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5. 15 ก.พ. 67\"/>
    </mc:Choice>
  </mc:AlternateContent>
  <xr:revisionPtr revIDLastSave="0" documentId="13_ncr:1_{48B9026A-1038-4DA8-848C-3C20E90ADFC2}" xr6:coauthVersionLast="37" xr6:coauthVersionMax="45" xr10:uidLastSave="{00000000-0000-0000-0000-000000000000}"/>
  <bookViews>
    <workbookView xWindow="0" yWindow="0" windowWidth="24000" windowHeight="9225" xr2:uid="{00000000-000D-0000-FFFF-FFFF00000000}"/>
  </bookViews>
  <sheets>
    <sheet name="แปลงใหญ่" sheetId="1" r:id="rId1"/>
    <sheet name="ทฤษฎีใหม่" sheetId="2" r:id="rId2"/>
    <sheet name="ธุรกิจชุมชน" sheetId="3" r:id="rId3"/>
    <sheet name="สมุนไพร" sheetId="4" r:id="rId4"/>
    <sheet name="GAP" sheetId="5" r:id="rId5"/>
    <sheet name="หัตถกรรม" sheetId="6" r:id="rId6"/>
    <sheet name="พระราชดำริ" sheetId="7" r:id="rId7"/>
    <sheet name="ผู้เทน" sheetId="8" r:id="rId8"/>
    <sheet name="เฝ้าระวังการเผา" sheetId="9" r:id="rId9"/>
    <sheet name="Smart" sheetId="10" r:id="rId10"/>
    <sheet name="แปลงรวม" sheetId="11" r:id="rId11"/>
    <sheet name="ศูนย์บริการ" sheetId="12" r:id="rId12"/>
    <sheet name="จัดที่ดิน" sheetId="13" r:id="rId13"/>
    <sheet name="RTK" sheetId="14" r:id="rId14"/>
    <sheet name="เหลื่อมล้ำ" sheetId="15" r:id="rId15"/>
    <sheet name="จัดหาที่ดินเอกชน" sheetId="16" r:id="rId16"/>
    <sheet name="7กิจกรรม" sheetId="17" r:id="rId17"/>
    <sheet name="จัดที่ดินชุมชน" sheetId="18" r:id="rId18"/>
    <sheet name="วนเกษตร" sheetId="19" r:id="rId19"/>
    <sheet name="อินทรีย์" sheetId="20" r:id="rId20"/>
  </sheets>
  <definedNames>
    <definedName name="_xlnm.Print_Titles" localSheetId="16">'7กิจกรรม'!$A:$B,'7กิจกรรม'!$1:$6</definedName>
    <definedName name="_xlnm.Print_Titles" localSheetId="4">GAP!$1:$6</definedName>
    <definedName name="_xlnm.Print_Titles" localSheetId="13">RTK!$1:$6</definedName>
    <definedName name="_xlnm.Print_Titles" localSheetId="9">Smart!$1:$6</definedName>
    <definedName name="_xlnm.Print_Titles" localSheetId="12">จัดที่ดิน!$A:$B,จัดที่ดิน!$1:$6</definedName>
    <definedName name="_xlnm.Print_Titles" localSheetId="17">จัดที่ดินชุมชน!$A:$B,จัดที่ดินชุมชน!$1:$6</definedName>
    <definedName name="_xlnm.Print_Titles" localSheetId="15">จัดหาที่ดินเอกชน!$A:$B,จัดหาที่ดินเอกชน!$1:$6</definedName>
    <definedName name="_xlnm.Print_Titles" localSheetId="1">ทฤษฎีใหม่!$A:$B,ทฤษฎีใหม่!$1:$6</definedName>
    <definedName name="_xlnm.Print_Titles" localSheetId="2">ธุรกิจชุมชน!$A:$B,ธุรกิจชุมชน!$1:$6</definedName>
    <definedName name="_xlnm.Print_Titles" localSheetId="10">แปลงรวม!$1:$6</definedName>
    <definedName name="_xlnm.Print_Titles" localSheetId="0">แปลงใหญ่!$A:$B,แปลงใหญ่!$1:$6</definedName>
    <definedName name="_xlnm.Print_Titles" localSheetId="7">ผู้เทน!$1:$6</definedName>
    <definedName name="_xlnm.Print_Titles" localSheetId="8">เฝ้าระวังการเผา!$1:$6</definedName>
    <definedName name="_xlnm.Print_Titles" localSheetId="6">พระราชดำริ!$A:$B,พระราชดำริ!$1:$6</definedName>
    <definedName name="_xlnm.Print_Titles" localSheetId="18">วนเกษตร!$A:$B,วนเกษตร!$1:$6</definedName>
    <definedName name="_xlnm.Print_Titles" localSheetId="11">ศูนย์บริการ!$A:$B,ศูนย์บริการ!$1:$6</definedName>
    <definedName name="_xlnm.Print_Titles" localSheetId="3">สมุนไพร!$A:$B,สมุนไพร!$1:$6</definedName>
    <definedName name="_xlnm.Print_Titles" localSheetId="5">หัตถกรรม!$1:$6</definedName>
    <definedName name="_xlnm.Print_Titles" localSheetId="14">เหลื่อมล้ำ!$A:$B,เหลื่อมล้ำ!$1:$6</definedName>
    <definedName name="_xlnm.Print_Titles" localSheetId="19">อินทรีย์!$1:$6</definedName>
  </definedNames>
  <calcPr calcId="179021"/>
</workbook>
</file>

<file path=xl/calcChain.xml><?xml version="1.0" encoding="utf-8"?>
<calcChain xmlns="http://schemas.openxmlformats.org/spreadsheetml/2006/main">
  <c r="AA61" i="2" l="1"/>
  <c r="X61" i="2"/>
  <c r="V106" i="20"/>
  <c r="U106" i="20"/>
  <c r="Q106" i="20"/>
  <c r="P106" i="20"/>
  <c r="N106" i="20"/>
  <c r="M106" i="20"/>
  <c r="J106" i="20"/>
  <c r="D106" i="20"/>
  <c r="C106" i="20" s="1"/>
  <c r="K106" i="20" s="1"/>
  <c r="V105" i="20"/>
  <c r="U105" i="20"/>
  <c r="Q105" i="20"/>
  <c r="P105" i="20"/>
  <c r="N105" i="20"/>
  <c r="J105" i="20"/>
  <c r="D105" i="20"/>
  <c r="M105" i="20" s="1"/>
  <c r="C105" i="20"/>
  <c r="K105" i="20" s="1"/>
  <c r="V104" i="20"/>
  <c r="U104" i="20"/>
  <c r="Q104" i="20"/>
  <c r="P104" i="20"/>
  <c r="N104" i="20"/>
  <c r="M104" i="20"/>
  <c r="J104" i="20"/>
  <c r="D104" i="20"/>
  <c r="C104" i="20"/>
  <c r="K104" i="20" s="1"/>
  <c r="V103" i="20"/>
  <c r="U103" i="20"/>
  <c r="Q103" i="20"/>
  <c r="P103" i="20"/>
  <c r="N103" i="20"/>
  <c r="M103" i="20"/>
  <c r="J103" i="20"/>
  <c r="D103" i="20"/>
  <c r="C103" i="20"/>
  <c r="K103" i="20" s="1"/>
  <c r="V102" i="20"/>
  <c r="U102" i="20"/>
  <c r="Q102" i="20"/>
  <c r="P102" i="20"/>
  <c r="N102" i="20"/>
  <c r="J102" i="20"/>
  <c r="D102" i="20"/>
  <c r="M102" i="20" s="1"/>
  <c r="C102" i="20"/>
  <c r="K102" i="20" s="1"/>
  <c r="V101" i="20"/>
  <c r="U101" i="20"/>
  <c r="Q101" i="20"/>
  <c r="P101" i="20"/>
  <c r="N101" i="20"/>
  <c r="M101" i="20"/>
  <c r="J101" i="20"/>
  <c r="D101" i="20"/>
  <c r="C101" i="20"/>
  <c r="K101" i="20" s="1"/>
  <c r="V100" i="20"/>
  <c r="U100" i="20"/>
  <c r="Q100" i="20"/>
  <c r="P100" i="20"/>
  <c r="N100" i="20"/>
  <c r="M100" i="20"/>
  <c r="J100" i="20"/>
  <c r="D100" i="20"/>
  <c r="C100" i="20" s="1"/>
  <c r="K100" i="20" s="1"/>
  <c r="V99" i="20"/>
  <c r="U99" i="20"/>
  <c r="Q99" i="20"/>
  <c r="P99" i="20"/>
  <c r="N99" i="20"/>
  <c r="J99" i="20"/>
  <c r="D99" i="20"/>
  <c r="M99" i="20" s="1"/>
  <c r="C99" i="20"/>
  <c r="K99" i="20" s="1"/>
  <c r="V98" i="20"/>
  <c r="U98" i="20"/>
  <c r="Q98" i="20"/>
  <c r="P98" i="20"/>
  <c r="N98" i="20"/>
  <c r="M98" i="20"/>
  <c r="J98" i="20"/>
  <c r="D98" i="20"/>
  <c r="C98" i="20"/>
  <c r="K98" i="20" s="1"/>
  <c r="V97" i="20"/>
  <c r="U97" i="20"/>
  <c r="Q97" i="20"/>
  <c r="P97" i="20"/>
  <c r="N97" i="20"/>
  <c r="M97" i="20"/>
  <c r="J97" i="20"/>
  <c r="D97" i="20"/>
  <c r="C97" i="20" s="1"/>
  <c r="K97" i="20" s="1"/>
  <c r="V96" i="20"/>
  <c r="U96" i="20"/>
  <c r="Q96" i="20"/>
  <c r="P96" i="20"/>
  <c r="N96" i="20"/>
  <c r="J96" i="20"/>
  <c r="D96" i="20"/>
  <c r="M96" i="20" s="1"/>
  <c r="C96" i="20"/>
  <c r="K96" i="20" s="1"/>
  <c r="V95" i="20"/>
  <c r="U95" i="20"/>
  <c r="Q95" i="20"/>
  <c r="P95" i="20"/>
  <c r="N95" i="20"/>
  <c r="M95" i="20"/>
  <c r="J95" i="20"/>
  <c r="D95" i="20"/>
  <c r="C95" i="20"/>
  <c r="K95" i="20" s="1"/>
  <c r="V94" i="20"/>
  <c r="U94" i="20"/>
  <c r="Q94" i="20"/>
  <c r="P94" i="20"/>
  <c r="N94" i="20"/>
  <c r="M94" i="20"/>
  <c r="J94" i="20"/>
  <c r="D94" i="20"/>
  <c r="C94" i="20" s="1"/>
  <c r="K94" i="20" s="1"/>
  <c r="V93" i="20"/>
  <c r="U93" i="20"/>
  <c r="Q93" i="20"/>
  <c r="P93" i="20"/>
  <c r="N93" i="20"/>
  <c r="J93" i="20"/>
  <c r="D93" i="20"/>
  <c r="M93" i="20" s="1"/>
  <c r="C93" i="20"/>
  <c r="K93" i="20" s="1"/>
  <c r="V92" i="20"/>
  <c r="U92" i="20"/>
  <c r="Q92" i="20"/>
  <c r="P92" i="20"/>
  <c r="N92" i="20"/>
  <c r="M92" i="20"/>
  <c r="J92" i="20"/>
  <c r="D92" i="20"/>
  <c r="D89" i="20" s="1"/>
  <c r="C92" i="20"/>
  <c r="K92" i="20" s="1"/>
  <c r="V91" i="20"/>
  <c r="U91" i="20"/>
  <c r="Q91" i="20"/>
  <c r="P91" i="20"/>
  <c r="N91" i="20"/>
  <c r="M91" i="20"/>
  <c r="J91" i="20"/>
  <c r="D91" i="20"/>
  <c r="C91" i="20"/>
  <c r="K91" i="20" s="1"/>
  <c r="V90" i="20"/>
  <c r="U90" i="20"/>
  <c r="Q90" i="20"/>
  <c r="P90" i="20"/>
  <c r="P89" i="20" s="1"/>
  <c r="N90" i="20"/>
  <c r="J90" i="20"/>
  <c r="J89" i="20" s="1"/>
  <c r="D90" i="20"/>
  <c r="M90" i="20" s="1"/>
  <c r="C90" i="20"/>
  <c r="T89" i="20"/>
  <c r="S89" i="20"/>
  <c r="V89" i="20" s="1"/>
  <c r="R89" i="20"/>
  <c r="U89" i="20" s="1"/>
  <c r="Q89" i="20"/>
  <c r="O89" i="20"/>
  <c r="N89" i="20"/>
  <c r="L89" i="20"/>
  <c r="I89" i="20"/>
  <c r="H89" i="20"/>
  <c r="G89" i="20"/>
  <c r="F89" i="20"/>
  <c r="E89" i="20"/>
  <c r="AJ88" i="20"/>
  <c r="AH88" i="20"/>
  <c r="AG88" i="20"/>
  <c r="AF88" i="20"/>
  <c r="AD88" i="20"/>
  <c r="AC88" i="20"/>
  <c r="AA88" i="20"/>
  <c r="Z88" i="20"/>
  <c r="X88" i="20"/>
  <c r="W88" i="20"/>
  <c r="Y88" i="20" s="1"/>
  <c r="T88" i="20"/>
  <c r="S88" i="20"/>
  <c r="V88" i="20" s="1"/>
  <c r="R88" i="20"/>
  <c r="Q88" i="20"/>
  <c r="P88" i="20"/>
  <c r="N88" i="20"/>
  <c r="M88" i="20"/>
  <c r="K88" i="20"/>
  <c r="J88" i="20"/>
  <c r="D88" i="20"/>
  <c r="C88" i="20"/>
  <c r="AJ87" i="20"/>
  <c r="AH87" i="20"/>
  <c r="AG87" i="20"/>
  <c r="AK87" i="20" s="1"/>
  <c r="AF87" i="20"/>
  <c r="AI87" i="20" s="1"/>
  <c r="AD87" i="20"/>
  <c r="AC87" i="20"/>
  <c r="AE87" i="20" s="1"/>
  <c r="AA87" i="20"/>
  <c r="Z87" i="20"/>
  <c r="AB87" i="20" s="1"/>
  <c r="X87" i="20"/>
  <c r="W87" i="20"/>
  <c r="Y87" i="20" s="1"/>
  <c r="T87" i="20"/>
  <c r="S87" i="20"/>
  <c r="V87" i="20" s="1"/>
  <c r="R87" i="20"/>
  <c r="U87" i="20" s="1"/>
  <c r="Q87" i="20"/>
  <c r="P87" i="20"/>
  <c r="N87" i="20"/>
  <c r="J87" i="20"/>
  <c r="D87" i="20"/>
  <c r="M87" i="20" s="1"/>
  <c r="C87" i="20"/>
  <c r="K87" i="20" s="1"/>
  <c r="AJ86" i="20"/>
  <c r="AH86" i="20"/>
  <c r="AG86" i="20"/>
  <c r="AK86" i="20" s="1"/>
  <c r="AF86" i="20"/>
  <c r="AI86" i="20" s="1"/>
  <c r="AD86" i="20"/>
  <c r="AC86" i="20"/>
  <c r="AE86" i="20" s="1"/>
  <c r="AA86" i="20"/>
  <c r="Z86" i="20"/>
  <c r="AB86" i="20" s="1"/>
  <c r="X86" i="20"/>
  <c r="W86" i="20"/>
  <c r="Y86" i="20" s="1"/>
  <c r="T86" i="20"/>
  <c r="S86" i="20"/>
  <c r="V86" i="20" s="1"/>
  <c r="R86" i="20"/>
  <c r="U86" i="20" s="1"/>
  <c r="Q86" i="20"/>
  <c r="P86" i="20"/>
  <c r="N86" i="20"/>
  <c r="M86" i="20"/>
  <c r="J86" i="20"/>
  <c r="D86" i="20"/>
  <c r="C86" i="20"/>
  <c r="K86" i="20" s="1"/>
  <c r="AJ85" i="20"/>
  <c r="AH85" i="20"/>
  <c r="AG85" i="20"/>
  <c r="AF85" i="20"/>
  <c r="AD85" i="20"/>
  <c r="AC85" i="20"/>
  <c r="AA85" i="20"/>
  <c r="Z85" i="20"/>
  <c r="X85" i="20"/>
  <c r="W85" i="20"/>
  <c r="Y85" i="20" s="1"/>
  <c r="T85" i="20"/>
  <c r="S85" i="20"/>
  <c r="V85" i="20" s="1"/>
  <c r="R85" i="20"/>
  <c r="Q85" i="20"/>
  <c r="P85" i="20"/>
  <c r="N85" i="20"/>
  <c r="M85" i="20"/>
  <c r="K85" i="20"/>
  <c r="J85" i="20"/>
  <c r="D85" i="20"/>
  <c r="C85" i="20"/>
  <c r="AJ84" i="20"/>
  <c r="AH84" i="20"/>
  <c r="AG84" i="20"/>
  <c r="AK84" i="20" s="1"/>
  <c r="AF84" i="20"/>
  <c r="AI84" i="20" s="1"/>
  <c r="AD84" i="20"/>
  <c r="AC84" i="20"/>
  <c r="AE84" i="20" s="1"/>
  <c r="AA84" i="20"/>
  <c r="Z84" i="20"/>
  <c r="AB84" i="20" s="1"/>
  <c r="X84" i="20"/>
  <c r="W84" i="20"/>
  <c r="Y84" i="20" s="1"/>
  <c r="T84" i="20"/>
  <c r="S84" i="20"/>
  <c r="V84" i="20" s="1"/>
  <c r="R84" i="20"/>
  <c r="U84" i="20" s="1"/>
  <c r="Q84" i="20"/>
  <c r="P84" i="20"/>
  <c r="N84" i="20"/>
  <c r="J84" i="20"/>
  <c r="D84" i="20"/>
  <c r="M84" i="20" s="1"/>
  <c r="C84" i="20"/>
  <c r="K84" i="20" s="1"/>
  <c r="AJ83" i="20"/>
  <c r="AH83" i="20"/>
  <c r="AG83" i="20"/>
  <c r="AF83" i="20"/>
  <c r="AD83" i="20"/>
  <c r="AC83" i="20"/>
  <c r="AA83" i="20"/>
  <c r="Z83" i="20"/>
  <c r="X83" i="20"/>
  <c r="W83" i="20"/>
  <c r="Y83" i="20" s="1"/>
  <c r="T83" i="20"/>
  <c r="S83" i="20"/>
  <c r="V83" i="20" s="1"/>
  <c r="R83" i="20"/>
  <c r="Q83" i="20"/>
  <c r="P83" i="20"/>
  <c r="N83" i="20"/>
  <c r="M83" i="20"/>
  <c r="J83" i="20"/>
  <c r="D83" i="20"/>
  <c r="C83" i="20"/>
  <c r="K83" i="20" s="1"/>
  <c r="AJ82" i="20"/>
  <c r="AH82" i="20"/>
  <c r="AG82" i="20"/>
  <c r="AF82" i="20"/>
  <c r="AD82" i="20"/>
  <c r="AC82" i="20"/>
  <c r="AA82" i="20"/>
  <c r="Z82" i="20"/>
  <c r="X82" i="20"/>
  <c r="W82" i="20"/>
  <c r="Y82" i="20" s="1"/>
  <c r="T82" i="20"/>
  <c r="S82" i="20"/>
  <c r="V82" i="20" s="1"/>
  <c r="R82" i="20"/>
  <c r="Q82" i="20"/>
  <c r="P82" i="20"/>
  <c r="N82" i="20"/>
  <c r="M82" i="20"/>
  <c r="K82" i="20"/>
  <c r="J82" i="20"/>
  <c r="D82" i="20"/>
  <c r="C82" i="20"/>
  <c r="AJ81" i="20"/>
  <c r="AH81" i="20"/>
  <c r="AG81" i="20"/>
  <c r="AF81" i="20"/>
  <c r="AD81" i="20"/>
  <c r="AC81" i="20"/>
  <c r="AA81" i="20"/>
  <c r="Z81" i="20"/>
  <c r="X81" i="20"/>
  <c r="W81" i="20"/>
  <c r="Y81" i="20" s="1"/>
  <c r="T81" i="20"/>
  <c r="S81" i="20"/>
  <c r="V81" i="20" s="1"/>
  <c r="R81" i="20"/>
  <c r="Q81" i="20"/>
  <c r="P81" i="20"/>
  <c r="N81" i="20"/>
  <c r="J81" i="20"/>
  <c r="D81" i="20"/>
  <c r="M81" i="20" s="1"/>
  <c r="C81" i="20"/>
  <c r="K81" i="20" s="1"/>
  <c r="AJ80" i="20"/>
  <c r="AH80" i="20"/>
  <c r="AG80" i="20"/>
  <c r="AF80" i="20"/>
  <c r="AD80" i="20"/>
  <c r="AC80" i="20"/>
  <c r="AA80" i="20"/>
  <c r="Z80" i="20"/>
  <c r="X80" i="20"/>
  <c r="W80" i="20"/>
  <c r="Y80" i="20" s="1"/>
  <c r="T80" i="20"/>
  <c r="S80" i="20"/>
  <c r="V80" i="20" s="1"/>
  <c r="R80" i="20"/>
  <c r="Q80" i="20"/>
  <c r="P80" i="20"/>
  <c r="N80" i="20"/>
  <c r="M80" i="20"/>
  <c r="J80" i="20"/>
  <c r="D80" i="20"/>
  <c r="C80" i="20"/>
  <c r="K80" i="20" s="1"/>
  <c r="AJ79" i="20"/>
  <c r="AH79" i="20"/>
  <c r="AG79" i="20"/>
  <c r="AK79" i="20" s="1"/>
  <c r="AF79" i="20"/>
  <c r="AI79" i="20" s="1"/>
  <c r="AD79" i="20"/>
  <c r="AC79" i="20"/>
  <c r="AE79" i="20" s="1"/>
  <c r="AA79" i="20"/>
  <c r="Z79" i="20"/>
  <c r="AB79" i="20" s="1"/>
  <c r="X79" i="20"/>
  <c r="W79" i="20"/>
  <c r="Y79" i="20" s="1"/>
  <c r="T79" i="20"/>
  <c r="S79" i="20"/>
  <c r="V79" i="20" s="1"/>
  <c r="R79" i="20"/>
  <c r="U79" i="20" s="1"/>
  <c r="Q79" i="20"/>
  <c r="P79" i="20"/>
  <c r="N79" i="20"/>
  <c r="M79" i="20"/>
  <c r="K79" i="20"/>
  <c r="J79" i="20"/>
  <c r="D79" i="20"/>
  <c r="C79" i="20"/>
  <c r="AJ78" i="20"/>
  <c r="AH78" i="20"/>
  <c r="AG78" i="20"/>
  <c r="AK78" i="20" s="1"/>
  <c r="AF78" i="20"/>
  <c r="AI78" i="20" s="1"/>
  <c r="AD78" i="20"/>
  <c r="AC78" i="20"/>
  <c r="AE78" i="20" s="1"/>
  <c r="AA78" i="20"/>
  <c r="Z78" i="20"/>
  <c r="AB78" i="20" s="1"/>
  <c r="X78" i="20"/>
  <c r="W78" i="20"/>
  <c r="Y78" i="20" s="1"/>
  <c r="T78" i="20"/>
  <c r="S78" i="20"/>
  <c r="V78" i="20" s="1"/>
  <c r="R78" i="20"/>
  <c r="U78" i="20" s="1"/>
  <c r="Q78" i="20"/>
  <c r="P78" i="20"/>
  <c r="N78" i="20"/>
  <c r="J78" i="20"/>
  <c r="D78" i="20"/>
  <c r="M78" i="20" s="1"/>
  <c r="C78" i="20"/>
  <c r="K78" i="20" s="1"/>
  <c r="AJ77" i="20"/>
  <c r="AH77" i="20"/>
  <c r="AG77" i="20"/>
  <c r="AF77" i="20"/>
  <c r="AD77" i="20"/>
  <c r="AC77" i="20"/>
  <c r="AA77" i="20"/>
  <c r="Z77" i="20"/>
  <c r="X77" i="20"/>
  <c r="W77" i="20"/>
  <c r="Y77" i="20" s="1"/>
  <c r="T77" i="20"/>
  <c r="S77" i="20"/>
  <c r="V77" i="20" s="1"/>
  <c r="R77" i="20"/>
  <c r="Q77" i="20"/>
  <c r="P77" i="20"/>
  <c r="N77" i="20"/>
  <c r="M77" i="20"/>
  <c r="J77" i="20"/>
  <c r="D77" i="20"/>
  <c r="C77" i="20"/>
  <c r="K77" i="20" s="1"/>
  <c r="AJ76" i="20"/>
  <c r="AH76" i="20"/>
  <c r="AG76" i="20"/>
  <c r="AF76" i="20"/>
  <c r="AD76" i="20"/>
  <c r="AC76" i="20"/>
  <c r="AA76" i="20"/>
  <c r="Z76" i="20"/>
  <c r="X76" i="20"/>
  <c r="W76" i="20"/>
  <c r="Y76" i="20" s="1"/>
  <c r="T76" i="20"/>
  <c r="S76" i="20"/>
  <c r="V76" i="20" s="1"/>
  <c r="R76" i="20"/>
  <c r="Q76" i="20"/>
  <c r="P76" i="20"/>
  <c r="N76" i="20"/>
  <c r="M76" i="20"/>
  <c r="K76" i="20"/>
  <c r="J76" i="20"/>
  <c r="D76" i="20"/>
  <c r="C76" i="20"/>
  <c r="AJ75" i="20"/>
  <c r="AH75" i="20"/>
  <c r="AG75" i="20"/>
  <c r="AF75" i="20"/>
  <c r="AD75" i="20"/>
  <c r="AC75" i="20"/>
  <c r="AA75" i="20"/>
  <c r="Z75" i="20"/>
  <c r="X75" i="20"/>
  <c r="W75" i="20"/>
  <c r="Y75" i="20" s="1"/>
  <c r="T75" i="20"/>
  <c r="S75" i="20"/>
  <c r="V75" i="20" s="1"/>
  <c r="R75" i="20"/>
  <c r="Q75" i="20"/>
  <c r="P75" i="20"/>
  <c r="N75" i="20"/>
  <c r="J75" i="20"/>
  <c r="D75" i="20"/>
  <c r="M75" i="20" s="1"/>
  <c r="C75" i="20"/>
  <c r="K75" i="20" s="1"/>
  <c r="P74" i="20"/>
  <c r="O74" i="20"/>
  <c r="L74" i="20"/>
  <c r="J74" i="20"/>
  <c r="I74" i="20"/>
  <c r="Q74" i="20" s="1"/>
  <c r="H74" i="20"/>
  <c r="N74" i="20" s="1"/>
  <c r="G74" i="20"/>
  <c r="F74" i="20"/>
  <c r="E74" i="20"/>
  <c r="D74" i="20"/>
  <c r="AJ73" i="20"/>
  <c r="AH73" i="20"/>
  <c r="AG73" i="20"/>
  <c r="AF73" i="20"/>
  <c r="AD73" i="20"/>
  <c r="AC73" i="20"/>
  <c r="AA73" i="20"/>
  <c r="Z73" i="20"/>
  <c r="X73" i="20"/>
  <c r="W73" i="20"/>
  <c r="Y73" i="20" s="1"/>
  <c r="T73" i="20"/>
  <c r="S73" i="20"/>
  <c r="V73" i="20" s="1"/>
  <c r="R73" i="20"/>
  <c r="Q73" i="20"/>
  <c r="P73" i="20"/>
  <c r="N73" i="20"/>
  <c r="M73" i="20"/>
  <c r="K73" i="20"/>
  <c r="J73" i="20"/>
  <c r="D73" i="20"/>
  <c r="C73" i="20" s="1"/>
  <c r="AJ72" i="20"/>
  <c r="AH72" i="20"/>
  <c r="AG72" i="20"/>
  <c r="AF72" i="20"/>
  <c r="AD72" i="20"/>
  <c r="AC72" i="20"/>
  <c r="AA72" i="20"/>
  <c r="Z72" i="20"/>
  <c r="X72" i="20"/>
  <c r="W72" i="20"/>
  <c r="Y72" i="20" s="1"/>
  <c r="T72" i="20"/>
  <c r="S72" i="20"/>
  <c r="V72" i="20" s="1"/>
  <c r="R72" i="20"/>
  <c r="Q72" i="20"/>
  <c r="P72" i="20"/>
  <c r="N72" i="20"/>
  <c r="J72" i="20"/>
  <c r="D72" i="20"/>
  <c r="AJ71" i="20"/>
  <c r="AH71" i="20"/>
  <c r="AG71" i="20"/>
  <c r="AK71" i="20" s="1"/>
  <c r="AF71" i="20"/>
  <c r="AI71" i="20" s="1"/>
  <c r="AD71" i="20"/>
  <c r="AC71" i="20"/>
  <c r="AE71" i="20" s="1"/>
  <c r="AA71" i="20"/>
  <c r="Z71" i="20"/>
  <c r="AB71" i="20" s="1"/>
  <c r="X71" i="20"/>
  <c r="W71" i="20"/>
  <c r="Y71" i="20" s="1"/>
  <c r="T71" i="20"/>
  <c r="S71" i="20"/>
  <c r="V71" i="20" s="1"/>
  <c r="R71" i="20"/>
  <c r="U71" i="20" s="1"/>
  <c r="Q71" i="20"/>
  <c r="P71" i="20"/>
  <c r="N71" i="20"/>
  <c r="J71" i="20"/>
  <c r="D71" i="20"/>
  <c r="AJ70" i="20"/>
  <c r="AH70" i="20"/>
  <c r="AG70" i="20"/>
  <c r="AF70" i="20"/>
  <c r="AD70" i="20"/>
  <c r="AC70" i="20"/>
  <c r="AA70" i="20"/>
  <c r="Z70" i="20"/>
  <c r="X70" i="20"/>
  <c r="W70" i="20"/>
  <c r="Y70" i="20" s="1"/>
  <c r="T70" i="20"/>
  <c r="S70" i="20"/>
  <c r="V70" i="20" s="1"/>
  <c r="R70" i="20"/>
  <c r="Q70" i="20"/>
  <c r="P70" i="20"/>
  <c r="N70" i="20"/>
  <c r="M70" i="20"/>
  <c r="K70" i="20"/>
  <c r="J70" i="20"/>
  <c r="D70" i="20"/>
  <c r="C70" i="20" s="1"/>
  <c r="AJ69" i="20"/>
  <c r="AH69" i="20"/>
  <c r="AG69" i="20"/>
  <c r="AK69" i="20" s="1"/>
  <c r="AF69" i="20"/>
  <c r="AI69" i="20" s="1"/>
  <c r="AD69" i="20"/>
  <c r="AC69" i="20"/>
  <c r="AE69" i="20" s="1"/>
  <c r="AA69" i="20"/>
  <c r="Z69" i="20"/>
  <c r="AB69" i="20" s="1"/>
  <c r="X69" i="20"/>
  <c r="W69" i="20"/>
  <c r="Y69" i="20" s="1"/>
  <c r="T69" i="20"/>
  <c r="S69" i="20"/>
  <c r="V69" i="20" s="1"/>
  <c r="R69" i="20"/>
  <c r="U69" i="20" s="1"/>
  <c r="Q69" i="20"/>
  <c r="P69" i="20"/>
  <c r="N69" i="20"/>
  <c r="J69" i="20"/>
  <c r="D69" i="20"/>
  <c r="AJ68" i="20"/>
  <c r="AH68" i="20"/>
  <c r="AG68" i="20"/>
  <c r="AF68" i="20"/>
  <c r="AD68" i="20"/>
  <c r="AC68" i="20"/>
  <c r="AA68" i="20"/>
  <c r="Z68" i="20"/>
  <c r="X68" i="20"/>
  <c r="W68" i="20"/>
  <c r="Y68" i="20" s="1"/>
  <c r="T68" i="20"/>
  <c r="S68" i="20"/>
  <c r="V68" i="20" s="1"/>
  <c r="R68" i="20"/>
  <c r="Q68" i="20"/>
  <c r="P68" i="20"/>
  <c r="N68" i="20"/>
  <c r="J68" i="20"/>
  <c r="D68" i="20"/>
  <c r="AJ67" i="20"/>
  <c r="AH67" i="20"/>
  <c r="AG67" i="20"/>
  <c r="AK67" i="20" s="1"/>
  <c r="AF67" i="20"/>
  <c r="AI67" i="20" s="1"/>
  <c r="AD67" i="20"/>
  <c r="AC67" i="20"/>
  <c r="AE67" i="20" s="1"/>
  <c r="AA67" i="20"/>
  <c r="Z67" i="20"/>
  <c r="AB67" i="20" s="1"/>
  <c r="X67" i="20"/>
  <c r="W67" i="20"/>
  <c r="Y67" i="20" s="1"/>
  <c r="T67" i="20"/>
  <c r="S67" i="20"/>
  <c r="V67" i="20" s="1"/>
  <c r="R67" i="20"/>
  <c r="U67" i="20" s="1"/>
  <c r="Q67" i="20"/>
  <c r="P67" i="20"/>
  <c r="N67" i="20"/>
  <c r="M67" i="20"/>
  <c r="K67" i="20"/>
  <c r="J67" i="20"/>
  <c r="D67" i="20"/>
  <c r="C67" i="20" s="1"/>
  <c r="AJ66" i="20"/>
  <c r="AH66" i="20"/>
  <c r="AG66" i="20"/>
  <c r="AF66" i="20"/>
  <c r="AD66" i="20"/>
  <c r="AC66" i="20"/>
  <c r="AA66" i="20"/>
  <c r="Z66" i="20"/>
  <c r="X66" i="20"/>
  <c r="W66" i="20"/>
  <c r="Y66" i="20" s="1"/>
  <c r="T66" i="20"/>
  <c r="S66" i="20"/>
  <c r="V66" i="20" s="1"/>
  <c r="R66" i="20"/>
  <c r="Q66" i="20"/>
  <c r="P66" i="20"/>
  <c r="N66" i="20"/>
  <c r="J66" i="20"/>
  <c r="D66" i="20"/>
  <c r="AJ65" i="20"/>
  <c r="AH65" i="20"/>
  <c r="AG65" i="20"/>
  <c r="AK65" i="20" s="1"/>
  <c r="AF65" i="20"/>
  <c r="AI65" i="20" s="1"/>
  <c r="AD65" i="20"/>
  <c r="AC65" i="20"/>
  <c r="AE65" i="20" s="1"/>
  <c r="AA65" i="20"/>
  <c r="Z65" i="20"/>
  <c r="AB65" i="20" s="1"/>
  <c r="X65" i="20"/>
  <c r="W65" i="20"/>
  <c r="Y65" i="20" s="1"/>
  <c r="T65" i="20"/>
  <c r="S65" i="20"/>
  <c r="V65" i="20" s="1"/>
  <c r="R65" i="20"/>
  <c r="U65" i="20" s="1"/>
  <c r="Q65" i="20"/>
  <c r="P65" i="20"/>
  <c r="N65" i="20"/>
  <c r="J65" i="20"/>
  <c r="D65" i="20"/>
  <c r="AJ64" i="20"/>
  <c r="AH64" i="20"/>
  <c r="AG64" i="20"/>
  <c r="AK64" i="20" s="1"/>
  <c r="AF64" i="20"/>
  <c r="AI64" i="20" s="1"/>
  <c r="AD64" i="20"/>
  <c r="AC64" i="20"/>
  <c r="AE64" i="20" s="1"/>
  <c r="AA64" i="20"/>
  <c r="Z64" i="20"/>
  <c r="AB64" i="20" s="1"/>
  <c r="X64" i="20"/>
  <c r="W64" i="20"/>
  <c r="Y64" i="20" s="1"/>
  <c r="T64" i="20"/>
  <c r="S64" i="20"/>
  <c r="V64" i="20" s="1"/>
  <c r="R64" i="20"/>
  <c r="U64" i="20" s="1"/>
  <c r="Q64" i="20"/>
  <c r="P64" i="20"/>
  <c r="N64" i="20"/>
  <c r="M64" i="20"/>
  <c r="J64" i="20"/>
  <c r="D64" i="20"/>
  <c r="C64" i="20" s="1"/>
  <c r="K64" i="20" s="1"/>
  <c r="AJ63" i="20"/>
  <c r="AH63" i="20"/>
  <c r="AG63" i="20"/>
  <c r="AF63" i="20"/>
  <c r="AD63" i="20"/>
  <c r="AC63" i="20"/>
  <c r="AA63" i="20"/>
  <c r="Z63" i="20"/>
  <c r="X63" i="20"/>
  <c r="W63" i="20"/>
  <c r="Y63" i="20" s="1"/>
  <c r="T63" i="20"/>
  <c r="S63" i="20"/>
  <c r="V63" i="20" s="1"/>
  <c r="R63" i="20"/>
  <c r="Q63" i="20"/>
  <c r="P63" i="20"/>
  <c r="N63" i="20"/>
  <c r="J63" i="20"/>
  <c r="D63" i="20"/>
  <c r="AJ62" i="20"/>
  <c r="AH62" i="20"/>
  <c r="AG62" i="20"/>
  <c r="AK62" i="20" s="1"/>
  <c r="AF62" i="20"/>
  <c r="AI62" i="20" s="1"/>
  <c r="AD62" i="20"/>
  <c r="AC62" i="20"/>
  <c r="AE62" i="20" s="1"/>
  <c r="AA62" i="20"/>
  <c r="Z62" i="20"/>
  <c r="AB62" i="20" s="1"/>
  <c r="X62" i="20"/>
  <c r="W62" i="20"/>
  <c r="Y62" i="20" s="1"/>
  <c r="T62" i="20"/>
  <c r="S62" i="20"/>
  <c r="V62" i="20" s="1"/>
  <c r="R62" i="20"/>
  <c r="U62" i="20" s="1"/>
  <c r="Q62" i="20"/>
  <c r="P62" i="20"/>
  <c r="N62" i="20"/>
  <c r="J62" i="20"/>
  <c r="D62" i="20"/>
  <c r="AJ61" i="20"/>
  <c r="AH61" i="20"/>
  <c r="AG61" i="20"/>
  <c r="AF61" i="20"/>
  <c r="AD61" i="20"/>
  <c r="AC61" i="20"/>
  <c r="AA61" i="20"/>
  <c r="Z61" i="20"/>
  <c r="X61" i="20"/>
  <c r="W61" i="20"/>
  <c r="Y61" i="20" s="1"/>
  <c r="T61" i="20"/>
  <c r="S61" i="20"/>
  <c r="V61" i="20" s="1"/>
  <c r="R61" i="20"/>
  <c r="Q61" i="20"/>
  <c r="P61" i="20"/>
  <c r="N61" i="20"/>
  <c r="M61" i="20"/>
  <c r="K61" i="20"/>
  <c r="J61" i="20"/>
  <c r="D61" i="20"/>
  <c r="C61" i="20" s="1"/>
  <c r="AJ60" i="20"/>
  <c r="AH60" i="20"/>
  <c r="AG60" i="20"/>
  <c r="AK60" i="20" s="1"/>
  <c r="AF60" i="20"/>
  <c r="AI60" i="20" s="1"/>
  <c r="AD60" i="20"/>
  <c r="AC60" i="20"/>
  <c r="AE60" i="20" s="1"/>
  <c r="AA60" i="20"/>
  <c r="Z60" i="20"/>
  <c r="AB60" i="20" s="1"/>
  <c r="X60" i="20"/>
  <c r="W60" i="20"/>
  <c r="Y60" i="20" s="1"/>
  <c r="T60" i="20"/>
  <c r="S60" i="20"/>
  <c r="V60" i="20" s="1"/>
  <c r="R60" i="20"/>
  <c r="U60" i="20" s="1"/>
  <c r="Q60" i="20"/>
  <c r="P60" i="20"/>
  <c r="N60" i="20"/>
  <c r="J60" i="20"/>
  <c r="D60" i="20"/>
  <c r="AJ59" i="20"/>
  <c r="AH59" i="20"/>
  <c r="AG59" i="20"/>
  <c r="AF59" i="20"/>
  <c r="AD59" i="20"/>
  <c r="AC59" i="20"/>
  <c r="AA59" i="20"/>
  <c r="Z59" i="20"/>
  <c r="X59" i="20"/>
  <c r="W59" i="20"/>
  <c r="Y59" i="20" s="1"/>
  <c r="T59" i="20"/>
  <c r="S59" i="20"/>
  <c r="V59" i="20" s="1"/>
  <c r="R59" i="20"/>
  <c r="Q59" i="20"/>
  <c r="P59" i="20"/>
  <c r="N59" i="20"/>
  <c r="J59" i="20"/>
  <c r="D59" i="20"/>
  <c r="AJ58" i="20"/>
  <c r="AH58" i="20"/>
  <c r="AG58" i="20"/>
  <c r="AK58" i="20" s="1"/>
  <c r="AF58" i="20"/>
  <c r="AI58" i="20" s="1"/>
  <c r="AD58" i="20"/>
  <c r="AC58" i="20"/>
  <c r="AE58" i="20" s="1"/>
  <c r="AA58" i="20"/>
  <c r="Z58" i="20"/>
  <c r="AB58" i="20" s="1"/>
  <c r="X58" i="20"/>
  <c r="W58" i="20"/>
  <c r="Y58" i="20" s="1"/>
  <c r="T58" i="20"/>
  <c r="S58" i="20"/>
  <c r="V58" i="20" s="1"/>
  <c r="R58" i="20"/>
  <c r="U58" i="20" s="1"/>
  <c r="Q58" i="20"/>
  <c r="P58" i="20"/>
  <c r="N58" i="20"/>
  <c r="M58" i="20"/>
  <c r="K58" i="20"/>
  <c r="J58" i="20"/>
  <c r="D58" i="20"/>
  <c r="C58" i="20"/>
  <c r="AJ57" i="20"/>
  <c r="AH57" i="20"/>
  <c r="AG57" i="20"/>
  <c r="AK57" i="20" s="1"/>
  <c r="AF57" i="20"/>
  <c r="AI57" i="20" s="1"/>
  <c r="AD57" i="20"/>
  <c r="AC57" i="20"/>
  <c r="AE57" i="20" s="1"/>
  <c r="AA57" i="20"/>
  <c r="Z57" i="20"/>
  <c r="AB57" i="20" s="1"/>
  <c r="X57" i="20"/>
  <c r="W57" i="20"/>
  <c r="Y57" i="20" s="1"/>
  <c r="T57" i="20"/>
  <c r="S57" i="20"/>
  <c r="V57" i="20" s="1"/>
  <c r="R57" i="20"/>
  <c r="U57" i="20" s="1"/>
  <c r="Q57" i="20"/>
  <c r="P57" i="20"/>
  <c r="N57" i="20"/>
  <c r="J57" i="20"/>
  <c r="D57" i="20"/>
  <c r="AJ56" i="20"/>
  <c r="AH56" i="20"/>
  <c r="AG56" i="20"/>
  <c r="AF56" i="20"/>
  <c r="AD56" i="20"/>
  <c r="AC56" i="20"/>
  <c r="AA56" i="20"/>
  <c r="Z56" i="20"/>
  <c r="X56" i="20"/>
  <c r="W56" i="20"/>
  <c r="Y56" i="20" s="1"/>
  <c r="T56" i="20"/>
  <c r="S56" i="20"/>
  <c r="V56" i="20" s="1"/>
  <c r="R56" i="20"/>
  <c r="Q56" i="20"/>
  <c r="P56" i="20"/>
  <c r="N56" i="20"/>
  <c r="J56" i="20"/>
  <c r="D56" i="20"/>
  <c r="AJ55" i="20"/>
  <c r="AH55" i="20"/>
  <c r="AG55" i="20"/>
  <c r="AF55" i="20"/>
  <c r="AD55" i="20"/>
  <c r="AC55" i="20"/>
  <c r="AA55" i="20"/>
  <c r="Z55" i="20"/>
  <c r="X55" i="20"/>
  <c r="W55" i="20"/>
  <c r="Y55" i="20" s="1"/>
  <c r="T55" i="20"/>
  <c r="S55" i="20"/>
  <c r="R55" i="20"/>
  <c r="Q55" i="20"/>
  <c r="P55" i="20"/>
  <c r="N55" i="20"/>
  <c r="M55" i="20"/>
  <c r="K55" i="20"/>
  <c r="J55" i="20"/>
  <c r="D55" i="20"/>
  <c r="C55" i="20"/>
  <c r="AJ54" i="20"/>
  <c r="AH54" i="20"/>
  <c r="AG54" i="20"/>
  <c r="AK54" i="20" s="1"/>
  <c r="AF54" i="20"/>
  <c r="AI54" i="20" s="1"/>
  <c r="AD54" i="20"/>
  <c r="AC54" i="20"/>
  <c r="AE54" i="20" s="1"/>
  <c r="AA54" i="20"/>
  <c r="Z54" i="20"/>
  <c r="AB54" i="20" s="1"/>
  <c r="X54" i="20"/>
  <c r="W54" i="20"/>
  <c r="Y54" i="20" s="1"/>
  <c r="T54" i="20"/>
  <c r="S54" i="20"/>
  <c r="V54" i="20" s="1"/>
  <c r="R54" i="20"/>
  <c r="U54" i="20" s="1"/>
  <c r="Q54" i="20"/>
  <c r="P54" i="20"/>
  <c r="N54" i="20"/>
  <c r="J54" i="20"/>
  <c r="D54" i="20"/>
  <c r="AJ53" i="20"/>
  <c r="AH53" i="20"/>
  <c r="AG53" i="20"/>
  <c r="AF53" i="20"/>
  <c r="AD53" i="20"/>
  <c r="AC53" i="20"/>
  <c r="AA53" i="20"/>
  <c r="Z53" i="20"/>
  <c r="X53" i="20"/>
  <c r="W53" i="20"/>
  <c r="T53" i="20"/>
  <c r="S53" i="20"/>
  <c r="V53" i="20" s="1"/>
  <c r="R53" i="20"/>
  <c r="Q53" i="20"/>
  <c r="P53" i="20"/>
  <c r="N53" i="20"/>
  <c r="J53" i="20"/>
  <c r="D53" i="20"/>
  <c r="O52" i="20"/>
  <c r="J52" i="20" s="1"/>
  <c r="N52" i="20"/>
  <c r="L52" i="20"/>
  <c r="I52" i="20"/>
  <c r="Q52" i="20" s="1"/>
  <c r="H52" i="20"/>
  <c r="G52" i="20"/>
  <c r="P52" i="20" s="1"/>
  <c r="F52" i="20"/>
  <c r="E52" i="20"/>
  <c r="AJ51" i="20"/>
  <c r="AH51" i="20"/>
  <c r="AG51" i="20"/>
  <c r="AF51" i="20"/>
  <c r="AD51" i="20"/>
  <c r="AC51" i="20"/>
  <c r="AA51" i="20"/>
  <c r="Z51" i="20"/>
  <c r="X51" i="20"/>
  <c r="W51" i="20"/>
  <c r="Y51" i="20" s="1"/>
  <c r="T51" i="20"/>
  <c r="S51" i="20"/>
  <c r="V51" i="20" s="1"/>
  <c r="R51" i="20"/>
  <c r="Q51" i="20"/>
  <c r="P51" i="20"/>
  <c r="N51" i="20"/>
  <c r="M51" i="20"/>
  <c r="K51" i="20"/>
  <c r="J51" i="20"/>
  <c r="D51" i="20"/>
  <c r="C51" i="20"/>
  <c r="AJ50" i="20"/>
  <c r="AH50" i="20"/>
  <c r="AG50" i="20"/>
  <c r="AF50" i="20"/>
  <c r="AD50" i="20"/>
  <c r="AC50" i="20"/>
  <c r="AA50" i="20"/>
  <c r="Z50" i="20"/>
  <c r="X50" i="20"/>
  <c r="W50" i="20"/>
  <c r="Y50" i="20" s="1"/>
  <c r="T50" i="20"/>
  <c r="S50" i="20"/>
  <c r="V50" i="20" s="1"/>
  <c r="R50" i="20"/>
  <c r="Q50" i="20"/>
  <c r="P50" i="20"/>
  <c r="N50" i="20"/>
  <c r="J50" i="20"/>
  <c r="D50" i="20"/>
  <c r="M50" i="20" s="1"/>
  <c r="C50" i="20"/>
  <c r="K50" i="20" s="1"/>
  <c r="AJ49" i="20"/>
  <c r="AH49" i="20"/>
  <c r="AG49" i="20"/>
  <c r="AF49" i="20"/>
  <c r="AD49" i="20"/>
  <c r="AC49" i="20"/>
  <c r="AA49" i="20"/>
  <c r="Z49" i="20"/>
  <c r="X49" i="20"/>
  <c r="W49" i="20"/>
  <c r="Y49" i="20" s="1"/>
  <c r="T49" i="20"/>
  <c r="S49" i="20"/>
  <c r="V49" i="20" s="1"/>
  <c r="R49" i="20"/>
  <c r="Q49" i="20"/>
  <c r="P49" i="20"/>
  <c r="N49" i="20"/>
  <c r="M49" i="20"/>
  <c r="J49" i="20"/>
  <c r="D49" i="20"/>
  <c r="C49" i="20"/>
  <c r="K49" i="20" s="1"/>
  <c r="AJ48" i="20"/>
  <c r="AH48" i="20"/>
  <c r="AG48" i="20"/>
  <c r="AF48" i="20"/>
  <c r="AD48" i="20"/>
  <c r="AC48" i="20"/>
  <c r="AA48" i="20"/>
  <c r="Z48" i="20"/>
  <c r="X48" i="20"/>
  <c r="W48" i="20"/>
  <c r="Y48" i="20" s="1"/>
  <c r="T48" i="20"/>
  <c r="S48" i="20"/>
  <c r="V48" i="20" s="1"/>
  <c r="R48" i="20"/>
  <c r="Q48" i="20"/>
  <c r="P48" i="20"/>
  <c r="N48" i="20"/>
  <c r="M48" i="20"/>
  <c r="K48" i="20"/>
  <c r="J48" i="20"/>
  <c r="D48" i="20"/>
  <c r="C48" i="20"/>
  <c r="AJ47" i="20"/>
  <c r="AH47" i="20"/>
  <c r="AG47" i="20"/>
  <c r="AF47" i="20"/>
  <c r="AD47" i="20"/>
  <c r="AC47" i="20"/>
  <c r="AA47" i="20"/>
  <c r="Z47" i="20"/>
  <c r="X47" i="20"/>
  <c r="W47" i="20"/>
  <c r="Y47" i="20" s="1"/>
  <c r="T47" i="20"/>
  <c r="S47" i="20"/>
  <c r="V47" i="20" s="1"/>
  <c r="R47" i="20"/>
  <c r="Q47" i="20"/>
  <c r="P47" i="20"/>
  <c r="N47" i="20"/>
  <c r="J47" i="20"/>
  <c r="D47" i="20"/>
  <c r="M47" i="20" s="1"/>
  <c r="AJ46" i="20"/>
  <c r="AH46" i="20"/>
  <c r="AG46" i="20"/>
  <c r="AF46" i="20"/>
  <c r="AD46" i="20"/>
  <c r="AC46" i="20"/>
  <c r="AA46" i="20"/>
  <c r="Z46" i="20"/>
  <c r="X46" i="20"/>
  <c r="W46" i="20"/>
  <c r="Y46" i="20" s="1"/>
  <c r="T46" i="20"/>
  <c r="S46" i="20"/>
  <c r="V46" i="20" s="1"/>
  <c r="R46" i="20"/>
  <c r="Q46" i="20"/>
  <c r="P46" i="20"/>
  <c r="N46" i="20"/>
  <c r="J46" i="20"/>
  <c r="D46" i="20"/>
  <c r="AJ45" i="20"/>
  <c r="AH45" i="20"/>
  <c r="AG45" i="20"/>
  <c r="AF45" i="20"/>
  <c r="AD45" i="20"/>
  <c r="AC45" i="20"/>
  <c r="AA45" i="20"/>
  <c r="Z45" i="20"/>
  <c r="X45" i="20"/>
  <c r="W45" i="20"/>
  <c r="Y45" i="20" s="1"/>
  <c r="T45" i="20"/>
  <c r="S45" i="20"/>
  <c r="V45" i="20" s="1"/>
  <c r="R45" i="20"/>
  <c r="Q45" i="20"/>
  <c r="P45" i="20"/>
  <c r="N45" i="20"/>
  <c r="M45" i="20"/>
  <c r="K45" i="20"/>
  <c r="J45" i="20"/>
  <c r="D45" i="20"/>
  <c r="C45" i="20"/>
  <c r="AJ44" i="20"/>
  <c r="AH44" i="20"/>
  <c r="AG44" i="20"/>
  <c r="AF44" i="20"/>
  <c r="AD44" i="20"/>
  <c r="AC44" i="20"/>
  <c r="AA44" i="20"/>
  <c r="Z44" i="20"/>
  <c r="X44" i="20"/>
  <c r="W44" i="20"/>
  <c r="Y44" i="20" s="1"/>
  <c r="T44" i="20"/>
  <c r="S44" i="20"/>
  <c r="V44" i="20" s="1"/>
  <c r="R44" i="20"/>
  <c r="Q44" i="20"/>
  <c r="P44" i="20"/>
  <c r="N44" i="20"/>
  <c r="K44" i="20"/>
  <c r="J44" i="20"/>
  <c r="D44" i="20"/>
  <c r="C44" i="20" s="1"/>
  <c r="AJ43" i="20"/>
  <c r="AH43" i="20"/>
  <c r="AG43" i="20"/>
  <c r="AF43" i="20"/>
  <c r="AD43" i="20"/>
  <c r="AC43" i="20"/>
  <c r="AA43" i="20"/>
  <c r="Z43" i="20"/>
  <c r="X43" i="20"/>
  <c r="W43" i="20"/>
  <c r="Y43" i="20" s="1"/>
  <c r="T43" i="20"/>
  <c r="S43" i="20"/>
  <c r="V43" i="20" s="1"/>
  <c r="R43" i="20"/>
  <c r="Q43" i="20"/>
  <c r="P43" i="20"/>
  <c r="N43" i="20"/>
  <c r="J43" i="20"/>
  <c r="D43" i="20"/>
  <c r="M43" i="20" s="1"/>
  <c r="C43" i="20"/>
  <c r="K43" i="20" s="1"/>
  <c r="AJ42" i="20"/>
  <c r="AH42" i="20"/>
  <c r="AG42" i="20"/>
  <c r="AF42" i="20"/>
  <c r="AD42" i="20"/>
  <c r="AC42" i="20"/>
  <c r="AA42" i="20"/>
  <c r="Z42" i="20"/>
  <c r="X42" i="20"/>
  <c r="W42" i="20"/>
  <c r="Y42" i="20" s="1"/>
  <c r="T42" i="20"/>
  <c r="S42" i="20"/>
  <c r="V42" i="20" s="1"/>
  <c r="R42" i="20"/>
  <c r="Q42" i="20"/>
  <c r="P42" i="20"/>
  <c r="N42" i="20"/>
  <c r="M42" i="20"/>
  <c r="J42" i="20"/>
  <c r="D42" i="20"/>
  <c r="C42" i="20"/>
  <c r="K42" i="20" s="1"/>
  <c r="AJ41" i="20"/>
  <c r="AH41" i="20"/>
  <c r="AG41" i="20"/>
  <c r="AF41" i="20"/>
  <c r="AD41" i="20"/>
  <c r="AC41" i="20"/>
  <c r="AA41" i="20"/>
  <c r="Z41" i="20"/>
  <c r="X41" i="20"/>
  <c r="W41" i="20"/>
  <c r="Y41" i="20" s="1"/>
  <c r="T41" i="20"/>
  <c r="S41" i="20"/>
  <c r="V41" i="20" s="1"/>
  <c r="R41" i="20"/>
  <c r="Q41" i="20"/>
  <c r="P41" i="20"/>
  <c r="N41" i="20"/>
  <c r="M41" i="20"/>
  <c r="K41" i="20"/>
  <c r="J41" i="20"/>
  <c r="D41" i="20"/>
  <c r="C41" i="20"/>
  <c r="AJ40" i="20"/>
  <c r="AH40" i="20"/>
  <c r="AG40" i="20"/>
  <c r="AF40" i="20"/>
  <c r="AD40" i="20"/>
  <c r="AC40" i="20"/>
  <c r="AA40" i="20"/>
  <c r="Z40" i="20"/>
  <c r="X40" i="20"/>
  <c r="W40" i="20"/>
  <c r="Y40" i="20" s="1"/>
  <c r="T40" i="20"/>
  <c r="S40" i="20"/>
  <c r="V40" i="20" s="1"/>
  <c r="R40" i="20"/>
  <c r="Q40" i="20"/>
  <c r="P40" i="20"/>
  <c r="N40" i="20"/>
  <c r="J40" i="20"/>
  <c r="D40" i="20"/>
  <c r="AJ39" i="20"/>
  <c r="AH39" i="20"/>
  <c r="AG39" i="20"/>
  <c r="AF39" i="20"/>
  <c r="AD39" i="20"/>
  <c r="AC39" i="20"/>
  <c r="AA39" i="20"/>
  <c r="Z39" i="20"/>
  <c r="X39" i="20"/>
  <c r="W39" i="20"/>
  <c r="Y39" i="20" s="1"/>
  <c r="T39" i="20"/>
  <c r="S39" i="20"/>
  <c r="V39" i="20" s="1"/>
  <c r="R39" i="20"/>
  <c r="Q39" i="20"/>
  <c r="P39" i="20"/>
  <c r="N39" i="20"/>
  <c r="M39" i="20"/>
  <c r="J39" i="20"/>
  <c r="D39" i="20"/>
  <c r="C39" i="20"/>
  <c r="K39" i="20" s="1"/>
  <c r="AJ38" i="20"/>
  <c r="AH38" i="20"/>
  <c r="AG38" i="20"/>
  <c r="AF38" i="20"/>
  <c r="AD38" i="20"/>
  <c r="AC38" i="20"/>
  <c r="AA38" i="20"/>
  <c r="Z38" i="20"/>
  <c r="X38" i="20"/>
  <c r="W38" i="20"/>
  <c r="Y38" i="20" s="1"/>
  <c r="T38" i="20"/>
  <c r="S38" i="20"/>
  <c r="V38" i="20" s="1"/>
  <c r="R38" i="20"/>
  <c r="Q38" i="20"/>
  <c r="P38" i="20"/>
  <c r="N38" i="20"/>
  <c r="M38" i="20"/>
  <c r="K38" i="20"/>
  <c r="J38" i="20"/>
  <c r="D38" i="20"/>
  <c r="C38" i="20"/>
  <c r="AJ37" i="20"/>
  <c r="AH37" i="20"/>
  <c r="AG37" i="20"/>
  <c r="AF37" i="20"/>
  <c r="AD37" i="20"/>
  <c r="AC37" i="20"/>
  <c r="AA37" i="20"/>
  <c r="Z37" i="20"/>
  <c r="X37" i="20"/>
  <c r="W37" i="20"/>
  <c r="Y37" i="20" s="1"/>
  <c r="T37" i="20"/>
  <c r="S37" i="20"/>
  <c r="V37" i="20" s="1"/>
  <c r="R37" i="20"/>
  <c r="Q37" i="20"/>
  <c r="P37" i="20"/>
  <c r="N37" i="20"/>
  <c r="J37" i="20"/>
  <c r="D37" i="20"/>
  <c r="AJ36" i="20"/>
  <c r="AH36" i="20"/>
  <c r="AG36" i="20"/>
  <c r="AF36" i="20"/>
  <c r="AD36" i="20"/>
  <c r="AC36" i="20"/>
  <c r="AA36" i="20"/>
  <c r="Z36" i="20"/>
  <c r="X36" i="20"/>
  <c r="W36" i="20"/>
  <c r="Y36" i="20" s="1"/>
  <c r="T36" i="20"/>
  <c r="S36" i="20"/>
  <c r="V36" i="20" s="1"/>
  <c r="R36" i="20"/>
  <c r="Q36" i="20"/>
  <c r="P36" i="20"/>
  <c r="N36" i="20"/>
  <c r="M36" i="20"/>
  <c r="J36" i="20"/>
  <c r="D36" i="20"/>
  <c r="C36" i="20"/>
  <c r="K36" i="20" s="1"/>
  <c r="AJ35" i="20"/>
  <c r="AH35" i="20"/>
  <c r="AG35" i="20"/>
  <c r="AF35" i="20"/>
  <c r="AD35" i="20"/>
  <c r="AC35" i="20"/>
  <c r="AA35" i="20"/>
  <c r="Z35" i="20"/>
  <c r="X35" i="20"/>
  <c r="W35" i="20"/>
  <c r="Y35" i="20" s="1"/>
  <c r="T35" i="20"/>
  <c r="S35" i="20"/>
  <c r="V35" i="20" s="1"/>
  <c r="R35" i="20"/>
  <c r="Q35" i="20"/>
  <c r="P35" i="20"/>
  <c r="N35" i="20"/>
  <c r="M35" i="20"/>
  <c r="K35" i="20"/>
  <c r="J35" i="20"/>
  <c r="D35" i="20"/>
  <c r="C35" i="20"/>
  <c r="AJ34" i="20"/>
  <c r="AH34" i="20"/>
  <c r="AG34" i="20"/>
  <c r="AK34" i="20" s="1"/>
  <c r="AF34" i="20"/>
  <c r="AI34" i="20" s="1"/>
  <c r="AD34" i="20"/>
  <c r="AC34" i="20"/>
  <c r="AE34" i="20" s="1"/>
  <c r="AA34" i="20"/>
  <c r="Z34" i="20"/>
  <c r="AB34" i="20" s="1"/>
  <c r="X34" i="20"/>
  <c r="W34" i="20"/>
  <c r="T34" i="20"/>
  <c r="S34" i="20"/>
  <c r="V34" i="20" s="1"/>
  <c r="R34" i="20"/>
  <c r="U34" i="20" s="1"/>
  <c r="Q34" i="20"/>
  <c r="P34" i="20"/>
  <c r="N34" i="20"/>
  <c r="J34" i="20"/>
  <c r="D34" i="20"/>
  <c r="AJ33" i="20"/>
  <c r="AH33" i="20"/>
  <c r="AG33" i="20"/>
  <c r="AF33" i="20"/>
  <c r="AD33" i="20"/>
  <c r="AC33" i="20"/>
  <c r="AA33" i="20"/>
  <c r="Z33" i="20"/>
  <c r="X33" i="20"/>
  <c r="W33" i="20"/>
  <c r="Y33" i="20" s="1"/>
  <c r="T33" i="20"/>
  <c r="S33" i="20"/>
  <c r="V33" i="20" s="1"/>
  <c r="R33" i="20"/>
  <c r="Q33" i="20"/>
  <c r="P33" i="20"/>
  <c r="N33" i="20"/>
  <c r="M33" i="20"/>
  <c r="J33" i="20"/>
  <c r="D33" i="20"/>
  <c r="C33" i="20"/>
  <c r="K33" i="20" s="1"/>
  <c r="AJ32" i="20"/>
  <c r="AH32" i="20"/>
  <c r="AG32" i="20"/>
  <c r="AF32" i="20"/>
  <c r="AD32" i="20"/>
  <c r="AC32" i="20"/>
  <c r="AA32" i="20"/>
  <c r="Z32" i="20"/>
  <c r="X32" i="20"/>
  <c r="W32" i="20"/>
  <c r="Y32" i="20" s="1"/>
  <c r="T32" i="20"/>
  <c r="S32" i="20"/>
  <c r="R32" i="20"/>
  <c r="Q32" i="20"/>
  <c r="P32" i="20"/>
  <c r="N32" i="20"/>
  <c r="M32" i="20"/>
  <c r="K32" i="20"/>
  <c r="J32" i="20"/>
  <c r="D32" i="20"/>
  <c r="C32" i="20"/>
  <c r="Q31" i="20"/>
  <c r="P31" i="20"/>
  <c r="O31" i="20"/>
  <c r="L31" i="20"/>
  <c r="J31" i="20"/>
  <c r="I31" i="20"/>
  <c r="H31" i="20"/>
  <c r="N31" i="20" s="1"/>
  <c r="G31" i="20"/>
  <c r="F31" i="20"/>
  <c r="E31" i="20"/>
  <c r="AJ30" i="20"/>
  <c r="AH30" i="20"/>
  <c r="AG30" i="20"/>
  <c r="AF30" i="20"/>
  <c r="AD30" i="20"/>
  <c r="AC30" i="20"/>
  <c r="AA30" i="20"/>
  <c r="Z30" i="20"/>
  <c r="X30" i="20"/>
  <c r="W30" i="20"/>
  <c r="Y30" i="20" s="1"/>
  <c r="T30" i="20"/>
  <c r="S30" i="20"/>
  <c r="V30" i="20" s="1"/>
  <c r="R30" i="20"/>
  <c r="Q30" i="20"/>
  <c r="P30" i="20"/>
  <c r="N30" i="20"/>
  <c r="J30" i="20"/>
  <c r="D30" i="20"/>
  <c r="M30" i="20" s="1"/>
  <c r="C30" i="20"/>
  <c r="K30" i="20" s="1"/>
  <c r="AJ29" i="20"/>
  <c r="AH29" i="20"/>
  <c r="AG29" i="20"/>
  <c r="AF29" i="20"/>
  <c r="AD29" i="20"/>
  <c r="AC29" i="20"/>
  <c r="AA29" i="20"/>
  <c r="Z29" i="20"/>
  <c r="X29" i="20"/>
  <c r="W29" i="20"/>
  <c r="Y29" i="20" s="1"/>
  <c r="T29" i="20"/>
  <c r="S29" i="20"/>
  <c r="V29" i="20" s="1"/>
  <c r="R29" i="20"/>
  <c r="Q29" i="20"/>
  <c r="P29" i="20"/>
  <c r="N29" i="20"/>
  <c r="M29" i="20"/>
  <c r="J29" i="20"/>
  <c r="D29" i="20"/>
  <c r="C29" i="20" s="1"/>
  <c r="K29" i="20" s="1"/>
  <c r="AJ28" i="20"/>
  <c r="AH28" i="20"/>
  <c r="AG28" i="20"/>
  <c r="AF28" i="20"/>
  <c r="AD28" i="20"/>
  <c r="AC28" i="20"/>
  <c r="AA28" i="20"/>
  <c r="Z28" i="20"/>
  <c r="X28" i="20"/>
  <c r="W28" i="20"/>
  <c r="Y28" i="20" s="1"/>
  <c r="T28" i="20"/>
  <c r="S28" i="20"/>
  <c r="V28" i="20" s="1"/>
  <c r="R28" i="20"/>
  <c r="Q28" i="20"/>
  <c r="P28" i="20"/>
  <c r="N28" i="20"/>
  <c r="J28" i="20"/>
  <c r="D28" i="20"/>
  <c r="AJ27" i="20"/>
  <c r="AH27" i="20"/>
  <c r="AG27" i="20"/>
  <c r="AF27" i="20"/>
  <c r="AD27" i="20"/>
  <c r="AC27" i="20"/>
  <c r="AA27" i="20"/>
  <c r="Z27" i="20"/>
  <c r="X27" i="20"/>
  <c r="W27" i="20"/>
  <c r="Y27" i="20" s="1"/>
  <c r="T27" i="20"/>
  <c r="S27" i="20"/>
  <c r="V27" i="20" s="1"/>
  <c r="R27" i="20"/>
  <c r="Q27" i="20"/>
  <c r="P27" i="20"/>
  <c r="N27" i="20"/>
  <c r="J27" i="20"/>
  <c r="D27" i="20"/>
  <c r="M27" i="20" s="1"/>
  <c r="C27" i="20"/>
  <c r="K27" i="20" s="1"/>
  <c r="AJ26" i="20"/>
  <c r="AH26" i="20"/>
  <c r="AG26" i="20"/>
  <c r="AF26" i="20"/>
  <c r="AD26" i="20"/>
  <c r="AC26" i="20"/>
  <c r="AA26" i="20"/>
  <c r="Z26" i="20"/>
  <c r="X26" i="20"/>
  <c r="W26" i="20"/>
  <c r="Y26" i="20" s="1"/>
  <c r="T26" i="20"/>
  <c r="S26" i="20"/>
  <c r="V26" i="20" s="1"/>
  <c r="R26" i="20"/>
  <c r="Q26" i="20"/>
  <c r="P26" i="20"/>
  <c r="N26" i="20"/>
  <c r="M26" i="20"/>
  <c r="K26" i="20"/>
  <c r="J26" i="20"/>
  <c r="D26" i="20"/>
  <c r="C26" i="20" s="1"/>
  <c r="AJ25" i="20"/>
  <c r="AH25" i="20"/>
  <c r="AG25" i="20"/>
  <c r="AF25" i="20"/>
  <c r="AD25" i="20"/>
  <c r="AC25" i="20"/>
  <c r="AA25" i="20"/>
  <c r="Z25" i="20"/>
  <c r="X25" i="20"/>
  <c r="W25" i="20"/>
  <c r="Y25" i="20" s="1"/>
  <c r="T25" i="20"/>
  <c r="S25" i="20"/>
  <c r="V25" i="20" s="1"/>
  <c r="R25" i="20"/>
  <c r="Q25" i="20"/>
  <c r="P25" i="20"/>
  <c r="N25" i="20"/>
  <c r="J25" i="20"/>
  <c r="D25" i="20"/>
  <c r="AJ24" i="20"/>
  <c r="AH24" i="20"/>
  <c r="AG24" i="20"/>
  <c r="AF24" i="20"/>
  <c r="AD24" i="20"/>
  <c r="AC24" i="20"/>
  <c r="AA24" i="20"/>
  <c r="Z24" i="20"/>
  <c r="X24" i="20"/>
  <c r="W24" i="20"/>
  <c r="Y24" i="20" s="1"/>
  <c r="T24" i="20"/>
  <c r="S24" i="20"/>
  <c r="V24" i="20" s="1"/>
  <c r="R24" i="20"/>
  <c r="Q24" i="20"/>
  <c r="P24" i="20"/>
  <c r="N24" i="20"/>
  <c r="J24" i="20"/>
  <c r="D24" i="20"/>
  <c r="M24" i="20" s="1"/>
  <c r="C24" i="20"/>
  <c r="K24" i="20" s="1"/>
  <c r="AJ23" i="20"/>
  <c r="AH23" i="20"/>
  <c r="AG23" i="20"/>
  <c r="AF23" i="20"/>
  <c r="AD23" i="20"/>
  <c r="AC23" i="20"/>
  <c r="AA23" i="20"/>
  <c r="Z23" i="20"/>
  <c r="X23" i="20"/>
  <c r="W23" i="20"/>
  <c r="Y23" i="20" s="1"/>
  <c r="T23" i="20"/>
  <c r="S23" i="20"/>
  <c r="V23" i="20" s="1"/>
  <c r="R23" i="20"/>
  <c r="Q23" i="20"/>
  <c r="P23" i="20"/>
  <c r="N23" i="20"/>
  <c r="M23" i="20"/>
  <c r="K23" i="20"/>
  <c r="J23" i="20"/>
  <c r="D23" i="20"/>
  <c r="C23" i="20" s="1"/>
  <c r="AJ22" i="20"/>
  <c r="AH22" i="20"/>
  <c r="AG22" i="20"/>
  <c r="AK22" i="20" s="1"/>
  <c r="AF22" i="20"/>
  <c r="AI22" i="20" s="1"/>
  <c r="AD22" i="20"/>
  <c r="AC22" i="20"/>
  <c r="AE22" i="20" s="1"/>
  <c r="AA22" i="20"/>
  <c r="Z22" i="20"/>
  <c r="AB22" i="20" s="1"/>
  <c r="X22" i="20"/>
  <c r="W22" i="20"/>
  <c r="Y22" i="20" s="1"/>
  <c r="T22" i="20"/>
  <c r="S22" i="20"/>
  <c r="V22" i="20" s="1"/>
  <c r="R22" i="20"/>
  <c r="U22" i="20" s="1"/>
  <c r="Q22" i="20"/>
  <c r="P22" i="20"/>
  <c r="N22" i="20"/>
  <c r="J22" i="20"/>
  <c r="D22" i="20"/>
  <c r="AJ21" i="20"/>
  <c r="AH21" i="20"/>
  <c r="AG21" i="20"/>
  <c r="AF21" i="20"/>
  <c r="AD21" i="20"/>
  <c r="AC21" i="20"/>
  <c r="AA21" i="20"/>
  <c r="Z21" i="20"/>
  <c r="X21" i="20"/>
  <c r="W21" i="20"/>
  <c r="Y21" i="20" s="1"/>
  <c r="T21" i="20"/>
  <c r="S21" i="20"/>
  <c r="V21" i="20" s="1"/>
  <c r="R21" i="20"/>
  <c r="Q21" i="20"/>
  <c r="P21" i="20"/>
  <c r="N21" i="20"/>
  <c r="J21" i="20"/>
  <c r="D21" i="20"/>
  <c r="M21" i="20" s="1"/>
  <c r="C21" i="20"/>
  <c r="K21" i="20" s="1"/>
  <c r="AJ20" i="20"/>
  <c r="AH20" i="20"/>
  <c r="AG20" i="20"/>
  <c r="AF20" i="20"/>
  <c r="AD20" i="20"/>
  <c r="AC20" i="20"/>
  <c r="AA20" i="20"/>
  <c r="Z20" i="20"/>
  <c r="X20" i="20"/>
  <c r="W20" i="20"/>
  <c r="Y20" i="20" s="1"/>
  <c r="T20" i="20"/>
  <c r="S20" i="20"/>
  <c r="V20" i="20" s="1"/>
  <c r="R20" i="20"/>
  <c r="Q20" i="20"/>
  <c r="P20" i="20"/>
  <c r="N20" i="20"/>
  <c r="M20" i="20"/>
  <c r="K20" i="20"/>
  <c r="J20" i="20"/>
  <c r="D20" i="20"/>
  <c r="C20" i="20" s="1"/>
  <c r="AJ19" i="20"/>
  <c r="AH19" i="20"/>
  <c r="AG19" i="20"/>
  <c r="AF19" i="20"/>
  <c r="AD19" i="20"/>
  <c r="AC19" i="20"/>
  <c r="AA19" i="20"/>
  <c r="Z19" i="20"/>
  <c r="X19" i="20"/>
  <c r="W19" i="20"/>
  <c r="Y19" i="20" s="1"/>
  <c r="T19" i="20"/>
  <c r="S19" i="20"/>
  <c r="V19" i="20" s="1"/>
  <c r="R19" i="20"/>
  <c r="Q19" i="20"/>
  <c r="P19" i="20"/>
  <c r="N19" i="20"/>
  <c r="J19" i="20"/>
  <c r="D19" i="20"/>
  <c r="AJ18" i="20"/>
  <c r="AH18" i="20"/>
  <c r="AG18" i="20"/>
  <c r="AF18" i="20"/>
  <c r="AD18" i="20"/>
  <c r="AC18" i="20"/>
  <c r="AA18" i="20"/>
  <c r="Z18" i="20"/>
  <c r="X18" i="20"/>
  <c r="W18" i="20"/>
  <c r="Y18" i="20" s="1"/>
  <c r="T18" i="20"/>
  <c r="S18" i="20"/>
  <c r="V18" i="20" s="1"/>
  <c r="R18" i="20"/>
  <c r="Q18" i="20"/>
  <c r="P18" i="20"/>
  <c r="N18" i="20"/>
  <c r="M18" i="20"/>
  <c r="J18" i="20"/>
  <c r="D18" i="20"/>
  <c r="C18" i="20"/>
  <c r="K18" i="20" s="1"/>
  <c r="AJ17" i="20"/>
  <c r="AH17" i="20"/>
  <c r="AG17" i="20"/>
  <c r="AK17" i="20" s="1"/>
  <c r="AF17" i="20"/>
  <c r="AI17" i="20" s="1"/>
  <c r="AD17" i="20"/>
  <c r="AC17" i="20"/>
  <c r="AE17" i="20" s="1"/>
  <c r="AA17" i="20"/>
  <c r="Z17" i="20"/>
  <c r="AB17" i="20" s="1"/>
  <c r="X17" i="20"/>
  <c r="W17" i="20"/>
  <c r="Y17" i="20" s="1"/>
  <c r="T17" i="20"/>
  <c r="S17" i="20"/>
  <c r="V17" i="20" s="1"/>
  <c r="R17" i="20"/>
  <c r="U17" i="20" s="1"/>
  <c r="Q17" i="20"/>
  <c r="P17" i="20"/>
  <c r="N17" i="20"/>
  <c r="M17" i="20"/>
  <c r="K17" i="20"/>
  <c r="J17" i="20"/>
  <c r="D17" i="20"/>
  <c r="C17" i="20"/>
  <c r="AJ16" i="20"/>
  <c r="AH16" i="20"/>
  <c r="AG16" i="20"/>
  <c r="AF16" i="20"/>
  <c r="AD16" i="20"/>
  <c r="AC16" i="20"/>
  <c r="AA16" i="20"/>
  <c r="Z16" i="20"/>
  <c r="X16" i="20"/>
  <c r="W16" i="20"/>
  <c r="T16" i="20"/>
  <c r="S16" i="20"/>
  <c r="V16" i="20" s="1"/>
  <c r="R16" i="20"/>
  <c r="Q16" i="20"/>
  <c r="P16" i="20"/>
  <c r="N16" i="20"/>
  <c r="J16" i="20"/>
  <c r="D16" i="20"/>
  <c r="AJ15" i="20"/>
  <c r="AH15" i="20"/>
  <c r="AG15" i="20"/>
  <c r="AF15" i="20"/>
  <c r="AD15" i="20"/>
  <c r="AC15" i="20"/>
  <c r="AA15" i="20"/>
  <c r="Z15" i="20"/>
  <c r="X15" i="20"/>
  <c r="W15" i="20"/>
  <c r="Y15" i="20" s="1"/>
  <c r="T15" i="20"/>
  <c r="S15" i="20"/>
  <c r="V15" i="20" s="1"/>
  <c r="R15" i="20"/>
  <c r="Q15" i="20"/>
  <c r="P15" i="20"/>
  <c r="N15" i="20"/>
  <c r="J15" i="20"/>
  <c r="D15" i="20"/>
  <c r="M15" i="20" s="1"/>
  <c r="C15" i="20"/>
  <c r="K15" i="20" s="1"/>
  <c r="AJ14" i="20"/>
  <c r="AH14" i="20"/>
  <c r="AG14" i="20"/>
  <c r="AF14" i="20"/>
  <c r="AD14" i="20"/>
  <c r="AC14" i="20"/>
  <c r="AA14" i="20"/>
  <c r="Z14" i="20"/>
  <c r="X14" i="20"/>
  <c r="W14" i="20"/>
  <c r="Y14" i="20" s="1"/>
  <c r="T14" i="20"/>
  <c r="S14" i="20"/>
  <c r="R14" i="20"/>
  <c r="Q14" i="20"/>
  <c r="P14" i="20"/>
  <c r="N14" i="20"/>
  <c r="M14" i="20"/>
  <c r="K14" i="20"/>
  <c r="J14" i="20"/>
  <c r="D14" i="20"/>
  <c r="C14" i="20"/>
  <c r="Q13" i="20"/>
  <c r="O13" i="20"/>
  <c r="L13" i="20"/>
  <c r="I13" i="20"/>
  <c r="H13" i="20"/>
  <c r="N13" i="20" s="1"/>
  <c r="G13" i="20"/>
  <c r="P13" i="20" s="1"/>
  <c r="F13" i="20"/>
  <c r="F8" i="20" s="1"/>
  <c r="E13" i="20"/>
  <c r="E8" i="20" s="1"/>
  <c r="E7" i="20" s="1"/>
  <c r="AK9" i="20"/>
  <c r="T9" i="20"/>
  <c r="S9" i="20"/>
  <c r="V9" i="20" s="1"/>
  <c r="R9" i="20"/>
  <c r="O9" i="20"/>
  <c r="L9" i="20"/>
  <c r="I9" i="20"/>
  <c r="H9" i="20"/>
  <c r="N9" i="20" s="1"/>
  <c r="G9" i="20"/>
  <c r="P9" i="20" s="1"/>
  <c r="F9" i="20"/>
  <c r="E9" i="20"/>
  <c r="D9" i="20"/>
  <c r="M9" i="20" s="1"/>
  <c r="C9" i="20"/>
  <c r="K9" i="20" s="1"/>
  <c r="P8" i="20"/>
  <c r="O8" i="20"/>
  <c r="I8" i="20"/>
  <c r="Q8" i="20" s="1"/>
  <c r="H8" i="20"/>
  <c r="G8" i="20"/>
  <c r="G7" i="20"/>
  <c r="P7" i="20" s="1"/>
  <c r="F7" i="20"/>
  <c r="V106" i="19"/>
  <c r="U106" i="19"/>
  <c r="Q106" i="19"/>
  <c r="P106" i="19"/>
  <c r="N106" i="19"/>
  <c r="M106" i="19"/>
  <c r="J106" i="19"/>
  <c r="D106" i="19"/>
  <c r="C106" i="19" s="1"/>
  <c r="K106" i="19" s="1"/>
  <c r="V105" i="19"/>
  <c r="U105" i="19"/>
  <c r="Q105" i="19"/>
  <c r="P105" i="19"/>
  <c r="N105" i="19"/>
  <c r="J105" i="19"/>
  <c r="D105" i="19"/>
  <c r="M105" i="19" s="1"/>
  <c r="C105" i="19"/>
  <c r="K105" i="19" s="1"/>
  <c r="V104" i="19"/>
  <c r="U104" i="19"/>
  <c r="Q104" i="19"/>
  <c r="P104" i="19"/>
  <c r="N104" i="19"/>
  <c r="M104" i="19"/>
  <c r="K104" i="19"/>
  <c r="J104" i="19"/>
  <c r="D104" i="19"/>
  <c r="C104" i="19"/>
  <c r="V103" i="19"/>
  <c r="U103" i="19"/>
  <c r="Q103" i="19"/>
  <c r="P103" i="19"/>
  <c r="N103" i="19"/>
  <c r="J103" i="19"/>
  <c r="D103" i="19"/>
  <c r="V102" i="19"/>
  <c r="U102" i="19"/>
  <c r="Q102" i="19"/>
  <c r="P102" i="19"/>
  <c r="N102" i="19"/>
  <c r="J102" i="19"/>
  <c r="D102" i="19"/>
  <c r="M102" i="19" s="1"/>
  <c r="C102" i="19"/>
  <c r="K102" i="19" s="1"/>
  <c r="V101" i="19"/>
  <c r="U101" i="19"/>
  <c r="Q101" i="19"/>
  <c r="P101" i="19"/>
  <c r="N101" i="19"/>
  <c r="M101" i="19"/>
  <c r="J101" i="19"/>
  <c r="D101" i="19"/>
  <c r="C101" i="19"/>
  <c r="K101" i="19" s="1"/>
  <c r="V100" i="19"/>
  <c r="U100" i="19"/>
  <c r="Q100" i="19"/>
  <c r="P100" i="19"/>
  <c r="N100" i="19"/>
  <c r="M100" i="19"/>
  <c r="J100" i="19"/>
  <c r="D100" i="19"/>
  <c r="C100" i="19" s="1"/>
  <c r="K100" i="19" s="1"/>
  <c r="V99" i="19"/>
  <c r="U99" i="19"/>
  <c r="Q99" i="19"/>
  <c r="P99" i="19"/>
  <c r="N99" i="19"/>
  <c r="M99" i="19"/>
  <c r="J99" i="19"/>
  <c r="D99" i="19"/>
  <c r="C99" i="19"/>
  <c r="K99" i="19" s="1"/>
  <c r="V98" i="19"/>
  <c r="U98" i="19"/>
  <c r="Q98" i="19"/>
  <c r="P98" i="19"/>
  <c r="N98" i="19"/>
  <c r="J98" i="19"/>
  <c r="D98" i="19"/>
  <c r="M98" i="19" s="1"/>
  <c r="C98" i="19"/>
  <c r="K98" i="19" s="1"/>
  <c r="V97" i="19"/>
  <c r="U97" i="19"/>
  <c r="Q97" i="19"/>
  <c r="P97" i="19"/>
  <c r="N97" i="19"/>
  <c r="M97" i="19"/>
  <c r="J97" i="19"/>
  <c r="D97" i="19"/>
  <c r="C97" i="19"/>
  <c r="K97" i="19" s="1"/>
  <c r="V96" i="19"/>
  <c r="U96" i="19"/>
  <c r="Q96" i="19"/>
  <c r="P96" i="19"/>
  <c r="N96" i="19"/>
  <c r="M96" i="19"/>
  <c r="K96" i="19"/>
  <c r="J96" i="19"/>
  <c r="D96" i="19"/>
  <c r="C96" i="19"/>
  <c r="V95" i="19"/>
  <c r="U95" i="19"/>
  <c r="Q95" i="19"/>
  <c r="P95" i="19"/>
  <c r="N95" i="19"/>
  <c r="J95" i="19"/>
  <c r="D95" i="19"/>
  <c r="M95" i="19" s="1"/>
  <c r="C95" i="19"/>
  <c r="K95" i="19" s="1"/>
  <c r="V94" i="19"/>
  <c r="U94" i="19"/>
  <c r="Q94" i="19"/>
  <c r="P94" i="19"/>
  <c r="N94" i="19"/>
  <c r="J94" i="19"/>
  <c r="D94" i="19"/>
  <c r="V93" i="19"/>
  <c r="U93" i="19"/>
  <c r="Q93" i="19"/>
  <c r="P93" i="19"/>
  <c r="N93" i="19"/>
  <c r="M93" i="19"/>
  <c r="K93" i="19"/>
  <c r="J93" i="19"/>
  <c r="D93" i="19"/>
  <c r="C93" i="19"/>
  <c r="V92" i="19"/>
  <c r="U92" i="19"/>
  <c r="Q92" i="19"/>
  <c r="P92" i="19"/>
  <c r="N92" i="19"/>
  <c r="J92" i="19"/>
  <c r="J89" i="19" s="1"/>
  <c r="D92" i="19"/>
  <c r="M92" i="19" s="1"/>
  <c r="C92" i="19"/>
  <c r="K92" i="19" s="1"/>
  <c r="V91" i="19"/>
  <c r="U91" i="19"/>
  <c r="Q91" i="19"/>
  <c r="P91" i="19"/>
  <c r="N91" i="19"/>
  <c r="M91" i="19"/>
  <c r="J91" i="19"/>
  <c r="D91" i="19"/>
  <c r="D89" i="19" s="1"/>
  <c r="C91" i="19"/>
  <c r="K91" i="19" s="1"/>
  <c r="V90" i="19"/>
  <c r="U90" i="19"/>
  <c r="Q90" i="19"/>
  <c r="P90" i="19"/>
  <c r="N90" i="19"/>
  <c r="M90" i="19"/>
  <c r="K90" i="19"/>
  <c r="J90" i="19"/>
  <c r="D90" i="19"/>
  <c r="C90" i="19"/>
  <c r="V89" i="19"/>
  <c r="U89" i="19"/>
  <c r="T89" i="19"/>
  <c r="S89" i="19"/>
  <c r="R89" i="19"/>
  <c r="P89" i="19"/>
  <c r="O89" i="19"/>
  <c r="L89" i="19"/>
  <c r="I89" i="19"/>
  <c r="H89" i="19"/>
  <c r="G89" i="19"/>
  <c r="F89" i="19"/>
  <c r="E89" i="19"/>
  <c r="BB88" i="19"/>
  <c r="AZ88" i="19"/>
  <c r="AY88" i="19"/>
  <c r="AX88" i="19"/>
  <c r="AV88" i="19"/>
  <c r="AU88" i="19"/>
  <c r="AS88" i="19"/>
  <c r="AR88" i="19"/>
  <c r="AQ88" i="19"/>
  <c r="AO88" i="19"/>
  <c r="AN88" i="19"/>
  <c r="AM88" i="19"/>
  <c r="AK88" i="19"/>
  <c r="AJ88" i="19"/>
  <c r="AH88" i="19"/>
  <c r="AG88" i="19"/>
  <c r="AF88" i="19"/>
  <c r="AD88" i="19"/>
  <c r="AC88" i="19"/>
  <c r="AA88" i="19"/>
  <c r="Y88" i="19"/>
  <c r="X88" i="19"/>
  <c r="W88" i="19"/>
  <c r="T88" i="19"/>
  <c r="S88" i="19"/>
  <c r="V88" i="19" s="1"/>
  <c r="R88" i="19"/>
  <c r="Q88" i="19"/>
  <c r="P88" i="19"/>
  <c r="N88" i="19"/>
  <c r="J88" i="19"/>
  <c r="D88" i="19"/>
  <c r="C88" i="19" s="1"/>
  <c r="K88" i="19" s="1"/>
  <c r="BB87" i="19"/>
  <c r="AZ87" i="19"/>
  <c r="AY87" i="19"/>
  <c r="AX87" i="19"/>
  <c r="AV87" i="19"/>
  <c r="AU87" i="19"/>
  <c r="AS87" i="19"/>
  <c r="AR87" i="19"/>
  <c r="AQ87" i="19"/>
  <c r="AO87" i="19"/>
  <c r="AN87" i="19"/>
  <c r="AM87" i="19"/>
  <c r="AK87" i="19"/>
  <c r="AJ87" i="19"/>
  <c r="AH87" i="19"/>
  <c r="AG87" i="19"/>
  <c r="AF87" i="19"/>
  <c r="AD87" i="19"/>
  <c r="AC87" i="19"/>
  <c r="AA87" i="19"/>
  <c r="Y87" i="19"/>
  <c r="X87" i="19"/>
  <c r="W87" i="19"/>
  <c r="T87" i="19"/>
  <c r="S87" i="19"/>
  <c r="V87" i="19" s="1"/>
  <c r="R87" i="19"/>
  <c r="Q87" i="19"/>
  <c r="P87" i="19"/>
  <c r="N87" i="19"/>
  <c r="M87" i="19"/>
  <c r="J87" i="19"/>
  <c r="D87" i="19"/>
  <c r="C87" i="19"/>
  <c r="K87" i="19" s="1"/>
  <c r="BB86" i="19"/>
  <c r="AZ86" i="19"/>
  <c r="AY86" i="19"/>
  <c r="AX86" i="19"/>
  <c r="AV86" i="19"/>
  <c r="AU86" i="19"/>
  <c r="AS86" i="19"/>
  <c r="AR86" i="19"/>
  <c r="AQ86" i="19"/>
  <c r="AO86" i="19"/>
  <c r="AN86" i="19"/>
  <c r="AM86" i="19"/>
  <c r="AK86" i="19"/>
  <c r="AJ86" i="19"/>
  <c r="AH86" i="19"/>
  <c r="AG86" i="19"/>
  <c r="AF86" i="19"/>
  <c r="AD86" i="19"/>
  <c r="AC86" i="19"/>
  <c r="AA86" i="19"/>
  <c r="Y86" i="19"/>
  <c r="X86" i="19"/>
  <c r="W86" i="19"/>
  <c r="T86" i="19"/>
  <c r="S86" i="19"/>
  <c r="V86" i="19" s="1"/>
  <c r="R86" i="19"/>
  <c r="Q86" i="19"/>
  <c r="P86" i="19"/>
  <c r="N86" i="19"/>
  <c r="M86" i="19"/>
  <c r="J86" i="19"/>
  <c r="D86" i="19"/>
  <c r="C86" i="19" s="1"/>
  <c r="K86" i="19" s="1"/>
  <c r="BB85" i="19"/>
  <c r="AZ85" i="19"/>
  <c r="AY85" i="19"/>
  <c r="AX85" i="19"/>
  <c r="AV85" i="19"/>
  <c r="AU85" i="19"/>
  <c r="AS85" i="19"/>
  <c r="AR85" i="19"/>
  <c r="AQ85" i="19"/>
  <c r="AO85" i="19"/>
  <c r="AN85" i="19"/>
  <c r="AM85" i="19"/>
  <c r="AK85" i="19"/>
  <c r="AJ85" i="19"/>
  <c r="AH85" i="19"/>
  <c r="AG85" i="19"/>
  <c r="AF85" i="19"/>
  <c r="AD85" i="19"/>
  <c r="AC85" i="19"/>
  <c r="AA85" i="19"/>
  <c r="Y85" i="19"/>
  <c r="X85" i="19"/>
  <c r="W85" i="19"/>
  <c r="T85" i="19"/>
  <c r="S85" i="19"/>
  <c r="V85" i="19" s="1"/>
  <c r="R85" i="19"/>
  <c r="Q85" i="19"/>
  <c r="P85" i="19"/>
  <c r="N85" i="19"/>
  <c r="M85" i="19"/>
  <c r="J85" i="19"/>
  <c r="D85" i="19"/>
  <c r="C85" i="19"/>
  <c r="K85" i="19" s="1"/>
  <c r="BB84" i="19"/>
  <c r="AZ84" i="19"/>
  <c r="AY84" i="19"/>
  <c r="AX84" i="19"/>
  <c r="AV84" i="19"/>
  <c r="AU84" i="19"/>
  <c r="AS84" i="19"/>
  <c r="AR84" i="19"/>
  <c r="AQ84" i="19"/>
  <c r="AO84" i="19"/>
  <c r="AN84" i="19"/>
  <c r="AM84" i="19"/>
  <c r="AK84" i="19"/>
  <c r="AJ84" i="19"/>
  <c r="AH84" i="19"/>
  <c r="AG84" i="19"/>
  <c r="AF84" i="19"/>
  <c r="AD84" i="19"/>
  <c r="AC84" i="19"/>
  <c r="AA84" i="19"/>
  <c r="Y84" i="19"/>
  <c r="X84" i="19"/>
  <c r="W84" i="19"/>
  <c r="T84" i="19"/>
  <c r="S84" i="19"/>
  <c r="V84" i="19" s="1"/>
  <c r="R84" i="19"/>
  <c r="Q84" i="19"/>
  <c r="P84" i="19"/>
  <c r="N84" i="19"/>
  <c r="K84" i="19"/>
  <c r="J84" i="19"/>
  <c r="D84" i="19"/>
  <c r="C84" i="19" s="1"/>
  <c r="BB83" i="19"/>
  <c r="AZ83" i="19"/>
  <c r="AY83" i="19"/>
  <c r="AX83" i="19"/>
  <c r="AV83" i="19"/>
  <c r="AU83" i="19"/>
  <c r="AS83" i="19"/>
  <c r="AR83" i="19"/>
  <c r="AQ83" i="19"/>
  <c r="AO83" i="19"/>
  <c r="AN83" i="19"/>
  <c r="AM83" i="19"/>
  <c r="AK83" i="19"/>
  <c r="AJ83" i="19"/>
  <c r="AH83" i="19"/>
  <c r="AG83" i="19"/>
  <c r="AF83" i="19"/>
  <c r="AD83" i="19"/>
  <c r="AC83" i="19"/>
  <c r="AA83" i="19"/>
  <c r="Y83" i="19"/>
  <c r="X83" i="19"/>
  <c r="W83" i="19"/>
  <c r="T83" i="19"/>
  <c r="S83" i="19"/>
  <c r="V83" i="19" s="1"/>
  <c r="R83" i="19"/>
  <c r="Q83" i="19"/>
  <c r="P83" i="19"/>
  <c r="N83" i="19"/>
  <c r="J83" i="19"/>
  <c r="D83" i="19"/>
  <c r="M83" i="19" s="1"/>
  <c r="BB82" i="19"/>
  <c r="AZ82" i="19"/>
  <c r="AY82" i="19"/>
  <c r="AX82" i="19"/>
  <c r="AV82" i="19"/>
  <c r="AU82" i="19"/>
  <c r="AS82" i="19"/>
  <c r="AR82" i="19"/>
  <c r="AQ82" i="19"/>
  <c r="AO82" i="19"/>
  <c r="AN82" i="19"/>
  <c r="AM82" i="19"/>
  <c r="AK82" i="19"/>
  <c r="AJ82" i="19"/>
  <c r="AH82" i="19"/>
  <c r="AG82" i="19"/>
  <c r="AF82" i="19"/>
  <c r="AD82" i="19"/>
  <c r="AC82" i="19"/>
  <c r="AA82" i="19"/>
  <c r="Y82" i="19"/>
  <c r="X82" i="19"/>
  <c r="W82" i="19"/>
  <c r="T82" i="19"/>
  <c r="S82" i="19"/>
  <c r="V82" i="19" s="1"/>
  <c r="R82" i="19"/>
  <c r="Q82" i="19"/>
  <c r="P82" i="19"/>
  <c r="N82" i="19"/>
  <c r="J82" i="19"/>
  <c r="D82" i="19"/>
  <c r="C82" i="19" s="1"/>
  <c r="K82" i="19" s="1"/>
  <c r="BB81" i="19"/>
  <c r="AZ81" i="19"/>
  <c r="AY81" i="19"/>
  <c r="AX81" i="19"/>
  <c r="AV81" i="19"/>
  <c r="AU81" i="19"/>
  <c r="AS81" i="19"/>
  <c r="AR81" i="19"/>
  <c r="AQ81" i="19"/>
  <c r="AO81" i="19"/>
  <c r="AN81" i="19"/>
  <c r="AM81" i="19"/>
  <c r="AK81" i="19"/>
  <c r="AJ81" i="19"/>
  <c r="AH81" i="19"/>
  <c r="AG81" i="19"/>
  <c r="AF81" i="19"/>
  <c r="AD81" i="19"/>
  <c r="AC81" i="19"/>
  <c r="AA81" i="19"/>
  <c r="Y81" i="19"/>
  <c r="X81" i="19"/>
  <c r="W81" i="19"/>
  <c r="T81" i="19"/>
  <c r="S81" i="19"/>
  <c r="V81" i="19" s="1"/>
  <c r="R81" i="19"/>
  <c r="Q81" i="19"/>
  <c r="P81" i="19"/>
  <c r="N81" i="19"/>
  <c r="J81" i="19"/>
  <c r="D81" i="19"/>
  <c r="BB80" i="19"/>
  <c r="AZ80" i="19"/>
  <c r="AY80" i="19"/>
  <c r="AX80" i="19"/>
  <c r="AV80" i="19"/>
  <c r="AU80" i="19"/>
  <c r="AS80" i="19"/>
  <c r="AR80" i="19"/>
  <c r="AQ80" i="19"/>
  <c r="AO80" i="19"/>
  <c r="AN80" i="19"/>
  <c r="AM80" i="19"/>
  <c r="AK80" i="19"/>
  <c r="AJ80" i="19"/>
  <c r="AH80" i="19"/>
  <c r="AG80" i="19"/>
  <c r="AF80" i="19"/>
  <c r="AD80" i="19"/>
  <c r="AC80" i="19"/>
  <c r="AA80" i="19"/>
  <c r="Y80" i="19"/>
  <c r="X80" i="19"/>
  <c r="W80" i="19"/>
  <c r="T80" i="19"/>
  <c r="S80" i="19"/>
  <c r="V80" i="19" s="1"/>
  <c r="R80" i="19"/>
  <c r="Q80" i="19"/>
  <c r="P80" i="19"/>
  <c r="N80" i="19"/>
  <c r="J80" i="19"/>
  <c r="D80" i="19"/>
  <c r="BB79" i="19"/>
  <c r="AZ79" i="19"/>
  <c r="AY79" i="19"/>
  <c r="AX79" i="19"/>
  <c r="AV79" i="19"/>
  <c r="AU79" i="19"/>
  <c r="AS79" i="19"/>
  <c r="AR79" i="19"/>
  <c r="AQ79" i="19"/>
  <c r="AO79" i="19"/>
  <c r="AN79" i="19"/>
  <c r="AM79" i="19"/>
  <c r="AK79" i="19"/>
  <c r="AJ79" i="19"/>
  <c r="AH79" i="19"/>
  <c r="AG79" i="19"/>
  <c r="AF79" i="19"/>
  <c r="AD79" i="19"/>
  <c r="AC79" i="19"/>
  <c r="AA79" i="19"/>
  <c r="Y79" i="19"/>
  <c r="X79" i="19"/>
  <c r="W79" i="19"/>
  <c r="T79" i="19"/>
  <c r="S79" i="19"/>
  <c r="V79" i="19" s="1"/>
  <c r="R79" i="19"/>
  <c r="Q79" i="19"/>
  <c r="P79" i="19"/>
  <c r="N79" i="19"/>
  <c r="M79" i="19"/>
  <c r="J79" i="19"/>
  <c r="D79" i="19"/>
  <c r="C79" i="19"/>
  <c r="K79" i="19" s="1"/>
  <c r="BB78" i="19"/>
  <c r="AZ78" i="19"/>
  <c r="AY78" i="19"/>
  <c r="AX78" i="19"/>
  <c r="AV78" i="19"/>
  <c r="AU78" i="19"/>
  <c r="AS78" i="19"/>
  <c r="AR78" i="19"/>
  <c r="AQ78" i="19"/>
  <c r="AO78" i="19"/>
  <c r="AN78" i="19"/>
  <c r="AM78" i="19"/>
  <c r="AK78" i="19"/>
  <c r="AJ78" i="19"/>
  <c r="AH78" i="19"/>
  <c r="AG78" i="19"/>
  <c r="AF78" i="19"/>
  <c r="AD78" i="19"/>
  <c r="AC78" i="19"/>
  <c r="AA78" i="19"/>
  <c r="Y78" i="19"/>
  <c r="X78" i="19"/>
  <c r="W78" i="19"/>
  <c r="T78" i="19"/>
  <c r="S78" i="19"/>
  <c r="V78" i="19" s="1"/>
  <c r="R78" i="19"/>
  <c r="Q78" i="19"/>
  <c r="P78" i="19"/>
  <c r="N78" i="19"/>
  <c r="M78" i="19"/>
  <c r="K78" i="19"/>
  <c r="J78" i="19"/>
  <c r="D78" i="19"/>
  <c r="C78" i="19" s="1"/>
  <c r="BB77" i="19"/>
  <c r="AZ77" i="19"/>
  <c r="AY77" i="19"/>
  <c r="AX77" i="19"/>
  <c r="AV77" i="19"/>
  <c r="AU77" i="19"/>
  <c r="AS77" i="19"/>
  <c r="AR77" i="19"/>
  <c r="AQ77" i="19"/>
  <c r="AO77" i="19"/>
  <c r="AN77" i="19"/>
  <c r="AM77" i="19"/>
  <c r="AK77" i="19"/>
  <c r="AJ77" i="19"/>
  <c r="AH77" i="19"/>
  <c r="AG77" i="19"/>
  <c r="AF77" i="19"/>
  <c r="AD77" i="19"/>
  <c r="AC77" i="19"/>
  <c r="AA77" i="19"/>
  <c r="Y77" i="19"/>
  <c r="X77" i="19"/>
  <c r="W77" i="19"/>
  <c r="T77" i="19"/>
  <c r="S77" i="19"/>
  <c r="V77" i="19" s="1"/>
  <c r="R77" i="19"/>
  <c r="Q77" i="19"/>
  <c r="P77" i="19"/>
  <c r="N77" i="19"/>
  <c r="M77" i="19"/>
  <c r="J77" i="19"/>
  <c r="D77" i="19"/>
  <c r="C77" i="19"/>
  <c r="K77" i="19" s="1"/>
  <c r="BB76" i="19"/>
  <c r="AZ76" i="19"/>
  <c r="AY76" i="19"/>
  <c r="AX76" i="19"/>
  <c r="AV76" i="19"/>
  <c r="AU76" i="19"/>
  <c r="AS76" i="19"/>
  <c r="AR76" i="19"/>
  <c r="AQ76" i="19"/>
  <c r="AO76" i="19"/>
  <c r="AN76" i="19"/>
  <c r="AM76" i="19"/>
  <c r="AK76" i="19"/>
  <c r="AJ76" i="19"/>
  <c r="AH76" i="19"/>
  <c r="AG76" i="19"/>
  <c r="AF76" i="19"/>
  <c r="AD76" i="19"/>
  <c r="AC76" i="19"/>
  <c r="AA76" i="19"/>
  <c r="Y76" i="19"/>
  <c r="X76" i="19"/>
  <c r="W76" i="19"/>
  <c r="T76" i="19"/>
  <c r="S76" i="19"/>
  <c r="V76" i="19" s="1"/>
  <c r="R76" i="19"/>
  <c r="Q76" i="19"/>
  <c r="P76" i="19"/>
  <c r="N76" i="19"/>
  <c r="M76" i="19"/>
  <c r="K76" i="19"/>
  <c r="J76" i="19"/>
  <c r="D76" i="19"/>
  <c r="C76" i="19" s="1"/>
  <c r="BB75" i="19"/>
  <c r="AZ75" i="19"/>
  <c r="AY75" i="19"/>
  <c r="AX75" i="19"/>
  <c r="AV75" i="19"/>
  <c r="AU75" i="19"/>
  <c r="AS75" i="19"/>
  <c r="AR75" i="19"/>
  <c r="AQ75" i="19"/>
  <c r="AO75" i="19"/>
  <c r="AN75" i="19"/>
  <c r="AM75" i="19"/>
  <c r="AK75" i="19"/>
  <c r="AJ75" i="19"/>
  <c r="AH75" i="19"/>
  <c r="AG75" i="19"/>
  <c r="AF75" i="19"/>
  <c r="AD75" i="19"/>
  <c r="AC75" i="19"/>
  <c r="AA75" i="19"/>
  <c r="Y75" i="19"/>
  <c r="X75" i="19"/>
  <c r="W75" i="19"/>
  <c r="T75" i="19"/>
  <c r="S75" i="19"/>
  <c r="V75" i="19" s="1"/>
  <c r="R75" i="19"/>
  <c r="Q75" i="19"/>
  <c r="P75" i="19"/>
  <c r="N75" i="19"/>
  <c r="J75" i="19"/>
  <c r="D75" i="19"/>
  <c r="O74" i="19"/>
  <c r="O8" i="19" s="1"/>
  <c r="O7" i="19" s="1"/>
  <c r="L74" i="19"/>
  <c r="J74" i="19" s="1"/>
  <c r="I74" i="19"/>
  <c r="Q74" i="19" s="1"/>
  <c r="H74" i="19"/>
  <c r="N74" i="19" s="1"/>
  <c r="G74" i="19"/>
  <c r="P74" i="19" s="1"/>
  <c r="F74" i="19"/>
  <c r="E74" i="19"/>
  <c r="BB73" i="19"/>
  <c r="AZ73" i="19"/>
  <c r="AY73" i="19"/>
  <c r="BA73" i="19" s="1"/>
  <c r="AX73" i="19"/>
  <c r="AV73" i="19"/>
  <c r="AU73" i="19"/>
  <c r="AW73" i="19" s="1"/>
  <c r="AS73" i="19"/>
  <c r="AR73" i="19"/>
  <c r="AT73" i="19" s="1"/>
  <c r="AQ73" i="19"/>
  <c r="AO73" i="19"/>
  <c r="AN73" i="19"/>
  <c r="AP73" i="19" s="1"/>
  <c r="AM73" i="19"/>
  <c r="AK73" i="19"/>
  <c r="AJ73" i="19"/>
  <c r="AL73" i="19" s="1"/>
  <c r="AH73" i="19"/>
  <c r="AG73" i="19"/>
  <c r="AI73" i="19" s="1"/>
  <c r="AF73" i="19"/>
  <c r="AD73" i="19"/>
  <c r="AC73" i="19"/>
  <c r="AE73" i="19" s="1"/>
  <c r="AA73" i="19"/>
  <c r="Y73" i="19"/>
  <c r="X73" i="19"/>
  <c r="AB73" i="19" s="1"/>
  <c r="W73" i="19"/>
  <c r="Z73" i="19" s="1"/>
  <c r="T73" i="19"/>
  <c r="S73" i="19"/>
  <c r="V73" i="19" s="1"/>
  <c r="R73" i="19"/>
  <c r="U73" i="19" s="1"/>
  <c r="Q73" i="19"/>
  <c r="P73" i="19"/>
  <c r="N73" i="19"/>
  <c r="J73" i="19"/>
  <c r="D73" i="19"/>
  <c r="C73" i="19" s="1"/>
  <c r="K73" i="19" s="1"/>
  <c r="BB72" i="19"/>
  <c r="AZ72" i="19"/>
  <c r="AY72" i="19"/>
  <c r="AX72" i="19"/>
  <c r="AV72" i="19"/>
  <c r="AU72" i="19"/>
  <c r="AS72" i="19"/>
  <c r="AR72" i="19"/>
  <c r="AQ72" i="19"/>
  <c r="AO72" i="19"/>
  <c r="AN72" i="19"/>
  <c r="AM72" i="19"/>
  <c r="AK72" i="19"/>
  <c r="AJ72" i="19"/>
  <c r="AH72" i="19"/>
  <c r="AG72" i="19"/>
  <c r="AF72" i="19"/>
  <c r="AD72" i="19"/>
  <c r="AC72" i="19"/>
  <c r="AA72" i="19"/>
  <c r="Y72" i="19"/>
  <c r="X72" i="19"/>
  <c r="W72" i="19"/>
  <c r="T72" i="19"/>
  <c r="S72" i="19"/>
  <c r="V72" i="19" s="1"/>
  <c r="R72" i="19"/>
  <c r="Q72" i="19"/>
  <c r="P72" i="19"/>
  <c r="N72" i="19"/>
  <c r="J72" i="19"/>
  <c r="D72" i="19"/>
  <c r="BB71" i="19"/>
  <c r="AZ71" i="19"/>
  <c r="AY71" i="19"/>
  <c r="BA71" i="19" s="1"/>
  <c r="AX71" i="19"/>
  <c r="AV71" i="19"/>
  <c r="AU71" i="19"/>
  <c r="AW71" i="19" s="1"/>
  <c r="AS71" i="19"/>
  <c r="AR71" i="19"/>
  <c r="AT71" i="19" s="1"/>
  <c r="AQ71" i="19"/>
  <c r="AO71" i="19"/>
  <c r="AN71" i="19"/>
  <c r="AP71" i="19" s="1"/>
  <c r="AM71" i="19"/>
  <c r="AK71" i="19"/>
  <c r="AJ71" i="19"/>
  <c r="AL71" i="19" s="1"/>
  <c r="AH71" i="19"/>
  <c r="AG71" i="19"/>
  <c r="AI71" i="19" s="1"/>
  <c r="AF71" i="19"/>
  <c r="AD71" i="19"/>
  <c r="AC71" i="19"/>
  <c r="AE71" i="19" s="1"/>
  <c r="AA71" i="19"/>
  <c r="Y71" i="19"/>
  <c r="X71" i="19"/>
  <c r="AB71" i="19" s="1"/>
  <c r="W71" i="19"/>
  <c r="Z71" i="19" s="1"/>
  <c r="T71" i="19"/>
  <c r="S71" i="19"/>
  <c r="V71" i="19" s="1"/>
  <c r="R71" i="19"/>
  <c r="U71" i="19" s="1"/>
  <c r="Q71" i="19"/>
  <c r="P71" i="19"/>
  <c r="N71" i="19"/>
  <c r="J71" i="19"/>
  <c r="D71" i="19"/>
  <c r="C71" i="19" s="1"/>
  <c r="K71" i="19" s="1"/>
  <c r="BB70" i="19"/>
  <c r="AZ70" i="19"/>
  <c r="AY70" i="19"/>
  <c r="AX70" i="19"/>
  <c r="AV70" i="19"/>
  <c r="AU70" i="19"/>
  <c r="AS70" i="19"/>
  <c r="AR70" i="19"/>
  <c r="AQ70" i="19"/>
  <c r="AO70" i="19"/>
  <c r="AN70" i="19"/>
  <c r="AM70" i="19"/>
  <c r="AK70" i="19"/>
  <c r="AJ70" i="19"/>
  <c r="AH70" i="19"/>
  <c r="AG70" i="19"/>
  <c r="AF70" i="19"/>
  <c r="AD70" i="19"/>
  <c r="AC70" i="19"/>
  <c r="AA70" i="19"/>
  <c r="Y70" i="19"/>
  <c r="X70" i="19"/>
  <c r="W70" i="19"/>
  <c r="T70" i="19"/>
  <c r="S70" i="19"/>
  <c r="V70" i="19" s="1"/>
  <c r="R70" i="19"/>
  <c r="Q70" i="19"/>
  <c r="P70" i="19"/>
  <c r="N70" i="19"/>
  <c r="J70" i="19"/>
  <c r="D70" i="19"/>
  <c r="BB69" i="19"/>
  <c r="AZ69" i="19"/>
  <c r="AY69" i="19"/>
  <c r="AX69" i="19"/>
  <c r="AV69" i="19"/>
  <c r="AU69" i="19"/>
  <c r="AS69" i="19"/>
  <c r="AR69" i="19"/>
  <c r="AQ69" i="19"/>
  <c r="AO69" i="19"/>
  <c r="AN69" i="19"/>
  <c r="AM69" i="19"/>
  <c r="AK69" i="19"/>
  <c r="AJ69" i="19"/>
  <c r="AH69" i="19"/>
  <c r="AG69" i="19"/>
  <c r="AF69" i="19"/>
  <c r="AD69" i="19"/>
  <c r="AC69" i="19"/>
  <c r="AA69" i="19"/>
  <c r="Y69" i="19"/>
  <c r="X69" i="19"/>
  <c r="W69" i="19"/>
  <c r="T69" i="19"/>
  <c r="S69" i="19"/>
  <c r="V69" i="19" s="1"/>
  <c r="R69" i="19"/>
  <c r="Q69" i="19"/>
  <c r="P69" i="19"/>
  <c r="N69" i="19"/>
  <c r="J69" i="19"/>
  <c r="D69" i="19"/>
  <c r="BB68" i="19"/>
  <c r="AZ68" i="19"/>
  <c r="AY68" i="19"/>
  <c r="AX68" i="19"/>
  <c r="AV68" i="19"/>
  <c r="AU68" i="19"/>
  <c r="AS68" i="19"/>
  <c r="AR68" i="19"/>
  <c r="AQ68" i="19"/>
  <c r="AO68" i="19"/>
  <c r="AN68" i="19"/>
  <c r="AM68" i="19"/>
  <c r="AK68" i="19"/>
  <c r="AJ68" i="19"/>
  <c r="AH68" i="19"/>
  <c r="AG68" i="19"/>
  <c r="AF68" i="19"/>
  <c r="AD68" i="19"/>
  <c r="AC68" i="19"/>
  <c r="AA68" i="19"/>
  <c r="Y68" i="19"/>
  <c r="X68" i="19"/>
  <c r="W68" i="19"/>
  <c r="T68" i="19"/>
  <c r="S68" i="19"/>
  <c r="V68" i="19" s="1"/>
  <c r="R68" i="19"/>
  <c r="Q68" i="19"/>
  <c r="P68" i="19"/>
  <c r="N68" i="19"/>
  <c r="J68" i="19"/>
  <c r="D68" i="19"/>
  <c r="C68" i="19" s="1"/>
  <c r="K68" i="19" s="1"/>
  <c r="BB67" i="19"/>
  <c r="AZ67" i="19"/>
  <c r="AY67" i="19"/>
  <c r="AX67" i="19"/>
  <c r="AV67" i="19"/>
  <c r="AU67" i="19"/>
  <c r="AS67" i="19"/>
  <c r="AR67" i="19"/>
  <c r="AQ67" i="19"/>
  <c r="AO67" i="19"/>
  <c r="AN67" i="19"/>
  <c r="AM67" i="19"/>
  <c r="AK67" i="19"/>
  <c r="AJ67" i="19"/>
  <c r="AH67" i="19"/>
  <c r="AG67" i="19"/>
  <c r="AF67" i="19"/>
  <c r="AD67" i="19"/>
  <c r="AC67" i="19"/>
  <c r="AA67" i="19"/>
  <c r="Y67" i="19"/>
  <c r="X67" i="19"/>
  <c r="W67" i="19"/>
  <c r="T67" i="19"/>
  <c r="S67" i="19"/>
  <c r="V67" i="19" s="1"/>
  <c r="R67" i="19"/>
  <c r="Q67" i="19"/>
  <c r="P67" i="19"/>
  <c r="N67" i="19"/>
  <c r="J67" i="19"/>
  <c r="D67" i="19"/>
  <c r="C67" i="19" s="1"/>
  <c r="K67" i="19" s="1"/>
  <c r="BB66" i="19"/>
  <c r="AZ66" i="19"/>
  <c r="AY66" i="19"/>
  <c r="AX66" i="19"/>
  <c r="AV66" i="19"/>
  <c r="AU66" i="19"/>
  <c r="AS66" i="19"/>
  <c r="AR66" i="19"/>
  <c r="AQ66" i="19"/>
  <c r="AO66" i="19"/>
  <c r="AN66" i="19"/>
  <c r="AM66" i="19"/>
  <c r="AK66" i="19"/>
  <c r="AJ66" i="19"/>
  <c r="AH66" i="19"/>
  <c r="AG66" i="19"/>
  <c r="AF66" i="19"/>
  <c r="AD66" i="19"/>
  <c r="AC66" i="19"/>
  <c r="AA66" i="19"/>
  <c r="Y66" i="19"/>
  <c r="X66" i="19"/>
  <c r="W66" i="19"/>
  <c r="T66" i="19"/>
  <c r="S66" i="19"/>
  <c r="V66" i="19" s="1"/>
  <c r="R66" i="19"/>
  <c r="Q66" i="19"/>
  <c r="P66" i="19"/>
  <c r="N66" i="19"/>
  <c r="J66" i="19"/>
  <c r="D66" i="19"/>
  <c r="C66" i="19" s="1"/>
  <c r="K66" i="19" s="1"/>
  <c r="BB65" i="19"/>
  <c r="AZ65" i="19"/>
  <c r="AY65" i="19"/>
  <c r="AX65" i="19"/>
  <c r="AV65" i="19"/>
  <c r="AU65" i="19"/>
  <c r="AS65" i="19"/>
  <c r="AR65" i="19"/>
  <c r="AQ65" i="19"/>
  <c r="AO65" i="19"/>
  <c r="AN65" i="19"/>
  <c r="AM65" i="19"/>
  <c r="AK65" i="19"/>
  <c r="AJ65" i="19"/>
  <c r="AH65" i="19"/>
  <c r="AG65" i="19"/>
  <c r="AF65" i="19"/>
  <c r="AD65" i="19"/>
  <c r="AC65" i="19"/>
  <c r="AA65" i="19"/>
  <c r="Y65" i="19"/>
  <c r="X65" i="19"/>
  <c r="W65" i="19"/>
  <c r="T65" i="19"/>
  <c r="S65" i="19"/>
  <c r="V65" i="19" s="1"/>
  <c r="R65" i="19"/>
  <c r="Q65" i="19"/>
  <c r="P65" i="19"/>
  <c r="N65" i="19"/>
  <c r="M65" i="19"/>
  <c r="J65" i="19"/>
  <c r="D65" i="19"/>
  <c r="C65" i="19" s="1"/>
  <c r="K65" i="19" s="1"/>
  <c r="BB64" i="19"/>
  <c r="AZ64" i="19"/>
  <c r="AY64" i="19"/>
  <c r="BA64" i="19" s="1"/>
  <c r="AX64" i="19"/>
  <c r="AV64" i="19"/>
  <c r="AU64" i="19"/>
  <c r="AW64" i="19" s="1"/>
  <c r="AS64" i="19"/>
  <c r="AR64" i="19"/>
  <c r="AT64" i="19" s="1"/>
  <c r="AQ64" i="19"/>
  <c r="AO64" i="19"/>
  <c r="AN64" i="19"/>
  <c r="AP64" i="19" s="1"/>
  <c r="AM64" i="19"/>
  <c r="AK64" i="19"/>
  <c r="AJ64" i="19"/>
  <c r="AL64" i="19" s="1"/>
  <c r="AH64" i="19"/>
  <c r="AG64" i="19"/>
  <c r="AI64" i="19" s="1"/>
  <c r="AF64" i="19"/>
  <c r="AD64" i="19"/>
  <c r="AC64" i="19"/>
  <c r="AE64" i="19" s="1"/>
  <c r="AA64" i="19"/>
  <c r="Y64" i="19"/>
  <c r="X64" i="19"/>
  <c r="AB64" i="19" s="1"/>
  <c r="W64" i="19"/>
  <c r="Z64" i="19" s="1"/>
  <c r="T64" i="19"/>
  <c r="S64" i="19"/>
  <c r="V64" i="19" s="1"/>
  <c r="R64" i="19"/>
  <c r="U64" i="19" s="1"/>
  <c r="Q64" i="19"/>
  <c r="P64" i="19"/>
  <c r="N64" i="19"/>
  <c r="J64" i="19"/>
  <c r="D64" i="19"/>
  <c r="C64" i="19" s="1"/>
  <c r="K64" i="19" s="1"/>
  <c r="BB63" i="19"/>
  <c r="AZ63" i="19"/>
  <c r="AY63" i="19"/>
  <c r="AX63" i="19"/>
  <c r="AV63" i="19"/>
  <c r="AU63" i="19"/>
  <c r="AS63" i="19"/>
  <c r="AR63" i="19"/>
  <c r="AQ63" i="19"/>
  <c r="AO63" i="19"/>
  <c r="AN63" i="19"/>
  <c r="AM63" i="19"/>
  <c r="AK63" i="19"/>
  <c r="AJ63" i="19"/>
  <c r="AH63" i="19"/>
  <c r="AG63" i="19"/>
  <c r="AF63" i="19"/>
  <c r="AD63" i="19"/>
  <c r="AC63" i="19"/>
  <c r="AA63" i="19"/>
  <c r="Y63" i="19"/>
  <c r="X63" i="19"/>
  <c r="W63" i="19"/>
  <c r="T63" i="19"/>
  <c r="S63" i="19"/>
  <c r="V63" i="19" s="1"/>
  <c r="R63" i="19"/>
  <c r="Q63" i="19"/>
  <c r="P63" i="19"/>
  <c r="N63" i="19"/>
  <c r="J63" i="19"/>
  <c r="D63" i="19"/>
  <c r="BB62" i="19"/>
  <c r="AZ62" i="19"/>
  <c r="AY62" i="19"/>
  <c r="AX62" i="19"/>
  <c r="AV62" i="19"/>
  <c r="AU62" i="19"/>
  <c r="AS62" i="19"/>
  <c r="AR62" i="19"/>
  <c r="AQ62" i="19"/>
  <c r="AO62" i="19"/>
  <c r="AN62" i="19"/>
  <c r="AM62" i="19"/>
  <c r="AK62" i="19"/>
  <c r="AJ62" i="19"/>
  <c r="AH62" i="19"/>
  <c r="AG62" i="19"/>
  <c r="AF62" i="19"/>
  <c r="AD62" i="19"/>
  <c r="AC62" i="19"/>
  <c r="AA62" i="19"/>
  <c r="Y62" i="19"/>
  <c r="X62" i="19"/>
  <c r="W62" i="19"/>
  <c r="T62" i="19"/>
  <c r="S62" i="19"/>
  <c r="V62" i="19" s="1"/>
  <c r="R62" i="19"/>
  <c r="Q62" i="19"/>
  <c r="P62" i="19"/>
  <c r="N62" i="19"/>
  <c r="J62" i="19"/>
  <c r="D62" i="19"/>
  <c r="BB61" i="19"/>
  <c r="AZ61" i="19"/>
  <c r="AY61" i="19"/>
  <c r="BA61" i="19" s="1"/>
  <c r="AX61" i="19"/>
  <c r="AV61" i="19"/>
  <c r="AU61" i="19"/>
  <c r="AW61" i="19" s="1"/>
  <c r="AS61" i="19"/>
  <c r="AR61" i="19"/>
  <c r="AQ61" i="19"/>
  <c r="AO61" i="19"/>
  <c r="AN61" i="19"/>
  <c r="AP61" i="19" s="1"/>
  <c r="AM61" i="19"/>
  <c r="AK61" i="19"/>
  <c r="AJ61" i="19"/>
  <c r="AL61" i="19" s="1"/>
  <c r="AH61" i="19"/>
  <c r="AG61" i="19"/>
  <c r="AI61" i="19" s="1"/>
  <c r="AF61" i="19"/>
  <c r="AD61" i="19"/>
  <c r="AC61" i="19"/>
  <c r="AE61" i="19" s="1"/>
  <c r="AA61" i="19"/>
  <c r="Y61" i="19"/>
  <c r="X61" i="19"/>
  <c r="AB61" i="19" s="1"/>
  <c r="W61" i="19"/>
  <c r="Z61" i="19" s="1"/>
  <c r="T61" i="19"/>
  <c r="S61" i="19"/>
  <c r="V61" i="19" s="1"/>
  <c r="R61" i="19"/>
  <c r="U61" i="19" s="1"/>
  <c r="Q61" i="19"/>
  <c r="P61" i="19"/>
  <c r="N61" i="19"/>
  <c r="J61" i="19"/>
  <c r="D61" i="19"/>
  <c r="C61" i="19" s="1"/>
  <c r="K61" i="19" s="1"/>
  <c r="BB60" i="19"/>
  <c r="AZ60" i="19"/>
  <c r="AY60" i="19"/>
  <c r="BA60" i="19" s="1"/>
  <c r="AX60" i="19"/>
  <c r="AV60" i="19"/>
  <c r="AU60" i="19"/>
  <c r="AW60" i="19" s="1"/>
  <c r="AS60" i="19"/>
  <c r="AR60" i="19"/>
  <c r="AT60" i="19" s="1"/>
  <c r="AQ60" i="19"/>
  <c r="AO60" i="19"/>
  <c r="AN60" i="19"/>
  <c r="AP60" i="19" s="1"/>
  <c r="AM60" i="19"/>
  <c r="AK60" i="19"/>
  <c r="AJ60" i="19"/>
  <c r="AL60" i="19" s="1"/>
  <c r="AH60" i="19"/>
  <c r="AG60" i="19"/>
  <c r="AI60" i="19" s="1"/>
  <c r="AF60" i="19"/>
  <c r="AD60" i="19"/>
  <c r="AC60" i="19"/>
  <c r="AE60" i="19" s="1"/>
  <c r="AA60" i="19"/>
  <c r="Y60" i="19"/>
  <c r="X60" i="19"/>
  <c r="AB60" i="19" s="1"/>
  <c r="W60" i="19"/>
  <c r="Z60" i="19" s="1"/>
  <c r="T60" i="19"/>
  <c r="S60" i="19"/>
  <c r="V60" i="19" s="1"/>
  <c r="R60" i="19"/>
  <c r="U60" i="19" s="1"/>
  <c r="Q60" i="19"/>
  <c r="P60" i="19"/>
  <c r="N60" i="19"/>
  <c r="J60" i="19"/>
  <c r="D60" i="19"/>
  <c r="C60" i="19" s="1"/>
  <c r="K60" i="19" s="1"/>
  <c r="BB59" i="19"/>
  <c r="AZ59" i="19"/>
  <c r="AY59" i="19"/>
  <c r="AX59" i="19"/>
  <c r="AV59" i="19"/>
  <c r="AU59" i="19"/>
  <c r="AW59" i="19" s="1"/>
  <c r="AS59" i="19"/>
  <c r="AR59" i="19"/>
  <c r="AT59" i="19" s="1"/>
  <c r="AQ59" i="19"/>
  <c r="AO59" i="19"/>
  <c r="AN59" i="19"/>
  <c r="AP59" i="19" s="1"/>
  <c r="AM59" i="19"/>
  <c r="AK59" i="19"/>
  <c r="AJ59" i="19"/>
  <c r="AL59" i="19" s="1"/>
  <c r="AH59" i="19"/>
  <c r="AG59" i="19"/>
  <c r="AI59" i="19" s="1"/>
  <c r="AF59" i="19"/>
  <c r="AD59" i="19"/>
  <c r="AC59" i="19"/>
  <c r="AE59" i="19" s="1"/>
  <c r="AA59" i="19"/>
  <c r="Y59" i="19"/>
  <c r="X59" i="19"/>
  <c r="AB59" i="19" s="1"/>
  <c r="W59" i="19"/>
  <c r="Z59" i="19" s="1"/>
  <c r="T59" i="19"/>
  <c r="S59" i="19"/>
  <c r="V59" i="19" s="1"/>
  <c r="R59" i="19"/>
  <c r="U59" i="19" s="1"/>
  <c r="Q59" i="19"/>
  <c r="P59" i="19"/>
  <c r="N59" i="19"/>
  <c r="J59" i="19"/>
  <c r="D59" i="19"/>
  <c r="C59" i="19" s="1"/>
  <c r="K59" i="19" s="1"/>
  <c r="BB58" i="19"/>
  <c r="AZ58" i="19"/>
  <c r="AY58" i="19"/>
  <c r="AX58" i="19"/>
  <c r="AV58" i="19"/>
  <c r="AU58" i="19"/>
  <c r="AS58" i="19"/>
  <c r="AR58" i="19"/>
  <c r="AQ58" i="19"/>
  <c r="AO58" i="19"/>
  <c r="AN58" i="19"/>
  <c r="AM58" i="19"/>
  <c r="AK58" i="19"/>
  <c r="AJ58" i="19"/>
  <c r="AH58" i="19"/>
  <c r="AG58" i="19"/>
  <c r="AF58" i="19"/>
  <c r="AD58" i="19"/>
  <c r="AC58" i="19"/>
  <c r="AA58" i="19"/>
  <c r="Y58" i="19"/>
  <c r="X58" i="19"/>
  <c r="W58" i="19"/>
  <c r="T58" i="19"/>
  <c r="S58" i="19"/>
  <c r="V58" i="19" s="1"/>
  <c r="R58" i="19"/>
  <c r="Q58" i="19"/>
  <c r="P58" i="19"/>
  <c r="N58" i="19"/>
  <c r="J58" i="19"/>
  <c r="D58" i="19"/>
  <c r="C58" i="19" s="1"/>
  <c r="K58" i="19" s="1"/>
  <c r="BB57" i="19"/>
  <c r="AZ57" i="19"/>
  <c r="AY57" i="19"/>
  <c r="AX57" i="19"/>
  <c r="AV57" i="19"/>
  <c r="AU57" i="19"/>
  <c r="AS57" i="19"/>
  <c r="AR57" i="19"/>
  <c r="AQ57" i="19"/>
  <c r="AO57" i="19"/>
  <c r="AN57" i="19"/>
  <c r="AM57" i="19"/>
  <c r="AK57" i="19"/>
  <c r="AJ57" i="19"/>
  <c r="AH57" i="19"/>
  <c r="AG57" i="19"/>
  <c r="AF57" i="19"/>
  <c r="AD57" i="19"/>
  <c r="AC57" i="19"/>
  <c r="AA57" i="19"/>
  <c r="Y57" i="19"/>
  <c r="X57" i="19"/>
  <c r="W57" i="19"/>
  <c r="T57" i="19"/>
  <c r="S57" i="19"/>
  <c r="V57" i="19" s="1"/>
  <c r="R57" i="19"/>
  <c r="Q57" i="19"/>
  <c r="P57" i="19"/>
  <c r="N57" i="19"/>
  <c r="J57" i="19"/>
  <c r="D57" i="19"/>
  <c r="C57" i="19" s="1"/>
  <c r="K57" i="19" s="1"/>
  <c r="BB56" i="19"/>
  <c r="AZ56" i="19"/>
  <c r="AY56" i="19"/>
  <c r="AX56" i="19"/>
  <c r="AV56" i="19"/>
  <c r="AU56" i="19"/>
  <c r="AS56" i="19"/>
  <c r="AR56" i="19"/>
  <c r="AQ56" i="19"/>
  <c r="AO56" i="19"/>
  <c r="AN56" i="19"/>
  <c r="AM56" i="19"/>
  <c r="AK56" i="19"/>
  <c r="AJ56" i="19"/>
  <c r="AH56" i="19"/>
  <c r="AG56" i="19"/>
  <c r="AF56" i="19"/>
  <c r="AD56" i="19"/>
  <c r="AC56" i="19"/>
  <c r="AA56" i="19"/>
  <c r="Y56" i="19"/>
  <c r="X56" i="19"/>
  <c r="W56" i="19"/>
  <c r="T56" i="19"/>
  <c r="S56" i="19"/>
  <c r="V56" i="19" s="1"/>
  <c r="R56" i="19"/>
  <c r="Q56" i="19"/>
  <c r="P56" i="19"/>
  <c r="N56" i="19"/>
  <c r="M56" i="19"/>
  <c r="J56" i="19"/>
  <c r="D56" i="19"/>
  <c r="C56" i="19" s="1"/>
  <c r="K56" i="19" s="1"/>
  <c r="BB55" i="19"/>
  <c r="AZ55" i="19"/>
  <c r="AY55" i="19"/>
  <c r="AX55" i="19"/>
  <c r="AV55" i="19"/>
  <c r="AU55" i="19"/>
  <c r="AS55" i="19"/>
  <c r="AR55" i="19"/>
  <c r="AQ55" i="19"/>
  <c r="AO55" i="19"/>
  <c r="AN55" i="19"/>
  <c r="AM55" i="19"/>
  <c r="AK55" i="19"/>
  <c r="AJ55" i="19"/>
  <c r="AH55" i="19"/>
  <c r="AG55" i="19"/>
  <c r="AF55" i="19"/>
  <c r="AD55" i="19"/>
  <c r="AC55" i="19"/>
  <c r="AA55" i="19"/>
  <c r="Y55" i="19"/>
  <c r="X55" i="19"/>
  <c r="W55" i="19"/>
  <c r="T55" i="19"/>
  <c r="S55" i="19"/>
  <c r="V55" i="19" s="1"/>
  <c r="R55" i="19"/>
  <c r="Q55" i="19"/>
  <c r="P55" i="19"/>
  <c r="N55" i="19"/>
  <c r="J55" i="19"/>
  <c r="D55" i="19"/>
  <c r="M55" i="19" s="1"/>
  <c r="C55" i="19"/>
  <c r="K55" i="19" s="1"/>
  <c r="BB54" i="19"/>
  <c r="AZ54" i="19"/>
  <c r="AY54" i="19"/>
  <c r="AX54" i="19"/>
  <c r="AV54" i="19"/>
  <c r="AU54" i="19"/>
  <c r="AS54" i="19"/>
  <c r="AR54" i="19"/>
  <c r="AQ54" i="19"/>
  <c r="AO54" i="19"/>
  <c r="AN54" i="19"/>
  <c r="AM54" i="19"/>
  <c r="AK54" i="19"/>
  <c r="AJ54" i="19"/>
  <c r="AH54" i="19"/>
  <c r="AG54" i="19"/>
  <c r="AF54" i="19"/>
  <c r="AD54" i="19"/>
  <c r="AC54" i="19"/>
  <c r="AA54" i="19"/>
  <c r="Y54" i="19"/>
  <c r="X54" i="19"/>
  <c r="W54" i="19"/>
  <c r="T54" i="19"/>
  <c r="S54" i="19"/>
  <c r="V54" i="19" s="1"/>
  <c r="R54" i="19"/>
  <c r="Q54" i="19"/>
  <c r="P54" i="19"/>
  <c r="N54" i="19"/>
  <c r="M54" i="19"/>
  <c r="J54" i="19"/>
  <c r="D54" i="19"/>
  <c r="C54" i="19" s="1"/>
  <c r="K54" i="19" s="1"/>
  <c r="BB53" i="19"/>
  <c r="AZ53" i="19"/>
  <c r="AY53" i="19"/>
  <c r="AX53" i="19"/>
  <c r="AV53" i="19"/>
  <c r="AU53" i="19"/>
  <c r="AS53" i="19"/>
  <c r="AR53" i="19"/>
  <c r="AQ53" i="19"/>
  <c r="AO53" i="19"/>
  <c r="AN53" i="19"/>
  <c r="AM53" i="19"/>
  <c r="AK53" i="19"/>
  <c r="AJ53" i="19"/>
  <c r="AH53" i="19"/>
  <c r="AG53" i="19"/>
  <c r="AF53" i="19"/>
  <c r="AD53" i="19"/>
  <c r="AC53" i="19"/>
  <c r="AA53" i="19"/>
  <c r="Y53" i="19"/>
  <c r="X53" i="19"/>
  <c r="W53" i="19"/>
  <c r="T53" i="19"/>
  <c r="S53" i="19"/>
  <c r="R53" i="19"/>
  <c r="Q53" i="19"/>
  <c r="P53" i="19"/>
  <c r="N53" i="19"/>
  <c r="J53" i="19"/>
  <c r="D53" i="19"/>
  <c r="M53" i="19" s="1"/>
  <c r="C53" i="19"/>
  <c r="K53" i="19" s="1"/>
  <c r="O52" i="19"/>
  <c r="J52" i="19" s="1"/>
  <c r="L52" i="19"/>
  <c r="I52" i="19"/>
  <c r="Q52" i="19" s="1"/>
  <c r="H52" i="19"/>
  <c r="N52" i="19" s="1"/>
  <c r="G52" i="19"/>
  <c r="P52" i="19" s="1"/>
  <c r="F52" i="19"/>
  <c r="E52" i="19"/>
  <c r="BB51" i="19"/>
  <c r="AZ51" i="19"/>
  <c r="AY51" i="19"/>
  <c r="AX51" i="19"/>
  <c r="AV51" i="19"/>
  <c r="AU51" i="19"/>
  <c r="AS51" i="19"/>
  <c r="AR51" i="19"/>
  <c r="AQ51" i="19"/>
  <c r="AO51" i="19"/>
  <c r="AN51" i="19"/>
  <c r="AM51" i="19"/>
  <c r="AK51" i="19"/>
  <c r="AJ51" i="19"/>
  <c r="AH51" i="19"/>
  <c r="AG51" i="19"/>
  <c r="AF51" i="19"/>
  <c r="AD51" i="19"/>
  <c r="AC51" i="19"/>
  <c r="AA51" i="19"/>
  <c r="Y51" i="19"/>
  <c r="X51" i="19"/>
  <c r="W51" i="19"/>
  <c r="T51" i="19"/>
  <c r="S51" i="19"/>
  <c r="V51" i="19" s="1"/>
  <c r="R51" i="19"/>
  <c r="Q51" i="19"/>
  <c r="P51" i="19"/>
  <c r="N51" i="19"/>
  <c r="J51" i="19"/>
  <c r="D51" i="19"/>
  <c r="C51" i="19" s="1"/>
  <c r="K51" i="19" s="1"/>
  <c r="BB50" i="19"/>
  <c r="AZ50" i="19"/>
  <c r="AY50" i="19"/>
  <c r="AX50" i="19"/>
  <c r="AV50" i="19"/>
  <c r="AU50" i="19"/>
  <c r="AS50" i="19"/>
  <c r="AR50" i="19"/>
  <c r="AQ50" i="19"/>
  <c r="AO50" i="19"/>
  <c r="AN50" i="19"/>
  <c r="AM50" i="19"/>
  <c r="AK50" i="19"/>
  <c r="AJ50" i="19"/>
  <c r="AH50" i="19"/>
  <c r="AG50" i="19"/>
  <c r="AF50" i="19"/>
  <c r="AD50" i="19"/>
  <c r="AC50" i="19"/>
  <c r="AA50" i="19"/>
  <c r="Y50" i="19"/>
  <c r="X50" i="19"/>
  <c r="W50" i="19"/>
  <c r="T50" i="19"/>
  <c r="S50" i="19"/>
  <c r="V50" i="19" s="1"/>
  <c r="R50" i="19"/>
  <c r="Q50" i="19"/>
  <c r="P50" i="19"/>
  <c r="N50" i="19"/>
  <c r="J50" i="19"/>
  <c r="D50" i="19"/>
  <c r="C50" i="19" s="1"/>
  <c r="K50" i="19" s="1"/>
  <c r="BB49" i="19"/>
  <c r="AZ49" i="19"/>
  <c r="AY49" i="19"/>
  <c r="AX49" i="19"/>
  <c r="AV49" i="19"/>
  <c r="AU49" i="19"/>
  <c r="AS49" i="19"/>
  <c r="AR49" i="19"/>
  <c r="AQ49" i="19"/>
  <c r="AO49" i="19"/>
  <c r="AN49" i="19"/>
  <c r="AM49" i="19"/>
  <c r="AK49" i="19"/>
  <c r="AJ49" i="19"/>
  <c r="AH49" i="19"/>
  <c r="AG49" i="19"/>
  <c r="AF49" i="19"/>
  <c r="AD49" i="19"/>
  <c r="AC49" i="19"/>
  <c r="AA49" i="19"/>
  <c r="Y49" i="19"/>
  <c r="X49" i="19"/>
  <c r="W49" i="19"/>
  <c r="T49" i="19"/>
  <c r="S49" i="19"/>
  <c r="V49" i="19" s="1"/>
  <c r="R49" i="19"/>
  <c r="Q49" i="19"/>
  <c r="P49" i="19"/>
  <c r="N49" i="19"/>
  <c r="J49" i="19"/>
  <c r="D49" i="19"/>
  <c r="BB48" i="19"/>
  <c r="AZ48" i="19"/>
  <c r="AY48" i="19"/>
  <c r="AX48" i="19"/>
  <c r="AV48" i="19"/>
  <c r="AU48" i="19"/>
  <c r="AS48" i="19"/>
  <c r="AR48" i="19"/>
  <c r="AQ48" i="19"/>
  <c r="AO48" i="19"/>
  <c r="AN48" i="19"/>
  <c r="AM48" i="19"/>
  <c r="AK48" i="19"/>
  <c r="AJ48" i="19"/>
  <c r="AH48" i="19"/>
  <c r="AG48" i="19"/>
  <c r="AF48" i="19"/>
  <c r="AD48" i="19"/>
  <c r="AC48" i="19"/>
  <c r="AA48" i="19"/>
  <c r="Y48" i="19"/>
  <c r="X48" i="19"/>
  <c r="W48" i="19"/>
  <c r="T48" i="19"/>
  <c r="S48" i="19"/>
  <c r="V48" i="19" s="1"/>
  <c r="R48" i="19"/>
  <c r="Q48" i="19"/>
  <c r="P48" i="19"/>
  <c r="N48" i="19"/>
  <c r="M48" i="19"/>
  <c r="J48" i="19"/>
  <c r="D48" i="19"/>
  <c r="C48" i="19" s="1"/>
  <c r="K48" i="19" s="1"/>
  <c r="BB47" i="19"/>
  <c r="AZ47" i="19"/>
  <c r="AY47" i="19"/>
  <c r="AX47" i="19"/>
  <c r="AV47" i="19"/>
  <c r="AU47" i="19"/>
  <c r="AS47" i="19"/>
  <c r="AR47" i="19"/>
  <c r="AQ47" i="19"/>
  <c r="AO47" i="19"/>
  <c r="AN47" i="19"/>
  <c r="AM47" i="19"/>
  <c r="AK47" i="19"/>
  <c r="AJ47" i="19"/>
  <c r="AH47" i="19"/>
  <c r="AG47" i="19"/>
  <c r="AF47" i="19"/>
  <c r="AD47" i="19"/>
  <c r="AC47" i="19"/>
  <c r="AA47" i="19"/>
  <c r="Y47" i="19"/>
  <c r="X47" i="19"/>
  <c r="W47" i="19"/>
  <c r="T47" i="19"/>
  <c r="S47" i="19"/>
  <c r="V47" i="19" s="1"/>
  <c r="R47" i="19"/>
  <c r="Q47" i="19"/>
  <c r="P47" i="19"/>
  <c r="N47" i="19"/>
  <c r="M47" i="19"/>
  <c r="J47" i="19"/>
  <c r="D47" i="19"/>
  <c r="C47" i="19" s="1"/>
  <c r="K47" i="19" s="1"/>
  <c r="BB46" i="19"/>
  <c r="AZ46" i="19"/>
  <c r="AY46" i="19"/>
  <c r="AX46" i="19"/>
  <c r="AV46" i="19"/>
  <c r="AU46" i="19"/>
  <c r="AS46" i="19"/>
  <c r="AR46" i="19"/>
  <c r="AQ46" i="19"/>
  <c r="AO46" i="19"/>
  <c r="AN46" i="19"/>
  <c r="AM46" i="19"/>
  <c r="AK46" i="19"/>
  <c r="AJ46" i="19"/>
  <c r="AH46" i="19"/>
  <c r="AG46" i="19"/>
  <c r="AF46" i="19"/>
  <c r="AD46" i="19"/>
  <c r="AC46" i="19"/>
  <c r="AA46" i="19"/>
  <c r="Y46" i="19"/>
  <c r="X46" i="19"/>
  <c r="W46" i="19"/>
  <c r="T46" i="19"/>
  <c r="S46" i="19"/>
  <c r="V46" i="19" s="1"/>
  <c r="R46" i="19"/>
  <c r="Q46" i="19"/>
  <c r="P46" i="19"/>
  <c r="N46" i="19"/>
  <c r="J46" i="19"/>
  <c r="D46" i="19"/>
  <c r="C46" i="19" s="1"/>
  <c r="K46" i="19" s="1"/>
  <c r="BB45" i="19"/>
  <c r="AZ45" i="19"/>
  <c r="AY45" i="19"/>
  <c r="AX45" i="19"/>
  <c r="AV45" i="19"/>
  <c r="AU45" i="19"/>
  <c r="AS45" i="19"/>
  <c r="AR45" i="19"/>
  <c r="AQ45" i="19"/>
  <c r="AO45" i="19"/>
  <c r="AN45" i="19"/>
  <c r="AM45" i="19"/>
  <c r="AK45" i="19"/>
  <c r="AJ45" i="19"/>
  <c r="AH45" i="19"/>
  <c r="AG45" i="19"/>
  <c r="AF45" i="19"/>
  <c r="AD45" i="19"/>
  <c r="AC45" i="19"/>
  <c r="AA45" i="19"/>
  <c r="Y45" i="19"/>
  <c r="X45" i="19"/>
  <c r="W45" i="19"/>
  <c r="T45" i="19"/>
  <c r="S45" i="19"/>
  <c r="V45" i="19" s="1"/>
  <c r="R45" i="19"/>
  <c r="Q45" i="19"/>
  <c r="P45" i="19"/>
  <c r="N45" i="19"/>
  <c r="J45" i="19"/>
  <c r="D45" i="19"/>
  <c r="BB44" i="19"/>
  <c r="AZ44" i="19"/>
  <c r="AY44" i="19"/>
  <c r="AX44" i="19"/>
  <c r="AV44" i="19"/>
  <c r="AU44" i="19"/>
  <c r="AS44" i="19"/>
  <c r="AR44" i="19"/>
  <c r="AQ44" i="19"/>
  <c r="AO44" i="19"/>
  <c r="AN44" i="19"/>
  <c r="AM44" i="19"/>
  <c r="AK44" i="19"/>
  <c r="AJ44" i="19"/>
  <c r="AH44" i="19"/>
  <c r="AG44" i="19"/>
  <c r="AF44" i="19"/>
  <c r="AD44" i="19"/>
  <c r="AC44" i="19"/>
  <c r="AA44" i="19"/>
  <c r="Y44" i="19"/>
  <c r="X44" i="19"/>
  <c r="W44" i="19"/>
  <c r="T44" i="19"/>
  <c r="S44" i="19"/>
  <c r="V44" i="19" s="1"/>
  <c r="R44" i="19"/>
  <c r="Q44" i="19"/>
  <c r="P44" i="19"/>
  <c r="N44" i="19"/>
  <c r="J44" i="19"/>
  <c r="D44" i="19"/>
  <c r="C44" i="19" s="1"/>
  <c r="K44" i="19" s="1"/>
  <c r="BB43" i="19"/>
  <c r="AZ43" i="19"/>
  <c r="AY43" i="19"/>
  <c r="AX43" i="19"/>
  <c r="AV43" i="19"/>
  <c r="AU43" i="19"/>
  <c r="AS43" i="19"/>
  <c r="AR43" i="19"/>
  <c r="AQ43" i="19"/>
  <c r="AO43" i="19"/>
  <c r="AN43" i="19"/>
  <c r="AM43" i="19"/>
  <c r="AK43" i="19"/>
  <c r="AJ43" i="19"/>
  <c r="AH43" i="19"/>
  <c r="AG43" i="19"/>
  <c r="AF43" i="19"/>
  <c r="AD43" i="19"/>
  <c r="AC43" i="19"/>
  <c r="AA43" i="19"/>
  <c r="Y43" i="19"/>
  <c r="X43" i="19"/>
  <c r="W43" i="19"/>
  <c r="T43" i="19"/>
  <c r="S43" i="19"/>
  <c r="V43" i="19" s="1"/>
  <c r="R43" i="19"/>
  <c r="Q43" i="19"/>
  <c r="P43" i="19"/>
  <c r="N43" i="19"/>
  <c r="M43" i="19"/>
  <c r="J43" i="19"/>
  <c r="D43" i="19"/>
  <c r="C43" i="19" s="1"/>
  <c r="K43" i="19" s="1"/>
  <c r="BB42" i="19"/>
  <c r="AZ42" i="19"/>
  <c r="AY42" i="19"/>
  <c r="AX42" i="19"/>
  <c r="AV42" i="19"/>
  <c r="AU42" i="19"/>
  <c r="AS42" i="19"/>
  <c r="AR42" i="19"/>
  <c r="AQ42" i="19"/>
  <c r="AO42" i="19"/>
  <c r="AN42" i="19"/>
  <c r="AM42" i="19"/>
  <c r="AK42" i="19"/>
  <c r="AJ42" i="19"/>
  <c r="AH42" i="19"/>
  <c r="AG42" i="19"/>
  <c r="AF42" i="19"/>
  <c r="AD42" i="19"/>
  <c r="AC42" i="19"/>
  <c r="AA42" i="19"/>
  <c r="Y42" i="19"/>
  <c r="X42" i="19"/>
  <c r="W42" i="19"/>
  <c r="T42" i="19"/>
  <c r="S42" i="19"/>
  <c r="V42" i="19" s="1"/>
  <c r="R42" i="19"/>
  <c r="Q42" i="19"/>
  <c r="P42" i="19"/>
  <c r="N42" i="19"/>
  <c r="J42" i="19"/>
  <c r="D42" i="19"/>
  <c r="C42" i="19" s="1"/>
  <c r="K42" i="19" s="1"/>
  <c r="BB41" i="19"/>
  <c r="AZ41" i="19"/>
  <c r="AY41" i="19"/>
  <c r="AX41" i="19"/>
  <c r="AV41" i="19"/>
  <c r="AU41" i="19"/>
  <c r="AS41" i="19"/>
  <c r="AR41" i="19"/>
  <c r="AQ41" i="19"/>
  <c r="AO41" i="19"/>
  <c r="AN41" i="19"/>
  <c r="AM41" i="19"/>
  <c r="AK41" i="19"/>
  <c r="AJ41" i="19"/>
  <c r="AH41" i="19"/>
  <c r="AG41" i="19"/>
  <c r="AF41" i="19"/>
  <c r="AD41" i="19"/>
  <c r="AC41" i="19"/>
  <c r="AA41" i="19"/>
  <c r="Y41" i="19"/>
  <c r="X41" i="19"/>
  <c r="W41" i="19"/>
  <c r="T41" i="19"/>
  <c r="S41" i="19"/>
  <c r="V41" i="19" s="1"/>
  <c r="R41" i="19"/>
  <c r="Q41" i="19"/>
  <c r="P41" i="19"/>
  <c r="N41" i="19"/>
  <c r="J41" i="19"/>
  <c r="D41" i="19"/>
  <c r="BB40" i="19"/>
  <c r="AZ40" i="19"/>
  <c r="AY40" i="19"/>
  <c r="AX40" i="19"/>
  <c r="AV40" i="19"/>
  <c r="AU40" i="19"/>
  <c r="AS40" i="19"/>
  <c r="AR40" i="19"/>
  <c r="AQ40" i="19"/>
  <c r="AO40" i="19"/>
  <c r="AN40" i="19"/>
  <c r="AM40" i="19"/>
  <c r="AK40" i="19"/>
  <c r="AJ40" i="19"/>
  <c r="AH40" i="19"/>
  <c r="AG40" i="19"/>
  <c r="AF40" i="19"/>
  <c r="AD40" i="19"/>
  <c r="AC40" i="19"/>
  <c r="AA40" i="19"/>
  <c r="Y40" i="19"/>
  <c r="X40" i="19"/>
  <c r="W40" i="19"/>
  <c r="T40" i="19"/>
  <c r="S40" i="19"/>
  <c r="V40" i="19" s="1"/>
  <c r="R40" i="19"/>
  <c r="Q40" i="19"/>
  <c r="P40" i="19"/>
  <c r="N40" i="19"/>
  <c r="J40" i="19"/>
  <c r="D40" i="19"/>
  <c r="C40" i="19" s="1"/>
  <c r="K40" i="19" s="1"/>
  <c r="BB39" i="19"/>
  <c r="AZ39" i="19"/>
  <c r="AY39" i="19"/>
  <c r="AX39" i="19"/>
  <c r="AV39" i="19"/>
  <c r="AU39" i="19"/>
  <c r="AS39" i="19"/>
  <c r="AR39" i="19"/>
  <c r="AQ39" i="19"/>
  <c r="AO39" i="19"/>
  <c r="AN39" i="19"/>
  <c r="AM39" i="19"/>
  <c r="AK39" i="19"/>
  <c r="AJ39" i="19"/>
  <c r="AH39" i="19"/>
  <c r="AG39" i="19"/>
  <c r="AF39" i="19"/>
  <c r="AD39" i="19"/>
  <c r="AC39" i="19"/>
  <c r="AA39" i="19"/>
  <c r="Y39" i="19"/>
  <c r="X39" i="19"/>
  <c r="W39" i="19"/>
  <c r="T39" i="19"/>
  <c r="S39" i="19"/>
  <c r="V39" i="19" s="1"/>
  <c r="R39" i="19"/>
  <c r="Q39" i="19"/>
  <c r="P39" i="19"/>
  <c r="N39" i="19"/>
  <c r="J39" i="19"/>
  <c r="D39" i="19"/>
  <c r="C39" i="19" s="1"/>
  <c r="K39" i="19" s="1"/>
  <c r="BB38" i="19"/>
  <c r="AZ38" i="19"/>
  <c r="AY38" i="19"/>
  <c r="AX38" i="19"/>
  <c r="AV38" i="19"/>
  <c r="AU38" i="19"/>
  <c r="AS38" i="19"/>
  <c r="AR38" i="19"/>
  <c r="AQ38" i="19"/>
  <c r="AO38" i="19"/>
  <c r="AN38" i="19"/>
  <c r="AM38" i="19"/>
  <c r="AK38" i="19"/>
  <c r="AJ38" i="19"/>
  <c r="AH38" i="19"/>
  <c r="AG38" i="19"/>
  <c r="AF38" i="19"/>
  <c r="AD38" i="19"/>
  <c r="AC38" i="19"/>
  <c r="AA38" i="19"/>
  <c r="Y38" i="19"/>
  <c r="X38" i="19"/>
  <c r="W38" i="19"/>
  <c r="T38" i="19"/>
  <c r="S38" i="19"/>
  <c r="V38" i="19" s="1"/>
  <c r="R38" i="19"/>
  <c r="Q38" i="19"/>
  <c r="P38" i="19"/>
  <c r="N38" i="19"/>
  <c r="M38" i="19"/>
  <c r="J38" i="19"/>
  <c r="D38" i="19"/>
  <c r="C38" i="19" s="1"/>
  <c r="K38" i="19" s="1"/>
  <c r="BB37" i="19"/>
  <c r="AZ37" i="19"/>
  <c r="AY37" i="19"/>
  <c r="AX37" i="19"/>
  <c r="AV37" i="19"/>
  <c r="AU37" i="19"/>
  <c r="AS37" i="19"/>
  <c r="AR37" i="19"/>
  <c r="AQ37" i="19"/>
  <c r="AO37" i="19"/>
  <c r="AN37" i="19"/>
  <c r="AM37" i="19"/>
  <c r="AK37" i="19"/>
  <c r="AJ37" i="19"/>
  <c r="AH37" i="19"/>
  <c r="AG37" i="19"/>
  <c r="AF37" i="19"/>
  <c r="AD37" i="19"/>
  <c r="AC37" i="19"/>
  <c r="AA37" i="19"/>
  <c r="Y37" i="19"/>
  <c r="X37" i="19"/>
  <c r="W37" i="19"/>
  <c r="T37" i="19"/>
  <c r="S37" i="19"/>
  <c r="V37" i="19" s="1"/>
  <c r="R37" i="19"/>
  <c r="Q37" i="19"/>
  <c r="P37" i="19"/>
  <c r="N37" i="19"/>
  <c r="J37" i="19"/>
  <c r="D37" i="19"/>
  <c r="C37" i="19" s="1"/>
  <c r="K37" i="19" s="1"/>
  <c r="BB36" i="19"/>
  <c r="AZ36" i="19"/>
  <c r="AY36" i="19"/>
  <c r="AX36" i="19"/>
  <c r="AV36" i="19"/>
  <c r="AU36" i="19"/>
  <c r="AS36" i="19"/>
  <c r="AR36" i="19"/>
  <c r="AQ36" i="19"/>
  <c r="AO36" i="19"/>
  <c r="AN36" i="19"/>
  <c r="AM36" i="19"/>
  <c r="AK36" i="19"/>
  <c r="AJ36" i="19"/>
  <c r="AH36" i="19"/>
  <c r="AG36" i="19"/>
  <c r="AF36" i="19"/>
  <c r="AD36" i="19"/>
  <c r="AC36" i="19"/>
  <c r="AA36" i="19"/>
  <c r="Y36" i="19"/>
  <c r="X36" i="19"/>
  <c r="W36" i="19"/>
  <c r="T36" i="19"/>
  <c r="S36" i="19"/>
  <c r="V36" i="19" s="1"/>
  <c r="R36" i="19"/>
  <c r="Q36" i="19"/>
  <c r="P36" i="19"/>
  <c r="N36" i="19"/>
  <c r="J36" i="19"/>
  <c r="D36" i="19"/>
  <c r="C36" i="19" s="1"/>
  <c r="K36" i="19" s="1"/>
  <c r="BB35" i="19"/>
  <c r="AZ35" i="19"/>
  <c r="AY35" i="19"/>
  <c r="AX35" i="19"/>
  <c r="AV35" i="19"/>
  <c r="AU35" i="19"/>
  <c r="AS35" i="19"/>
  <c r="AR35" i="19"/>
  <c r="AQ35" i="19"/>
  <c r="AO35" i="19"/>
  <c r="AN35" i="19"/>
  <c r="AM35" i="19"/>
  <c r="AK35" i="19"/>
  <c r="AJ35" i="19"/>
  <c r="AH35" i="19"/>
  <c r="AG35" i="19"/>
  <c r="AF35" i="19"/>
  <c r="AD35" i="19"/>
  <c r="AC35" i="19"/>
  <c r="AA35" i="19"/>
  <c r="Y35" i="19"/>
  <c r="X35" i="19"/>
  <c r="W35" i="19"/>
  <c r="T35" i="19"/>
  <c r="S35" i="19"/>
  <c r="V35" i="19" s="1"/>
  <c r="R35" i="19"/>
  <c r="Q35" i="19"/>
  <c r="P35" i="19"/>
  <c r="N35" i="19"/>
  <c r="M35" i="19"/>
  <c r="J35" i="19"/>
  <c r="D35" i="19"/>
  <c r="C35" i="19" s="1"/>
  <c r="K35" i="19" s="1"/>
  <c r="BB34" i="19"/>
  <c r="AZ34" i="19"/>
  <c r="AY34" i="19"/>
  <c r="AX34" i="19"/>
  <c r="AV34" i="19"/>
  <c r="AU34" i="19"/>
  <c r="AS34" i="19"/>
  <c r="AR34" i="19"/>
  <c r="AQ34" i="19"/>
  <c r="AO34" i="19"/>
  <c r="AN34" i="19"/>
  <c r="AM34" i="19"/>
  <c r="AK34" i="19"/>
  <c r="AJ34" i="19"/>
  <c r="AH34" i="19"/>
  <c r="AG34" i="19"/>
  <c r="AF34" i="19"/>
  <c r="AD34" i="19"/>
  <c r="AC34" i="19"/>
  <c r="AA34" i="19"/>
  <c r="Y34" i="19"/>
  <c r="X34" i="19"/>
  <c r="W34" i="19"/>
  <c r="T34" i="19"/>
  <c r="S34" i="19"/>
  <c r="V34" i="19" s="1"/>
  <c r="R34" i="19"/>
  <c r="Q34" i="19"/>
  <c r="P34" i="19"/>
  <c r="N34" i="19"/>
  <c r="J34" i="19"/>
  <c r="D34" i="19"/>
  <c r="C34" i="19" s="1"/>
  <c r="K34" i="19" s="1"/>
  <c r="BB33" i="19"/>
  <c r="AZ33" i="19"/>
  <c r="AY33" i="19"/>
  <c r="AX33" i="19"/>
  <c r="AV33" i="19"/>
  <c r="AU33" i="19"/>
  <c r="AS33" i="19"/>
  <c r="AR33" i="19"/>
  <c r="AQ33" i="19"/>
  <c r="AO33" i="19"/>
  <c r="AN33" i="19"/>
  <c r="AM33" i="19"/>
  <c r="AK33" i="19"/>
  <c r="AJ33" i="19"/>
  <c r="AH33" i="19"/>
  <c r="AG33" i="19"/>
  <c r="AF33" i="19"/>
  <c r="AD33" i="19"/>
  <c r="AC33" i="19"/>
  <c r="AA33" i="19"/>
  <c r="Y33" i="19"/>
  <c r="X33" i="19"/>
  <c r="W33" i="19"/>
  <c r="T33" i="19"/>
  <c r="S33" i="19"/>
  <c r="V33" i="19" s="1"/>
  <c r="R33" i="19"/>
  <c r="Q33" i="19"/>
  <c r="P33" i="19"/>
  <c r="N33" i="19"/>
  <c r="M33" i="19"/>
  <c r="J33" i="19"/>
  <c r="D33" i="19"/>
  <c r="C33" i="19" s="1"/>
  <c r="K33" i="19" s="1"/>
  <c r="BB32" i="19"/>
  <c r="AZ32" i="19"/>
  <c r="AY32" i="19"/>
  <c r="AX32" i="19"/>
  <c r="AV32" i="19"/>
  <c r="AU32" i="19"/>
  <c r="AS32" i="19"/>
  <c r="AR32" i="19"/>
  <c r="AQ32" i="19"/>
  <c r="AO32" i="19"/>
  <c r="AN32" i="19"/>
  <c r="AM32" i="19"/>
  <c r="AK32" i="19"/>
  <c r="AJ32" i="19"/>
  <c r="AH32" i="19"/>
  <c r="AG32" i="19"/>
  <c r="AF32" i="19"/>
  <c r="AD32" i="19"/>
  <c r="AC32" i="19"/>
  <c r="AA32" i="19"/>
  <c r="Y32" i="19"/>
  <c r="X32" i="19"/>
  <c r="W32" i="19"/>
  <c r="T32" i="19"/>
  <c r="S32" i="19"/>
  <c r="R32" i="19"/>
  <c r="Q32" i="19"/>
  <c r="P32" i="19"/>
  <c r="N32" i="19"/>
  <c r="M32" i="19"/>
  <c r="J32" i="19"/>
  <c r="D32" i="19"/>
  <c r="Q31" i="19"/>
  <c r="O31" i="19"/>
  <c r="L31" i="19"/>
  <c r="I31" i="19"/>
  <c r="H31" i="19"/>
  <c r="N31" i="19" s="1"/>
  <c r="G31" i="19"/>
  <c r="P31" i="19" s="1"/>
  <c r="F31" i="19"/>
  <c r="E31" i="19"/>
  <c r="BB30" i="19"/>
  <c r="AZ30" i="19"/>
  <c r="AY30" i="19"/>
  <c r="AX30" i="19"/>
  <c r="AV30" i="19"/>
  <c r="AU30" i="19"/>
  <c r="AS30" i="19"/>
  <c r="AR30" i="19"/>
  <c r="AQ30" i="19"/>
  <c r="AO30" i="19"/>
  <c r="AN30" i="19"/>
  <c r="AM30" i="19"/>
  <c r="AK30" i="19"/>
  <c r="AJ30" i="19"/>
  <c r="AH30" i="19"/>
  <c r="AG30" i="19"/>
  <c r="AF30" i="19"/>
  <c r="AD30" i="19"/>
  <c r="AC30" i="19"/>
  <c r="AA30" i="19"/>
  <c r="Y30" i="19"/>
  <c r="X30" i="19"/>
  <c r="W30" i="19"/>
  <c r="T30" i="19"/>
  <c r="S30" i="19"/>
  <c r="V30" i="19" s="1"/>
  <c r="R30" i="19"/>
  <c r="Q30" i="19"/>
  <c r="P30" i="19"/>
  <c r="N30" i="19"/>
  <c r="J30" i="19"/>
  <c r="D30" i="19"/>
  <c r="M30" i="19" s="1"/>
  <c r="C30" i="19"/>
  <c r="K30" i="19" s="1"/>
  <c r="BB29" i="19"/>
  <c r="AZ29" i="19"/>
  <c r="AY29" i="19"/>
  <c r="AX29" i="19"/>
  <c r="AV29" i="19"/>
  <c r="AU29" i="19"/>
  <c r="AS29" i="19"/>
  <c r="AR29" i="19"/>
  <c r="AQ29" i="19"/>
  <c r="AO29" i="19"/>
  <c r="AN29" i="19"/>
  <c r="AM29" i="19"/>
  <c r="AK29" i="19"/>
  <c r="AJ29" i="19"/>
  <c r="AH29" i="19"/>
  <c r="AG29" i="19"/>
  <c r="AF29" i="19"/>
  <c r="AD29" i="19"/>
  <c r="AC29" i="19"/>
  <c r="AA29" i="19"/>
  <c r="Y29" i="19"/>
  <c r="X29" i="19"/>
  <c r="W29" i="19"/>
  <c r="T29" i="19"/>
  <c r="S29" i="19"/>
  <c r="V29" i="19" s="1"/>
  <c r="R29" i="19"/>
  <c r="Q29" i="19"/>
  <c r="P29" i="19"/>
  <c r="N29" i="19"/>
  <c r="J29" i="19"/>
  <c r="D29" i="19"/>
  <c r="M29" i="19" s="1"/>
  <c r="C29" i="19"/>
  <c r="K29" i="19" s="1"/>
  <c r="BB28" i="19"/>
  <c r="AZ28" i="19"/>
  <c r="AY28" i="19"/>
  <c r="AX28" i="19"/>
  <c r="AV28" i="19"/>
  <c r="AU28" i="19"/>
  <c r="AS28" i="19"/>
  <c r="AR28" i="19"/>
  <c r="AQ28" i="19"/>
  <c r="AO28" i="19"/>
  <c r="AN28" i="19"/>
  <c r="AM28" i="19"/>
  <c r="AK28" i="19"/>
  <c r="AJ28" i="19"/>
  <c r="AH28" i="19"/>
  <c r="AG28" i="19"/>
  <c r="AF28" i="19"/>
  <c r="AD28" i="19"/>
  <c r="AC28" i="19"/>
  <c r="AA28" i="19"/>
  <c r="Y28" i="19"/>
  <c r="X28" i="19"/>
  <c r="W28" i="19"/>
  <c r="T28" i="19"/>
  <c r="S28" i="19"/>
  <c r="V28" i="19" s="1"/>
  <c r="R28" i="19"/>
  <c r="Q28" i="19"/>
  <c r="P28" i="19"/>
  <c r="N28" i="19"/>
  <c r="K28" i="19"/>
  <c r="J28" i="19"/>
  <c r="D28" i="19"/>
  <c r="M28" i="19" s="1"/>
  <c r="C28" i="19"/>
  <c r="BB27" i="19"/>
  <c r="AZ27" i="19"/>
  <c r="AY27" i="19"/>
  <c r="AX27" i="19"/>
  <c r="AV27" i="19"/>
  <c r="AU27" i="19"/>
  <c r="AS27" i="19"/>
  <c r="AR27" i="19"/>
  <c r="AQ27" i="19"/>
  <c r="AO27" i="19"/>
  <c r="AN27" i="19"/>
  <c r="AM27" i="19"/>
  <c r="AK27" i="19"/>
  <c r="AJ27" i="19"/>
  <c r="AH27" i="19"/>
  <c r="AG27" i="19"/>
  <c r="AF27" i="19"/>
  <c r="AD27" i="19"/>
  <c r="AC27" i="19"/>
  <c r="AA27" i="19"/>
  <c r="Y27" i="19"/>
  <c r="X27" i="19"/>
  <c r="W27" i="19"/>
  <c r="T27" i="19"/>
  <c r="S27" i="19"/>
  <c r="V27" i="19" s="1"/>
  <c r="R27" i="19"/>
  <c r="Q27" i="19"/>
  <c r="P27" i="19"/>
  <c r="N27" i="19"/>
  <c r="M27" i="19"/>
  <c r="J27" i="19"/>
  <c r="D27" i="19"/>
  <c r="C27" i="19"/>
  <c r="K27" i="19" s="1"/>
  <c r="BB26" i="19"/>
  <c r="AZ26" i="19"/>
  <c r="AY26" i="19"/>
  <c r="AX26" i="19"/>
  <c r="AV26" i="19"/>
  <c r="AU26" i="19"/>
  <c r="AS26" i="19"/>
  <c r="AR26" i="19"/>
  <c r="AQ26" i="19"/>
  <c r="AO26" i="19"/>
  <c r="AN26" i="19"/>
  <c r="AM26" i="19"/>
  <c r="AK26" i="19"/>
  <c r="AJ26" i="19"/>
  <c r="AH26" i="19"/>
  <c r="AG26" i="19"/>
  <c r="AF26" i="19"/>
  <c r="AD26" i="19"/>
  <c r="AC26" i="19"/>
  <c r="AA26" i="19"/>
  <c r="Y26" i="19"/>
  <c r="X26" i="19"/>
  <c r="W26" i="19"/>
  <c r="T26" i="19"/>
  <c r="S26" i="19"/>
  <c r="V26" i="19" s="1"/>
  <c r="R26" i="19"/>
  <c r="Q26" i="19"/>
  <c r="P26" i="19"/>
  <c r="N26" i="19"/>
  <c r="J26" i="19"/>
  <c r="D26" i="19"/>
  <c r="M26" i="19" s="1"/>
  <c r="BB25" i="19"/>
  <c r="AZ25" i="19"/>
  <c r="AY25" i="19"/>
  <c r="AX25" i="19"/>
  <c r="AV25" i="19"/>
  <c r="AU25" i="19"/>
  <c r="AS25" i="19"/>
  <c r="AR25" i="19"/>
  <c r="AQ25" i="19"/>
  <c r="AO25" i="19"/>
  <c r="AN25" i="19"/>
  <c r="AM25" i="19"/>
  <c r="AK25" i="19"/>
  <c r="AJ25" i="19"/>
  <c r="AH25" i="19"/>
  <c r="AG25" i="19"/>
  <c r="AF25" i="19"/>
  <c r="AD25" i="19"/>
  <c r="AC25" i="19"/>
  <c r="AA25" i="19"/>
  <c r="Y25" i="19"/>
  <c r="X25" i="19"/>
  <c r="W25" i="19"/>
  <c r="T25" i="19"/>
  <c r="S25" i="19"/>
  <c r="V25" i="19" s="1"/>
  <c r="R25" i="19"/>
  <c r="Q25" i="19"/>
  <c r="P25" i="19"/>
  <c r="N25" i="19"/>
  <c r="J25" i="19"/>
  <c r="D25" i="19"/>
  <c r="C25" i="19" s="1"/>
  <c r="K25" i="19" s="1"/>
  <c r="BB24" i="19"/>
  <c r="AZ24" i="19"/>
  <c r="AY24" i="19"/>
  <c r="AX24" i="19"/>
  <c r="AV24" i="19"/>
  <c r="AU24" i="19"/>
  <c r="AS24" i="19"/>
  <c r="AR24" i="19"/>
  <c r="AQ24" i="19"/>
  <c r="AO24" i="19"/>
  <c r="AN24" i="19"/>
  <c r="AM24" i="19"/>
  <c r="AK24" i="19"/>
  <c r="AJ24" i="19"/>
  <c r="AH24" i="19"/>
  <c r="AG24" i="19"/>
  <c r="AF24" i="19"/>
  <c r="AD24" i="19"/>
  <c r="AC24" i="19"/>
  <c r="AA24" i="19"/>
  <c r="Y24" i="19"/>
  <c r="X24" i="19"/>
  <c r="W24" i="19"/>
  <c r="T24" i="19"/>
  <c r="S24" i="19"/>
  <c r="V24" i="19" s="1"/>
  <c r="R24" i="19"/>
  <c r="Q24" i="19"/>
  <c r="P24" i="19"/>
  <c r="N24" i="19"/>
  <c r="J24" i="19"/>
  <c r="D24" i="19"/>
  <c r="M24" i="19" s="1"/>
  <c r="C24" i="19"/>
  <c r="K24" i="19" s="1"/>
  <c r="BB23" i="19"/>
  <c r="AZ23" i="19"/>
  <c r="AY23" i="19"/>
  <c r="AX23" i="19"/>
  <c r="AV23" i="19"/>
  <c r="AU23" i="19"/>
  <c r="AS23" i="19"/>
  <c r="AR23" i="19"/>
  <c r="AQ23" i="19"/>
  <c r="AO23" i="19"/>
  <c r="AN23" i="19"/>
  <c r="AM23" i="19"/>
  <c r="AK23" i="19"/>
  <c r="AJ23" i="19"/>
  <c r="AH23" i="19"/>
  <c r="AG23" i="19"/>
  <c r="AF23" i="19"/>
  <c r="AD23" i="19"/>
  <c r="AC23" i="19"/>
  <c r="AA23" i="19"/>
  <c r="Y23" i="19"/>
  <c r="X23" i="19"/>
  <c r="W23" i="19"/>
  <c r="T23" i="19"/>
  <c r="S23" i="19"/>
  <c r="V23" i="19" s="1"/>
  <c r="R23" i="19"/>
  <c r="Q23" i="19"/>
  <c r="P23" i="19"/>
  <c r="N23" i="19"/>
  <c r="J23" i="19"/>
  <c r="D23" i="19"/>
  <c r="M23" i="19" s="1"/>
  <c r="C23" i="19"/>
  <c r="K23" i="19" s="1"/>
  <c r="BB22" i="19"/>
  <c r="AZ22" i="19"/>
  <c r="AY22" i="19"/>
  <c r="AX22" i="19"/>
  <c r="AV22" i="19"/>
  <c r="AU22" i="19"/>
  <c r="AS22" i="19"/>
  <c r="AR22" i="19"/>
  <c r="AQ22" i="19"/>
  <c r="AO22" i="19"/>
  <c r="AN22" i="19"/>
  <c r="AM22" i="19"/>
  <c r="AK22" i="19"/>
  <c r="AJ22" i="19"/>
  <c r="AH22" i="19"/>
  <c r="AG22" i="19"/>
  <c r="AF22" i="19"/>
  <c r="AD22" i="19"/>
  <c r="AC22" i="19"/>
  <c r="AA22" i="19"/>
  <c r="Y22" i="19"/>
  <c r="X22" i="19"/>
  <c r="W22" i="19"/>
  <c r="T22" i="19"/>
  <c r="S22" i="19"/>
  <c r="V22" i="19" s="1"/>
  <c r="R22" i="19"/>
  <c r="Q22" i="19"/>
  <c r="P22" i="19"/>
  <c r="N22" i="19"/>
  <c r="M22" i="19"/>
  <c r="J22" i="19"/>
  <c r="D22" i="19"/>
  <c r="C22" i="19" s="1"/>
  <c r="K22" i="19" s="1"/>
  <c r="BB21" i="19"/>
  <c r="AZ21" i="19"/>
  <c r="AY21" i="19"/>
  <c r="AX21" i="19"/>
  <c r="AV21" i="19"/>
  <c r="AU21" i="19"/>
  <c r="AS21" i="19"/>
  <c r="AR21" i="19"/>
  <c r="AQ21" i="19"/>
  <c r="AO21" i="19"/>
  <c r="AN21" i="19"/>
  <c r="AM21" i="19"/>
  <c r="AK21" i="19"/>
  <c r="AJ21" i="19"/>
  <c r="AH21" i="19"/>
  <c r="AG21" i="19"/>
  <c r="AF21" i="19"/>
  <c r="AD21" i="19"/>
  <c r="AC21" i="19"/>
  <c r="AA21" i="19"/>
  <c r="Y21" i="19"/>
  <c r="X21" i="19"/>
  <c r="W21" i="19"/>
  <c r="T21" i="19"/>
  <c r="S21" i="19"/>
  <c r="V21" i="19" s="1"/>
  <c r="R21" i="19"/>
  <c r="Q21" i="19"/>
  <c r="P21" i="19"/>
  <c r="N21" i="19"/>
  <c r="J21" i="19"/>
  <c r="D21" i="19"/>
  <c r="M21" i="19" s="1"/>
  <c r="C21" i="19"/>
  <c r="K21" i="19" s="1"/>
  <c r="BB20" i="19"/>
  <c r="AZ20" i="19"/>
  <c r="AY20" i="19"/>
  <c r="AX20" i="19"/>
  <c r="AV20" i="19"/>
  <c r="AU20" i="19"/>
  <c r="AS20" i="19"/>
  <c r="AR20" i="19"/>
  <c r="AQ20" i="19"/>
  <c r="AO20" i="19"/>
  <c r="AN20" i="19"/>
  <c r="AM20" i="19"/>
  <c r="AK20" i="19"/>
  <c r="AJ20" i="19"/>
  <c r="AH20" i="19"/>
  <c r="AG20" i="19"/>
  <c r="AF20" i="19"/>
  <c r="AD20" i="19"/>
  <c r="AC20" i="19"/>
  <c r="AA20" i="19"/>
  <c r="Y20" i="19"/>
  <c r="X20" i="19"/>
  <c r="W20" i="19"/>
  <c r="T20" i="19"/>
  <c r="S20" i="19"/>
  <c r="V20" i="19" s="1"/>
  <c r="R20" i="19"/>
  <c r="Q20" i="19"/>
  <c r="P20" i="19"/>
  <c r="N20" i="19"/>
  <c r="M20" i="19"/>
  <c r="J20" i="19"/>
  <c r="D20" i="19"/>
  <c r="C20" i="19" s="1"/>
  <c r="K20" i="19" s="1"/>
  <c r="BB19" i="19"/>
  <c r="AZ19" i="19"/>
  <c r="AY19" i="19"/>
  <c r="AX19" i="19"/>
  <c r="AV19" i="19"/>
  <c r="AU19" i="19"/>
  <c r="AS19" i="19"/>
  <c r="AR19" i="19"/>
  <c r="AQ19" i="19"/>
  <c r="AO19" i="19"/>
  <c r="AN19" i="19"/>
  <c r="AM19" i="19"/>
  <c r="AK19" i="19"/>
  <c r="AJ19" i="19"/>
  <c r="AH19" i="19"/>
  <c r="AG19" i="19"/>
  <c r="AF19" i="19"/>
  <c r="AD19" i="19"/>
  <c r="AC19" i="19"/>
  <c r="AA19" i="19"/>
  <c r="Y19" i="19"/>
  <c r="X19" i="19"/>
  <c r="W19" i="19"/>
  <c r="T19" i="19"/>
  <c r="S19" i="19"/>
  <c r="V19" i="19" s="1"/>
  <c r="R19" i="19"/>
  <c r="Q19" i="19"/>
  <c r="P19" i="19"/>
  <c r="N19" i="19"/>
  <c r="J19" i="19"/>
  <c r="D19" i="19"/>
  <c r="M19" i="19" s="1"/>
  <c r="C19" i="19"/>
  <c r="K19" i="19" s="1"/>
  <c r="BB18" i="19"/>
  <c r="AZ18" i="19"/>
  <c r="AY18" i="19"/>
  <c r="AX18" i="19"/>
  <c r="AV18" i="19"/>
  <c r="AU18" i="19"/>
  <c r="AS18" i="19"/>
  <c r="AR18" i="19"/>
  <c r="AQ18" i="19"/>
  <c r="AO18" i="19"/>
  <c r="AN18" i="19"/>
  <c r="AM18" i="19"/>
  <c r="AK18" i="19"/>
  <c r="AJ18" i="19"/>
  <c r="AH18" i="19"/>
  <c r="AG18" i="19"/>
  <c r="AF18" i="19"/>
  <c r="AD18" i="19"/>
  <c r="AC18" i="19"/>
  <c r="AA18" i="19"/>
  <c r="Y18" i="19"/>
  <c r="X18" i="19"/>
  <c r="W18" i="19"/>
  <c r="T18" i="19"/>
  <c r="S18" i="19"/>
  <c r="V18" i="19" s="1"/>
  <c r="R18" i="19"/>
  <c r="Q18" i="19"/>
  <c r="P18" i="19"/>
  <c r="N18" i="19"/>
  <c r="M18" i="19"/>
  <c r="J18" i="19"/>
  <c r="D18" i="19"/>
  <c r="C18" i="19" s="1"/>
  <c r="K18" i="19" s="1"/>
  <c r="BB17" i="19"/>
  <c r="AZ17" i="19"/>
  <c r="AY17" i="19"/>
  <c r="AX17" i="19"/>
  <c r="AV17" i="19"/>
  <c r="AU17" i="19"/>
  <c r="AS17" i="19"/>
  <c r="AR17" i="19"/>
  <c r="AQ17" i="19"/>
  <c r="AO17" i="19"/>
  <c r="AN17" i="19"/>
  <c r="AM17" i="19"/>
  <c r="AK17" i="19"/>
  <c r="AJ17" i="19"/>
  <c r="AH17" i="19"/>
  <c r="AG17" i="19"/>
  <c r="AF17" i="19"/>
  <c r="AD17" i="19"/>
  <c r="AC17" i="19"/>
  <c r="AA17" i="19"/>
  <c r="Y17" i="19"/>
  <c r="X17" i="19"/>
  <c r="W17" i="19"/>
  <c r="T17" i="19"/>
  <c r="S17" i="19"/>
  <c r="V17" i="19" s="1"/>
  <c r="R17" i="19"/>
  <c r="Q17" i="19"/>
  <c r="P17" i="19"/>
  <c r="N17" i="19"/>
  <c r="J17" i="19"/>
  <c r="D17" i="19"/>
  <c r="M17" i="19" s="1"/>
  <c r="C17" i="19"/>
  <c r="K17" i="19" s="1"/>
  <c r="BB16" i="19"/>
  <c r="AZ16" i="19"/>
  <c r="AY16" i="19"/>
  <c r="AX16" i="19"/>
  <c r="AV16" i="19"/>
  <c r="AU16" i="19"/>
  <c r="AS16" i="19"/>
  <c r="AR16" i="19"/>
  <c r="AQ16" i="19"/>
  <c r="AO16" i="19"/>
  <c r="AN16" i="19"/>
  <c r="AM16" i="19"/>
  <c r="AK16" i="19"/>
  <c r="AJ16" i="19"/>
  <c r="AH16" i="19"/>
  <c r="AG16" i="19"/>
  <c r="AF16" i="19"/>
  <c r="AD16" i="19"/>
  <c r="AC16" i="19"/>
  <c r="AA16" i="19"/>
  <c r="Y16" i="19"/>
  <c r="X16" i="19"/>
  <c r="W16" i="19"/>
  <c r="T16" i="19"/>
  <c r="S16" i="19"/>
  <c r="V16" i="19" s="1"/>
  <c r="R16" i="19"/>
  <c r="Q16" i="19"/>
  <c r="P16" i="19"/>
  <c r="N16" i="19"/>
  <c r="M16" i="19"/>
  <c r="J16" i="19"/>
  <c r="D16" i="19"/>
  <c r="C16" i="19" s="1"/>
  <c r="K16" i="19" s="1"/>
  <c r="BB15" i="19"/>
  <c r="AZ15" i="19"/>
  <c r="AY15" i="19"/>
  <c r="AX15" i="19"/>
  <c r="AV15" i="19"/>
  <c r="AU15" i="19"/>
  <c r="AS15" i="19"/>
  <c r="AR15" i="19"/>
  <c r="AQ15" i="19"/>
  <c r="AO15" i="19"/>
  <c r="AN15" i="19"/>
  <c r="AM15" i="19"/>
  <c r="AK15" i="19"/>
  <c r="AJ15" i="19"/>
  <c r="AH15" i="19"/>
  <c r="AG15" i="19"/>
  <c r="AF15" i="19"/>
  <c r="AD15" i="19"/>
  <c r="AC15" i="19"/>
  <c r="AA15" i="19"/>
  <c r="Y15" i="19"/>
  <c r="X15" i="19"/>
  <c r="W15" i="19"/>
  <c r="T15" i="19"/>
  <c r="S15" i="19"/>
  <c r="V15" i="19" s="1"/>
  <c r="R15" i="19"/>
  <c r="Q15" i="19"/>
  <c r="P15" i="19"/>
  <c r="N15" i="19"/>
  <c r="J15" i="19"/>
  <c r="D15" i="19"/>
  <c r="M15" i="19" s="1"/>
  <c r="C15" i="19"/>
  <c r="K15" i="19" s="1"/>
  <c r="BB14" i="19"/>
  <c r="AZ14" i="19"/>
  <c r="AY14" i="19"/>
  <c r="AX14" i="19"/>
  <c r="AV14" i="19"/>
  <c r="AU14" i="19"/>
  <c r="AS14" i="19"/>
  <c r="AR14" i="19"/>
  <c r="AQ14" i="19"/>
  <c r="AO14" i="19"/>
  <c r="AN14" i="19"/>
  <c r="AM14" i="19"/>
  <c r="AK14" i="19"/>
  <c r="AJ14" i="19"/>
  <c r="AH14" i="19"/>
  <c r="AG14" i="19"/>
  <c r="AF14" i="19"/>
  <c r="AD14" i="19"/>
  <c r="AC14" i="19"/>
  <c r="AA14" i="19"/>
  <c r="Y14" i="19"/>
  <c r="X14" i="19"/>
  <c r="W14" i="19"/>
  <c r="T14" i="19"/>
  <c r="S14" i="19"/>
  <c r="R14" i="19"/>
  <c r="Q14" i="19"/>
  <c r="P14" i="19"/>
  <c r="N14" i="19"/>
  <c r="M14" i="19"/>
  <c r="J14" i="19"/>
  <c r="D14" i="19"/>
  <c r="C14" i="19" s="1"/>
  <c r="K14" i="19" s="1"/>
  <c r="Q13" i="19"/>
  <c r="O13" i="19"/>
  <c r="L13" i="19"/>
  <c r="J13" i="19" s="1"/>
  <c r="I13" i="19"/>
  <c r="H13" i="19"/>
  <c r="N13" i="19" s="1"/>
  <c r="G13" i="19"/>
  <c r="G8" i="19" s="1"/>
  <c r="P8" i="19" s="1"/>
  <c r="F13" i="19"/>
  <c r="E13" i="19"/>
  <c r="T9" i="19"/>
  <c r="S9" i="19"/>
  <c r="V9" i="19" s="1"/>
  <c r="R9" i="19"/>
  <c r="O9" i="19"/>
  <c r="L9" i="19"/>
  <c r="J9" i="19" s="1"/>
  <c r="I9" i="19"/>
  <c r="Q9" i="19" s="1"/>
  <c r="H9" i="19"/>
  <c r="N9" i="19" s="1"/>
  <c r="G9" i="19"/>
  <c r="F9" i="19"/>
  <c r="E9" i="19"/>
  <c r="D9" i="19"/>
  <c r="M9" i="19" s="1"/>
  <c r="L8" i="19"/>
  <c r="L7" i="19" s="1"/>
  <c r="I8" i="19"/>
  <c r="I7" i="19" s="1"/>
  <c r="Q7" i="19" s="1"/>
  <c r="F8" i="19"/>
  <c r="E8" i="19"/>
  <c r="E7" i="19" s="1"/>
  <c r="V106" i="18"/>
  <c r="U106" i="18"/>
  <c r="Q106" i="18"/>
  <c r="P106" i="18"/>
  <c r="N106" i="18"/>
  <c r="M106" i="18"/>
  <c r="K106" i="18"/>
  <c r="J106" i="18"/>
  <c r="D106" i="18"/>
  <c r="C106" i="18"/>
  <c r="V105" i="18"/>
  <c r="U105" i="18"/>
  <c r="Q105" i="18"/>
  <c r="P105" i="18"/>
  <c r="N105" i="18"/>
  <c r="J105" i="18"/>
  <c r="D105" i="18"/>
  <c r="V104" i="18"/>
  <c r="U104" i="18"/>
  <c r="Q104" i="18"/>
  <c r="P104" i="18"/>
  <c r="N104" i="18"/>
  <c r="M104" i="18"/>
  <c r="J104" i="18"/>
  <c r="D104" i="18"/>
  <c r="C104" i="18"/>
  <c r="K104" i="18" s="1"/>
  <c r="V103" i="18"/>
  <c r="U103" i="18"/>
  <c r="Q103" i="18"/>
  <c r="P103" i="18"/>
  <c r="N103" i="18"/>
  <c r="M103" i="18"/>
  <c r="K103" i="18"/>
  <c r="J103" i="18"/>
  <c r="D103" i="18"/>
  <c r="C103" i="18"/>
  <c r="V102" i="18"/>
  <c r="U102" i="18"/>
  <c r="Q102" i="18"/>
  <c r="P102" i="18"/>
  <c r="N102" i="18"/>
  <c r="J102" i="18"/>
  <c r="D102" i="18"/>
  <c r="V101" i="18"/>
  <c r="U101" i="18"/>
  <c r="Q101" i="18"/>
  <c r="P101" i="18"/>
  <c r="N101" i="18"/>
  <c r="M101" i="18"/>
  <c r="J101" i="18"/>
  <c r="D101" i="18"/>
  <c r="C101" i="18"/>
  <c r="K101" i="18" s="1"/>
  <c r="V100" i="18"/>
  <c r="U100" i="18"/>
  <c r="Q100" i="18"/>
  <c r="P100" i="18"/>
  <c r="N100" i="18"/>
  <c r="M100" i="18"/>
  <c r="K100" i="18"/>
  <c r="J100" i="18"/>
  <c r="D100" i="18"/>
  <c r="C100" i="18"/>
  <c r="V99" i="18"/>
  <c r="U99" i="18"/>
  <c r="Q99" i="18"/>
  <c r="P99" i="18"/>
  <c r="N99" i="18"/>
  <c r="J99" i="18"/>
  <c r="D99" i="18"/>
  <c r="V98" i="18"/>
  <c r="U98" i="18"/>
  <c r="Q98" i="18"/>
  <c r="P98" i="18"/>
  <c r="N98" i="18"/>
  <c r="M98" i="18"/>
  <c r="J98" i="18"/>
  <c r="D98" i="18"/>
  <c r="C98" i="18"/>
  <c r="K98" i="18" s="1"/>
  <c r="V97" i="18"/>
  <c r="U97" i="18"/>
  <c r="Q97" i="18"/>
  <c r="P97" i="18"/>
  <c r="N97" i="18"/>
  <c r="M97" i="18"/>
  <c r="K97" i="18"/>
  <c r="J97" i="18"/>
  <c r="D97" i="18"/>
  <c r="C97" i="18"/>
  <c r="V96" i="18"/>
  <c r="U96" i="18"/>
  <c r="Q96" i="18"/>
  <c r="P96" i="18"/>
  <c r="N96" i="18"/>
  <c r="J96" i="18"/>
  <c r="D96" i="18"/>
  <c r="V95" i="18"/>
  <c r="U95" i="18"/>
  <c r="Q95" i="18"/>
  <c r="P95" i="18"/>
  <c r="N95" i="18"/>
  <c r="M95" i="18"/>
  <c r="J95" i="18"/>
  <c r="D95" i="18"/>
  <c r="C95" i="18"/>
  <c r="K95" i="18" s="1"/>
  <c r="V94" i="18"/>
  <c r="U94" i="18"/>
  <c r="Q94" i="18"/>
  <c r="P94" i="18"/>
  <c r="N94" i="18"/>
  <c r="M94" i="18"/>
  <c r="K94" i="18"/>
  <c r="J94" i="18"/>
  <c r="D94" i="18"/>
  <c r="C94" i="18"/>
  <c r="V93" i="18"/>
  <c r="U93" i="18"/>
  <c r="Q93" i="18"/>
  <c r="P93" i="18"/>
  <c r="N93" i="18"/>
  <c r="J93" i="18"/>
  <c r="D93" i="18"/>
  <c r="V92" i="18"/>
  <c r="U92" i="18"/>
  <c r="Q92" i="18"/>
  <c r="P92" i="18"/>
  <c r="N92" i="18"/>
  <c r="M92" i="18"/>
  <c r="J92" i="18"/>
  <c r="D92" i="18"/>
  <c r="C92" i="18"/>
  <c r="K92" i="18" s="1"/>
  <c r="V91" i="18"/>
  <c r="U91" i="18"/>
  <c r="Q91" i="18"/>
  <c r="P91" i="18"/>
  <c r="N91" i="18"/>
  <c r="M91" i="18"/>
  <c r="K91" i="18"/>
  <c r="J91" i="18"/>
  <c r="D91" i="18"/>
  <c r="C91" i="18"/>
  <c r="V90" i="18"/>
  <c r="U90" i="18"/>
  <c r="Q90" i="18"/>
  <c r="P90" i="18"/>
  <c r="P89" i="18" s="1"/>
  <c r="N90" i="18"/>
  <c r="J90" i="18"/>
  <c r="J89" i="18" s="1"/>
  <c r="D90" i="18"/>
  <c r="T89" i="18"/>
  <c r="S89" i="18"/>
  <c r="V89" i="18" s="1"/>
  <c r="R89" i="18"/>
  <c r="U89" i="18" s="1"/>
  <c r="O89" i="18"/>
  <c r="L89" i="18"/>
  <c r="I89" i="18"/>
  <c r="H89" i="18"/>
  <c r="G89" i="18"/>
  <c r="F89" i="18"/>
  <c r="E89" i="18"/>
  <c r="AR88" i="18"/>
  <c r="AQ88" i="18"/>
  <c r="AP88" i="18"/>
  <c r="AN88" i="18"/>
  <c r="AM88" i="18"/>
  <c r="AL88" i="18"/>
  <c r="AO88" i="18" s="1"/>
  <c r="AJ88" i="18"/>
  <c r="AI88" i="18"/>
  <c r="AH88" i="18"/>
  <c r="AF88" i="18"/>
  <c r="AE88" i="18"/>
  <c r="AD88" i="18"/>
  <c r="AG88" i="18" s="1"/>
  <c r="AB88" i="18"/>
  <c r="AA88" i="18"/>
  <c r="Z88" i="18"/>
  <c r="X88" i="18"/>
  <c r="W88" i="18"/>
  <c r="Y88" i="18" s="1"/>
  <c r="T88" i="18"/>
  <c r="S88" i="18"/>
  <c r="V88" i="18" s="1"/>
  <c r="R88" i="18"/>
  <c r="Q88" i="18"/>
  <c r="P88" i="18"/>
  <c r="N88" i="18"/>
  <c r="J88" i="18"/>
  <c r="D88" i="18"/>
  <c r="C88" i="18" s="1"/>
  <c r="K88" i="18" s="1"/>
  <c r="AR87" i="18"/>
  <c r="AQ87" i="18"/>
  <c r="AP87" i="18"/>
  <c r="AN87" i="18"/>
  <c r="AM87" i="18"/>
  <c r="AL87" i="18"/>
  <c r="AO87" i="18" s="1"/>
  <c r="AJ87" i="18"/>
  <c r="AI87" i="18"/>
  <c r="AH87" i="18"/>
  <c r="AF87" i="18"/>
  <c r="AE87" i="18"/>
  <c r="AD87" i="18"/>
  <c r="AG87" i="18" s="1"/>
  <c r="AB87" i="18"/>
  <c r="AA87" i="18"/>
  <c r="Z87" i="18"/>
  <c r="X87" i="18"/>
  <c r="W87" i="18"/>
  <c r="Y87" i="18" s="1"/>
  <c r="T87" i="18"/>
  <c r="S87" i="18"/>
  <c r="V87" i="18" s="1"/>
  <c r="R87" i="18"/>
  <c r="Q87" i="18"/>
  <c r="P87" i="18"/>
  <c r="N87" i="18"/>
  <c r="J87" i="18"/>
  <c r="D87" i="18"/>
  <c r="M87" i="18" s="1"/>
  <c r="C87" i="18"/>
  <c r="K87" i="18" s="1"/>
  <c r="AR86" i="18"/>
  <c r="AQ86" i="18"/>
  <c r="AP86" i="18"/>
  <c r="AN86" i="18"/>
  <c r="AM86" i="18"/>
  <c r="AL86" i="18"/>
  <c r="AO86" i="18" s="1"/>
  <c r="AJ86" i="18"/>
  <c r="AI86" i="18"/>
  <c r="AH86" i="18"/>
  <c r="AF86" i="18"/>
  <c r="AE86" i="18"/>
  <c r="AD86" i="18"/>
  <c r="AG86" i="18" s="1"/>
  <c r="AB86" i="18"/>
  <c r="AA86" i="18"/>
  <c r="Z86" i="18"/>
  <c r="X86" i="18"/>
  <c r="W86" i="18"/>
  <c r="Y86" i="18" s="1"/>
  <c r="T86" i="18"/>
  <c r="S86" i="18"/>
  <c r="V86" i="18" s="1"/>
  <c r="R86" i="18"/>
  <c r="Q86" i="18"/>
  <c r="P86" i="18"/>
  <c r="N86" i="18"/>
  <c r="M86" i="18"/>
  <c r="K86" i="18"/>
  <c r="J86" i="18"/>
  <c r="D86" i="18"/>
  <c r="C86" i="18"/>
  <c r="AR85" i="18"/>
  <c r="AQ85" i="18"/>
  <c r="AP85" i="18"/>
  <c r="AN85" i="18"/>
  <c r="AM85" i="18"/>
  <c r="AL85" i="18"/>
  <c r="AO85" i="18" s="1"/>
  <c r="AJ85" i="18"/>
  <c r="AI85" i="18"/>
  <c r="AH85" i="18"/>
  <c r="AF85" i="18"/>
  <c r="AE85" i="18"/>
  <c r="AD85" i="18"/>
  <c r="AG85" i="18" s="1"/>
  <c r="AB85" i="18"/>
  <c r="AA85" i="18"/>
  <c r="Z85" i="18"/>
  <c r="X85" i="18"/>
  <c r="W85" i="18"/>
  <c r="Y85" i="18" s="1"/>
  <c r="T85" i="18"/>
  <c r="S85" i="18"/>
  <c r="V85" i="18" s="1"/>
  <c r="R85" i="18"/>
  <c r="Q85" i="18"/>
  <c r="P85" i="18"/>
  <c r="N85" i="18"/>
  <c r="J85" i="18"/>
  <c r="D85" i="18"/>
  <c r="C85" i="18" s="1"/>
  <c r="K85" i="18" s="1"/>
  <c r="AR84" i="18"/>
  <c r="AQ84" i="18"/>
  <c r="AP84" i="18"/>
  <c r="AN84" i="18"/>
  <c r="AM84" i="18"/>
  <c r="AL84" i="18"/>
  <c r="AJ84" i="18"/>
  <c r="AI84" i="18"/>
  <c r="AH84" i="18"/>
  <c r="AF84" i="18"/>
  <c r="AE84" i="18"/>
  <c r="AD84" i="18"/>
  <c r="AB84" i="18"/>
  <c r="AA84" i="18"/>
  <c r="Z84" i="18"/>
  <c r="X84" i="18"/>
  <c r="W84" i="18"/>
  <c r="Y84" i="18" s="1"/>
  <c r="T84" i="18"/>
  <c r="S84" i="18"/>
  <c r="V84" i="18" s="1"/>
  <c r="R84" i="18"/>
  <c r="Q84" i="18"/>
  <c r="P84" i="18"/>
  <c r="N84" i="18"/>
  <c r="J84" i="18"/>
  <c r="D84" i="18"/>
  <c r="M84" i="18" s="1"/>
  <c r="C84" i="18"/>
  <c r="K84" i="18" s="1"/>
  <c r="AR83" i="18"/>
  <c r="AQ83" i="18"/>
  <c r="AP83" i="18"/>
  <c r="AS83" i="18" s="1"/>
  <c r="AN83" i="18"/>
  <c r="AM83" i="18"/>
  <c r="AL83" i="18"/>
  <c r="AO83" i="18" s="1"/>
  <c r="AJ83" i="18"/>
  <c r="AI83" i="18"/>
  <c r="AH83" i="18"/>
  <c r="AK83" i="18" s="1"/>
  <c r="AF83" i="18"/>
  <c r="AE83" i="18"/>
  <c r="AD83" i="18"/>
  <c r="AG83" i="18" s="1"/>
  <c r="AB83" i="18"/>
  <c r="AA83" i="18"/>
  <c r="Z83" i="18"/>
  <c r="AC83" i="18" s="1"/>
  <c r="X83" i="18"/>
  <c r="W83" i="18"/>
  <c r="Y83" i="18" s="1"/>
  <c r="T83" i="18"/>
  <c r="S83" i="18"/>
  <c r="V83" i="18" s="1"/>
  <c r="R83" i="18"/>
  <c r="U83" i="18" s="1"/>
  <c r="Q83" i="18"/>
  <c r="P83" i="18"/>
  <c r="N83" i="18"/>
  <c r="M83" i="18"/>
  <c r="K83" i="18"/>
  <c r="J83" i="18"/>
  <c r="D83" i="18"/>
  <c r="C83" i="18"/>
  <c r="AR82" i="18"/>
  <c r="AQ82" i="18"/>
  <c r="AP82" i="18"/>
  <c r="AN82" i="18"/>
  <c r="AM82" i="18"/>
  <c r="AL82" i="18"/>
  <c r="AO82" i="18" s="1"/>
  <c r="AJ82" i="18"/>
  <c r="AI82" i="18"/>
  <c r="AH82" i="18"/>
  <c r="AF82" i="18"/>
  <c r="AE82" i="18"/>
  <c r="AD82" i="18"/>
  <c r="AG82" i="18" s="1"/>
  <c r="AB82" i="18"/>
  <c r="AA82" i="18"/>
  <c r="Z82" i="18"/>
  <c r="X82" i="18"/>
  <c r="W82" i="18"/>
  <c r="Y82" i="18" s="1"/>
  <c r="T82" i="18"/>
  <c r="S82" i="18"/>
  <c r="V82" i="18" s="1"/>
  <c r="R82" i="18"/>
  <c r="Q82" i="18"/>
  <c r="P82" i="18"/>
  <c r="N82" i="18"/>
  <c r="J82" i="18"/>
  <c r="D82" i="18"/>
  <c r="C82" i="18" s="1"/>
  <c r="K82" i="18" s="1"/>
  <c r="AR81" i="18"/>
  <c r="AQ81" i="18"/>
  <c r="AP81" i="18"/>
  <c r="AS81" i="18" s="1"/>
  <c r="AN81" i="18"/>
  <c r="AM81" i="18"/>
  <c r="AL81" i="18"/>
  <c r="AO81" i="18" s="1"/>
  <c r="AJ81" i="18"/>
  <c r="AI81" i="18"/>
  <c r="AH81" i="18"/>
  <c r="AK81" i="18" s="1"/>
  <c r="AF81" i="18"/>
  <c r="AE81" i="18"/>
  <c r="AD81" i="18"/>
  <c r="AG81" i="18" s="1"/>
  <c r="AB81" i="18"/>
  <c r="AA81" i="18"/>
  <c r="Z81" i="18"/>
  <c r="AC81" i="18" s="1"/>
  <c r="X81" i="18"/>
  <c r="W81" i="18"/>
  <c r="Y81" i="18" s="1"/>
  <c r="T81" i="18"/>
  <c r="S81" i="18"/>
  <c r="V81" i="18" s="1"/>
  <c r="R81" i="18"/>
  <c r="U81" i="18" s="1"/>
  <c r="Q81" i="18"/>
  <c r="P81" i="18"/>
  <c r="N81" i="18"/>
  <c r="J81" i="18"/>
  <c r="D81" i="18"/>
  <c r="M81" i="18" s="1"/>
  <c r="C81" i="18"/>
  <c r="K81" i="18" s="1"/>
  <c r="AR80" i="18"/>
  <c r="AQ80" i="18"/>
  <c r="AP80" i="18"/>
  <c r="AS80" i="18" s="1"/>
  <c r="AN80" i="18"/>
  <c r="AM80" i="18"/>
  <c r="AL80" i="18"/>
  <c r="AO80" i="18" s="1"/>
  <c r="AJ80" i="18"/>
  <c r="AI80" i="18"/>
  <c r="AH80" i="18"/>
  <c r="AK80" i="18" s="1"/>
  <c r="AF80" i="18"/>
  <c r="AE80" i="18"/>
  <c r="AD80" i="18"/>
  <c r="AG80" i="18" s="1"/>
  <c r="AB80" i="18"/>
  <c r="AA80" i="18"/>
  <c r="Z80" i="18"/>
  <c r="AC80" i="18" s="1"/>
  <c r="X80" i="18"/>
  <c r="W80" i="18"/>
  <c r="Y80" i="18" s="1"/>
  <c r="T80" i="18"/>
  <c r="S80" i="18"/>
  <c r="V80" i="18" s="1"/>
  <c r="R80" i="18"/>
  <c r="U80" i="18" s="1"/>
  <c r="Q80" i="18"/>
  <c r="P80" i="18"/>
  <c r="N80" i="18"/>
  <c r="M80" i="18"/>
  <c r="J80" i="18"/>
  <c r="D80" i="18"/>
  <c r="C80" i="18" s="1"/>
  <c r="K80" i="18" s="1"/>
  <c r="AR79" i="18"/>
  <c r="AQ79" i="18"/>
  <c r="AP79" i="18"/>
  <c r="AS79" i="18" s="1"/>
  <c r="AN79" i="18"/>
  <c r="AM79" i="18"/>
  <c r="AL79" i="18"/>
  <c r="AO79" i="18" s="1"/>
  <c r="AJ79" i="18"/>
  <c r="AI79" i="18"/>
  <c r="AH79" i="18"/>
  <c r="AK79" i="18" s="1"/>
  <c r="AF79" i="18"/>
  <c r="AE79" i="18"/>
  <c r="AD79" i="18"/>
  <c r="AG79" i="18" s="1"/>
  <c r="AB79" i="18"/>
  <c r="AA79" i="18"/>
  <c r="Z79" i="18"/>
  <c r="AC79" i="18" s="1"/>
  <c r="X79" i="18"/>
  <c r="W79" i="18"/>
  <c r="Y79" i="18" s="1"/>
  <c r="T79" i="18"/>
  <c r="S79" i="18"/>
  <c r="V79" i="18" s="1"/>
  <c r="R79" i="18"/>
  <c r="U79" i="18" s="1"/>
  <c r="Q79" i="18"/>
  <c r="P79" i="18"/>
  <c r="N79" i="18"/>
  <c r="J79" i="18"/>
  <c r="D79" i="18"/>
  <c r="C79" i="18" s="1"/>
  <c r="K79" i="18" s="1"/>
  <c r="AR78" i="18"/>
  <c r="AQ78" i="18"/>
  <c r="AP78" i="18"/>
  <c r="AN78" i="18"/>
  <c r="AM78" i="18"/>
  <c r="AL78" i="18"/>
  <c r="AJ78" i="18"/>
  <c r="AI78" i="18"/>
  <c r="AH78" i="18"/>
  <c r="AF78" i="18"/>
  <c r="AE78" i="18"/>
  <c r="AD78" i="18"/>
  <c r="AB78" i="18"/>
  <c r="AA78" i="18"/>
  <c r="Z78" i="18"/>
  <c r="X78" i="18"/>
  <c r="W78" i="18"/>
  <c r="Y78" i="18" s="1"/>
  <c r="T78" i="18"/>
  <c r="S78" i="18"/>
  <c r="V78" i="18" s="1"/>
  <c r="R78" i="18"/>
  <c r="Q78" i="18"/>
  <c r="P78" i="18"/>
  <c r="N78" i="18"/>
  <c r="J78" i="18"/>
  <c r="D78" i="18"/>
  <c r="M78" i="18" s="1"/>
  <c r="C78" i="18"/>
  <c r="K78" i="18" s="1"/>
  <c r="AR77" i="18"/>
  <c r="AQ77" i="18"/>
  <c r="AP77" i="18"/>
  <c r="AN77" i="18"/>
  <c r="AM77" i="18"/>
  <c r="AL77" i="18"/>
  <c r="AO77" i="18" s="1"/>
  <c r="AJ77" i="18"/>
  <c r="AI77" i="18"/>
  <c r="AH77" i="18"/>
  <c r="AF77" i="18"/>
  <c r="AE77" i="18"/>
  <c r="AD77" i="18"/>
  <c r="AG77" i="18" s="1"/>
  <c r="AB77" i="18"/>
  <c r="AA77" i="18"/>
  <c r="Z77" i="18"/>
  <c r="X77" i="18"/>
  <c r="W77" i="18"/>
  <c r="Y77" i="18" s="1"/>
  <c r="T77" i="18"/>
  <c r="S77" i="18"/>
  <c r="R77" i="18"/>
  <c r="Q77" i="18"/>
  <c r="P77" i="18"/>
  <c r="N77" i="18"/>
  <c r="M77" i="18"/>
  <c r="K77" i="18"/>
  <c r="J77" i="18"/>
  <c r="D77" i="18"/>
  <c r="C77" i="18"/>
  <c r="AR76" i="18"/>
  <c r="AQ76" i="18"/>
  <c r="AP76" i="18"/>
  <c r="AN76" i="18"/>
  <c r="AM76" i="18"/>
  <c r="AL76" i="18"/>
  <c r="AO76" i="18" s="1"/>
  <c r="AJ76" i="18"/>
  <c r="AI76" i="18"/>
  <c r="AH76" i="18"/>
  <c r="AF76" i="18"/>
  <c r="AE76" i="18"/>
  <c r="AD76" i="18"/>
  <c r="AB76" i="18"/>
  <c r="AA76" i="18"/>
  <c r="Z76" i="18"/>
  <c r="X76" i="18"/>
  <c r="W76" i="18"/>
  <c r="Y76" i="18" s="1"/>
  <c r="T76" i="18"/>
  <c r="S76" i="18"/>
  <c r="V76" i="18" s="1"/>
  <c r="R76" i="18"/>
  <c r="Q76" i="18"/>
  <c r="P76" i="18"/>
  <c r="N76" i="18"/>
  <c r="J76" i="18"/>
  <c r="D76" i="18"/>
  <c r="C76" i="18" s="1"/>
  <c r="K76" i="18" s="1"/>
  <c r="AR75" i="18"/>
  <c r="AQ75" i="18"/>
  <c r="AP75" i="18"/>
  <c r="AN75" i="18"/>
  <c r="AM75" i="18"/>
  <c r="AL75" i="18"/>
  <c r="AO75" i="18" s="1"/>
  <c r="AJ75" i="18"/>
  <c r="AI75" i="18"/>
  <c r="AH75" i="18"/>
  <c r="AF75" i="18"/>
  <c r="AE75" i="18"/>
  <c r="AD75" i="18"/>
  <c r="AG75" i="18" s="1"/>
  <c r="AB75" i="18"/>
  <c r="AA75" i="18"/>
  <c r="Z75" i="18"/>
  <c r="X75" i="18"/>
  <c r="W75" i="18"/>
  <c r="Y75" i="18" s="1"/>
  <c r="T75" i="18"/>
  <c r="S75" i="18"/>
  <c r="V75" i="18" s="1"/>
  <c r="R75" i="18"/>
  <c r="Q75" i="18"/>
  <c r="P75" i="18"/>
  <c r="N75" i="18"/>
  <c r="M75" i="18"/>
  <c r="J75" i="18"/>
  <c r="D75" i="18"/>
  <c r="C75" i="18"/>
  <c r="K75" i="18" s="1"/>
  <c r="O74" i="18"/>
  <c r="L74" i="18"/>
  <c r="I74" i="18"/>
  <c r="Q74" i="18" s="1"/>
  <c r="H74" i="18"/>
  <c r="N74" i="18" s="1"/>
  <c r="G74" i="18"/>
  <c r="P74" i="18" s="1"/>
  <c r="F74" i="18"/>
  <c r="E74" i="18"/>
  <c r="AR73" i="18"/>
  <c r="AQ73" i="18"/>
  <c r="AP73" i="18"/>
  <c r="AS73" i="18" s="1"/>
  <c r="AN73" i="18"/>
  <c r="AM73" i="18"/>
  <c r="AL73" i="18"/>
  <c r="AO73" i="18" s="1"/>
  <c r="AJ73" i="18"/>
  <c r="AI73" i="18"/>
  <c r="AH73" i="18"/>
  <c r="AK73" i="18" s="1"/>
  <c r="AF73" i="18"/>
  <c r="AE73" i="18"/>
  <c r="AD73" i="18"/>
  <c r="AG73" i="18" s="1"/>
  <c r="AB73" i="18"/>
  <c r="AA73" i="18"/>
  <c r="Z73" i="18"/>
  <c r="AC73" i="18" s="1"/>
  <c r="X73" i="18"/>
  <c r="W73" i="18"/>
  <c r="Y73" i="18" s="1"/>
  <c r="T73" i="18"/>
  <c r="S73" i="18"/>
  <c r="V73" i="18" s="1"/>
  <c r="R73" i="18"/>
  <c r="U73" i="18" s="1"/>
  <c r="Q73" i="18"/>
  <c r="P73" i="18"/>
  <c r="N73" i="18"/>
  <c r="J73" i="18"/>
  <c r="D73" i="18"/>
  <c r="C73" i="18" s="1"/>
  <c r="K73" i="18" s="1"/>
  <c r="AR72" i="18"/>
  <c r="AQ72" i="18"/>
  <c r="AP72" i="18"/>
  <c r="AS72" i="18" s="1"/>
  <c r="AN72" i="18"/>
  <c r="AM72" i="18"/>
  <c r="AL72" i="18"/>
  <c r="AJ72" i="18"/>
  <c r="AI72" i="18"/>
  <c r="AH72" i="18"/>
  <c r="AK72" i="18" s="1"/>
  <c r="AF72" i="18"/>
  <c r="AE72" i="18"/>
  <c r="AD72" i="18"/>
  <c r="AB72" i="18"/>
  <c r="AA72" i="18"/>
  <c r="Z72" i="18"/>
  <c r="X72" i="18"/>
  <c r="W72" i="18"/>
  <c r="Y72" i="18" s="1"/>
  <c r="T72" i="18"/>
  <c r="S72" i="18"/>
  <c r="V72" i="18" s="1"/>
  <c r="R72" i="18"/>
  <c r="Q72" i="18"/>
  <c r="P72" i="18"/>
  <c r="N72" i="18"/>
  <c r="M72" i="18"/>
  <c r="K72" i="18"/>
  <c r="J72" i="18"/>
  <c r="D72" i="18"/>
  <c r="C72" i="18"/>
  <c r="AR71" i="18"/>
  <c r="AQ71" i="18"/>
  <c r="AP71" i="18"/>
  <c r="AS71" i="18" s="1"/>
  <c r="AN71" i="18"/>
  <c r="AM71" i="18"/>
  <c r="AL71" i="18"/>
  <c r="AO71" i="18" s="1"/>
  <c r="AJ71" i="18"/>
  <c r="AI71" i="18"/>
  <c r="AH71" i="18"/>
  <c r="AK71" i="18" s="1"/>
  <c r="AF71" i="18"/>
  <c r="AE71" i="18"/>
  <c r="AD71" i="18"/>
  <c r="AG71" i="18" s="1"/>
  <c r="AB71" i="18"/>
  <c r="AA71" i="18"/>
  <c r="Z71" i="18"/>
  <c r="AC71" i="18" s="1"/>
  <c r="X71" i="18"/>
  <c r="W71" i="18"/>
  <c r="Y71" i="18" s="1"/>
  <c r="T71" i="18"/>
  <c r="S71" i="18"/>
  <c r="V71" i="18" s="1"/>
  <c r="R71" i="18"/>
  <c r="U71" i="18" s="1"/>
  <c r="Q71" i="18"/>
  <c r="P71" i="18"/>
  <c r="N71" i="18"/>
  <c r="J71" i="18"/>
  <c r="D71" i="18"/>
  <c r="C71" i="18" s="1"/>
  <c r="K71" i="18" s="1"/>
  <c r="AR70" i="18"/>
  <c r="AQ70" i="18"/>
  <c r="AP70" i="18"/>
  <c r="AN70" i="18"/>
  <c r="AM70" i="18"/>
  <c r="AL70" i="18"/>
  <c r="AJ70" i="18"/>
  <c r="AI70" i="18"/>
  <c r="AH70" i="18"/>
  <c r="AF70" i="18"/>
  <c r="AE70" i="18"/>
  <c r="AD70" i="18"/>
  <c r="AB70" i="18"/>
  <c r="AA70" i="18"/>
  <c r="Z70" i="18"/>
  <c r="X70" i="18"/>
  <c r="W70" i="18"/>
  <c r="Y70" i="18" s="1"/>
  <c r="T70" i="18"/>
  <c r="S70" i="18"/>
  <c r="V70" i="18" s="1"/>
  <c r="R70" i="18"/>
  <c r="Q70" i="18"/>
  <c r="P70" i="18"/>
  <c r="N70" i="18"/>
  <c r="J70" i="18"/>
  <c r="D70" i="18"/>
  <c r="M70" i="18" s="1"/>
  <c r="C70" i="18"/>
  <c r="K70" i="18" s="1"/>
  <c r="AR69" i="18"/>
  <c r="AQ69" i="18"/>
  <c r="AP69" i="18"/>
  <c r="AN69" i="18"/>
  <c r="AM69" i="18"/>
  <c r="AL69" i="18"/>
  <c r="AJ69" i="18"/>
  <c r="AI69" i="18"/>
  <c r="AH69" i="18"/>
  <c r="AF69" i="18"/>
  <c r="AE69" i="18"/>
  <c r="AD69" i="18"/>
  <c r="AB69" i="18"/>
  <c r="AA69" i="18"/>
  <c r="Z69" i="18"/>
  <c r="X69" i="18"/>
  <c r="W69" i="18"/>
  <c r="Y69" i="18" s="1"/>
  <c r="T69" i="18"/>
  <c r="S69" i="18"/>
  <c r="V69" i="18" s="1"/>
  <c r="R69" i="18"/>
  <c r="Q69" i="18"/>
  <c r="P69" i="18"/>
  <c r="N69" i="18"/>
  <c r="M69" i="18"/>
  <c r="J69" i="18"/>
  <c r="D69" i="18"/>
  <c r="C69" i="18" s="1"/>
  <c r="K69" i="18" s="1"/>
  <c r="AR68" i="18"/>
  <c r="AQ68" i="18"/>
  <c r="AP68" i="18"/>
  <c r="AS68" i="18" s="1"/>
  <c r="AN68" i="18"/>
  <c r="AM68" i="18"/>
  <c r="AL68" i="18"/>
  <c r="AJ68" i="18"/>
  <c r="AI68" i="18"/>
  <c r="AH68" i="18"/>
  <c r="AK68" i="18" s="1"/>
  <c r="AF68" i="18"/>
  <c r="AE68" i="18"/>
  <c r="AD68" i="18"/>
  <c r="AB68" i="18"/>
  <c r="AA68" i="18"/>
  <c r="Z68" i="18"/>
  <c r="X68" i="18"/>
  <c r="W68" i="18"/>
  <c r="Y68" i="18" s="1"/>
  <c r="T68" i="18"/>
  <c r="S68" i="18"/>
  <c r="V68" i="18" s="1"/>
  <c r="R68" i="18"/>
  <c r="Q68" i="18"/>
  <c r="P68" i="18"/>
  <c r="N68" i="18"/>
  <c r="J68" i="18"/>
  <c r="D68" i="18"/>
  <c r="C68" i="18" s="1"/>
  <c r="K68" i="18" s="1"/>
  <c r="AR67" i="18"/>
  <c r="AQ67" i="18"/>
  <c r="AP67" i="18"/>
  <c r="AN67" i="18"/>
  <c r="AM67" i="18"/>
  <c r="AL67" i="18"/>
  <c r="AJ67" i="18"/>
  <c r="AI67" i="18"/>
  <c r="AH67" i="18"/>
  <c r="AF67" i="18"/>
  <c r="AE67" i="18"/>
  <c r="AD67" i="18"/>
  <c r="AB67" i="18"/>
  <c r="AA67" i="18"/>
  <c r="Z67" i="18"/>
  <c r="X67" i="18"/>
  <c r="W67" i="18"/>
  <c r="T67" i="18"/>
  <c r="S67" i="18"/>
  <c r="V67" i="18" s="1"/>
  <c r="R67" i="18"/>
  <c r="Q67" i="18"/>
  <c r="P67" i="18"/>
  <c r="N67" i="18"/>
  <c r="J67" i="18"/>
  <c r="D67" i="18"/>
  <c r="M67" i="18" s="1"/>
  <c r="C67" i="18"/>
  <c r="K67" i="18" s="1"/>
  <c r="AR66" i="18"/>
  <c r="AQ66" i="18"/>
  <c r="AP66" i="18"/>
  <c r="AN66" i="18"/>
  <c r="AM66" i="18"/>
  <c r="AL66" i="18"/>
  <c r="AJ66" i="18"/>
  <c r="AI66" i="18"/>
  <c r="AH66" i="18"/>
  <c r="AF66" i="18"/>
  <c r="AE66" i="18"/>
  <c r="AD66" i="18"/>
  <c r="AB66" i="18"/>
  <c r="AA66" i="18"/>
  <c r="Z66" i="18"/>
  <c r="X66" i="18"/>
  <c r="W66" i="18"/>
  <c r="Y66" i="18" s="1"/>
  <c r="T66" i="18"/>
  <c r="S66" i="18"/>
  <c r="V66" i="18" s="1"/>
  <c r="R66" i="18"/>
  <c r="Q66" i="18"/>
  <c r="P66" i="18"/>
  <c r="N66" i="18"/>
  <c r="M66" i="18"/>
  <c r="J66" i="18"/>
  <c r="D66" i="18"/>
  <c r="C66" i="18" s="1"/>
  <c r="K66" i="18" s="1"/>
  <c r="AR65" i="18"/>
  <c r="AQ65" i="18"/>
  <c r="AP65" i="18"/>
  <c r="AN65" i="18"/>
  <c r="AM65" i="18"/>
  <c r="AL65" i="18"/>
  <c r="AO65" i="18" s="1"/>
  <c r="AJ65" i="18"/>
  <c r="AI65" i="18"/>
  <c r="AH65" i="18"/>
  <c r="AF65" i="18"/>
  <c r="AE65" i="18"/>
  <c r="AD65" i="18"/>
  <c r="AG65" i="18" s="1"/>
  <c r="AB65" i="18"/>
  <c r="AA65" i="18"/>
  <c r="Z65" i="18"/>
  <c r="X65" i="18"/>
  <c r="W65" i="18"/>
  <c r="Y65" i="18" s="1"/>
  <c r="T65" i="18"/>
  <c r="S65" i="18"/>
  <c r="V65" i="18" s="1"/>
  <c r="R65" i="18"/>
  <c r="Q65" i="18"/>
  <c r="P65" i="18"/>
  <c r="N65" i="18"/>
  <c r="J65" i="18"/>
  <c r="D65" i="18"/>
  <c r="C65" i="18" s="1"/>
  <c r="K65" i="18" s="1"/>
  <c r="AR64" i="18"/>
  <c r="AQ64" i="18"/>
  <c r="AP64" i="18"/>
  <c r="AN64" i="18"/>
  <c r="AM64" i="18"/>
  <c r="AL64" i="18"/>
  <c r="AO64" i="18" s="1"/>
  <c r="AJ64" i="18"/>
  <c r="AI64" i="18"/>
  <c r="AH64" i="18"/>
  <c r="AF64" i="18"/>
  <c r="AE64" i="18"/>
  <c r="AD64" i="18"/>
  <c r="AG64" i="18" s="1"/>
  <c r="AB64" i="18"/>
  <c r="AA64" i="18"/>
  <c r="Z64" i="18"/>
  <c r="X64" i="18"/>
  <c r="W64" i="18"/>
  <c r="Y64" i="18" s="1"/>
  <c r="T64" i="18"/>
  <c r="S64" i="18"/>
  <c r="V64" i="18" s="1"/>
  <c r="R64" i="18"/>
  <c r="Q64" i="18"/>
  <c r="P64" i="18"/>
  <c r="N64" i="18"/>
  <c r="J64" i="18"/>
  <c r="D64" i="18"/>
  <c r="M64" i="18" s="1"/>
  <c r="C64" i="18"/>
  <c r="K64" i="18" s="1"/>
  <c r="AR63" i="18"/>
  <c r="AQ63" i="18"/>
  <c r="AP63" i="18"/>
  <c r="AN63" i="18"/>
  <c r="AM63" i="18"/>
  <c r="AL63" i="18"/>
  <c r="AJ63" i="18"/>
  <c r="AI63" i="18"/>
  <c r="AH63" i="18"/>
  <c r="AF63" i="18"/>
  <c r="AE63" i="18"/>
  <c r="AD63" i="18"/>
  <c r="AB63" i="18"/>
  <c r="AA63" i="18"/>
  <c r="Z63" i="18"/>
  <c r="X63" i="18"/>
  <c r="W63" i="18"/>
  <c r="Y63" i="18" s="1"/>
  <c r="T63" i="18"/>
  <c r="S63" i="18"/>
  <c r="V63" i="18" s="1"/>
  <c r="R63" i="18"/>
  <c r="Q63" i="18"/>
  <c r="P63" i="18"/>
  <c r="N63" i="18"/>
  <c r="M63" i="18"/>
  <c r="J63" i="18"/>
  <c r="D63" i="18"/>
  <c r="C63" i="18" s="1"/>
  <c r="K63" i="18" s="1"/>
  <c r="AR62" i="18"/>
  <c r="AQ62" i="18"/>
  <c r="AP62" i="18"/>
  <c r="AN62" i="18"/>
  <c r="AM62" i="18"/>
  <c r="AL62" i="18"/>
  <c r="AJ62" i="18"/>
  <c r="AI62" i="18"/>
  <c r="AH62" i="18"/>
  <c r="AF62" i="18"/>
  <c r="AE62" i="18"/>
  <c r="AD62" i="18"/>
  <c r="AB62" i="18"/>
  <c r="AA62" i="18"/>
  <c r="Z62" i="18"/>
  <c r="X62" i="18"/>
  <c r="W62" i="18"/>
  <c r="Y62" i="18" s="1"/>
  <c r="T62" i="18"/>
  <c r="S62" i="18"/>
  <c r="V62" i="18" s="1"/>
  <c r="R62" i="18"/>
  <c r="Q62" i="18"/>
  <c r="P62" i="18"/>
  <c r="N62" i="18"/>
  <c r="J62" i="18"/>
  <c r="D62" i="18"/>
  <c r="C62" i="18" s="1"/>
  <c r="K62" i="18" s="1"/>
  <c r="AR61" i="18"/>
  <c r="AQ61" i="18"/>
  <c r="AP61" i="18"/>
  <c r="AN61" i="18"/>
  <c r="AM61" i="18"/>
  <c r="AL61" i="18"/>
  <c r="AO61" i="18" s="1"/>
  <c r="AJ61" i="18"/>
  <c r="AI61" i="18"/>
  <c r="AH61" i="18"/>
  <c r="AF61" i="18"/>
  <c r="AE61" i="18"/>
  <c r="AD61" i="18"/>
  <c r="AG61" i="18" s="1"/>
  <c r="AB61" i="18"/>
  <c r="AA61" i="18"/>
  <c r="Z61" i="18"/>
  <c r="X61" i="18"/>
  <c r="W61" i="18"/>
  <c r="Y61" i="18" s="1"/>
  <c r="T61" i="18"/>
  <c r="S61" i="18"/>
  <c r="V61" i="18" s="1"/>
  <c r="R61" i="18"/>
  <c r="Q61" i="18"/>
  <c r="P61" i="18"/>
  <c r="N61" i="18"/>
  <c r="J61" i="18"/>
  <c r="D61" i="18"/>
  <c r="M61" i="18" s="1"/>
  <c r="C61" i="18"/>
  <c r="K61" i="18" s="1"/>
  <c r="AR60" i="18"/>
  <c r="AQ60" i="18"/>
  <c r="AP60" i="18"/>
  <c r="AS60" i="18" s="1"/>
  <c r="AN60" i="18"/>
  <c r="AM60" i="18"/>
  <c r="AL60" i="18"/>
  <c r="AO60" i="18" s="1"/>
  <c r="AJ60" i="18"/>
  <c r="AI60" i="18"/>
  <c r="AH60" i="18"/>
  <c r="AK60" i="18" s="1"/>
  <c r="AF60" i="18"/>
  <c r="AE60" i="18"/>
  <c r="AD60" i="18"/>
  <c r="AG60" i="18" s="1"/>
  <c r="AB60" i="18"/>
  <c r="AA60" i="18"/>
  <c r="Z60" i="18"/>
  <c r="AC60" i="18" s="1"/>
  <c r="X60" i="18"/>
  <c r="W60" i="18"/>
  <c r="Y60" i="18" s="1"/>
  <c r="T60" i="18"/>
  <c r="S60" i="18"/>
  <c r="V60" i="18" s="1"/>
  <c r="R60" i="18"/>
  <c r="U60" i="18" s="1"/>
  <c r="Q60" i="18"/>
  <c r="P60" i="18"/>
  <c r="N60" i="18"/>
  <c r="M60" i="18"/>
  <c r="J60" i="18"/>
  <c r="D60" i="18"/>
  <c r="C60" i="18" s="1"/>
  <c r="K60" i="18" s="1"/>
  <c r="AR59" i="18"/>
  <c r="AQ59" i="18"/>
  <c r="AP59" i="18"/>
  <c r="AN59" i="18"/>
  <c r="AM59" i="18"/>
  <c r="AL59" i="18"/>
  <c r="AO59" i="18" s="1"/>
  <c r="AJ59" i="18"/>
  <c r="AI59" i="18"/>
  <c r="AH59" i="18"/>
  <c r="AF59" i="18"/>
  <c r="AE59" i="18"/>
  <c r="AD59" i="18"/>
  <c r="AG59" i="18" s="1"/>
  <c r="AB59" i="18"/>
  <c r="AA59" i="18"/>
  <c r="Z59" i="18"/>
  <c r="X59" i="18"/>
  <c r="W59" i="18"/>
  <c r="Y59" i="18" s="1"/>
  <c r="T59" i="18"/>
  <c r="S59" i="18"/>
  <c r="V59" i="18" s="1"/>
  <c r="R59" i="18"/>
  <c r="Q59" i="18"/>
  <c r="P59" i="18"/>
  <c r="N59" i="18"/>
  <c r="J59" i="18"/>
  <c r="D59" i="18"/>
  <c r="C59" i="18" s="1"/>
  <c r="K59" i="18" s="1"/>
  <c r="AR58" i="18"/>
  <c r="AQ58" i="18"/>
  <c r="AP58" i="18"/>
  <c r="AN58" i="18"/>
  <c r="AM58" i="18"/>
  <c r="AL58" i="18"/>
  <c r="AO58" i="18" s="1"/>
  <c r="AJ58" i="18"/>
  <c r="AI58" i="18"/>
  <c r="AH58" i="18"/>
  <c r="AF58" i="18"/>
  <c r="AE58" i="18"/>
  <c r="AD58" i="18"/>
  <c r="AG58" i="18" s="1"/>
  <c r="AB58" i="18"/>
  <c r="AA58" i="18"/>
  <c r="Z58" i="18"/>
  <c r="X58" i="18"/>
  <c r="W58" i="18"/>
  <c r="Y58" i="18" s="1"/>
  <c r="T58" i="18"/>
  <c r="S58" i="18"/>
  <c r="V58" i="18" s="1"/>
  <c r="R58" i="18"/>
  <c r="Q58" i="18"/>
  <c r="P58" i="18"/>
  <c r="N58" i="18"/>
  <c r="J58" i="18"/>
  <c r="D58" i="18"/>
  <c r="M58" i="18" s="1"/>
  <c r="C58" i="18"/>
  <c r="K58" i="18" s="1"/>
  <c r="AR57" i="18"/>
  <c r="AQ57" i="18"/>
  <c r="AP57" i="18"/>
  <c r="AN57" i="18"/>
  <c r="AM57" i="18"/>
  <c r="AL57" i="18"/>
  <c r="AJ57" i="18"/>
  <c r="AI57" i="18"/>
  <c r="AH57" i="18"/>
  <c r="AF57" i="18"/>
  <c r="AE57" i="18"/>
  <c r="AD57" i="18"/>
  <c r="AB57" i="18"/>
  <c r="AA57" i="18"/>
  <c r="Z57" i="18"/>
  <c r="X57" i="18"/>
  <c r="W57" i="18"/>
  <c r="Y57" i="18" s="1"/>
  <c r="T57" i="18"/>
  <c r="S57" i="18"/>
  <c r="V57" i="18" s="1"/>
  <c r="R57" i="18"/>
  <c r="Q57" i="18"/>
  <c r="P57" i="18"/>
  <c r="N57" i="18"/>
  <c r="M57" i="18"/>
  <c r="J57" i="18"/>
  <c r="D57" i="18"/>
  <c r="C57" i="18" s="1"/>
  <c r="K57" i="18" s="1"/>
  <c r="AR56" i="18"/>
  <c r="AQ56" i="18"/>
  <c r="AP56" i="18"/>
  <c r="AN56" i="18"/>
  <c r="AM56" i="18"/>
  <c r="AL56" i="18"/>
  <c r="AJ56" i="18"/>
  <c r="AI56" i="18"/>
  <c r="AH56" i="18"/>
  <c r="AF56" i="18"/>
  <c r="AE56" i="18"/>
  <c r="AD56" i="18"/>
  <c r="AB56" i="18"/>
  <c r="AA56" i="18"/>
  <c r="Z56" i="18"/>
  <c r="X56" i="18"/>
  <c r="W56" i="18"/>
  <c r="Y56" i="18" s="1"/>
  <c r="T56" i="18"/>
  <c r="S56" i="18"/>
  <c r="V56" i="18" s="1"/>
  <c r="R56" i="18"/>
  <c r="Q56" i="18"/>
  <c r="P56" i="18"/>
  <c r="N56" i="18"/>
  <c r="J56" i="18"/>
  <c r="D56" i="18"/>
  <c r="C56" i="18" s="1"/>
  <c r="K56" i="18" s="1"/>
  <c r="AR55" i="18"/>
  <c r="AQ55" i="18"/>
  <c r="AP55" i="18"/>
  <c r="AN55" i="18"/>
  <c r="AM55" i="18"/>
  <c r="AL55" i="18"/>
  <c r="AJ55" i="18"/>
  <c r="AI55" i="18"/>
  <c r="AH55" i="18"/>
  <c r="AF55" i="18"/>
  <c r="AE55" i="18"/>
  <c r="AD55" i="18"/>
  <c r="AB55" i="18"/>
  <c r="AA55" i="18"/>
  <c r="Z55" i="18"/>
  <c r="X55" i="18"/>
  <c r="W55" i="18"/>
  <c r="T55" i="18"/>
  <c r="S55" i="18"/>
  <c r="V55" i="18" s="1"/>
  <c r="R55" i="18"/>
  <c r="Q55" i="18"/>
  <c r="P55" i="18"/>
  <c r="N55" i="18"/>
  <c r="J55" i="18"/>
  <c r="D55" i="18"/>
  <c r="M55" i="18" s="1"/>
  <c r="C55" i="18"/>
  <c r="K55" i="18" s="1"/>
  <c r="AR54" i="18"/>
  <c r="AQ54" i="18"/>
  <c r="AP54" i="18"/>
  <c r="AN54" i="18"/>
  <c r="AM54" i="18"/>
  <c r="AL54" i="18"/>
  <c r="AJ54" i="18"/>
  <c r="AI54" i="18"/>
  <c r="AH54" i="18"/>
  <c r="AF54" i="18"/>
  <c r="AE54" i="18"/>
  <c r="AD54" i="18"/>
  <c r="AB54" i="18"/>
  <c r="AA54" i="18"/>
  <c r="Z54" i="18"/>
  <c r="X54" i="18"/>
  <c r="W54" i="18"/>
  <c r="Y54" i="18" s="1"/>
  <c r="T54" i="18"/>
  <c r="S54" i="18"/>
  <c r="V54" i="18" s="1"/>
  <c r="R54" i="18"/>
  <c r="Q54" i="18"/>
  <c r="P54" i="18"/>
  <c r="N54" i="18"/>
  <c r="M54" i="18"/>
  <c r="J54" i="18"/>
  <c r="D54" i="18"/>
  <c r="C54" i="18" s="1"/>
  <c r="K54" i="18" s="1"/>
  <c r="AR53" i="18"/>
  <c r="AQ53" i="18"/>
  <c r="AP53" i="18"/>
  <c r="AN53" i="18"/>
  <c r="AM53" i="18"/>
  <c r="AL53" i="18"/>
  <c r="AJ53" i="18"/>
  <c r="AI53" i="18"/>
  <c r="AH53" i="18"/>
  <c r="AF53" i="18"/>
  <c r="AE53" i="18"/>
  <c r="AD53" i="18"/>
  <c r="AB53" i="18"/>
  <c r="AA53" i="18"/>
  <c r="Z53" i="18"/>
  <c r="X53" i="18"/>
  <c r="W53" i="18"/>
  <c r="T53" i="18"/>
  <c r="S53" i="18"/>
  <c r="V53" i="18" s="1"/>
  <c r="R53" i="18"/>
  <c r="Q53" i="18"/>
  <c r="P53" i="18"/>
  <c r="N53" i="18"/>
  <c r="J53" i="18"/>
  <c r="D53" i="18"/>
  <c r="C53" i="18" s="1"/>
  <c r="K53" i="18" s="1"/>
  <c r="O52" i="18"/>
  <c r="L52" i="18"/>
  <c r="I52" i="18"/>
  <c r="Q52" i="18" s="1"/>
  <c r="H52" i="18"/>
  <c r="N52" i="18" s="1"/>
  <c r="G52" i="18"/>
  <c r="P52" i="18" s="1"/>
  <c r="F52" i="18"/>
  <c r="E52" i="18"/>
  <c r="D52" i="18"/>
  <c r="C52" i="18" s="1"/>
  <c r="K52" i="18" s="1"/>
  <c r="AR51" i="18"/>
  <c r="AQ51" i="18"/>
  <c r="AP51" i="18"/>
  <c r="AN51" i="18"/>
  <c r="AM51" i="18"/>
  <c r="AL51" i="18"/>
  <c r="AJ51" i="18"/>
  <c r="AI51" i="18"/>
  <c r="AH51" i="18"/>
  <c r="AF51" i="18"/>
  <c r="AE51" i="18"/>
  <c r="AD51" i="18"/>
  <c r="AB51" i="18"/>
  <c r="AA51" i="18"/>
  <c r="Z51" i="18"/>
  <c r="X51" i="18"/>
  <c r="W51" i="18"/>
  <c r="T51" i="18"/>
  <c r="S51" i="18"/>
  <c r="V51" i="18" s="1"/>
  <c r="R51" i="18"/>
  <c r="Q51" i="18"/>
  <c r="P51" i="18"/>
  <c r="N51" i="18"/>
  <c r="M51" i="18"/>
  <c r="J51" i="18"/>
  <c r="D51" i="18"/>
  <c r="C51" i="18" s="1"/>
  <c r="K51" i="18" s="1"/>
  <c r="AR50" i="18"/>
  <c r="AQ50" i="18"/>
  <c r="AP50" i="18"/>
  <c r="AN50" i="18"/>
  <c r="AM50" i="18"/>
  <c r="AL50" i="18"/>
  <c r="AJ50" i="18"/>
  <c r="AI50" i="18"/>
  <c r="AH50" i="18"/>
  <c r="AF50" i="18"/>
  <c r="AE50" i="18"/>
  <c r="AD50" i="18"/>
  <c r="AB50" i="18"/>
  <c r="AA50" i="18"/>
  <c r="Z50" i="18"/>
  <c r="X50" i="18"/>
  <c r="W50" i="18"/>
  <c r="Y50" i="18" s="1"/>
  <c r="T50" i="18"/>
  <c r="S50" i="18"/>
  <c r="V50" i="18" s="1"/>
  <c r="R50" i="18"/>
  <c r="Q50" i="18"/>
  <c r="P50" i="18"/>
  <c r="N50" i="18"/>
  <c r="J50" i="18"/>
  <c r="D50" i="18"/>
  <c r="C50" i="18" s="1"/>
  <c r="K50" i="18" s="1"/>
  <c r="AR49" i="18"/>
  <c r="AQ49" i="18"/>
  <c r="AP49" i="18"/>
  <c r="AN49" i="18"/>
  <c r="AM49" i="18"/>
  <c r="AL49" i="18"/>
  <c r="AJ49" i="18"/>
  <c r="AI49" i="18"/>
  <c r="AH49" i="18"/>
  <c r="AF49" i="18"/>
  <c r="AE49" i="18"/>
  <c r="AD49" i="18"/>
  <c r="AB49" i="18"/>
  <c r="AA49" i="18"/>
  <c r="Z49" i="18"/>
  <c r="X49" i="18"/>
  <c r="W49" i="18"/>
  <c r="Y49" i="18" s="1"/>
  <c r="T49" i="18"/>
  <c r="S49" i="18"/>
  <c r="V49" i="18" s="1"/>
  <c r="R49" i="18"/>
  <c r="Q49" i="18"/>
  <c r="P49" i="18"/>
  <c r="N49" i="18"/>
  <c r="M49" i="18"/>
  <c r="J49" i="18"/>
  <c r="D49" i="18"/>
  <c r="C49" i="18" s="1"/>
  <c r="K49" i="18" s="1"/>
  <c r="AR48" i="18"/>
  <c r="AQ48" i="18"/>
  <c r="AP48" i="18"/>
  <c r="AN48" i="18"/>
  <c r="AM48" i="18"/>
  <c r="AL48" i="18"/>
  <c r="AJ48" i="18"/>
  <c r="AI48" i="18"/>
  <c r="AH48" i="18"/>
  <c r="AF48" i="18"/>
  <c r="AE48" i="18"/>
  <c r="AD48" i="18"/>
  <c r="AB48" i="18"/>
  <c r="AA48" i="18"/>
  <c r="Z48" i="18"/>
  <c r="X48" i="18"/>
  <c r="W48" i="18"/>
  <c r="Y48" i="18" s="1"/>
  <c r="T48" i="18"/>
  <c r="S48" i="18"/>
  <c r="V48" i="18" s="1"/>
  <c r="R48" i="18"/>
  <c r="Q48" i="18"/>
  <c r="P48" i="18"/>
  <c r="N48" i="18"/>
  <c r="J48" i="18"/>
  <c r="D48" i="18"/>
  <c r="C48" i="18" s="1"/>
  <c r="K48" i="18" s="1"/>
  <c r="AR47" i="18"/>
  <c r="AQ47" i="18"/>
  <c r="AP47" i="18"/>
  <c r="AN47" i="18"/>
  <c r="AM47" i="18"/>
  <c r="AL47" i="18"/>
  <c r="AJ47" i="18"/>
  <c r="AI47" i="18"/>
  <c r="AH47" i="18"/>
  <c r="AF47" i="18"/>
  <c r="AE47" i="18"/>
  <c r="AD47" i="18"/>
  <c r="AB47" i="18"/>
  <c r="AA47" i="18"/>
  <c r="Z47" i="18"/>
  <c r="X47" i="18"/>
  <c r="W47" i="18"/>
  <c r="Y47" i="18" s="1"/>
  <c r="T47" i="18"/>
  <c r="S47" i="18"/>
  <c r="V47" i="18" s="1"/>
  <c r="R47" i="18"/>
  <c r="Q47" i="18"/>
  <c r="P47" i="18"/>
  <c r="N47" i="18"/>
  <c r="M47" i="18"/>
  <c r="J47" i="18"/>
  <c r="D47" i="18"/>
  <c r="C47" i="18" s="1"/>
  <c r="K47" i="18" s="1"/>
  <c r="AR46" i="18"/>
  <c r="AQ46" i="18"/>
  <c r="AP46" i="18"/>
  <c r="AS46" i="18" s="1"/>
  <c r="AN46" i="18"/>
  <c r="AM46" i="18"/>
  <c r="AL46" i="18"/>
  <c r="AJ46" i="18"/>
  <c r="AI46" i="18"/>
  <c r="AH46" i="18"/>
  <c r="AK46" i="18" s="1"/>
  <c r="AF46" i="18"/>
  <c r="AE46" i="18"/>
  <c r="AD46" i="18"/>
  <c r="AB46" i="18"/>
  <c r="AA46" i="18"/>
  <c r="Z46" i="18"/>
  <c r="X46" i="18"/>
  <c r="W46" i="18"/>
  <c r="Y46" i="18" s="1"/>
  <c r="T46" i="18"/>
  <c r="S46" i="18"/>
  <c r="V46" i="18" s="1"/>
  <c r="R46" i="18"/>
  <c r="Q46" i="18"/>
  <c r="P46" i="18"/>
  <c r="N46" i="18"/>
  <c r="J46" i="18"/>
  <c r="D46" i="18"/>
  <c r="C46" i="18" s="1"/>
  <c r="K46" i="18" s="1"/>
  <c r="AR45" i="18"/>
  <c r="AQ45" i="18"/>
  <c r="AP45" i="18"/>
  <c r="AN45" i="18"/>
  <c r="AM45" i="18"/>
  <c r="AL45" i="18"/>
  <c r="AJ45" i="18"/>
  <c r="AI45" i="18"/>
  <c r="AH45" i="18"/>
  <c r="AF45" i="18"/>
  <c r="AE45" i="18"/>
  <c r="AD45" i="18"/>
  <c r="AB45" i="18"/>
  <c r="AA45" i="18"/>
  <c r="Z45" i="18"/>
  <c r="X45" i="18"/>
  <c r="W45" i="18"/>
  <c r="Y45" i="18" s="1"/>
  <c r="T45" i="18"/>
  <c r="S45" i="18"/>
  <c r="V45" i="18" s="1"/>
  <c r="R45" i="18"/>
  <c r="Q45" i="18"/>
  <c r="P45" i="18"/>
  <c r="N45" i="18"/>
  <c r="M45" i="18"/>
  <c r="J45" i="18"/>
  <c r="D45" i="18"/>
  <c r="C45" i="18" s="1"/>
  <c r="K45" i="18" s="1"/>
  <c r="AR44" i="18"/>
  <c r="AQ44" i="18"/>
  <c r="AP44" i="18"/>
  <c r="AN44" i="18"/>
  <c r="AM44" i="18"/>
  <c r="AL44" i="18"/>
  <c r="AJ44" i="18"/>
  <c r="AI44" i="18"/>
  <c r="AH44" i="18"/>
  <c r="AF44" i="18"/>
  <c r="AE44" i="18"/>
  <c r="AD44" i="18"/>
  <c r="AB44" i="18"/>
  <c r="AA44" i="18"/>
  <c r="Z44" i="18"/>
  <c r="X44" i="18"/>
  <c r="W44" i="18"/>
  <c r="Y44" i="18" s="1"/>
  <c r="T44" i="18"/>
  <c r="S44" i="18"/>
  <c r="V44" i="18" s="1"/>
  <c r="R44" i="18"/>
  <c r="Q44" i="18"/>
  <c r="P44" i="18"/>
  <c r="N44" i="18"/>
  <c r="J44" i="18"/>
  <c r="D44" i="18"/>
  <c r="C44" i="18" s="1"/>
  <c r="K44" i="18" s="1"/>
  <c r="AR43" i="18"/>
  <c r="AQ43" i="18"/>
  <c r="AP43" i="18"/>
  <c r="AN43" i="18"/>
  <c r="AM43" i="18"/>
  <c r="AL43" i="18"/>
  <c r="AJ43" i="18"/>
  <c r="AI43" i="18"/>
  <c r="AH43" i="18"/>
  <c r="AF43" i="18"/>
  <c r="AE43" i="18"/>
  <c r="AD43" i="18"/>
  <c r="AB43" i="18"/>
  <c r="AA43" i="18"/>
  <c r="Z43" i="18"/>
  <c r="X43" i="18"/>
  <c r="W43" i="18"/>
  <c r="Y43" i="18" s="1"/>
  <c r="T43" i="18"/>
  <c r="S43" i="18"/>
  <c r="V43" i="18" s="1"/>
  <c r="R43" i="18"/>
  <c r="Q43" i="18"/>
  <c r="P43" i="18"/>
  <c r="N43" i="18"/>
  <c r="M43" i="18"/>
  <c r="J43" i="18"/>
  <c r="D43" i="18"/>
  <c r="C43" i="18" s="1"/>
  <c r="K43" i="18" s="1"/>
  <c r="AR42" i="18"/>
  <c r="AQ42" i="18"/>
  <c r="AP42" i="18"/>
  <c r="AN42" i="18"/>
  <c r="AM42" i="18"/>
  <c r="AL42" i="18"/>
  <c r="AJ42" i="18"/>
  <c r="AI42" i="18"/>
  <c r="AH42" i="18"/>
  <c r="AF42" i="18"/>
  <c r="AE42" i="18"/>
  <c r="AD42" i="18"/>
  <c r="AB42" i="18"/>
  <c r="AA42" i="18"/>
  <c r="Z42" i="18"/>
  <c r="X42" i="18"/>
  <c r="W42" i="18"/>
  <c r="Y42" i="18" s="1"/>
  <c r="T42" i="18"/>
  <c r="S42" i="18"/>
  <c r="V42" i="18" s="1"/>
  <c r="R42" i="18"/>
  <c r="Q42" i="18"/>
  <c r="P42" i="18"/>
  <c r="N42" i="18"/>
  <c r="J42" i="18"/>
  <c r="D42" i="18"/>
  <c r="C42" i="18" s="1"/>
  <c r="K42" i="18" s="1"/>
  <c r="AR41" i="18"/>
  <c r="AQ41" i="18"/>
  <c r="AP41" i="18"/>
  <c r="AN41" i="18"/>
  <c r="AM41" i="18"/>
  <c r="AL41" i="18"/>
  <c r="AJ41" i="18"/>
  <c r="AI41" i="18"/>
  <c r="AH41" i="18"/>
  <c r="AF41" i="18"/>
  <c r="AE41" i="18"/>
  <c r="AD41" i="18"/>
  <c r="AB41" i="18"/>
  <c r="AA41" i="18"/>
  <c r="Z41" i="18"/>
  <c r="X41" i="18"/>
  <c r="W41" i="18"/>
  <c r="Y41" i="18" s="1"/>
  <c r="T41" i="18"/>
  <c r="S41" i="18"/>
  <c r="V41" i="18" s="1"/>
  <c r="R41" i="18"/>
  <c r="Q41" i="18"/>
  <c r="P41" i="18"/>
  <c r="N41" i="18"/>
  <c r="M41" i="18"/>
  <c r="J41" i="18"/>
  <c r="D41" i="18"/>
  <c r="C41" i="18" s="1"/>
  <c r="K41" i="18" s="1"/>
  <c r="AR40" i="18"/>
  <c r="AQ40" i="18"/>
  <c r="AP40" i="18"/>
  <c r="AN40" i="18"/>
  <c r="AM40" i="18"/>
  <c r="AL40" i="18"/>
  <c r="AJ40" i="18"/>
  <c r="AI40" i="18"/>
  <c r="AH40" i="18"/>
  <c r="AF40" i="18"/>
  <c r="AE40" i="18"/>
  <c r="AD40" i="18"/>
  <c r="AB40" i="18"/>
  <c r="AA40" i="18"/>
  <c r="Z40" i="18"/>
  <c r="X40" i="18"/>
  <c r="W40" i="18"/>
  <c r="Y40" i="18" s="1"/>
  <c r="T40" i="18"/>
  <c r="S40" i="18"/>
  <c r="V40" i="18" s="1"/>
  <c r="R40" i="18"/>
  <c r="Q40" i="18"/>
  <c r="P40" i="18"/>
  <c r="N40" i="18"/>
  <c r="J40" i="18"/>
  <c r="D40" i="18"/>
  <c r="C40" i="18" s="1"/>
  <c r="K40" i="18" s="1"/>
  <c r="AR39" i="18"/>
  <c r="AQ39" i="18"/>
  <c r="AP39" i="18"/>
  <c r="AS39" i="18" s="1"/>
  <c r="AN39" i="18"/>
  <c r="AM39" i="18"/>
  <c r="AL39" i="18"/>
  <c r="AO39" i="18" s="1"/>
  <c r="AJ39" i="18"/>
  <c r="AI39" i="18"/>
  <c r="AH39" i="18"/>
  <c r="AK39" i="18" s="1"/>
  <c r="AF39" i="18"/>
  <c r="AE39" i="18"/>
  <c r="AD39" i="18"/>
  <c r="AG39" i="18" s="1"/>
  <c r="AB39" i="18"/>
  <c r="AA39" i="18"/>
  <c r="Z39" i="18"/>
  <c r="AC39" i="18" s="1"/>
  <c r="X39" i="18"/>
  <c r="W39" i="18"/>
  <c r="Y39" i="18" s="1"/>
  <c r="T39" i="18"/>
  <c r="S39" i="18"/>
  <c r="V39" i="18" s="1"/>
  <c r="R39" i="18"/>
  <c r="U39" i="18" s="1"/>
  <c r="Q39" i="18"/>
  <c r="P39" i="18"/>
  <c r="N39" i="18"/>
  <c r="M39" i="18"/>
  <c r="J39" i="18"/>
  <c r="D39" i="18"/>
  <c r="C39" i="18" s="1"/>
  <c r="K39" i="18" s="1"/>
  <c r="AR38" i="18"/>
  <c r="AQ38" i="18"/>
  <c r="AP38" i="18"/>
  <c r="AN38" i="18"/>
  <c r="AM38" i="18"/>
  <c r="AL38" i="18"/>
  <c r="AJ38" i="18"/>
  <c r="AI38" i="18"/>
  <c r="AH38" i="18"/>
  <c r="AF38" i="18"/>
  <c r="AE38" i="18"/>
  <c r="AD38" i="18"/>
  <c r="AB38" i="18"/>
  <c r="AA38" i="18"/>
  <c r="Z38" i="18"/>
  <c r="X38" i="18"/>
  <c r="W38" i="18"/>
  <c r="T38" i="18"/>
  <c r="S38" i="18"/>
  <c r="V38" i="18" s="1"/>
  <c r="R38" i="18"/>
  <c r="Q38" i="18"/>
  <c r="P38" i="18"/>
  <c r="N38" i="18"/>
  <c r="J38" i="18"/>
  <c r="D38" i="18"/>
  <c r="C38" i="18" s="1"/>
  <c r="K38" i="18" s="1"/>
  <c r="AR37" i="18"/>
  <c r="AQ37" i="18"/>
  <c r="AP37" i="18"/>
  <c r="AN37" i="18"/>
  <c r="AM37" i="18"/>
  <c r="AL37" i="18"/>
  <c r="AJ37" i="18"/>
  <c r="AI37" i="18"/>
  <c r="AH37" i="18"/>
  <c r="AF37" i="18"/>
  <c r="AE37" i="18"/>
  <c r="AD37" i="18"/>
  <c r="AB37" i="18"/>
  <c r="AA37" i="18"/>
  <c r="Z37" i="18"/>
  <c r="X37" i="18"/>
  <c r="W37" i="18"/>
  <c r="T37" i="18"/>
  <c r="S37" i="18"/>
  <c r="V37" i="18" s="1"/>
  <c r="R37" i="18"/>
  <c r="Q37" i="18"/>
  <c r="P37" i="18"/>
  <c r="N37" i="18"/>
  <c r="M37" i="18"/>
  <c r="J37" i="18"/>
  <c r="D37" i="18"/>
  <c r="C37" i="18" s="1"/>
  <c r="K37" i="18" s="1"/>
  <c r="AR36" i="18"/>
  <c r="AQ36" i="18"/>
  <c r="AP36" i="18"/>
  <c r="AN36" i="18"/>
  <c r="AM36" i="18"/>
  <c r="AL36" i="18"/>
  <c r="AJ36" i="18"/>
  <c r="AI36" i="18"/>
  <c r="AH36" i="18"/>
  <c r="AF36" i="18"/>
  <c r="AE36" i="18"/>
  <c r="AD36" i="18"/>
  <c r="AB36" i="18"/>
  <c r="AA36" i="18"/>
  <c r="Z36" i="18"/>
  <c r="X36" i="18"/>
  <c r="W36" i="18"/>
  <c r="Y36" i="18" s="1"/>
  <c r="T36" i="18"/>
  <c r="S36" i="18"/>
  <c r="V36" i="18" s="1"/>
  <c r="R36" i="18"/>
  <c r="Q36" i="18"/>
  <c r="P36" i="18"/>
  <c r="N36" i="18"/>
  <c r="J36" i="18"/>
  <c r="D36" i="18"/>
  <c r="C36" i="18" s="1"/>
  <c r="K36" i="18" s="1"/>
  <c r="AR35" i="18"/>
  <c r="AQ35" i="18"/>
  <c r="AP35" i="18"/>
  <c r="AN35" i="18"/>
  <c r="AM35" i="18"/>
  <c r="AL35" i="18"/>
  <c r="AO35" i="18" s="1"/>
  <c r="AJ35" i="18"/>
  <c r="AI35" i="18"/>
  <c r="AH35" i="18"/>
  <c r="AF35" i="18"/>
  <c r="AE35" i="18"/>
  <c r="AD35" i="18"/>
  <c r="AG35" i="18" s="1"/>
  <c r="AB35" i="18"/>
  <c r="AA35" i="18"/>
  <c r="Z35" i="18"/>
  <c r="X35" i="18"/>
  <c r="W35" i="18"/>
  <c r="Y35" i="18" s="1"/>
  <c r="T35" i="18"/>
  <c r="S35" i="18"/>
  <c r="V35" i="18" s="1"/>
  <c r="R35" i="18"/>
  <c r="Q35" i="18"/>
  <c r="P35" i="18"/>
  <c r="N35" i="18"/>
  <c r="M35" i="18"/>
  <c r="J35" i="18"/>
  <c r="D35" i="18"/>
  <c r="C35" i="18" s="1"/>
  <c r="K35" i="18" s="1"/>
  <c r="AR34" i="18"/>
  <c r="AQ34" i="18"/>
  <c r="AP34" i="18"/>
  <c r="AN34" i="18"/>
  <c r="AM34" i="18"/>
  <c r="AL34" i="18"/>
  <c r="AJ34" i="18"/>
  <c r="AI34" i="18"/>
  <c r="AH34" i="18"/>
  <c r="AF34" i="18"/>
  <c r="AE34" i="18"/>
  <c r="AD34" i="18"/>
  <c r="AB34" i="18"/>
  <c r="AA34" i="18"/>
  <c r="Z34" i="18"/>
  <c r="X34" i="18"/>
  <c r="W34" i="18"/>
  <c r="Y34" i="18" s="1"/>
  <c r="T34" i="18"/>
  <c r="S34" i="18"/>
  <c r="V34" i="18" s="1"/>
  <c r="R34" i="18"/>
  <c r="Q34" i="18"/>
  <c r="P34" i="18"/>
  <c r="N34" i="18"/>
  <c r="J34" i="18"/>
  <c r="D34" i="18"/>
  <c r="C34" i="18" s="1"/>
  <c r="K34" i="18" s="1"/>
  <c r="AR33" i="18"/>
  <c r="AQ33" i="18"/>
  <c r="AP33" i="18"/>
  <c r="AN33" i="18"/>
  <c r="AM33" i="18"/>
  <c r="AL33" i="18"/>
  <c r="AJ33" i="18"/>
  <c r="AI33" i="18"/>
  <c r="AH33" i="18"/>
  <c r="AF33" i="18"/>
  <c r="AE33" i="18"/>
  <c r="AD33" i="18"/>
  <c r="AB33" i="18"/>
  <c r="AA33" i="18"/>
  <c r="Z33" i="18"/>
  <c r="X33" i="18"/>
  <c r="W33" i="18"/>
  <c r="T33" i="18"/>
  <c r="S33" i="18"/>
  <c r="V33" i="18" s="1"/>
  <c r="R33" i="18"/>
  <c r="Q33" i="18"/>
  <c r="P33" i="18"/>
  <c r="N33" i="18"/>
  <c r="K33" i="18"/>
  <c r="J33" i="18"/>
  <c r="D33" i="18"/>
  <c r="C33" i="18" s="1"/>
  <c r="AR32" i="18"/>
  <c r="AQ32" i="18"/>
  <c r="AP32" i="18"/>
  <c r="AN32" i="18"/>
  <c r="AM32" i="18"/>
  <c r="AL32" i="18"/>
  <c r="AJ32" i="18"/>
  <c r="AI32" i="18"/>
  <c r="AH32" i="18"/>
  <c r="AF32" i="18"/>
  <c r="AE32" i="18"/>
  <c r="AD32" i="18"/>
  <c r="AB32" i="18"/>
  <c r="AA32" i="18"/>
  <c r="Z32" i="18"/>
  <c r="X32" i="18"/>
  <c r="W32" i="18"/>
  <c r="Y32" i="18" s="1"/>
  <c r="T32" i="18"/>
  <c r="S32" i="18"/>
  <c r="V32" i="18" s="1"/>
  <c r="R32" i="18"/>
  <c r="Q32" i="18"/>
  <c r="P32" i="18"/>
  <c r="N32" i="18"/>
  <c r="J32" i="18"/>
  <c r="D32" i="18"/>
  <c r="C32" i="18" s="1"/>
  <c r="K32" i="18" s="1"/>
  <c r="Q31" i="18"/>
  <c r="O31" i="18"/>
  <c r="L31" i="18"/>
  <c r="I31" i="18"/>
  <c r="H31" i="18"/>
  <c r="N31" i="18" s="1"/>
  <c r="G31" i="18"/>
  <c r="P31" i="18" s="1"/>
  <c r="F31" i="18"/>
  <c r="E31" i="18"/>
  <c r="AR30" i="18"/>
  <c r="AQ30" i="18"/>
  <c r="AP30" i="18"/>
  <c r="AN30" i="18"/>
  <c r="AM30" i="18"/>
  <c r="AL30" i="18"/>
  <c r="AJ30" i="18"/>
  <c r="AI30" i="18"/>
  <c r="AH30" i="18"/>
  <c r="AF30" i="18"/>
  <c r="AE30" i="18"/>
  <c r="AD30" i="18"/>
  <c r="AB30" i="18"/>
  <c r="AA30" i="18"/>
  <c r="Z30" i="18"/>
  <c r="X30" i="18"/>
  <c r="W30" i="18"/>
  <c r="Y30" i="18" s="1"/>
  <c r="T30" i="18"/>
  <c r="S30" i="18"/>
  <c r="V30" i="18" s="1"/>
  <c r="R30" i="18"/>
  <c r="Q30" i="18"/>
  <c r="P30" i="18"/>
  <c r="N30" i="18"/>
  <c r="M30" i="18"/>
  <c r="J30" i="18"/>
  <c r="D30" i="18"/>
  <c r="C30" i="18" s="1"/>
  <c r="K30" i="18" s="1"/>
  <c r="AR29" i="18"/>
  <c r="AQ29" i="18"/>
  <c r="AP29" i="18"/>
  <c r="AN29" i="18"/>
  <c r="AM29" i="18"/>
  <c r="AL29" i="18"/>
  <c r="AO29" i="18" s="1"/>
  <c r="AJ29" i="18"/>
  <c r="AI29" i="18"/>
  <c r="AH29" i="18"/>
  <c r="AF29" i="18"/>
  <c r="AE29" i="18"/>
  <c r="AD29" i="18"/>
  <c r="AG29" i="18" s="1"/>
  <c r="AB29" i="18"/>
  <c r="AA29" i="18"/>
  <c r="Z29" i="18"/>
  <c r="X29" i="18"/>
  <c r="W29" i="18"/>
  <c r="Y29" i="18" s="1"/>
  <c r="T29" i="18"/>
  <c r="S29" i="18"/>
  <c r="V29" i="18" s="1"/>
  <c r="R29" i="18"/>
  <c r="Q29" i="18"/>
  <c r="P29" i="18"/>
  <c r="N29" i="18"/>
  <c r="J29" i="18"/>
  <c r="D29" i="18"/>
  <c r="C29" i="18" s="1"/>
  <c r="K29" i="18" s="1"/>
  <c r="AR28" i="18"/>
  <c r="AQ28" i="18"/>
  <c r="AP28" i="18"/>
  <c r="AN28" i="18"/>
  <c r="AM28" i="18"/>
  <c r="AL28" i="18"/>
  <c r="AJ28" i="18"/>
  <c r="AI28" i="18"/>
  <c r="AH28" i="18"/>
  <c r="AF28" i="18"/>
  <c r="AE28" i="18"/>
  <c r="AD28" i="18"/>
  <c r="AB28" i="18"/>
  <c r="AA28" i="18"/>
  <c r="Z28" i="18"/>
  <c r="X28" i="18"/>
  <c r="W28" i="18"/>
  <c r="Y28" i="18" s="1"/>
  <c r="T28" i="18"/>
  <c r="S28" i="18"/>
  <c r="V28" i="18" s="1"/>
  <c r="R28" i="18"/>
  <c r="Q28" i="18"/>
  <c r="P28" i="18"/>
  <c r="N28" i="18"/>
  <c r="M28" i="18"/>
  <c r="K28" i="18"/>
  <c r="J28" i="18"/>
  <c r="D28" i="18"/>
  <c r="C28" i="18" s="1"/>
  <c r="AR27" i="18"/>
  <c r="AQ27" i="18"/>
  <c r="AP27" i="18"/>
  <c r="AN27" i="18"/>
  <c r="AM27" i="18"/>
  <c r="AL27" i="18"/>
  <c r="AO27" i="18" s="1"/>
  <c r="AJ27" i="18"/>
  <c r="AI27" i="18"/>
  <c r="AH27" i="18"/>
  <c r="AF27" i="18"/>
  <c r="AE27" i="18"/>
  <c r="AD27" i="18"/>
  <c r="AG27" i="18" s="1"/>
  <c r="AB27" i="18"/>
  <c r="AA27" i="18"/>
  <c r="Z27" i="18"/>
  <c r="X27" i="18"/>
  <c r="W27" i="18"/>
  <c r="Y27" i="18" s="1"/>
  <c r="T27" i="18"/>
  <c r="S27" i="18"/>
  <c r="V27" i="18" s="1"/>
  <c r="R27" i="18"/>
  <c r="Q27" i="18"/>
  <c r="P27" i="18"/>
  <c r="N27" i="18"/>
  <c r="J27" i="18"/>
  <c r="D27" i="18"/>
  <c r="C27" i="18" s="1"/>
  <c r="K27" i="18" s="1"/>
  <c r="AR26" i="18"/>
  <c r="AQ26" i="18"/>
  <c r="AP26" i="18"/>
  <c r="AN26" i="18"/>
  <c r="AM26" i="18"/>
  <c r="AL26" i="18"/>
  <c r="AJ26" i="18"/>
  <c r="AI26" i="18"/>
  <c r="AH26" i="18"/>
  <c r="AF26" i="18"/>
  <c r="AE26" i="18"/>
  <c r="AD26" i="18"/>
  <c r="AB26" i="18"/>
  <c r="AA26" i="18"/>
  <c r="Z26" i="18"/>
  <c r="X26" i="18"/>
  <c r="W26" i="18"/>
  <c r="T26" i="18"/>
  <c r="S26" i="18"/>
  <c r="V26" i="18" s="1"/>
  <c r="R26" i="18"/>
  <c r="Q26" i="18"/>
  <c r="P26" i="18"/>
  <c r="N26" i="18"/>
  <c r="K26" i="18"/>
  <c r="J26" i="18"/>
  <c r="D26" i="18"/>
  <c r="C26" i="18" s="1"/>
  <c r="AR25" i="18"/>
  <c r="AQ25" i="18"/>
  <c r="AP25" i="18"/>
  <c r="AN25" i="18"/>
  <c r="AM25" i="18"/>
  <c r="AL25" i="18"/>
  <c r="AO25" i="18" s="1"/>
  <c r="AJ25" i="18"/>
  <c r="AI25" i="18"/>
  <c r="AH25" i="18"/>
  <c r="AF25" i="18"/>
  <c r="AE25" i="18"/>
  <c r="AD25" i="18"/>
  <c r="AG25" i="18" s="1"/>
  <c r="AB25" i="18"/>
  <c r="AA25" i="18"/>
  <c r="Z25" i="18"/>
  <c r="X25" i="18"/>
  <c r="W25" i="18"/>
  <c r="T25" i="18"/>
  <c r="S25" i="18"/>
  <c r="V25" i="18" s="1"/>
  <c r="R25" i="18"/>
  <c r="Q25" i="18"/>
  <c r="P25" i="18"/>
  <c r="N25" i="18"/>
  <c r="J25" i="18"/>
  <c r="D25" i="18"/>
  <c r="C25" i="18" s="1"/>
  <c r="K25" i="18" s="1"/>
  <c r="AR24" i="18"/>
  <c r="AQ24" i="18"/>
  <c r="AP24" i="18"/>
  <c r="AN24" i="18"/>
  <c r="AM24" i="18"/>
  <c r="AL24" i="18"/>
  <c r="AJ24" i="18"/>
  <c r="AI24" i="18"/>
  <c r="AH24" i="18"/>
  <c r="AF24" i="18"/>
  <c r="AE24" i="18"/>
  <c r="AD24" i="18"/>
  <c r="AB24" i="18"/>
  <c r="AA24" i="18"/>
  <c r="Z24" i="18"/>
  <c r="X24" i="18"/>
  <c r="W24" i="18"/>
  <c r="Y24" i="18" s="1"/>
  <c r="T24" i="18"/>
  <c r="S24" i="18"/>
  <c r="V24" i="18" s="1"/>
  <c r="R24" i="18"/>
  <c r="Q24" i="18"/>
  <c r="P24" i="18"/>
  <c r="N24" i="18"/>
  <c r="J24" i="18"/>
  <c r="D24" i="18"/>
  <c r="C24" i="18" s="1"/>
  <c r="K24" i="18" s="1"/>
  <c r="AR23" i="18"/>
  <c r="AQ23" i="18"/>
  <c r="AP23" i="18"/>
  <c r="AN23" i="18"/>
  <c r="AM23" i="18"/>
  <c r="AL23" i="18"/>
  <c r="AJ23" i="18"/>
  <c r="AI23" i="18"/>
  <c r="AH23" i="18"/>
  <c r="AF23" i="18"/>
  <c r="AE23" i="18"/>
  <c r="AD23" i="18"/>
  <c r="AB23" i="18"/>
  <c r="AA23" i="18"/>
  <c r="Z23" i="18"/>
  <c r="X23" i="18"/>
  <c r="W23" i="18"/>
  <c r="Y23" i="18" s="1"/>
  <c r="T23" i="18"/>
  <c r="S23" i="18"/>
  <c r="V23" i="18" s="1"/>
  <c r="R23" i="18"/>
  <c r="Q23" i="18"/>
  <c r="P23" i="18"/>
  <c r="N23" i="18"/>
  <c r="M23" i="18"/>
  <c r="K23" i="18"/>
  <c r="J23" i="18"/>
  <c r="D23" i="18"/>
  <c r="C23" i="18" s="1"/>
  <c r="AR22" i="18"/>
  <c r="AQ22" i="18"/>
  <c r="AP22" i="18"/>
  <c r="AN22" i="18"/>
  <c r="AM22" i="18"/>
  <c r="AL22" i="18"/>
  <c r="AJ22" i="18"/>
  <c r="AI22" i="18"/>
  <c r="AH22" i="18"/>
  <c r="AF22" i="18"/>
  <c r="AE22" i="18"/>
  <c r="AD22" i="18"/>
  <c r="AB22" i="18"/>
  <c r="AA22" i="18"/>
  <c r="Z22" i="18"/>
  <c r="X22" i="18"/>
  <c r="W22" i="18"/>
  <c r="Y22" i="18" s="1"/>
  <c r="T22" i="18"/>
  <c r="S22" i="18"/>
  <c r="V22" i="18" s="1"/>
  <c r="R22" i="18"/>
  <c r="Q22" i="18"/>
  <c r="P22" i="18"/>
  <c r="N22" i="18"/>
  <c r="J22" i="18"/>
  <c r="D22" i="18"/>
  <c r="C22" i="18" s="1"/>
  <c r="K22" i="18" s="1"/>
  <c r="AR21" i="18"/>
  <c r="AQ21" i="18"/>
  <c r="AP21" i="18"/>
  <c r="AN21" i="18"/>
  <c r="AM21" i="18"/>
  <c r="AL21" i="18"/>
  <c r="AJ21" i="18"/>
  <c r="AI21" i="18"/>
  <c r="AH21" i="18"/>
  <c r="AF21" i="18"/>
  <c r="AE21" i="18"/>
  <c r="AD21" i="18"/>
  <c r="AB21" i="18"/>
  <c r="AA21" i="18"/>
  <c r="Z21" i="18"/>
  <c r="X21" i="18"/>
  <c r="W21" i="18"/>
  <c r="Y21" i="18" s="1"/>
  <c r="T21" i="18"/>
  <c r="S21" i="18"/>
  <c r="V21" i="18" s="1"/>
  <c r="R21" i="18"/>
  <c r="Q21" i="18"/>
  <c r="P21" i="18"/>
  <c r="N21" i="18"/>
  <c r="M21" i="18"/>
  <c r="J21" i="18"/>
  <c r="D21" i="18"/>
  <c r="C21" i="18" s="1"/>
  <c r="K21" i="18" s="1"/>
  <c r="AR20" i="18"/>
  <c r="AQ20" i="18"/>
  <c r="AP20" i="18"/>
  <c r="AN20" i="18"/>
  <c r="AM20" i="18"/>
  <c r="AL20" i="18"/>
  <c r="AJ20" i="18"/>
  <c r="AI20" i="18"/>
  <c r="AH20" i="18"/>
  <c r="AF20" i="18"/>
  <c r="AE20" i="18"/>
  <c r="AD20" i="18"/>
  <c r="AB20" i="18"/>
  <c r="AA20" i="18"/>
  <c r="Z20" i="18"/>
  <c r="X20" i="18"/>
  <c r="W20" i="18"/>
  <c r="T20" i="18"/>
  <c r="S20" i="18"/>
  <c r="V20" i="18" s="1"/>
  <c r="R20" i="18"/>
  <c r="Q20" i="18"/>
  <c r="P20" i="18"/>
  <c r="N20" i="18"/>
  <c r="J20" i="18"/>
  <c r="D20" i="18"/>
  <c r="C20" i="18" s="1"/>
  <c r="K20" i="18" s="1"/>
  <c r="AR19" i="18"/>
  <c r="AQ19" i="18"/>
  <c r="AP19" i="18"/>
  <c r="AN19" i="18"/>
  <c r="AM19" i="18"/>
  <c r="AL19" i="18"/>
  <c r="AJ19" i="18"/>
  <c r="AI19" i="18"/>
  <c r="AH19" i="18"/>
  <c r="AF19" i="18"/>
  <c r="AE19" i="18"/>
  <c r="AD19" i="18"/>
  <c r="AB19" i="18"/>
  <c r="AA19" i="18"/>
  <c r="Z19" i="18"/>
  <c r="X19" i="18"/>
  <c r="W19" i="18"/>
  <c r="T19" i="18"/>
  <c r="S19" i="18"/>
  <c r="V19" i="18" s="1"/>
  <c r="R19" i="18"/>
  <c r="Q19" i="18"/>
  <c r="P19" i="18"/>
  <c r="N19" i="18"/>
  <c r="M19" i="18"/>
  <c r="K19" i="18"/>
  <c r="J19" i="18"/>
  <c r="D19" i="18"/>
  <c r="C19" i="18" s="1"/>
  <c r="AR18" i="18"/>
  <c r="AQ18" i="18"/>
  <c r="AP18" i="18"/>
  <c r="AN18" i="18"/>
  <c r="AM18" i="18"/>
  <c r="AL18" i="18"/>
  <c r="AJ18" i="18"/>
  <c r="AI18" i="18"/>
  <c r="AH18" i="18"/>
  <c r="AF18" i="18"/>
  <c r="AE18" i="18"/>
  <c r="AD18" i="18"/>
  <c r="AB18" i="18"/>
  <c r="AA18" i="18"/>
  <c r="Z18" i="18"/>
  <c r="X18" i="18"/>
  <c r="W18" i="18"/>
  <c r="T18" i="18"/>
  <c r="S18" i="18"/>
  <c r="V18" i="18" s="1"/>
  <c r="R18" i="18"/>
  <c r="Q18" i="18"/>
  <c r="P18" i="18"/>
  <c r="N18" i="18"/>
  <c r="J18" i="18"/>
  <c r="D18" i="18"/>
  <c r="C18" i="18" s="1"/>
  <c r="K18" i="18" s="1"/>
  <c r="AR17" i="18"/>
  <c r="AQ17" i="18"/>
  <c r="AP17" i="18"/>
  <c r="AN17" i="18"/>
  <c r="AM17" i="18"/>
  <c r="AL17" i="18"/>
  <c r="AJ17" i="18"/>
  <c r="AI17" i="18"/>
  <c r="AH17" i="18"/>
  <c r="AF17" i="18"/>
  <c r="AE17" i="18"/>
  <c r="AD17" i="18"/>
  <c r="AB17" i="18"/>
  <c r="AA17" i="18"/>
  <c r="Z17" i="18"/>
  <c r="X17" i="18"/>
  <c r="W17" i="18"/>
  <c r="Y17" i="18" s="1"/>
  <c r="T17" i="18"/>
  <c r="S17" i="18"/>
  <c r="V17" i="18" s="1"/>
  <c r="R17" i="18"/>
  <c r="Q17" i="18"/>
  <c r="P17" i="18"/>
  <c r="N17" i="18"/>
  <c r="M17" i="18"/>
  <c r="K17" i="18"/>
  <c r="J17" i="18"/>
  <c r="D17" i="18"/>
  <c r="C17" i="18" s="1"/>
  <c r="AR16" i="18"/>
  <c r="AQ16" i="18"/>
  <c r="AP16" i="18"/>
  <c r="AN16" i="18"/>
  <c r="AM16" i="18"/>
  <c r="AL16" i="18"/>
  <c r="AJ16" i="18"/>
  <c r="AI16" i="18"/>
  <c r="AH16" i="18"/>
  <c r="AF16" i="18"/>
  <c r="AE16" i="18"/>
  <c r="AD16" i="18"/>
  <c r="AB16" i="18"/>
  <c r="AA16" i="18"/>
  <c r="Z16" i="18"/>
  <c r="X16" i="18"/>
  <c r="W16" i="18"/>
  <c r="T16" i="18"/>
  <c r="S16" i="18"/>
  <c r="V16" i="18" s="1"/>
  <c r="R16" i="18"/>
  <c r="Q16" i="18"/>
  <c r="P16" i="18"/>
  <c r="N16" i="18"/>
  <c r="J16" i="18"/>
  <c r="D16" i="18"/>
  <c r="C16" i="18" s="1"/>
  <c r="K16" i="18" s="1"/>
  <c r="AR15" i="18"/>
  <c r="AQ15" i="18"/>
  <c r="AP15" i="18"/>
  <c r="AS15" i="18" s="1"/>
  <c r="AN15" i="18"/>
  <c r="AM15" i="18"/>
  <c r="AL15" i="18"/>
  <c r="AJ15" i="18"/>
  <c r="AI15" i="18"/>
  <c r="AH15" i="18"/>
  <c r="AK15" i="18" s="1"/>
  <c r="AF15" i="18"/>
  <c r="AE15" i="18"/>
  <c r="AD15" i="18"/>
  <c r="AB15" i="18"/>
  <c r="AA15" i="18"/>
  <c r="Z15" i="18"/>
  <c r="X15" i="18"/>
  <c r="W15" i="18"/>
  <c r="Y15" i="18" s="1"/>
  <c r="T15" i="18"/>
  <c r="S15" i="18"/>
  <c r="V15" i="18" s="1"/>
  <c r="R15" i="18"/>
  <c r="Q15" i="18"/>
  <c r="P15" i="18"/>
  <c r="N15" i="18"/>
  <c r="J15" i="18"/>
  <c r="D15" i="18"/>
  <c r="C15" i="18" s="1"/>
  <c r="K15" i="18" s="1"/>
  <c r="AR14" i="18"/>
  <c r="AQ14" i="18"/>
  <c r="AP14" i="18"/>
  <c r="AN14" i="18"/>
  <c r="AM14" i="18"/>
  <c r="AL14" i="18"/>
  <c r="AJ14" i="18"/>
  <c r="AI14" i="18"/>
  <c r="AH14" i="18"/>
  <c r="AF14" i="18"/>
  <c r="AE14" i="18"/>
  <c r="AD14" i="18"/>
  <c r="AB14" i="18"/>
  <c r="AA14" i="18"/>
  <c r="Z14" i="18"/>
  <c r="X14" i="18"/>
  <c r="W14" i="18"/>
  <c r="Y14" i="18" s="1"/>
  <c r="T14" i="18"/>
  <c r="S14" i="18"/>
  <c r="V14" i="18" s="1"/>
  <c r="R14" i="18"/>
  <c r="Q14" i="18"/>
  <c r="P14" i="18"/>
  <c r="N14" i="18"/>
  <c r="M14" i="18"/>
  <c r="K14" i="18"/>
  <c r="J14" i="18"/>
  <c r="D14" i="18"/>
  <c r="C14" i="18" s="1"/>
  <c r="Q13" i="18"/>
  <c r="O13" i="18"/>
  <c r="O8" i="18" s="1"/>
  <c r="N13" i="18"/>
  <c r="L13" i="18"/>
  <c r="I13" i="18"/>
  <c r="H13" i="18"/>
  <c r="G13" i="18"/>
  <c r="F13" i="18"/>
  <c r="F8" i="18" s="1"/>
  <c r="F7" i="18" s="1"/>
  <c r="E13" i="18"/>
  <c r="T9" i="18"/>
  <c r="S9" i="18"/>
  <c r="V9" i="18" s="1"/>
  <c r="R9" i="18"/>
  <c r="O9" i="18"/>
  <c r="J9" i="18" s="1"/>
  <c r="L9" i="18"/>
  <c r="I9" i="18"/>
  <c r="Q9" i="18" s="1"/>
  <c r="H9" i="18"/>
  <c r="N9" i="18" s="1"/>
  <c r="G9" i="18"/>
  <c r="P9" i="18" s="1"/>
  <c r="F9" i="18"/>
  <c r="E9" i="18"/>
  <c r="D9" i="18"/>
  <c r="M9" i="18" s="1"/>
  <c r="E8" i="18"/>
  <c r="E7" i="18" s="1"/>
  <c r="V106" i="17"/>
  <c r="U106" i="17"/>
  <c r="Q106" i="17"/>
  <c r="P106" i="17"/>
  <c r="P89" i="17" s="1"/>
  <c r="N106" i="17"/>
  <c r="J106" i="17"/>
  <c r="D106" i="17"/>
  <c r="M106" i="17" s="1"/>
  <c r="V105" i="17"/>
  <c r="U105" i="17"/>
  <c r="Q105" i="17"/>
  <c r="P105" i="17"/>
  <c r="N105" i="17"/>
  <c r="M105" i="17"/>
  <c r="K105" i="17"/>
  <c r="J105" i="17"/>
  <c r="D105" i="17"/>
  <c r="C105" i="17"/>
  <c r="V104" i="17"/>
  <c r="U104" i="17"/>
  <c r="Q104" i="17"/>
  <c r="P104" i="17"/>
  <c r="N104" i="17"/>
  <c r="J104" i="17"/>
  <c r="D104" i="17"/>
  <c r="C104" i="17" s="1"/>
  <c r="K104" i="17" s="1"/>
  <c r="V103" i="17"/>
  <c r="U103" i="17"/>
  <c r="Q103" i="17"/>
  <c r="P103" i="17"/>
  <c r="N103" i="17"/>
  <c r="J103" i="17"/>
  <c r="D103" i="17"/>
  <c r="M103" i="17" s="1"/>
  <c r="C103" i="17"/>
  <c r="K103" i="17" s="1"/>
  <c r="V102" i="17"/>
  <c r="U102" i="17"/>
  <c r="Q102" i="17"/>
  <c r="P102" i="17"/>
  <c r="N102" i="17"/>
  <c r="M102" i="17"/>
  <c r="K102" i="17"/>
  <c r="J102" i="17"/>
  <c r="D102" i="17"/>
  <c r="C102" i="17"/>
  <c r="V101" i="17"/>
  <c r="U101" i="17"/>
  <c r="Q101" i="17"/>
  <c r="P101" i="17"/>
  <c r="N101" i="17"/>
  <c r="J101" i="17"/>
  <c r="D101" i="17"/>
  <c r="C101" i="17" s="1"/>
  <c r="K101" i="17" s="1"/>
  <c r="V100" i="17"/>
  <c r="U100" i="17"/>
  <c r="Q100" i="17"/>
  <c r="P100" i="17"/>
  <c r="N100" i="17"/>
  <c r="J100" i="17"/>
  <c r="D100" i="17"/>
  <c r="M100" i="17" s="1"/>
  <c r="C100" i="17"/>
  <c r="K100" i="17" s="1"/>
  <c r="V99" i="17"/>
  <c r="U99" i="17"/>
  <c r="Q99" i="17"/>
  <c r="P99" i="17"/>
  <c r="N99" i="17"/>
  <c r="M99" i="17"/>
  <c r="J99" i="17"/>
  <c r="D99" i="17"/>
  <c r="C99" i="17" s="1"/>
  <c r="K99" i="17" s="1"/>
  <c r="V98" i="17"/>
  <c r="U98" i="17"/>
  <c r="Q98" i="17"/>
  <c r="P98" i="17"/>
  <c r="N98" i="17"/>
  <c r="J98" i="17"/>
  <c r="D98" i="17"/>
  <c r="C98" i="17" s="1"/>
  <c r="K98" i="17" s="1"/>
  <c r="V97" i="17"/>
  <c r="U97" i="17"/>
  <c r="Q97" i="17"/>
  <c r="P97" i="17"/>
  <c r="N97" i="17"/>
  <c r="J97" i="17"/>
  <c r="D97" i="17"/>
  <c r="M97" i="17" s="1"/>
  <c r="C97" i="17"/>
  <c r="K97" i="17" s="1"/>
  <c r="V96" i="17"/>
  <c r="U96" i="17"/>
  <c r="Q96" i="17"/>
  <c r="P96" i="17"/>
  <c r="N96" i="17"/>
  <c r="M96" i="17"/>
  <c r="J96" i="17"/>
  <c r="D96" i="17"/>
  <c r="C96" i="17" s="1"/>
  <c r="K96" i="17" s="1"/>
  <c r="V95" i="17"/>
  <c r="U95" i="17"/>
  <c r="Q95" i="17"/>
  <c r="P95" i="17"/>
  <c r="N95" i="17"/>
  <c r="J95" i="17"/>
  <c r="D95" i="17"/>
  <c r="C95" i="17" s="1"/>
  <c r="K95" i="17" s="1"/>
  <c r="V94" i="17"/>
  <c r="U94" i="17"/>
  <c r="Q94" i="17"/>
  <c r="P94" i="17"/>
  <c r="N94" i="17"/>
  <c r="J94" i="17"/>
  <c r="D94" i="17"/>
  <c r="M94" i="17" s="1"/>
  <c r="C94" i="17"/>
  <c r="K94" i="17" s="1"/>
  <c r="V93" i="17"/>
  <c r="U93" i="17"/>
  <c r="Q93" i="17"/>
  <c r="P93" i="17"/>
  <c r="N93" i="17"/>
  <c r="M93" i="17"/>
  <c r="J93" i="17"/>
  <c r="D93" i="17"/>
  <c r="C93" i="17" s="1"/>
  <c r="K93" i="17" s="1"/>
  <c r="V92" i="17"/>
  <c r="U92" i="17"/>
  <c r="Q92" i="17"/>
  <c r="P92" i="17"/>
  <c r="N92" i="17"/>
  <c r="J92" i="17"/>
  <c r="J89" i="17" s="1"/>
  <c r="D92" i="17"/>
  <c r="C92" i="17" s="1"/>
  <c r="K92" i="17" s="1"/>
  <c r="V91" i="17"/>
  <c r="U91" i="17"/>
  <c r="Q91" i="17"/>
  <c r="Q89" i="17" s="1"/>
  <c r="P91" i="17"/>
  <c r="N91" i="17"/>
  <c r="J91" i="17"/>
  <c r="D91" i="17"/>
  <c r="M91" i="17" s="1"/>
  <c r="C91" i="17"/>
  <c r="K91" i="17" s="1"/>
  <c r="V90" i="17"/>
  <c r="U90" i="17"/>
  <c r="Q90" i="17"/>
  <c r="P90" i="17"/>
  <c r="N90" i="17"/>
  <c r="M90" i="17"/>
  <c r="J90" i="17"/>
  <c r="D90" i="17"/>
  <c r="C90" i="17" s="1"/>
  <c r="K90" i="17" s="1"/>
  <c r="V89" i="17"/>
  <c r="U89" i="17"/>
  <c r="T89" i="17"/>
  <c r="S89" i="17"/>
  <c r="R89" i="17"/>
  <c r="O89" i="17"/>
  <c r="L89" i="17"/>
  <c r="I89" i="17"/>
  <c r="H89" i="17"/>
  <c r="G89" i="17"/>
  <c r="F89" i="17"/>
  <c r="E89" i="17"/>
  <c r="BZ88" i="17"/>
  <c r="BY88" i="17"/>
  <c r="BX88" i="17"/>
  <c r="BW88" i="17"/>
  <c r="BV88" i="17"/>
  <c r="BU88" i="17"/>
  <c r="BS88" i="17"/>
  <c r="BR88" i="17"/>
  <c r="BT88" i="17" s="1"/>
  <c r="BQ88" i="17"/>
  <c r="BP88" i="17"/>
  <c r="BO88" i="17"/>
  <c r="BN88" i="17"/>
  <c r="BM88" i="17"/>
  <c r="BL88" i="17"/>
  <c r="BK88" i="17"/>
  <c r="BJ88" i="17"/>
  <c r="BI88" i="17"/>
  <c r="BH88" i="17"/>
  <c r="BF88" i="17"/>
  <c r="BD88" i="17"/>
  <c r="BC88" i="17"/>
  <c r="BG88" i="17" s="1"/>
  <c r="BB88" i="17"/>
  <c r="BE88" i="17" s="1"/>
  <c r="AZ88" i="17"/>
  <c r="AY88" i="17"/>
  <c r="AX88" i="17"/>
  <c r="AV88" i="17"/>
  <c r="AU88" i="17"/>
  <c r="AT88" i="17"/>
  <c r="AS88" i="17"/>
  <c r="AR88" i="17"/>
  <c r="AQ88" i="17"/>
  <c r="AP88" i="17"/>
  <c r="AO88" i="17"/>
  <c r="AM88" i="17"/>
  <c r="AL88" i="17"/>
  <c r="AN88" i="17" s="1"/>
  <c r="AK88" i="17"/>
  <c r="AJ88" i="17"/>
  <c r="AI88" i="17"/>
  <c r="AH88" i="17"/>
  <c r="AG88" i="17"/>
  <c r="AF88" i="17"/>
  <c r="AD88" i="17"/>
  <c r="AC88" i="17"/>
  <c r="AE88" i="17" s="1"/>
  <c r="AA88" i="17"/>
  <c r="Z88" i="17"/>
  <c r="AB88" i="17" s="1"/>
  <c r="X88" i="17"/>
  <c r="W88" i="17"/>
  <c r="Y88" i="17" s="1"/>
  <c r="T88" i="17"/>
  <c r="S88" i="17"/>
  <c r="V88" i="17" s="1"/>
  <c r="R88" i="17"/>
  <c r="U88" i="17" s="1"/>
  <c r="Q88" i="17"/>
  <c r="P88" i="17"/>
  <c r="N88" i="17"/>
  <c r="J88" i="17"/>
  <c r="D88" i="17"/>
  <c r="C88" i="17" s="1"/>
  <c r="K88" i="17" s="1"/>
  <c r="BZ87" i="17"/>
  <c r="BY87" i="17"/>
  <c r="BX87" i="17"/>
  <c r="BW87" i="17"/>
  <c r="BV87" i="17"/>
  <c r="BU87" i="17"/>
  <c r="BS87" i="17"/>
  <c r="BR87" i="17"/>
  <c r="BT87" i="17" s="1"/>
  <c r="BQ87" i="17"/>
  <c r="BP87" i="17"/>
  <c r="BO87" i="17"/>
  <c r="BN87" i="17"/>
  <c r="BM87" i="17"/>
  <c r="BL87" i="17"/>
  <c r="BK87" i="17"/>
  <c r="BJ87" i="17"/>
  <c r="BI87" i="17"/>
  <c r="BH87" i="17"/>
  <c r="BF87" i="17"/>
  <c r="BD87" i="17"/>
  <c r="BC87" i="17"/>
  <c r="BG87" i="17" s="1"/>
  <c r="BB87" i="17"/>
  <c r="BE87" i="17" s="1"/>
  <c r="AZ87" i="17"/>
  <c r="AY87" i="17"/>
  <c r="AX87" i="17"/>
  <c r="AV87" i="17"/>
  <c r="AU87" i="17"/>
  <c r="AT87" i="17"/>
  <c r="AS87" i="17"/>
  <c r="AR87" i="17"/>
  <c r="AQ87" i="17"/>
  <c r="AP87" i="17"/>
  <c r="AO87" i="17"/>
  <c r="AM87" i="17"/>
  <c r="AL87" i="17"/>
  <c r="AN87" i="17" s="1"/>
  <c r="AK87" i="17"/>
  <c r="AJ87" i="17"/>
  <c r="AI87" i="17"/>
  <c r="AH87" i="17"/>
  <c r="AG87" i="17"/>
  <c r="AF87" i="17"/>
  <c r="AD87" i="17"/>
  <c r="AC87" i="17"/>
  <c r="AE87" i="17" s="1"/>
  <c r="AA87" i="17"/>
  <c r="Z87" i="17"/>
  <c r="AB87" i="17" s="1"/>
  <c r="X87" i="17"/>
  <c r="W87" i="17"/>
  <c r="Y87" i="17" s="1"/>
  <c r="T87" i="17"/>
  <c r="S87" i="17"/>
  <c r="V87" i="17" s="1"/>
  <c r="R87" i="17"/>
  <c r="U87" i="17" s="1"/>
  <c r="Q87" i="17"/>
  <c r="P87" i="17"/>
  <c r="N87" i="17"/>
  <c r="J87" i="17"/>
  <c r="D87" i="17"/>
  <c r="M87" i="17" s="1"/>
  <c r="BZ86" i="17"/>
  <c r="BY86" i="17"/>
  <c r="BX86" i="17"/>
  <c r="BW86" i="17"/>
  <c r="BV86" i="17"/>
  <c r="BU86" i="17"/>
  <c r="BS86" i="17"/>
  <c r="BR86" i="17"/>
  <c r="BT86" i="17" s="1"/>
  <c r="BQ86" i="17"/>
  <c r="BP86" i="17"/>
  <c r="BO86" i="17"/>
  <c r="BN86" i="17"/>
  <c r="BM86" i="17"/>
  <c r="BL86" i="17"/>
  <c r="BK86" i="17"/>
  <c r="BJ86" i="17"/>
  <c r="BI86" i="17"/>
  <c r="BH86" i="17"/>
  <c r="BF86" i="17"/>
  <c r="BD86" i="17"/>
  <c r="BC86" i="17"/>
  <c r="BG86" i="17" s="1"/>
  <c r="BB86" i="17"/>
  <c r="BE86" i="17" s="1"/>
  <c r="AZ86" i="17"/>
  <c r="AY86" i="17"/>
  <c r="AX86" i="17"/>
  <c r="AV86" i="17"/>
  <c r="AU86" i="17"/>
  <c r="AT86" i="17"/>
  <c r="AS86" i="17"/>
  <c r="AR86" i="17"/>
  <c r="AQ86" i="17"/>
  <c r="AP86" i="17"/>
  <c r="AO86" i="17"/>
  <c r="AM86" i="17"/>
  <c r="AL86" i="17"/>
  <c r="AN86" i="17" s="1"/>
  <c r="AK86" i="17"/>
  <c r="AJ86" i="17"/>
  <c r="AI86" i="17"/>
  <c r="AH86" i="17"/>
  <c r="AG86" i="17"/>
  <c r="AF86" i="17"/>
  <c r="AD86" i="17"/>
  <c r="AC86" i="17"/>
  <c r="AE86" i="17" s="1"/>
  <c r="AA86" i="17"/>
  <c r="Z86" i="17"/>
  <c r="AB86" i="17" s="1"/>
  <c r="X86" i="17"/>
  <c r="W86" i="17"/>
  <c r="Y86" i="17" s="1"/>
  <c r="T86" i="17"/>
  <c r="S86" i="17"/>
  <c r="V86" i="17" s="1"/>
  <c r="R86" i="17"/>
  <c r="U86" i="17" s="1"/>
  <c r="Q86" i="17"/>
  <c r="P86" i="17"/>
  <c r="N86" i="17"/>
  <c r="J86" i="17"/>
  <c r="D86" i="17"/>
  <c r="C86" i="17" s="1"/>
  <c r="K86" i="17" s="1"/>
  <c r="BZ85" i="17"/>
  <c r="BY85" i="17"/>
  <c r="BX85" i="17"/>
  <c r="BW85" i="17"/>
  <c r="BV85" i="17"/>
  <c r="BU85" i="17"/>
  <c r="BS85" i="17"/>
  <c r="BR85" i="17"/>
  <c r="BT85" i="17" s="1"/>
  <c r="BQ85" i="17"/>
  <c r="BP85" i="17"/>
  <c r="BO85" i="17"/>
  <c r="BN85" i="17"/>
  <c r="BM85" i="17"/>
  <c r="BL85" i="17"/>
  <c r="BK85" i="17"/>
  <c r="BJ85" i="17"/>
  <c r="BI85" i="17"/>
  <c r="BH85" i="17"/>
  <c r="BF85" i="17"/>
  <c r="BD85" i="17"/>
  <c r="BC85" i="17"/>
  <c r="BG85" i="17" s="1"/>
  <c r="BB85" i="17"/>
  <c r="BE85" i="17" s="1"/>
  <c r="AZ85" i="17"/>
  <c r="AY85" i="17"/>
  <c r="AX85" i="17"/>
  <c r="AV85" i="17"/>
  <c r="AU85" i="17"/>
  <c r="AT85" i="17"/>
  <c r="AS85" i="17"/>
  <c r="AR85" i="17"/>
  <c r="AQ85" i="17"/>
  <c r="AP85" i="17"/>
  <c r="AO85" i="17"/>
  <c r="AM85" i="17"/>
  <c r="AL85" i="17"/>
  <c r="AN85" i="17" s="1"/>
  <c r="AK85" i="17"/>
  <c r="AJ85" i="17"/>
  <c r="AI85" i="17"/>
  <c r="AH85" i="17"/>
  <c r="AG85" i="17"/>
  <c r="AF85" i="17"/>
  <c r="AD85" i="17"/>
  <c r="AC85" i="17"/>
  <c r="AE85" i="17" s="1"/>
  <c r="AA85" i="17"/>
  <c r="Z85" i="17"/>
  <c r="AB85" i="17" s="1"/>
  <c r="X85" i="17"/>
  <c r="W85" i="17"/>
  <c r="Y85" i="17" s="1"/>
  <c r="T85" i="17"/>
  <c r="S85" i="17"/>
  <c r="V85" i="17" s="1"/>
  <c r="R85" i="17"/>
  <c r="U85" i="17" s="1"/>
  <c r="Q85" i="17"/>
  <c r="P85" i="17"/>
  <c r="N85" i="17"/>
  <c r="J85" i="17"/>
  <c r="D85" i="17"/>
  <c r="M85" i="17" s="1"/>
  <c r="BZ84" i="17"/>
  <c r="BY84" i="17"/>
  <c r="BX84" i="17"/>
  <c r="BW84" i="17"/>
  <c r="BV84" i="17"/>
  <c r="BU84" i="17"/>
  <c r="BS84" i="17"/>
  <c r="BR84" i="17"/>
  <c r="BT84" i="17" s="1"/>
  <c r="BQ84" i="17"/>
  <c r="BP84" i="17"/>
  <c r="BO84" i="17"/>
  <c r="BN84" i="17"/>
  <c r="BM84" i="17"/>
  <c r="BL84" i="17"/>
  <c r="BK84" i="17"/>
  <c r="BJ84" i="17"/>
  <c r="BI84" i="17"/>
  <c r="BH84" i="17"/>
  <c r="BF84" i="17"/>
  <c r="BD84" i="17"/>
  <c r="BC84" i="17"/>
  <c r="BG84" i="17" s="1"/>
  <c r="BB84" i="17"/>
  <c r="BE84" i="17" s="1"/>
  <c r="AZ84" i="17"/>
  <c r="AY84" i="17"/>
  <c r="AX84" i="17"/>
  <c r="AV84" i="17"/>
  <c r="AU84" i="17"/>
  <c r="AT84" i="17"/>
  <c r="AS84" i="17"/>
  <c r="AR84" i="17"/>
  <c r="AQ84" i="17"/>
  <c r="AP84" i="17"/>
  <c r="AO84" i="17"/>
  <c r="AM84" i="17"/>
  <c r="AL84" i="17"/>
  <c r="AN84" i="17" s="1"/>
  <c r="AK84" i="17"/>
  <c r="AJ84" i="17"/>
  <c r="AI84" i="17"/>
  <c r="AH84" i="17"/>
  <c r="AG84" i="17"/>
  <c r="AF84" i="17"/>
  <c r="AD84" i="17"/>
  <c r="AC84" i="17"/>
  <c r="AE84" i="17" s="1"/>
  <c r="AA84" i="17"/>
  <c r="Z84" i="17"/>
  <c r="AB84" i="17" s="1"/>
  <c r="X84" i="17"/>
  <c r="W84" i="17"/>
  <c r="Y84" i="17" s="1"/>
  <c r="T84" i="17"/>
  <c r="S84" i="17"/>
  <c r="V84" i="17" s="1"/>
  <c r="R84" i="17"/>
  <c r="U84" i="17" s="1"/>
  <c r="Q84" i="17"/>
  <c r="P84" i="17"/>
  <c r="N84" i="17"/>
  <c r="K84" i="17"/>
  <c r="J84" i="17"/>
  <c r="D84" i="17"/>
  <c r="C84" i="17" s="1"/>
  <c r="BZ83" i="17"/>
  <c r="BY83" i="17"/>
  <c r="BX83" i="17"/>
  <c r="BW83" i="17"/>
  <c r="BV83" i="17"/>
  <c r="BU83" i="17"/>
  <c r="BS83" i="17"/>
  <c r="BR83" i="17"/>
  <c r="BT83" i="17" s="1"/>
  <c r="BQ83" i="17"/>
  <c r="BP83" i="17"/>
  <c r="BO83" i="17"/>
  <c r="BN83" i="17"/>
  <c r="BM83" i="17"/>
  <c r="BL83" i="17"/>
  <c r="BK83" i="17"/>
  <c r="BJ83" i="17"/>
  <c r="BI83" i="17"/>
  <c r="BH83" i="17"/>
  <c r="BF83" i="17"/>
  <c r="BD83" i="17"/>
  <c r="BC83" i="17"/>
  <c r="BG83" i="17" s="1"/>
  <c r="BB83" i="17"/>
  <c r="BE83" i="17" s="1"/>
  <c r="AZ83" i="17"/>
  <c r="AY83" i="17"/>
  <c r="AX83" i="17"/>
  <c r="AV83" i="17"/>
  <c r="AU83" i="17"/>
  <c r="AT83" i="17"/>
  <c r="AS83" i="17"/>
  <c r="AR83" i="17"/>
  <c r="AQ83" i="17"/>
  <c r="AP83" i="17"/>
  <c r="AO83" i="17"/>
  <c r="AM83" i="17"/>
  <c r="AL83" i="17"/>
  <c r="AN83" i="17" s="1"/>
  <c r="AK83" i="17"/>
  <c r="AJ83" i="17"/>
  <c r="AI83" i="17"/>
  <c r="AH83" i="17"/>
  <c r="AG83" i="17"/>
  <c r="AF83" i="17"/>
  <c r="AD83" i="17"/>
  <c r="AC83" i="17"/>
  <c r="AE83" i="17" s="1"/>
  <c r="AA83" i="17"/>
  <c r="Z83" i="17"/>
  <c r="AB83" i="17" s="1"/>
  <c r="X83" i="17"/>
  <c r="W83" i="17"/>
  <c r="Y83" i="17" s="1"/>
  <c r="T83" i="17"/>
  <c r="S83" i="17"/>
  <c r="V83" i="17" s="1"/>
  <c r="R83" i="17"/>
  <c r="U83" i="17" s="1"/>
  <c r="Q83" i="17"/>
  <c r="P83" i="17"/>
  <c r="N83" i="17"/>
  <c r="J83" i="17"/>
  <c r="D83" i="17"/>
  <c r="M83" i="17" s="1"/>
  <c r="BZ82" i="17"/>
  <c r="BY82" i="17"/>
  <c r="BX82" i="17"/>
  <c r="BW82" i="17"/>
  <c r="BV82" i="17"/>
  <c r="BU82" i="17"/>
  <c r="BS82" i="17"/>
  <c r="BR82" i="17"/>
  <c r="BT82" i="17" s="1"/>
  <c r="BQ82" i="17"/>
  <c r="BP82" i="17"/>
  <c r="BO82" i="17"/>
  <c r="BN82" i="17"/>
  <c r="BM82" i="17"/>
  <c r="BL82" i="17"/>
  <c r="BK82" i="17"/>
  <c r="BJ82" i="17"/>
  <c r="BI82" i="17"/>
  <c r="BH82" i="17"/>
  <c r="BF82" i="17"/>
  <c r="BD82" i="17"/>
  <c r="BC82" i="17"/>
  <c r="BG82" i="17" s="1"/>
  <c r="BB82" i="17"/>
  <c r="BE82" i="17" s="1"/>
  <c r="AZ82" i="17"/>
  <c r="AY82" i="17"/>
  <c r="AX82" i="17"/>
  <c r="AV82" i="17"/>
  <c r="AU82" i="17"/>
  <c r="AT82" i="17"/>
  <c r="AS82" i="17"/>
  <c r="AR82" i="17"/>
  <c r="AQ82" i="17"/>
  <c r="AP82" i="17"/>
  <c r="AO82" i="17"/>
  <c r="AM82" i="17"/>
  <c r="AL82" i="17"/>
  <c r="AN82" i="17" s="1"/>
  <c r="AK82" i="17"/>
  <c r="AJ82" i="17"/>
  <c r="AI82" i="17"/>
  <c r="AH82" i="17"/>
  <c r="AG82" i="17"/>
  <c r="AF82" i="17"/>
  <c r="AD82" i="17"/>
  <c r="AC82" i="17"/>
  <c r="AE82" i="17" s="1"/>
  <c r="AA82" i="17"/>
  <c r="Z82" i="17"/>
  <c r="AB82" i="17" s="1"/>
  <c r="X82" i="17"/>
  <c r="W82" i="17"/>
  <c r="Y82" i="17" s="1"/>
  <c r="T82" i="17"/>
  <c r="S82" i="17"/>
  <c r="V82" i="17" s="1"/>
  <c r="R82" i="17"/>
  <c r="U82" i="17" s="1"/>
  <c r="Q82" i="17"/>
  <c r="P82" i="17"/>
  <c r="N82" i="17"/>
  <c r="J82" i="17"/>
  <c r="D82" i="17"/>
  <c r="C82" i="17" s="1"/>
  <c r="K82" i="17" s="1"/>
  <c r="BZ81" i="17"/>
  <c r="BY81" i="17"/>
  <c r="BX81" i="17"/>
  <c r="BW81" i="17"/>
  <c r="BV81" i="17"/>
  <c r="BU81" i="17"/>
  <c r="BS81" i="17"/>
  <c r="BR81" i="17"/>
  <c r="BT81" i="17" s="1"/>
  <c r="BQ81" i="17"/>
  <c r="BP81" i="17"/>
  <c r="BO81" i="17"/>
  <c r="BN81" i="17"/>
  <c r="BM81" i="17"/>
  <c r="BL81" i="17"/>
  <c r="BK81" i="17"/>
  <c r="BJ81" i="17"/>
  <c r="BI81" i="17"/>
  <c r="BH81" i="17"/>
  <c r="BF81" i="17"/>
  <c r="BD81" i="17"/>
  <c r="BC81" i="17"/>
  <c r="BG81" i="17" s="1"/>
  <c r="BB81" i="17"/>
  <c r="BE81" i="17" s="1"/>
  <c r="AZ81" i="17"/>
  <c r="AY81" i="17"/>
  <c r="AX81" i="17"/>
  <c r="AV81" i="17"/>
  <c r="AU81" i="17"/>
  <c r="AT81" i="17"/>
  <c r="AS81" i="17"/>
  <c r="AR81" i="17"/>
  <c r="AQ81" i="17"/>
  <c r="AP81" i="17"/>
  <c r="AO81" i="17"/>
  <c r="AM81" i="17"/>
  <c r="AL81" i="17"/>
  <c r="AN81" i="17" s="1"/>
  <c r="AK81" i="17"/>
  <c r="AJ81" i="17"/>
  <c r="AI81" i="17"/>
  <c r="AH81" i="17"/>
  <c r="AG81" i="17"/>
  <c r="AF81" i="17"/>
  <c r="AD81" i="17"/>
  <c r="AC81" i="17"/>
  <c r="AE81" i="17" s="1"/>
  <c r="AA81" i="17"/>
  <c r="Z81" i="17"/>
  <c r="AB81" i="17" s="1"/>
  <c r="X81" i="17"/>
  <c r="W81" i="17"/>
  <c r="Y81" i="17" s="1"/>
  <c r="T81" i="17"/>
  <c r="S81" i="17"/>
  <c r="V81" i="17" s="1"/>
  <c r="R81" i="17"/>
  <c r="U81" i="17" s="1"/>
  <c r="Q81" i="17"/>
  <c r="P81" i="17"/>
  <c r="N81" i="17"/>
  <c r="J81" i="17"/>
  <c r="D81" i="17"/>
  <c r="M81" i="17" s="1"/>
  <c r="BZ80" i="17"/>
  <c r="BY80" i="17"/>
  <c r="BX80" i="17"/>
  <c r="BW80" i="17"/>
  <c r="BV80" i="17"/>
  <c r="BU80" i="17"/>
  <c r="BS80" i="17"/>
  <c r="BR80" i="17"/>
  <c r="BT80" i="17" s="1"/>
  <c r="BQ80" i="17"/>
  <c r="BP80" i="17"/>
  <c r="BO80" i="17"/>
  <c r="BN80" i="17"/>
  <c r="BM80" i="17"/>
  <c r="BL80" i="17"/>
  <c r="BK80" i="17"/>
  <c r="BJ80" i="17"/>
  <c r="BI80" i="17"/>
  <c r="BH80" i="17"/>
  <c r="BF80" i="17"/>
  <c r="BD80" i="17"/>
  <c r="BC80" i="17"/>
  <c r="BG80" i="17" s="1"/>
  <c r="BB80" i="17"/>
  <c r="BE80" i="17" s="1"/>
  <c r="AZ80" i="17"/>
  <c r="AY80" i="17"/>
  <c r="AX80" i="17"/>
  <c r="AV80" i="17"/>
  <c r="AU80" i="17"/>
  <c r="AT80" i="17"/>
  <c r="AS80" i="17"/>
  <c r="AR80" i="17"/>
  <c r="AQ80" i="17"/>
  <c r="AP80" i="17"/>
  <c r="AO80" i="17"/>
  <c r="AM80" i="17"/>
  <c r="AL80" i="17"/>
  <c r="AN80" i="17" s="1"/>
  <c r="AK80" i="17"/>
  <c r="AJ80" i="17"/>
  <c r="AI80" i="17"/>
  <c r="AH80" i="17"/>
  <c r="AG80" i="17"/>
  <c r="AF80" i="17"/>
  <c r="AD80" i="17"/>
  <c r="AC80" i="17"/>
  <c r="AE80" i="17" s="1"/>
  <c r="AA80" i="17"/>
  <c r="Z80" i="17"/>
  <c r="X80" i="17"/>
  <c r="W80" i="17"/>
  <c r="Y80" i="17" s="1"/>
  <c r="T80" i="17"/>
  <c r="S80" i="17"/>
  <c r="V80" i="17" s="1"/>
  <c r="R80" i="17"/>
  <c r="Q80" i="17"/>
  <c r="P80" i="17"/>
  <c r="N80" i="17"/>
  <c r="K80" i="17"/>
  <c r="J80" i="17"/>
  <c r="D80" i="17"/>
  <c r="C80" i="17" s="1"/>
  <c r="BZ79" i="17"/>
  <c r="BY79" i="17"/>
  <c r="BX79" i="17"/>
  <c r="BW79" i="17"/>
  <c r="BV79" i="17"/>
  <c r="BU79" i="17"/>
  <c r="BS79" i="17"/>
  <c r="BR79" i="17"/>
  <c r="BT79" i="17" s="1"/>
  <c r="BQ79" i="17"/>
  <c r="BP79" i="17"/>
  <c r="BO79" i="17"/>
  <c r="BN79" i="17"/>
  <c r="BM79" i="17"/>
  <c r="BL79" i="17"/>
  <c r="BK79" i="17"/>
  <c r="BJ79" i="17"/>
  <c r="BI79" i="17"/>
  <c r="BH79" i="17"/>
  <c r="BF79" i="17"/>
  <c r="BD79" i="17"/>
  <c r="BC79" i="17"/>
  <c r="BG79" i="17" s="1"/>
  <c r="BB79" i="17"/>
  <c r="BE79" i="17" s="1"/>
  <c r="AZ79" i="17"/>
  <c r="AY79" i="17"/>
  <c r="AX79" i="17"/>
  <c r="AV79" i="17"/>
  <c r="AU79" i="17"/>
  <c r="AT79" i="17"/>
  <c r="AS79" i="17"/>
  <c r="AR79" i="17"/>
  <c r="AQ79" i="17"/>
  <c r="AP79" i="17"/>
  <c r="AO79" i="17"/>
  <c r="AM79" i="17"/>
  <c r="AL79" i="17"/>
  <c r="AN79" i="17" s="1"/>
  <c r="AK79" i="17"/>
  <c r="AJ79" i="17"/>
  <c r="AI79" i="17"/>
  <c r="AH79" i="17"/>
  <c r="AG79" i="17"/>
  <c r="AF79" i="17"/>
  <c r="AD79" i="17"/>
  <c r="AC79" i="17"/>
  <c r="AE79" i="17" s="1"/>
  <c r="AA79" i="17"/>
  <c r="Z79" i="17"/>
  <c r="AB79" i="17" s="1"/>
  <c r="X79" i="17"/>
  <c r="W79" i="17"/>
  <c r="Y79" i="17" s="1"/>
  <c r="T79" i="17"/>
  <c r="S79" i="17"/>
  <c r="V79" i="17" s="1"/>
  <c r="R79" i="17"/>
  <c r="U79" i="17" s="1"/>
  <c r="Q79" i="17"/>
  <c r="P79" i="17"/>
  <c r="N79" i="17"/>
  <c r="J79" i="17"/>
  <c r="D79" i="17"/>
  <c r="M79" i="17" s="1"/>
  <c r="C79" i="17"/>
  <c r="K79" i="17" s="1"/>
  <c r="BZ78" i="17"/>
  <c r="BY78" i="17"/>
  <c r="BX78" i="17"/>
  <c r="BW78" i="17"/>
  <c r="BV78" i="17"/>
  <c r="BU78" i="17"/>
  <c r="BS78" i="17"/>
  <c r="BR78" i="17"/>
  <c r="BT78" i="17" s="1"/>
  <c r="BQ78" i="17"/>
  <c r="BP78" i="17"/>
  <c r="BO78" i="17"/>
  <c r="BN78" i="17"/>
  <c r="BM78" i="17"/>
  <c r="BL78" i="17"/>
  <c r="BK78" i="17"/>
  <c r="BJ78" i="17"/>
  <c r="BI78" i="17"/>
  <c r="BH78" i="17"/>
  <c r="BF78" i="17"/>
  <c r="BD78" i="17"/>
  <c r="BC78" i="17"/>
  <c r="BG78" i="17" s="1"/>
  <c r="BB78" i="17"/>
  <c r="BE78" i="17" s="1"/>
  <c r="AZ78" i="17"/>
  <c r="AY78" i="17"/>
  <c r="AX78" i="17"/>
  <c r="AV78" i="17"/>
  <c r="AU78" i="17"/>
  <c r="AT78" i="17"/>
  <c r="AS78" i="17"/>
  <c r="AR78" i="17"/>
  <c r="AQ78" i="17"/>
  <c r="AP78" i="17"/>
  <c r="AO78" i="17"/>
  <c r="AM78" i="17"/>
  <c r="AL78" i="17"/>
  <c r="AN78" i="17" s="1"/>
  <c r="AK78" i="17"/>
  <c r="AJ78" i="17"/>
  <c r="AI78" i="17"/>
  <c r="AH78" i="17"/>
  <c r="AG78" i="17"/>
  <c r="AF78" i="17"/>
  <c r="AD78" i="17"/>
  <c r="AC78" i="17"/>
  <c r="AE78" i="17" s="1"/>
  <c r="AA78" i="17"/>
  <c r="Z78" i="17"/>
  <c r="AB78" i="17" s="1"/>
  <c r="X78" i="17"/>
  <c r="W78" i="17"/>
  <c r="Y78" i="17" s="1"/>
  <c r="T78" i="17"/>
  <c r="S78" i="17"/>
  <c r="R78" i="17"/>
  <c r="U78" i="17" s="1"/>
  <c r="Q78" i="17"/>
  <c r="P78" i="17"/>
  <c r="N78" i="17"/>
  <c r="M78" i="17"/>
  <c r="J78" i="17"/>
  <c r="D78" i="17"/>
  <c r="C78" i="17" s="1"/>
  <c r="K78" i="17" s="1"/>
  <c r="BZ77" i="17"/>
  <c r="BY77" i="17"/>
  <c r="BX77" i="17"/>
  <c r="BW77" i="17"/>
  <c r="BV77" i="17"/>
  <c r="BU77" i="17"/>
  <c r="BS77" i="17"/>
  <c r="BR77" i="17"/>
  <c r="BT77" i="17" s="1"/>
  <c r="BQ77" i="17"/>
  <c r="BP77" i="17"/>
  <c r="BO77" i="17"/>
  <c r="BN77" i="17"/>
  <c r="BM77" i="17"/>
  <c r="BL77" i="17"/>
  <c r="BK77" i="17"/>
  <c r="BJ77" i="17"/>
  <c r="BI77" i="17"/>
  <c r="BH77" i="17"/>
  <c r="BF77" i="17"/>
  <c r="BD77" i="17"/>
  <c r="BC77" i="17"/>
  <c r="BG77" i="17" s="1"/>
  <c r="BB77" i="17"/>
  <c r="BE77" i="17" s="1"/>
  <c r="AZ77" i="17"/>
  <c r="AY77" i="17"/>
  <c r="AX77" i="17"/>
  <c r="AV77" i="17"/>
  <c r="AU77" i="17"/>
  <c r="AT77" i="17"/>
  <c r="AS77" i="17"/>
  <c r="AR77" i="17"/>
  <c r="AQ77" i="17"/>
  <c r="AP77" i="17"/>
  <c r="AO77" i="17"/>
  <c r="AM77" i="17"/>
  <c r="AL77" i="17"/>
  <c r="AN77" i="17" s="1"/>
  <c r="AK77" i="17"/>
  <c r="AJ77" i="17"/>
  <c r="AI77" i="17"/>
  <c r="AH77" i="17"/>
  <c r="AG77" i="17"/>
  <c r="AF77" i="17"/>
  <c r="AD77" i="17"/>
  <c r="AC77" i="17"/>
  <c r="AE77" i="17" s="1"/>
  <c r="AA77" i="17"/>
  <c r="Z77" i="17"/>
  <c r="AB77" i="17" s="1"/>
  <c r="X77" i="17"/>
  <c r="W77" i="17"/>
  <c r="Y77" i="17" s="1"/>
  <c r="T77" i="17"/>
  <c r="S77" i="17"/>
  <c r="V77" i="17" s="1"/>
  <c r="R77" i="17"/>
  <c r="U77" i="17" s="1"/>
  <c r="Q77" i="17"/>
  <c r="P77" i="17"/>
  <c r="N77" i="17"/>
  <c r="J77" i="17"/>
  <c r="D77" i="17"/>
  <c r="M77" i="17" s="1"/>
  <c r="C77" i="17"/>
  <c r="K77" i="17" s="1"/>
  <c r="BZ76" i="17"/>
  <c r="BY76" i="17"/>
  <c r="BX76" i="17"/>
  <c r="BW76" i="17"/>
  <c r="BV76" i="17"/>
  <c r="BU76" i="17"/>
  <c r="BS76" i="17"/>
  <c r="BR76" i="17"/>
  <c r="BT76" i="17" s="1"/>
  <c r="BQ76" i="17"/>
  <c r="BP76" i="17"/>
  <c r="BO76" i="17"/>
  <c r="BN76" i="17"/>
  <c r="BM76" i="17"/>
  <c r="BL76" i="17"/>
  <c r="BK76" i="17"/>
  <c r="BJ76" i="17"/>
  <c r="BI76" i="17"/>
  <c r="BH76" i="17"/>
  <c r="BF76" i="17"/>
  <c r="BD76" i="17"/>
  <c r="BC76" i="17"/>
  <c r="BG76" i="17" s="1"/>
  <c r="BB76" i="17"/>
  <c r="AZ76" i="17"/>
  <c r="AY76" i="17"/>
  <c r="AX76" i="17"/>
  <c r="AV76" i="17"/>
  <c r="AU76" i="17"/>
  <c r="AT76" i="17"/>
  <c r="AS76" i="17"/>
  <c r="AR76" i="17"/>
  <c r="AQ76" i="17"/>
  <c r="AP76" i="17"/>
  <c r="AO76" i="17"/>
  <c r="AM76" i="17"/>
  <c r="AL76" i="17"/>
  <c r="AN76" i="17" s="1"/>
  <c r="AK76" i="17"/>
  <c r="AJ76" i="17"/>
  <c r="AI76" i="17"/>
  <c r="AH76" i="17"/>
  <c r="AG76" i="17"/>
  <c r="AF76" i="17"/>
  <c r="AD76" i="17"/>
  <c r="AC76" i="17"/>
  <c r="AE76" i="17" s="1"/>
  <c r="AA76" i="17"/>
  <c r="Z76" i="17"/>
  <c r="AB76" i="17" s="1"/>
  <c r="X76" i="17"/>
  <c r="W76" i="17"/>
  <c r="Y76" i="17" s="1"/>
  <c r="T76" i="17"/>
  <c r="S76" i="17"/>
  <c r="V76" i="17" s="1"/>
  <c r="R76" i="17"/>
  <c r="U76" i="17" s="1"/>
  <c r="Q76" i="17"/>
  <c r="P76" i="17"/>
  <c r="N76" i="17"/>
  <c r="J76" i="17"/>
  <c r="D76" i="17"/>
  <c r="C76" i="17" s="1"/>
  <c r="K76" i="17" s="1"/>
  <c r="BZ75" i="17"/>
  <c r="BY75" i="17"/>
  <c r="BX75" i="17"/>
  <c r="BW75" i="17"/>
  <c r="BV75" i="17"/>
  <c r="BU75" i="17"/>
  <c r="BS75" i="17"/>
  <c r="BR75" i="17"/>
  <c r="BQ75" i="17"/>
  <c r="BP75" i="17"/>
  <c r="BO75" i="17"/>
  <c r="BN75" i="17"/>
  <c r="BM75" i="17"/>
  <c r="BL75" i="17"/>
  <c r="BK75" i="17"/>
  <c r="BJ75" i="17"/>
  <c r="BI75" i="17"/>
  <c r="BH75" i="17"/>
  <c r="BF75" i="17"/>
  <c r="BD75" i="17"/>
  <c r="BC75" i="17"/>
  <c r="BG75" i="17" s="1"/>
  <c r="BB75" i="17"/>
  <c r="BE75" i="17" s="1"/>
  <c r="AZ75" i="17"/>
  <c r="AY75" i="17"/>
  <c r="AX75" i="17"/>
  <c r="AV75" i="17"/>
  <c r="AU75" i="17"/>
  <c r="AT75" i="17"/>
  <c r="AS75" i="17"/>
  <c r="AR75" i="17"/>
  <c r="AQ75" i="17"/>
  <c r="AP75" i="17"/>
  <c r="AO75" i="17"/>
  <c r="AM75" i="17"/>
  <c r="AL75" i="17"/>
  <c r="AN75" i="17" s="1"/>
  <c r="AK75" i="17"/>
  <c r="AJ75" i="17"/>
  <c r="AI75" i="17"/>
  <c r="AH75" i="17"/>
  <c r="AG75" i="17"/>
  <c r="AF75" i="17"/>
  <c r="AD75" i="17"/>
  <c r="AC75" i="17"/>
  <c r="AA75" i="17"/>
  <c r="Z75" i="17"/>
  <c r="AB75" i="17" s="1"/>
  <c r="X75" i="17"/>
  <c r="W75" i="17"/>
  <c r="T75" i="17"/>
  <c r="S75" i="17"/>
  <c r="V75" i="17" s="1"/>
  <c r="R75" i="17"/>
  <c r="U75" i="17" s="1"/>
  <c r="Q75" i="17"/>
  <c r="P75" i="17"/>
  <c r="N75" i="17"/>
  <c r="J75" i="17"/>
  <c r="D75" i="17"/>
  <c r="C75" i="17" s="1"/>
  <c r="K75" i="17" s="1"/>
  <c r="O74" i="17"/>
  <c r="L74" i="17"/>
  <c r="J74" i="17" s="1"/>
  <c r="I74" i="17"/>
  <c r="Q74" i="17" s="1"/>
  <c r="H74" i="17"/>
  <c r="N74" i="17" s="1"/>
  <c r="G74" i="17"/>
  <c r="P74" i="17" s="1"/>
  <c r="F74" i="17"/>
  <c r="E74" i="17"/>
  <c r="BZ73" i="17"/>
  <c r="BY73" i="17"/>
  <c r="BX73" i="17"/>
  <c r="BW73" i="17"/>
  <c r="BV73" i="17"/>
  <c r="BU73" i="17"/>
  <c r="BS73" i="17"/>
  <c r="BR73" i="17"/>
  <c r="BT73" i="17" s="1"/>
  <c r="BQ73" i="17"/>
  <c r="BP73" i="17"/>
  <c r="BO73" i="17"/>
  <c r="BN73" i="17"/>
  <c r="BM73" i="17"/>
  <c r="BL73" i="17"/>
  <c r="BK73" i="17"/>
  <c r="BJ73" i="17"/>
  <c r="BI73" i="17"/>
  <c r="BH73" i="17"/>
  <c r="BF73" i="17"/>
  <c r="BD73" i="17"/>
  <c r="BC73" i="17"/>
  <c r="BB73" i="17"/>
  <c r="AZ73" i="17"/>
  <c r="AY73" i="17"/>
  <c r="AX73" i="17"/>
  <c r="AV73" i="17"/>
  <c r="AU73" i="17"/>
  <c r="AT73" i="17"/>
  <c r="AS73" i="17"/>
  <c r="AR73" i="17"/>
  <c r="AQ73" i="17"/>
  <c r="AP73" i="17"/>
  <c r="AO73" i="17"/>
  <c r="AM73" i="17"/>
  <c r="AL73" i="17"/>
  <c r="AK73" i="17"/>
  <c r="AJ73" i="17"/>
  <c r="AI73" i="17"/>
  <c r="AH73" i="17"/>
  <c r="AG73" i="17"/>
  <c r="AF73" i="17"/>
  <c r="AD73" i="17"/>
  <c r="AC73" i="17"/>
  <c r="AE73" i="17" s="1"/>
  <c r="AA73" i="17"/>
  <c r="Z73" i="17"/>
  <c r="X73" i="17"/>
  <c r="W73" i="17"/>
  <c r="Y73" i="17" s="1"/>
  <c r="T73" i="17"/>
  <c r="S73" i="17"/>
  <c r="V73" i="17" s="1"/>
  <c r="R73" i="17"/>
  <c r="Q73" i="17"/>
  <c r="P73" i="17"/>
  <c r="N73" i="17"/>
  <c r="J73" i="17"/>
  <c r="D73" i="17"/>
  <c r="M73" i="17" s="1"/>
  <c r="C73" i="17"/>
  <c r="K73" i="17" s="1"/>
  <c r="BZ72" i="17"/>
  <c r="BY72" i="17"/>
  <c r="BX72" i="17"/>
  <c r="BW72" i="17"/>
  <c r="BV72" i="17"/>
  <c r="BU72" i="17"/>
  <c r="BS72" i="17"/>
  <c r="BR72" i="17"/>
  <c r="BQ72" i="17"/>
  <c r="BP72" i="17"/>
  <c r="BO72" i="17"/>
  <c r="BN72" i="17"/>
  <c r="BM72" i="17"/>
  <c r="BL72" i="17"/>
  <c r="BK72" i="17"/>
  <c r="BJ72" i="17"/>
  <c r="BI72" i="17"/>
  <c r="BH72" i="17"/>
  <c r="BF72" i="17"/>
  <c r="BD72" i="17"/>
  <c r="BC72" i="17"/>
  <c r="BB72" i="17"/>
  <c r="AZ72" i="17"/>
  <c r="AY72" i="17"/>
  <c r="AX72" i="17"/>
  <c r="AV72" i="17"/>
  <c r="AU72" i="17"/>
  <c r="AT72" i="17"/>
  <c r="AS72" i="17"/>
  <c r="AR72" i="17"/>
  <c r="AQ72" i="17"/>
  <c r="AP72" i="17"/>
  <c r="AO72" i="17"/>
  <c r="AM72" i="17"/>
  <c r="AL72" i="17"/>
  <c r="AK72" i="17"/>
  <c r="AJ72" i="17"/>
  <c r="AI72" i="17"/>
  <c r="AH72" i="17"/>
  <c r="AG72" i="17"/>
  <c r="AF72" i="17"/>
  <c r="AD72" i="17"/>
  <c r="AC72" i="17"/>
  <c r="AE72" i="17" s="1"/>
  <c r="AA72" i="17"/>
  <c r="Z72" i="17"/>
  <c r="AB72" i="17" s="1"/>
  <c r="X72" i="17"/>
  <c r="W72" i="17"/>
  <c r="Y72" i="17" s="1"/>
  <c r="T72" i="17"/>
  <c r="S72" i="17"/>
  <c r="V72" i="17" s="1"/>
  <c r="R72" i="17"/>
  <c r="Q72" i="17"/>
  <c r="P72" i="17"/>
  <c r="N72" i="17"/>
  <c r="M72" i="17"/>
  <c r="J72" i="17"/>
  <c r="D72" i="17"/>
  <c r="C72" i="17" s="1"/>
  <c r="K72" i="17" s="1"/>
  <c r="BZ71" i="17"/>
  <c r="BY71" i="17"/>
  <c r="BX71" i="17"/>
  <c r="BW71" i="17"/>
  <c r="BV71" i="17"/>
  <c r="BU71" i="17"/>
  <c r="BS71" i="17"/>
  <c r="BR71" i="17"/>
  <c r="BT71" i="17" s="1"/>
  <c r="BQ71" i="17"/>
  <c r="BP71" i="17"/>
  <c r="BO71" i="17"/>
  <c r="BN71" i="17"/>
  <c r="BM71" i="17"/>
  <c r="BL71" i="17"/>
  <c r="BK71" i="17"/>
  <c r="BJ71" i="17"/>
  <c r="BI71" i="17"/>
  <c r="BH71" i="17"/>
  <c r="BF71" i="17"/>
  <c r="BD71" i="17"/>
  <c r="BC71" i="17"/>
  <c r="BB71" i="17"/>
  <c r="AZ71" i="17"/>
  <c r="AY71" i="17"/>
  <c r="AX71" i="17"/>
  <c r="AV71" i="17"/>
  <c r="AU71" i="17"/>
  <c r="AT71" i="17"/>
  <c r="AS71" i="17"/>
  <c r="AR71" i="17"/>
  <c r="AQ71" i="17"/>
  <c r="AP71" i="17"/>
  <c r="AO71" i="17"/>
  <c r="AM71" i="17"/>
  <c r="AL71" i="17"/>
  <c r="AN71" i="17" s="1"/>
  <c r="AK71" i="17"/>
  <c r="AJ71" i="17"/>
  <c r="AI71" i="17"/>
  <c r="AH71" i="17"/>
  <c r="AG71" i="17"/>
  <c r="AF71" i="17"/>
  <c r="AD71" i="17"/>
  <c r="AC71" i="17"/>
  <c r="AE71" i="17" s="1"/>
  <c r="AA71" i="17"/>
  <c r="Z71" i="17"/>
  <c r="X71" i="17"/>
  <c r="W71" i="17"/>
  <c r="Y71" i="17" s="1"/>
  <c r="T71" i="17"/>
  <c r="S71" i="17"/>
  <c r="V71" i="17" s="1"/>
  <c r="R71" i="17"/>
  <c r="Q71" i="17"/>
  <c r="P71" i="17"/>
  <c r="N71" i="17"/>
  <c r="J71" i="17"/>
  <c r="D71" i="17"/>
  <c r="M71" i="17" s="1"/>
  <c r="C71" i="17"/>
  <c r="K71" i="17" s="1"/>
  <c r="BZ70" i="17"/>
  <c r="BY70" i="17"/>
  <c r="BX70" i="17"/>
  <c r="BW70" i="17"/>
  <c r="BV70" i="17"/>
  <c r="BU70" i="17"/>
  <c r="BS70" i="17"/>
  <c r="BR70" i="17"/>
  <c r="BT70" i="17" s="1"/>
  <c r="BQ70" i="17"/>
  <c r="BP70" i="17"/>
  <c r="BO70" i="17"/>
  <c r="BN70" i="17"/>
  <c r="BM70" i="17"/>
  <c r="BL70" i="17"/>
  <c r="BK70" i="17"/>
  <c r="BJ70" i="17"/>
  <c r="BI70" i="17"/>
  <c r="BH70" i="17"/>
  <c r="BF70" i="17"/>
  <c r="BD70" i="17"/>
  <c r="BC70" i="17"/>
  <c r="BB70" i="17"/>
  <c r="AZ70" i="17"/>
  <c r="AY70" i="17"/>
  <c r="AX70" i="17"/>
  <c r="AV70" i="17"/>
  <c r="AU70" i="17"/>
  <c r="AT70" i="17"/>
  <c r="AS70" i="17"/>
  <c r="AR70" i="17"/>
  <c r="AQ70" i="17"/>
  <c r="AP70" i="17"/>
  <c r="AO70" i="17"/>
  <c r="AM70" i="17"/>
  <c r="AL70" i="17"/>
  <c r="AN70" i="17" s="1"/>
  <c r="AK70" i="17"/>
  <c r="AJ70" i="17"/>
  <c r="AI70" i="17"/>
  <c r="AH70" i="17"/>
  <c r="AG70" i="17"/>
  <c r="AF70" i="17"/>
  <c r="AD70" i="17"/>
  <c r="AC70" i="17"/>
  <c r="AE70" i="17" s="1"/>
  <c r="AA70" i="17"/>
  <c r="Z70" i="17"/>
  <c r="AB70" i="17" s="1"/>
  <c r="X70" i="17"/>
  <c r="W70" i="17"/>
  <c r="Y70" i="17" s="1"/>
  <c r="T70" i="17"/>
  <c r="S70" i="17"/>
  <c r="V70" i="17" s="1"/>
  <c r="R70" i="17"/>
  <c r="Q70" i="17"/>
  <c r="P70" i="17"/>
  <c r="N70" i="17"/>
  <c r="M70" i="17"/>
  <c r="J70" i="17"/>
  <c r="D70" i="17"/>
  <c r="C70" i="17" s="1"/>
  <c r="K70" i="17" s="1"/>
  <c r="BZ69" i="17"/>
  <c r="BY69" i="17"/>
  <c r="BX69" i="17"/>
  <c r="BW69" i="17"/>
  <c r="BV69" i="17"/>
  <c r="BU69" i="17"/>
  <c r="BS69" i="17"/>
  <c r="BR69" i="17"/>
  <c r="BT69" i="17" s="1"/>
  <c r="BQ69" i="17"/>
  <c r="BP69" i="17"/>
  <c r="BO69" i="17"/>
  <c r="BN69" i="17"/>
  <c r="BM69" i="17"/>
  <c r="BL69" i="17"/>
  <c r="BK69" i="17"/>
  <c r="BJ69" i="17"/>
  <c r="BI69" i="17"/>
  <c r="BH69" i="17"/>
  <c r="BF69" i="17"/>
  <c r="BD69" i="17"/>
  <c r="BC69" i="17"/>
  <c r="BG69" i="17" s="1"/>
  <c r="BB69" i="17"/>
  <c r="BE69" i="17" s="1"/>
  <c r="AZ69" i="17"/>
  <c r="AY69" i="17"/>
  <c r="AX69" i="17"/>
  <c r="AV69" i="17"/>
  <c r="AU69" i="17"/>
  <c r="AT69" i="17"/>
  <c r="AS69" i="17"/>
  <c r="AR69" i="17"/>
  <c r="AQ69" i="17"/>
  <c r="AP69" i="17"/>
  <c r="AO69" i="17"/>
  <c r="AM69" i="17"/>
  <c r="AL69" i="17"/>
  <c r="AN69" i="17" s="1"/>
  <c r="AK69" i="17"/>
  <c r="AJ69" i="17"/>
  <c r="AI69" i="17"/>
  <c r="AH69" i="17"/>
  <c r="AG69" i="17"/>
  <c r="AF69" i="17"/>
  <c r="AD69" i="17"/>
  <c r="AC69" i="17"/>
  <c r="AE69" i="17" s="1"/>
  <c r="AA69" i="17"/>
  <c r="Z69" i="17"/>
  <c r="AB69" i="17" s="1"/>
  <c r="X69" i="17"/>
  <c r="W69" i="17"/>
  <c r="Y69" i="17" s="1"/>
  <c r="T69" i="17"/>
  <c r="S69" i="17"/>
  <c r="V69" i="17" s="1"/>
  <c r="R69" i="17"/>
  <c r="U69" i="17" s="1"/>
  <c r="Q69" i="17"/>
  <c r="P69" i="17"/>
  <c r="N69" i="17"/>
  <c r="J69" i="17"/>
  <c r="D69" i="17"/>
  <c r="M69" i="17" s="1"/>
  <c r="C69" i="17"/>
  <c r="K69" i="17" s="1"/>
  <c r="BZ68" i="17"/>
  <c r="BY68" i="17"/>
  <c r="BX68" i="17"/>
  <c r="BW68" i="17"/>
  <c r="BV68" i="17"/>
  <c r="BU68" i="17"/>
  <c r="BS68" i="17"/>
  <c r="BR68" i="17"/>
  <c r="BQ68" i="17"/>
  <c r="BP68" i="17"/>
  <c r="BO68" i="17"/>
  <c r="BN68" i="17"/>
  <c r="BM68" i="17"/>
  <c r="BL68" i="17"/>
  <c r="BK68" i="17"/>
  <c r="BJ68" i="17"/>
  <c r="BI68" i="17"/>
  <c r="BH68" i="17"/>
  <c r="BF68" i="17"/>
  <c r="BD68" i="17"/>
  <c r="BC68" i="17"/>
  <c r="BB68" i="17"/>
  <c r="AZ68" i="17"/>
  <c r="AY68" i="17"/>
  <c r="AX68" i="17"/>
  <c r="AV68" i="17"/>
  <c r="AU68" i="17"/>
  <c r="AT68" i="17"/>
  <c r="AS68" i="17"/>
  <c r="AR68" i="17"/>
  <c r="AQ68" i="17"/>
  <c r="AP68" i="17"/>
  <c r="AO68" i="17"/>
  <c r="AM68" i="17"/>
  <c r="AL68" i="17"/>
  <c r="AK68" i="17"/>
  <c r="AJ68" i="17"/>
  <c r="AI68" i="17"/>
  <c r="AH68" i="17"/>
  <c r="AG68" i="17"/>
  <c r="AF68" i="17"/>
  <c r="AD68" i="17"/>
  <c r="AC68" i="17"/>
  <c r="AA68" i="17"/>
  <c r="Z68" i="17"/>
  <c r="AB68" i="17" s="1"/>
  <c r="X68" i="17"/>
  <c r="W68" i="17"/>
  <c r="Y68" i="17" s="1"/>
  <c r="T68" i="17"/>
  <c r="S68" i="17"/>
  <c r="V68" i="17" s="1"/>
  <c r="R68" i="17"/>
  <c r="Q68" i="17"/>
  <c r="P68" i="17"/>
  <c r="N68" i="17"/>
  <c r="M68" i="17"/>
  <c r="J68" i="17"/>
  <c r="D68" i="17"/>
  <c r="C68" i="17" s="1"/>
  <c r="K68" i="17" s="1"/>
  <c r="BZ67" i="17"/>
  <c r="BY67" i="17"/>
  <c r="BX67" i="17"/>
  <c r="BW67" i="17"/>
  <c r="BV67" i="17"/>
  <c r="BU67" i="17"/>
  <c r="BS67" i="17"/>
  <c r="BR67" i="17"/>
  <c r="BT67" i="17" s="1"/>
  <c r="BQ67" i="17"/>
  <c r="BP67" i="17"/>
  <c r="BO67" i="17"/>
  <c r="BN67" i="17"/>
  <c r="BM67" i="17"/>
  <c r="BL67" i="17"/>
  <c r="BK67" i="17"/>
  <c r="BJ67" i="17"/>
  <c r="BI67" i="17"/>
  <c r="BH67" i="17"/>
  <c r="BF67" i="17"/>
  <c r="BD67" i="17"/>
  <c r="BC67" i="17"/>
  <c r="BG67" i="17" s="1"/>
  <c r="BB67" i="17"/>
  <c r="BE67" i="17" s="1"/>
  <c r="AZ67" i="17"/>
  <c r="AY67" i="17"/>
  <c r="AX67" i="17"/>
  <c r="AV67" i="17"/>
  <c r="AU67" i="17"/>
  <c r="AT67" i="17"/>
  <c r="AS67" i="17"/>
  <c r="AR67" i="17"/>
  <c r="AQ67" i="17"/>
  <c r="AP67" i="17"/>
  <c r="AO67" i="17"/>
  <c r="AM67" i="17"/>
  <c r="AL67" i="17"/>
  <c r="AN67" i="17" s="1"/>
  <c r="AK67" i="17"/>
  <c r="AJ67" i="17"/>
  <c r="AI67" i="17"/>
  <c r="AH67" i="17"/>
  <c r="AG67" i="17"/>
  <c r="AF67" i="17"/>
  <c r="AD67" i="17"/>
  <c r="AC67" i="17"/>
  <c r="AE67" i="17" s="1"/>
  <c r="AA67" i="17"/>
  <c r="Z67" i="17"/>
  <c r="AB67" i="17" s="1"/>
  <c r="X67" i="17"/>
  <c r="W67" i="17"/>
  <c r="T67" i="17"/>
  <c r="S67" i="17"/>
  <c r="V67" i="17" s="1"/>
  <c r="R67" i="17"/>
  <c r="Q67" i="17"/>
  <c r="P67" i="17"/>
  <c r="N67" i="17"/>
  <c r="J67" i="17"/>
  <c r="D67" i="17"/>
  <c r="M67" i="17" s="1"/>
  <c r="C67" i="17"/>
  <c r="K67" i="17" s="1"/>
  <c r="BZ66" i="17"/>
  <c r="BY66" i="17"/>
  <c r="BX66" i="17"/>
  <c r="BW66" i="17"/>
  <c r="BV66" i="17"/>
  <c r="BU66" i="17"/>
  <c r="BS66" i="17"/>
  <c r="BR66" i="17"/>
  <c r="BT66" i="17" s="1"/>
  <c r="BQ66" i="17"/>
  <c r="BP66" i="17"/>
  <c r="BO66" i="17"/>
  <c r="BN66" i="17"/>
  <c r="BM66" i="17"/>
  <c r="BL66" i="17"/>
  <c r="BK66" i="17"/>
  <c r="BJ66" i="17"/>
  <c r="BI66" i="17"/>
  <c r="BH66" i="17"/>
  <c r="BF66" i="17"/>
  <c r="BD66" i="17"/>
  <c r="BC66" i="17"/>
  <c r="BG66" i="17" s="1"/>
  <c r="BB66" i="17"/>
  <c r="BE66" i="17" s="1"/>
  <c r="AZ66" i="17"/>
  <c r="AY66" i="17"/>
  <c r="AX66" i="17"/>
  <c r="AV66" i="17"/>
  <c r="AU66" i="17"/>
  <c r="AT66" i="17"/>
  <c r="AS66" i="17"/>
  <c r="AR66" i="17"/>
  <c r="AQ66" i="17"/>
  <c r="AP66" i="17"/>
  <c r="AO66" i="17"/>
  <c r="AM66" i="17"/>
  <c r="AL66" i="17"/>
  <c r="AN66" i="17" s="1"/>
  <c r="AK66" i="17"/>
  <c r="AJ66" i="17"/>
  <c r="AI66" i="17"/>
  <c r="AH66" i="17"/>
  <c r="AG66" i="17"/>
  <c r="AF66" i="17"/>
  <c r="AD66" i="17"/>
  <c r="AC66" i="17"/>
  <c r="AE66" i="17" s="1"/>
  <c r="AA66" i="17"/>
  <c r="Z66" i="17"/>
  <c r="AB66" i="17" s="1"/>
  <c r="X66" i="17"/>
  <c r="W66" i="17"/>
  <c r="Y66" i="17" s="1"/>
  <c r="T66" i="17"/>
  <c r="S66" i="17"/>
  <c r="V66" i="17" s="1"/>
  <c r="R66" i="17"/>
  <c r="U66" i="17" s="1"/>
  <c r="Q66" i="17"/>
  <c r="P66" i="17"/>
  <c r="N66" i="17"/>
  <c r="M66" i="17"/>
  <c r="J66" i="17"/>
  <c r="D66" i="17"/>
  <c r="C66" i="17" s="1"/>
  <c r="K66" i="17" s="1"/>
  <c r="BZ65" i="17"/>
  <c r="BY65" i="17"/>
  <c r="BX65" i="17"/>
  <c r="BW65" i="17"/>
  <c r="BV65" i="17"/>
  <c r="BU65" i="17"/>
  <c r="BS65" i="17"/>
  <c r="BR65" i="17"/>
  <c r="BT65" i="17" s="1"/>
  <c r="BQ65" i="17"/>
  <c r="BP65" i="17"/>
  <c r="BO65" i="17"/>
  <c r="BN65" i="17"/>
  <c r="BM65" i="17"/>
  <c r="BL65" i="17"/>
  <c r="BK65" i="17"/>
  <c r="BJ65" i="17"/>
  <c r="BI65" i="17"/>
  <c r="BH65" i="17"/>
  <c r="BF65" i="17"/>
  <c r="BD65" i="17"/>
  <c r="BC65" i="17"/>
  <c r="BB65" i="17"/>
  <c r="AZ65" i="17"/>
  <c r="AY65" i="17"/>
  <c r="AX65" i="17"/>
  <c r="AV65" i="17"/>
  <c r="AU65" i="17"/>
  <c r="AT65" i="17"/>
  <c r="AS65" i="17"/>
  <c r="AR65" i="17"/>
  <c r="AQ65" i="17"/>
  <c r="AP65" i="17"/>
  <c r="AO65" i="17"/>
  <c r="AM65" i="17"/>
  <c r="AL65" i="17"/>
  <c r="AN65" i="17" s="1"/>
  <c r="AK65" i="17"/>
  <c r="AJ65" i="17"/>
  <c r="AI65" i="17"/>
  <c r="AH65" i="17"/>
  <c r="AG65" i="17"/>
  <c r="AF65" i="17"/>
  <c r="AD65" i="17"/>
  <c r="AC65" i="17"/>
  <c r="AA65" i="17"/>
  <c r="Z65" i="17"/>
  <c r="AB65" i="17" s="1"/>
  <c r="X65" i="17"/>
  <c r="W65" i="17"/>
  <c r="Y65" i="17" s="1"/>
  <c r="T65" i="17"/>
  <c r="S65" i="17"/>
  <c r="V65" i="17" s="1"/>
  <c r="R65" i="17"/>
  <c r="Q65" i="17"/>
  <c r="P65" i="17"/>
  <c r="N65" i="17"/>
  <c r="J65" i="17"/>
  <c r="D65" i="17"/>
  <c r="M65" i="17" s="1"/>
  <c r="C65" i="17"/>
  <c r="K65" i="17" s="1"/>
  <c r="BZ64" i="17"/>
  <c r="BY64" i="17"/>
  <c r="BX64" i="17"/>
  <c r="BW64" i="17"/>
  <c r="BV64" i="17"/>
  <c r="BU64" i="17"/>
  <c r="BS64" i="17"/>
  <c r="BR64" i="17"/>
  <c r="BQ64" i="17"/>
  <c r="BP64" i="17"/>
  <c r="BO64" i="17"/>
  <c r="BN64" i="17"/>
  <c r="BM64" i="17"/>
  <c r="BL64" i="17"/>
  <c r="BK64" i="17"/>
  <c r="BJ64" i="17"/>
  <c r="BI64" i="17"/>
  <c r="BH64" i="17"/>
  <c r="BF64" i="17"/>
  <c r="BD64" i="17"/>
  <c r="BC64" i="17"/>
  <c r="BB64" i="17"/>
  <c r="AZ64" i="17"/>
  <c r="AY64" i="17"/>
  <c r="AX64" i="17"/>
  <c r="AV64" i="17"/>
  <c r="AU64" i="17"/>
  <c r="AT64" i="17"/>
  <c r="AS64" i="17"/>
  <c r="AR64" i="17"/>
  <c r="AQ64" i="17"/>
  <c r="AP64" i="17"/>
  <c r="AO64" i="17"/>
  <c r="AM64" i="17"/>
  <c r="AL64" i="17"/>
  <c r="AK64" i="17"/>
  <c r="AJ64" i="17"/>
  <c r="AI64" i="17"/>
  <c r="AH64" i="17"/>
  <c r="AG64" i="17"/>
  <c r="AF64" i="17"/>
  <c r="AD64" i="17"/>
  <c r="AC64" i="17"/>
  <c r="AE64" i="17" s="1"/>
  <c r="AA64" i="17"/>
  <c r="Z64" i="17"/>
  <c r="X64" i="17"/>
  <c r="W64" i="17"/>
  <c r="Y64" i="17" s="1"/>
  <c r="T64" i="17"/>
  <c r="S64" i="17"/>
  <c r="V64" i="17" s="1"/>
  <c r="R64" i="17"/>
  <c r="Q64" i="17"/>
  <c r="P64" i="17"/>
  <c r="N64" i="17"/>
  <c r="M64" i="17"/>
  <c r="J64" i="17"/>
  <c r="D64" i="17"/>
  <c r="C64" i="17" s="1"/>
  <c r="K64" i="17" s="1"/>
  <c r="BZ63" i="17"/>
  <c r="BY63" i="17"/>
  <c r="BX63" i="17"/>
  <c r="BW63" i="17"/>
  <c r="BV63" i="17"/>
  <c r="BU63" i="17"/>
  <c r="BS63" i="17"/>
  <c r="BR63" i="17"/>
  <c r="BT63" i="17" s="1"/>
  <c r="BQ63" i="17"/>
  <c r="BP63" i="17"/>
  <c r="BO63" i="17"/>
  <c r="BN63" i="17"/>
  <c r="BM63" i="17"/>
  <c r="BL63" i="17"/>
  <c r="BK63" i="17"/>
  <c r="BJ63" i="17"/>
  <c r="BI63" i="17"/>
  <c r="BH63" i="17"/>
  <c r="BF63" i="17"/>
  <c r="BD63" i="17"/>
  <c r="BC63" i="17"/>
  <c r="BB63" i="17"/>
  <c r="AZ63" i="17"/>
  <c r="AY63" i="17"/>
  <c r="AX63" i="17"/>
  <c r="AV63" i="17"/>
  <c r="AU63" i="17"/>
  <c r="AT63" i="17"/>
  <c r="AS63" i="17"/>
  <c r="AR63" i="17"/>
  <c r="AQ63" i="17"/>
  <c r="AP63" i="17"/>
  <c r="AO63" i="17"/>
  <c r="AM63" i="17"/>
  <c r="AL63" i="17"/>
  <c r="AK63" i="17"/>
  <c r="AJ63" i="17"/>
  <c r="AI63" i="17"/>
  <c r="AH63" i="17"/>
  <c r="AG63" i="17"/>
  <c r="AF63" i="17"/>
  <c r="AD63" i="17"/>
  <c r="AC63" i="17"/>
  <c r="AE63" i="17" s="1"/>
  <c r="AA63" i="17"/>
  <c r="Z63" i="17"/>
  <c r="AB63" i="17" s="1"/>
  <c r="X63" i="17"/>
  <c r="W63" i="17"/>
  <c r="Y63" i="17" s="1"/>
  <c r="T63" i="17"/>
  <c r="S63" i="17"/>
  <c r="V63" i="17" s="1"/>
  <c r="R63" i="17"/>
  <c r="Q63" i="17"/>
  <c r="P63" i="17"/>
  <c r="N63" i="17"/>
  <c r="J63" i="17"/>
  <c r="D63" i="17"/>
  <c r="M63" i="17" s="1"/>
  <c r="C63" i="17"/>
  <c r="K63" i="17" s="1"/>
  <c r="BZ62" i="17"/>
  <c r="BY62" i="17"/>
  <c r="BX62" i="17"/>
  <c r="BW62" i="17"/>
  <c r="BV62" i="17"/>
  <c r="BU62" i="17"/>
  <c r="BS62" i="17"/>
  <c r="BR62" i="17"/>
  <c r="BT62" i="17" s="1"/>
  <c r="BQ62" i="17"/>
  <c r="BP62" i="17"/>
  <c r="BO62" i="17"/>
  <c r="BN62" i="17"/>
  <c r="BM62" i="17"/>
  <c r="BL62" i="17"/>
  <c r="BK62" i="17"/>
  <c r="BJ62" i="17"/>
  <c r="BI62" i="17"/>
  <c r="BH62" i="17"/>
  <c r="BF62" i="17"/>
  <c r="BD62" i="17"/>
  <c r="BC62" i="17"/>
  <c r="BG62" i="17" s="1"/>
  <c r="BB62" i="17"/>
  <c r="BE62" i="17" s="1"/>
  <c r="AZ62" i="17"/>
  <c r="AY62" i="17"/>
  <c r="AX62" i="17"/>
  <c r="AV62" i="17"/>
  <c r="AU62" i="17"/>
  <c r="AT62" i="17"/>
  <c r="AS62" i="17"/>
  <c r="AR62" i="17"/>
  <c r="AQ62" i="17"/>
  <c r="AP62" i="17"/>
  <c r="AO62" i="17"/>
  <c r="AM62" i="17"/>
  <c r="AL62" i="17"/>
  <c r="AN62" i="17" s="1"/>
  <c r="AK62" i="17"/>
  <c r="AJ62" i="17"/>
  <c r="AI62" i="17"/>
  <c r="AH62" i="17"/>
  <c r="AG62" i="17"/>
  <c r="AF62" i="17"/>
  <c r="AD62" i="17"/>
  <c r="AC62" i="17"/>
  <c r="AE62" i="17" s="1"/>
  <c r="AA62" i="17"/>
  <c r="Z62" i="17"/>
  <c r="AB62" i="17" s="1"/>
  <c r="X62" i="17"/>
  <c r="W62" i="17"/>
  <c r="Y62" i="17" s="1"/>
  <c r="T62" i="17"/>
  <c r="S62" i="17"/>
  <c r="V62" i="17" s="1"/>
  <c r="R62" i="17"/>
  <c r="U62" i="17" s="1"/>
  <c r="Q62" i="17"/>
  <c r="P62" i="17"/>
  <c r="N62" i="17"/>
  <c r="M62" i="17"/>
  <c r="J62" i="17"/>
  <c r="D62" i="17"/>
  <c r="C62" i="17" s="1"/>
  <c r="K62" i="17" s="1"/>
  <c r="BZ61" i="17"/>
  <c r="BY61" i="17"/>
  <c r="BX61" i="17"/>
  <c r="BW61" i="17"/>
  <c r="BV61" i="17"/>
  <c r="BU61" i="17"/>
  <c r="BS61" i="17"/>
  <c r="BR61" i="17"/>
  <c r="BQ61" i="17"/>
  <c r="BP61" i="17"/>
  <c r="BO61" i="17"/>
  <c r="BN61" i="17"/>
  <c r="BM61" i="17"/>
  <c r="BL61" i="17"/>
  <c r="BK61" i="17"/>
  <c r="BJ61" i="17"/>
  <c r="BI61" i="17"/>
  <c r="BH61" i="17"/>
  <c r="BF61" i="17"/>
  <c r="BD61" i="17"/>
  <c r="BC61" i="17"/>
  <c r="BB61" i="17"/>
  <c r="AZ61" i="17"/>
  <c r="AY61" i="17"/>
  <c r="AX61" i="17"/>
  <c r="AV61" i="17"/>
  <c r="AU61" i="17"/>
  <c r="AT61" i="17"/>
  <c r="AS61" i="17"/>
  <c r="AR61" i="17"/>
  <c r="AQ61" i="17"/>
  <c r="AP61" i="17"/>
  <c r="AO61" i="17"/>
  <c r="AM61" i="17"/>
  <c r="AL61" i="17"/>
  <c r="AK61" i="17"/>
  <c r="AJ61" i="17"/>
  <c r="AI61" i="17"/>
  <c r="AH61" i="17"/>
  <c r="AG61" i="17"/>
  <c r="AF61" i="17"/>
  <c r="AD61" i="17"/>
  <c r="AC61" i="17"/>
  <c r="AA61" i="17"/>
  <c r="Z61" i="17"/>
  <c r="AB61" i="17" s="1"/>
  <c r="X61" i="17"/>
  <c r="W61" i="17"/>
  <c r="Y61" i="17" s="1"/>
  <c r="T61" i="17"/>
  <c r="S61" i="17"/>
  <c r="V61" i="17" s="1"/>
  <c r="R61" i="17"/>
  <c r="Q61" i="17"/>
  <c r="P61" i="17"/>
  <c r="N61" i="17"/>
  <c r="J61" i="17"/>
  <c r="D61" i="17"/>
  <c r="M61" i="17" s="1"/>
  <c r="BZ60" i="17"/>
  <c r="BY60" i="17"/>
  <c r="BX60" i="17"/>
  <c r="BW60" i="17"/>
  <c r="BV60" i="17"/>
  <c r="BU60" i="17"/>
  <c r="BS60" i="17"/>
  <c r="BR60" i="17"/>
  <c r="BT60" i="17" s="1"/>
  <c r="BQ60" i="17"/>
  <c r="BP60" i="17"/>
  <c r="BO60" i="17"/>
  <c r="BN60" i="17"/>
  <c r="BM60" i="17"/>
  <c r="BL60" i="17"/>
  <c r="BK60" i="17"/>
  <c r="BJ60" i="17"/>
  <c r="BI60" i="17"/>
  <c r="BH60" i="17"/>
  <c r="BF60" i="17"/>
  <c r="BD60" i="17"/>
  <c r="BC60" i="17"/>
  <c r="BB60" i="17"/>
  <c r="AZ60" i="17"/>
  <c r="AY60" i="17"/>
  <c r="AX60" i="17"/>
  <c r="AV60" i="17"/>
  <c r="AU60" i="17"/>
  <c r="AT60" i="17"/>
  <c r="AS60" i="17"/>
  <c r="AR60" i="17"/>
  <c r="AQ60" i="17"/>
  <c r="AP60" i="17"/>
  <c r="AO60" i="17"/>
  <c r="AM60" i="17"/>
  <c r="AL60" i="17"/>
  <c r="AK60" i="17"/>
  <c r="AJ60" i="17"/>
  <c r="AI60" i="17"/>
  <c r="AH60" i="17"/>
  <c r="AG60" i="17"/>
  <c r="AF60" i="17"/>
  <c r="AD60" i="17"/>
  <c r="AC60" i="17"/>
  <c r="AA60" i="17"/>
  <c r="Z60" i="17"/>
  <c r="AB60" i="17" s="1"/>
  <c r="X60" i="17"/>
  <c r="W60" i="17"/>
  <c r="Y60" i="17" s="1"/>
  <c r="T60" i="17"/>
  <c r="S60" i="17"/>
  <c r="V60" i="17" s="1"/>
  <c r="R60" i="17"/>
  <c r="Q60" i="17"/>
  <c r="P60" i="17"/>
  <c r="N60" i="17"/>
  <c r="M60" i="17"/>
  <c r="K60" i="17"/>
  <c r="J60" i="17"/>
  <c r="D60" i="17"/>
  <c r="C60" i="17"/>
  <c r="BZ59" i="17"/>
  <c r="BY59" i="17"/>
  <c r="BX59" i="17"/>
  <c r="BW59" i="17"/>
  <c r="BV59" i="17"/>
  <c r="BU59" i="17"/>
  <c r="BS59" i="17"/>
  <c r="BR59" i="17"/>
  <c r="BQ59" i="17"/>
  <c r="BP59" i="17"/>
  <c r="BO59" i="17"/>
  <c r="BN59" i="17"/>
  <c r="BM59" i="17"/>
  <c r="BL59" i="17"/>
  <c r="BK59" i="17"/>
  <c r="BJ59" i="17"/>
  <c r="BI59" i="17"/>
  <c r="BH59" i="17"/>
  <c r="BF59" i="17"/>
  <c r="BD59" i="17"/>
  <c r="BC59" i="17"/>
  <c r="BB59" i="17"/>
  <c r="AZ59" i="17"/>
  <c r="AY59" i="17"/>
  <c r="AX59" i="17"/>
  <c r="AV59" i="17"/>
  <c r="AU59" i="17"/>
  <c r="AT59" i="17"/>
  <c r="AS59" i="17"/>
  <c r="AR59" i="17"/>
  <c r="AQ59" i="17"/>
  <c r="AP59" i="17"/>
  <c r="AO59" i="17"/>
  <c r="AM59" i="17"/>
  <c r="AL59" i="17"/>
  <c r="AK59" i="17"/>
  <c r="AJ59" i="17"/>
  <c r="AI59" i="17"/>
  <c r="AH59" i="17"/>
  <c r="AG59" i="17"/>
  <c r="AF59" i="17"/>
  <c r="AD59" i="17"/>
  <c r="AC59" i="17"/>
  <c r="AA59" i="17"/>
  <c r="Z59" i="17"/>
  <c r="X59" i="17"/>
  <c r="W59" i="17"/>
  <c r="Y59" i="17" s="1"/>
  <c r="T59" i="17"/>
  <c r="S59" i="17"/>
  <c r="V59" i="17" s="1"/>
  <c r="R59" i="17"/>
  <c r="Q59" i="17"/>
  <c r="P59" i="17"/>
  <c r="N59" i="17"/>
  <c r="J59" i="17"/>
  <c r="D59" i="17"/>
  <c r="M59" i="17" s="1"/>
  <c r="BZ58" i="17"/>
  <c r="BY58" i="17"/>
  <c r="BX58" i="17"/>
  <c r="BW58" i="17"/>
  <c r="BV58" i="17"/>
  <c r="BU58" i="17"/>
  <c r="BS58" i="17"/>
  <c r="BR58" i="17"/>
  <c r="BT58" i="17" s="1"/>
  <c r="BQ58" i="17"/>
  <c r="BP58" i="17"/>
  <c r="BO58" i="17"/>
  <c r="BN58" i="17"/>
  <c r="BM58" i="17"/>
  <c r="BL58" i="17"/>
  <c r="BK58" i="17"/>
  <c r="BJ58" i="17"/>
  <c r="BI58" i="17"/>
  <c r="BH58" i="17"/>
  <c r="BF58" i="17"/>
  <c r="BD58" i="17"/>
  <c r="BC58" i="17"/>
  <c r="BB58" i="17"/>
  <c r="BE58" i="17" s="1"/>
  <c r="AZ58" i="17"/>
  <c r="AY58" i="17"/>
  <c r="AX58" i="17"/>
  <c r="AV58" i="17"/>
  <c r="AU58" i="17"/>
  <c r="AT58" i="17"/>
  <c r="AS58" i="17"/>
  <c r="AR58" i="17"/>
  <c r="AQ58" i="17"/>
  <c r="AP58" i="17"/>
  <c r="AO58" i="17"/>
  <c r="AM58" i="17"/>
  <c r="AL58" i="17"/>
  <c r="AN58" i="17" s="1"/>
  <c r="AK58" i="17"/>
  <c r="AJ58" i="17"/>
  <c r="AI58" i="17"/>
  <c r="AH58" i="17"/>
  <c r="AG58" i="17"/>
  <c r="AF58" i="17"/>
  <c r="AD58" i="17"/>
  <c r="AC58" i="17"/>
  <c r="AE58" i="17" s="1"/>
  <c r="AA58" i="17"/>
  <c r="Z58" i="17"/>
  <c r="AB58" i="17" s="1"/>
  <c r="X58" i="17"/>
  <c r="W58" i="17"/>
  <c r="Y58" i="17" s="1"/>
  <c r="T58" i="17"/>
  <c r="S58" i="17"/>
  <c r="V58" i="17" s="1"/>
  <c r="R58" i="17"/>
  <c r="U58" i="17" s="1"/>
  <c r="Q58" i="17"/>
  <c r="P58" i="17"/>
  <c r="N58" i="17"/>
  <c r="J58" i="17"/>
  <c r="D58" i="17"/>
  <c r="C58" i="17" s="1"/>
  <c r="K58" i="17" s="1"/>
  <c r="BZ57" i="17"/>
  <c r="BY57" i="17"/>
  <c r="BX57" i="17"/>
  <c r="BW57" i="17"/>
  <c r="BV57" i="17"/>
  <c r="BU57" i="17"/>
  <c r="BS57" i="17"/>
  <c r="BR57" i="17"/>
  <c r="BT57" i="17" s="1"/>
  <c r="BQ57" i="17"/>
  <c r="BP57" i="17"/>
  <c r="BO57" i="17"/>
  <c r="BN57" i="17"/>
  <c r="BM57" i="17"/>
  <c r="BL57" i="17"/>
  <c r="BK57" i="17"/>
  <c r="BJ57" i="17"/>
  <c r="BI57" i="17"/>
  <c r="BH57" i="17"/>
  <c r="BF57" i="17"/>
  <c r="BD57" i="17"/>
  <c r="BC57" i="17"/>
  <c r="BB57" i="17"/>
  <c r="AZ57" i="17"/>
  <c r="AY57" i="17"/>
  <c r="AX57" i="17"/>
  <c r="AV57" i="17"/>
  <c r="AU57" i="17"/>
  <c r="AT57" i="17"/>
  <c r="AS57" i="17"/>
  <c r="AR57" i="17"/>
  <c r="AQ57" i="17"/>
  <c r="AP57" i="17"/>
  <c r="AO57" i="17"/>
  <c r="AM57" i="17"/>
  <c r="AL57" i="17"/>
  <c r="AN57" i="17" s="1"/>
  <c r="AK57" i="17"/>
  <c r="AJ57" i="17"/>
  <c r="AI57" i="17"/>
  <c r="AH57" i="17"/>
  <c r="AG57" i="17"/>
  <c r="AF57" i="17"/>
  <c r="AD57" i="17"/>
  <c r="AC57" i="17"/>
  <c r="AA57" i="17"/>
  <c r="Z57" i="17"/>
  <c r="AB57" i="17" s="1"/>
  <c r="X57" i="17"/>
  <c r="W57" i="17"/>
  <c r="Y57" i="17" s="1"/>
  <c r="T57" i="17"/>
  <c r="S57" i="17"/>
  <c r="V57" i="17" s="1"/>
  <c r="R57" i="17"/>
  <c r="Q57" i="17"/>
  <c r="P57" i="17"/>
  <c r="N57" i="17"/>
  <c r="J57" i="17"/>
  <c r="D57" i="17"/>
  <c r="M57" i="17" s="1"/>
  <c r="BZ56" i="17"/>
  <c r="BY56" i="17"/>
  <c r="BX56" i="17"/>
  <c r="BW56" i="17"/>
  <c r="BV56" i="17"/>
  <c r="BU56" i="17"/>
  <c r="BS56" i="17"/>
  <c r="BR56" i="17"/>
  <c r="BT56" i="17" s="1"/>
  <c r="BQ56" i="17"/>
  <c r="BP56" i="17"/>
  <c r="BO56" i="17"/>
  <c r="BN56" i="17"/>
  <c r="BM56" i="17"/>
  <c r="BL56" i="17"/>
  <c r="BK56" i="17"/>
  <c r="BJ56" i="17"/>
  <c r="BI56" i="17"/>
  <c r="BH56" i="17"/>
  <c r="BF56" i="17"/>
  <c r="BD56" i="17"/>
  <c r="BC56" i="17"/>
  <c r="BG56" i="17" s="1"/>
  <c r="BB56" i="17"/>
  <c r="AZ56" i="17"/>
  <c r="AY56" i="17"/>
  <c r="AX56" i="17"/>
  <c r="AV56" i="17"/>
  <c r="AU56" i="17"/>
  <c r="AT56" i="17"/>
  <c r="AS56" i="17"/>
  <c r="AR56" i="17"/>
  <c r="AQ56" i="17"/>
  <c r="AP56" i="17"/>
  <c r="AO56" i="17"/>
  <c r="AM56" i="17"/>
  <c r="AL56" i="17"/>
  <c r="AN56" i="17" s="1"/>
  <c r="AK56" i="17"/>
  <c r="AJ56" i="17"/>
  <c r="AI56" i="17"/>
  <c r="AH56" i="17"/>
  <c r="AG56" i="17"/>
  <c r="AF56" i="17"/>
  <c r="AD56" i="17"/>
  <c r="AC56" i="17"/>
  <c r="AE56" i="17" s="1"/>
  <c r="AA56" i="17"/>
  <c r="Z56" i="17"/>
  <c r="AB56" i="17" s="1"/>
  <c r="X56" i="17"/>
  <c r="W56" i="17"/>
  <c r="Y56" i="17" s="1"/>
  <c r="T56" i="17"/>
  <c r="S56" i="17"/>
  <c r="V56" i="17" s="1"/>
  <c r="R56" i="17"/>
  <c r="U56" i="17" s="1"/>
  <c r="Q56" i="17"/>
  <c r="P56" i="17"/>
  <c r="N56" i="17"/>
  <c r="J56" i="17"/>
  <c r="D56" i="17"/>
  <c r="C56" i="17" s="1"/>
  <c r="K56" i="17" s="1"/>
  <c r="BZ55" i="17"/>
  <c r="BY55" i="17"/>
  <c r="BX55" i="17"/>
  <c r="BW55" i="17"/>
  <c r="BV55" i="17"/>
  <c r="BU55" i="17"/>
  <c r="BS55" i="17"/>
  <c r="BR55" i="17"/>
  <c r="BQ55" i="17"/>
  <c r="BP55" i="17"/>
  <c r="BO55" i="17"/>
  <c r="BN55" i="17"/>
  <c r="BM55" i="17"/>
  <c r="BL55" i="17"/>
  <c r="BK55" i="17"/>
  <c r="BJ55" i="17"/>
  <c r="BI55" i="17"/>
  <c r="BH55" i="17"/>
  <c r="BF55" i="17"/>
  <c r="BD55" i="17"/>
  <c r="BC55" i="17"/>
  <c r="BB55" i="17"/>
  <c r="AZ55" i="17"/>
  <c r="AY55" i="17"/>
  <c r="AX55" i="17"/>
  <c r="AV55" i="17"/>
  <c r="AU55" i="17"/>
  <c r="AT55" i="17"/>
  <c r="AS55" i="17"/>
  <c r="AR55" i="17"/>
  <c r="AQ55" i="17"/>
  <c r="AP55" i="17"/>
  <c r="AO55" i="17"/>
  <c r="AM55" i="17"/>
  <c r="AL55" i="17"/>
  <c r="AK55" i="17"/>
  <c r="AJ55" i="17"/>
  <c r="AI55" i="17"/>
  <c r="AH55" i="17"/>
  <c r="AG55" i="17"/>
  <c r="AF55" i="17"/>
  <c r="AD55" i="17"/>
  <c r="AC55" i="17"/>
  <c r="AA55" i="17"/>
  <c r="Z55" i="17"/>
  <c r="X55" i="17"/>
  <c r="W55" i="17"/>
  <c r="Y55" i="17" s="1"/>
  <c r="T55" i="17"/>
  <c r="S55" i="17"/>
  <c r="V55" i="17" s="1"/>
  <c r="R55" i="17"/>
  <c r="Q55" i="17"/>
  <c r="P55" i="17"/>
  <c r="N55" i="17"/>
  <c r="J55" i="17"/>
  <c r="D55" i="17"/>
  <c r="M55" i="17" s="1"/>
  <c r="BZ54" i="17"/>
  <c r="BY54" i="17"/>
  <c r="BX54" i="17"/>
  <c r="BW54" i="17"/>
  <c r="BV54" i="17"/>
  <c r="BU54" i="17"/>
  <c r="BS54" i="17"/>
  <c r="BR54" i="17"/>
  <c r="BT54" i="17" s="1"/>
  <c r="BQ54" i="17"/>
  <c r="BP54" i="17"/>
  <c r="BO54" i="17"/>
  <c r="BN54" i="17"/>
  <c r="BM54" i="17"/>
  <c r="BL54" i="17"/>
  <c r="BK54" i="17"/>
  <c r="BJ54" i="17"/>
  <c r="BI54" i="17"/>
  <c r="BH54" i="17"/>
  <c r="BF54" i="17"/>
  <c r="BD54" i="17"/>
  <c r="BC54" i="17"/>
  <c r="BB54" i="17"/>
  <c r="AZ54" i="17"/>
  <c r="AY54" i="17"/>
  <c r="AX54" i="17"/>
  <c r="AV54" i="17"/>
  <c r="AU54" i="17"/>
  <c r="AT54" i="17"/>
  <c r="AS54" i="17"/>
  <c r="AR54" i="17"/>
  <c r="AQ54" i="17"/>
  <c r="AP54" i="17"/>
  <c r="AO54" i="17"/>
  <c r="AM54" i="17"/>
  <c r="AL54" i="17"/>
  <c r="AK54" i="17"/>
  <c r="AJ54" i="17"/>
  <c r="AI54" i="17"/>
  <c r="AH54" i="17"/>
  <c r="AG54" i="17"/>
  <c r="AF54" i="17"/>
  <c r="AD54" i="17"/>
  <c r="AC54" i="17"/>
  <c r="AE54" i="17" s="1"/>
  <c r="AA54" i="17"/>
  <c r="Z54" i="17"/>
  <c r="X54" i="17"/>
  <c r="W54" i="17"/>
  <c r="T54" i="17"/>
  <c r="S54" i="17"/>
  <c r="V54" i="17" s="1"/>
  <c r="R54" i="17"/>
  <c r="Q54" i="17"/>
  <c r="P54" i="17"/>
  <c r="N54" i="17"/>
  <c r="J54" i="17"/>
  <c r="D54" i="17"/>
  <c r="C54" i="17" s="1"/>
  <c r="K54" i="17" s="1"/>
  <c r="BZ53" i="17"/>
  <c r="BY53" i="17"/>
  <c r="BX53" i="17"/>
  <c r="BW53" i="17"/>
  <c r="BV53" i="17"/>
  <c r="BU53" i="17"/>
  <c r="BS53" i="17"/>
  <c r="BR53" i="17"/>
  <c r="BQ53" i="17"/>
  <c r="BP53" i="17"/>
  <c r="BO53" i="17"/>
  <c r="BN53" i="17"/>
  <c r="BM53" i="17"/>
  <c r="BL53" i="17"/>
  <c r="BK53" i="17"/>
  <c r="BJ53" i="17"/>
  <c r="BI53" i="17"/>
  <c r="BH53" i="17"/>
  <c r="BF53" i="17"/>
  <c r="BD53" i="17"/>
  <c r="BC53" i="17"/>
  <c r="BB53" i="17"/>
  <c r="AZ53" i="17"/>
  <c r="AY53" i="17"/>
  <c r="AX53" i="17"/>
  <c r="AV53" i="17"/>
  <c r="AU53" i="17"/>
  <c r="AT53" i="17"/>
  <c r="AS53" i="17"/>
  <c r="AR53" i="17"/>
  <c r="AQ53" i="17"/>
  <c r="AP53" i="17"/>
  <c r="AO53" i="17"/>
  <c r="AM53" i="17"/>
  <c r="AL53" i="17"/>
  <c r="AN53" i="17" s="1"/>
  <c r="AK53" i="17"/>
  <c r="AJ53" i="17"/>
  <c r="AI53" i="17"/>
  <c r="AH53" i="17"/>
  <c r="AG53" i="17"/>
  <c r="AF53" i="17"/>
  <c r="AD53" i="17"/>
  <c r="AC53" i="17"/>
  <c r="AA53" i="17"/>
  <c r="Z53" i="17"/>
  <c r="X53" i="17"/>
  <c r="W53" i="17"/>
  <c r="T53" i="17"/>
  <c r="S53" i="17"/>
  <c r="R53" i="17"/>
  <c r="Q53" i="17"/>
  <c r="P53" i="17"/>
  <c r="N53" i="17"/>
  <c r="J53" i="17"/>
  <c r="D53" i="17"/>
  <c r="M53" i="17" s="1"/>
  <c r="O52" i="17"/>
  <c r="O8" i="17" s="1"/>
  <c r="L52" i="17"/>
  <c r="I52" i="17"/>
  <c r="Q52" i="17" s="1"/>
  <c r="H52" i="17"/>
  <c r="N52" i="17" s="1"/>
  <c r="G52" i="17"/>
  <c r="P52" i="17" s="1"/>
  <c r="F52" i="17"/>
  <c r="E52" i="17"/>
  <c r="E8" i="17" s="1"/>
  <c r="BZ51" i="17"/>
  <c r="BY51" i="17"/>
  <c r="BX51" i="17"/>
  <c r="BW51" i="17"/>
  <c r="BV51" i="17"/>
  <c r="BU51" i="17"/>
  <c r="BS51" i="17"/>
  <c r="BR51" i="17"/>
  <c r="BT51" i="17" s="1"/>
  <c r="BQ51" i="17"/>
  <c r="BP51" i="17"/>
  <c r="BO51" i="17"/>
  <c r="BN51" i="17"/>
  <c r="BM51" i="17"/>
  <c r="BL51" i="17"/>
  <c r="BK51" i="17"/>
  <c r="BJ51" i="17"/>
  <c r="BI51" i="17"/>
  <c r="BH51" i="17"/>
  <c r="BF51" i="17"/>
  <c r="BD51" i="17"/>
  <c r="BC51" i="17"/>
  <c r="BG51" i="17" s="1"/>
  <c r="BB51" i="17"/>
  <c r="BE51" i="17" s="1"/>
  <c r="AZ51" i="17"/>
  <c r="AY51" i="17"/>
  <c r="AX51" i="17"/>
  <c r="AV51" i="17"/>
  <c r="AU51" i="17"/>
  <c r="AT51" i="17"/>
  <c r="AS51" i="17"/>
  <c r="AR51" i="17"/>
  <c r="AQ51" i="17"/>
  <c r="AP51" i="17"/>
  <c r="AO51" i="17"/>
  <c r="AM51" i="17"/>
  <c r="AL51" i="17"/>
  <c r="AN51" i="17" s="1"/>
  <c r="AK51" i="17"/>
  <c r="AJ51" i="17"/>
  <c r="AI51" i="17"/>
  <c r="AH51" i="17"/>
  <c r="AG51" i="17"/>
  <c r="AF51" i="17"/>
  <c r="AD51" i="17"/>
  <c r="AC51" i="17"/>
  <c r="AE51" i="17" s="1"/>
  <c r="AA51" i="17"/>
  <c r="Z51" i="17"/>
  <c r="X51" i="17"/>
  <c r="W51" i="17"/>
  <c r="T51" i="17"/>
  <c r="S51" i="17"/>
  <c r="V51" i="17" s="1"/>
  <c r="R51" i="17"/>
  <c r="Q51" i="17"/>
  <c r="P51" i="17"/>
  <c r="N51" i="17"/>
  <c r="J51" i="17"/>
  <c r="D51" i="17"/>
  <c r="M51" i="17" s="1"/>
  <c r="BZ50" i="17"/>
  <c r="BY50" i="17"/>
  <c r="BX50" i="17"/>
  <c r="BW50" i="17"/>
  <c r="BV50" i="17"/>
  <c r="BU50" i="17"/>
  <c r="BS50" i="17"/>
  <c r="BR50" i="17"/>
  <c r="BQ50" i="17"/>
  <c r="BP50" i="17"/>
  <c r="BO50" i="17"/>
  <c r="BN50" i="17"/>
  <c r="BM50" i="17"/>
  <c r="BL50" i="17"/>
  <c r="BK50" i="17"/>
  <c r="BJ50" i="17"/>
  <c r="BI50" i="17"/>
  <c r="BH50" i="17"/>
  <c r="BF50" i="17"/>
  <c r="BD50" i="17"/>
  <c r="BC50" i="17"/>
  <c r="BG50" i="17" s="1"/>
  <c r="BB50" i="17"/>
  <c r="BE50" i="17" s="1"/>
  <c r="AZ50" i="17"/>
  <c r="AY50" i="17"/>
  <c r="AX50" i="17"/>
  <c r="AV50" i="17"/>
  <c r="AU50" i="17"/>
  <c r="AT50" i="17"/>
  <c r="AS50" i="17"/>
  <c r="AR50" i="17"/>
  <c r="AQ50" i="17"/>
  <c r="AP50" i="17"/>
  <c r="AO50" i="17"/>
  <c r="AM50" i="17"/>
  <c r="AL50" i="17"/>
  <c r="AN50" i="17" s="1"/>
  <c r="AK50" i="17"/>
  <c r="AJ50" i="17"/>
  <c r="AI50" i="17"/>
  <c r="AH50" i="17"/>
  <c r="AG50" i="17"/>
  <c r="AF50" i="17"/>
  <c r="AD50" i="17"/>
  <c r="AC50" i="17"/>
  <c r="AE50" i="17" s="1"/>
  <c r="AA50" i="17"/>
  <c r="Z50" i="17"/>
  <c r="X50" i="17"/>
  <c r="W50" i="17"/>
  <c r="T50" i="17"/>
  <c r="S50" i="17"/>
  <c r="V50" i="17" s="1"/>
  <c r="R50" i="17"/>
  <c r="Q50" i="17"/>
  <c r="P50" i="17"/>
  <c r="N50" i="17"/>
  <c r="J50" i="17"/>
  <c r="D50" i="17"/>
  <c r="M50" i="17" s="1"/>
  <c r="C50" i="17"/>
  <c r="K50" i="17" s="1"/>
  <c r="BZ49" i="17"/>
  <c r="BY49" i="17"/>
  <c r="BX49" i="17"/>
  <c r="BW49" i="17"/>
  <c r="BV49" i="17"/>
  <c r="BU49" i="17"/>
  <c r="BS49" i="17"/>
  <c r="BR49" i="17"/>
  <c r="BT49" i="17" s="1"/>
  <c r="BQ49" i="17"/>
  <c r="BP49" i="17"/>
  <c r="BO49" i="17"/>
  <c r="BN49" i="17"/>
  <c r="BM49" i="17"/>
  <c r="BL49" i="17"/>
  <c r="BK49" i="17"/>
  <c r="BJ49" i="17"/>
  <c r="BI49" i="17"/>
  <c r="BH49" i="17"/>
  <c r="BF49" i="17"/>
  <c r="BD49" i="17"/>
  <c r="BC49" i="17"/>
  <c r="BG49" i="17" s="1"/>
  <c r="BB49" i="17"/>
  <c r="BE49" i="17" s="1"/>
  <c r="AZ49" i="17"/>
  <c r="AY49" i="17"/>
  <c r="AX49" i="17"/>
  <c r="AV49" i="17"/>
  <c r="AU49" i="17"/>
  <c r="AT49" i="17"/>
  <c r="AS49" i="17"/>
  <c r="AR49" i="17"/>
  <c r="AQ49" i="17"/>
  <c r="AP49" i="17"/>
  <c r="AO49" i="17"/>
  <c r="AM49" i="17"/>
  <c r="AL49" i="17"/>
  <c r="AN49" i="17" s="1"/>
  <c r="AK49" i="17"/>
  <c r="AJ49" i="17"/>
  <c r="AI49" i="17"/>
  <c r="AH49" i="17"/>
  <c r="AG49" i="17"/>
  <c r="AF49" i="17"/>
  <c r="AD49" i="17"/>
  <c r="AC49" i="17"/>
  <c r="AE49" i="17" s="1"/>
  <c r="AA49" i="17"/>
  <c r="Z49" i="17"/>
  <c r="AB49" i="17" s="1"/>
  <c r="X49" i="17"/>
  <c r="W49" i="17"/>
  <c r="Y49" i="17" s="1"/>
  <c r="T49" i="17"/>
  <c r="S49" i="17"/>
  <c r="V49" i="17" s="1"/>
  <c r="R49" i="17"/>
  <c r="U49" i="17" s="1"/>
  <c r="Q49" i="17"/>
  <c r="P49" i="17"/>
  <c r="N49" i="17"/>
  <c r="J49" i="17"/>
  <c r="D49" i="17"/>
  <c r="M49" i="17" s="1"/>
  <c r="BZ48" i="17"/>
  <c r="BY48" i="17"/>
  <c r="BX48" i="17"/>
  <c r="BW48" i="17"/>
  <c r="BV48" i="17"/>
  <c r="BU48" i="17"/>
  <c r="BS48" i="17"/>
  <c r="BR48" i="17"/>
  <c r="BT48" i="17" s="1"/>
  <c r="BQ48" i="17"/>
  <c r="BP48" i="17"/>
  <c r="BO48" i="17"/>
  <c r="BN48" i="17"/>
  <c r="BM48" i="17"/>
  <c r="BL48" i="17"/>
  <c r="BK48" i="17"/>
  <c r="BJ48" i="17"/>
  <c r="BI48" i="17"/>
  <c r="BH48" i="17"/>
  <c r="BF48" i="17"/>
  <c r="BD48" i="17"/>
  <c r="BC48" i="17"/>
  <c r="BG48" i="17" s="1"/>
  <c r="BB48" i="17"/>
  <c r="BE48" i="17" s="1"/>
  <c r="AZ48" i="17"/>
  <c r="AY48" i="17"/>
  <c r="AX48" i="17"/>
  <c r="AV48" i="17"/>
  <c r="AU48" i="17"/>
  <c r="AT48" i="17"/>
  <c r="AS48" i="17"/>
  <c r="AR48" i="17"/>
  <c r="AQ48" i="17"/>
  <c r="AP48" i="17"/>
  <c r="AO48" i="17"/>
  <c r="AM48" i="17"/>
  <c r="AL48" i="17"/>
  <c r="AN48" i="17" s="1"/>
  <c r="AK48" i="17"/>
  <c r="AJ48" i="17"/>
  <c r="AI48" i="17"/>
  <c r="AH48" i="17"/>
  <c r="AG48" i="17"/>
  <c r="AF48" i="17"/>
  <c r="AD48" i="17"/>
  <c r="AC48" i="17"/>
  <c r="AE48" i="17" s="1"/>
  <c r="AA48" i="17"/>
  <c r="Z48" i="17"/>
  <c r="AB48" i="17" s="1"/>
  <c r="X48" i="17"/>
  <c r="W48" i="17"/>
  <c r="Y48" i="17" s="1"/>
  <c r="T48" i="17"/>
  <c r="S48" i="17"/>
  <c r="V48" i="17" s="1"/>
  <c r="R48" i="17"/>
  <c r="U48" i="17" s="1"/>
  <c r="Q48" i="17"/>
  <c r="P48" i="17"/>
  <c r="N48" i="17"/>
  <c r="J48" i="17"/>
  <c r="D48" i="17"/>
  <c r="M48" i="17" s="1"/>
  <c r="C48" i="17"/>
  <c r="K48" i="17" s="1"/>
  <c r="BZ47" i="17"/>
  <c r="BY47" i="17"/>
  <c r="BX47" i="17"/>
  <c r="BW47" i="17"/>
  <c r="BV47" i="17"/>
  <c r="BU47" i="17"/>
  <c r="BS47" i="17"/>
  <c r="BR47" i="17"/>
  <c r="BT47" i="17" s="1"/>
  <c r="BQ47" i="17"/>
  <c r="BP47" i="17"/>
  <c r="BO47" i="17"/>
  <c r="BN47" i="17"/>
  <c r="BM47" i="17"/>
  <c r="BL47" i="17"/>
  <c r="BK47" i="17"/>
  <c r="BJ47" i="17"/>
  <c r="BI47" i="17"/>
  <c r="BH47" i="17"/>
  <c r="BF47" i="17"/>
  <c r="BD47" i="17"/>
  <c r="BC47" i="17"/>
  <c r="BB47" i="17"/>
  <c r="AZ47" i="17"/>
  <c r="AY47" i="17"/>
  <c r="AX47" i="17"/>
  <c r="AV47" i="17"/>
  <c r="AU47" i="17"/>
  <c r="AT47" i="17"/>
  <c r="AS47" i="17"/>
  <c r="AR47" i="17"/>
  <c r="AQ47" i="17"/>
  <c r="AP47" i="17"/>
  <c r="AO47" i="17"/>
  <c r="AM47" i="17"/>
  <c r="AL47" i="17"/>
  <c r="AK47" i="17"/>
  <c r="AJ47" i="17"/>
  <c r="AI47" i="17"/>
  <c r="AH47" i="17"/>
  <c r="AG47" i="17"/>
  <c r="AF47" i="17"/>
  <c r="AD47" i="17"/>
  <c r="AC47" i="17"/>
  <c r="AA47" i="17"/>
  <c r="Z47" i="17"/>
  <c r="AB47" i="17" s="1"/>
  <c r="X47" i="17"/>
  <c r="W47" i="17"/>
  <c r="Y47" i="17" s="1"/>
  <c r="T47" i="17"/>
  <c r="S47" i="17"/>
  <c r="V47" i="17" s="1"/>
  <c r="R47" i="17"/>
  <c r="Q47" i="17"/>
  <c r="P47" i="17"/>
  <c r="N47" i="17"/>
  <c r="J47" i="17"/>
  <c r="D47" i="17"/>
  <c r="M47" i="17" s="1"/>
  <c r="BZ46" i="17"/>
  <c r="BY46" i="17"/>
  <c r="BX46" i="17"/>
  <c r="BW46" i="17"/>
  <c r="BV46" i="17"/>
  <c r="BU46" i="17"/>
  <c r="BS46" i="17"/>
  <c r="BR46" i="17"/>
  <c r="BT46" i="17" s="1"/>
  <c r="BQ46" i="17"/>
  <c r="BP46" i="17"/>
  <c r="BO46" i="17"/>
  <c r="BN46" i="17"/>
  <c r="BM46" i="17"/>
  <c r="BL46" i="17"/>
  <c r="BK46" i="17"/>
  <c r="BJ46" i="17"/>
  <c r="BI46" i="17"/>
  <c r="BH46" i="17"/>
  <c r="BF46" i="17"/>
  <c r="BD46" i="17"/>
  <c r="BC46" i="17"/>
  <c r="BG46" i="17" s="1"/>
  <c r="BB46" i="17"/>
  <c r="BE46" i="17" s="1"/>
  <c r="AZ46" i="17"/>
  <c r="AY46" i="17"/>
  <c r="AX46" i="17"/>
  <c r="AV46" i="17"/>
  <c r="AU46" i="17"/>
  <c r="AT46" i="17"/>
  <c r="AS46" i="17"/>
  <c r="AR46" i="17"/>
  <c r="AQ46" i="17"/>
  <c r="AP46" i="17"/>
  <c r="AO46" i="17"/>
  <c r="AM46" i="17"/>
  <c r="AL46" i="17"/>
  <c r="AN46" i="17" s="1"/>
  <c r="AK46" i="17"/>
  <c r="AJ46" i="17"/>
  <c r="AI46" i="17"/>
  <c r="AH46" i="17"/>
  <c r="AG46" i="17"/>
  <c r="AF46" i="17"/>
  <c r="AD46" i="17"/>
  <c r="AC46" i="17"/>
  <c r="AA46" i="17"/>
  <c r="Z46" i="17"/>
  <c r="AB46" i="17" s="1"/>
  <c r="X46" i="17"/>
  <c r="W46" i="17"/>
  <c r="Y46" i="17" s="1"/>
  <c r="T46" i="17"/>
  <c r="S46" i="17"/>
  <c r="V46" i="17" s="1"/>
  <c r="R46" i="17"/>
  <c r="Q46" i="17"/>
  <c r="P46" i="17"/>
  <c r="N46" i="17"/>
  <c r="J46" i="17"/>
  <c r="D46" i="17"/>
  <c r="M46" i="17" s="1"/>
  <c r="C46" i="17"/>
  <c r="K46" i="17" s="1"/>
  <c r="BZ45" i="17"/>
  <c r="BY45" i="17"/>
  <c r="BX45" i="17"/>
  <c r="BW45" i="17"/>
  <c r="BV45" i="17"/>
  <c r="BU45" i="17"/>
  <c r="BS45" i="17"/>
  <c r="BR45" i="17"/>
  <c r="BT45" i="17" s="1"/>
  <c r="BQ45" i="17"/>
  <c r="BP45" i="17"/>
  <c r="BO45" i="17"/>
  <c r="BN45" i="17"/>
  <c r="BM45" i="17"/>
  <c r="BL45" i="17"/>
  <c r="BK45" i="17"/>
  <c r="BJ45" i="17"/>
  <c r="BI45" i="17"/>
  <c r="BH45" i="17"/>
  <c r="BF45" i="17"/>
  <c r="BD45" i="17"/>
  <c r="BC45" i="17"/>
  <c r="BG45" i="17" s="1"/>
  <c r="BB45" i="17"/>
  <c r="BE45" i="17" s="1"/>
  <c r="AZ45" i="17"/>
  <c r="AY45" i="17"/>
  <c r="AX45" i="17"/>
  <c r="AV45" i="17"/>
  <c r="AU45" i="17"/>
  <c r="AT45" i="17"/>
  <c r="AS45" i="17"/>
  <c r="AR45" i="17"/>
  <c r="AQ45" i="17"/>
  <c r="AP45" i="17"/>
  <c r="AO45" i="17"/>
  <c r="AM45" i="17"/>
  <c r="AL45" i="17"/>
  <c r="AN45" i="17" s="1"/>
  <c r="AK45" i="17"/>
  <c r="AJ45" i="17"/>
  <c r="AI45" i="17"/>
  <c r="AH45" i="17"/>
  <c r="AG45" i="17"/>
  <c r="AF45" i="17"/>
  <c r="AD45" i="17"/>
  <c r="AC45" i="17"/>
  <c r="AE45" i="17" s="1"/>
  <c r="AA45" i="17"/>
  <c r="Z45" i="17"/>
  <c r="AB45" i="17" s="1"/>
  <c r="X45" i="17"/>
  <c r="W45" i="17"/>
  <c r="Y45" i="17" s="1"/>
  <c r="T45" i="17"/>
  <c r="S45" i="17"/>
  <c r="V45" i="17" s="1"/>
  <c r="R45" i="17"/>
  <c r="U45" i="17" s="1"/>
  <c r="Q45" i="17"/>
  <c r="P45" i="17"/>
  <c r="N45" i="17"/>
  <c r="J45" i="17"/>
  <c r="D45" i="17"/>
  <c r="M45" i="17" s="1"/>
  <c r="BZ44" i="17"/>
  <c r="BY44" i="17"/>
  <c r="BX44" i="17"/>
  <c r="BW44" i="17"/>
  <c r="BV44" i="17"/>
  <c r="BU44" i="17"/>
  <c r="BS44" i="17"/>
  <c r="BR44" i="17"/>
  <c r="BT44" i="17" s="1"/>
  <c r="BQ44" i="17"/>
  <c r="BP44" i="17"/>
  <c r="BO44" i="17"/>
  <c r="BN44" i="17"/>
  <c r="BM44" i="17"/>
  <c r="BL44" i="17"/>
  <c r="BK44" i="17"/>
  <c r="BJ44" i="17"/>
  <c r="BI44" i="17"/>
  <c r="BH44" i="17"/>
  <c r="BF44" i="17"/>
  <c r="BD44" i="17"/>
  <c r="BC44" i="17"/>
  <c r="BG44" i="17" s="1"/>
  <c r="BB44" i="17"/>
  <c r="BE44" i="17" s="1"/>
  <c r="AZ44" i="17"/>
  <c r="AY44" i="17"/>
  <c r="AX44" i="17"/>
  <c r="AV44" i="17"/>
  <c r="AU44" i="17"/>
  <c r="AT44" i="17"/>
  <c r="AS44" i="17"/>
  <c r="AR44" i="17"/>
  <c r="AQ44" i="17"/>
  <c r="AP44" i="17"/>
  <c r="AO44" i="17"/>
  <c r="AM44" i="17"/>
  <c r="AL44" i="17"/>
  <c r="AN44" i="17" s="1"/>
  <c r="AK44" i="17"/>
  <c r="AJ44" i="17"/>
  <c r="AI44" i="17"/>
  <c r="AH44" i="17"/>
  <c r="AG44" i="17"/>
  <c r="AF44" i="17"/>
  <c r="AD44" i="17"/>
  <c r="AC44" i="17"/>
  <c r="AE44" i="17" s="1"/>
  <c r="AA44" i="17"/>
  <c r="Z44" i="17"/>
  <c r="AB44" i="17" s="1"/>
  <c r="X44" i="17"/>
  <c r="W44" i="17"/>
  <c r="Y44" i="17" s="1"/>
  <c r="T44" i="17"/>
  <c r="S44" i="17"/>
  <c r="V44" i="17" s="1"/>
  <c r="R44" i="17"/>
  <c r="U44" i="17" s="1"/>
  <c r="Q44" i="17"/>
  <c r="P44" i="17"/>
  <c r="N44" i="17"/>
  <c r="M44" i="17"/>
  <c r="J44" i="17"/>
  <c r="D44" i="17"/>
  <c r="C44" i="17"/>
  <c r="K44" i="17" s="1"/>
  <c r="BZ43" i="17"/>
  <c r="BY43" i="17"/>
  <c r="BX43" i="17"/>
  <c r="BW43" i="17"/>
  <c r="BV43" i="17"/>
  <c r="BU43" i="17"/>
  <c r="BS43" i="17"/>
  <c r="BR43" i="17"/>
  <c r="BT43" i="17" s="1"/>
  <c r="BQ43" i="17"/>
  <c r="BP43" i="17"/>
  <c r="BO43" i="17"/>
  <c r="BN43" i="17"/>
  <c r="BM43" i="17"/>
  <c r="BL43" i="17"/>
  <c r="BK43" i="17"/>
  <c r="BJ43" i="17"/>
  <c r="BI43" i="17"/>
  <c r="BH43" i="17"/>
  <c r="BF43" i="17"/>
  <c r="BD43" i="17"/>
  <c r="BC43" i="17"/>
  <c r="BB43" i="17"/>
  <c r="AZ43" i="17"/>
  <c r="AY43" i="17"/>
  <c r="AX43" i="17"/>
  <c r="AV43" i="17"/>
  <c r="AU43" i="17"/>
  <c r="AT43" i="17"/>
  <c r="AS43" i="17"/>
  <c r="AR43" i="17"/>
  <c r="AQ43" i="17"/>
  <c r="AP43" i="17"/>
  <c r="AO43" i="17"/>
  <c r="AM43" i="17"/>
  <c r="AL43" i="17"/>
  <c r="AK43" i="17"/>
  <c r="AJ43" i="17"/>
  <c r="AI43" i="17"/>
  <c r="AH43" i="17"/>
  <c r="AG43" i="17"/>
  <c r="AF43" i="17"/>
  <c r="AD43" i="17"/>
  <c r="AC43" i="17"/>
  <c r="AE43" i="17" s="1"/>
  <c r="AA43" i="17"/>
  <c r="Z43" i="17"/>
  <c r="X43" i="17"/>
  <c r="W43" i="17"/>
  <c r="Y43" i="17" s="1"/>
  <c r="T43" i="17"/>
  <c r="S43" i="17"/>
  <c r="V43" i="17" s="1"/>
  <c r="R43" i="17"/>
  <c r="Q43" i="17"/>
  <c r="P43" i="17"/>
  <c r="N43" i="17"/>
  <c r="J43" i="17"/>
  <c r="D43" i="17"/>
  <c r="M43" i="17" s="1"/>
  <c r="BZ42" i="17"/>
  <c r="BY42" i="17"/>
  <c r="BX42" i="17"/>
  <c r="BW42" i="17"/>
  <c r="BV42" i="17"/>
  <c r="BU42" i="17"/>
  <c r="BS42" i="17"/>
  <c r="BR42" i="17"/>
  <c r="BT42" i="17" s="1"/>
  <c r="BQ42" i="17"/>
  <c r="BP42" i="17"/>
  <c r="BO42" i="17"/>
  <c r="BN42" i="17"/>
  <c r="BM42" i="17"/>
  <c r="BL42" i="17"/>
  <c r="BK42" i="17"/>
  <c r="BJ42" i="17"/>
  <c r="BI42" i="17"/>
  <c r="BH42" i="17"/>
  <c r="BF42" i="17"/>
  <c r="BD42" i="17"/>
  <c r="BC42" i="17"/>
  <c r="BB42" i="17"/>
  <c r="AZ42" i="17"/>
  <c r="AY42" i="17"/>
  <c r="AX42" i="17"/>
  <c r="AV42" i="17"/>
  <c r="AU42" i="17"/>
  <c r="AT42" i="17"/>
  <c r="AS42" i="17"/>
  <c r="AR42" i="17"/>
  <c r="AQ42" i="17"/>
  <c r="AP42" i="17"/>
  <c r="AO42" i="17"/>
  <c r="AM42" i="17"/>
  <c r="AL42" i="17"/>
  <c r="AN42" i="17" s="1"/>
  <c r="AK42" i="17"/>
  <c r="AJ42" i="17"/>
  <c r="AI42" i="17"/>
  <c r="AH42" i="17"/>
  <c r="AG42" i="17"/>
  <c r="AF42" i="17"/>
  <c r="AD42" i="17"/>
  <c r="AC42" i="17"/>
  <c r="AE42" i="17" s="1"/>
  <c r="AA42" i="17"/>
  <c r="Z42" i="17"/>
  <c r="AB42" i="17" s="1"/>
  <c r="X42" i="17"/>
  <c r="W42" i="17"/>
  <c r="Y42" i="17" s="1"/>
  <c r="T42" i="17"/>
  <c r="S42" i="17"/>
  <c r="V42" i="17" s="1"/>
  <c r="R42" i="17"/>
  <c r="Q42" i="17"/>
  <c r="P42" i="17"/>
  <c r="N42" i="17"/>
  <c r="M42" i="17"/>
  <c r="J42" i="17"/>
  <c r="D42" i="17"/>
  <c r="C42" i="17"/>
  <c r="K42" i="17" s="1"/>
  <c r="BZ41" i="17"/>
  <c r="BY41" i="17"/>
  <c r="BX41" i="17"/>
  <c r="BW41" i="17"/>
  <c r="BV41" i="17"/>
  <c r="BU41" i="17"/>
  <c r="BS41" i="17"/>
  <c r="BR41" i="17"/>
  <c r="BT41" i="17" s="1"/>
  <c r="BQ41" i="17"/>
  <c r="BP41" i="17"/>
  <c r="BO41" i="17"/>
  <c r="BN41" i="17"/>
  <c r="BM41" i="17"/>
  <c r="BL41" i="17"/>
  <c r="BK41" i="17"/>
  <c r="BJ41" i="17"/>
  <c r="BI41" i="17"/>
  <c r="BH41" i="17"/>
  <c r="BF41" i="17"/>
  <c r="BD41" i="17"/>
  <c r="BC41" i="17"/>
  <c r="BG41" i="17" s="1"/>
  <c r="BB41" i="17"/>
  <c r="BE41" i="17" s="1"/>
  <c r="AZ41" i="17"/>
  <c r="AY41" i="17"/>
  <c r="AX41" i="17"/>
  <c r="AV41" i="17"/>
  <c r="AU41" i="17"/>
  <c r="AT41" i="17"/>
  <c r="AS41" i="17"/>
  <c r="AR41" i="17"/>
  <c r="AQ41" i="17"/>
  <c r="AP41" i="17"/>
  <c r="AO41" i="17"/>
  <c r="AM41" i="17"/>
  <c r="AL41" i="17"/>
  <c r="AN41" i="17" s="1"/>
  <c r="AK41" i="17"/>
  <c r="AJ41" i="17"/>
  <c r="AI41" i="17"/>
  <c r="AH41" i="17"/>
  <c r="AG41" i="17"/>
  <c r="AF41" i="17"/>
  <c r="AD41" i="17"/>
  <c r="AC41" i="17"/>
  <c r="AE41" i="17" s="1"/>
  <c r="AA41" i="17"/>
  <c r="Z41" i="17"/>
  <c r="AB41" i="17" s="1"/>
  <c r="X41" i="17"/>
  <c r="W41" i="17"/>
  <c r="Y41" i="17" s="1"/>
  <c r="T41" i="17"/>
  <c r="S41" i="17"/>
  <c r="V41" i="17" s="1"/>
  <c r="R41" i="17"/>
  <c r="U41" i="17" s="1"/>
  <c r="Q41" i="17"/>
  <c r="P41" i="17"/>
  <c r="N41" i="17"/>
  <c r="J41" i="17"/>
  <c r="D41" i="17"/>
  <c r="M41" i="17" s="1"/>
  <c r="BZ40" i="17"/>
  <c r="BY40" i="17"/>
  <c r="BX40" i="17"/>
  <c r="BW40" i="17"/>
  <c r="BV40" i="17"/>
  <c r="BU40" i="17"/>
  <c r="BS40" i="17"/>
  <c r="BR40" i="17"/>
  <c r="BT40" i="17" s="1"/>
  <c r="BQ40" i="17"/>
  <c r="BP40" i="17"/>
  <c r="BO40" i="17"/>
  <c r="BN40" i="17"/>
  <c r="BM40" i="17"/>
  <c r="BL40" i="17"/>
  <c r="BK40" i="17"/>
  <c r="BJ40" i="17"/>
  <c r="BI40" i="17"/>
  <c r="BH40" i="17"/>
  <c r="BF40" i="17"/>
  <c r="BD40" i="17"/>
  <c r="BC40" i="17"/>
  <c r="BG40" i="17" s="1"/>
  <c r="BB40" i="17"/>
  <c r="BE40" i="17" s="1"/>
  <c r="AZ40" i="17"/>
  <c r="AY40" i="17"/>
  <c r="AX40" i="17"/>
  <c r="AV40" i="17"/>
  <c r="AU40" i="17"/>
  <c r="AT40" i="17"/>
  <c r="AS40" i="17"/>
  <c r="AR40" i="17"/>
  <c r="AQ40" i="17"/>
  <c r="AP40" i="17"/>
  <c r="AO40" i="17"/>
  <c r="AM40" i="17"/>
  <c r="AL40" i="17"/>
  <c r="AN40" i="17" s="1"/>
  <c r="AK40" i="17"/>
  <c r="AJ40" i="17"/>
  <c r="AI40" i="17"/>
  <c r="AH40" i="17"/>
  <c r="AG40" i="17"/>
  <c r="AF40" i="17"/>
  <c r="AD40" i="17"/>
  <c r="AC40" i="17"/>
  <c r="AE40" i="17" s="1"/>
  <c r="AA40" i="17"/>
  <c r="Z40" i="17"/>
  <c r="AB40" i="17" s="1"/>
  <c r="X40" i="17"/>
  <c r="W40" i="17"/>
  <c r="Y40" i="17" s="1"/>
  <c r="T40" i="17"/>
  <c r="S40" i="17"/>
  <c r="V40" i="17" s="1"/>
  <c r="R40" i="17"/>
  <c r="U40" i="17" s="1"/>
  <c r="Q40" i="17"/>
  <c r="P40" i="17"/>
  <c r="N40" i="17"/>
  <c r="J40" i="17"/>
  <c r="D40" i="17"/>
  <c r="M40" i="17" s="1"/>
  <c r="C40" i="17"/>
  <c r="K40" i="17" s="1"/>
  <c r="BZ39" i="17"/>
  <c r="BY39" i="17"/>
  <c r="BX39" i="17"/>
  <c r="BW39" i="17"/>
  <c r="BV39" i="17"/>
  <c r="BU39" i="17"/>
  <c r="BS39" i="17"/>
  <c r="BR39" i="17"/>
  <c r="BT39" i="17" s="1"/>
  <c r="BQ39" i="17"/>
  <c r="BP39" i="17"/>
  <c r="BO39" i="17"/>
  <c r="BN39" i="17"/>
  <c r="BM39" i="17"/>
  <c r="BL39" i="17"/>
  <c r="BK39" i="17"/>
  <c r="BJ39" i="17"/>
  <c r="BI39" i="17"/>
  <c r="BH39" i="17"/>
  <c r="BF39" i="17"/>
  <c r="BD39" i="17"/>
  <c r="BC39" i="17"/>
  <c r="BG39" i="17" s="1"/>
  <c r="BB39" i="17"/>
  <c r="BE39" i="17" s="1"/>
  <c r="AZ39" i="17"/>
  <c r="AY39" i="17"/>
  <c r="AX39" i="17"/>
  <c r="AV39" i="17"/>
  <c r="AU39" i="17"/>
  <c r="AT39" i="17"/>
  <c r="AS39" i="17"/>
  <c r="AR39" i="17"/>
  <c r="AQ39" i="17"/>
  <c r="AP39" i="17"/>
  <c r="AO39" i="17"/>
  <c r="AM39" i="17"/>
  <c r="AL39" i="17"/>
  <c r="AN39" i="17" s="1"/>
  <c r="AK39" i="17"/>
  <c r="AJ39" i="17"/>
  <c r="AI39" i="17"/>
  <c r="AH39" i="17"/>
  <c r="AG39" i="17"/>
  <c r="AF39" i="17"/>
  <c r="AD39" i="17"/>
  <c r="AC39" i="17"/>
  <c r="AE39" i="17" s="1"/>
  <c r="AA39" i="17"/>
  <c r="Z39" i="17"/>
  <c r="X39" i="17"/>
  <c r="W39" i="17"/>
  <c r="Y39" i="17" s="1"/>
  <c r="T39" i="17"/>
  <c r="S39" i="17"/>
  <c r="V39" i="17" s="1"/>
  <c r="R39" i="17"/>
  <c r="Q39" i="17"/>
  <c r="P39" i="17"/>
  <c r="N39" i="17"/>
  <c r="J39" i="17"/>
  <c r="D39" i="17"/>
  <c r="M39" i="17" s="1"/>
  <c r="BZ38" i="17"/>
  <c r="BY38" i="17"/>
  <c r="BX38" i="17"/>
  <c r="BW38" i="17"/>
  <c r="BV38" i="17"/>
  <c r="BU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F38" i="17"/>
  <c r="BD38" i="17"/>
  <c r="BC38" i="17"/>
  <c r="BB38" i="17"/>
  <c r="AZ38" i="17"/>
  <c r="AY38" i="17"/>
  <c r="AX38" i="17"/>
  <c r="AV38" i="17"/>
  <c r="AU38" i="17"/>
  <c r="AT38" i="17"/>
  <c r="AS38" i="17"/>
  <c r="AR38" i="17"/>
  <c r="AQ38" i="17"/>
  <c r="AP38" i="17"/>
  <c r="AO38" i="17"/>
  <c r="AM38" i="17"/>
  <c r="AL38" i="17"/>
  <c r="AK38" i="17"/>
  <c r="AJ38" i="17"/>
  <c r="AI38" i="17"/>
  <c r="AH38" i="17"/>
  <c r="AG38" i="17"/>
  <c r="AF38" i="17"/>
  <c r="AD38" i="17"/>
  <c r="AC38" i="17"/>
  <c r="AA38" i="17"/>
  <c r="Z38" i="17"/>
  <c r="AB38" i="17" s="1"/>
  <c r="X38" i="17"/>
  <c r="W38" i="17"/>
  <c r="T38" i="17"/>
  <c r="S38" i="17"/>
  <c r="V38" i="17" s="1"/>
  <c r="R38" i="17"/>
  <c r="Q38" i="17"/>
  <c r="P38" i="17"/>
  <c r="N38" i="17"/>
  <c r="J38" i="17"/>
  <c r="D38" i="17"/>
  <c r="M38" i="17" s="1"/>
  <c r="BZ37" i="17"/>
  <c r="BY37" i="17"/>
  <c r="BX37" i="17"/>
  <c r="BW37" i="17"/>
  <c r="BV37" i="17"/>
  <c r="BU37" i="17"/>
  <c r="BS37" i="17"/>
  <c r="BR37" i="17"/>
  <c r="BT37" i="17" s="1"/>
  <c r="BQ37" i="17"/>
  <c r="BP37" i="17"/>
  <c r="BO37" i="17"/>
  <c r="BN37" i="17"/>
  <c r="BM37" i="17"/>
  <c r="BL37" i="17"/>
  <c r="BK37" i="17"/>
  <c r="BJ37" i="17"/>
  <c r="BI37" i="17"/>
  <c r="BH37" i="17"/>
  <c r="BF37" i="17"/>
  <c r="BD37" i="17"/>
  <c r="BC37" i="17"/>
  <c r="BG37" i="17" s="1"/>
  <c r="BB37" i="17"/>
  <c r="BE37" i="17" s="1"/>
  <c r="AZ37" i="17"/>
  <c r="AY37" i="17"/>
  <c r="AX37" i="17"/>
  <c r="AV37" i="17"/>
  <c r="AU37" i="17"/>
  <c r="AT37" i="17"/>
  <c r="AS37" i="17"/>
  <c r="AR37" i="17"/>
  <c r="AQ37" i="17"/>
  <c r="AP37" i="17"/>
  <c r="AO37" i="17"/>
  <c r="AM37" i="17"/>
  <c r="AL37" i="17"/>
  <c r="AN37" i="17" s="1"/>
  <c r="AK37" i="17"/>
  <c r="AJ37" i="17"/>
  <c r="AI37" i="17"/>
  <c r="AH37" i="17"/>
  <c r="AG37" i="17"/>
  <c r="AF37" i="17"/>
  <c r="AD37" i="17"/>
  <c r="AC37" i="17"/>
  <c r="AE37" i="17" s="1"/>
  <c r="AA37" i="17"/>
  <c r="Z37" i="17"/>
  <c r="AB37" i="17" s="1"/>
  <c r="X37" i="17"/>
  <c r="W37" i="17"/>
  <c r="Y37" i="17" s="1"/>
  <c r="T37" i="17"/>
  <c r="S37" i="17"/>
  <c r="V37" i="17" s="1"/>
  <c r="R37" i="17"/>
  <c r="U37" i="17" s="1"/>
  <c r="Q37" i="17"/>
  <c r="P37" i="17"/>
  <c r="N37" i="17"/>
  <c r="J37" i="17"/>
  <c r="D37" i="17"/>
  <c r="M37" i="17" s="1"/>
  <c r="BZ36" i="17"/>
  <c r="BY36" i="17"/>
  <c r="BX36" i="17"/>
  <c r="BW36" i="17"/>
  <c r="BV36" i="17"/>
  <c r="BU36" i="17"/>
  <c r="BS36" i="17"/>
  <c r="BR36" i="17"/>
  <c r="BT36" i="17" s="1"/>
  <c r="BQ36" i="17"/>
  <c r="BP36" i="17"/>
  <c r="BO36" i="17"/>
  <c r="BN36" i="17"/>
  <c r="BM36" i="17"/>
  <c r="BL36" i="17"/>
  <c r="BK36" i="17"/>
  <c r="BJ36" i="17"/>
  <c r="BI36" i="17"/>
  <c r="BH36" i="17"/>
  <c r="BF36" i="17"/>
  <c r="BD36" i="17"/>
  <c r="BC36" i="17"/>
  <c r="BG36" i="17" s="1"/>
  <c r="BB36" i="17"/>
  <c r="BE36" i="17" s="1"/>
  <c r="AZ36" i="17"/>
  <c r="AY36" i="17"/>
  <c r="AX36" i="17"/>
  <c r="AV36" i="17"/>
  <c r="AU36" i="17"/>
  <c r="AT36" i="17"/>
  <c r="AS36" i="17"/>
  <c r="AR36" i="17"/>
  <c r="AQ36" i="17"/>
  <c r="AP36" i="17"/>
  <c r="AO36" i="17"/>
  <c r="AM36" i="17"/>
  <c r="AL36" i="17"/>
  <c r="AN36" i="17" s="1"/>
  <c r="AK36" i="17"/>
  <c r="AJ36" i="17"/>
  <c r="AI36" i="17"/>
  <c r="AH36" i="17"/>
  <c r="AG36" i="17"/>
  <c r="AF36" i="17"/>
  <c r="AD36" i="17"/>
  <c r="AC36" i="17"/>
  <c r="AE36" i="17" s="1"/>
  <c r="AA36" i="17"/>
  <c r="Z36" i="17"/>
  <c r="AB36" i="17" s="1"/>
  <c r="X36" i="17"/>
  <c r="W36" i="17"/>
  <c r="Y36" i="17" s="1"/>
  <c r="T36" i="17"/>
  <c r="S36" i="17"/>
  <c r="V36" i="17" s="1"/>
  <c r="R36" i="17"/>
  <c r="U36" i="17" s="1"/>
  <c r="Q36" i="17"/>
  <c r="P36" i="17"/>
  <c r="N36" i="17"/>
  <c r="J36" i="17"/>
  <c r="D36" i="17"/>
  <c r="M36" i="17" s="1"/>
  <c r="BZ35" i="17"/>
  <c r="BY35" i="17"/>
  <c r="BX35" i="17"/>
  <c r="BW35" i="17"/>
  <c r="BV35" i="17"/>
  <c r="BU35" i="17"/>
  <c r="BS35" i="17"/>
  <c r="BR35" i="17"/>
  <c r="BT35" i="17" s="1"/>
  <c r="BQ35" i="17"/>
  <c r="BP35" i="17"/>
  <c r="BO35" i="17"/>
  <c r="BN35" i="17"/>
  <c r="BM35" i="17"/>
  <c r="BL35" i="17"/>
  <c r="BK35" i="17"/>
  <c r="BJ35" i="17"/>
  <c r="BI35" i="17"/>
  <c r="BH35" i="17"/>
  <c r="BF35" i="17"/>
  <c r="BD35" i="17"/>
  <c r="BC35" i="17"/>
  <c r="BG35" i="17" s="1"/>
  <c r="BB35" i="17"/>
  <c r="BE35" i="17" s="1"/>
  <c r="AZ35" i="17"/>
  <c r="AY35" i="17"/>
  <c r="AX35" i="17"/>
  <c r="AV35" i="17"/>
  <c r="AU35" i="17"/>
  <c r="AT35" i="17"/>
  <c r="AS35" i="17"/>
  <c r="AR35" i="17"/>
  <c r="AQ35" i="17"/>
  <c r="AP35" i="17"/>
  <c r="AO35" i="17"/>
  <c r="AM35" i="17"/>
  <c r="AL35" i="17"/>
  <c r="AN35" i="17" s="1"/>
  <c r="AK35" i="17"/>
  <c r="AJ35" i="17"/>
  <c r="AI35" i="17"/>
  <c r="AH35" i="17"/>
  <c r="AG35" i="17"/>
  <c r="AF35" i="17"/>
  <c r="AD35" i="17"/>
  <c r="AC35" i="17"/>
  <c r="AE35" i="17" s="1"/>
  <c r="AA35" i="17"/>
  <c r="Z35" i="17"/>
  <c r="X35" i="17"/>
  <c r="W35" i="17"/>
  <c r="Y35" i="17" s="1"/>
  <c r="T35" i="17"/>
  <c r="S35" i="17"/>
  <c r="V35" i="17" s="1"/>
  <c r="R35" i="17"/>
  <c r="Q35" i="17"/>
  <c r="P35" i="17"/>
  <c r="N35" i="17"/>
  <c r="J35" i="17"/>
  <c r="D35" i="17"/>
  <c r="M35" i="17" s="1"/>
  <c r="BZ34" i="17"/>
  <c r="BY34" i="17"/>
  <c r="BX34" i="17"/>
  <c r="BW34" i="17"/>
  <c r="BV34" i="17"/>
  <c r="BU34" i="17"/>
  <c r="BS34" i="17"/>
  <c r="BR34" i="17"/>
  <c r="BT34" i="17" s="1"/>
  <c r="BQ34" i="17"/>
  <c r="BP34" i="17"/>
  <c r="BO34" i="17"/>
  <c r="BN34" i="17"/>
  <c r="BM34" i="17"/>
  <c r="BL34" i="17"/>
  <c r="BK34" i="17"/>
  <c r="BJ34" i="17"/>
  <c r="BI34" i="17"/>
  <c r="BH34" i="17"/>
  <c r="BF34" i="17"/>
  <c r="BD34" i="17"/>
  <c r="BC34" i="17"/>
  <c r="BB34" i="17"/>
  <c r="AZ34" i="17"/>
  <c r="AY34" i="17"/>
  <c r="AX34" i="17"/>
  <c r="AV34" i="17"/>
  <c r="AU34" i="17"/>
  <c r="AT34" i="17"/>
  <c r="AS34" i="17"/>
  <c r="AR34" i="17"/>
  <c r="AQ34" i="17"/>
  <c r="AP34" i="17"/>
  <c r="AO34" i="17"/>
  <c r="AM34" i="17"/>
  <c r="AL34" i="17"/>
  <c r="AK34" i="17"/>
  <c r="AJ34" i="17"/>
  <c r="AI34" i="17"/>
  <c r="AH34" i="17"/>
  <c r="AG34" i="17"/>
  <c r="AF34" i="17"/>
  <c r="AD34" i="17"/>
  <c r="AC34" i="17"/>
  <c r="AA34" i="17"/>
  <c r="Z34" i="17"/>
  <c r="AB34" i="17" s="1"/>
  <c r="X34" i="17"/>
  <c r="W34" i="17"/>
  <c r="Y34" i="17" s="1"/>
  <c r="T34" i="17"/>
  <c r="S34" i="17"/>
  <c r="V34" i="17" s="1"/>
  <c r="R34" i="17"/>
  <c r="Q34" i="17"/>
  <c r="P34" i="17"/>
  <c r="N34" i="17"/>
  <c r="J34" i="17"/>
  <c r="D34" i="17"/>
  <c r="M34" i="17" s="1"/>
  <c r="BZ33" i="17"/>
  <c r="BY33" i="17"/>
  <c r="BX33" i="17"/>
  <c r="BW33" i="17"/>
  <c r="BV33" i="17"/>
  <c r="BU33" i="17"/>
  <c r="BS33" i="17"/>
  <c r="BR33" i="17"/>
  <c r="BT33" i="17" s="1"/>
  <c r="BQ33" i="17"/>
  <c r="BP33" i="17"/>
  <c r="BO33" i="17"/>
  <c r="BN33" i="17"/>
  <c r="BM33" i="17"/>
  <c r="BL33" i="17"/>
  <c r="BK33" i="17"/>
  <c r="BJ33" i="17"/>
  <c r="BI33" i="17"/>
  <c r="BH33" i="17"/>
  <c r="BF33" i="17"/>
  <c r="BD33" i="17"/>
  <c r="BC33" i="17"/>
  <c r="BG33" i="17" s="1"/>
  <c r="BB33" i="17"/>
  <c r="BE33" i="17" s="1"/>
  <c r="AZ33" i="17"/>
  <c r="AY33" i="17"/>
  <c r="AX33" i="17"/>
  <c r="AV33" i="17"/>
  <c r="AU33" i="17"/>
  <c r="AT33" i="17"/>
  <c r="AS33" i="17"/>
  <c r="AR33" i="17"/>
  <c r="AQ33" i="17"/>
  <c r="AP33" i="17"/>
  <c r="AO33" i="17"/>
  <c r="AM33" i="17"/>
  <c r="AL33" i="17"/>
  <c r="AN33" i="17" s="1"/>
  <c r="AK33" i="17"/>
  <c r="AJ33" i="17"/>
  <c r="AI33" i="17"/>
  <c r="AH33" i="17"/>
  <c r="AG33" i="17"/>
  <c r="AF33" i="17"/>
  <c r="AD33" i="17"/>
  <c r="AC33" i="17"/>
  <c r="AA33" i="17"/>
  <c r="Z33" i="17"/>
  <c r="AB33" i="17" s="1"/>
  <c r="X33" i="17"/>
  <c r="W33" i="17"/>
  <c r="Y33" i="17" s="1"/>
  <c r="T33" i="17"/>
  <c r="S33" i="17"/>
  <c r="V33" i="17" s="1"/>
  <c r="R33" i="17"/>
  <c r="Q33" i="17"/>
  <c r="P33" i="17"/>
  <c r="N33" i="17"/>
  <c r="J33" i="17"/>
  <c r="D33" i="17"/>
  <c r="M33" i="17" s="1"/>
  <c r="BZ32" i="17"/>
  <c r="BY32" i="17"/>
  <c r="BX32" i="17"/>
  <c r="BW32" i="17"/>
  <c r="BV32" i="17"/>
  <c r="BU32" i="17"/>
  <c r="BS32" i="17"/>
  <c r="BR32" i="17"/>
  <c r="BT32" i="17" s="1"/>
  <c r="BQ32" i="17"/>
  <c r="BP32" i="17"/>
  <c r="BO32" i="17"/>
  <c r="BN32" i="17"/>
  <c r="BM32" i="17"/>
  <c r="BL32" i="17"/>
  <c r="BK32" i="17"/>
  <c r="BJ32" i="17"/>
  <c r="BI32" i="17"/>
  <c r="BH32" i="17"/>
  <c r="BF32" i="17"/>
  <c r="BD32" i="17"/>
  <c r="BC32" i="17"/>
  <c r="BB32" i="17"/>
  <c r="AZ32" i="17"/>
  <c r="AY32" i="17"/>
  <c r="AX32" i="17"/>
  <c r="AV32" i="17"/>
  <c r="AU32" i="17"/>
  <c r="AT32" i="17"/>
  <c r="AS32" i="17"/>
  <c r="AR32" i="17"/>
  <c r="AQ32" i="17"/>
  <c r="AP32" i="17"/>
  <c r="AO32" i="17"/>
  <c r="AM32" i="17"/>
  <c r="AL32" i="17"/>
  <c r="AN32" i="17" s="1"/>
  <c r="AK32" i="17"/>
  <c r="AJ32" i="17"/>
  <c r="AI32" i="17"/>
  <c r="AH32" i="17"/>
  <c r="AG32" i="17"/>
  <c r="AF32" i="17"/>
  <c r="AD32" i="17"/>
  <c r="AC32" i="17"/>
  <c r="AA32" i="17"/>
  <c r="Z32" i="17"/>
  <c r="X32" i="17"/>
  <c r="W32" i="17"/>
  <c r="Y32" i="17" s="1"/>
  <c r="T32" i="17"/>
  <c r="S32" i="17"/>
  <c r="V32" i="17" s="1"/>
  <c r="R32" i="17"/>
  <c r="Q32" i="17"/>
  <c r="P32" i="17"/>
  <c r="N32" i="17"/>
  <c r="M32" i="17"/>
  <c r="J32" i="17"/>
  <c r="D32" i="17"/>
  <c r="C32" i="17"/>
  <c r="K32" i="17" s="1"/>
  <c r="Q31" i="17"/>
  <c r="O31" i="17"/>
  <c r="L31" i="17"/>
  <c r="I31" i="17"/>
  <c r="H31" i="17"/>
  <c r="N31" i="17" s="1"/>
  <c r="G31" i="17"/>
  <c r="P31" i="17" s="1"/>
  <c r="F31" i="17"/>
  <c r="E31" i="17"/>
  <c r="BZ30" i="17"/>
  <c r="BY30" i="17"/>
  <c r="BX30" i="17"/>
  <c r="BW30" i="17"/>
  <c r="BV30" i="17"/>
  <c r="BU30" i="17"/>
  <c r="BS30" i="17"/>
  <c r="BR30" i="17"/>
  <c r="BQ30" i="17"/>
  <c r="BP30" i="17"/>
  <c r="BO30" i="17"/>
  <c r="BN30" i="17"/>
  <c r="BM30" i="17"/>
  <c r="BL30" i="17"/>
  <c r="BK30" i="17"/>
  <c r="BJ30" i="17"/>
  <c r="BI30" i="17"/>
  <c r="BH30" i="17"/>
  <c r="BF30" i="17"/>
  <c r="BD30" i="17"/>
  <c r="BC30" i="17"/>
  <c r="BB30" i="17"/>
  <c r="AZ30" i="17"/>
  <c r="AY30" i="17"/>
  <c r="AX30" i="17"/>
  <c r="AV30" i="17"/>
  <c r="AU30" i="17"/>
  <c r="AT30" i="17"/>
  <c r="AS30" i="17"/>
  <c r="AR30" i="17"/>
  <c r="AQ30" i="17"/>
  <c r="AP30" i="17"/>
  <c r="AO30" i="17"/>
  <c r="AM30" i="17"/>
  <c r="AL30" i="17"/>
  <c r="AK30" i="17"/>
  <c r="AJ30" i="17"/>
  <c r="AI30" i="17"/>
  <c r="AH30" i="17"/>
  <c r="AG30" i="17"/>
  <c r="AF30" i="17"/>
  <c r="AD30" i="17"/>
  <c r="AC30" i="17"/>
  <c r="AA30" i="17"/>
  <c r="Z30" i="17"/>
  <c r="AB30" i="17" s="1"/>
  <c r="X30" i="17"/>
  <c r="W30" i="17"/>
  <c r="Y30" i="17" s="1"/>
  <c r="T30" i="17"/>
  <c r="S30" i="17"/>
  <c r="V30" i="17" s="1"/>
  <c r="R30" i="17"/>
  <c r="Q30" i="17"/>
  <c r="P30" i="17"/>
  <c r="N30" i="17"/>
  <c r="J30" i="17"/>
  <c r="D30" i="17"/>
  <c r="M30" i="17" s="1"/>
  <c r="BZ29" i="17"/>
  <c r="BY29" i="17"/>
  <c r="BX29" i="17"/>
  <c r="BW29" i="17"/>
  <c r="BV29" i="17"/>
  <c r="BU29" i="17"/>
  <c r="BS29" i="17"/>
  <c r="BR29" i="17"/>
  <c r="BT29" i="17" s="1"/>
  <c r="BQ29" i="17"/>
  <c r="BP29" i="17"/>
  <c r="BO29" i="17"/>
  <c r="BN29" i="17"/>
  <c r="BM29" i="17"/>
  <c r="BL29" i="17"/>
  <c r="BK29" i="17"/>
  <c r="BJ29" i="17"/>
  <c r="BI29" i="17"/>
  <c r="BH29" i="17"/>
  <c r="BF29" i="17"/>
  <c r="BD29" i="17"/>
  <c r="BC29" i="17"/>
  <c r="BB29" i="17"/>
  <c r="AZ29" i="17"/>
  <c r="AY29" i="17"/>
  <c r="AX29" i="17"/>
  <c r="AV29" i="17"/>
  <c r="AU29" i="17"/>
  <c r="AT29" i="17"/>
  <c r="AS29" i="17"/>
  <c r="AR29" i="17"/>
  <c r="AQ29" i="17"/>
  <c r="AP29" i="17"/>
  <c r="AO29" i="17"/>
  <c r="AM29" i="17"/>
  <c r="AL29" i="17"/>
  <c r="AN29" i="17" s="1"/>
  <c r="AK29" i="17"/>
  <c r="AJ29" i="17"/>
  <c r="AI29" i="17"/>
  <c r="AH29" i="17"/>
  <c r="AG29" i="17"/>
  <c r="AF29" i="17"/>
  <c r="AD29" i="17"/>
  <c r="AC29" i="17"/>
  <c r="AA29" i="17"/>
  <c r="Z29" i="17"/>
  <c r="AB29" i="17" s="1"/>
  <c r="X29" i="17"/>
  <c r="W29" i="17"/>
  <c r="Y29" i="17" s="1"/>
  <c r="T29" i="17"/>
  <c r="S29" i="17"/>
  <c r="V29" i="17" s="1"/>
  <c r="R29" i="17"/>
  <c r="Q29" i="17"/>
  <c r="P29" i="17"/>
  <c r="N29" i="17"/>
  <c r="K29" i="17"/>
  <c r="J29" i="17"/>
  <c r="D29" i="17"/>
  <c r="M29" i="17" s="1"/>
  <c r="C29" i="17"/>
  <c r="BZ28" i="17"/>
  <c r="BY28" i="17"/>
  <c r="BX28" i="17"/>
  <c r="BW28" i="17"/>
  <c r="BV28" i="17"/>
  <c r="BU28" i="17"/>
  <c r="BS28" i="17"/>
  <c r="BR28" i="17"/>
  <c r="BT28" i="17" s="1"/>
  <c r="BQ28" i="17"/>
  <c r="BP28" i="17"/>
  <c r="BO28" i="17"/>
  <c r="BN28" i="17"/>
  <c r="BM28" i="17"/>
  <c r="BL28" i="17"/>
  <c r="BK28" i="17"/>
  <c r="BJ28" i="17"/>
  <c r="BI28" i="17"/>
  <c r="BH28" i="17"/>
  <c r="BF28" i="17"/>
  <c r="BD28" i="17"/>
  <c r="BC28" i="17"/>
  <c r="BB28" i="17"/>
  <c r="AZ28" i="17"/>
  <c r="AY28" i="17"/>
  <c r="AX28" i="17"/>
  <c r="AV28" i="17"/>
  <c r="AU28" i="17"/>
  <c r="AT28" i="17"/>
  <c r="AS28" i="17"/>
  <c r="AR28" i="17"/>
  <c r="AQ28" i="17"/>
  <c r="AP28" i="17"/>
  <c r="AO28" i="17"/>
  <c r="AM28" i="17"/>
  <c r="AL28" i="17"/>
  <c r="AN28" i="17" s="1"/>
  <c r="AK28" i="17"/>
  <c r="AJ28" i="17"/>
  <c r="AI28" i="17"/>
  <c r="AH28" i="17"/>
  <c r="AG28" i="17"/>
  <c r="AF28" i="17"/>
  <c r="AD28" i="17"/>
  <c r="AC28" i="17"/>
  <c r="AA28" i="17"/>
  <c r="Z28" i="17"/>
  <c r="AB28" i="17" s="1"/>
  <c r="X28" i="17"/>
  <c r="W28" i="17"/>
  <c r="Y28" i="17" s="1"/>
  <c r="T28" i="17"/>
  <c r="S28" i="17"/>
  <c r="V28" i="17" s="1"/>
  <c r="R28" i="17"/>
  <c r="Q28" i="17"/>
  <c r="P28" i="17"/>
  <c r="N28" i="17"/>
  <c r="J28" i="17"/>
  <c r="D28" i="17"/>
  <c r="M28" i="17" s="1"/>
  <c r="BZ27" i="17"/>
  <c r="BY27" i="17"/>
  <c r="BX27" i="17"/>
  <c r="BW27" i="17"/>
  <c r="BV27" i="17"/>
  <c r="BU27" i="17"/>
  <c r="BS27" i="17"/>
  <c r="BR27" i="17"/>
  <c r="BT27" i="17" s="1"/>
  <c r="BQ27" i="17"/>
  <c r="BP27" i="17"/>
  <c r="BO27" i="17"/>
  <c r="BN27" i="17"/>
  <c r="BM27" i="17"/>
  <c r="BL27" i="17"/>
  <c r="BK27" i="17"/>
  <c r="BJ27" i="17"/>
  <c r="BI27" i="17"/>
  <c r="BH27" i="17"/>
  <c r="BF27" i="17"/>
  <c r="BD27" i="17"/>
  <c r="BC27" i="17"/>
  <c r="BB27" i="17"/>
  <c r="AZ27" i="17"/>
  <c r="AY27" i="17"/>
  <c r="AX27" i="17"/>
  <c r="AV27" i="17"/>
  <c r="AU27" i="17"/>
  <c r="AT27" i="17"/>
  <c r="AS27" i="17"/>
  <c r="AR27" i="17"/>
  <c r="AQ27" i="17"/>
  <c r="AP27" i="17"/>
  <c r="AO27" i="17"/>
  <c r="AM27" i="17"/>
  <c r="AL27" i="17"/>
  <c r="AK27" i="17"/>
  <c r="AJ27" i="17"/>
  <c r="AI27" i="17"/>
  <c r="AH27" i="17"/>
  <c r="AG27" i="17"/>
  <c r="AF27" i="17"/>
  <c r="AD27" i="17"/>
  <c r="AC27" i="17"/>
  <c r="AA27" i="17"/>
  <c r="Z27" i="17"/>
  <c r="AB27" i="17" s="1"/>
  <c r="X27" i="17"/>
  <c r="W27" i="17"/>
  <c r="Y27" i="17" s="1"/>
  <c r="T27" i="17"/>
  <c r="S27" i="17"/>
  <c r="V27" i="17" s="1"/>
  <c r="R27" i="17"/>
  <c r="Q27" i="17"/>
  <c r="P27" i="17"/>
  <c r="N27" i="17"/>
  <c r="J27" i="17"/>
  <c r="D27" i="17"/>
  <c r="C27" i="17" s="1"/>
  <c r="K27" i="17" s="1"/>
  <c r="BZ26" i="17"/>
  <c r="BY26" i="17"/>
  <c r="BX26" i="17"/>
  <c r="BW26" i="17"/>
  <c r="BV26" i="17"/>
  <c r="BU26" i="17"/>
  <c r="BS26" i="17"/>
  <c r="BR26" i="17"/>
  <c r="BT26" i="17" s="1"/>
  <c r="BQ26" i="17"/>
  <c r="BP26" i="17"/>
  <c r="BO26" i="17"/>
  <c r="BN26" i="17"/>
  <c r="BM26" i="17"/>
  <c r="BL26" i="17"/>
  <c r="BK26" i="17"/>
  <c r="BJ26" i="17"/>
  <c r="BI26" i="17"/>
  <c r="BH26" i="17"/>
  <c r="BF26" i="17"/>
  <c r="BD26" i="17"/>
  <c r="BC26" i="17"/>
  <c r="BG26" i="17" s="1"/>
  <c r="BB26" i="17"/>
  <c r="BE26" i="17" s="1"/>
  <c r="AZ26" i="17"/>
  <c r="AY26" i="17"/>
  <c r="AX26" i="17"/>
  <c r="AV26" i="17"/>
  <c r="AU26" i="17"/>
  <c r="AT26" i="17"/>
  <c r="AS26" i="17"/>
  <c r="AR26" i="17"/>
  <c r="AQ26" i="17"/>
  <c r="AP26" i="17"/>
  <c r="AO26" i="17"/>
  <c r="AM26" i="17"/>
  <c r="AL26" i="17"/>
  <c r="AN26" i="17" s="1"/>
  <c r="AK26" i="17"/>
  <c r="AJ26" i="17"/>
  <c r="AI26" i="17"/>
  <c r="AH26" i="17"/>
  <c r="AG26" i="17"/>
  <c r="AF26" i="17"/>
  <c r="AD26" i="17"/>
  <c r="AC26" i="17"/>
  <c r="AE26" i="17" s="1"/>
  <c r="AA26" i="17"/>
  <c r="Z26" i="17"/>
  <c r="AB26" i="17" s="1"/>
  <c r="X26" i="17"/>
  <c r="W26" i="17"/>
  <c r="Y26" i="17" s="1"/>
  <c r="T26" i="17"/>
  <c r="S26" i="17"/>
  <c r="V26" i="17" s="1"/>
  <c r="R26" i="17"/>
  <c r="U26" i="17" s="1"/>
  <c r="Q26" i="17"/>
  <c r="P26" i="17"/>
  <c r="N26" i="17"/>
  <c r="J26" i="17"/>
  <c r="D26" i="17"/>
  <c r="M26" i="17" s="1"/>
  <c r="BZ25" i="17"/>
  <c r="BY25" i="17"/>
  <c r="BX25" i="17"/>
  <c r="BW25" i="17"/>
  <c r="BV25" i="17"/>
  <c r="BU25" i="17"/>
  <c r="BS25" i="17"/>
  <c r="BR25" i="17"/>
  <c r="BT25" i="17" s="1"/>
  <c r="BQ25" i="17"/>
  <c r="BP25" i="17"/>
  <c r="BO25" i="17"/>
  <c r="BN25" i="17"/>
  <c r="BM25" i="17"/>
  <c r="BL25" i="17"/>
  <c r="BK25" i="17"/>
  <c r="BJ25" i="17"/>
  <c r="BI25" i="17"/>
  <c r="BH25" i="17"/>
  <c r="BF25" i="17"/>
  <c r="BD25" i="17"/>
  <c r="BC25" i="17"/>
  <c r="BG25" i="17" s="1"/>
  <c r="BB25" i="17"/>
  <c r="BE25" i="17" s="1"/>
  <c r="AZ25" i="17"/>
  <c r="AY25" i="17"/>
  <c r="AX25" i="17"/>
  <c r="AV25" i="17"/>
  <c r="AU25" i="17"/>
  <c r="AT25" i="17"/>
  <c r="AS25" i="17"/>
  <c r="AR25" i="17"/>
  <c r="AQ25" i="17"/>
  <c r="AP25" i="17"/>
  <c r="AO25" i="17"/>
  <c r="AM25" i="17"/>
  <c r="AL25" i="17"/>
  <c r="AN25" i="17" s="1"/>
  <c r="AK25" i="17"/>
  <c r="AJ25" i="17"/>
  <c r="AI25" i="17"/>
  <c r="AH25" i="17"/>
  <c r="AG25" i="17"/>
  <c r="AF25" i="17"/>
  <c r="AD25" i="17"/>
  <c r="AC25" i="17"/>
  <c r="AE25" i="17" s="1"/>
  <c r="AA25" i="17"/>
  <c r="Z25" i="17"/>
  <c r="AB25" i="17" s="1"/>
  <c r="X25" i="17"/>
  <c r="W25" i="17"/>
  <c r="Y25" i="17" s="1"/>
  <c r="T25" i="17"/>
  <c r="S25" i="17"/>
  <c r="V25" i="17" s="1"/>
  <c r="R25" i="17"/>
  <c r="U25" i="17" s="1"/>
  <c r="Q25" i="17"/>
  <c r="P25" i="17"/>
  <c r="N25" i="17"/>
  <c r="J25" i="17"/>
  <c r="D25" i="17"/>
  <c r="C25" i="17" s="1"/>
  <c r="K25" i="17" s="1"/>
  <c r="BZ24" i="17"/>
  <c r="BY24" i="17"/>
  <c r="BX24" i="17"/>
  <c r="BW24" i="17"/>
  <c r="BV24" i="17"/>
  <c r="BU24" i="17"/>
  <c r="BS24" i="17"/>
  <c r="BR24" i="17"/>
  <c r="BT24" i="17" s="1"/>
  <c r="BQ24" i="17"/>
  <c r="BP24" i="17"/>
  <c r="BO24" i="17"/>
  <c r="BN24" i="17"/>
  <c r="BM24" i="17"/>
  <c r="BL24" i="17"/>
  <c r="BK24" i="17"/>
  <c r="BJ24" i="17"/>
  <c r="BI24" i="17"/>
  <c r="BH24" i="17"/>
  <c r="BF24" i="17"/>
  <c r="BD24" i="17"/>
  <c r="BC24" i="17"/>
  <c r="BG24" i="17" s="1"/>
  <c r="BB24" i="17"/>
  <c r="BE24" i="17" s="1"/>
  <c r="AZ24" i="17"/>
  <c r="AY24" i="17"/>
  <c r="AX24" i="17"/>
  <c r="AV24" i="17"/>
  <c r="AU24" i="17"/>
  <c r="AT24" i="17"/>
  <c r="AS24" i="17"/>
  <c r="AR24" i="17"/>
  <c r="AQ24" i="17"/>
  <c r="AP24" i="17"/>
  <c r="AO24" i="17"/>
  <c r="AM24" i="17"/>
  <c r="AL24" i="17"/>
  <c r="AN24" i="17" s="1"/>
  <c r="AK24" i="17"/>
  <c r="AJ24" i="17"/>
  <c r="AI24" i="17"/>
  <c r="AH24" i="17"/>
  <c r="AG24" i="17"/>
  <c r="AF24" i="17"/>
  <c r="AD24" i="17"/>
  <c r="AC24" i="17"/>
  <c r="AE24" i="17" s="1"/>
  <c r="AA24" i="17"/>
  <c r="Z24" i="17"/>
  <c r="AB24" i="17" s="1"/>
  <c r="X24" i="17"/>
  <c r="W24" i="17"/>
  <c r="Y24" i="17" s="1"/>
  <c r="T24" i="17"/>
  <c r="S24" i="17"/>
  <c r="V24" i="17" s="1"/>
  <c r="R24" i="17"/>
  <c r="U24" i="17" s="1"/>
  <c r="Q24" i="17"/>
  <c r="P24" i="17"/>
  <c r="N24" i="17"/>
  <c r="J24" i="17"/>
  <c r="D24" i="17"/>
  <c r="M24" i="17" s="1"/>
  <c r="BZ23" i="17"/>
  <c r="BY23" i="17"/>
  <c r="BX23" i="17"/>
  <c r="BW23" i="17"/>
  <c r="BV23" i="17"/>
  <c r="BU23" i="17"/>
  <c r="BS23" i="17"/>
  <c r="BR23" i="17"/>
  <c r="BT23" i="17" s="1"/>
  <c r="BQ23" i="17"/>
  <c r="BP23" i="17"/>
  <c r="BO23" i="17"/>
  <c r="BN23" i="17"/>
  <c r="BM23" i="17"/>
  <c r="BL23" i="17"/>
  <c r="BK23" i="17"/>
  <c r="BJ23" i="17"/>
  <c r="BI23" i="17"/>
  <c r="BH23" i="17"/>
  <c r="BF23" i="17"/>
  <c r="BD23" i="17"/>
  <c r="BC23" i="17"/>
  <c r="BB23" i="17"/>
  <c r="AZ23" i="17"/>
  <c r="AY23" i="17"/>
  <c r="AX23" i="17"/>
  <c r="AV23" i="17"/>
  <c r="AU23" i="17"/>
  <c r="AT23" i="17"/>
  <c r="AS23" i="17"/>
  <c r="AR23" i="17"/>
  <c r="AQ23" i="17"/>
  <c r="AP23" i="17"/>
  <c r="AO23" i="17"/>
  <c r="AM23" i="17"/>
  <c r="AL23" i="17"/>
  <c r="AK23" i="17"/>
  <c r="AJ23" i="17"/>
  <c r="AI23" i="17"/>
  <c r="AH23" i="17"/>
  <c r="AG23" i="17"/>
  <c r="AF23" i="17"/>
  <c r="AD23" i="17"/>
  <c r="AC23" i="17"/>
  <c r="AE23" i="17" s="1"/>
  <c r="AA23" i="17"/>
  <c r="Z23" i="17"/>
  <c r="AB23" i="17" s="1"/>
  <c r="X23" i="17"/>
  <c r="W23" i="17"/>
  <c r="Y23" i="17" s="1"/>
  <c r="T23" i="17"/>
  <c r="S23" i="17"/>
  <c r="V23" i="17" s="1"/>
  <c r="R23" i="17"/>
  <c r="Q23" i="17"/>
  <c r="P23" i="17"/>
  <c r="N23" i="17"/>
  <c r="J23" i="17"/>
  <c r="D23" i="17"/>
  <c r="C23" i="17" s="1"/>
  <c r="K23" i="17" s="1"/>
  <c r="BZ22" i="17"/>
  <c r="BY22" i="17"/>
  <c r="BX22" i="17"/>
  <c r="BW22" i="17"/>
  <c r="BV22" i="17"/>
  <c r="BU22" i="17"/>
  <c r="BS22" i="17"/>
  <c r="BR22" i="17"/>
  <c r="BT22" i="17" s="1"/>
  <c r="BQ22" i="17"/>
  <c r="BP22" i="17"/>
  <c r="BO22" i="17"/>
  <c r="BN22" i="17"/>
  <c r="BM22" i="17"/>
  <c r="BL22" i="17"/>
  <c r="BK22" i="17"/>
  <c r="BJ22" i="17"/>
  <c r="BI22" i="17"/>
  <c r="BH22" i="17"/>
  <c r="BF22" i="17"/>
  <c r="BD22" i="17"/>
  <c r="BC22" i="17"/>
  <c r="BG22" i="17" s="1"/>
  <c r="BB22" i="17"/>
  <c r="BE22" i="17" s="1"/>
  <c r="AZ22" i="17"/>
  <c r="AY22" i="17"/>
  <c r="AX22" i="17"/>
  <c r="AV22" i="17"/>
  <c r="AU22" i="17"/>
  <c r="AT22" i="17"/>
  <c r="AS22" i="17"/>
  <c r="AR22" i="17"/>
  <c r="AQ22" i="17"/>
  <c r="AP22" i="17"/>
  <c r="AO22" i="17"/>
  <c r="AM22" i="17"/>
  <c r="AL22" i="17"/>
  <c r="AN22" i="17" s="1"/>
  <c r="AK22" i="17"/>
  <c r="AJ22" i="17"/>
  <c r="AI22" i="17"/>
  <c r="AH22" i="17"/>
  <c r="AG22" i="17"/>
  <c r="AF22" i="17"/>
  <c r="AD22" i="17"/>
  <c r="AC22" i="17"/>
  <c r="AE22" i="17" s="1"/>
  <c r="AA22" i="17"/>
  <c r="Z22" i="17"/>
  <c r="AB22" i="17" s="1"/>
  <c r="X22" i="17"/>
  <c r="W22" i="17"/>
  <c r="Y22" i="17" s="1"/>
  <c r="T22" i="17"/>
  <c r="S22" i="17"/>
  <c r="V22" i="17" s="1"/>
  <c r="R22" i="17"/>
  <c r="U22" i="17" s="1"/>
  <c r="Q22" i="17"/>
  <c r="P22" i="17"/>
  <c r="N22" i="17"/>
  <c r="J22" i="17"/>
  <c r="D22" i="17"/>
  <c r="M22" i="17" s="1"/>
  <c r="C22" i="17"/>
  <c r="K22" i="17" s="1"/>
  <c r="BZ21" i="17"/>
  <c r="BY21" i="17"/>
  <c r="BX21" i="17"/>
  <c r="BW21" i="17"/>
  <c r="BV21" i="17"/>
  <c r="BU21" i="17"/>
  <c r="BS21" i="17"/>
  <c r="BR21" i="17"/>
  <c r="BT21" i="17" s="1"/>
  <c r="BQ21" i="17"/>
  <c r="BP21" i="17"/>
  <c r="BO21" i="17"/>
  <c r="BN21" i="17"/>
  <c r="BM21" i="17"/>
  <c r="BL21" i="17"/>
  <c r="BK21" i="17"/>
  <c r="BJ21" i="17"/>
  <c r="BI21" i="17"/>
  <c r="BH21" i="17"/>
  <c r="BF21" i="17"/>
  <c r="BD21" i="17"/>
  <c r="BC21" i="17"/>
  <c r="BB21" i="17"/>
  <c r="AZ21" i="17"/>
  <c r="AY21" i="17"/>
  <c r="AX21" i="17"/>
  <c r="AV21" i="17"/>
  <c r="AU21" i="17"/>
  <c r="AT21" i="17"/>
  <c r="AS21" i="17"/>
  <c r="AR21" i="17"/>
  <c r="AQ21" i="17"/>
  <c r="AP21" i="17"/>
  <c r="AO21" i="17"/>
  <c r="AM21" i="17"/>
  <c r="AL21" i="17"/>
  <c r="AK21" i="17"/>
  <c r="AJ21" i="17"/>
  <c r="AI21" i="17"/>
  <c r="AH21" i="17"/>
  <c r="AG21" i="17"/>
  <c r="AF21" i="17"/>
  <c r="AD21" i="17"/>
  <c r="AC21" i="17"/>
  <c r="AA21" i="17"/>
  <c r="Z21" i="17"/>
  <c r="AB21" i="17" s="1"/>
  <c r="X21" i="17"/>
  <c r="W21" i="17"/>
  <c r="Y21" i="17" s="1"/>
  <c r="T21" i="17"/>
  <c r="S21" i="17"/>
  <c r="V21" i="17" s="1"/>
  <c r="R21" i="17"/>
  <c r="Q21" i="17"/>
  <c r="P21" i="17"/>
  <c r="N21" i="17"/>
  <c r="M21" i="17"/>
  <c r="J21" i="17"/>
  <c r="D21" i="17"/>
  <c r="C21" i="17" s="1"/>
  <c r="K21" i="17" s="1"/>
  <c r="BZ20" i="17"/>
  <c r="BY20" i="17"/>
  <c r="BX20" i="17"/>
  <c r="BW20" i="17"/>
  <c r="BV20" i="17"/>
  <c r="BU20" i="17"/>
  <c r="BS20" i="17"/>
  <c r="BR20" i="17"/>
  <c r="BT20" i="17" s="1"/>
  <c r="BQ20" i="17"/>
  <c r="BP20" i="17"/>
  <c r="BO20" i="17"/>
  <c r="BN20" i="17"/>
  <c r="BM20" i="17"/>
  <c r="BL20" i="17"/>
  <c r="BK20" i="17"/>
  <c r="BJ20" i="17"/>
  <c r="BI20" i="17"/>
  <c r="BH20" i="17"/>
  <c r="BF20" i="17"/>
  <c r="BD20" i="17"/>
  <c r="BC20" i="17"/>
  <c r="BG20" i="17" s="1"/>
  <c r="BB20" i="17"/>
  <c r="BE20" i="17" s="1"/>
  <c r="AZ20" i="17"/>
  <c r="AY20" i="17"/>
  <c r="AX20" i="17"/>
  <c r="AV20" i="17"/>
  <c r="AU20" i="17"/>
  <c r="AT20" i="17"/>
  <c r="AS20" i="17"/>
  <c r="AR20" i="17"/>
  <c r="AQ20" i="17"/>
  <c r="AP20" i="17"/>
  <c r="AO20" i="17"/>
  <c r="AM20" i="17"/>
  <c r="AL20" i="17"/>
  <c r="AN20" i="17" s="1"/>
  <c r="AK20" i="17"/>
  <c r="AJ20" i="17"/>
  <c r="AI20" i="17"/>
  <c r="AH20" i="17"/>
  <c r="AG20" i="17"/>
  <c r="AF20" i="17"/>
  <c r="AD20" i="17"/>
  <c r="AC20" i="17"/>
  <c r="AA20" i="17"/>
  <c r="Z20" i="17"/>
  <c r="X20" i="17"/>
  <c r="W20" i="17"/>
  <c r="Y20" i="17" s="1"/>
  <c r="T20" i="17"/>
  <c r="S20" i="17"/>
  <c r="V20" i="17" s="1"/>
  <c r="R20" i="17"/>
  <c r="Q20" i="17"/>
  <c r="P20" i="17"/>
  <c r="N20" i="17"/>
  <c r="J20" i="17"/>
  <c r="D20" i="17"/>
  <c r="M20" i="17" s="1"/>
  <c r="C20" i="17"/>
  <c r="K20" i="17" s="1"/>
  <c r="BZ19" i="17"/>
  <c r="BY19" i="17"/>
  <c r="BX19" i="17"/>
  <c r="BW19" i="17"/>
  <c r="BV19" i="17"/>
  <c r="BU19" i="17"/>
  <c r="BS19" i="17"/>
  <c r="BR19" i="17"/>
  <c r="BT19" i="17" s="1"/>
  <c r="BQ19" i="17"/>
  <c r="BP19" i="17"/>
  <c r="BO19" i="17"/>
  <c r="BN19" i="17"/>
  <c r="BM19" i="17"/>
  <c r="BL19" i="17"/>
  <c r="BK19" i="17"/>
  <c r="BJ19" i="17"/>
  <c r="BI19" i="17"/>
  <c r="BH19" i="17"/>
  <c r="BF19" i="17"/>
  <c r="BD19" i="17"/>
  <c r="BC19" i="17"/>
  <c r="BG19" i="17" s="1"/>
  <c r="BB19" i="17"/>
  <c r="BE19" i="17" s="1"/>
  <c r="AZ19" i="17"/>
  <c r="AY19" i="17"/>
  <c r="AX19" i="17"/>
  <c r="AV19" i="17"/>
  <c r="AU19" i="17"/>
  <c r="AT19" i="17"/>
  <c r="AS19" i="17"/>
  <c r="AR19" i="17"/>
  <c r="AQ19" i="17"/>
  <c r="AP19" i="17"/>
  <c r="AO19" i="17"/>
  <c r="AM19" i="17"/>
  <c r="AL19" i="17"/>
  <c r="AN19" i="17" s="1"/>
  <c r="AK19" i="17"/>
  <c r="AJ19" i="17"/>
  <c r="AI19" i="17"/>
  <c r="AH19" i="17"/>
  <c r="AG19" i="17"/>
  <c r="AF19" i="17"/>
  <c r="AD19" i="17"/>
  <c r="AC19" i="17"/>
  <c r="AE19" i="17" s="1"/>
  <c r="AA19" i="17"/>
  <c r="Z19" i="17"/>
  <c r="AB19" i="17" s="1"/>
  <c r="X19" i="17"/>
  <c r="W19" i="17"/>
  <c r="Y19" i="17" s="1"/>
  <c r="T19" i="17"/>
  <c r="S19" i="17"/>
  <c r="V19" i="17" s="1"/>
  <c r="R19" i="17"/>
  <c r="U19" i="17" s="1"/>
  <c r="Q19" i="17"/>
  <c r="P19" i="17"/>
  <c r="N19" i="17"/>
  <c r="M19" i="17"/>
  <c r="J19" i="17"/>
  <c r="D19" i="17"/>
  <c r="C19" i="17" s="1"/>
  <c r="K19" i="17" s="1"/>
  <c r="BZ18" i="17"/>
  <c r="BY18" i="17"/>
  <c r="BX18" i="17"/>
  <c r="BW18" i="17"/>
  <c r="BV18" i="17"/>
  <c r="BU18" i="17"/>
  <c r="BS18" i="17"/>
  <c r="BR18" i="17"/>
  <c r="BQ18" i="17"/>
  <c r="BP18" i="17"/>
  <c r="BO18" i="17"/>
  <c r="BN18" i="17"/>
  <c r="BM18" i="17"/>
  <c r="BL18" i="17"/>
  <c r="BK18" i="17"/>
  <c r="BJ18" i="17"/>
  <c r="BI18" i="17"/>
  <c r="BH18" i="17"/>
  <c r="BF18" i="17"/>
  <c r="BD18" i="17"/>
  <c r="BC18" i="17"/>
  <c r="BB18" i="17"/>
  <c r="AZ18" i="17"/>
  <c r="AY18" i="17"/>
  <c r="AX18" i="17"/>
  <c r="AV18" i="17"/>
  <c r="AU18" i="17"/>
  <c r="AT18" i="17"/>
  <c r="AS18" i="17"/>
  <c r="AR18" i="17"/>
  <c r="AQ18" i="17"/>
  <c r="AP18" i="17"/>
  <c r="AO18" i="17"/>
  <c r="AM18" i="17"/>
  <c r="AL18" i="17"/>
  <c r="AK18" i="17"/>
  <c r="AJ18" i="17"/>
  <c r="AI18" i="17"/>
  <c r="AH18" i="17"/>
  <c r="AG18" i="17"/>
  <c r="AF18" i="17"/>
  <c r="AD18" i="17"/>
  <c r="AC18" i="17"/>
  <c r="AA18" i="17"/>
  <c r="Z18" i="17"/>
  <c r="X18" i="17"/>
  <c r="W18" i="17"/>
  <c r="T18" i="17"/>
  <c r="S18" i="17"/>
  <c r="V18" i="17" s="1"/>
  <c r="R18" i="17"/>
  <c r="Q18" i="17"/>
  <c r="P18" i="17"/>
  <c r="N18" i="17"/>
  <c r="J18" i="17"/>
  <c r="D18" i="17"/>
  <c r="M18" i="17" s="1"/>
  <c r="C18" i="17"/>
  <c r="K18" i="17" s="1"/>
  <c r="BZ17" i="17"/>
  <c r="BY17" i="17"/>
  <c r="BX17" i="17"/>
  <c r="BW17" i="17"/>
  <c r="BV17" i="17"/>
  <c r="BU17" i="17"/>
  <c r="BS17" i="17"/>
  <c r="BR17" i="17"/>
  <c r="BT17" i="17" s="1"/>
  <c r="BQ17" i="17"/>
  <c r="BP17" i="17"/>
  <c r="BO17" i="17"/>
  <c r="BN17" i="17"/>
  <c r="BM17" i="17"/>
  <c r="BL17" i="17"/>
  <c r="BK17" i="17"/>
  <c r="BJ17" i="17"/>
  <c r="BI17" i="17"/>
  <c r="BH17" i="17"/>
  <c r="BF17" i="17"/>
  <c r="BD17" i="17"/>
  <c r="BC17" i="17"/>
  <c r="BG17" i="17" s="1"/>
  <c r="BB17" i="17"/>
  <c r="BE17" i="17" s="1"/>
  <c r="AZ17" i="17"/>
  <c r="AY17" i="17"/>
  <c r="AX17" i="17"/>
  <c r="AV17" i="17"/>
  <c r="AU17" i="17"/>
  <c r="AT17" i="17"/>
  <c r="AS17" i="17"/>
  <c r="AR17" i="17"/>
  <c r="AQ17" i="17"/>
  <c r="AP17" i="17"/>
  <c r="AO17" i="17"/>
  <c r="AM17" i="17"/>
  <c r="AL17" i="17"/>
  <c r="AK17" i="17"/>
  <c r="AJ17" i="17"/>
  <c r="AI17" i="17"/>
  <c r="AH17" i="17"/>
  <c r="AG17" i="17"/>
  <c r="AF17" i="17"/>
  <c r="AD17" i="17"/>
  <c r="AC17" i="17"/>
  <c r="AE17" i="17" s="1"/>
  <c r="AA17" i="17"/>
  <c r="Z17" i="17"/>
  <c r="AB17" i="17" s="1"/>
  <c r="X17" i="17"/>
  <c r="W17" i="17"/>
  <c r="Y17" i="17" s="1"/>
  <c r="T17" i="17"/>
  <c r="S17" i="17"/>
  <c r="V17" i="17" s="1"/>
  <c r="R17" i="17"/>
  <c r="U17" i="17" s="1"/>
  <c r="Q17" i="17"/>
  <c r="P17" i="17"/>
  <c r="N17" i="17"/>
  <c r="M17" i="17"/>
  <c r="J17" i="17"/>
  <c r="D17" i="17"/>
  <c r="C17" i="17" s="1"/>
  <c r="K17" i="17" s="1"/>
  <c r="BZ16" i="17"/>
  <c r="BY16" i="17"/>
  <c r="BX16" i="17"/>
  <c r="BW16" i="17"/>
  <c r="BV16" i="17"/>
  <c r="BU16" i="17"/>
  <c r="BS16" i="17"/>
  <c r="BR16" i="17"/>
  <c r="BQ16" i="17"/>
  <c r="BP16" i="17"/>
  <c r="BO16" i="17"/>
  <c r="BN16" i="17"/>
  <c r="BM16" i="17"/>
  <c r="BL16" i="17"/>
  <c r="BK16" i="17"/>
  <c r="BJ16" i="17"/>
  <c r="BI16" i="17"/>
  <c r="BH16" i="17"/>
  <c r="BF16" i="17"/>
  <c r="BD16" i="17"/>
  <c r="BC16" i="17"/>
  <c r="BG16" i="17" s="1"/>
  <c r="BB16" i="17"/>
  <c r="BE16" i="17" s="1"/>
  <c r="AZ16" i="17"/>
  <c r="AY16" i="17"/>
  <c r="AX16" i="17"/>
  <c r="AV16" i="17"/>
  <c r="AU16" i="17"/>
  <c r="AT16" i="17"/>
  <c r="AS16" i="17"/>
  <c r="AR16" i="17"/>
  <c r="AQ16" i="17"/>
  <c r="AP16" i="17"/>
  <c r="AO16" i="17"/>
  <c r="AM16" i="17"/>
  <c r="AL16" i="17"/>
  <c r="AN16" i="17" s="1"/>
  <c r="AK16" i="17"/>
  <c r="AJ16" i="17"/>
  <c r="AI16" i="17"/>
  <c r="AH16" i="17"/>
  <c r="AG16" i="17"/>
  <c r="AF16" i="17"/>
  <c r="AD16" i="17"/>
  <c r="AC16" i="17"/>
  <c r="AE16" i="17" s="1"/>
  <c r="AA16" i="17"/>
  <c r="Z16" i="17"/>
  <c r="X16" i="17"/>
  <c r="W16" i="17"/>
  <c r="Y16" i="17" s="1"/>
  <c r="T16" i="17"/>
  <c r="S16" i="17"/>
  <c r="V16" i="17" s="1"/>
  <c r="R16" i="17"/>
  <c r="Q16" i="17"/>
  <c r="P16" i="17"/>
  <c r="N16" i="17"/>
  <c r="J16" i="17"/>
  <c r="D16" i="17"/>
  <c r="M16" i="17" s="1"/>
  <c r="C16" i="17"/>
  <c r="K16" i="17" s="1"/>
  <c r="BZ15" i="17"/>
  <c r="BY15" i="17"/>
  <c r="BX15" i="17"/>
  <c r="BW15" i="17"/>
  <c r="BV15" i="17"/>
  <c r="BU15" i="17"/>
  <c r="BS15" i="17"/>
  <c r="BR15" i="17"/>
  <c r="BT15" i="17" s="1"/>
  <c r="BQ15" i="17"/>
  <c r="BP15" i="17"/>
  <c r="BO15" i="17"/>
  <c r="BN15" i="17"/>
  <c r="BM15" i="17"/>
  <c r="BL15" i="17"/>
  <c r="BK15" i="17"/>
  <c r="BJ15" i="17"/>
  <c r="BI15" i="17"/>
  <c r="BH15" i="17"/>
  <c r="BF15" i="17"/>
  <c r="BD15" i="17"/>
  <c r="BC15" i="17"/>
  <c r="BG15" i="17" s="1"/>
  <c r="BB15" i="17"/>
  <c r="BE15" i="17" s="1"/>
  <c r="AZ15" i="17"/>
  <c r="AY15" i="17"/>
  <c r="AX15" i="17"/>
  <c r="AV15" i="17"/>
  <c r="AU15" i="17"/>
  <c r="AT15" i="17"/>
  <c r="AS15" i="17"/>
  <c r="AR15" i="17"/>
  <c r="AQ15" i="17"/>
  <c r="AP15" i="17"/>
  <c r="AO15" i="17"/>
  <c r="AM15" i="17"/>
  <c r="AL15" i="17"/>
  <c r="AN15" i="17" s="1"/>
  <c r="AK15" i="17"/>
  <c r="AJ15" i="17"/>
  <c r="AI15" i="17"/>
  <c r="AH15" i="17"/>
  <c r="AG15" i="17"/>
  <c r="AF15" i="17"/>
  <c r="AD15" i="17"/>
  <c r="AC15" i="17"/>
  <c r="AE15" i="17" s="1"/>
  <c r="AA15" i="17"/>
  <c r="Z15" i="17"/>
  <c r="AB15" i="17" s="1"/>
  <c r="X15" i="17"/>
  <c r="W15" i="17"/>
  <c r="Y15" i="17" s="1"/>
  <c r="T15" i="17"/>
  <c r="S15" i="17"/>
  <c r="V15" i="17" s="1"/>
  <c r="R15" i="17"/>
  <c r="U15" i="17" s="1"/>
  <c r="Q15" i="17"/>
  <c r="P15" i="17"/>
  <c r="N15" i="17"/>
  <c r="M15" i="17"/>
  <c r="J15" i="17"/>
  <c r="D15" i="17"/>
  <c r="C15" i="17" s="1"/>
  <c r="K15" i="17" s="1"/>
  <c r="BZ14" i="17"/>
  <c r="BY14" i="17"/>
  <c r="BX14" i="17"/>
  <c r="BW14" i="17"/>
  <c r="BV14" i="17"/>
  <c r="BU14" i="17"/>
  <c r="BS14" i="17"/>
  <c r="BR14" i="17"/>
  <c r="BT14" i="17" s="1"/>
  <c r="BQ14" i="17"/>
  <c r="BP14" i="17"/>
  <c r="BO14" i="17"/>
  <c r="BN14" i="17"/>
  <c r="BM14" i="17"/>
  <c r="BL14" i="17"/>
  <c r="BK14" i="17"/>
  <c r="BJ14" i="17"/>
  <c r="BI14" i="17"/>
  <c r="BH14" i="17"/>
  <c r="BF14" i="17"/>
  <c r="BD14" i="17"/>
  <c r="BC14" i="17"/>
  <c r="BB14" i="17"/>
  <c r="AZ14" i="17"/>
  <c r="AY14" i="17"/>
  <c r="AX14" i="17"/>
  <c r="AV14" i="17"/>
  <c r="AU14" i="17"/>
  <c r="AT14" i="17"/>
  <c r="AS14" i="17"/>
  <c r="AR14" i="17"/>
  <c r="AQ14" i="17"/>
  <c r="AP14" i="17"/>
  <c r="AO14" i="17"/>
  <c r="AM14" i="17"/>
  <c r="AL14" i="17"/>
  <c r="AN14" i="17" s="1"/>
  <c r="AK14" i="17"/>
  <c r="AJ14" i="17"/>
  <c r="AI14" i="17"/>
  <c r="AH14" i="17"/>
  <c r="AG14" i="17"/>
  <c r="AF14" i="17"/>
  <c r="AD14" i="17"/>
  <c r="AC14" i="17"/>
  <c r="AA14" i="17"/>
  <c r="Z14" i="17"/>
  <c r="AB14" i="17" s="1"/>
  <c r="X14" i="17"/>
  <c r="W14" i="17"/>
  <c r="Y14" i="17" s="1"/>
  <c r="T14" i="17"/>
  <c r="S14" i="17"/>
  <c r="V14" i="17" s="1"/>
  <c r="R14" i="17"/>
  <c r="Q14" i="17"/>
  <c r="P14" i="17"/>
  <c r="N14" i="17"/>
  <c r="J14" i="17"/>
  <c r="D14" i="17"/>
  <c r="M14" i="17" s="1"/>
  <c r="C14" i="17"/>
  <c r="K14" i="17" s="1"/>
  <c r="O13" i="17"/>
  <c r="J13" i="17" s="1"/>
  <c r="L13" i="17"/>
  <c r="I13" i="17"/>
  <c r="Q13" i="17" s="1"/>
  <c r="H13" i="17"/>
  <c r="N13" i="17" s="1"/>
  <c r="G13" i="17"/>
  <c r="P13" i="17" s="1"/>
  <c r="F13" i="17"/>
  <c r="E13" i="17"/>
  <c r="T9" i="17"/>
  <c r="S9" i="17"/>
  <c r="V9" i="17" s="1"/>
  <c r="R9" i="17"/>
  <c r="O9" i="17"/>
  <c r="L9" i="17"/>
  <c r="I9" i="17"/>
  <c r="Q9" i="17" s="1"/>
  <c r="H9" i="17"/>
  <c r="N9" i="17" s="1"/>
  <c r="G9" i="17"/>
  <c r="P9" i="17" s="1"/>
  <c r="F9" i="17"/>
  <c r="E9" i="17"/>
  <c r="D9" i="17"/>
  <c r="M9" i="17" s="1"/>
  <c r="L8" i="17"/>
  <c r="L7" i="17" s="1"/>
  <c r="H8" i="17"/>
  <c r="N8" i="17" s="1"/>
  <c r="F8" i="17"/>
  <c r="F7" i="17" s="1"/>
  <c r="V106" i="16"/>
  <c r="U106" i="16"/>
  <c r="Q106" i="16"/>
  <c r="P106" i="16"/>
  <c r="N106" i="16"/>
  <c r="M106" i="16"/>
  <c r="K106" i="16"/>
  <c r="J106" i="16"/>
  <c r="D106" i="16"/>
  <c r="C106" i="16"/>
  <c r="V105" i="16"/>
  <c r="U105" i="16"/>
  <c r="Q105" i="16"/>
  <c r="P105" i="16"/>
  <c r="N105" i="16"/>
  <c r="J105" i="16"/>
  <c r="D105" i="16"/>
  <c r="M105" i="16" s="1"/>
  <c r="V104" i="16"/>
  <c r="U104" i="16"/>
  <c r="Q104" i="16"/>
  <c r="P104" i="16"/>
  <c r="N104" i="16"/>
  <c r="J104" i="16"/>
  <c r="D104" i="16"/>
  <c r="C104" i="16" s="1"/>
  <c r="K104" i="16" s="1"/>
  <c r="V103" i="16"/>
  <c r="U103" i="16"/>
  <c r="Q103" i="16"/>
  <c r="P103" i="16"/>
  <c r="N103" i="16"/>
  <c r="M103" i="16"/>
  <c r="K103" i="16"/>
  <c r="J103" i="16"/>
  <c r="D103" i="16"/>
  <c r="C103" i="16"/>
  <c r="V102" i="16"/>
  <c r="U102" i="16"/>
  <c r="Q102" i="16"/>
  <c r="P102" i="16"/>
  <c r="N102" i="16"/>
  <c r="J102" i="16"/>
  <c r="D102" i="16"/>
  <c r="M102" i="16" s="1"/>
  <c r="V101" i="16"/>
  <c r="U101" i="16"/>
  <c r="Q101" i="16"/>
  <c r="P101" i="16"/>
  <c r="N101" i="16"/>
  <c r="J101" i="16"/>
  <c r="D101" i="16"/>
  <c r="C101" i="16" s="1"/>
  <c r="K101" i="16" s="1"/>
  <c r="V100" i="16"/>
  <c r="U100" i="16"/>
  <c r="Q100" i="16"/>
  <c r="P100" i="16"/>
  <c r="N100" i="16"/>
  <c r="M100" i="16"/>
  <c r="K100" i="16"/>
  <c r="J100" i="16"/>
  <c r="D100" i="16"/>
  <c r="C100" i="16"/>
  <c r="V99" i="16"/>
  <c r="U99" i="16"/>
  <c r="Q99" i="16"/>
  <c r="P99" i="16"/>
  <c r="N99" i="16"/>
  <c r="J99" i="16"/>
  <c r="D99" i="16"/>
  <c r="M99" i="16" s="1"/>
  <c r="V98" i="16"/>
  <c r="U98" i="16"/>
  <c r="Q98" i="16"/>
  <c r="P98" i="16"/>
  <c r="N98" i="16"/>
  <c r="J98" i="16"/>
  <c r="D98" i="16"/>
  <c r="C98" i="16" s="1"/>
  <c r="K98" i="16" s="1"/>
  <c r="V97" i="16"/>
  <c r="U97" i="16"/>
  <c r="Q97" i="16"/>
  <c r="P97" i="16"/>
  <c r="N97" i="16"/>
  <c r="M97" i="16"/>
  <c r="K97" i="16"/>
  <c r="J97" i="16"/>
  <c r="D97" i="16"/>
  <c r="C97" i="16"/>
  <c r="V96" i="16"/>
  <c r="U96" i="16"/>
  <c r="Q96" i="16"/>
  <c r="P96" i="16"/>
  <c r="N96" i="16"/>
  <c r="J96" i="16"/>
  <c r="D96" i="16"/>
  <c r="M96" i="16" s="1"/>
  <c r="V95" i="16"/>
  <c r="U95" i="16"/>
  <c r="Q95" i="16"/>
  <c r="P95" i="16"/>
  <c r="N95" i="16"/>
  <c r="J95" i="16"/>
  <c r="D95" i="16"/>
  <c r="C95" i="16" s="1"/>
  <c r="K95" i="16" s="1"/>
  <c r="V94" i="16"/>
  <c r="U94" i="16"/>
  <c r="Q94" i="16"/>
  <c r="P94" i="16"/>
  <c r="N94" i="16"/>
  <c r="M94" i="16"/>
  <c r="K94" i="16"/>
  <c r="J94" i="16"/>
  <c r="D94" i="16"/>
  <c r="C94" i="16"/>
  <c r="V93" i="16"/>
  <c r="U93" i="16"/>
  <c r="Q93" i="16"/>
  <c r="P93" i="16"/>
  <c r="N93" i="16"/>
  <c r="J93" i="16"/>
  <c r="D93" i="16"/>
  <c r="M93" i="16" s="1"/>
  <c r="V92" i="16"/>
  <c r="U92" i="16"/>
  <c r="Q92" i="16"/>
  <c r="P92" i="16"/>
  <c r="N92" i="16"/>
  <c r="J92" i="16"/>
  <c r="D92" i="16"/>
  <c r="C92" i="16" s="1"/>
  <c r="K92" i="16" s="1"/>
  <c r="V91" i="16"/>
  <c r="U91" i="16"/>
  <c r="Q91" i="16"/>
  <c r="P91" i="16"/>
  <c r="N91" i="16"/>
  <c r="M91" i="16"/>
  <c r="K91" i="16"/>
  <c r="J91" i="16"/>
  <c r="D91" i="16"/>
  <c r="C91" i="16"/>
  <c r="V90" i="16"/>
  <c r="U90" i="16"/>
  <c r="Q90" i="16"/>
  <c r="Q89" i="16" s="1"/>
  <c r="P90" i="16"/>
  <c r="P89" i="16" s="1"/>
  <c r="N90" i="16"/>
  <c r="J90" i="16"/>
  <c r="J89" i="16" s="1"/>
  <c r="D90" i="16"/>
  <c r="M90" i="16" s="1"/>
  <c r="T89" i="16"/>
  <c r="S89" i="16"/>
  <c r="V89" i="16" s="1"/>
  <c r="R89" i="16"/>
  <c r="U89" i="16" s="1"/>
  <c r="O89" i="16"/>
  <c r="N89" i="16"/>
  <c r="L89" i="16"/>
  <c r="I89" i="16"/>
  <c r="H89" i="16"/>
  <c r="G89" i="16"/>
  <c r="F89" i="16"/>
  <c r="E89" i="16"/>
  <c r="AW88" i="16"/>
  <c r="AV88" i="16"/>
  <c r="AU88" i="16"/>
  <c r="AT88" i="16"/>
  <c r="AS88" i="16"/>
  <c r="AQ88" i="16"/>
  <c r="AP88" i="16"/>
  <c r="AR88" i="16" s="1"/>
  <c r="AO88" i="16"/>
  <c r="AN88" i="16"/>
  <c r="AL88" i="16"/>
  <c r="AJ88" i="16"/>
  <c r="AH88" i="16"/>
  <c r="AF88" i="16"/>
  <c r="AD88" i="16"/>
  <c r="AC88" i="16"/>
  <c r="AA88" i="16"/>
  <c r="Z88" i="16"/>
  <c r="X88" i="16"/>
  <c r="W88" i="16"/>
  <c r="AK88" i="16" s="1"/>
  <c r="T88" i="16"/>
  <c r="S88" i="16"/>
  <c r="V88" i="16" s="1"/>
  <c r="R88" i="16"/>
  <c r="Q88" i="16"/>
  <c r="P88" i="16"/>
  <c r="N88" i="16"/>
  <c r="J88" i="16"/>
  <c r="D88" i="16"/>
  <c r="M88" i="16" s="1"/>
  <c r="AW87" i="16"/>
  <c r="AV87" i="16"/>
  <c r="AU87" i="16"/>
  <c r="AT87" i="16"/>
  <c r="AS87" i="16"/>
  <c r="AQ87" i="16"/>
  <c r="AP87" i="16"/>
  <c r="AR87" i="16" s="1"/>
  <c r="AO87" i="16"/>
  <c r="AN87" i="16"/>
  <c r="AL87" i="16"/>
  <c r="AJ87" i="16"/>
  <c r="AH87" i="16"/>
  <c r="AF87" i="16"/>
  <c r="AD87" i="16"/>
  <c r="AC87" i="16"/>
  <c r="AA87" i="16"/>
  <c r="Z87" i="16"/>
  <c r="X87" i="16"/>
  <c r="W87" i="16"/>
  <c r="T87" i="16"/>
  <c r="S87" i="16"/>
  <c r="V87" i="16" s="1"/>
  <c r="R87" i="16"/>
  <c r="Q87" i="16"/>
  <c r="P87" i="16"/>
  <c r="N87" i="16"/>
  <c r="J87" i="16"/>
  <c r="D87" i="16"/>
  <c r="C87" i="16" s="1"/>
  <c r="K87" i="16" s="1"/>
  <c r="AW86" i="16"/>
  <c r="AV86" i="16"/>
  <c r="AU86" i="16"/>
  <c r="AT86" i="16"/>
  <c r="AS86" i="16"/>
  <c r="AQ86" i="16"/>
  <c r="AP86" i="16"/>
  <c r="AR86" i="16" s="1"/>
  <c r="AO86" i="16"/>
  <c r="AN86" i="16"/>
  <c r="AL86" i="16"/>
  <c r="AJ86" i="16"/>
  <c r="AH86" i="16"/>
  <c r="AF86" i="16"/>
  <c r="AD86" i="16"/>
  <c r="AC86" i="16"/>
  <c r="AE86" i="16" s="1"/>
  <c r="AA86" i="16"/>
  <c r="Z86" i="16"/>
  <c r="AB86" i="16" s="1"/>
  <c r="X86" i="16"/>
  <c r="W86" i="16"/>
  <c r="T86" i="16"/>
  <c r="S86" i="16"/>
  <c r="V86" i="16" s="1"/>
  <c r="R86" i="16"/>
  <c r="Q86" i="16"/>
  <c r="P86" i="16"/>
  <c r="N86" i="16"/>
  <c r="M86" i="16"/>
  <c r="K86" i="16"/>
  <c r="J86" i="16"/>
  <c r="D86" i="16"/>
  <c r="C86" i="16"/>
  <c r="AW85" i="16"/>
  <c r="AV85" i="16"/>
  <c r="AU85" i="16"/>
  <c r="AT85" i="16"/>
  <c r="AS85" i="16"/>
  <c r="AQ85" i="16"/>
  <c r="AP85" i="16"/>
  <c r="AR85" i="16" s="1"/>
  <c r="AO85" i="16"/>
  <c r="AN85" i="16"/>
  <c r="AL85" i="16"/>
  <c r="AJ85" i="16"/>
  <c r="AH85" i="16"/>
  <c r="AF85" i="16"/>
  <c r="AD85" i="16"/>
  <c r="AC85" i="16"/>
  <c r="AA85" i="16"/>
  <c r="Z85" i="16"/>
  <c r="X85" i="16"/>
  <c r="W85" i="16"/>
  <c r="AK85" i="16" s="1"/>
  <c r="T85" i="16"/>
  <c r="S85" i="16"/>
  <c r="V85" i="16" s="1"/>
  <c r="R85" i="16"/>
  <c r="Q85" i="16"/>
  <c r="P85" i="16"/>
  <c r="N85" i="16"/>
  <c r="J85" i="16"/>
  <c r="D85" i="16"/>
  <c r="M85" i="16" s="1"/>
  <c r="AW84" i="16"/>
  <c r="AV84" i="16"/>
  <c r="AU84" i="16"/>
  <c r="AT84" i="16"/>
  <c r="AS84" i="16"/>
  <c r="AQ84" i="16"/>
  <c r="AP84" i="16"/>
  <c r="AR84" i="16" s="1"/>
  <c r="AO84" i="16"/>
  <c r="AN84" i="16"/>
  <c r="AL84" i="16"/>
  <c r="AJ84" i="16"/>
  <c r="AH84" i="16"/>
  <c r="AF84" i="16"/>
  <c r="AD84" i="16"/>
  <c r="AC84" i="16"/>
  <c r="AE84" i="16" s="1"/>
  <c r="AA84" i="16"/>
  <c r="Z84" i="16"/>
  <c r="AB84" i="16" s="1"/>
  <c r="X84" i="16"/>
  <c r="W84" i="16"/>
  <c r="T84" i="16"/>
  <c r="S84" i="16"/>
  <c r="V84" i="16" s="1"/>
  <c r="R84" i="16"/>
  <c r="Q84" i="16"/>
  <c r="P84" i="16"/>
  <c r="N84" i="16"/>
  <c r="J84" i="16"/>
  <c r="D84" i="16"/>
  <c r="C84" i="16" s="1"/>
  <c r="K84" i="16" s="1"/>
  <c r="AW83" i="16"/>
  <c r="AV83" i="16"/>
  <c r="AU83" i="16"/>
  <c r="AT83" i="16"/>
  <c r="AS83" i="16"/>
  <c r="AQ83" i="16"/>
  <c r="AP83" i="16"/>
  <c r="AR83" i="16" s="1"/>
  <c r="AO83" i="16"/>
  <c r="AN83" i="16"/>
  <c r="AL83" i="16"/>
  <c r="AJ83" i="16"/>
  <c r="AH83" i="16"/>
  <c r="AF83" i="16"/>
  <c r="AD83" i="16"/>
  <c r="AC83" i="16"/>
  <c r="AA83" i="16"/>
  <c r="Z83" i="16"/>
  <c r="X83" i="16"/>
  <c r="W83" i="16"/>
  <c r="AI83" i="16" s="1"/>
  <c r="T83" i="16"/>
  <c r="S83" i="16"/>
  <c r="V83" i="16" s="1"/>
  <c r="R83" i="16"/>
  <c r="Q83" i="16"/>
  <c r="P83" i="16"/>
  <c r="N83" i="16"/>
  <c r="M83" i="16"/>
  <c r="K83" i="16"/>
  <c r="J83" i="16"/>
  <c r="D83" i="16"/>
  <c r="C83" i="16"/>
  <c r="AW82" i="16"/>
  <c r="AV82" i="16"/>
  <c r="AU82" i="16"/>
  <c r="AT82" i="16"/>
  <c r="AS82" i="16"/>
  <c r="AQ82" i="16"/>
  <c r="AP82" i="16"/>
  <c r="AR82" i="16" s="1"/>
  <c r="AO82" i="16"/>
  <c r="AN82" i="16"/>
  <c r="AL82" i="16"/>
  <c r="AJ82" i="16"/>
  <c r="AH82" i="16"/>
  <c r="AF82" i="16"/>
  <c r="AD82" i="16"/>
  <c r="AC82" i="16"/>
  <c r="AE82" i="16" s="1"/>
  <c r="AA82" i="16"/>
  <c r="Z82" i="16"/>
  <c r="AB82" i="16" s="1"/>
  <c r="X82" i="16"/>
  <c r="W82" i="16"/>
  <c r="T82" i="16"/>
  <c r="S82" i="16"/>
  <c r="V82" i="16" s="1"/>
  <c r="R82" i="16"/>
  <c r="Q82" i="16"/>
  <c r="P82" i="16"/>
  <c r="N82" i="16"/>
  <c r="J82" i="16"/>
  <c r="D82" i="16"/>
  <c r="M82" i="16" s="1"/>
  <c r="AW81" i="16"/>
  <c r="AV81" i="16"/>
  <c r="AU81" i="16"/>
  <c r="AT81" i="16"/>
  <c r="AS81" i="16"/>
  <c r="AQ81" i="16"/>
  <c r="AP81" i="16"/>
  <c r="AR81" i="16" s="1"/>
  <c r="AO81" i="16"/>
  <c r="AN81" i="16"/>
  <c r="AL81" i="16"/>
  <c r="AJ81" i="16"/>
  <c r="AH81" i="16"/>
  <c r="AF81" i="16"/>
  <c r="AD81" i="16"/>
  <c r="AC81" i="16"/>
  <c r="AA81" i="16"/>
  <c r="Z81" i="16"/>
  <c r="X81" i="16"/>
  <c r="W81" i="16"/>
  <c r="T81" i="16"/>
  <c r="S81" i="16"/>
  <c r="V81" i="16" s="1"/>
  <c r="R81" i="16"/>
  <c r="Q81" i="16"/>
  <c r="P81" i="16"/>
  <c r="N81" i="16"/>
  <c r="J81" i="16"/>
  <c r="D81" i="16"/>
  <c r="C81" i="16" s="1"/>
  <c r="K81" i="16" s="1"/>
  <c r="AW80" i="16"/>
  <c r="AV80" i="16"/>
  <c r="AU80" i="16"/>
  <c r="AT80" i="16"/>
  <c r="AS80" i="16"/>
  <c r="AQ80" i="16"/>
  <c r="AP80" i="16"/>
  <c r="AR80" i="16" s="1"/>
  <c r="AO80" i="16"/>
  <c r="AN80" i="16"/>
  <c r="AL80" i="16"/>
  <c r="AJ80" i="16"/>
  <c r="AH80" i="16"/>
  <c r="AF80" i="16"/>
  <c r="AD80" i="16"/>
  <c r="AC80" i="16"/>
  <c r="AE80" i="16" s="1"/>
  <c r="AA80" i="16"/>
  <c r="Z80" i="16"/>
  <c r="AB80" i="16" s="1"/>
  <c r="X80" i="16"/>
  <c r="W80" i="16"/>
  <c r="T80" i="16"/>
  <c r="S80" i="16"/>
  <c r="V80" i="16" s="1"/>
  <c r="R80" i="16"/>
  <c r="Q80" i="16"/>
  <c r="P80" i="16"/>
  <c r="N80" i="16"/>
  <c r="M80" i="16"/>
  <c r="K80" i="16"/>
  <c r="J80" i="16"/>
  <c r="D80" i="16"/>
  <c r="C80" i="16"/>
  <c r="AW79" i="16"/>
  <c r="AV79" i="16"/>
  <c r="AU79" i="16"/>
  <c r="AT79" i="16"/>
  <c r="AS79" i="16"/>
  <c r="AQ79" i="16"/>
  <c r="AP79" i="16"/>
  <c r="AR79" i="16" s="1"/>
  <c r="AO79" i="16"/>
  <c r="AN79" i="16"/>
  <c r="AL79" i="16"/>
  <c r="AJ79" i="16"/>
  <c r="AH79" i="16"/>
  <c r="AF79" i="16"/>
  <c r="AD79" i="16"/>
  <c r="AC79" i="16"/>
  <c r="AE79" i="16" s="1"/>
  <c r="AA79" i="16"/>
  <c r="Z79" i="16"/>
  <c r="AB79" i="16" s="1"/>
  <c r="X79" i="16"/>
  <c r="W79" i="16"/>
  <c r="T79" i="16"/>
  <c r="S79" i="16"/>
  <c r="V79" i="16" s="1"/>
  <c r="R79" i="16"/>
  <c r="Q79" i="16"/>
  <c r="P79" i="16"/>
  <c r="N79" i="16"/>
  <c r="J79" i="16"/>
  <c r="D79" i="16"/>
  <c r="M79" i="16" s="1"/>
  <c r="AW78" i="16"/>
  <c r="AV78" i="16"/>
  <c r="AU78" i="16"/>
  <c r="AT78" i="16"/>
  <c r="AS78" i="16"/>
  <c r="AQ78" i="16"/>
  <c r="AP78" i="16"/>
  <c r="AR78" i="16" s="1"/>
  <c r="AO78" i="16"/>
  <c r="AN78" i="16"/>
  <c r="AL78" i="16"/>
  <c r="AJ78" i="16"/>
  <c r="AH78" i="16"/>
  <c r="AF78" i="16"/>
  <c r="AD78" i="16"/>
  <c r="AC78" i="16"/>
  <c r="AA78" i="16"/>
  <c r="Z78" i="16"/>
  <c r="X78" i="16"/>
  <c r="W78" i="16"/>
  <c r="T78" i="16"/>
  <c r="S78" i="16"/>
  <c r="V78" i="16" s="1"/>
  <c r="R78" i="16"/>
  <c r="Q78" i="16"/>
  <c r="P78" i="16"/>
  <c r="N78" i="16"/>
  <c r="J78" i="16"/>
  <c r="D78" i="16"/>
  <c r="C78" i="16" s="1"/>
  <c r="K78" i="16" s="1"/>
  <c r="AW77" i="16"/>
  <c r="AV77" i="16"/>
  <c r="AU77" i="16"/>
  <c r="AT77" i="16"/>
  <c r="AS77" i="16"/>
  <c r="AQ77" i="16"/>
  <c r="AP77" i="16"/>
  <c r="AR77" i="16" s="1"/>
  <c r="AO77" i="16"/>
  <c r="AN77" i="16"/>
  <c r="AL77" i="16"/>
  <c r="AJ77" i="16"/>
  <c r="AH77" i="16"/>
  <c r="AF77" i="16"/>
  <c r="AD77" i="16"/>
  <c r="AC77" i="16"/>
  <c r="AA77" i="16"/>
  <c r="Z77" i="16"/>
  <c r="X77" i="16"/>
  <c r="W77" i="16"/>
  <c r="T77" i="16"/>
  <c r="S77" i="16"/>
  <c r="V77" i="16" s="1"/>
  <c r="R77" i="16"/>
  <c r="Q77" i="16"/>
  <c r="P77" i="16"/>
  <c r="N77" i="16"/>
  <c r="M77" i="16"/>
  <c r="K77" i="16"/>
  <c r="J77" i="16"/>
  <c r="D77" i="16"/>
  <c r="C77" i="16"/>
  <c r="AW76" i="16"/>
  <c r="AV76" i="16"/>
  <c r="AU76" i="16"/>
  <c r="AT76" i="16"/>
  <c r="AS76" i="16"/>
  <c r="AQ76" i="16"/>
  <c r="AP76" i="16"/>
  <c r="AR76" i="16" s="1"/>
  <c r="AO76" i="16"/>
  <c r="AN76" i="16"/>
  <c r="AL76" i="16"/>
  <c r="AJ76" i="16"/>
  <c r="AH76" i="16"/>
  <c r="AF76" i="16"/>
  <c r="AD76" i="16"/>
  <c r="AC76" i="16"/>
  <c r="AA76" i="16"/>
  <c r="Z76" i="16"/>
  <c r="X76" i="16"/>
  <c r="W76" i="16"/>
  <c r="T76" i="16"/>
  <c r="S76" i="16"/>
  <c r="V76" i="16" s="1"/>
  <c r="R76" i="16"/>
  <c r="Q76" i="16"/>
  <c r="P76" i="16"/>
  <c r="N76" i="16"/>
  <c r="J76" i="16"/>
  <c r="D76" i="16"/>
  <c r="M76" i="16" s="1"/>
  <c r="AW75" i="16"/>
  <c r="AV75" i="16"/>
  <c r="AU75" i="16"/>
  <c r="AT75" i="16"/>
  <c r="AS75" i="16"/>
  <c r="AQ75" i="16"/>
  <c r="AP75" i="16"/>
  <c r="AR75" i="16" s="1"/>
  <c r="AO75" i="16"/>
  <c r="AN75" i="16"/>
  <c r="AL75" i="16"/>
  <c r="AJ75" i="16"/>
  <c r="AH75" i="16"/>
  <c r="AF75" i="16"/>
  <c r="AD75" i="16"/>
  <c r="AC75" i="16"/>
  <c r="AA75" i="16"/>
  <c r="Z75" i="16"/>
  <c r="X75" i="16"/>
  <c r="W75" i="16"/>
  <c r="AI75" i="16" s="1"/>
  <c r="T75" i="16"/>
  <c r="S75" i="16"/>
  <c r="V75" i="16" s="1"/>
  <c r="R75" i="16"/>
  <c r="Q75" i="16"/>
  <c r="P75" i="16"/>
  <c r="N75" i="16"/>
  <c r="J75" i="16"/>
  <c r="D75" i="16"/>
  <c r="D74" i="16" s="1"/>
  <c r="O74" i="16"/>
  <c r="J74" i="16" s="1"/>
  <c r="L74" i="16"/>
  <c r="I74" i="16"/>
  <c r="Q74" i="16" s="1"/>
  <c r="H74" i="16"/>
  <c r="N74" i="16" s="1"/>
  <c r="G74" i="16"/>
  <c r="P74" i="16" s="1"/>
  <c r="F74" i="16"/>
  <c r="E74" i="16"/>
  <c r="AW73" i="16"/>
  <c r="AV73" i="16"/>
  <c r="AU73" i="16"/>
  <c r="AT73" i="16"/>
  <c r="AS73" i="16"/>
  <c r="AQ73" i="16"/>
  <c r="AP73" i="16"/>
  <c r="AR73" i="16" s="1"/>
  <c r="AO73" i="16"/>
  <c r="AN73" i="16"/>
  <c r="AL73" i="16"/>
  <c r="AJ73" i="16"/>
  <c r="AH73" i="16"/>
  <c r="AF73" i="16"/>
  <c r="AD73" i="16"/>
  <c r="AC73" i="16"/>
  <c r="AE73" i="16" s="1"/>
  <c r="AA73" i="16"/>
  <c r="Z73" i="16"/>
  <c r="AB73" i="16" s="1"/>
  <c r="X73" i="16"/>
  <c r="W73" i="16"/>
  <c r="T73" i="16"/>
  <c r="S73" i="16"/>
  <c r="V73" i="16" s="1"/>
  <c r="R73" i="16"/>
  <c r="Q73" i="16"/>
  <c r="P73" i="16"/>
  <c r="N73" i="16"/>
  <c r="M73" i="16"/>
  <c r="J73" i="16"/>
  <c r="D73" i="16"/>
  <c r="C73" i="16" s="1"/>
  <c r="K73" i="16" s="1"/>
  <c r="AW72" i="16"/>
  <c r="AV72" i="16"/>
  <c r="AU72" i="16"/>
  <c r="AT72" i="16"/>
  <c r="AS72" i="16"/>
  <c r="AQ72" i="16"/>
  <c r="AP72" i="16"/>
  <c r="AR72" i="16" s="1"/>
  <c r="AO72" i="16"/>
  <c r="AN72" i="16"/>
  <c r="AL72" i="16"/>
  <c r="AJ72" i="16"/>
  <c r="AH72" i="16"/>
  <c r="AF72" i="16"/>
  <c r="AD72" i="16"/>
  <c r="AC72" i="16"/>
  <c r="AE72" i="16" s="1"/>
  <c r="AA72" i="16"/>
  <c r="Z72" i="16"/>
  <c r="AB72" i="16" s="1"/>
  <c r="X72" i="16"/>
  <c r="W72" i="16"/>
  <c r="T72" i="16"/>
  <c r="S72" i="16"/>
  <c r="V72" i="16" s="1"/>
  <c r="R72" i="16"/>
  <c r="Q72" i="16"/>
  <c r="P72" i="16"/>
  <c r="N72" i="16"/>
  <c r="J72" i="16"/>
  <c r="D72" i="16"/>
  <c r="M72" i="16" s="1"/>
  <c r="C72" i="16"/>
  <c r="K72" i="16" s="1"/>
  <c r="AW71" i="16"/>
  <c r="AV71" i="16"/>
  <c r="AU71" i="16"/>
  <c r="AT71" i="16"/>
  <c r="AS71" i="16"/>
  <c r="AQ71" i="16"/>
  <c r="AP71" i="16"/>
  <c r="AR71" i="16" s="1"/>
  <c r="AO71" i="16"/>
  <c r="AN71" i="16"/>
  <c r="AL71" i="16"/>
  <c r="AJ71" i="16"/>
  <c r="AH71" i="16"/>
  <c r="AF71" i="16"/>
  <c r="AD71" i="16"/>
  <c r="AC71" i="16"/>
  <c r="AE71" i="16" s="1"/>
  <c r="AA71" i="16"/>
  <c r="Z71" i="16"/>
  <c r="AB71" i="16" s="1"/>
  <c r="X71" i="16"/>
  <c r="W71" i="16"/>
  <c r="T71" i="16"/>
  <c r="S71" i="16"/>
  <c r="V71" i="16" s="1"/>
  <c r="R71" i="16"/>
  <c r="Q71" i="16"/>
  <c r="P71" i="16"/>
  <c r="N71" i="16"/>
  <c r="M71" i="16"/>
  <c r="J71" i="16"/>
  <c r="D71" i="16"/>
  <c r="C71" i="16"/>
  <c r="K71" i="16" s="1"/>
  <c r="AW70" i="16"/>
  <c r="AV70" i="16"/>
  <c r="AU70" i="16"/>
  <c r="AT70" i="16"/>
  <c r="AS70" i="16"/>
  <c r="AQ70" i="16"/>
  <c r="AP70" i="16"/>
  <c r="AR70" i="16" s="1"/>
  <c r="AO70" i="16"/>
  <c r="AN70" i="16"/>
  <c r="AL70" i="16"/>
  <c r="AJ70" i="16"/>
  <c r="AH70" i="16"/>
  <c r="AF70" i="16"/>
  <c r="AD70" i="16"/>
  <c r="AC70" i="16"/>
  <c r="AE70" i="16" s="1"/>
  <c r="AA70" i="16"/>
  <c r="Z70" i="16"/>
  <c r="AB70" i="16" s="1"/>
  <c r="X70" i="16"/>
  <c r="W70" i="16"/>
  <c r="T70" i="16"/>
  <c r="S70" i="16"/>
  <c r="V70" i="16" s="1"/>
  <c r="R70" i="16"/>
  <c r="Q70" i="16"/>
  <c r="P70" i="16"/>
  <c r="N70" i="16"/>
  <c r="M70" i="16"/>
  <c r="J70" i="16"/>
  <c r="D70" i="16"/>
  <c r="C70" i="16" s="1"/>
  <c r="K70" i="16" s="1"/>
  <c r="AW69" i="16"/>
  <c r="AV69" i="16"/>
  <c r="AU69" i="16"/>
  <c r="AT69" i="16"/>
  <c r="AS69" i="16"/>
  <c r="AQ69" i="16"/>
  <c r="AP69" i="16"/>
  <c r="AR69" i="16" s="1"/>
  <c r="AO69" i="16"/>
  <c r="AN69" i="16"/>
  <c r="AL69" i="16"/>
  <c r="AJ69" i="16"/>
  <c r="AH69" i="16"/>
  <c r="AF69" i="16"/>
  <c r="AD69" i="16"/>
  <c r="AC69" i="16"/>
  <c r="AE69" i="16" s="1"/>
  <c r="AA69" i="16"/>
  <c r="Z69" i="16"/>
  <c r="AB69" i="16" s="1"/>
  <c r="X69" i="16"/>
  <c r="W69" i="16"/>
  <c r="T69" i="16"/>
  <c r="S69" i="16"/>
  <c r="V69" i="16" s="1"/>
  <c r="R69" i="16"/>
  <c r="Q69" i="16"/>
  <c r="P69" i="16"/>
  <c r="N69" i="16"/>
  <c r="J69" i="16"/>
  <c r="D69" i="16"/>
  <c r="M69" i="16" s="1"/>
  <c r="C69" i="16"/>
  <c r="K69" i="16" s="1"/>
  <c r="AW68" i="16"/>
  <c r="AV68" i="16"/>
  <c r="AU68" i="16"/>
  <c r="AT68" i="16"/>
  <c r="AS68" i="16"/>
  <c r="AQ68" i="16"/>
  <c r="AP68" i="16"/>
  <c r="AR68" i="16" s="1"/>
  <c r="AO68" i="16"/>
  <c r="AN68" i="16"/>
  <c r="AL68" i="16"/>
  <c r="AJ68" i="16"/>
  <c r="AH68" i="16"/>
  <c r="AF68" i="16"/>
  <c r="AD68" i="16"/>
  <c r="AC68" i="16"/>
  <c r="AE68" i="16" s="1"/>
  <c r="AA68" i="16"/>
  <c r="Z68" i="16"/>
  <c r="AB68" i="16" s="1"/>
  <c r="X68" i="16"/>
  <c r="W68" i="16"/>
  <c r="T68" i="16"/>
  <c r="S68" i="16"/>
  <c r="V68" i="16" s="1"/>
  <c r="R68" i="16"/>
  <c r="Q68" i="16"/>
  <c r="P68" i="16"/>
  <c r="N68" i="16"/>
  <c r="M68" i="16"/>
  <c r="J68" i="16"/>
  <c r="D68" i="16"/>
  <c r="C68" i="16"/>
  <c r="K68" i="16" s="1"/>
  <c r="AW67" i="16"/>
  <c r="AV67" i="16"/>
  <c r="AU67" i="16"/>
  <c r="AT67" i="16"/>
  <c r="AS67" i="16"/>
  <c r="AQ67" i="16"/>
  <c r="AP67" i="16"/>
  <c r="AR67" i="16" s="1"/>
  <c r="AO67" i="16"/>
  <c r="AN67" i="16"/>
  <c r="AL67" i="16"/>
  <c r="AJ67" i="16"/>
  <c r="AH67" i="16"/>
  <c r="AF67" i="16"/>
  <c r="AD67" i="16"/>
  <c r="AC67" i="16"/>
  <c r="AA67" i="16"/>
  <c r="Z67" i="16"/>
  <c r="X67" i="16"/>
  <c r="W67" i="16"/>
  <c r="T67" i="16"/>
  <c r="S67" i="16"/>
  <c r="V67" i="16" s="1"/>
  <c r="R67" i="16"/>
  <c r="Q67" i="16"/>
  <c r="P67" i="16"/>
  <c r="N67" i="16"/>
  <c r="M67" i="16"/>
  <c r="J67" i="16"/>
  <c r="D67" i="16"/>
  <c r="C67" i="16" s="1"/>
  <c r="K67" i="16" s="1"/>
  <c r="AW66" i="16"/>
  <c r="AV66" i="16"/>
  <c r="AU66" i="16"/>
  <c r="AT66" i="16"/>
  <c r="AS66" i="16"/>
  <c r="AQ66" i="16"/>
  <c r="AP66" i="16"/>
  <c r="AR66" i="16" s="1"/>
  <c r="AO66" i="16"/>
  <c r="AN66" i="16"/>
  <c r="AL66" i="16"/>
  <c r="AJ66" i="16"/>
  <c r="AH66" i="16"/>
  <c r="AF66" i="16"/>
  <c r="AD66" i="16"/>
  <c r="AC66" i="16"/>
  <c r="AA66" i="16"/>
  <c r="Z66" i="16"/>
  <c r="X66" i="16"/>
  <c r="W66" i="16"/>
  <c r="T66" i="16"/>
  <c r="S66" i="16"/>
  <c r="V66" i="16" s="1"/>
  <c r="R66" i="16"/>
  <c r="Q66" i="16"/>
  <c r="P66" i="16"/>
  <c r="N66" i="16"/>
  <c r="J66" i="16"/>
  <c r="D66" i="16"/>
  <c r="M66" i="16" s="1"/>
  <c r="C66" i="16"/>
  <c r="K66" i="16" s="1"/>
  <c r="AW65" i="16"/>
  <c r="AV65" i="16"/>
  <c r="AU65" i="16"/>
  <c r="AT65" i="16"/>
  <c r="AS65" i="16"/>
  <c r="AQ65" i="16"/>
  <c r="AP65" i="16"/>
  <c r="AR65" i="16" s="1"/>
  <c r="AO65" i="16"/>
  <c r="AN65" i="16"/>
  <c r="AL65" i="16"/>
  <c r="AJ65" i="16"/>
  <c r="AH65" i="16"/>
  <c r="AF65" i="16"/>
  <c r="AD65" i="16"/>
  <c r="AC65" i="16"/>
  <c r="AE65" i="16" s="1"/>
  <c r="AA65" i="16"/>
  <c r="Z65" i="16"/>
  <c r="AB65" i="16" s="1"/>
  <c r="X65" i="16"/>
  <c r="W65" i="16"/>
  <c r="T65" i="16"/>
  <c r="S65" i="16"/>
  <c r="V65" i="16" s="1"/>
  <c r="R65" i="16"/>
  <c r="Q65" i="16"/>
  <c r="P65" i="16"/>
  <c r="N65" i="16"/>
  <c r="M65" i="16"/>
  <c r="J65" i="16"/>
  <c r="D65" i="16"/>
  <c r="C65" i="16"/>
  <c r="K65" i="16" s="1"/>
  <c r="AW64" i="16"/>
  <c r="AV64" i="16"/>
  <c r="AU64" i="16"/>
  <c r="AT64" i="16"/>
  <c r="AS64" i="16"/>
  <c r="AQ64" i="16"/>
  <c r="AP64" i="16"/>
  <c r="AR64" i="16" s="1"/>
  <c r="AO64" i="16"/>
  <c r="AN64" i="16"/>
  <c r="AL64" i="16"/>
  <c r="AJ64" i="16"/>
  <c r="AH64" i="16"/>
  <c r="AF64" i="16"/>
  <c r="AD64" i="16"/>
  <c r="AC64" i="16"/>
  <c r="AE64" i="16" s="1"/>
  <c r="AA64" i="16"/>
  <c r="Z64" i="16"/>
  <c r="AB64" i="16" s="1"/>
  <c r="X64" i="16"/>
  <c r="W64" i="16"/>
  <c r="T64" i="16"/>
  <c r="S64" i="16"/>
  <c r="V64" i="16" s="1"/>
  <c r="R64" i="16"/>
  <c r="Q64" i="16"/>
  <c r="P64" i="16"/>
  <c r="N64" i="16"/>
  <c r="J64" i="16"/>
  <c r="D64" i="16"/>
  <c r="C64" i="16" s="1"/>
  <c r="K64" i="16" s="1"/>
  <c r="AW63" i="16"/>
  <c r="AV63" i="16"/>
  <c r="AU63" i="16"/>
  <c r="AT63" i="16"/>
  <c r="AS63" i="16"/>
  <c r="AQ63" i="16"/>
  <c r="AP63" i="16"/>
  <c r="AR63" i="16" s="1"/>
  <c r="AO63" i="16"/>
  <c r="AN63" i="16"/>
  <c r="AL63" i="16"/>
  <c r="AJ63" i="16"/>
  <c r="AH63" i="16"/>
  <c r="AF63" i="16"/>
  <c r="AD63" i="16"/>
  <c r="AC63" i="16"/>
  <c r="AE63" i="16" s="1"/>
  <c r="AA63" i="16"/>
  <c r="Z63" i="16"/>
  <c r="AB63" i="16" s="1"/>
  <c r="X63" i="16"/>
  <c r="W63" i="16"/>
  <c r="AG63" i="16" s="1"/>
  <c r="T63" i="16"/>
  <c r="S63" i="16"/>
  <c r="V63" i="16" s="1"/>
  <c r="R63" i="16"/>
  <c r="Q63" i="16"/>
  <c r="P63" i="16"/>
  <c r="N63" i="16"/>
  <c r="J63" i="16"/>
  <c r="D63" i="16"/>
  <c r="M63" i="16" s="1"/>
  <c r="AW62" i="16"/>
  <c r="AV62" i="16"/>
  <c r="AU62" i="16"/>
  <c r="AT62" i="16"/>
  <c r="AS62" i="16"/>
  <c r="AQ62" i="16"/>
  <c r="AP62" i="16"/>
  <c r="AR62" i="16" s="1"/>
  <c r="AO62" i="16"/>
  <c r="AN62" i="16"/>
  <c r="AL62" i="16"/>
  <c r="AJ62" i="16"/>
  <c r="AH62" i="16"/>
  <c r="AF62" i="16"/>
  <c r="AD62" i="16"/>
  <c r="AC62" i="16"/>
  <c r="AA62" i="16"/>
  <c r="Z62" i="16"/>
  <c r="X62" i="16"/>
  <c r="W62" i="16"/>
  <c r="T62" i="16"/>
  <c r="S62" i="16"/>
  <c r="V62" i="16" s="1"/>
  <c r="R62" i="16"/>
  <c r="Q62" i="16"/>
  <c r="P62" i="16"/>
  <c r="N62" i="16"/>
  <c r="M62" i="16"/>
  <c r="J62" i="16"/>
  <c r="D62" i="16"/>
  <c r="C62" i="16"/>
  <c r="K62" i="16" s="1"/>
  <c r="AW61" i="16"/>
  <c r="AV61" i="16"/>
  <c r="AU61" i="16"/>
  <c r="AT61" i="16"/>
  <c r="AS61" i="16"/>
  <c r="AQ61" i="16"/>
  <c r="AP61" i="16"/>
  <c r="AR61" i="16" s="1"/>
  <c r="AO61" i="16"/>
  <c r="AN61" i="16"/>
  <c r="AL61" i="16"/>
  <c r="AJ61" i="16"/>
  <c r="AH61" i="16"/>
  <c r="AF61" i="16"/>
  <c r="AD61" i="16"/>
  <c r="AC61" i="16"/>
  <c r="AA61" i="16"/>
  <c r="Z61" i="16"/>
  <c r="X61" i="16"/>
  <c r="W61" i="16"/>
  <c r="T61" i="16"/>
  <c r="S61" i="16"/>
  <c r="V61" i="16" s="1"/>
  <c r="R61" i="16"/>
  <c r="Q61" i="16"/>
  <c r="P61" i="16"/>
  <c r="N61" i="16"/>
  <c r="M61" i="16"/>
  <c r="J61" i="16"/>
  <c r="D61" i="16"/>
  <c r="C61" i="16" s="1"/>
  <c r="K61" i="16" s="1"/>
  <c r="AW60" i="16"/>
  <c r="AV60" i="16"/>
  <c r="AU60" i="16"/>
  <c r="AT60" i="16"/>
  <c r="AS60" i="16"/>
  <c r="AQ60" i="16"/>
  <c r="AP60" i="16"/>
  <c r="AR60" i="16" s="1"/>
  <c r="AO60" i="16"/>
  <c r="AN60" i="16"/>
  <c r="AL60" i="16"/>
  <c r="AJ60" i="16"/>
  <c r="AH60" i="16"/>
  <c r="AF60" i="16"/>
  <c r="AD60" i="16"/>
  <c r="AC60" i="16"/>
  <c r="AA60" i="16"/>
  <c r="Z60" i="16"/>
  <c r="X60" i="16"/>
  <c r="W60" i="16"/>
  <c r="T60" i="16"/>
  <c r="S60" i="16"/>
  <c r="V60" i="16" s="1"/>
  <c r="R60" i="16"/>
  <c r="Q60" i="16"/>
  <c r="P60" i="16"/>
  <c r="N60" i="16"/>
  <c r="K60" i="16"/>
  <c r="J60" i="16"/>
  <c r="D60" i="16"/>
  <c r="M60" i="16" s="1"/>
  <c r="C60" i="16"/>
  <c r="AW59" i="16"/>
  <c r="AV59" i="16"/>
  <c r="AU59" i="16"/>
  <c r="AT59" i="16"/>
  <c r="AS59" i="16"/>
  <c r="AQ59" i="16"/>
  <c r="AP59" i="16"/>
  <c r="AR59" i="16" s="1"/>
  <c r="AO59" i="16"/>
  <c r="AN59" i="16"/>
  <c r="AL59" i="16"/>
  <c r="AJ59" i="16"/>
  <c r="AH59" i="16"/>
  <c r="AF59" i="16"/>
  <c r="AD59" i="16"/>
  <c r="AC59" i="16"/>
  <c r="AA59" i="16"/>
  <c r="Z59" i="16"/>
  <c r="AB59" i="16" s="1"/>
  <c r="X59" i="16"/>
  <c r="W59" i="16"/>
  <c r="T59" i="16"/>
  <c r="S59" i="16"/>
  <c r="V59" i="16" s="1"/>
  <c r="R59" i="16"/>
  <c r="Q59" i="16"/>
  <c r="P59" i="16"/>
  <c r="N59" i="16"/>
  <c r="J59" i="16"/>
  <c r="D59" i="16"/>
  <c r="C59" i="16" s="1"/>
  <c r="K59" i="16" s="1"/>
  <c r="AW58" i="16"/>
  <c r="AV58" i="16"/>
  <c r="AU58" i="16"/>
  <c r="AT58" i="16"/>
  <c r="AS58" i="16"/>
  <c r="AQ58" i="16"/>
  <c r="AP58" i="16"/>
  <c r="AR58" i="16" s="1"/>
  <c r="AO58" i="16"/>
  <c r="AN58" i="16"/>
  <c r="AL58" i="16"/>
  <c r="AJ58" i="16"/>
  <c r="AH58" i="16"/>
  <c r="AF58" i="16"/>
  <c r="AD58" i="16"/>
  <c r="AC58" i="16"/>
  <c r="AA58" i="16"/>
  <c r="Z58" i="16"/>
  <c r="X58" i="16"/>
  <c r="W58" i="16"/>
  <c r="AK58" i="16" s="1"/>
  <c r="T58" i="16"/>
  <c r="S58" i="16"/>
  <c r="V58" i="16" s="1"/>
  <c r="R58" i="16"/>
  <c r="Q58" i="16"/>
  <c r="P58" i="16"/>
  <c r="N58" i="16"/>
  <c r="K58" i="16"/>
  <c r="J58" i="16"/>
  <c r="D58" i="16"/>
  <c r="C58" i="16" s="1"/>
  <c r="AW57" i="16"/>
  <c r="AV57" i="16"/>
  <c r="AU57" i="16"/>
  <c r="AT57" i="16"/>
  <c r="AS57" i="16"/>
  <c r="AQ57" i="16"/>
  <c r="AP57" i="16"/>
  <c r="AR57" i="16" s="1"/>
  <c r="AO57" i="16"/>
  <c r="AN57" i="16"/>
  <c r="AL57" i="16"/>
  <c r="AJ57" i="16"/>
  <c r="AH57" i="16"/>
  <c r="AF57" i="16"/>
  <c r="AD57" i="16"/>
  <c r="AC57" i="16"/>
  <c r="AE57" i="16" s="1"/>
  <c r="AA57" i="16"/>
  <c r="Z57" i="16"/>
  <c r="AB57" i="16" s="1"/>
  <c r="X57" i="16"/>
  <c r="W57" i="16"/>
  <c r="T57" i="16"/>
  <c r="S57" i="16"/>
  <c r="V57" i="16" s="1"/>
  <c r="R57" i="16"/>
  <c r="Q57" i="16"/>
  <c r="P57" i="16"/>
  <c r="N57" i="16"/>
  <c r="J57" i="16"/>
  <c r="D57" i="16"/>
  <c r="M57" i="16" s="1"/>
  <c r="C57" i="16"/>
  <c r="K57" i="16" s="1"/>
  <c r="AW56" i="16"/>
  <c r="AV56" i="16"/>
  <c r="AU56" i="16"/>
  <c r="AT56" i="16"/>
  <c r="AS56" i="16"/>
  <c r="AQ56" i="16"/>
  <c r="AP56" i="16"/>
  <c r="AR56" i="16" s="1"/>
  <c r="AO56" i="16"/>
  <c r="AN56" i="16"/>
  <c r="AL56" i="16"/>
  <c r="AJ56" i="16"/>
  <c r="AH56" i="16"/>
  <c r="AF56" i="16"/>
  <c r="AD56" i="16"/>
  <c r="AC56" i="16"/>
  <c r="AA56" i="16"/>
  <c r="Z56" i="16"/>
  <c r="X56" i="16"/>
  <c r="W56" i="16"/>
  <c r="AI56" i="16" s="1"/>
  <c r="T56" i="16"/>
  <c r="S56" i="16"/>
  <c r="V56" i="16" s="1"/>
  <c r="R56" i="16"/>
  <c r="Q56" i="16"/>
  <c r="P56" i="16"/>
  <c r="N56" i="16"/>
  <c r="M56" i="16"/>
  <c r="J56" i="16"/>
  <c r="D56" i="16"/>
  <c r="C56" i="16" s="1"/>
  <c r="K56" i="16" s="1"/>
  <c r="AW55" i="16"/>
  <c r="AV55" i="16"/>
  <c r="AU55" i="16"/>
  <c r="AT55" i="16"/>
  <c r="AS55" i="16"/>
  <c r="AQ55" i="16"/>
  <c r="AP55" i="16"/>
  <c r="AR55" i="16" s="1"/>
  <c r="AO55" i="16"/>
  <c r="AN55" i="16"/>
  <c r="AL55" i="16"/>
  <c r="AJ55" i="16"/>
  <c r="AH55" i="16"/>
  <c r="AF55" i="16"/>
  <c r="AD55" i="16"/>
  <c r="AC55" i="16"/>
  <c r="AE55" i="16" s="1"/>
  <c r="AA55" i="16"/>
  <c r="Z55" i="16"/>
  <c r="AB55" i="16" s="1"/>
  <c r="X55" i="16"/>
  <c r="W55" i="16"/>
  <c r="AM55" i="16" s="1"/>
  <c r="T55" i="16"/>
  <c r="S55" i="16"/>
  <c r="V55" i="16" s="1"/>
  <c r="R55" i="16"/>
  <c r="Q55" i="16"/>
  <c r="P55" i="16"/>
  <c r="N55" i="16"/>
  <c r="M55" i="16"/>
  <c r="K55" i="16"/>
  <c r="J55" i="16"/>
  <c r="D55" i="16"/>
  <c r="C55" i="16" s="1"/>
  <c r="AW54" i="16"/>
  <c r="AV54" i="16"/>
  <c r="AU54" i="16"/>
  <c r="AT54" i="16"/>
  <c r="AS54" i="16"/>
  <c r="AQ54" i="16"/>
  <c r="AP54" i="16"/>
  <c r="AR54" i="16" s="1"/>
  <c r="AO54" i="16"/>
  <c r="AN54" i="16"/>
  <c r="AL54" i="16"/>
  <c r="AJ54" i="16"/>
  <c r="AH54" i="16"/>
  <c r="AF54" i="16"/>
  <c r="AD54" i="16"/>
  <c r="AC54" i="16"/>
  <c r="AE54" i="16" s="1"/>
  <c r="AA54" i="16"/>
  <c r="Z54" i="16"/>
  <c r="AB54" i="16" s="1"/>
  <c r="X54" i="16"/>
  <c r="W54" i="16"/>
  <c r="T54" i="16"/>
  <c r="S54" i="16"/>
  <c r="V54" i="16" s="1"/>
  <c r="R54" i="16"/>
  <c r="Q54" i="16"/>
  <c r="P54" i="16"/>
  <c r="N54" i="16"/>
  <c r="J54" i="16"/>
  <c r="D54" i="16"/>
  <c r="M54" i="16" s="1"/>
  <c r="AW53" i="16"/>
  <c r="AV53" i="16"/>
  <c r="AU53" i="16"/>
  <c r="AT53" i="16"/>
  <c r="AS53" i="16"/>
  <c r="AQ53" i="16"/>
  <c r="AP53" i="16"/>
  <c r="AR53" i="16" s="1"/>
  <c r="AO53" i="16"/>
  <c r="AN53" i="16"/>
  <c r="AL53" i="16"/>
  <c r="AJ53" i="16"/>
  <c r="AH53" i="16"/>
  <c r="AF53" i="16"/>
  <c r="AD53" i="16"/>
  <c r="AC53" i="16"/>
  <c r="AE53" i="16" s="1"/>
  <c r="AA53" i="16"/>
  <c r="Z53" i="16"/>
  <c r="AB53" i="16" s="1"/>
  <c r="X53" i="16"/>
  <c r="W53" i="16"/>
  <c r="T53" i="16"/>
  <c r="S53" i="16"/>
  <c r="V53" i="16" s="1"/>
  <c r="R53" i="16"/>
  <c r="Q53" i="16"/>
  <c r="P53" i="16"/>
  <c r="N53" i="16"/>
  <c r="K53" i="16"/>
  <c r="J53" i="16"/>
  <c r="D53" i="16"/>
  <c r="M53" i="16" s="1"/>
  <c r="C53" i="16"/>
  <c r="O52" i="16"/>
  <c r="N52" i="16"/>
  <c r="L52" i="16"/>
  <c r="I52" i="16"/>
  <c r="Q52" i="16" s="1"/>
  <c r="H52" i="16"/>
  <c r="G52" i="16"/>
  <c r="P52" i="16" s="1"/>
  <c r="F52" i="16"/>
  <c r="E52" i="16"/>
  <c r="AW51" i="16"/>
  <c r="AV51" i="16"/>
  <c r="AU51" i="16"/>
  <c r="AT51" i="16"/>
  <c r="AS51" i="16"/>
  <c r="AQ51" i="16"/>
  <c r="AP51" i="16"/>
  <c r="AR51" i="16" s="1"/>
  <c r="AO51" i="16"/>
  <c r="AN51" i="16"/>
  <c r="AL51" i="16"/>
  <c r="AJ51" i="16"/>
  <c r="AH51" i="16"/>
  <c r="AF51" i="16"/>
  <c r="AD51" i="16"/>
  <c r="AC51" i="16"/>
  <c r="AE51" i="16" s="1"/>
  <c r="AA51" i="16"/>
  <c r="Z51" i="16"/>
  <c r="AB51" i="16" s="1"/>
  <c r="X51" i="16"/>
  <c r="W51" i="16"/>
  <c r="T51" i="16"/>
  <c r="S51" i="16"/>
  <c r="V51" i="16" s="1"/>
  <c r="R51" i="16"/>
  <c r="Q51" i="16"/>
  <c r="P51" i="16"/>
  <c r="N51" i="16"/>
  <c r="J51" i="16"/>
  <c r="D51" i="16"/>
  <c r="C51" i="16" s="1"/>
  <c r="K51" i="16" s="1"/>
  <c r="AW50" i="16"/>
  <c r="AV50" i="16"/>
  <c r="AU50" i="16"/>
  <c r="AT50" i="16"/>
  <c r="AS50" i="16"/>
  <c r="AQ50" i="16"/>
  <c r="AP50" i="16"/>
  <c r="AR50" i="16" s="1"/>
  <c r="AO50" i="16"/>
  <c r="AN50" i="16"/>
  <c r="AL50" i="16"/>
  <c r="AJ50" i="16"/>
  <c r="AH50" i="16"/>
  <c r="AF50" i="16"/>
  <c r="AD50" i="16"/>
  <c r="AC50" i="16"/>
  <c r="AA50" i="16"/>
  <c r="Z50" i="16"/>
  <c r="X50" i="16"/>
  <c r="W50" i="16"/>
  <c r="AG50" i="16" s="1"/>
  <c r="T50" i="16"/>
  <c r="S50" i="16"/>
  <c r="V50" i="16" s="1"/>
  <c r="R50" i="16"/>
  <c r="Q50" i="16"/>
  <c r="P50" i="16"/>
  <c r="N50" i="16"/>
  <c r="J50" i="16"/>
  <c r="D50" i="16"/>
  <c r="C50" i="16" s="1"/>
  <c r="K50" i="16" s="1"/>
  <c r="AW49" i="16"/>
  <c r="AV49" i="16"/>
  <c r="AU49" i="16"/>
  <c r="AT49" i="16"/>
  <c r="AS49" i="16"/>
  <c r="AQ49" i="16"/>
  <c r="AP49" i="16"/>
  <c r="AR49" i="16" s="1"/>
  <c r="AO49" i="16"/>
  <c r="AN49" i="16"/>
  <c r="AL49" i="16"/>
  <c r="AJ49" i="16"/>
  <c r="AH49" i="16"/>
  <c r="AF49" i="16"/>
  <c r="AD49" i="16"/>
  <c r="AC49" i="16"/>
  <c r="AE49" i="16" s="1"/>
  <c r="AA49" i="16"/>
  <c r="Z49" i="16"/>
  <c r="AB49" i="16" s="1"/>
  <c r="X49" i="16"/>
  <c r="W49" i="16"/>
  <c r="T49" i="16"/>
  <c r="S49" i="16"/>
  <c r="V49" i="16" s="1"/>
  <c r="R49" i="16"/>
  <c r="Q49" i="16"/>
  <c r="P49" i="16"/>
  <c r="N49" i="16"/>
  <c r="M49" i="16"/>
  <c r="J49" i="16"/>
  <c r="D49" i="16"/>
  <c r="C49" i="16"/>
  <c r="K49" i="16" s="1"/>
  <c r="AW48" i="16"/>
  <c r="AV48" i="16"/>
  <c r="AU48" i="16"/>
  <c r="AT48" i="16"/>
  <c r="AS48" i="16"/>
  <c r="AQ48" i="16"/>
  <c r="AP48" i="16"/>
  <c r="AR48" i="16" s="1"/>
  <c r="AO48" i="16"/>
  <c r="AN48" i="16"/>
  <c r="AL48" i="16"/>
  <c r="AJ48" i="16"/>
  <c r="AH48" i="16"/>
  <c r="AF48" i="16"/>
  <c r="AD48" i="16"/>
  <c r="AC48" i="16"/>
  <c r="AE48" i="16" s="1"/>
  <c r="AA48" i="16"/>
  <c r="Z48" i="16"/>
  <c r="AB48" i="16" s="1"/>
  <c r="X48" i="16"/>
  <c r="W48" i="16"/>
  <c r="T48" i="16"/>
  <c r="S48" i="16"/>
  <c r="V48" i="16" s="1"/>
  <c r="R48" i="16"/>
  <c r="Q48" i="16"/>
  <c r="P48" i="16"/>
  <c r="N48" i="16"/>
  <c r="J48" i="16"/>
  <c r="D48" i="16"/>
  <c r="M48" i="16" s="1"/>
  <c r="AW47" i="16"/>
  <c r="AV47" i="16"/>
  <c r="AU47" i="16"/>
  <c r="AT47" i="16"/>
  <c r="AS47" i="16"/>
  <c r="AQ47" i="16"/>
  <c r="AP47" i="16"/>
  <c r="AR47" i="16" s="1"/>
  <c r="AO47" i="16"/>
  <c r="AN47" i="16"/>
  <c r="AL47" i="16"/>
  <c r="AJ47" i="16"/>
  <c r="AH47" i="16"/>
  <c r="AF47" i="16"/>
  <c r="AD47" i="16"/>
  <c r="AC47" i="16"/>
  <c r="AE47" i="16" s="1"/>
  <c r="AA47" i="16"/>
  <c r="Z47" i="16"/>
  <c r="AB47" i="16" s="1"/>
  <c r="X47" i="16"/>
  <c r="W47" i="16"/>
  <c r="AG47" i="16" s="1"/>
  <c r="T47" i="16"/>
  <c r="S47" i="16"/>
  <c r="V47" i="16" s="1"/>
  <c r="R47" i="16"/>
  <c r="Q47" i="16"/>
  <c r="P47" i="16"/>
  <c r="N47" i="16"/>
  <c r="J47" i="16"/>
  <c r="D47" i="16"/>
  <c r="M47" i="16" s="1"/>
  <c r="AW46" i="16"/>
  <c r="AV46" i="16"/>
  <c r="AU46" i="16"/>
  <c r="AT46" i="16"/>
  <c r="AS46" i="16"/>
  <c r="AQ46" i="16"/>
  <c r="AP46" i="16"/>
  <c r="AR46" i="16" s="1"/>
  <c r="AO46" i="16"/>
  <c r="AN46" i="16"/>
  <c r="AL46" i="16"/>
  <c r="AJ46" i="16"/>
  <c r="AH46" i="16"/>
  <c r="AF46" i="16"/>
  <c r="AD46" i="16"/>
  <c r="AC46" i="16"/>
  <c r="AE46" i="16" s="1"/>
  <c r="AA46" i="16"/>
  <c r="Z46" i="16"/>
  <c r="AB46" i="16" s="1"/>
  <c r="X46" i="16"/>
  <c r="W46" i="16"/>
  <c r="T46" i="16"/>
  <c r="S46" i="16"/>
  <c r="V46" i="16" s="1"/>
  <c r="R46" i="16"/>
  <c r="Q46" i="16"/>
  <c r="P46" i="16"/>
  <c r="N46" i="16"/>
  <c r="M46" i="16"/>
  <c r="J46" i="16"/>
  <c r="D46" i="16"/>
  <c r="C46" i="16"/>
  <c r="K46" i="16" s="1"/>
  <c r="AW45" i="16"/>
  <c r="AV45" i="16"/>
  <c r="AU45" i="16"/>
  <c r="AT45" i="16"/>
  <c r="AS45" i="16"/>
  <c r="AQ45" i="16"/>
  <c r="AP45" i="16"/>
  <c r="AR45" i="16" s="1"/>
  <c r="AO45" i="16"/>
  <c r="AN45" i="16"/>
  <c r="AL45" i="16"/>
  <c r="AJ45" i="16"/>
  <c r="AH45" i="16"/>
  <c r="AF45" i="16"/>
  <c r="AD45" i="16"/>
  <c r="AC45" i="16"/>
  <c r="AA45" i="16"/>
  <c r="Z45" i="16"/>
  <c r="X45" i="16"/>
  <c r="W45" i="16"/>
  <c r="T45" i="16"/>
  <c r="S45" i="16"/>
  <c r="V45" i="16" s="1"/>
  <c r="R45" i="16"/>
  <c r="Q45" i="16"/>
  <c r="P45" i="16"/>
  <c r="N45" i="16"/>
  <c r="J45" i="16"/>
  <c r="D45" i="16"/>
  <c r="M45" i="16" s="1"/>
  <c r="C45" i="16"/>
  <c r="K45" i="16" s="1"/>
  <c r="AW44" i="16"/>
  <c r="AV44" i="16"/>
  <c r="AU44" i="16"/>
  <c r="AT44" i="16"/>
  <c r="AS44" i="16"/>
  <c r="AQ44" i="16"/>
  <c r="AP44" i="16"/>
  <c r="AR44" i="16" s="1"/>
  <c r="AO44" i="16"/>
  <c r="AN44" i="16"/>
  <c r="AL44" i="16"/>
  <c r="AJ44" i="16"/>
  <c r="AH44" i="16"/>
  <c r="AF44" i="16"/>
  <c r="AD44" i="16"/>
  <c r="AC44" i="16"/>
  <c r="AE44" i="16" s="1"/>
  <c r="AA44" i="16"/>
  <c r="Z44" i="16"/>
  <c r="AB44" i="16" s="1"/>
  <c r="X44" i="16"/>
  <c r="W44" i="16"/>
  <c r="T44" i="16"/>
  <c r="S44" i="16"/>
  <c r="V44" i="16" s="1"/>
  <c r="R44" i="16"/>
  <c r="Q44" i="16"/>
  <c r="P44" i="16"/>
  <c r="N44" i="16"/>
  <c r="M44" i="16"/>
  <c r="J44" i="16"/>
  <c r="D44" i="16"/>
  <c r="C44" i="16"/>
  <c r="K44" i="16" s="1"/>
  <c r="AW43" i="16"/>
  <c r="AV43" i="16"/>
  <c r="AU43" i="16"/>
  <c r="AT43" i="16"/>
  <c r="AS43" i="16"/>
  <c r="AQ43" i="16"/>
  <c r="AP43" i="16"/>
  <c r="AR43" i="16" s="1"/>
  <c r="AO43" i="16"/>
  <c r="AN43" i="16"/>
  <c r="AL43" i="16"/>
  <c r="AJ43" i="16"/>
  <c r="AH43" i="16"/>
  <c r="AF43" i="16"/>
  <c r="AD43" i="16"/>
  <c r="AC43" i="16"/>
  <c r="AE43" i="16" s="1"/>
  <c r="AA43" i="16"/>
  <c r="Z43" i="16"/>
  <c r="AB43" i="16" s="1"/>
  <c r="X43" i="16"/>
  <c r="W43" i="16"/>
  <c r="T43" i="16"/>
  <c r="S43" i="16"/>
  <c r="V43" i="16" s="1"/>
  <c r="R43" i="16"/>
  <c r="Q43" i="16"/>
  <c r="P43" i="16"/>
  <c r="N43" i="16"/>
  <c r="M43" i="16"/>
  <c r="K43" i="16"/>
  <c r="J43" i="16"/>
  <c r="D43" i="16"/>
  <c r="C43" i="16"/>
  <c r="AW42" i="16"/>
  <c r="AV42" i="16"/>
  <c r="AU42" i="16"/>
  <c r="AT42" i="16"/>
  <c r="AS42" i="16"/>
  <c r="AQ42" i="16"/>
  <c r="AP42" i="16"/>
  <c r="AR42" i="16" s="1"/>
  <c r="AO42" i="16"/>
  <c r="AN42" i="16"/>
  <c r="AL42" i="16"/>
  <c r="AJ42" i="16"/>
  <c r="AH42" i="16"/>
  <c r="AF42" i="16"/>
  <c r="AD42" i="16"/>
  <c r="AC42" i="16"/>
  <c r="AE42" i="16" s="1"/>
  <c r="AA42" i="16"/>
  <c r="Z42" i="16"/>
  <c r="AB42" i="16" s="1"/>
  <c r="X42" i="16"/>
  <c r="W42" i="16"/>
  <c r="T42" i="16"/>
  <c r="S42" i="16"/>
  <c r="V42" i="16" s="1"/>
  <c r="R42" i="16"/>
  <c r="Q42" i="16"/>
  <c r="P42" i="16"/>
  <c r="N42" i="16"/>
  <c r="M42" i="16"/>
  <c r="J42" i="16"/>
  <c r="D42" i="16"/>
  <c r="C42" i="16" s="1"/>
  <c r="K42" i="16" s="1"/>
  <c r="AW41" i="16"/>
  <c r="AV41" i="16"/>
  <c r="AU41" i="16"/>
  <c r="AT41" i="16"/>
  <c r="AS41" i="16"/>
  <c r="AQ41" i="16"/>
  <c r="AP41" i="16"/>
  <c r="AR41" i="16" s="1"/>
  <c r="AO41" i="16"/>
  <c r="AN41" i="16"/>
  <c r="AL41" i="16"/>
  <c r="AJ41" i="16"/>
  <c r="AH41" i="16"/>
  <c r="AF41" i="16"/>
  <c r="AD41" i="16"/>
  <c r="AC41" i="16"/>
  <c r="AA41" i="16"/>
  <c r="Z41" i="16"/>
  <c r="X41" i="16"/>
  <c r="W41" i="16"/>
  <c r="T41" i="16"/>
  <c r="S41" i="16"/>
  <c r="V41" i="16" s="1"/>
  <c r="R41" i="16"/>
  <c r="Q41" i="16"/>
  <c r="P41" i="16"/>
  <c r="N41" i="16"/>
  <c r="J41" i="16"/>
  <c r="D41" i="16"/>
  <c r="C41" i="16" s="1"/>
  <c r="K41" i="16" s="1"/>
  <c r="AW40" i="16"/>
  <c r="AV40" i="16"/>
  <c r="AU40" i="16"/>
  <c r="AT40" i="16"/>
  <c r="AS40" i="16"/>
  <c r="AQ40" i="16"/>
  <c r="AP40" i="16"/>
  <c r="AR40" i="16" s="1"/>
  <c r="AO40" i="16"/>
  <c r="AN40" i="16"/>
  <c r="AL40" i="16"/>
  <c r="AJ40" i="16"/>
  <c r="AH40" i="16"/>
  <c r="AF40" i="16"/>
  <c r="AD40" i="16"/>
  <c r="AC40" i="16"/>
  <c r="AA40" i="16"/>
  <c r="Z40" i="16"/>
  <c r="X40" i="16"/>
  <c r="W40" i="16"/>
  <c r="T40" i="16"/>
  <c r="S40" i="16"/>
  <c r="V40" i="16" s="1"/>
  <c r="R40" i="16"/>
  <c r="Q40" i="16"/>
  <c r="P40" i="16"/>
  <c r="N40" i="16"/>
  <c r="M40" i="16"/>
  <c r="J40" i="16"/>
  <c r="D40" i="16"/>
  <c r="C40" i="16"/>
  <c r="K40" i="16" s="1"/>
  <c r="AW39" i="16"/>
  <c r="AV39" i="16"/>
  <c r="AU39" i="16"/>
  <c r="AT39" i="16"/>
  <c r="AS39" i="16"/>
  <c r="AQ39" i="16"/>
  <c r="AP39" i="16"/>
  <c r="AR39" i="16" s="1"/>
  <c r="AO39" i="16"/>
  <c r="AN39" i="16"/>
  <c r="AL39" i="16"/>
  <c r="AJ39" i="16"/>
  <c r="AH39" i="16"/>
  <c r="AF39" i="16"/>
  <c r="AD39" i="16"/>
  <c r="AC39" i="16"/>
  <c r="AA39" i="16"/>
  <c r="Z39" i="16"/>
  <c r="X39" i="16"/>
  <c r="W39" i="16"/>
  <c r="T39" i="16"/>
  <c r="S39" i="16"/>
  <c r="V39" i="16" s="1"/>
  <c r="R39" i="16"/>
  <c r="Q39" i="16"/>
  <c r="P39" i="16"/>
  <c r="N39" i="16"/>
  <c r="J39" i="16"/>
  <c r="D39" i="16"/>
  <c r="M39" i="16" s="1"/>
  <c r="AW38" i="16"/>
  <c r="AV38" i="16"/>
  <c r="AU38" i="16"/>
  <c r="AT38" i="16"/>
  <c r="AS38" i="16"/>
  <c r="AQ38" i="16"/>
  <c r="AP38" i="16"/>
  <c r="AR38" i="16" s="1"/>
  <c r="AO38" i="16"/>
  <c r="AN38" i="16"/>
  <c r="AL38" i="16"/>
  <c r="AJ38" i="16"/>
  <c r="AH38" i="16"/>
  <c r="AF38" i="16"/>
  <c r="AD38" i="16"/>
  <c r="AC38" i="16"/>
  <c r="AE38" i="16" s="1"/>
  <c r="AA38" i="16"/>
  <c r="Z38" i="16"/>
  <c r="AB38" i="16" s="1"/>
  <c r="X38" i="16"/>
  <c r="W38" i="16"/>
  <c r="T38" i="16"/>
  <c r="S38" i="16"/>
  <c r="V38" i="16" s="1"/>
  <c r="R38" i="16"/>
  <c r="Q38" i="16"/>
  <c r="P38" i="16"/>
  <c r="N38" i="16"/>
  <c r="J38" i="16"/>
  <c r="D38" i="16"/>
  <c r="M38" i="16" s="1"/>
  <c r="AW37" i="16"/>
  <c r="AV37" i="16"/>
  <c r="AU37" i="16"/>
  <c r="AT37" i="16"/>
  <c r="AS37" i="16"/>
  <c r="AQ37" i="16"/>
  <c r="AP37" i="16"/>
  <c r="AR37" i="16" s="1"/>
  <c r="AO37" i="16"/>
  <c r="AN37" i="16"/>
  <c r="AL37" i="16"/>
  <c r="AJ37" i="16"/>
  <c r="AH37" i="16"/>
  <c r="AF37" i="16"/>
  <c r="AD37" i="16"/>
  <c r="AC37" i="16"/>
  <c r="AA37" i="16"/>
  <c r="Z37" i="16"/>
  <c r="X37" i="16"/>
  <c r="W37" i="16"/>
  <c r="T37" i="16"/>
  <c r="S37" i="16"/>
  <c r="V37" i="16" s="1"/>
  <c r="R37" i="16"/>
  <c r="Q37" i="16"/>
  <c r="P37" i="16"/>
  <c r="N37" i="16"/>
  <c r="M37" i="16"/>
  <c r="J37" i="16"/>
  <c r="D37" i="16"/>
  <c r="C37" i="16"/>
  <c r="K37" i="16" s="1"/>
  <c r="AW36" i="16"/>
  <c r="AV36" i="16"/>
  <c r="AU36" i="16"/>
  <c r="AT36" i="16"/>
  <c r="AS36" i="16"/>
  <c r="AQ36" i="16"/>
  <c r="AP36" i="16"/>
  <c r="AR36" i="16" s="1"/>
  <c r="AO36" i="16"/>
  <c r="AN36" i="16"/>
  <c r="AL36" i="16"/>
  <c r="AJ36" i="16"/>
  <c r="AH36" i="16"/>
  <c r="AF36" i="16"/>
  <c r="AD36" i="16"/>
  <c r="AC36" i="16"/>
  <c r="AE36" i="16" s="1"/>
  <c r="AA36" i="16"/>
  <c r="Z36" i="16"/>
  <c r="AB36" i="16" s="1"/>
  <c r="X36" i="16"/>
  <c r="W36" i="16"/>
  <c r="T36" i="16"/>
  <c r="S36" i="16"/>
  <c r="V36" i="16" s="1"/>
  <c r="R36" i="16"/>
  <c r="Q36" i="16"/>
  <c r="P36" i="16"/>
  <c r="N36" i="16"/>
  <c r="J36" i="16"/>
  <c r="D36" i="16"/>
  <c r="M36" i="16" s="1"/>
  <c r="C36" i="16"/>
  <c r="K36" i="16" s="1"/>
  <c r="AW35" i="16"/>
  <c r="AV35" i="16"/>
  <c r="AU35" i="16"/>
  <c r="AT35" i="16"/>
  <c r="AS35" i="16"/>
  <c r="AQ35" i="16"/>
  <c r="AP35" i="16"/>
  <c r="AR35" i="16" s="1"/>
  <c r="AO35" i="16"/>
  <c r="AN35" i="16"/>
  <c r="AL35" i="16"/>
  <c r="AJ35" i="16"/>
  <c r="AH35" i="16"/>
  <c r="AF35" i="16"/>
  <c r="AD35" i="16"/>
  <c r="AC35" i="16"/>
  <c r="AE35" i="16" s="1"/>
  <c r="AA35" i="16"/>
  <c r="Z35" i="16"/>
  <c r="AB35" i="16" s="1"/>
  <c r="X35" i="16"/>
  <c r="W35" i="16"/>
  <c r="T35" i="16"/>
  <c r="S35" i="16"/>
  <c r="V35" i="16" s="1"/>
  <c r="R35" i="16"/>
  <c r="Q35" i="16"/>
  <c r="P35" i="16"/>
  <c r="N35" i="16"/>
  <c r="M35" i="16"/>
  <c r="J35" i="16"/>
  <c r="D35" i="16"/>
  <c r="C35" i="16"/>
  <c r="K35" i="16" s="1"/>
  <c r="AW34" i="16"/>
  <c r="AV34" i="16"/>
  <c r="AU34" i="16"/>
  <c r="AT34" i="16"/>
  <c r="AS34" i="16"/>
  <c r="AQ34" i="16"/>
  <c r="AP34" i="16"/>
  <c r="AR34" i="16" s="1"/>
  <c r="AO34" i="16"/>
  <c r="AN34" i="16"/>
  <c r="AL34" i="16"/>
  <c r="AJ34" i="16"/>
  <c r="AH34" i="16"/>
  <c r="AF34" i="16"/>
  <c r="AD34" i="16"/>
  <c r="AC34" i="16"/>
  <c r="AE34" i="16" s="1"/>
  <c r="AA34" i="16"/>
  <c r="Z34" i="16"/>
  <c r="AB34" i="16" s="1"/>
  <c r="X34" i="16"/>
  <c r="W34" i="16"/>
  <c r="T34" i="16"/>
  <c r="S34" i="16"/>
  <c r="V34" i="16" s="1"/>
  <c r="R34" i="16"/>
  <c r="Q34" i="16"/>
  <c r="P34" i="16"/>
  <c r="N34" i="16"/>
  <c r="M34" i="16"/>
  <c r="K34" i="16"/>
  <c r="J34" i="16"/>
  <c r="D34" i="16"/>
  <c r="C34" i="16"/>
  <c r="AW33" i="16"/>
  <c r="AV33" i="16"/>
  <c r="AU33" i="16"/>
  <c r="AT33" i="16"/>
  <c r="AS33" i="16"/>
  <c r="AQ33" i="16"/>
  <c r="AP33" i="16"/>
  <c r="AR33" i="16" s="1"/>
  <c r="AO33" i="16"/>
  <c r="AN33" i="16"/>
  <c r="AL33" i="16"/>
  <c r="AJ33" i="16"/>
  <c r="AH33" i="16"/>
  <c r="AF33" i="16"/>
  <c r="AD33" i="16"/>
  <c r="AC33" i="16"/>
  <c r="AA33" i="16"/>
  <c r="Z33" i="16"/>
  <c r="X33" i="16"/>
  <c r="W33" i="16"/>
  <c r="T33" i="16"/>
  <c r="S33" i="16"/>
  <c r="V33" i="16" s="1"/>
  <c r="R33" i="16"/>
  <c r="Q33" i="16"/>
  <c r="P33" i="16"/>
  <c r="N33" i="16"/>
  <c r="J33" i="16"/>
  <c r="D33" i="16"/>
  <c r="M33" i="16" s="1"/>
  <c r="AW32" i="16"/>
  <c r="AV32" i="16"/>
  <c r="AU32" i="16"/>
  <c r="AT32" i="16"/>
  <c r="AS32" i="16"/>
  <c r="AQ32" i="16"/>
  <c r="AP32" i="16"/>
  <c r="AR32" i="16" s="1"/>
  <c r="AO32" i="16"/>
  <c r="AN32" i="16"/>
  <c r="AL32" i="16"/>
  <c r="AJ32" i="16"/>
  <c r="AH32" i="16"/>
  <c r="AF32" i="16"/>
  <c r="AD32" i="16"/>
  <c r="AC32" i="16"/>
  <c r="AE32" i="16" s="1"/>
  <c r="AA32" i="16"/>
  <c r="Z32" i="16"/>
  <c r="AB32" i="16" s="1"/>
  <c r="X32" i="16"/>
  <c r="W32" i="16"/>
  <c r="T32" i="16"/>
  <c r="S32" i="16"/>
  <c r="V32" i="16" s="1"/>
  <c r="R32" i="16"/>
  <c r="Q32" i="16"/>
  <c r="P32" i="16"/>
  <c r="N32" i="16"/>
  <c r="M32" i="16"/>
  <c r="J32" i="16"/>
  <c r="D32" i="16"/>
  <c r="C32" i="16" s="1"/>
  <c r="K32" i="16" s="1"/>
  <c r="O31" i="16"/>
  <c r="M31" i="16"/>
  <c r="L31" i="16"/>
  <c r="J31" i="16"/>
  <c r="I31" i="16"/>
  <c r="Q31" i="16" s="1"/>
  <c r="H31" i="16"/>
  <c r="N31" i="16" s="1"/>
  <c r="G31" i="16"/>
  <c r="P31" i="16" s="1"/>
  <c r="F31" i="16"/>
  <c r="E31" i="16"/>
  <c r="D31" i="16"/>
  <c r="C31" i="16" s="1"/>
  <c r="K31" i="16" s="1"/>
  <c r="AW30" i="16"/>
  <c r="AV30" i="16"/>
  <c r="AU30" i="16"/>
  <c r="AT30" i="16"/>
  <c r="AS30" i="16"/>
  <c r="AQ30" i="16"/>
  <c r="AP30" i="16"/>
  <c r="AR30" i="16" s="1"/>
  <c r="AO30" i="16"/>
  <c r="AN30" i="16"/>
  <c r="AL30" i="16"/>
  <c r="AJ30" i="16"/>
  <c r="AH30" i="16"/>
  <c r="AF30" i="16"/>
  <c r="AD30" i="16"/>
  <c r="AC30" i="16"/>
  <c r="AE30" i="16" s="1"/>
  <c r="AA30" i="16"/>
  <c r="Z30" i="16"/>
  <c r="AB30" i="16" s="1"/>
  <c r="X30" i="16"/>
  <c r="W30" i="16"/>
  <c r="AK30" i="16" s="1"/>
  <c r="T30" i="16"/>
  <c r="S30" i="16"/>
  <c r="V30" i="16" s="1"/>
  <c r="R30" i="16"/>
  <c r="Q30" i="16"/>
  <c r="P30" i="16"/>
  <c r="N30" i="16"/>
  <c r="M30" i="16"/>
  <c r="J30" i="16"/>
  <c r="D30" i="16"/>
  <c r="C30" i="16" s="1"/>
  <c r="K30" i="16" s="1"/>
  <c r="AW29" i="16"/>
  <c r="AV29" i="16"/>
  <c r="AU29" i="16"/>
  <c r="AT29" i="16"/>
  <c r="AS29" i="16"/>
  <c r="AQ29" i="16"/>
  <c r="AP29" i="16"/>
  <c r="AR29" i="16" s="1"/>
  <c r="AO29" i="16"/>
  <c r="AN29" i="16"/>
  <c r="AL29" i="16"/>
  <c r="AJ29" i="16"/>
  <c r="AH29" i="16"/>
  <c r="AF29" i="16"/>
  <c r="AD29" i="16"/>
  <c r="AC29" i="16"/>
  <c r="AE29" i="16" s="1"/>
  <c r="AA29" i="16"/>
  <c r="Z29" i="16"/>
  <c r="AB29" i="16" s="1"/>
  <c r="X29" i="16"/>
  <c r="W29" i="16"/>
  <c r="T29" i="16"/>
  <c r="S29" i="16"/>
  <c r="V29" i="16" s="1"/>
  <c r="R29" i="16"/>
  <c r="Q29" i="16"/>
  <c r="P29" i="16"/>
  <c r="N29" i="16"/>
  <c r="J29" i="16"/>
  <c r="D29" i="16"/>
  <c r="M29" i="16" s="1"/>
  <c r="C29" i="16"/>
  <c r="K29" i="16" s="1"/>
  <c r="AW28" i="16"/>
  <c r="AV28" i="16"/>
  <c r="AU28" i="16"/>
  <c r="AT28" i="16"/>
  <c r="AS28" i="16"/>
  <c r="AQ28" i="16"/>
  <c r="AP28" i="16"/>
  <c r="AR28" i="16" s="1"/>
  <c r="AO28" i="16"/>
  <c r="AN28" i="16"/>
  <c r="AL28" i="16"/>
  <c r="AJ28" i="16"/>
  <c r="AH28" i="16"/>
  <c r="AF28" i="16"/>
  <c r="AD28" i="16"/>
  <c r="AC28" i="16"/>
  <c r="AE28" i="16" s="1"/>
  <c r="AA28" i="16"/>
  <c r="Z28" i="16"/>
  <c r="AB28" i="16" s="1"/>
  <c r="X28" i="16"/>
  <c r="W28" i="16"/>
  <c r="T28" i="16"/>
  <c r="S28" i="16"/>
  <c r="V28" i="16" s="1"/>
  <c r="R28" i="16"/>
  <c r="Q28" i="16"/>
  <c r="P28" i="16"/>
  <c r="N28" i="16"/>
  <c r="M28" i="16"/>
  <c r="J28" i="16"/>
  <c r="D28" i="16"/>
  <c r="C28" i="16" s="1"/>
  <c r="K28" i="16" s="1"/>
  <c r="AW27" i="16"/>
  <c r="AV27" i="16"/>
  <c r="AU27" i="16"/>
  <c r="AT27" i="16"/>
  <c r="AS27" i="16"/>
  <c r="AQ27" i="16"/>
  <c r="AP27" i="16"/>
  <c r="AR27" i="16" s="1"/>
  <c r="AO27" i="16"/>
  <c r="AN27" i="16"/>
  <c r="AL27" i="16"/>
  <c r="AJ27" i="16"/>
  <c r="AH27" i="16"/>
  <c r="AF27" i="16"/>
  <c r="AD27" i="16"/>
  <c r="AC27" i="16"/>
  <c r="AE27" i="16" s="1"/>
  <c r="AA27" i="16"/>
  <c r="Z27" i="16"/>
  <c r="AB27" i="16" s="1"/>
  <c r="X27" i="16"/>
  <c r="W27" i="16"/>
  <c r="T27" i="16"/>
  <c r="S27" i="16"/>
  <c r="V27" i="16" s="1"/>
  <c r="R27" i="16"/>
  <c r="Q27" i="16"/>
  <c r="P27" i="16"/>
  <c r="N27" i="16"/>
  <c r="M27" i="16"/>
  <c r="J27" i="16"/>
  <c r="D27" i="16"/>
  <c r="C27" i="16" s="1"/>
  <c r="K27" i="16" s="1"/>
  <c r="AW26" i="16"/>
  <c r="AV26" i="16"/>
  <c r="AU26" i="16"/>
  <c r="AT26" i="16"/>
  <c r="AS26" i="16"/>
  <c r="AQ26" i="16"/>
  <c r="AP26" i="16"/>
  <c r="AR26" i="16" s="1"/>
  <c r="AO26" i="16"/>
  <c r="AN26" i="16"/>
  <c r="AL26" i="16"/>
  <c r="AJ26" i="16"/>
  <c r="AH26" i="16"/>
  <c r="AF26" i="16"/>
  <c r="AD26" i="16"/>
  <c r="AC26" i="16"/>
  <c r="AE26" i="16" s="1"/>
  <c r="AA26" i="16"/>
  <c r="Z26" i="16"/>
  <c r="AB26" i="16" s="1"/>
  <c r="X26" i="16"/>
  <c r="W26" i="16"/>
  <c r="T26" i="16"/>
  <c r="S26" i="16"/>
  <c r="V26" i="16" s="1"/>
  <c r="R26" i="16"/>
  <c r="Q26" i="16"/>
  <c r="P26" i="16"/>
  <c r="N26" i="16"/>
  <c r="J26" i="16"/>
  <c r="D26" i="16"/>
  <c r="M26" i="16" s="1"/>
  <c r="C26" i="16"/>
  <c r="K26" i="16" s="1"/>
  <c r="AW25" i="16"/>
  <c r="AV25" i="16"/>
  <c r="AU25" i="16"/>
  <c r="AT25" i="16"/>
  <c r="AS25" i="16"/>
  <c r="AQ25" i="16"/>
  <c r="AP25" i="16"/>
  <c r="AR25" i="16" s="1"/>
  <c r="AO25" i="16"/>
  <c r="AN25" i="16"/>
  <c r="AL25" i="16"/>
  <c r="AJ25" i="16"/>
  <c r="AH25" i="16"/>
  <c r="AF25" i="16"/>
  <c r="AD25" i="16"/>
  <c r="AC25" i="16"/>
  <c r="AA25" i="16"/>
  <c r="Z25" i="16"/>
  <c r="X25" i="16"/>
  <c r="W25" i="16"/>
  <c r="T25" i="16"/>
  <c r="S25" i="16"/>
  <c r="V25" i="16" s="1"/>
  <c r="R25" i="16"/>
  <c r="Q25" i="16"/>
  <c r="P25" i="16"/>
  <c r="N25" i="16"/>
  <c r="M25" i="16"/>
  <c r="J25" i="16"/>
  <c r="D25" i="16"/>
  <c r="C25" i="16" s="1"/>
  <c r="K25" i="16" s="1"/>
  <c r="AW24" i="16"/>
  <c r="AV24" i="16"/>
  <c r="AU24" i="16"/>
  <c r="AT24" i="16"/>
  <c r="AS24" i="16"/>
  <c r="AQ24" i="16"/>
  <c r="AP24" i="16"/>
  <c r="AR24" i="16" s="1"/>
  <c r="AO24" i="16"/>
  <c r="AN24" i="16"/>
  <c r="AL24" i="16"/>
  <c r="AJ24" i="16"/>
  <c r="AH24" i="16"/>
  <c r="AF24" i="16"/>
  <c r="AD24" i="16"/>
  <c r="AC24" i="16"/>
  <c r="AA24" i="16"/>
  <c r="Z24" i="16"/>
  <c r="X24" i="16"/>
  <c r="W24" i="16"/>
  <c r="T24" i="16"/>
  <c r="S24" i="16"/>
  <c r="V24" i="16" s="1"/>
  <c r="R24" i="16"/>
  <c r="Q24" i="16"/>
  <c r="P24" i="16"/>
  <c r="N24" i="16"/>
  <c r="M24" i="16"/>
  <c r="J24" i="16"/>
  <c r="D24" i="16"/>
  <c r="C24" i="16" s="1"/>
  <c r="K24" i="16" s="1"/>
  <c r="AW23" i="16"/>
  <c r="AV23" i="16"/>
  <c r="AU23" i="16"/>
  <c r="AT23" i="16"/>
  <c r="AS23" i="16"/>
  <c r="AQ23" i="16"/>
  <c r="AP23" i="16"/>
  <c r="AR23" i="16" s="1"/>
  <c r="AO23" i="16"/>
  <c r="AN23" i="16"/>
  <c r="AL23" i="16"/>
  <c r="AJ23" i="16"/>
  <c r="AH23" i="16"/>
  <c r="AF23" i="16"/>
  <c r="AD23" i="16"/>
  <c r="AC23" i="16"/>
  <c r="AA23" i="16"/>
  <c r="Z23" i="16"/>
  <c r="X23" i="16"/>
  <c r="W23" i="16"/>
  <c r="AK23" i="16" s="1"/>
  <c r="T23" i="16"/>
  <c r="S23" i="16"/>
  <c r="V23" i="16" s="1"/>
  <c r="R23" i="16"/>
  <c r="Q23" i="16"/>
  <c r="P23" i="16"/>
  <c r="N23" i="16"/>
  <c r="J23" i="16"/>
  <c r="D23" i="16"/>
  <c r="M23" i="16" s="1"/>
  <c r="C23" i="16"/>
  <c r="K23" i="16" s="1"/>
  <c r="AW22" i="16"/>
  <c r="AV22" i="16"/>
  <c r="AU22" i="16"/>
  <c r="AT22" i="16"/>
  <c r="AS22" i="16"/>
  <c r="AQ22" i="16"/>
  <c r="AP22" i="16"/>
  <c r="AR22" i="16" s="1"/>
  <c r="AO22" i="16"/>
  <c r="AN22" i="16"/>
  <c r="AL22" i="16"/>
  <c r="AJ22" i="16"/>
  <c r="AH22" i="16"/>
  <c r="AF22" i="16"/>
  <c r="AD22" i="16"/>
  <c r="AC22" i="16"/>
  <c r="AE22" i="16" s="1"/>
  <c r="AA22" i="16"/>
  <c r="Z22" i="16"/>
  <c r="AB22" i="16" s="1"/>
  <c r="X22" i="16"/>
  <c r="W22" i="16"/>
  <c r="T22" i="16"/>
  <c r="S22" i="16"/>
  <c r="V22" i="16" s="1"/>
  <c r="R22" i="16"/>
  <c r="Q22" i="16"/>
  <c r="P22" i="16"/>
  <c r="N22" i="16"/>
  <c r="M22" i="16"/>
  <c r="J22" i="16"/>
  <c r="D22" i="16"/>
  <c r="C22" i="16" s="1"/>
  <c r="K22" i="16" s="1"/>
  <c r="AW21" i="16"/>
  <c r="AV21" i="16"/>
  <c r="AU21" i="16"/>
  <c r="AT21" i="16"/>
  <c r="AS21" i="16"/>
  <c r="AQ21" i="16"/>
  <c r="AP21" i="16"/>
  <c r="AR21" i="16" s="1"/>
  <c r="AO21" i="16"/>
  <c r="AN21" i="16"/>
  <c r="AL21" i="16"/>
  <c r="AJ21" i="16"/>
  <c r="AH21" i="16"/>
  <c r="AF21" i="16"/>
  <c r="AD21" i="16"/>
  <c r="AC21" i="16"/>
  <c r="AE21" i="16" s="1"/>
  <c r="AA21" i="16"/>
  <c r="Z21" i="16"/>
  <c r="AB21" i="16" s="1"/>
  <c r="X21" i="16"/>
  <c r="W21" i="16"/>
  <c r="T21" i="16"/>
  <c r="S21" i="16"/>
  <c r="V21" i="16" s="1"/>
  <c r="R21" i="16"/>
  <c r="Q21" i="16"/>
  <c r="P21" i="16"/>
  <c r="N21" i="16"/>
  <c r="M21" i="16"/>
  <c r="J21" i="16"/>
  <c r="D21" i="16"/>
  <c r="C21" i="16" s="1"/>
  <c r="K21" i="16" s="1"/>
  <c r="AW20" i="16"/>
  <c r="AV20" i="16"/>
  <c r="AU20" i="16"/>
  <c r="AT20" i="16"/>
  <c r="AS20" i="16"/>
  <c r="AQ20" i="16"/>
  <c r="AP20" i="16"/>
  <c r="AR20" i="16" s="1"/>
  <c r="AO20" i="16"/>
  <c r="AN20" i="16"/>
  <c r="AL20" i="16"/>
  <c r="AJ20" i="16"/>
  <c r="AH20" i="16"/>
  <c r="AF20" i="16"/>
  <c r="AD20" i="16"/>
  <c r="AC20" i="16"/>
  <c r="AE20" i="16" s="1"/>
  <c r="AA20" i="16"/>
  <c r="Z20" i="16"/>
  <c r="AB20" i="16" s="1"/>
  <c r="X20" i="16"/>
  <c r="W20" i="16"/>
  <c r="AG20" i="16" s="1"/>
  <c r="T20" i="16"/>
  <c r="S20" i="16"/>
  <c r="V20" i="16" s="1"/>
  <c r="R20" i="16"/>
  <c r="Q20" i="16"/>
  <c r="P20" i="16"/>
  <c r="N20" i="16"/>
  <c r="J20" i="16"/>
  <c r="D20" i="16"/>
  <c r="M20" i="16" s="1"/>
  <c r="C20" i="16"/>
  <c r="K20" i="16" s="1"/>
  <c r="AW19" i="16"/>
  <c r="AV19" i="16"/>
  <c r="AU19" i="16"/>
  <c r="AT19" i="16"/>
  <c r="AS19" i="16"/>
  <c r="AQ19" i="16"/>
  <c r="AP19" i="16"/>
  <c r="AR19" i="16" s="1"/>
  <c r="AO19" i="16"/>
  <c r="AN19" i="16"/>
  <c r="AL19" i="16"/>
  <c r="AJ19" i="16"/>
  <c r="AH19" i="16"/>
  <c r="AF19" i="16"/>
  <c r="AD19" i="16"/>
  <c r="AC19" i="16"/>
  <c r="AA19" i="16"/>
  <c r="Z19" i="16"/>
  <c r="X19" i="16"/>
  <c r="W19" i="16"/>
  <c r="AI19" i="16" s="1"/>
  <c r="T19" i="16"/>
  <c r="S19" i="16"/>
  <c r="V19" i="16" s="1"/>
  <c r="R19" i="16"/>
  <c r="Q19" i="16"/>
  <c r="P19" i="16"/>
  <c r="N19" i="16"/>
  <c r="M19" i="16"/>
  <c r="J19" i="16"/>
  <c r="D19" i="16"/>
  <c r="C19" i="16" s="1"/>
  <c r="K19" i="16" s="1"/>
  <c r="AW18" i="16"/>
  <c r="AV18" i="16"/>
  <c r="AU18" i="16"/>
  <c r="AT18" i="16"/>
  <c r="AS18" i="16"/>
  <c r="AQ18" i="16"/>
  <c r="AP18" i="16"/>
  <c r="AR18" i="16" s="1"/>
  <c r="AO18" i="16"/>
  <c r="AN18" i="16"/>
  <c r="AL18" i="16"/>
  <c r="AJ18" i="16"/>
  <c r="AH18" i="16"/>
  <c r="AF18" i="16"/>
  <c r="AD18" i="16"/>
  <c r="AC18" i="16"/>
  <c r="AA18" i="16"/>
  <c r="Z18" i="16"/>
  <c r="X18" i="16"/>
  <c r="W18" i="16"/>
  <c r="T18" i="16"/>
  <c r="S18" i="16"/>
  <c r="V18" i="16" s="1"/>
  <c r="R18" i="16"/>
  <c r="Q18" i="16"/>
  <c r="P18" i="16"/>
  <c r="N18" i="16"/>
  <c r="M18" i="16"/>
  <c r="J18" i="16"/>
  <c r="D18" i="16"/>
  <c r="C18" i="16" s="1"/>
  <c r="K18" i="16" s="1"/>
  <c r="AW17" i="16"/>
  <c r="AV17" i="16"/>
  <c r="AU17" i="16"/>
  <c r="AT17" i="16"/>
  <c r="AS17" i="16"/>
  <c r="AQ17" i="16"/>
  <c r="AP17" i="16"/>
  <c r="AR17" i="16" s="1"/>
  <c r="AO17" i="16"/>
  <c r="AN17" i="16"/>
  <c r="AL17" i="16"/>
  <c r="AJ17" i="16"/>
  <c r="AH17" i="16"/>
  <c r="AF17" i="16"/>
  <c r="AD17" i="16"/>
  <c r="AC17" i="16"/>
  <c r="AA17" i="16"/>
  <c r="Z17" i="16"/>
  <c r="X17" i="16"/>
  <c r="W17" i="16"/>
  <c r="AI17" i="16" s="1"/>
  <c r="T17" i="16"/>
  <c r="S17" i="16"/>
  <c r="V17" i="16" s="1"/>
  <c r="R17" i="16"/>
  <c r="Q17" i="16"/>
  <c r="P17" i="16"/>
  <c r="N17" i="16"/>
  <c r="J17" i="16"/>
  <c r="D17" i="16"/>
  <c r="M17" i="16" s="1"/>
  <c r="C17" i="16"/>
  <c r="K17" i="16" s="1"/>
  <c r="AW16" i="16"/>
  <c r="AV16" i="16"/>
  <c r="AU16" i="16"/>
  <c r="AT16" i="16"/>
  <c r="AS16" i="16"/>
  <c r="AQ16" i="16"/>
  <c r="AP16" i="16"/>
  <c r="AR16" i="16" s="1"/>
  <c r="AO16" i="16"/>
  <c r="AN16" i="16"/>
  <c r="AL16" i="16"/>
  <c r="AJ16" i="16"/>
  <c r="AH16" i="16"/>
  <c r="AF16" i="16"/>
  <c r="AD16" i="16"/>
  <c r="AC16" i="16"/>
  <c r="AE16" i="16" s="1"/>
  <c r="AA16" i="16"/>
  <c r="Z16" i="16"/>
  <c r="AB16" i="16" s="1"/>
  <c r="X16" i="16"/>
  <c r="W16" i="16"/>
  <c r="AI16" i="16" s="1"/>
  <c r="T16" i="16"/>
  <c r="S16" i="16"/>
  <c r="V16" i="16" s="1"/>
  <c r="R16" i="16"/>
  <c r="Q16" i="16"/>
  <c r="P16" i="16"/>
  <c r="N16" i="16"/>
  <c r="M16" i="16"/>
  <c r="J16" i="16"/>
  <c r="D16" i="16"/>
  <c r="C16" i="16" s="1"/>
  <c r="K16" i="16" s="1"/>
  <c r="AW15" i="16"/>
  <c r="AV15" i="16"/>
  <c r="AU15" i="16"/>
  <c r="AT15" i="16"/>
  <c r="AS15" i="16"/>
  <c r="AQ15" i="16"/>
  <c r="AP15" i="16"/>
  <c r="AR15" i="16" s="1"/>
  <c r="AO15" i="16"/>
  <c r="AN15" i="16"/>
  <c r="AL15" i="16"/>
  <c r="AJ15" i="16"/>
  <c r="AH15" i="16"/>
  <c r="AF15" i="16"/>
  <c r="AD15" i="16"/>
  <c r="AC15" i="16"/>
  <c r="AE15" i="16" s="1"/>
  <c r="AA15" i="16"/>
  <c r="Z15" i="16"/>
  <c r="AB15" i="16" s="1"/>
  <c r="X15" i="16"/>
  <c r="W15" i="16"/>
  <c r="T15" i="16"/>
  <c r="S15" i="16"/>
  <c r="V15" i="16" s="1"/>
  <c r="R15" i="16"/>
  <c r="Q15" i="16"/>
  <c r="P15" i="16"/>
  <c r="N15" i="16"/>
  <c r="M15" i="16"/>
  <c r="J15" i="16"/>
  <c r="D15" i="16"/>
  <c r="C15" i="16" s="1"/>
  <c r="K15" i="16" s="1"/>
  <c r="AW14" i="16"/>
  <c r="AV14" i="16"/>
  <c r="AU14" i="16"/>
  <c r="AT14" i="16"/>
  <c r="AS14" i="16"/>
  <c r="AQ14" i="16"/>
  <c r="AP14" i="16"/>
  <c r="AR14" i="16" s="1"/>
  <c r="AO14" i="16"/>
  <c r="AN14" i="16"/>
  <c r="AL14" i="16"/>
  <c r="AJ14" i="16"/>
  <c r="AH14" i="16"/>
  <c r="AF14" i="16"/>
  <c r="AD14" i="16"/>
  <c r="AC14" i="16"/>
  <c r="AA14" i="16"/>
  <c r="Z14" i="16"/>
  <c r="X14" i="16"/>
  <c r="W14" i="16"/>
  <c r="AG14" i="16" s="1"/>
  <c r="T14" i="16"/>
  <c r="S14" i="16"/>
  <c r="R14" i="16"/>
  <c r="Q14" i="16"/>
  <c r="P14" i="16"/>
  <c r="N14" i="16"/>
  <c r="J14" i="16"/>
  <c r="D14" i="16"/>
  <c r="M14" i="16" s="1"/>
  <c r="C14" i="16"/>
  <c r="K14" i="16" s="1"/>
  <c r="Q13" i="16"/>
  <c r="P13" i="16"/>
  <c r="O13" i="16"/>
  <c r="L13" i="16"/>
  <c r="J13" i="16"/>
  <c r="I13" i="16"/>
  <c r="H13" i="16"/>
  <c r="N13" i="16" s="1"/>
  <c r="G13" i="16"/>
  <c r="G8" i="16" s="1"/>
  <c r="F13" i="16"/>
  <c r="E13" i="16"/>
  <c r="E8" i="16" s="1"/>
  <c r="T9" i="16"/>
  <c r="S9" i="16"/>
  <c r="V9" i="16" s="1"/>
  <c r="R9" i="16"/>
  <c r="O9" i="16"/>
  <c r="L9" i="16"/>
  <c r="J9" i="16"/>
  <c r="I9" i="16"/>
  <c r="Q9" i="16" s="1"/>
  <c r="H9" i="16"/>
  <c r="N9" i="16" s="1"/>
  <c r="G9" i="16"/>
  <c r="P9" i="16" s="1"/>
  <c r="F9" i="16"/>
  <c r="E9" i="16"/>
  <c r="D9" i="16"/>
  <c r="M9" i="16" s="1"/>
  <c r="O8" i="16"/>
  <c r="L8" i="16"/>
  <c r="J8" i="16" s="1"/>
  <c r="I8" i="16"/>
  <c r="Q8" i="16" s="1"/>
  <c r="F8" i="16"/>
  <c r="F7" i="16" s="1"/>
  <c r="V106" i="15"/>
  <c r="U106" i="15"/>
  <c r="Q106" i="15"/>
  <c r="P106" i="15"/>
  <c r="N106" i="15"/>
  <c r="M106" i="15"/>
  <c r="K106" i="15"/>
  <c r="J106" i="15"/>
  <c r="D106" i="15"/>
  <c r="C106" i="15"/>
  <c r="V105" i="15"/>
  <c r="U105" i="15"/>
  <c r="Q105" i="15"/>
  <c r="P105" i="15"/>
  <c r="N105" i="15"/>
  <c r="J105" i="15"/>
  <c r="D105" i="15"/>
  <c r="M105" i="15" s="1"/>
  <c r="V104" i="15"/>
  <c r="U104" i="15"/>
  <c r="Q104" i="15"/>
  <c r="P104" i="15"/>
  <c r="N104" i="15"/>
  <c r="J104" i="15"/>
  <c r="D104" i="15"/>
  <c r="C104" i="15" s="1"/>
  <c r="K104" i="15" s="1"/>
  <c r="V103" i="15"/>
  <c r="U103" i="15"/>
  <c r="Q103" i="15"/>
  <c r="P103" i="15"/>
  <c r="N103" i="15"/>
  <c r="M103" i="15"/>
  <c r="K103" i="15"/>
  <c r="J103" i="15"/>
  <c r="D103" i="15"/>
  <c r="C103" i="15"/>
  <c r="V102" i="15"/>
  <c r="U102" i="15"/>
  <c r="Q102" i="15"/>
  <c r="P102" i="15"/>
  <c r="N102" i="15"/>
  <c r="J102" i="15"/>
  <c r="D102" i="15"/>
  <c r="M102" i="15" s="1"/>
  <c r="V101" i="15"/>
  <c r="U101" i="15"/>
  <c r="Q101" i="15"/>
  <c r="P101" i="15"/>
  <c r="N101" i="15"/>
  <c r="J101" i="15"/>
  <c r="D101" i="15"/>
  <c r="C101" i="15" s="1"/>
  <c r="K101" i="15" s="1"/>
  <c r="V100" i="15"/>
  <c r="U100" i="15"/>
  <c r="Q100" i="15"/>
  <c r="P100" i="15"/>
  <c r="N100" i="15"/>
  <c r="M100" i="15"/>
  <c r="K100" i="15"/>
  <c r="J100" i="15"/>
  <c r="D100" i="15"/>
  <c r="C100" i="15"/>
  <c r="V99" i="15"/>
  <c r="U99" i="15"/>
  <c r="Q99" i="15"/>
  <c r="P99" i="15"/>
  <c r="N99" i="15"/>
  <c r="J99" i="15"/>
  <c r="D99" i="15"/>
  <c r="M99" i="15" s="1"/>
  <c r="V98" i="15"/>
  <c r="U98" i="15"/>
  <c r="Q98" i="15"/>
  <c r="P98" i="15"/>
  <c r="N98" i="15"/>
  <c r="J98" i="15"/>
  <c r="D98" i="15"/>
  <c r="C98" i="15" s="1"/>
  <c r="K98" i="15" s="1"/>
  <c r="V97" i="15"/>
  <c r="U97" i="15"/>
  <c r="Q97" i="15"/>
  <c r="P97" i="15"/>
  <c r="N97" i="15"/>
  <c r="M97" i="15"/>
  <c r="K97" i="15"/>
  <c r="J97" i="15"/>
  <c r="D97" i="15"/>
  <c r="C97" i="15"/>
  <c r="V96" i="15"/>
  <c r="U96" i="15"/>
  <c r="Q96" i="15"/>
  <c r="P96" i="15"/>
  <c r="N96" i="15"/>
  <c r="J96" i="15"/>
  <c r="D96" i="15"/>
  <c r="M96" i="15" s="1"/>
  <c r="V95" i="15"/>
  <c r="U95" i="15"/>
  <c r="Q95" i="15"/>
  <c r="P95" i="15"/>
  <c r="N95" i="15"/>
  <c r="J95" i="15"/>
  <c r="D95" i="15"/>
  <c r="C95" i="15" s="1"/>
  <c r="K95" i="15" s="1"/>
  <c r="V94" i="15"/>
  <c r="U94" i="15"/>
  <c r="Q94" i="15"/>
  <c r="P94" i="15"/>
  <c r="N94" i="15"/>
  <c r="M94" i="15"/>
  <c r="K94" i="15"/>
  <c r="J94" i="15"/>
  <c r="D94" i="15"/>
  <c r="C94" i="15"/>
  <c r="V93" i="15"/>
  <c r="U93" i="15"/>
  <c r="Q93" i="15"/>
  <c r="P93" i="15"/>
  <c r="N93" i="15"/>
  <c r="J93" i="15"/>
  <c r="D93" i="15"/>
  <c r="M93" i="15" s="1"/>
  <c r="V92" i="15"/>
  <c r="U92" i="15"/>
  <c r="Q92" i="15"/>
  <c r="P92" i="15"/>
  <c r="N92" i="15"/>
  <c r="N89" i="15" s="1"/>
  <c r="J92" i="15"/>
  <c r="D92" i="15"/>
  <c r="C92" i="15" s="1"/>
  <c r="K92" i="15" s="1"/>
  <c r="V91" i="15"/>
  <c r="U91" i="15"/>
  <c r="Q91" i="15"/>
  <c r="P91" i="15"/>
  <c r="N91" i="15"/>
  <c r="M91" i="15"/>
  <c r="K91" i="15"/>
  <c r="J91" i="15"/>
  <c r="D91" i="15"/>
  <c r="C91" i="15"/>
  <c r="V90" i="15"/>
  <c r="U90" i="15"/>
  <c r="Q90" i="15"/>
  <c r="Q89" i="15" s="1"/>
  <c r="P90" i="15"/>
  <c r="P89" i="15" s="1"/>
  <c r="N90" i="15"/>
  <c r="J90" i="15"/>
  <c r="J89" i="15" s="1"/>
  <c r="D90" i="15"/>
  <c r="M90" i="15" s="1"/>
  <c r="T89" i="15"/>
  <c r="S89" i="15"/>
  <c r="V89" i="15" s="1"/>
  <c r="R89" i="15"/>
  <c r="U89" i="15" s="1"/>
  <c r="O89" i="15"/>
  <c r="L89" i="15"/>
  <c r="I89" i="15"/>
  <c r="H89" i="15"/>
  <c r="G89" i="15"/>
  <c r="F89" i="15"/>
  <c r="E89" i="15"/>
  <c r="AE88" i="15"/>
  <c r="AD88" i="15"/>
  <c r="AC88" i="15"/>
  <c r="AB88" i="15"/>
  <c r="AA88" i="15"/>
  <c r="Z88" i="15"/>
  <c r="X88" i="15"/>
  <c r="W88" i="15"/>
  <c r="T88" i="15"/>
  <c r="S88" i="15"/>
  <c r="V88" i="15" s="1"/>
  <c r="R88" i="15"/>
  <c r="Q88" i="15"/>
  <c r="P88" i="15"/>
  <c r="N88" i="15"/>
  <c r="J88" i="15"/>
  <c r="D88" i="15"/>
  <c r="M88" i="15" s="1"/>
  <c r="AE87" i="15"/>
  <c r="AD87" i="15"/>
  <c r="AC87" i="15"/>
  <c r="AB87" i="15"/>
  <c r="AA87" i="15"/>
  <c r="Z87" i="15"/>
  <c r="X87" i="15"/>
  <c r="W87" i="15"/>
  <c r="Y87" i="15" s="1"/>
  <c r="T87" i="15"/>
  <c r="S87" i="15"/>
  <c r="V87" i="15" s="1"/>
  <c r="R87" i="15"/>
  <c r="U87" i="15" s="1"/>
  <c r="Q87" i="15"/>
  <c r="P87" i="15"/>
  <c r="N87" i="15"/>
  <c r="J87" i="15"/>
  <c r="D87" i="15"/>
  <c r="C87" i="15" s="1"/>
  <c r="K87" i="15" s="1"/>
  <c r="AE86" i="15"/>
  <c r="AD86" i="15"/>
  <c r="AC86" i="15"/>
  <c r="AB86" i="15"/>
  <c r="AA86" i="15"/>
  <c r="Z86" i="15"/>
  <c r="X86" i="15"/>
  <c r="W86" i="15"/>
  <c r="T86" i="15"/>
  <c r="S86" i="15"/>
  <c r="V86" i="15" s="1"/>
  <c r="R86" i="15"/>
  <c r="Q86" i="15"/>
  <c r="P86" i="15"/>
  <c r="N86" i="15"/>
  <c r="M86" i="15"/>
  <c r="K86" i="15"/>
  <c r="J86" i="15"/>
  <c r="D86" i="15"/>
  <c r="C86" i="15"/>
  <c r="AE85" i="15"/>
  <c r="AD85" i="15"/>
  <c r="AC85" i="15"/>
  <c r="AB85" i="15"/>
  <c r="AA85" i="15"/>
  <c r="Z85" i="15"/>
  <c r="X85" i="15"/>
  <c r="W85" i="15"/>
  <c r="Y85" i="15" s="1"/>
  <c r="T85" i="15"/>
  <c r="S85" i="15"/>
  <c r="V85" i="15" s="1"/>
  <c r="R85" i="15"/>
  <c r="U85" i="15" s="1"/>
  <c r="Q85" i="15"/>
  <c r="P85" i="15"/>
  <c r="N85" i="15"/>
  <c r="J85" i="15"/>
  <c r="D85" i="15"/>
  <c r="M85" i="15" s="1"/>
  <c r="AE84" i="15"/>
  <c r="AD84" i="15"/>
  <c r="AC84" i="15"/>
  <c r="AB84" i="15"/>
  <c r="AA84" i="15"/>
  <c r="Z84" i="15"/>
  <c r="X84" i="15"/>
  <c r="W84" i="15"/>
  <c r="Y84" i="15" s="1"/>
  <c r="T84" i="15"/>
  <c r="S84" i="15"/>
  <c r="V84" i="15" s="1"/>
  <c r="R84" i="15"/>
  <c r="U84" i="15" s="1"/>
  <c r="Q84" i="15"/>
  <c r="P84" i="15"/>
  <c r="N84" i="15"/>
  <c r="J84" i="15"/>
  <c r="D84" i="15"/>
  <c r="C84" i="15" s="1"/>
  <c r="K84" i="15" s="1"/>
  <c r="AE83" i="15"/>
  <c r="AD83" i="15"/>
  <c r="AC83" i="15"/>
  <c r="AB83" i="15"/>
  <c r="AA83" i="15"/>
  <c r="Z83" i="15"/>
  <c r="X83" i="15"/>
  <c r="W83" i="15"/>
  <c r="Y83" i="15" s="1"/>
  <c r="T83" i="15"/>
  <c r="S83" i="15"/>
  <c r="V83" i="15" s="1"/>
  <c r="R83" i="15"/>
  <c r="U83" i="15" s="1"/>
  <c r="Q83" i="15"/>
  <c r="P83" i="15"/>
  <c r="N83" i="15"/>
  <c r="M83" i="15"/>
  <c r="K83" i="15"/>
  <c r="J83" i="15"/>
  <c r="D83" i="15"/>
  <c r="C83" i="15"/>
  <c r="AE82" i="15"/>
  <c r="AD82" i="15"/>
  <c r="AC82" i="15"/>
  <c r="AB82" i="15"/>
  <c r="AA82" i="15"/>
  <c r="Z82" i="15"/>
  <c r="X82" i="15"/>
  <c r="W82" i="15"/>
  <c r="Y82" i="15" s="1"/>
  <c r="T82" i="15"/>
  <c r="S82" i="15"/>
  <c r="V82" i="15" s="1"/>
  <c r="R82" i="15"/>
  <c r="U82" i="15" s="1"/>
  <c r="Q82" i="15"/>
  <c r="P82" i="15"/>
  <c r="N82" i="15"/>
  <c r="J82" i="15"/>
  <c r="D82" i="15"/>
  <c r="M82" i="15" s="1"/>
  <c r="AE81" i="15"/>
  <c r="AD81" i="15"/>
  <c r="AC81" i="15"/>
  <c r="AB81" i="15"/>
  <c r="AA81" i="15"/>
  <c r="Z81" i="15"/>
  <c r="X81" i="15"/>
  <c r="W81" i="15"/>
  <c r="Y81" i="15" s="1"/>
  <c r="T81" i="15"/>
  <c r="S81" i="15"/>
  <c r="V81" i="15" s="1"/>
  <c r="R81" i="15"/>
  <c r="U81" i="15" s="1"/>
  <c r="Q81" i="15"/>
  <c r="P81" i="15"/>
  <c r="N81" i="15"/>
  <c r="J81" i="15"/>
  <c r="D81" i="15"/>
  <c r="C81" i="15" s="1"/>
  <c r="K81" i="15" s="1"/>
  <c r="AE80" i="15"/>
  <c r="AD80" i="15"/>
  <c r="AC80" i="15"/>
  <c r="AB80" i="15"/>
  <c r="AA80" i="15"/>
  <c r="Z80" i="15"/>
  <c r="X80" i="15"/>
  <c r="W80" i="15"/>
  <c r="Y80" i="15" s="1"/>
  <c r="T80" i="15"/>
  <c r="S80" i="15"/>
  <c r="V80" i="15" s="1"/>
  <c r="R80" i="15"/>
  <c r="U80" i="15" s="1"/>
  <c r="Q80" i="15"/>
  <c r="P80" i="15"/>
  <c r="N80" i="15"/>
  <c r="M80" i="15"/>
  <c r="K80" i="15"/>
  <c r="J80" i="15"/>
  <c r="D80" i="15"/>
  <c r="C80" i="15"/>
  <c r="AE79" i="15"/>
  <c r="AD79" i="15"/>
  <c r="AC79" i="15"/>
  <c r="AB79" i="15"/>
  <c r="AA79" i="15"/>
  <c r="Z79" i="15"/>
  <c r="X79" i="15"/>
  <c r="W79" i="15"/>
  <c r="Y79" i="15" s="1"/>
  <c r="T79" i="15"/>
  <c r="S79" i="15"/>
  <c r="V79" i="15" s="1"/>
  <c r="R79" i="15"/>
  <c r="U79" i="15" s="1"/>
  <c r="Q79" i="15"/>
  <c r="P79" i="15"/>
  <c r="N79" i="15"/>
  <c r="J79" i="15"/>
  <c r="D79" i="15"/>
  <c r="M79" i="15" s="1"/>
  <c r="AE78" i="15"/>
  <c r="AD78" i="15"/>
  <c r="AC78" i="15"/>
  <c r="AB78" i="15"/>
  <c r="AA78" i="15"/>
  <c r="Z78" i="15"/>
  <c r="X78" i="15"/>
  <c r="W78" i="15"/>
  <c r="Y78" i="15" s="1"/>
  <c r="T78" i="15"/>
  <c r="S78" i="15"/>
  <c r="V78" i="15" s="1"/>
  <c r="R78" i="15"/>
  <c r="U78" i="15" s="1"/>
  <c r="Q78" i="15"/>
  <c r="P78" i="15"/>
  <c r="N78" i="15"/>
  <c r="J78" i="15"/>
  <c r="D78" i="15"/>
  <c r="C78" i="15" s="1"/>
  <c r="K78" i="15" s="1"/>
  <c r="AE77" i="15"/>
  <c r="AD77" i="15"/>
  <c r="AC77" i="15"/>
  <c r="AB77" i="15"/>
  <c r="AA77" i="15"/>
  <c r="Z77" i="15"/>
  <c r="X77" i="15"/>
  <c r="W77" i="15"/>
  <c r="Y77" i="15" s="1"/>
  <c r="T77" i="15"/>
  <c r="S77" i="15"/>
  <c r="V77" i="15" s="1"/>
  <c r="R77" i="15"/>
  <c r="U77" i="15" s="1"/>
  <c r="Q77" i="15"/>
  <c r="P77" i="15"/>
  <c r="N77" i="15"/>
  <c r="M77" i="15"/>
  <c r="K77" i="15"/>
  <c r="J77" i="15"/>
  <c r="D77" i="15"/>
  <c r="C77" i="15"/>
  <c r="AE76" i="15"/>
  <c r="AD76" i="15"/>
  <c r="AC76" i="15"/>
  <c r="AB76" i="15"/>
  <c r="AA76" i="15"/>
  <c r="Z76" i="15"/>
  <c r="X76" i="15"/>
  <c r="W76" i="15"/>
  <c r="T76" i="15"/>
  <c r="S76" i="15"/>
  <c r="V76" i="15" s="1"/>
  <c r="R76" i="15"/>
  <c r="Q76" i="15"/>
  <c r="P76" i="15"/>
  <c r="N76" i="15"/>
  <c r="J76" i="15"/>
  <c r="D76" i="15"/>
  <c r="M76" i="15" s="1"/>
  <c r="AE75" i="15"/>
  <c r="AD75" i="15"/>
  <c r="AC75" i="15"/>
  <c r="AB75" i="15"/>
  <c r="AA75" i="15"/>
  <c r="Z75" i="15"/>
  <c r="X75" i="15"/>
  <c r="W75" i="15"/>
  <c r="T75" i="15"/>
  <c r="S75" i="15"/>
  <c r="R75" i="15"/>
  <c r="Q75" i="15"/>
  <c r="P75" i="15"/>
  <c r="N75" i="15"/>
  <c r="J75" i="15"/>
  <c r="D75" i="15"/>
  <c r="C75" i="15" s="1"/>
  <c r="K75" i="15" s="1"/>
  <c r="O74" i="15"/>
  <c r="L74" i="15"/>
  <c r="J74" i="15"/>
  <c r="I74" i="15"/>
  <c r="Q74" i="15" s="1"/>
  <c r="H74" i="15"/>
  <c r="N74" i="15" s="1"/>
  <c r="G74" i="15"/>
  <c r="P74" i="15" s="1"/>
  <c r="F74" i="15"/>
  <c r="E74" i="15"/>
  <c r="AE73" i="15"/>
  <c r="AD73" i="15"/>
  <c r="AC73" i="15"/>
  <c r="AB73" i="15"/>
  <c r="AA73" i="15"/>
  <c r="Z73" i="15"/>
  <c r="X73" i="15"/>
  <c r="W73" i="15"/>
  <c r="Y73" i="15" s="1"/>
  <c r="T73" i="15"/>
  <c r="S73" i="15"/>
  <c r="V73" i="15" s="1"/>
  <c r="R73" i="15"/>
  <c r="U73" i="15" s="1"/>
  <c r="Q73" i="15"/>
  <c r="P73" i="15"/>
  <c r="N73" i="15"/>
  <c r="M73" i="15"/>
  <c r="J73" i="15"/>
  <c r="D73" i="15"/>
  <c r="C73" i="15" s="1"/>
  <c r="K73" i="15" s="1"/>
  <c r="AE72" i="15"/>
  <c r="AD72" i="15"/>
  <c r="AC72" i="15"/>
  <c r="AB72" i="15"/>
  <c r="AA72" i="15"/>
  <c r="Z72" i="15"/>
  <c r="X72" i="15"/>
  <c r="W72" i="15"/>
  <c r="Y72" i="15" s="1"/>
  <c r="T72" i="15"/>
  <c r="S72" i="15"/>
  <c r="V72" i="15" s="1"/>
  <c r="R72" i="15"/>
  <c r="U72" i="15" s="1"/>
  <c r="Q72" i="15"/>
  <c r="P72" i="15"/>
  <c r="N72" i="15"/>
  <c r="J72" i="15"/>
  <c r="D72" i="15"/>
  <c r="M72" i="15" s="1"/>
  <c r="C72" i="15"/>
  <c r="K72" i="15" s="1"/>
  <c r="AE71" i="15"/>
  <c r="AD71" i="15"/>
  <c r="AC71" i="15"/>
  <c r="AB71" i="15"/>
  <c r="AA71" i="15"/>
  <c r="Z71" i="15"/>
  <c r="X71" i="15"/>
  <c r="W71" i="15"/>
  <c r="Y71" i="15" s="1"/>
  <c r="T71" i="15"/>
  <c r="S71" i="15"/>
  <c r="V71" i="15" s="1"/>
  <c r="R71" i="15"/>
  <c r="U71" i="15" s="1"/>
  <c r="Q71" i="15"/>
  <c r="P71" i="15"/>
  <c r="N71" i="15"/>
  <c r="M71" i="15"/>
  <c r="J71" i="15"/>
  <c r="D71" i="15"/>
  <c r="C71" i="15" s="1"/>
  <c r="K71" i="15" s="1"/>
  <c r="AE70" i="15"/>
  <c r="AD70" i="15"/>
  <c r="AC70" i="15"/>
  <c r="AB70" i="15"/>
  <c r="AA70" i="15"/>
  <c r="Z70" i="15"/>
  <c r="X70" i="15"/>
  <c r="W70" i="15"/>
  <c r="Y70" i="15" s="1"/>
  <c r="T70" i="15"/>
  <c r="S70" i="15"/>
  <c r="V70" i="15" s="1"/>
  <c r="R70" i="15"/>
  <c r="U70" i="15" s="1"/>
  <c r="Q70" i="15"/>
  <c r="P70" i="15"/>
  <c r="N70" i="15"/>
  <c r="M70" i="15"/>
  <c r="J70" i="15"/>
  <c r="D70" i="15"/>
  <c r="C70" i="15" s="1"/>
  <c r="K70" i="15" s="1"/>
  <c r="AE69" i="15"/>
  <c r="AD69" i="15"/>
  <c r="AC69" i="15"/>
  <c r="AB69" i="15"/>
  <c r="AA69" i="15"/>
  <c r="Z69" i="15"/>
  <c r="X69" i="15"/>
  <c r="W69" i="15"/>
  <c r="T69" i="15"/>
  <c r="S69" i="15"/>
  <c r="V69" i="15" s="1"/>
  <c r="R69" i="15"/>
  <c r="Q69" i="15"/>
  <c r="P69" i="15"/>
  <c r="N69" i="15"/>
  <c r="J69" i="15"/>
  <c r="D69" i="15"/>
  <c r="M69" i="15" s="1"/>
  <c r="C69" i="15"/>
  <c r="K69" i="15" s="1"/>
  <c r="AE68" i="15"/>
  <c r="AD68" i="15"/>
  <c r="AC68" i="15"/>
  <c r="AB68" i="15"/>
  <c r="AA68" i="15"/>
  <c r="Z68" i="15"/>
  <c r="X68" i="15"/>
  <c r="W68" i="15"/>
  <c r="Y68" i="15" s="1"/>
  <c r="T68" i="15"/>
  <c r="S68" i="15"/>
  <c r="V68" i="15" s="1"/>
  <c r="R68" i="15"/>
  <c r="U68" i="15" s="1"/>
  <c r="Q68" i="15"/>
  <c r="P68" i="15"/>
  <c r="N68" i="15"/>
  <c r="M68" i="15"/>
  <c r="J68" i="15"/>
  <c r="D68" i="15"/>
  <c r="C68" i="15" s="1"/>
  <c r="K68" i="15" s="1"/>
  <c r="AE67" i="15"/>
  <c r="AD67" i="15"/>
  <c r="AC67" i="15"/>
  <c r="AB67" i="15"/>
  <c r="AA67" i="15"/>
  <c r="Z67" i="15"/>
  <c r="X67" i="15"/>
  <c r="W67" i="15"/>
  <c r="Y67" i="15" s="1"/>
  <c r="T67" i="15"/>
  <c r="S67" i="15"/>
  <c r="V67" i="15" s="1"/>
  <c r="R67" i="15"/>
  <c r="U67" i="15" s="1"/>
  <c r="Q67" i="15"/>
  <c r="P67" i="15"/>
  <c r="N67" i="15"/>
  <c r="M67" i="15"/>
  <c r="J67" i="15"/>
  <c r="D67" i="15"/>
  <c r="C67" i="15" s="1"/>
  <c r="K67" i="15" s="1"/>
  <c r="AE66" i="15"/>
  <c r="AD66" i="15"/>
  <c r="AC66" i="15"/>
  <c r="AB66" i="15"/>
  <c r="AA66" i="15"/>
  <c r="Z66" i="15"/>
  <c r="X66" i="15"/>
  <c r="W66" i="15"/>
  <c r="Y66" i="15" s="1"/>
  <c r="T66" i="15"/>
  <c r="S66" i="15"/>
  <c r="V66" i="15" s="1"/>
  <c r="R66" i="15"/>
  <c r="U66" i="15" s="1"/>
  <c r="Q66" i="15"/>
  <c r="P66" i="15"/>
  <c r="N66" i="15"/>
  <c r="J66" i="15"/>
  <c r="D66" i="15"/>
  <c r="M66" i="15" s="1"/>
  <c r="C66" i="15"/>
  <c r="K66" i="15" s="1"/>
  <c r="AE65" i="15"/>
  <c r="AD65" i="15"/>
  <c r="AC65" i="15"/>
  <c r="AB65" i="15"/>
  <c r="AA65" i="15"/>
  <c r="Z65" i="15"/>
  <c r="X65" i="15"/>
  <c r="W65" i="15"/>
  <c r="Y65" i="15" s="1"/>
  <c r="T65" i="15"/>
  <c r="S65" i="15"/>
  <c r="V65" i="15" s="1"/>
  <c r="R65" i="15"/>
  <c r="U65" i="15" s="1"/>
  <c r="Q65" i="15"/>
  <c r="P65" i="15"/>
  <c r="N65" i="15"/>
  <c r="M65" i="15"/>
  <c r="J65" i="15"/>
  <c r="D65" i="15"/>
  <c r="C65" i="15" s="1"/>
  <c r="K65" i="15" s="1"/>
  <c r="AE64" i="15"/>
  <c r="AD64" i="15"/>
  <c r="AC64" i="15"/>
  <c r="AB64" i="15"/>
  <c r="AA64" i="15"/>
  <c r="Z64" i="15"/>
  <c r="X64" i="15"/>
  <c r="W64" i="15"/>
  <c r="Y64" i="15" s="1"/>
  <c r="T64" i="15"/>
  <c r="S64" i="15"/>
  <c r="V64" i="15" s="1"/>
  <c r="R64" i="15"/>
  <c r="U64" i="15" s="1"/>
  <c r="Q64" i="15"/>
  <c r="P64" i="15"/>
  <c r="N64" i="15"/>
  <c r="M64" i="15"/>
  <c r="J64" i="15"/>
  <c r="D64" i="15"/>
  <c r="C64" i="15" s="1"/>
  <c r="K64" i="15" s="1"/>
  <c r="AE63" i="15"/>
  <c r="AD63" i="15"/>
  <c r="AC63" i="15"/>
  <c r="AB63" i="15"/>
  <c r="AA63" i="15"/>
  <c r="Z63" i="15"/>
  <c r="X63" i="15"/>
  <c r="W63" i="15"/>
  <c r="Y63" i="15" s="1"/>
  <c r="T63" i="15"/>
  <c r="S63" i="15"/>
  <c r="V63" i="15" s="1"/>
  <c r="R63" i="15"/>
  <c r="U63" i="15" s="1"/>
  <c r="Q63" i="15"/>
  <c r="P63" i="15"/>
  <c r="N63" i="15"/>
  <c r="J63" i="15"/>
  <c r="D63" i="15"/>
  <c r="M63" i="15" s="1"/>
  <c r="C63" i="15"/>
  <c r="K63" i="15" s="1"/>
  <c r="AE62" i="15"/>
  <c r="AD62" i="15"/>
  <c r="AC62" i="15"/>
  <c r="AB62" i="15"/>
  <c r="AA62" i="15"/>
  <c r="Z62" i="15"/>
  <c r="X62" i="15"/>
  <c r="W62" i="15"/>
  <c r="Y62" i="15" s="1"/>
  <c r="T62" i="15"/>
  <c r="S62" i="15"/>
  <c r="V62" i="15" s="1"/>
  <c r="R62" i="15"/>
  <c r="U62" i="15" s="1"/>
  <c r="Q62" i="15"/>
  <c r="P62" i="15"/>
  <c r="N62" i="15"/>
  <c r="M62" i="15"/>
  <c r="J62" i="15"/>
  <c r="D62" i="15"/>
  <c r="C62" i="15" s="1"/>
  <c r="K62" i="15" s="1"/>
  <c r="AE61" i="15"/>
  <c r="AD61" i="15"/>
  <c r="AC61" i="15"/>
  <c r="AB61" i="15"/>
  <c r="AA61" i="15"/>
  <c r="Z61" i="15"/>
  <c r="X61" i="15"/>
  <c r="W61" i="15"/>
  <c r="Y61" i="15" s="1"/>
  <c r="T61" i="15"/>
  <c r="S61" i="15"/>
  <c r="V61" i="15" s="1"/>
  <c r="R61" i="15"/>
  <c r="U61" i="15" s="1"/>
  <c r="Q61" i="15"/>
  <c r="P61" i="15"/>
  <c r="N61" i="15"/>
  <c r="M61" i="15"/>
  <c r="J61" i="15"/>
  <c r="D61" i="15"/>
  <c r="C61" i="15" s="1"/>
  <c r="K61" i="15" s="1"/>
  <c r="AE60" i="15"/>
  <c r="AD60" i="15"/>
  <c r="AC60" i="15"/>
  <c r="AB60" i="15"/>
  <c r="AA60" i="15"/>
  <c r="Z60" i="15"/>
  <c r="X60" i="15"/>
  <c r="W60" i="15"/>
  <c r="Y60" i="15" s="1"/>
  <c r="T60" i="15"/>
  <c r="S60" i="15"/>
  <c r="V60" i="15" s="1"/>
  <c r="R60" i="15"/>
  <c r="U60" i="15" s="1"/>
  <c r="Q60" i="15"/>
  <c r="P60" i="15"/>
  <c r="N60" i="15"/>
  <c r="J60" i="15"/>
  <c r="D60" i="15"/>
  <c r="M60" i="15" s="1"/>
  <c r="C60" i="15"/>
  <c r="K60" i="15" s="1"/>
  <c r="AE59" i="15"/>
  <c r="AD59" i="15"/>
  <c r="AC59" i="15"/>
  <c r="AB59" i="15"/>
  <c r="AA59" i="15"/>
  <c r="Z59" i="15"/>
  <c r="X59" i="15"/>
  <c r="W59" i="15"/>
  <c r="Y59" i="15" s="1"/>
  <c r="T59" i="15"/>
  <c r="S59" i="15"/>
  <c r="V59" i="15" s="1"/>
  <c r="R59" i="15"/>
  <c r="U59" i="15" s="1"/>
  <c r="Q59" i="15"/>
  <c r="P59" i="15"/>
  <c r="N59" i="15"/>
  <c r="M59" i="15"/>
  <c r="J59" i="15"/>
  <c r="D59" i="15"/>
  <c r="C59" i="15" s="1"/>
  <c r="K59" i="15" s="1"/>
  <c r="AE58" i="15"/>
  <c r="AD58" i="15"/>
  <c r="AC58" i="15"/>
  <c r="AB58" i="15"/>
  <c r="AA58" i="15"/>
  <c r="Z58" i="15"/>
  <c r="X58" i="15"/>
  <c r="W58" i="15"/>
  <c r="Y58" i="15" s="1"/>
  <c r="T58" i="15"/>
  <c r="S58" i="15"/>
  <c r="V58" i="15" s="1"/>
  <c r="R58" i="15"/>
  <c r="U58" i="15" s="1"/>
  <c r="Q58" i="15"/>
  <c r="P58" i="15"/>
  <c r="N58" i="15"/>
  <c r="M58" i="15"/>
  <c r="J58" i="15"/>
  <c r="D58" i="15"/>
  <c r="C58" i="15" s="1"/>
  <c r="K58" i="15" s="1"/>
  <c r="AE57" i="15"/>
  <c r="AD57" i="15"/>
  <c r="AC57" i="15"/>
  <c r="AB57" i="15"/>
  <c r="AA57" i="15"/>
  <c r="Z57" i="15"/>
  <c r="X57" i="15"/>
  <c r="W57" i="15"/>
  <c r="Y57" i="15" s="1"/>
  <c r="T57" i="15"/>
  <c r="S57" i="15"/>
  <c r="V57" i="15" s="1"/>
  <c r="R57" i="15"/>
  <c r="U57" i="15" s="1"/>
  <c r="Q57" i="15"/>
  <c r="P57" i="15"/>
  <c r="N57" i="15"/>
  <c r="J57" i="15"/>
  <c r="D57" i="15"/>
  <c r="M57" i="15" s="1"/>
  <c r="C57" i="15"/>
  <c r="K57" i="15" s="1"/>
  <c r="AE56" i="15"/>
  <c r="AD56" i="15"/>
  <c r="AC56" i="15"/>
  <c r="AB56" i="15"/>
  <c r="AA56" i="15"/>
  <c r="Z56" i="15"/>
  <c r="X56" i="15"/>
  <c r="W56" i="15"/>
  <c r="T56" i="15"/>
  <c r="S56" i="15"/>
  <c r="V56" i="15" s="1"/>
  <c r="R56" i="15"/>
  <c r="Q56" i="15"/>
  <c r="P56" i="15"/>
  <c r="N56" i="15"/>
  <c r="M56" i="15"/>
  <c r="J56" i="15"/>
  <c r="D56" i="15"/>
  <c r="C56" i="15" s="1"/>
  <c r="K56" i="15" s="1"/>
  <c r="AE55" i="15"/>
  <c r="AD55" i="15"/>
  <c r="AC55" i="15"/>
  <c r="AB55" i="15"/>
  <c r="AA55" i="15"/>
  <c r="Z55" i="15"/>
  <c r="X55" i="15"/>
  <c r="W55" i="15"/>
  <c r="Y55" i="15" s="1"/>
  <c r="T55" i="15"/>
  <c r="S55" i="15"/>
  <c r="V55" i="15" s="1"/>
  <c r="R55" i="15"/>
  <c r="U55" i="15" s="1"/>
  <c r="Q55" i="15"/>
  <c r="P55" i="15"/>
  <c r="N55" i="15"/>
  <c r="M55" i="15"/>
  <c r="J55" i="15"/>
  <c r="D55" i="15"/>
  <c r="C55" i="15" s="1"/>
  <c r="K55" i="15" s="1"/>
  <c r="AE54" i="15"/>
  <c r="AD54" i="15"/>
  <c r="AC54" i="15"/>
  <c r="AB54" i="15"/>
  <c r="AA54" i="15"/>
  <c r="Z54" i="15"/>
  <c r="X54" i="15"/>
  <c r="W54" i="15"/>
  <c r="Y54" i="15" s="1"/>
  <c r="T54" i="15"/>
  <c r="S54" i="15"/>
  <c r="V54" i="15" s="1"/>
  <c r="R54" i="15"/>
  <c r="U54" i="15" s="1"/>
  <c r="Q54" i="15"/>
  <c r="P54" i="15"/>
  <c r="N54" i="15"/>
  <c r="J54" i="15"/>
  <c r="D54" i="15"/>
  <c r="M54" i="15" s="1"/>
  <c r="C54" i="15"/>
  <c r="K54" i="15" s="1"/>
  <c r="AE53" i="15"/>
  <c r="AD53" i="15"/>
  <c r="AC53" i="15"/>
  <c r="AB53" i="15"/>
  <c r="AA53" i="15"/>
  <c r="Z53" i="15"/>
  <c r="X53" i="15"/>
  <c r="W53" i="15"/>
  <c r="T53" i="15"/>
  <c r="S53" i="15"/>
  <c r="R53" i="15"/>
  <c r="Q53" i="15"/>
  <c r="P53" i="15"/>
  <c r="N53" i="15"/>
  <c r="M53" i="15"/>
  <c r="J53" i="15"/>
  <c r="D53" i="15"/>
  <c r="C53" i="15" s="1"/>
  <c r="K53" i="15" s="1"/>
  <c r="O52" i="15"/>
  <c r="L52" i="15"/>
  <c r="I52" i="15"/>
  <c r="Q52" i="15" s="1"/>
  <c r="H52" i="15"/>
  <c r="N52" i="15" s="1"/>
  <c r="G52" i="15"/>
  <c r="P52" i="15" s="1"/>
  <c r="F52" i="15"/>
  <c r="F8" i="15" s="1"/>
  <c r="F7" i="15" s="1"/>
  <c r="E52" i="15"/>
  <c r="AE51" i="15"/>
  <c r="AD51" i="15"/>
  <c r="AC51" i="15"/>
  <c r="AB51" i="15"/>
  <c r="AA51" i="15"/>
  <c r="Z51" i="15"/>
  <c r="X51" i="15"/>
  <c r="W51" i="15"/>
  <c r="Y51" i="15" s="1"/>
  <c r="T51" i="15"/>
  <c r="S51" i="15"/>
  <c r="V51" i="15" s="1"/>
  <c r="R51" i="15"/>
  <c r="U51" i="15" s="1"/>
  <c r="Q51" i="15"/>
  <c r="P51" i="15"/>
  <c r="N51" i="15"/>
  <c r="J51" i="15"/>
  <c r="D51" i="15"/>
  <c r="C51" i="15" s="1"/>
  <c r="K51" i="15" s="1"/>
  <c r="AE50" i="15"/>
  <c r="AD50" i="15"/>
  <c r="AC50" i="15"/>
  <c r="AB50" i="15"/>
  <c r="AA50" i="15"/>
  <c r="Z50" i="15"/>
  <c r="X50" i="15"/>
  <c r="W50" i="15"/>
  <c r="Y50" i="15" s="1"/>
  <c r="T50" i="15"/>
  <c r="S50" i="15"/>
  <c r="V50" i="15" s="1"/>
  <c r="R50" i="15"/>
  <c r="U50" i="15" s="1"/>
  <c r="Q50" i="15"/>
  <c r="P50" i="15"/>
  <c r="N50" i="15"/>
  <c r="J50" i="15"/>
  <c r="D50" i="15"/>
  <c r="C50" i="15" s="1"/>
  <c r="K50" i="15" s="1"/>
  <c r="AE49" i="15"/>
  <c r="AD49" i="15"/>
  <c r="AC49" i="15"/>
  <c r="AB49" i="15"/>
  <c r="AA49" i="15"/>
  <c r="Z49" i="15"/>
  <c r="X49" i="15"/>
  <c r="W49" i="15"/>
  <c r="Y49" i="15" s="1"/>
  <c r="T49" i="15"/>
  <c r="S49" i="15"/>
  <c r="V49" i="15" s="1"/>
  <c r="R49" i="15"/>
  <c r="U49" i="15" s="1"/>
  <c r="Q49" i="15"/>
  <c r="P49" i="15"/>
  <c r="N49" i="15"/>
  <c r="M49" i="15"/>
  <c r="J49" i="15"/>
  <c r="D49" i="15"/>
  <c r="C49" i="15"/>
  <c r="K49" i="15" s="1"/>
  <c r="AE48" i="15"/>
  <c r="AD48" i="15"/>
  <c r="AC48" i="15"/>
  <c r="AB48" i="15"/>
  <c r="AA48" i="15"/>
  <c r="Z48" i="15"/>
  <c r="X48" i="15"/>
  <c r="W48" i="15"/>
  <c r="Y48" i="15" s="1"/>
  <c r="T48" i="15"/>
  <c r="S48" i="15"/>
  <c r="V48" i="15" s="1"/>
  <c r="R48" i="15"/>
  <c r="U48" i="15" s="1"/>
  <c r="Q48" i="15"/>
  <c r="P48" i="15"/>
  <c r="N48" i="15"/>
  <c r="J48" i="15"/>
  <c r="D48" i="15"/>
  <c r="C48" i="15" s="1"/>
  <c r="K48" i="15" s="1"/>
  <c r="AE47" i="15"/>
  <c r="AD47" i="15"/>
  <c r="AC47" i="15"/>
  <c r="AB47" i="15"/>
  <c r="AA47" i="15"/>
  <c r="Z47" i="15"/>
  <c r="X47" i="15"/>
  <c r="W47" i="15"/>
  <c r="Y47" i="15" s="1"/>
  <c r="T47" i="15"/>
  <c r="S47" i="15"/>
  <c r="V47" i="15" s="1"/>
  <c r="R47" i="15"/>
  <c r="U47" i="15" s="1"/>
  <c r="Q47" i="15"/>
  <c r="P47" i="15"/>
  <c r="N47" i="15"/>
  <c r="J47" i="15"/>
  <c r="D47" i="15"/>
  <c r="C47" i="15" s="1"/>
  <c r="K47" i="15" s="1"/>
  <c r="AE46" i="15"/>
  <c r="AD46" i="15"/>
  <c r="AC46" i="15"/>
  <c r="AB46" i="15"/>
  <c r="AA46" i="15"/>
  <c r="Z46" i="15"/>
  <c r="X46" i="15"/>
  <c r="W46" i="15"/>
  <c r="Y46" i="15" s="1"/>
  <c r="T46" i="15"/>
  <c r="S46" i="15"/>
  <c r="V46" i="15" s="1"/>
  <c r="R46" i="15"/>
  <c r="U46" i="15" s="1"/>
  <c r="Q46" i="15"/>
  <c r="P46" i="15"/>
  <c r="N46" i="15"/>
  <c r="M46" i="15"/>
  <c r="K46" i="15"/>
  <c r="J46" i="15"/>
  <c r="D46" i="15"/>
  <c r="C46" i="15"/>
  <c r="AE45" i="15"/>
  <c r="AD45" i="15"/>
  <c r="AC45" i="15"/>
  <c r="AB45" i="15"/>
  <c r="AA45" i="15"/>
  <c r="Z45" i="15"/>
  <c r="X45" i="15"/>
  <c r="W45" i="15"/>
  <c r="Y45" i="15" s="1"/>
  <c r="T45" i="15"/>
  <c r="S45" i="15"/>
  <c r="V45" i="15" s="1"/>
  <c r="R45" i="15"/>
  <c r="U45" i="15" s="1"/>
  <c r="Q45" i="15"/>
  <c r="P45" i="15"/>
  <c r="N45" i="15"/>
  <c r="J45" i="15"/>
  <c r="D45" i="15"/>
  <c r="C45" i="15" s="1"/>
  <c r="K45" i="15" s="1"/>
  <c r="AE44" i="15"/>
  <c r="AD44" i="15"/>
  <c r="AC44" i="15"/>
  <c r="AB44" i="15"/>
  <c r="AA44" i="15"/>
  <c r="Z44" i="15"/>
  <c r="X44" i="15"/>
  <c r="W44" i="15"/>
  <c r="Y44" i="15" s="1"/>
  <c r="T44" i="15"/>
  <c r="S44" i="15"/>
  <c r="V44" i="15" s="1"/>
  <c r="R44" i="15"/>
  <c r="U44" i="15" s="1"/>
  <c r="Q44" i="15"/>
  <c r="P44" i="15"/>
  <c r="N44" i="15"/>
  <c r="J44" i="15"/>
  <c r="D44" i="15"/>
  <c r="C44" i="15" s="1"/>
  <c r="K44" i="15" s="1"/>
  <c r="AE43" i="15"/>
  <c r="AD43" i="15"/>
  <c r="AC43" i="15"/>
  <c r="AB43" i="15"/>
  <c r="AA43" i="15"/>
  <c r="Z43" i="15"/>
  <c r="X43" i="15"/>
  <c r="W43" i="15"/>
  <c r="Y43" i="15" s="1"/>
  <c r="T43" i="15"/>
  <c r="S43" i="15"/>
  <c r="V43" i="15" s="1"/>
  <c r="R43" i="15"/>
  <c r="U43" i="15" s="1"/>
  <c r="Q43" i="15"/>
  <c r="P43" i="15"/>
  <c r="N43" i="15"/>
  <c r="M43" i="15"/>
  <c r="J43" i="15"/>
  <c r="D43" i="15"/>
  <c r="C43" i="15"/>
  <c r="K43" i="15" s="1"/>
  <c r="AE42" i="15"/>
  <c r="AD42" i="15"/>
  <c r="AC42" i="15"/>
  <c r="AB42" i="15"/>
  <c r="AA42" i="15"/>
  <c r="Z42" i="15"/>
  <c r="X42" i="15"/>
  <c r="W42" i="15"/>
  <c r="Y42" i="15" s="1"/>
  <c r="T42" i="15"/>
  <c r="S42" i="15"/>
  <c r="V42" i="15" s="1"/>
  <c r="R42" i="15"/>
  <c r="U42" i="15" s="1"/>
  <c r="Q42" i="15"/>
  <c r="P42" i="15"/>
  <c r="N42" i="15"/>
  <c r="J42" i="15"/>
  <c r="D42" i="15"/>
  <c r="C42" i="15" s="1"/>
  <c r="K42" i="15" s="1"/>
  <c r="AE41" i="15"/>
  <c r="AD41" i="15"/>
  <c r="AC41" i="15"/>
  <c r="AB41" i="15"/>
  <c r="AA41" i="15"/>
  <c r="Z41" i="15"/>
  <c r="X41" i="15"/>
  <c r="W41" i="15"/>
  <c r="Y41" i="15" s="1"/>
  <c r="T41" i="15"/>
  <c r="S41" i="15"/>
  <c r="V41" i="15" s="1"/>
  <c r="R41" i="15"/>
  <c r="U41" i="15" s="1"/>
  <c r="Q41" i="15"/>
  <c r="P41" i="15"/>
  <c r="N41" i="15"/>
  <c r="J41" i="15"/>
  <c r="D41" i="15"/>
  <c r="M41" i="15" s="1"/>
  <c r="C41" i="15"/>
  <c r="K41" i="15" s="1"/>
  <c r="AE40" i="15"/>
  <c r="AD40" i="15"/>
  <c r="AC40" i="15"/>
  <c r="AB40" i="15"/>
  <c r="AA40" i="15"/>
  <c r="Z40" i="15"/>
  <c r="X40" i="15"/>
  <c r="W40" i="15"/>
  <c r="Y40" i="15" s="1"/>
  <c r="T40" i="15"/>
  <c r="S40" i="15"/>
  <c r="V40" i="15" s="1"/>
  <c r="R40" i="15"/>
  <c r="U40" i="15" s="1"/>
  <c r="Q40" i="15"/>
  <c r="P40" i="15"/>
  <c r="N40" i="15"/>
  <c r="M40" i="15"/>
  <c r="K40" i="15"/>
  <c r="J40" i="15"/>
  <c r="D40" i="15"/>
  <c r="C40" i="15"/>
  <c r="AE39" i="15"/>
  <c r="AD39" i="15"/>
  <c r="AC39" i="15"/>
  <c r="AB39" i="15"/>
  <c r="AA39" i="15"/>
  <c r="Z39" i="15"/>
  <c r="X39" i="15"/>
  <c r="W39" i="15"/>
  <c r="Y39" i="15" s="1"/>
  <c r="T39" i="15"/>
  <c r="S39" i="15"/>
  <c r="V39" i="15" s="1"/>
  <c r="R39" i="15"/>
  <c r="U39" i="15" s="1"/>
  <c r="Q39" i="15"/>
  <c r="P39" i="15"/>
  <c r="N39" i="15"/>
  <c r="M39" i="15"/>
  <c r="J39" i="15"/>
  <c r="D39" i="15"/>
  <c r="C39" i="15" s="1"/>
  <c r="K39" i="15" s="1"/>
  <c r="AE38" i="15"/>
  <c r="AD38" i="15"/>
  <c r="AC38" i="15"/>
  <c r="AB38" i="15"/>
  <c r="AA38" i="15"/>
  <c r="Z38" i="15"/>
  <c r="X38" i="15"/>
  <c r="W38" i="15"/>
  <c r="Y38" i="15" s="1"/>
  <c r="T38" i="15"/>
  <c r="S38" i="15"/>
  <c r="V38" i="15" s="1"/>
  <c r="R38" i="15"/>
  <c r="U38" i="15" s="1"/>
  <c r="Q38" i="15"/>
  <c r="P38" i="15"/>
  <c r="N38" i="15"/>
  <c r="J38" i="15"/>
  <c r="D38" i="15"/>
  <c r="M38" i="15" s="1"/>
  <c r="C38" i="15"/>
  <c r="K38" i="15" s="1"/>
  <c r="AE37" i="15"/>
  <c r="AD37" i="15"/>
  <c r="AC37" i="15"/>
  <c r="AB37" i="15"/>
  <c r="AA37" i="15"/>
  <c r="Z37" i="15"/>
  <c r="X37" i="15"/>
  <c r="W37" i="15"/>
  <c r="Y37" i="15" s="1"/>
  <c r="T37" i="15"/>
  <c r="S37" i="15"/>
  <c r="V37" i="15" s="1"/>
  <c r="R37" i="15"/>
  <c r="U37" i="15" s="1"/>
  <c r="Q37" i="15"/>
  <c r="P37" i="15"/>
  <c r="N37" i="15"/>
  <c r="M37" i="15"/>
  <c r="J37" i="15"/>
  <c r="D37" i="15"/>
  <c r="C37" i="15"/>
  <c r="K37" i="15" s="1"/>
  <c r="AE36" i="15"/>
  <c r="AD36" i="15"/>
  <c r="AC36" i="15"/>
  <c r="AB36" i="15"/>
  <c r="AA36" i="15"/>
  <c r="Z36" i="15"/>
  <c r="X36" i="15"/>
  <c r="W36" i="15"/>
  <c r="T36" i="15"/>
  <c r="S36" i="15"/>
  <c r="V36" i="15" s="1"/>
  <c r="R36" i="15"/>
  <c r="Q36" i="15"/>
  <c r="P36" i="15"/>
  <c r="N36" i="15"/>
  <c r="J36" i="15"/>
  <c r="D36" i="15"/>
  <c r="C36" i="15" s="1"/>
  <c r="K36" i="15" s="1"/>
  <c r="AE35" i="15"/>
  <c r="AD35" i="15"/>
  <c r="AC35" i="15"/>
  <c r="AB35" i="15"/>
  <c r="AA35" i="15"/>
  <c r="Z35" i="15"/>
  <c r="X35" i="15"/>
  <c r="W35" i="15"/>
  <c r="Y35" i="15" s="1"/>
  <c r="T35" i="15"/>
  <c r="S35" i="15"/>
  <c r="V35" i="15" s="1"/>
  <c r="R35" i="15"/>
  <c r="U35" i="15" s="1"/>
  <c r="Q35" i="15"/>
  <c r="P35" i="15"/>
  <c r="N35" i="15"/>
  <c r="J35" i="15"/>
  <c r="D35" i="15"/>
  <c r="M35" i="15" s="1"/>
  <c r="C35" i="15"/>
  <c r="K35" i="15" s="1"/>
  <c r="AE34" i="15"/>
  <c r="AD34" i="15"/>
  <c r="AC34" i="15"/>
  <c r="AB34" i="15"/>
  <c r="AA34" i="15"/>
  <c r="Z34" i="15"/>
  <c r="X34" i="15"/>
  <c r="W34" i="15"/>
  <c r="Y34" i="15" s="1"/>
  <c r="T34" i="15"/>
  <c r="S34" i="15"/>
  <c r="V34" i="15" s="1"/>
  <c r="R34" i="15"/>
  <c r="U34" i="15" s="1"/>
  <c r="Q34" i="15"/>
  <c r="P34" i="15"/>
  <c r="N34" i="15"/>
  <c r="M34" i="15"/>
  <c r="J34" i="15"/>
  <c r="D34" i="15"/>
  <c r="C34" i="15"/>
  <c r="K34" i="15" s="1"/>
  <c r="AE33" i="15"/>
  <c r="AD33" i="15"/>
  <c r="AC33" i="15"/>
  <c r="AB33" i="15"/>
  <c r="AA33" i="15"/>
  <c r="Z33" i="15"/>
  <c r="X33" i="15"/>
  <c r="W33" i="15"/>
  <c r="Y33" i="15" s="1"/>
  <c r="T33" i="15"/>
  <c r="S33" i="15"/>
  <c r="V33" i="15" s="1"/>
  <c r="R33" i="15"/>
  <c r="U33" i="15" s="1"/>
  <c r="Q33" i="15"/>
  <c r="P33" i="15"/>
  <c r="N33" i="15"/>
  <c r="J33" i="15"/>
  <c r="D33" i="15"/>
  <c r="C33" i="15" s="1"/>
  <c r="K33" i="15" s="1"/>
  <c r="AE32" i="15"/>
  <c r="AD32" i="15"/>
  <c r="AC32" i="15"/>
  <c r="AB32" i="15"/>
  <c r="AA32" i="15"/>
  <c r="Z32" i="15"/>
  <c r="X32" i="15"/>
  <c r="W32" i="15"/>
  <c r="T32" i="15"/>
  <c r="S32" i="15"/>
  <c r="V32" i="15" s="1"/>
  <c r="R32" i="15"/>
  <c r="Q32" i="15"/>
  <c r="P32" i="15"/>
  <c r="N32" i="15"/>
  <c r="J32" i="15"/>
  <c r="D32" i="15"/>
  <c r="M32" i="15" s="1"/>
  <c r="C32" i="15"/>
  <c r="K32" i="15" s="1"/>
  <c r="P31" i="15"/>
  <c r="O31" i="15"/>
  <c r="N31" i="15"/>
  <c r="L31" i="15"/>
  <c r="J31" i="15"/>
  <c r="I31" i="15"/>
  <c r="Q31" i="15" s="1"/>
  <c r="H31" i="15"/>
  <c r="G31" i="15"/>
  <c r="F31" i="15"/>
  <c r="E31" i="15"/>
  <c r="D31" i="15"/>
  <c r="M31" i="15" s="1"/>
  <c r="AE30" i="15"/>
  <c r="AD30" i="15"/>
  <c r="AC30" i="15"/>
  <c r="AB30" i="15"/>
  <c r="AA30" i="15"/>
  <c r="Z30" i="15"/>
  <c r="X30" i="15"/>
  <c r="W30" i="15"/>
  <c r="T30" i="15"/>
  <c r="S30" i="15"/>
  <c r="V30" i="15" s="1"/>
  <c r="R30" i="15"/>
  <c r="Q30" i="15"/>
  <c r="P30" i="15"/>
  <c r="N30" i="15"/>
  <c r="M30" i="15"/>
  <c r="K30" i="15"/>
  <c r="J30" i="15"/>
  <c r="D30" i="15"/>
  <c r="C30" i="15" s="1"/>
  <c r="AE29" i="15"/>
  <c r="AD29" i="15"/>
  <c r="AC29" i="15"/>
  <c r="AB29" i="15"/>
  <c r="AA29" i="15"/>
  <c r="Z29" i="15"/>
  <c r="X29" i="15"/>
  <c r="W29" i="15"/>
  <c r="Y29" i="15" s="1"/>
  <c r="T29" i="15"/>
  <c r="S29" i="15"/>
  <c r="V29" i="15" s="1"/>
  <c r="R29" i="15"/>
  <c r="U29" i="15" s="1"/>
  <c r="Q29" i="15"/>
  <c r="P29" i="15"/>
  <c r="N29" i="15"/>
  <c r="J29" i="15"/>
  <c r="D29" i="15"/>
  <c r="M29" i="15" s="1"/>
  <c r="C29" i="15"/>
  <c r="K29" i="15" s="1"/>
  <c r="AE28" i="15"/>
  <c r="AD28" i="15"/>
  <c r="AC28" i="15"/>
  <c r="AB28" i="15"/>
  <c r="AA28" i="15"/>
  <c r="Z28" i="15"/>
  <c r="X28" i="15"/>
  <c r="W28" i="15"/>
  <c r="Y28" i="15" s="1"/>
  <c r="T28" i="15"/>
  <c r="S28" i="15"/>
  <c r="V28" i="15" s="1"/>
  <c r="R28" i="15"/>
  <c r="U28" i="15" s="1"/>
  <c r="Q28" i="15"/>
  <c r="P28" i="15"/>
  <c r="N28" i="15"/>
  <c r="M28" i="15"/>
  <c r="K28" i="15"/>
  <c r="J28" i="15"/>
  <c r="D28" i="15"/>
  <c r="C28" i="15"/>
  <c r="AE27" i="15"/>
  <c r="AD27" i="15"/>
  <c r="AC27" i="15"/>
  <c r="AB27" i="15"/>
  <c r="AA27" i="15"/>
  <c r="Z27" i="15"/>
  <c r="X27" i="15"/>
  <c r="W27" i="15"/>
  <c r="Y27" i="15" s="1"/>
  <c r="T27" i="15"/>
  <c r="S27" i="15"/>
  <c r="V27" i="15" s="1"/>
  <c r="R27" i="15"/>
  <c r="U27" i="15" s="1"/>
  <c r="Q27" i="15"/>
  <c r="P27" i="15"/>
  <c r="N27" i="15"/>
  <c r="J27" i="15"/>
  <c r="D27" i="15"/>
  <c r="C27" i="15" s="1"/>
  <c r="K27" i="15" s="1"/>
  <c r="AE26" i="15"/>
  <c r="AD26" i="15"/>
  <c r="AC26" i="15"/>
  <c r="AB26" i="15"/>
  <c r="AA26" i="15"/>
  <c r="Z26" i="15"/>
  <c r="X26" i="15"/>
  <c r="W26" i="15"/>
  <c r="Y26" i="15" s="1"/>
  <c r="T26" i="15"/>
  <c r="S26" i="15"/>
  <c r="V26" i="15" s="1"/>
  <c r="R26" i="15"/>
  <c r="U26" i="15" s="1"/>
  <c r="Q26" i="15"/>
  <c r="P26" i="15"/>
  <c r="N26" i="15"/>
  <c r="J26" i="15"/>
  <c r="D26" i="15"/>
  <c r="M26" i="15" s="1"/>
  <c r="AE25" i="15"/>
  <c r="AD25" i="15"/>
  <c r="AC25" i="15"/>
  <c r="AB25" i="15"/>
  <c r="AA25" i="15"/>
  <c r="Z25" i="15"/>
  <c r="X25" i="15"/>
  <c r="W25" i="15"/>
  <c r="Y25" i="15" s="1"/>
  <c r="T25" i="15"/>
  <c r="S25" i="15"/>
  <c r="V25" i="15" s="1"/>
  <c r="R25" i="15"/>
  <c r="U25" i="15" s="1"/>
  <c r="Q25" i="15"/>
  <c r="P25" i="15"/>
  <c r="N25" i="15"/>
  <c r="J25" i="15"/>
  <c r="D25" i="15"/>
  <c r="M25" i="15" s="1"/>
  <c r="C25" i="15"/>
  <c r="K25" i="15" s="1"/>
  <c r="AE24" i="15"/>
  <c r="AD24" i="15"/>
  <c r="AC24" i="15"/>
  <c r="AB24" i="15"/>
  <c r="AA24" i="15"/>
  <c r="Z24" i="15"/>
  <c r="X24" i="15"/>
  <c r="W24" i="15"/>
  <c r="Y24" i="15" s="1"/>
  <c r="T24" i="15"/>
  <c r="S24" i="15"/>
  <c r="V24" i="15" s="1"/>
  <c r="R24" i="15"/>
  <c r="U24" i="15" s="1"/>
  <c r="Q24" i="15"/>
  <c r="P24" i="15"/>
  <c r="N24" i="15"/>
  <c r="M24" i="15"/>
  <c r="K24" i="15"/>
  <c r="J24" i="15"/>
  <c r="D24" i="15"/>
  <c r="C24" i="15" s="1"/>
  <c r="AE23" i="15"/>
  <c r="AD23" i="15"/>
  <c r="AC23" i="15"/>
  <c r="AB23" i="15"/>
  <c r="AA23" i="15"/>
  <c r="Z23" i="15"/>
  <c r="X23" i="15"/>
  <c r="W23" i="15"/>
  <c r="Y23" i="15" s="1"/>
  <c r="T23" i="15"/>
  <c r="S23" i="15"/>
  <c r="V23" i="15" s="1"/>
  <c r="R23" i="15"/>
  <c r="U23" i="15" s="1"/>
  <c r="Q23" i="15"/>
  <c r="P23" i="15"/>
  <c r="N23" i="15"/>
  <c r="J23" i="15"/>
  <c r="D23" i="15"/>
  <c r="M23" i="15" s="1"/>
  <c r="C23" i="15"/>
  <c r="K23" i="15" s="1"/>
  <c r="AE22" i="15"/>
  <c r="AD22" i="15"/>
  <c r="AC22" i="15"/>
  <c r="AB22" i="15"/>
  <c r="AA22" i="15"/>
  <c r="Z22" i="15"/>
  <c r="X22" i="15"/>
  <c r="W22" i="15"/>
  <c r="Y22" i="15" s="1"/>
  <c r="T22" i="15"/>
  <c r="S22" i="15"/>
  <c r="V22" i="15" s="1"/>
  <c r="R22" i="15"/>
  <c r="U22" i="15" s="1"/>
  <c r="Q22" i="15"/>
  <c r="P22" i="15"/>
  <c r="N22" i="15"/>
  <c r="M22" i="15"/>
  <c r="K22" i="15"/>
  <c r="J22" i="15"/>
  <c r="D22" i="15"/>
  <c r="C22" i="15"/>
  <c r="AE21" i="15"/>
  <c r="AD21" i="15"/>
  <c r="AC21" i="15"/>
  <c r="AB21" i="15"/>
  <c r="AA21" i="15"/>
  <c r="Z21" i="15"/>
  <c r="X21" i="15"/>
  <c r="W21" i="15"/>
  <c r="Y21" i="15" s="1"/>
  <c r="T21" i="15"/>
  <c r="S21" i="15"/>
  <c r="V21" i="15" s="1"/>
  <c r="R21" i="15"/>
  <c r="U21" i="15" s="1"/>
  <c r="Q21" i="15"/>
  <c r="P21" i="15"/>
  <c r="N21" i="15"/>
  <c r="J21" i="15"/>
  <c r="D21" i="15"/>
  <c r="C21" i="15" s="1"/>
  <c r="K21" i="15" s="1"/>
  <c r="AE20" i="15"/>
  <c r="AD20" i="15"/>
  <c r="AC20" i="15"/>
  <c r="AB20" i="15"/>
  <c r="AA20" i="15"/>
  <c r="Z20" i="15"/>
  <c r="X20" i="15"/>
  <c r="W20" i="15"/>
  <c r="Y20" i="15" s="1"/>
  <c r="T20" i="15"/>
  <c r="S20" i="15"/>
  <c r="V20" i="15" s="1"/>
  <c r="R20" i="15"/>
  <c r="U20" i="15" s="1"/>
  <c r="Q20" i="15"/>
  <c r="P20" i="15"/>
  <c r="N20" i="15"/>
  <c r="J20" i="15"/>
  <c r="D20" i="15"/>
  <c r="M20" i="15" s="1"/>
  <c r="AE19" i="15"/>
  <c r="AD19" i="15"/>
  <c r="AC19" i="15"/>
  <c r="AB19" i="15"/>
  <c r="AA19" i="15"/>
  <c r="Z19" i="15"/>
  <c r="X19" i="15"/>
  <c r="W19" i="15"/>
  <c r="Y19" i="15" s="1"/>
  <c r="T19" i="15"/>
  <c r="S19" i="15"/>
  <c r="V19" i="15" s="1"/>
  <c r="R19" i="15"/>
  <c r="U19" i="15" s="1"/>
  <c r="Q19" i="15"/>
  <c r="P19" i="15"/>
  <c r="N19" i="15"/>
  <c r="J19" i="15"/>
  <c r="D19" i="15"/>
  <c r="M19" i="15" s="1"/>
  <c r="C19" i="15"/>
  <c r="K19" i="15" s="1"/>
  <c r="AE18" i="15"/>
  <c r="AD18" i="15"/>
  <c r="AC18" i="15"/>
  <c r="AB18" i="15"/>
  <c r="AA18" i="15"/>
  <c r="Z18" i="15"/>
  <c r="X18" i="15"/>
  <c r="W18" i="15"/>
  <c r="Y18" i="15" s="1"/>
  <c r="T18" i="15"/>
  <c r="S18" i="15"/>
  <c r="V18" i="15" s="1"/>
  <c r="R18" i="15"/>
  <c r="U18" i="15" s="1"/>
  <c r="Q18" i="15"/>
  <c r="P18" i="15"/>
  <c r="N18" i="15"/>
  <c r="M18" i="15"/>
  <c r="K18" i="15"/>
  <c r="J18" i="15"/>
  <c r="D18" i="15"/>
  <c r="C18" i="15" s="1"/>
  <c r="AE17" i="15"/>
  <c r="AD17" i="15"/>
  <c r="AC17" i="15"/>
  <c r="AB17" i="15"/>
  <c r="AA17" i="15"/>
  <c r="Z17" i="15"/>
  <c r="X17" i="15"/>
  <c r="W17" i="15"/>
  <c r="Y17" i="15" s="1"/>
  <c r="T17" i="15"/>
  <c r="S17" i="15"/>
  <c r="V17" i="15" s="1"/>
  <c r="R17" i="15"/>
  <c r="U17" i="15" s="1"/>
  <c r="Q17" i="15"/>
  <c r="P17" i="15"/>
  <c r="N17" i="15"/>
  <c r="J17" i="15"/>
  <c r="D17" i="15"/>
  <c r="M17" i="15" s="1"/>
  <c r="C17" i="15"/>
  <c r="K17" i="15" s="1"/>
  <c r="AE16" i="15"/>
  <c r="AD16" i="15"/>
  <c r="AC16" i="15"/>
  <c r="AB16" i="15"/>
  <c r="AA16" i="15"/>
  <c r="Z16" i="15"/>
  <c r="X16" i="15"/>
  <c r="W16" i="15"/>
  <c r="Y16" i="15" s="1"/>
  <c r="T16" i="15"/>
  <c r="S16" i="15"/>
  <c r="V16" i="15" s="1"/>
  <c r="R16" i="15"/>
  <c r="U16" i="15" s="1"/>
  <c r="Q16" i="15"/>
  <c r="P16" i="15"/>
  <c r="N16" i="15"/>
  <c r="M16" i="15"/>
  <c r="K16" i="15"/>
  <c r="J16" i="15"/>
  <c r="D16" i="15"/>
  <c r="C16" i="15"/>
  <c r="AE15" i="15"/>
  <c r="AD15" i="15"/>
  <c r="AC15" i="15"/>
  <c r="AB15" i="15"/>
  <c r="AA15" i="15"/>
  <c r="Z15" i="15"/>
  <c r="X15" i="15"/>
  <c r="W15" i="15"/>
  <c r="T15" i="15"/>
  <c r="S15" i="15"/>
  <c r="V15" i="15" s="1"/>
  <c r="R15" i="15"/>
  <c r="U15" i="15" s="1"/>
  <c r="Q15" i="15"/>
  <c r="P15" i="15"/>
  <c r="N15" i="15"/>
  <c r="J15" i="15"/>
  <c r="D15" i="15"/>
  <c r="C15" i="15" s="1"/>
  <c r="K15" i="15" s="1"/>
  <c r="AE14" i="15"/>
  <c r="AD14" i="15"/>
  <c r="AC14" i="15"/>
  <c r="AB14" i="15"/>
  <c r="AA14" i="15"/>
  <c r="Z14" i="15"/>
  <c r="X14" i="15"/>
  <c r="W14" i="15"/>
  <c r="Y14" i="15" s="1"/>
  <c r="T14" i="15"/>
  <c r="S14" i="15"/>
  <c r="V14" i="15" s="1"/>
  <c r="R14" i="15"/>
  <c r="Q14" i="15"/>
  <c r="P14" i="15"/>
  <c r="N14" i="15"/>
  <c r="J14" i="15"/>
  <c r="D14" i="15"/>
  <c r="M14" i="15" s="1"/>
  <c r="O13" i="15"/>
  <c r="J13" i="15" s="1"/>
  <c r="L13" i="15"/>
  <c r="I13" i="15"/>
  <c r="Q13" i="15" s="1"/>
  <c r="H13" i="15"/>
  <c r="N13" i="15" s="1"/>
  <c r="G13" i="15"/>
  <c r="G8" i="15" s="1"/>
  <c r="G7" i="15" s="1"/>
  <c r="P7" i="15" s="1"/>
  <c r="F13" i="15"/>
  <c r="E13" i="15"/>
  <c r="T9" i="15"/>
  <c r="S9" i="15"/>
  <c r="V9" i="15" s="1"/>
  <c r="R9" i="15"/>
  <c r="O9" i="15"/>
  <c r="J9" i="15" s="1"/>
  <c r="M9" i="15"/>
  <c r="L9" i="15"/>
  <c r="I9" i="15"/>
  <c r="Q9" i="15" s="1"/>
  <c r="H9" i="15"/>
  <c r="N9" i="15" s="1"/>
  <c r="G9" i="15"/>
  <c r="P9" i="15" s="1"/>
  <c r="F9" i="15"/>
  <c r="E9" i="15"/>
  <c r="D9" i="15"/>
  <c r="P8" i="15"/>
  <c r="O8" i="15"/>
  <c r="J8" i="15" s="1"/>
  <c r="L8" i="15"/>
  <c r="L7" i="15" s="1"/>
  <c r="I8" i="15"/>
  <c r="Q8" i="15" s="1"/>
  <c r="H8" i="15"/>
  <c r="N8" i="15" s="1"/>
  <c r="E8" i="15"/>
  <c r="O7" i="15"/>
  <c r="J7" i="15" s="1"/>
  <c r="I7" i="15"/>
  <c r="Q7" i="15" s="1"/>
  <c r="H7" i="15"/>
  <c r="N7" i="15" s="1"/>
  <c r="E7" i="15"/>
  <c r="V106" i="14"/>
  <c r="U106" i="14"/>
  <c r="Q106" i="14"/>
  <c r="P106" i="14"/>
  <c r="N106" i="14"/>
  <c r="M106" i="14"/>
  <c r="K106" i="14"/>
  <c r="J106" i="14"/>
  <c r="D106" i="14"/>
  <c r="C106" i="14"/>
  <c r="V105" i="14"/>
  <c r="U105" i="14"/>
  <c r="Q105" i="14"/>
  <c r="P105" i="14"/>
  <c r="N105" i="14"/>
  <c r="J105" i="14"/>
  <c r="D105" i="14"/>
  <c r="M105" i="14" s="1"/>
  <c r="V104" i="14"/>
  <c r="U104" i="14"/>
  <c r="Q104" i="14"/>
  <c r="P104" i="14"/>
  <c r="N104" i="14"/>
  <c r="M104" i="14"/>
  <c r="J104" i="14"/>
  <c r="D104" i="14"/>
  <c r="C104" i="14"/>
  <c r="K104" i="14" s="1"/>
  <c r="V103" i="14"/>
  <c r="U103" i="14"/>
  <c r="Q103" i="14"/>
  <c r="P103" i="14"/>
  <c r="N103" i="14"/>
  <c r="M103" i="14"/>
  <c r="K103" i="14"/>
  <c r="J103" i="14"/>
  <c r="D103" i="14"/>
  <c r="C103" i="14"/>
  <c r="V102" i="14"/>
  <c r="U102" i="14"/>
  <c r="Q102" i="14"/>
  <c r="P102" i="14"/>
  <c r="N102" i="14"/>
  <c r="J102" i="14"/>
  <c r="D102" i="14"/>
  <c r="M102" i="14" s="1"/>
  <c r="C102" i="14"/>
  <c r="K102" i="14" s="1"/>
  <c r="V101" i="14"/>
  <c r="U101" i="14"/>
  <c r="Q101" i="14"/>
  <c r="P101" i="14"/>
  <c r="N101" i="14"/>
  <c r="M101" i="14"/>
  <c r="J101" i="14"/>
  <c r="D101" i="14"/>
  <c r="C101" i="14"/>
  <c r="K101" i="14" s="1"/>
  <c r="V100" i="14"/>
  <c r="U100" i="14"/>
  <c r="Q100" i="14"/>
  <c r="P100" i="14"/>
  <c r="N100" i="14"/>
  <c r="M100" i="14"/>
  <c r="J100" i="14"/>
  <c r="D100" i="14"/>
  <c r="C100" i="14"/>
  <c r="K100" i="14" s="1"/>
  <c r="V99" i="14"/>
  <c r="U99" i="14"/>
  <c r="Q99" i="14"/>
  <c r="P99" i="14"/>
  <c r="N99" i="14"/>
  <c r="M99" i="14"/>
  <c r="J99" i="14"/>
  <c r="D99" i="14"/>
  <c r="C99" i="14"/>
  <c r="K99" i="14" s="1"/>
  <c r="V98" i="14"/>
  <c r="U98" i="14"/>
  <c r="Q98" i="14"/>
  <c r="P98" i="14"/>
  <c r="N98" i="14"/>
  <c r="J98" i="14"/>
  <c r="D98" i="14"/>
  <c r="M98" i="14" s="1"/>
  <c r="V97" i="14"/>
  <c r="U97" i="14"/>
  <c r="Q97" i="14"/>
  <c r="P97" i="14"/>
  <c r="N97" i="14"/>
  <c r="M97" i="14"/>
  <c r="J97" i="14"/>
  <c r="D97" i="14"/>
  <c r="C97" i="14"/>
  <c r="K97" i="14" s="1"/>
  <c r="V96" i="14"/>
  <c r="U96" i="14"/>
  <c r="Q96" i="14"/>
  <c r="P96" i="14"/>
  <c r="N96" i="14"/>
  <c r="M96" i="14"/>
  <c r="K96" i="14"/>
  <c r="J96" i="14"/>
  <c r="D96" i="14"/>
  <c r="C96" i="14"/>
  <c r="V95" i="14"/>
  <c r="U95" i="14"/>
  <c r="Q95" i="14"/>
  <c r="P95" i="14"/>
  <c r="N95" i="14"/>
  <c r="J95" i="14"/>
  <c r="D95" i="14"/>
  <c r="M95" i="14" s="1"/>
  <c r="V94" i="14"/>
  <c r="U94" i="14"/>
  <c r="Q94" i="14"/>
  <c r="P94" i="14"/>
  <c r="N94" i="14"/>
  <c r="M94" i="14"/>
  <c r="J94" i="14"/>
  <c r="D94" i="14"/>
  <c r="C94" i="14"/>
  <c r="K94" i="14" s="1"/>
  <c r="V93" i="14"/>
  <c r="U93" i="14"/>
  <c r="Q93" i="14"/>
  <c r="P93" i="14"/>
  <c r="N93" i="14"/>
  <c r="M93" i="14"/>
  <c r="K93" i="14"/>
  <c r="J93" i="14"/>
  <c r="D93" i="14"/>
  <c r="C93" i="14"/>
  <c r="V92" i="14"/>
  <c r="U92" i="14"/>
  <c r="Q92" i="14"/>
  <c r="P92" i="14"/>
  <c r="N92" i="14"/>
  <c r="J92" i="14"/>
  <c r="D92" i="14"/>
  <c r="M92" i="14" s="1"/>
  <c r="C92" i="14"/>
  <c r="K92" i="14" s="1"/>
  <c r="V91" i="14"/>
  <c r="U91" i="14"/>
  <c r="Q91" i="14"/>
  <c r="P91" i="14"/>
  <c r="N91" i="14"/>
  <c r="N89" i="14" s="1"/>
  <c r="M91" i="14"/>
  <c r="K91" i="14"/>
  <c r="J91" i="14"/>
  <c r="D91" i="14"/>
  <c r="C91" i="14"/>
  <c r="V90" i="14"/>
  <c r="U90" i="14"/>
  <c r="Q90" i="14"/>
  <c r="P90" i="14"/>
  <c r="N90" i="14"/>
  <c r="J90" i="14"/>
  <c r="J89" i="14" s="1"/>
  <c r="D90" i="14"/>
  <c r="D89" i="14" s="1"/>
  <c r="T89" i="14"/>
  <c r="S89" i="14"/>
  <c r="V89" i="14" s="1"/>
  <c r="R89" i="14"/>
  <c r="U89" i="14" s="1"/>
  <c r="Q89" i="14"/>
  <c r="O89" i="14"/>
  <c r="L89" i="14"/>
  <c r="I89" i="14"/>
  <c r="H89" i="14"/>
  <c r="G89" i="14"/>
  <c r="F89" i="14"/>
  <c r="E89" i="14"/>
  <c r="AE88" i="14"/>
  <c r="AD88" i="14"/>
  <c r="AC88" i="14"/>
  <c r="AB88" i="14"/>
  <c r="AA88" i="14"/>
  <c r="Z88" i="14"/>
  <c r="X88" i="14"/>
  <c r="T88" i="14"/>
  <c r="S88" i="14"/>
  <c r="V88" i="14" s="1"/>
  <c r="R88" i="14"/>
  <c r="Q88" i="14"/>
  <c r="P88" i="14"/>
  <c r="N88" i="14"/>
  <c r="M88" i="14"/>
  <c r="K88" i="14"/>
  <c r="J88" i="14"/>
  <c r="D88" i="14"/>
  <c r="C88" i="14"/>
  <c r="AE87" i="14"/>
  <c r="AD87" i="14"/>
  <c r="AC87" i="14"/>
  <c r="AB87" i="14"/>
  <c r="AA87" i="14"/>
  <c r="Z87" i="14"/>
  <c r="X87" i="14"/>
  <c r="T87" i="14"/>
  <c r="S87" i="14"/>
  <c r="V87" i="14" s="1"/>
  <c r="R87" i="14"/>
  <c r="Q87" i="14"/>
  <c r="P87" i="14"/>
  <c r="N87" i="14"/>
  <c r="J87" i="14"/>
  <c r="D87" i="14"/>
  <c r="M87" i="14" s="1"/>
  <c r="C87" i="14"/>
  <c r="K87" i="14" s="1"/>
  <c r="AE86" i="14"/>
  <c r="AD86" i="14"/>
  <c r="AC86" i="14"/>
  <c r="AB86" i="14"/>
  <c r="AA86" i="14"/>
  <c r="Z86" i="14"/>
  <c r="X86" i="14"/>
  <c r="T86" i="14"/>
  <c r="S86" i="14"/>
  <c r="V86" i="14" s="1"/>
  <c r="R86" i="14"/>
  <c r="Q86" i="14"/>
  <c r="P86" i="14"/>
  <c r="N86" i="14"/>
  <c r="M86" i="14"/>
  <c r="K86" i="14"/>
  <c r="J86" i="14"/>
  <c r="D86" i="14"/>
  <c r="C86" i="14"/>
  <c r="AE85" i="14"/>
  <c r="AD85" i="14"/>
  <c r="AC85" i="14"/>
  <c r="AB85" i="14"/>
  <c r="AA85" i="14"/>
  <c r="Z85" i="14"/>
  <c r="X85" i="14"/>
  <c r="T85" i="14"/>
  <c r="S85" i="14"/>
  <c r="V85" i="14" s="1"/>
  <c r="R85" i="14"/>
  <c r="Q85" i="14"/>
  <c r="P85" i="14"/>
  <c r="N85" i="14"/>
  <c r="J85" i="14"/>
  <c r="D85" i="14"/>
  <c r="M85" i="14" s="1"/>
  <c r="AE84" i="14"/>
  <c r="AD84" i="14"/>
  <c r="AC84" i="14"/>
  <c r="AB84" i="14"/>
  <c r="AA84" i="14"/>
  <c r="Z84" i="14"/>
  <c r="X84" i="14"/>
  <c r="T84" i="14"/>
  <c r="S84" i="14"/>
  <c r="V84" i="14" s="1"/>
  <c r="R84" i="14"/>
  <c r="Q84" i="14"/>
  <c r="P84" i="14"/>
  <c r="N84" i="14"/>
  <c r="M84" i="14"/>
  <c r="J84" i="14"/>
  <c r="D84" i="14"/>
  <c r="C84" i="14"/>
  <c r="K84" i="14" s="1"/>
  <c r="AE83" i="14"/>
  <c r="AD83" i="14"/>
  <c r="AC83" i="14"/>
  <c r="AB83" i="14"/>
  <c r="AA83" i="14"/>
  <c r="Z83" i="14"/>
  <c r="X83" i="14"/>
  <c r="T83" i="14"/>
  <c r="S83" i="14"/>
  <c r="V83" i="14" s="1"/>
  <c r="R83" i="14"/>
  <c r="Q83" i="14"/>
  <c r="P83" i="14"/>
  <c r="N83" i="14"/>
  <c r="M83" i="14"/>
  <c r="K83" i="14"/>
  <c r="J83" i="14"/>
  <c r="D83" i="14"/>
  <c r="C83" i="14"/>
  <c r="AE82" i="14"/>
  <c r="AD82" i="14"/>
  <c r="AC82" i="14"/>
  <c r="AB82" i="14"/>
  <c r="AA82" i="14"/>
  <c r="X82" i="14"/>
  <c r="T82" i="14"/>
  <c r="S82" i="14"/>
  <c r="V82" i="14" s="1"/>
  <c r="R82" i="14"/>
  <c r="U82" i="14" s="1"/>
  <c r="Q82" i="14"/>
  <c r="P82" i="14"/>
  <c r="N82" i="14"/>
  <c r="J82" i="14"/>
  <c r="D82" i="14"/>
  <c r="M82" i="14" s="1"/>
  <c r="AE81" i="14"/>
  <c r="AD81" i="14"/>
  <c r="AC81" i="14"/>
  <c r="AB81" i="14"/>
  <c r="AA81" i="14"/>
  <c r="Z81" i="14"/>
  <c r="X81" i="14"/>
  <c r="T81" i="14"/>
  <c r="S81" i="14"/>
  <c r="V81" i="14" s="1"/>
  <c r="R81" i="14"/>
  <c r="Q81" i="14"/>
  <c r="P81" i="14"/>
  <c r="N81" i="14"/>
  <c r="M81" i="14"/>
  <c r="J81" i="14"/>
  <c r="D81" i="14"/>
  <c r="C81" i="14"/>
  <c r="K81" i="14" s="1"/>
  <c r="AE80" i="14"/>
  <c r="AD80" i="14"/>
  <c r="AC80" i="14"/>
  <c r="AB80" i="14"/>
  <c r="AA80" i="14"/>
  <c r="Z80" i="14"/>
  <c r="X80" i="14"/>
  <c r="T80" i="14"/>
  <c r="S80" i="14"/>
  <c r="V80" i="14" s="1"/>
  <c r="R80" i="14"/>
  <c r="Q80" i="14"/>
  <c r="P80" i="14"/>
  <c r="N80" i="14"/>
  <c r="M80" i="14"/>
  <c r="K80" i="14"/>
  <c r="J80" i="14"/>
  <c r="D80" i="14"/>
  <c r="C80" i="14"/>
  <c r="AE79" i="14"/>
  <c r="AD79" i="14"/>
  <c r="AC79" i="14"/>
  <c r="AB79" i="14"/>
  <c r="AA79" i="14"/>
  <c r="Z79" i="14"/>
  <c r="X79" i="14"/>
  <c r="T79" i="14"/>
  <c r="S79" i="14"/>
  <c r="V79" i="14" s="1"/>
  <c r="R79" i="14"/>
  <c r="Q79" i="14"/>
  <c r="P79" i="14"/>
  <c r="N79" i="14"/>
  <c r="J79" i="14"/>
  <c r="D79" i="14"/>
  <c r="M79" i="14" s="1"/>
  <c r="AE78" i="14"/>
  <c r="AD78" i="14"/>
  <c r="AC78" i="14"/>
  <c r="AB78" i="14"/>
  <c r="AA78" i="14"/>
  <c r="Z78" i="14"/>
  <c r="X78" i="14"/>
  <c r="T78" i="14"/>
  <c r="S78" i="14"/>
  <c r="V78" i="14" s="1"/>
  <c r="R78" i="14"/>
  <c r="Q78" i="14"/>
  <c r="P78" i="14"/>
  <c r="N78" i="14"/>
  <c r="M78" i="14"/>
  <c r="J78" i="14"/>
  <c r="D78" i="14"/>
  <c r="C78" i="14"/>
  <c r="K78" i="14" s="1"/>
  <c r="AE77" i="14"/>
  <c r="AD77" i="14"/>
  <c r="AC77" i="14"/>
  <c r="AB77" i="14"/>
  <c r="AA77" i="14"/>
  <c r="Z77" i="14"/>
  <c r="X77" i="14"/>
  <c r="T77" i="14"/>
  <c r="S77" i="14"/>
  <c r="R77" i="14"/>
  <c r="Q77" i="14"/>
  <c r="P77" i="14"/>
  <c r="N77" i="14"/>
  <c r="M77" i="14"/>
  <c r="K77" i="14"/>
  <c r="J77" i="14"/>
  <c r="D77" i="14"/>
  <c r="C77" i="14"/>
  <c r="AE76" i="14"/>
  <c r="AD76" i="14"/>
  <c r="AC76" i="14"/>
  <c r="AB76" i="14"/>
  <c r="AA76" i="14"/>
  <c r="Z76" i="14"/>
  <c r="X76" i="14"/>
  <c r="T76" i="14"/>
  <c r="S76" i="14"/>
  <c r="V76" i="14" s="1"/>
  <c r="R76" i="14"/>
  <c r="Q76" i="14"/>
  <c r="P76" i="14"/>
  <c r="N76" i="14"/>
  <c r="J76" i="14"/>
  <c r="D76" i="14"/>
  <c r="M76" i="14" s="1"/>
  <c r="AE75" i="14"/>
  <c r="AD75" i="14"/>
  <c r="AC75" i="14"/>
  <c r="AB75" i="14"/>
  <c r="AA75" i="14"/>
  <c r="Z75" i="14"/>
  <c r="X75" i="14"/>
  <c r="T75" i="14"/>
  <c r="S75" i="14"/>
  <c r="V75" i="14" s="1"/>
  <c r="R75" i="14"/>
  <c r="Q75" i="14"/>
  <c r="P75" i="14"/>
  <c r="N75" i="14"/>
  <c r="M75" i="14"/>
  <c r="J75" i="14"/>
  <c r="D75" i="14"/>
  <c r="D74" i="14" s="1"/>
  <c r="C75" i="14"/>
  <c r="K75" i="14" s="1"/>
  <c r="AE74" i="14"/>
  <c r="AD74" i="14"/>
  <c r="AB74" i="14"/>
  <c r="AA74" i="14"/>
  <c r="O74" i="14"/>
  <c r="L74" i="14"/>
  <c r="J74" i="14" s="1"/>
  <c r="I74" i="14"/>
  <c r="Q74" i="14" s="1"/>
  <c r="H74" i="14"/>
  <c r="N74" i="14" s="1"/>
  <c r="G74" i="14"/>
  <c r="P74" i="14" s="1"/>
  <c r="F74" i="14"/>
  <c r="E74" i="14"/>
  <c r="AC73" i="14"/>
  <c r="Z73" i="14"/>
  <c r="X73" i="14"/>
  <c r="T73" i="14"/>
  <c r="S73" i="14"/>
  <c r="V73" i="14" s="1"/>
  <c r="R73" i="14"/>
  <c r="U73" i="14" s="1"/>
  <c r="Q73" i="14"/>
  <c r="P73" i="14"/>
  <c r="N73" i="14"/>
  <c r="J73" i="14"/>
  <c r="D73" i="14"/>
  <c r="M73" i="14" s="1"/>
  <c r="AE72" i="14"/>
  <c r="AD72" i="14"/>
  <c r="AC72" i="14"/>
  <c r="AB72" i="14"/>
  <c r="AA72" i="14"/>
  <c r="Z72" i="14"/>
  <c r="X72" i="14"/>
  <c r="T72" i="14"/>
  <c r="S72" i="14"/>
  <c r="V72" i="14" s="1"/>
  <c r="R72" i="14"/>
  <c r="Q72" i="14"/>
  <c r="P72" i="14"/>
  <c r="N72" i="14"/>
  <c r="J72" i="14"/>
  <c r="D72" i="14"/>
  <c r="M72" i="14" s="1"/>
  <c r="C72" i="14"/>
  <c r="K72" i="14" s="1"/>
  <c r="AE71" i="14"/>
  <c r="AD71" i="14"/>
  <c r="AC71" i="14"/>
  <c r="AB71" i="14"/>
  <c r="AA71" i="14"/>
  <c r="Z71" i="14"/>
  <c r="X71" i="14"/>
  <c r="T71" i="14"/>
  <c r="S71" i="14"/>
  <c r="V71" i="14" s="1"/>
  <c r="R71" i="14"/>
  <c r="U71" i="14" s="1"/>
  <c r="Q71" i="14"/>
  <c r="P71" i="14"/>
  <c r="N71" i="14"/>
  <c r="M71" i="14"/>
  <c r="K71" i="14"/>
  <c r="J71" i="14"/>
  <c r="D71" i="14"/>
  <c r="C71" i="14"/>
  <c r="AE70" i="14"/>
  <c r="AD70" i="14"/>
  <c r="AC70" i="14"/>
  <c r="AB70" i="14"/>
  <c r="AA70" i="14"/>
  <c r="Z70" i="14"/>
  <c r="X70" i="14"/>
  <c r="T70" i="14"/>
  <c r="S70" i="14"/>
  <c r="V70" i="14" s="1"/>
  <c r="R70" i="14"/>
  <c r="Q70" i="14"/>
  <c r="P70" i="14"/>
  <c r="N70" i="14"/>
  <c r="J70" i="14"/>
  <c r="D70" i="14"/>
  <c r="M70" i="14" s="1"/>
  <c r="AE69" i="14"/>
  <c r="AD69" i="14"/>
  <c r="AC69" i="14"/>
  <c r="AB69" i="14"/>
  <c r="AA69" i="14"/>
  <c r="Z69" i="14"/>
  <c r="X69" i="14"/>
  <c r="T69" i="14"/>
  <c r="S69" i="14"/>
  <c r="V69" i="14" s="1"/>
  <c r="R69" i="14"/>
  <c r="U69" i="14" s="1"/>
  <c r="Q69" i="14"/>
  <c r="P69" i="14"/>
  <c r="N69" i="14"/>
  <c r="J69" i="14"/>
  <c r="D69" i="14"/>
  <c r="M69" i="14" s="1"/>
  <c r="C69" i="14"/>
  <c r="K69" i="14" s="1"/>
  <c r="AE68" i="14"/>
  <c r="AD68" i="14"/>
  <c r="AC68" i="14"/>
  <c r="AB68" i="14"/>
  <c r="AA68" i="14"/>
  <c r="Z68" i="14"/>
  <c r="X68" i="14"/>
  <c r="T68" i="14"/>
  <c r="S68" i="14"/>
  <c r="V68" i="14" s="1"/>
  <c r="R68" i="14"/>
  <c r="Q68" i="14"/>
  <c r="P68" i="14"/>
  <c r="N68" i="14"/>
  <c r="M68" i="14"/>
  <c r="K68" i="14"/>
  <c r="J68" i="14"/>
  <c r="D68" i="14"/>
  <c r="C68" i="14"/>
  <c r="AE67" i="14"/>
  <c r="AD67" i="14"/>
  <c r="AC67" i="14"/>
  <c r="AB67" i="14"/>
  <c r="AA67" i="14"/>
  <c r="Z67" i="14"/>
  <c r="X67" i="14"/>
  <c r="T67" i="14"/>
  <c r="S67" i="14"/>
  <c r="V67" i="14" s="1"/>
  <c r="R67" i="14"/>
  <c r="Q67" i="14"/>
  <c r="P67" i="14"/>
  <c r="N67" i="14"/>
  <c r="J67" i="14"/>
  <c r="D67" i="14"/>
  <c r="M67" i="14" s="1"/>
  <c r="AE66" i="14"/>
  <c r="AD66" i="14"/>
  <c r="AC66" i="14"/>
  <c r="AB66" i="14"/>
  <c r="AA66" i="14"/>
  <c r="Z66" i="14"/>
  <c r="X66" i="14"/>
  <c r="T66" i="14"/>
  <c r="S66" i="14"/>
  <c r="V66" i="14" s="1"/>
  <c r="R66" i="14"/>
  <c r="Q66" i="14"/>
  <c r="P66" i="14"/>
  <c r="N66" i="14"/>
  <c r="J66" i="14"/>
  <c r="D66" i="14"/>
  <c r="M66" i="14" s="1"/>
  <c r="C66" i="14"/>
  <c r="K66" i="14" s="1"/>
  <c r="AE65" i="14"/>
  <c r="AD65" i="14"/>
  <c r="AC65" i="14"/>
  <c r="AB65" i="14"/>
  <c r="AA65" i="14"/>
  <c r="Z65" i="14"/>
  <c r="X65" i="14"/>
  <c r="T65" i="14"/>
  <c r="S65" i="14"/>
  <c r="V65" i="14" s="1"/>
  <c r="R65" i="14"/>
  <c r="U65" i="14" s="1"/>
  <c r="Q65" i="14"/>
  <c r="P65" i="14"/>
  <c r="N65" i="14"/>
  <c r="M65" i="14"/>
  <c r="K65" i="14"/>
  <c r="J65" i="14"/>
  <c r="D65" i="14"/>
  <c r="C65" i="14"/>
  <c r="AE64" i="14"/>
  <c r="AD64" i="14"/>
  <c r="AC64" i="14"/>
  <c r="AB64" i="14"/>
  <c r="AA64" i="14"/>
  <c r="Z64" i="14"/>
  <c r="X64" i="14"/>
  <c r="T64" i="14"/>
  <c r="S64" i="14"/>
  <c r="V64" i="14" s="1"/>
  <c r="R64" i="14"/>
  <c r="U64" i="14" s="1"/>
  <c r="Q64" i="14"/>
  <c r="P64" i="14"/>
  <c r="N64" i="14"/>
  <c r="J64" i="14"/>
  <c r="D64" i="14"/>
  <c r="M64" i="14" s="1"/>
  <c r="AE63" i="14"/>
  <c r="AD63" i="14"/>
  <c r="AC63" i="14"/>
  <c r="AB63" i="14"/>
  <c r="AA63" i="14"/>
  <c r="Z63" i="14"/>
  <c r="X63" i="14"/>
  <c r="T63" i="14"/>
  <c r="S63" i="14"/>
  <c r="V63" i="14" s="1"/>
  <c r="R63" i="14"/>
  <c r="Q63" i="14"/>
  <c r="P63" i="14"/>
  <c r="N63" i="14"/>
  <c r="J63" i="14"/>
  <c r="D63" i="14"/>
  <c r="M63" i="14" s="1"/>
  <c r="C63" i="14"/>
  <c r="K63" i="14" s="1"/>
  <c r="AE62" i="14"/>
  <c r="AD62" i="14"/>
  <c r="AC62" i="14"/>
  <c r="AB62" i="14"/>
  <c r="AA62" i="14"/>
  <c r="Z62" i="14"/>
  <c r="X62" i="14"/>
  <c r="T62" i="14"/>
  <c r="S62" i="14"/>
  <c r="V62" i="14" s="1"/>
  <c r="R62" i="14"/>
  <c r="Q62" i="14"/>
  <c r="P62" i="14"/>
  <c r="N62" i="14"/>
  <c r="M62" i="14"/>
  <c r="K62" i="14"/>
  <c r="J62" i="14"/>
  <c r="D62" i="14"/>
  <c r="C62" i="14"/>
  <c r="AE61" i="14"/>
  <c r="AD61" i="14"/>
  <c r="AC61" i="14"/>
  <c r="AB61" i="14"/>
  <c r="AA61" i="14"/>
  <c r="Z61" i="14"/>
  <c r="X61" i="14"/>
  <c r="T61" i="14"/>
  <c r="S61" i="14"/>
  <c r="V61" i="14" s="1"/>
  <c r="R61" i="14"/>
  <c r="U61" i="14" s="1"/>
  <c r="Q61" i="14"/>
  <c r="P61" i="14"/>
  <c r="N61" i="14"/>
  <c r="J61" i="14"/>
  <c r="D61" i="14"/>
  <c r="M61" i="14" s="1"/>
  <c r="AE60" i="14"/>
  <c r="AD60" i="14"/>
  <c r="AC60" i="14"/>
  <c r="AB60" i="14"/>
  <c r="AA60" i="14"/>
  <c r="Z60" i="14"/>
  <c r="X60" i="14"/>
  <c r="T60" i="14"/>
  <c r="S60" i="14"/>
  <c r="V60" i="14" s="1"/>
  <c r="R60" i="14"/>
  <c r="U60" i="14" s="1"/>
  <c r="Q60" i="14"/>
  <c r="P60" i="14"/>
  <c r="N60" i="14"/>
  <c r="J60" i="14"/>
  <c r="D60" i="14"/>
  <c r="M60" i="14" s="1"/>
  <c r="C60" i="14"/>
  <c r="K60" i="14" s="1"/>
  <c r="AE59" i="14"/>
  <c r="AD59" i="14"/>
  <c r="AC59" i="14"/>
  <c r="AB59" i="14"/>
  <c r="AA59" i="14"/>
  <c r="Z59" i="14"/>
  <c r="X59" i="14"/>
  <c r="T59" i="14"/>
  <c r="S59" i="14"/>
  <c r="V59" i="14" s="1"/>
  <c r="R59" i="14"/>
  <c r="U59" i="14" s="1"/>
  <c r="Q59" i="14"/>
  <c r="P59" i="14"/>
  <c r="N59" i="14"/>
  <c r="M59" i="14"/>
  <c r="K59" i="14"/>
  <c r="J59" i="14"/>
  <c r="D59" i="14"/>
  <c r="C59" i="14"/>
  <c r="AE58" i="14"/>
  <c r="AD58" i="14"/>
  <c r="AC58" i="14"/>
  <c r="AB58" i="14"/>
  <c r="AA58" i="14"/>
  <c r="Z58" i="14"/>
  <c r="X58" i="14"/>
  <c r="T58" i="14"/>
  <c r="S58" i="14"/>
  <c r="V58" i="14" s="1"/>
  <c r="R58" i="14"/>
  <c r="Q58" i="14"/>
  <c r="P58" i="14"/>
  <c r="N58" i="14"/>
  <c r="J58" i="14"/>
  <c r="D58" i="14"/>
  <c r="M58" i="14" s="1"/>
  <c r="AE57" i="14"/>
  <c r="AD57" i="14"/>
  <c r="AC57" i="14"/>
  <c r="AB57" i="14"/>
  <c r="AA57" i="14"/>
  <c r="Z57" i="14"/>
  <c r="X57" i="14"/>
  <c r="T57" i="14"/>
  <c r="S57" i="14"/>
  <c r="V57" i="14" s="1"/>
  <c r="R57" i="14"/>
  <c r="U57" i="14" s="1"/>
  <c r="Q57" i="14"/>
  <c r="P57" i="14"/>
  <c r="N57" i="14"/>
  <c r="J57" i="14"/>
  <c r="D57" i="14"/>
  <c r="M57" i="14" s="1"/>
  <c r="C57" i="14"/>
  <c r="K57" i="14" s="1"/>
  <c r="AE56" i="14"/>
  <c r="AD56" i="14"/>
  <c r="AC56" i="14"/>
  <c r="AB56" i="14"/>
  <c r="AA56" i="14"/>
  <c r="Z56" i="14"/>
  <c r="X56" i="14"/>
  <c r="T56" i="14"/>
  <c r="S56" i="14"/>
  <c r="V56" i="14" s="1"/>
  <c r="R56" i="14"/>
  <c r="Q56" i="14"/>
  <c r="P56" i="14"/>
  <c r="N56" i="14"/>
  <c r="M56" i="14"/>
  <c r="K56" i="14"/>
  <c r="J56" i="14"/>
  <c r="D56" i="14"/>
  <c r="C56" i="14"/>
  <c r="AE55" i="14"/>
  <c r="AD55" i="14"/>
  <c r="AC55" i="14"/>
  <c r="AB55" i="14"/>
  <c r="AA55" i="14"/>
  <c r="Z55" i="14"/>
  <c r="X55" i="14"/>
  <c r="T55" i="14"/>
  <c r="S55" i="14"/>
  <c r="V55" i="14" s="1"/>
  <c r="R55" i="14"/>
  <c r="Q55" i="14"/>
  <c r="P55" i="14"/>
  <c r="N55" i="14"/>
  <c r="J55" i="14"/>
  <c r="D55" i="14"/>
  <c r="M55" i="14" s="1"/>
  <c r="AE54" i="14"/>
  <c r="AD54" i="14"/>
  <c r="AC54" i="14"/>
  <c r="AB54" i="14"/>
  <c r="AA54" i="14"/>
  <c r="Z54" i="14"/>
  <c r="X54" i="14"/>
  <c r="T54" i="14"/>
  <c r="S54" i="14"/>
  <c r="V54" i="14" s="1"/>
  <c r="R54" i="14"/>
  <c r="Q54" i="14"/>
  <c r="P54" i="14"/>
  <c r="N54" i="14"/>
  <c r="J54" i="14"/>
  <c r="D54" i="14"/>
  <c r="M54" i="14" s="1"/>
  <c r="C54" i="14"/>
  <c r="K54" i="14" s="1"/>
  <c r="AE53" i="14"/>
  <c r="AD53" i="14"/>
  <c r="AB53" i="14"/>
  <c r="AA53" i="14"/>
  <c r="T53" i="14"/>
  <c r="S53" i="14"/>
  <c r="V53" i="14" s="1"/>
  <c r="R53" i="14"/>
  <c r="U53" i="14" s="1"/>
  <c r="Q53" i="14"/>
  <c r="P53" i="14"/>
  <c r="N53" i="14"/>
  <c r="M53" i="14"/>
  <c r="K53" i="14"/>
  <c r="J53" i="14"/>
  <c r="D53" i="14"/>
  <c r="D52" i="14" s="1"/>
  <c r="C53" i="14"/>
  <c r="AE52" i="14"/>
  <c r="AB52" i="14"/>
  <c r="AA52" i="14"/>
  <c r="Q52" i="14"/>
  <c r="O52" i="14"/>
  <c r="L52" i="14"/>
  <c r="J52" i="14" s="1"/>
  <c r="I52" i="14"/>
  <c r="H52" i="14"/>
  <c r="N52" i="14" s="1"/>
  <c r="G52" i="14"/>
  <c r="P52" i="14" s="1"/>
  <c r="F52" i="14"/>
  <c r="E52" i="14"/>
  <c r="AC51" i="14"/>
  <c r="Z51" i="14"/>
  <c r="X51" i="14"/>
  <c r="T51" i="14"/>
  <c r="S51" i="14"/>
  <c r="V51" i="14" s="1"/>
  <c r="R51" i="14"/>
  <c r="Q51" i="14"/>
  <c r="P51" i="14"/>
  <c r="N51" i="14"/>
  <c r="J51" i="14"/>
  <c r="D51" i="14"/>
  <c r="M51" i="14" s="1"/>
  <c r="AE50" i="14"/>
  <c r="AD50" i="14"/>
  <c r="AC50" i="14"/>
  <c r="AB50" i="14"/>
  <c r="AA50" i="14"/>
  <c r="Z50" i="14"/>
  <c r="X50" i="14"/>
  <c r="T50" i="14"/>
  <c r="S50" i="14"/>
  <c r="V50" i="14" s="1"/>
  <c r="R50" i="14"/>
  <c r="Q50" i="14"/>
  <c r="P50" i="14"/>
  <c r="N50" i="14"/>
  <c r="M50" i="14"/>
  <c r="J50" i="14"/>
  <c r="D50" i="14"/>
  <c r="C50" i="14"/>
  <c r="K50" i="14" s="1"/>
  <c r="AE49" i="14"/>
  <c r="AD49" i="14"/>
  <c r="AC49" i="14"/>
  <c r="AB49" i="14"/>
  <c r="AA49" i="14"/>
  <c r="Z49" i="14"/>
  <c r="X49" i="14"/>
  <c r="T49" i="14"/>
  <c r="S49" i="14"/>
  <c r="V49" i="14" s="1"/>
  <c r="R49" i="14"/>
  <c r="Q49" i="14"/>
  <c r="P49" i="14"/>
  <c r="N49" i="14"/>
  <c r="M49" i="14"/>
  <c r="K49" i="14"/>
  <c r="J49" i="14"/>
  <c r="D49" i="14"/>
  <c r="C49" i="14"/>
  <c r="AE48" i="14"/>
  <c r="AD48" i="14"/>
  <c r="AC48" i="14"/>
  <c r="AB48" i="14"/>
  <c r="AA48" i="14"/>
  <c r="Z48" i="14"/>
  <c r="X48" i="14"/>
  <c r="T48" i="14"/>
  <c r="S48" i="14"/>
  <c r="V48" i="14" s="1"/>
  <c r="R48" i="14"/>
  <c r="Q48" i="14"/>
  <c r="P48" i="14"/>
  <c r="N48" i="14"/>
  <c r="J48" i="14"/>
  <c r="D48" i="14"/>
  <c r="M48" i="14" s="1"/>
  <c r="AE47" i="14"/>
  <c r="AD47" i="14"/>
  <c r="AC47" i="14"/>
  <c r="AB47" i="14"/>
  <c r="AA47" i="14"/>
  <c r="Z47" i="14"/>
  <c r="X47" i="14"/>
  <c r="T47" i="14"/>
  <c r="S47" i="14"/>
  <c r="V47" i="14" s="1"/>
  <c r="R47" i="14"/>
  <c r="Q47" i="14"/>
  <c r="P47" i="14"/>
  <c r="N47" i="14"/>
  <c r="M47" i="14"/>
  <c r="J47" i="14"/>
  <c r="D47" i="14"/>
  <c r="C47" i="14"/>
  <c r="K47" i="14" s="1"/>
  <c r="AE46" i="14"/>
  <c r="AD46" i="14"/>
  <c r="AC46" i="14"/>
  <c r="AB46" i="14"/>
  <c r="AA46" i="14"/>
  <c r="Z46" i="14"/>
  <c r="X46" i="14"/>
  <c r="T46" i="14"/>
  <c r="S46" i="14"/>
  <c r="V46" i="14" s="1"/>
  <c r="R46" i="14"/>
  <c r="Q46" i="14"/>
  <c r="P46" i="14"/>
  <c r="N46" i="14"/>
  <c r="M46" i="14"/>
  <c r="K46" i="14"/>
  <c r="J46" i="14"/>
  <c r="D46" i="14"/>
  <c r="C46" i="14"/>
  <c r="AE45" i="14"/>
  <c r="AD45" i="14"/>
  <c r="AC45" i="14"/>
  <c r="AB45" i="14"/>
  <c r="AA45" i="14"/>
  <c r="Z45" i="14"/>
  <c r="X45" i="14"/>
  <c r="T45" i="14"/>
  <c r="S45" i="14"/>
  <c r="V45" i="14" s="1"/>
  <c r="R45" i="14"/>
  <c r="Q45" i="14"/>
  <c r="P45" i="14"/>
  <c r="N45" i="14"/>
  <c r="J45" i="14"/>
  <c r="D45" i="14"/>
  <c r="M45" i="14" s="1"/>
  <c r="AE44" i="14"/>
  <c r="AD44" i="14"/>
  <c r="AC44" i="14"/>
  <c r="AB44" i="14"/>
  <c r="AA44" i="14"/>
  <c r="Z44" i="14"/>
  <c r="X44" i="14"/>
  <c r="T44" i="14"/>
  <c r="S44" i="14"/>
  <c r="V44" i="14" s="1"/>
  <c r="R44" i="14"/>
  <c r="Q44" i="14"/>
  <c r="P44" i="14"/>
  <c r="N44" i="14"/>
  <c r="M44" i="14"/>
  <c r="J44" i="14"/>
  <c r="D44" i="14"/>
  <c r="C44" i="14"/>
  <c r="K44" i="14" s="1"/>
  <c r="AE43" i="14"/>
  <c r="AD43" i="14"/>
  <c r="AC43" i="14"/>
  <c r="AB43" i="14"/>
  <c r="AA43" i="14"/>
  <c r="Z43" i="14"/>
  <c r="X43" i="14"/>
  <c r="T43" i="14"/>
  <c r="S43" i="14"/>
  <c r="V43" i="14" s="1"/>
  <c r="R43" i="14"/>
  <c r="Q43" i="14"/>
  <c r="P43" i="14"/>
  <c r="N43" i="14"/>
  <c r="M43" i="14"/>
  <c r="K43" i="14"/>
  <c r="J43" i="14"/>
  <c r="D43" i="14"/>
  <c r="C43" i="14"/>
  <c r="AE42" i="14"/>
  <c r="AD42" i="14"/>
  <c r="AC42" i="14"/>
  <c r="AB42" i="14"/>
  <c r="AA42" i="14"/>
  <c r="Z42" i="14"/>
  <c r="X42" i="14"/>
  <c r="T42" i="14"/>
  <c r="S42" i="14"/>
  <c r="V42" i="14" s="1"/>
  <c r="R42" i="14"/>
  <c r="Q42" i="14"/>
  <c r="P42" i="14"/>
  <c r="N42" i="14"/>
  <c r="J42" i="14"/>
  <c r="D42" i="14"/>
  <c r="M42" i="14" s="1"/>
  <c r="AE41" i="14"/>
  <c r="AD41" i="14"/>
  <c r="AC41" i="14"/>
  <c r="AB41" i="14"/>
  <c r="AA41" i="14"/>
  <c r="Z41" i="14"/>
  <c r="X41" i="14"/>
  <c r="T41" i="14"/>
  <c r="S41" i="14"/>
  <c r="V41" i="14" s="1"/>
  <c r="R41" i="14"/>
  <c r="Q41" i="14"/>
  <c r="P41" i="14"/>
  <c r="N41" i="14"/>
  <c r="M41" i="14"/>
  <c r="J41" i="14"/>
  <c r="D41" i="14"/>
  <c r="C41" i="14"/>
  <c r="K41" i="14" s="1"/>
  <c r="AE40" i="14"/>
  <c r="AD40" i="14"/>
  <c r="AC40" i="14"/>
  <c r="AB40" i="14"/>
  <c r="AA40" i="14"/>
  <c r="Z40" i="14"/>
  <c r="X40" i="14"/>
  <c r="T40" i="14"/>
  <c r="S40" i="14"/>
  <c r="V40" i="14" s="1"/>
  <c r="R40" i="14"/>
  <c r="Q40" i="14"/>
  <c r="P40" i="14"/>
  <c r="N40" i="14"/>
  <c r="M40" i="14"/>
  <c r="K40" i="14"/>
  <c r="J40" i="14"/>
  <c r="D40" i="14"/>
  <c r="C40" i="14"/>
  <c r="AE39" i="14"/>
  <c r="AD39" i="14"/>
  <c r="AC39" i="14"/>
  <c r="AB39" i="14"/>
  <c r="AA39" i="14"/>
  <c r="Z39" i="14"/>
  <c r="X39" i="14"/>
  <c r="T39" i="14"/>
  <c r="S39" i="14"/>
  <c r="V39" i="14" s="1"/>
  <c r="R39" i="14"/>
  <c r="Q39" i="14"/>
  <c r="P39" i="14"/>
  <c r="N39" i="14"/>
  <c r="J39" i="14"/>
  <c r="D39" i="14"/>
  <c r="M39" i="14" s="1"/>
  <c r="AE38" i="14"/>
  <c r="AD38" i="14"/>
  <c r="AC38" i="14"/>
  <c r="AB38" i="14"/>
  <c r="AA38" i="14"/>
  <c r="Z38" i="14"/>
  <c r="X38" i="14"/>
  <c r="T38" i="14"/>
  <c r="S38" i="14"/>
  <c r="V38" i="14" s="1"/>
  <c r="R38" i="14"/>
  <c r="Q38" i="14"/>
  <c r="P38" i="14"/>
  <c r="N38" i="14"/>
  <c r="M38" i="14"/>
  <c r="J38" i="14"/>
  <c r="D38" i="14"/>
  <c r="C38" i="14"/>
  <c r="K38" i="14" s="1"/>
  <c r="AE37" i="14"/>
  <c r="AD37" i="14"/>
  <c r="AC37" i="14"/>
  <c r="AB37" i="14"/>
  <c r="AA37" i="14"/>
  <c r="Z37" i="14"/>
  <c r="X37" i="14"/>
  <c r="T37" i="14"/>
  <c r="S37" i="14"/>
  <c r="V37" i="14" s="1"/>
  <c r="R37" i="14"/>
  <c r="Q37" i="14"/>
  <c r="P37" i="14"/>
  <c r="N37" i="14"/>
  <c r="M37" i="14"/>
  <c r="K37" i="14"/>
  <c r="J37" i="14"/>
  <c r="D37" i="14"/>
  <c r="C37" i="14"/>
  <c r="AE36" i="14"/>
  <c r="AD36" i="14"/>
  <c r="AC36" i="14"/>
  <c r="AB36" i="14"/>
  <c r="AA36" i="14"/>
  <c r="Z36" i="14"/>
  <c r="X36" i="14"/>
  <c r="T36" i="14"/>
  <c r="S36" i="14"/>
  <c r="V36" i="14" s="1"/>
  <c r="R36" i="14"/>
  <c r="Q36" i="14"/>
  <c r="P36" i="14"/>
  <c r="N36" i="14"/>
  <c r="J36" i="14"/>
  <c r="D36" i="14"/>
  <c r="M36" i="14" s="1"/>
  <c r="AE35" i="14"/>
  <c r="AD35" i="14"/>
  <c r="AC35" i="14"/>
  <c r="AB35" i="14"/>
  <c r="AA35" i="14"/>
  <c r="Z35" i="14"/>
  <c r="X35" i="14"/>
  <c r="T35" i="14"/>
  <c r="S35" i="14"/>
  <c r="V35" i="14" s="1"/>
  <c r="R35" i="14"/>
  <c r="Q35" i="14"/>
  <c r="P35" i="14"/>
  <c r="N35" i="14"/>
  <c r="M35" i="14"/>
  <c r="J35" i="14"/>
  <c r="D35" i="14"/>
  <c r="C35" i="14"/>
  <c r="K35" i="14" s="1"/>
  <c r="AE34" i="14"/>
  <c r="AD34" i="14"/>
  <c r="AC34" i="14"/>
  <c r="AB34" i="14"/>
  <c r="AA34" i="14"/>
  <c r="Z34" i="14"/>
  <c r="X34" i="14"/>
  <c r="T34" i="14"/>
  <c r="S34" i="14"/>
  <c r="V34" i="14" s="1"/>
  <c r="R34" i="14"/>
  <c r="Q34" i="14"/>
  <c r="P34" i="14"/>
  <c r="N34" i="14"/>
  <c r="M34" i="14"/>
  <c r="K34" i="14"/>
  <c r="J34" i="14"/>
  <c r="D34" i="14"/>
  <c r="C34" i="14"/>
  <c r="AE33" i="14"/>
  <c r="AD33" i="14"/>
  <c r="AC33" i="14"/>
  <c r="AB33" i="14"/>
  <c r="AA33" i="14"/>
  <c r="Z33" i="14"/>
  <c r="X33" i="14"/>
  <c r="T33" i="14"/>
  <c r="S33" i="14"/>
  <c r="V33" i="14" s="1"/>
  <c r="R33" i="14"/>
  <c r="Q33" i="14"/>
  <c r="P33" i="14"/>
  <c r="N33" i="14"/>
  <c r="J33" i="14"/>
  <c r="D33" i="14"/>
  <c r="AE32" i="14"/>
  <c r="AD32" i="14"/>
  <c r="AC32" i="14"/>
  <c r="AB32" i="14"/>
  <c r="AA32" i="14"/>
  <c r="Z32" i="14"/>
  <c r="X32" i="14"/>
  <c r="T32" i="14"/>
  <c r="S32" i="14"/>
  <c r="V32" i="14" s="1"/>
  <c r="R32" i="14"/>
  <c r="Q32" i="14"/>
  <c r="P32" i="14"/>
  <c r="N32" i="14"/>
  <c r="M32" i="14"/>
  <c r="J32" i="14"/>
  <c r="D32" i="14"/>
  <c r="D31" i="14" s="1"/>
  <c r="C31" i="14" s="1"/>
  <c r="K31" i="14" s="1"/>
  <c r="C32" i="14"/>
  <c r="K32" i="14" s="1"/>
  <c r="AE31" i="14"/>
  <c r="AD31" i="14"/>
  <c r="AB31" i="14"/>
  <c r="AA31" i="14"/>
  <c r="O31" i="14"/>
  <c r="L31" i="14"/>
  <c r="J31" i="14" s="1"/>
  <c r="I31" i="14"/>
  <c r="Q31" i="14" s="1"/>
  <c r="H31" i="14"/>
  <c r="N31" i="14" s="1"/>
  <c r="G31" i="14"/>
  <c r="P31" i="14" s="1"/>
  <c r="F31" i="14"/>
  <c r="F8" i="14" s="1"/>
  <c r="E31" i="14"/>
  <c r="AC30" i="14"/>
  <c r="Z30" i="14"/>
  <c r="X30" i="14"/>
  <c r="T30" i="14"/>
  <c r="S30" i="14"/>
  <c r="V30" i="14" s="1"/>
  <c r="R30" i="14"/>
  <c r="Q30" i="14"/>
  <c r="P30" i="14"/>
  <c r="N30" i="14"/>
  <c r="J30" i="14"/>
  <c r="D30" i="14"/>
  <c r="AE29" i="14"/>
  <c r="AD29" i="14"/>
  <c r="AC29" i="14"/>
  <c r="AB29" i="14"/>
  <c r="AA29" i="14"/>
  <c r="Z29" i="14"/>
  <c r="X29" i="14"/>
  <c r="T29" i="14"/>
  <c r="S29" i="14"/>
  <c r="V29" i="14" s="1"/>
  <c r="R29" i="14"/>
  <c r="Q29" i="14"/>
  <c r="P29" i="14"/>
  <c r="N29" i="14"/>
  <c r="J29" i="14"/>
  <c r="D29" i="14"/>
  <c r="M29" i="14" s="1"/>
  <c r="C29" i="14"/>
  <c r="K29" i="14" s="1"/>
  <c r="AE28" i="14"/>
  <c r="AD28" i="14"/>
  <c r="AC28" i="14"/>
  <c r="AB28" i="14"/>
  <c r="AA28" i="14"/>
  <c r="Z28" i="14"/>
  <c r="X28" i="14"/>
  <c r="T28" i="14"/>
  <c r="S28" i="14"/>
  <c r="V28" i="14" s="1"/>
  <c r="R28" i="14"/>
  <c r="Q28" i="14"/>
  <c r="P28" i="14"/>
  <c r="N28" i="14"/>
  <c r="M28" i="14"/>
  <c r="K28" i="14"/>
  <c r="J28" i="14"/>
  <c r="D28" i="14"/>
  <c r="C28" i="14"/>
  <c r="AE27" i="14"/>
  <c r="AD27" i="14"/>
  <c r="AC27" i="14"/>
  <c r="AB27" i="14"/>
  <c r="AA27" i="14"/>
  <c r="Z27" i="14"/>
  <c r="X27" i="14"/>
  <c r="T27" i="14"/>
  <c r="S27" i="14"/>
  <c r="V27" i="14" s="1"/>
  <c r="R27" i="14"/>
  <c r="Q27" i="14"/>
  <c r="P27" i="14"/>
  <c r="N27" i="14"/>
  <c r="J27" i="14"/>
  <c r="D27" i="14"/>
  <c r="AE26" i="14"/>
  <c r="AD26" i="14"/>
  <c r="AC26" i="14"/>
  <c r="AB26" i="14"/>
  <c r="AA26" i="14"/>
  <c r="Z26" i="14"/>
  <c r="X26" i="14"/>
  <c r="T26" i="14"/>
  <c r="S26" i="14"/>
  <c r="V26" i="14" s="1"/>
  <c r="R26" i="14"/>
  <c r="Q26" i="14"/>
  <c r="P26" i="14"/>
  <c r="N26" i="14"/>
  <c r="J26" i="14"/>
  <c r="D26" i="14"/>
  <c r="M26" i="14" s="1"/>
  <c r="C26" i="14"/>
  <c r="K26" i="14" s="1"/>
  <c r="AE25" i="14"/>
  <c r="AD25" i="14"/>
  <c r="AC25" i="14"/>
  <c r="AB25" i="14"/>
  <c r="AA25" i="14"/>
  <c r="Z25" i="14"/>
  <c r="X25" i="14"/>
  <c r="T25" i="14"/>
  <c r="S25" i="14"/>
  <c r="V25" i="14" s="1"/>
  <c r="R25" i="14"/>
  <c r="U25" i="14" s="1"/>
  <c r="Q25" i="14"/>
  <c r="P25" i="14"/>
  <c r="N25" i="14"/>
  <c r="M25" i="14"/>
  <c r="K25" i="14"/>
  <c r="J25" i="14"/>
  <c r="D25" i="14"/>
  <c r="C25" i="14"/>
  <c r="AE24" i="14"/>
  <c r="AD24" i="14"/>
  <c r="AC24" i="14"/>
  <c r="AB24" i="14"/>
  <c r="AA24" i="14"/>
  <c r="Z24" i="14"/>
  <c r="X24" i="14"/>
  <c r="T24" i="14"/>
  <c r="S24" i="14"/>
  <c r="V24" i="14" s="1"/>
  <c r="R24" i="14"/>
  <c r="Q24" i="14"/>
  <c r="P24" i="14"/>
  <c r="N24" i="14"/>
  <c r="J24" i="14"/>
  <c r="D24" i="14"/>
  <c r="AE23" i="14"/>
  <c r="AD23" i="14"/>
  <c r="AC23" i="14"/>
  <c r="AB23" i="14"/>
  <c r="AA23" i="14"/>
  <c r="Z23" i="14"/>
  <c r="X23" i="14"/>
  <c r="T23" i="14"/>
  <c r="S23" i="14"/>
  <c r="V23" i="14" s="1"/>
  <c r="R23" i="14"/>
  <c r="U23" i="14" s="1"/>
  <c r="Q23" i="14"/>
  <c r="P23" i="14"/>
  <c r="N23" i="14"/>
  <c r="J23" i="14"/>
  <c r="D23" i="14"/>
  <c r="M23" i="14" s="1"/>
  <c r="C23" i="14"/>
  <c r="K23" i="14" s="1"/>
  <c r="AE22" i="14"/>
  <c r="AD22" i="14"/>
  <c r="AC22" i="14"/>
  <c r="AB22" i="14"/>
  <c r="AA22" i="14"/>
  <c r="Z22" i="14"/>
  <c r="X22" i="14"/>
  <c r="T22" i="14"/>
  <c r="S22" i="14"/>
  <c r="V22" i="14" s="1"/>
  <c r="R22" i="14"/>
  <c r="Q22" i="14"/>
  <c r="P22" i="14"/>
  <c r="N22" i="14"/>
  <c r="M22" i="14"/>
  <c r="K22" i="14"/>
  <c r="J22" i="14"/>
  <c r="D22" i="14"/>
  <c r="C22" i="14"/>
  <c r="AE21" i="14"/>
  <c r="AD21" i="14"/>
  <c r="AC21" i="14"/>
  <c r="AB21" i="14"/>
  <c r="AA21" i="14"/>
  <c r="Z21" i="14"/>
  <c r="X21" i="14"/>
  <c r="T21" i="14"/>
  <c r="S21" i="14"/>
  <c r="V21" i="14" s="1"/>
  <c r="R21" i="14"/>
  <c r="Q21" i="14"/>
  <c r="P21" i="14"/>
  <c r="N21" i="14"/>
  <c r="J21" i="14"/>
  <c r="D21" i="14"/>
  <c r="AE20" i="14"/>
  <c r="AD20" i="14"/>
  <c r="AC20" i="14"/>
  <c r="AB20" i="14"/>
  <c r="AA20" i="14"/>
  <c r="Z20" i="14"/>
  <c r="X20" i="14"/>
  <c r="T20" i="14"/>
  <c r="S20" i="14"/>
  <c r="V20" i="14" s="1"/>
  <c r="R20" i="14"/>
  <c r="Q20" i="14"/>
  <c r="P20" i="14"/>
  <c r="N20" i="14"/>
  <c r="J20" i="14"/>
  <c r="D20" i="14"/>
  <c r="M20" i="14" s="1"/>
  <c r="C20" i="14"/>
  <c r="K20" i="14" s="1"/>
  <c r="AE19" i="14"/>
  <c r="AD19" i="14"/>
  <c r="AC19" i="14"/>
  <c r="AB19" i="14"/>
  <c r="AA19" i="14"/>
  <c r="Z19" i="14"/>
  <c r="X19" i="14"/>
  <c r="T19" i="14"/>
  <c r="S19" i="14"/>
  <c r="V19" i="14" s="1"/>
  <c r="R19" i="14"/>
  <c r="Q19" i="14"/>
  <c r="P19" i="14"/>
  <c r="N19" i="14"/>
  <c r="M19" i="14"/>
  <c r="K19" i="14"/>
  <c r="J19" i="14"/>
  <c r="D19" i="14"/>
  <c r="C19" i="14"/>
  <c r="AE18" i="14"/>
  <c r="AD18" i="14"/>
  <c r="AC18" i="14"/>
  <c r="AB18" i="14"/>
  <c r="AA18" i="14"/>
  <c r="Z18" i="14"/>
  <c r="X18" i="14"/>
  <c r="T18" i="14"/>
  <c r="S18" i="14"/>
  <c r="V18" i="14" s="1"/>
  <c r="R18" i="14"/>
  <c r="Q18" i="14"/>
  <c r="P18" i="14"/>
  <c r="N18" i="14"/>
  <c r="J18" i="14"/>
  <c r="D18" i="14"/>
  <c r="AE17" i="14"/>
  <c r="AD17" i="14"/>
  <c r="AC17" i="14"/>
  <c r="AB17" i="14"/>
  <c r="AA17" i="14"/>
  <c r="Z17" i="14"/>
  <c r="X17" i="14"/>
  <c r="T17" i="14"/>
  <c r="S17" i="14"/>
  <c r="V17" i="14" s="1"/>
  <c r="R17" i="14"/>
  <c r="Q17" i="14"/>
  <c r="P17" i="14"/>
  <c r="N17" i="14"/>
  <c r="J17" i="14"/>
  <c r="D17" i="14"/>
  <c r="M17" i="14" s="1"/>
  <c r="C17" i="14"/>
  <c r="K17" i="14" s="1"/>
  <c r="AE16" i="14"/>
  <c r="AD16" i="14"/>
  <c r="AC16" i="14"/>
  <c r="AB16" i="14"/>
  <c r="AA16" i="14"/>
  <c r="Z16" i="14"/>
  <c r="X16" i="14"/>
  <c r="T16" i="14"/>
  <c r="S16" i="14"/>
  <c r="R16" i="14"/>
  <c r="Q16" i="14"/>
  <c r="P16" i="14"/>
  <c r="N16" i="14"/>
  <c r="M16" i="14"/>
  <c r="K16" i="14"/>
  <c r="J16" i="14"/>
  <c r="D16" i="14"/>
  <c r="C16" i="14"/>
  <c r="AE15" i="14"/>
  <c r="AD15" i="14"/>
  <c r="AC15" i="14"/>
  <c r="AB15" i="14"/>
  <c r="AA15" i="14"/>
  <c r="Z15" i="14"/>
  <c r="X15" i="14"/>
  <c r="T15" i="14"/>
  <c r="S15" i="14"/>
  <c r="V15" i="14" s="1"/>
  <c r="R15" i="14"/>
  <c r="Q15" i="14"/>
  <c r="P15" i="14"/>
  <c r="N15" i="14"/>
  <c r="J15" i="14"/>
  <c r="D15" i="14"/>
  <c r="AE14" i="14"/>
  <c r="AD14" i="14"/>
  <c r="AC14" i="14"/>
  <c r="AB14" i="14"/>
  <c r="AA14" i="14"/>
  <c r="Z14" i="14"/>
  <c r="X14" i="14"/>
  <c r="T14" i="14"/>
  <c r="S14" i="14"/>
  <c r="V14" i="14" s="1"/>
  <c r="R14" i="14"/>
  <c r="Q14" i="14"/>
  <c r="P14" i="14"/>
  <c r="N14" i="14"/>
  <c r="J14" i="14"/>
  <c r="D14" i="14"/>
  <c r="M14" i="14" s="1"/>
  <c r="C14" i="14"/>
  <c r="K14" i="14" s="1"/>
  <c r="AE13" i="14"/>
  <c r="AD13" i="14"/>
  <c r="AB13" i="14"/>
  <c r="AA13" i="14"/>
  <c r="P13" i="14"/>
  <c r="O13" i="14"/>
  <c r="L13" i="14"/>
  <c r="I13" i="14"/>
  <c r="Q13" i="14" s="1"/>
  <c r="H13" i="14"/>
  <c r="G13" i="14"/>
  <c r="F13" i="14"/>
  <c r="E13" i="14"/>
  <c r="Y12" i="14"/>
  <c r="Y11" i="14"/>
  <c r="Y10" i="14"/>
  <c r="Y9" i="14"/>
  <c r="T9" i="14"/>
  <c r="S9" i="14"/>
  <c r="V9" i="14" s="1"/>
  <c r="R9" i="14"/>
  <c r="P9" i="14"/>
  <c r="O9" i="14"/>
  <c r="N9" i="14"/>
  <c r="L9" i="14"/>
  <c r="J9" i="14"/>
  <c r="I9" i="14"/>
  <c r="Q9" i="14" s="1"/>
  <c r="H9" i="14"/>
  <c r="G9" i="14"/>
  <c r="F9" i="14"/>
  <c r="E9" i="14"/>
  <c r="D9" i="14"/>
  <c r="M9" i="14" s="1"/>
  <c r="I8" i="14"/>
  <c r="G8" i="14"/>
  <c r="P8" i="14" s="1"/>
  <c r="E8" i="14"/>
  <c r="E7" i="14" s="1"/>
  <c r="G7" i="14"/>
  <c r="P7" i="14" s="1"/>
  <c r="F7" i="14"/>
  <c r="O106" i="13"/>
  <c r="L106" i="13"/>
  <c r="I106" i="13"/>
  <c r="Q106" i="13" s="1"/>
  <c r="H106" i="13"/>
  <c r="N106" i="13" s="1"/>
  <c r="G106" i="13"/>
  <c r="F106" i="13"/>
  <c r="E106" i="13"/>
  <c r="O105" i="13"/>
  <c r="L105" i="13"/>
  <c r="I105" i="13"/>
  <c r="Q105" i="13" s="1"/>
  <c r="H105" i="13"/>
  <c r="N105" i="13" s="1"/>
  <c r="G105" i="13"/>
  <c r="P105" i="13" s="1"/>
  <c r="F105" i="13"/>
  <c r="E105" i="13"/>
  <c r="O104" i="13"/>
  <c r="L104" i="13"/>
  <c r="I104" i="13"/>
  <c r="Q104" i="13" s="1"/>
  <c r="H104" i="13"/>
  <c r="G104" i="13"/>
  <c r="P104" i="13" s="1"/>
  <c r="F104" i="13"/>
  <c r="E104" i="13"/>
  <c r="O103" i="13"/>
  <c r="L103" i="13"/>
  <c r="I103" i="13"/>
  <c r="Q103" i="13" s="1"/>
  <c r="H103" i="13"/>
  <c r="N103" i="13" s="1"/>
  <c r="G103" i="13"/>
  <c r="P103" i="13" s="1"/>
  <c r="F103" i="13"/>
  <c r="E103" i="13"/>
  <c r="O102" i="13"/>
  <c r="L102" i="13"/>
  <c r="I102" i="13"/>
  <c r="Q102" i="13" s="1"/>
  <c r="H102" i="13"/>
  <c r="N102" i="13" s="1"/>
  <c r="G102" i="13"/>
  <c r="P102" i="13" s="1"/>
  <c r="F102" i="13"/>
  <c r="E102" i="13"/>
  <c r="O101" i="13"/>
  <c r="L101" i="13"/>
  <c r="I101" i="13"/>
  <c r="Q101" i="13" s="1"/>
  <c r="H101" i="13"/>
  <c r="N101" i="13" s="1"/>
  <c r="G101" i="13"/>
  <c r="P101" i="13" s="1"/>
  <c r="F101" i="13"/>
  <c r="E101" i="13"/>
  <c r="O100" i="13"/>
  <c r="L100" i="13"/>
  <c r="I100" i="13"/>
  <c r="Q100" i="13" s="1"/>
  <c r="H100" i="13"/>
  <c r="G100" i="13"/>
  <c r="F100" i="13"/>
  <c r="E100" i="13"/>
  <c r="O99" i="13"/>
  <c r="L99" i="13"/>
  <c r="I99" i="13"/>
  <c r="Q99" i="13" s="1"/>
  <c r="H99" i="13"/>
  <c r="G99" i="13"/>
  <c r="P99" i="13" s="1"/>
  <c r="F99" i="13"/>
  <c r="E99" i="13"/>
  <c r="O98" i="13"/>
  <c r="L98" i="13"/>
  <c r="I98" i="13"/>
  <c r="Q98" i="13" s="1"/>
  <c r="H98" i="13"/>
  <c r="G98" i="13"/>
  <c r="P98" i="13" s="1"/>
  <c r="F98" i="13"/>
  <c r="E98" i="13"/>
  <c r="O97" i="13"/>
  <c r="L97" i="13"/>
  <c r="I97" i="13"/>
  <c r="Q97" i="13" s="1"/>
  <c r="H97" i="13"/>
  <c r="G97" i="13"/>
  <c r="P97" i="13" s="1"/>
  <c r="F97" i="13"/>
  <c r="E97" i="13"/>
  <c r="O96" i="13"/>
  <c r="L96" i="13"/>
  <c r="I96" i="13"/>
  <c r="Q96" i="13" s="1"/>
  <c r="H96" i="13"/>
  <c r="G96" i="13"/>
  <c r="P96" i="13" s="1"/>
  <c r="F96" i="13"/>
  <c r="E96" i="13"/>
  <c r="O95" i="13"/>
  <c r="L95" i="13"/>
  <c r="I95" i="13"/>
  <c r="Q95" i="13" s="1"/>
  <c r="H95" i="13"/>
  <c r="G95" i="13"/>
  <c r="P95" i="13" s="1"/>
  <c r="F95" i="13"/>
  <c r="E95" i="13"/>
  <c r="O94" i="13"/>
  <c r="L94" i="13"/>
  <c r="I94" i="13"/>
  <c r="Q94" i="13" s="1"/>
  <c r="H94" i="13"/>
  <c r="G94" i="13"/>
  <c r="F94" i="13"/>
  <c r="E94" i="13"/>
  <c r="O93" i="13"/>
  <c r="L93" i="13"/>
  <c r="I93" i="13"/>
  <c r="Q93" i="13" s="1"/>
  <c r="H93" i="13"/>
  <c r="G93" i="13"/>
  <c r="P93" i="13" s="1"/>
  <c r="F93" i="13"/>
  <c r="E93" i="13"/>
  <c r="O92" i="13"/>
  <c r="L92" i="13"/>
  <c r="I92" i="13"/>
  <c r="Q92" i="13" s="1"/>
  <c r="H92" i="13"/>
  <c r="G92" i="13"/>
  <c r="P92" i="13" s="1"/>
  <c r="F92" i="13"/>
  <c r="E92" i="13"/>
  <c r="O91" i="13"/>
  <c r="L91" i="13"/>
  <c r="I91" i="13"/>
  <c r="Q91" i="13" s="1"/>
  <c r="H91" i="13"/>
  <c r="G91" i="13"/>
  <c r="P91" i="13" s="1"/>
  <c r="F91" i="13"/>
  <c r="E91" i="13"/>
  <c r="O90" i="13"/>
  <c r="L90" i="13"/>
  <c r="I90" i="13"/>
  <c r="H90" i="13"/>
  <c r="G90" i="13"/>
  <c r="P90" i="13" s="1"/>
  <c r="F90" i="13"/>
  <c r="E90" i="13"/>
  <c r="AB88" i="13"/>
  <c r="AA88" i="13"/>
  <c r="Z88" i="13"/>
  <c r="X88" i="13"/>
  <c r="W88" i="13"/>
  <c r="V88" i="13"/>
  <c r="T88" i="13"/>
  <c r="S88" i="13"/>
  <c r="R88" i="13"/>
  <c r="O88" i="13"/>
  <c r="L88" i="13"/>
  <c r="I88" i="13"/>
  <c r="Q88" i="13" s="1"/>
  <c r="H88" i="13"/>
  <c r="G88" i="13"/>
  <c r="P88" i="13" s="1"/>
  <c r="F88" i="13"/>
  <c r="E88" i="13"/>
  <c r="AB87" i="13"/>
  <c r="AA87" i="13"/>
  <c r="Z87" i="13"/>
  <c r="X87" i="13"/>
  <c r="W87" i="13"/>
  <c r="V87" i="13"/>
  <c r="T87" i="13"/>
  <c r="S87" i="13"/>
  <c r="R87" i="13"/>
  <c r="O87" i="13"/>
  <c r="L87" i="13"/>
  <c r="I87" i="13"/>
  <c r="Q87" i="13" s="1"/>
  <c r="H87" i="13"/>
  <c r="G87" i="13"/>
  <c r="P87" i="13" s="1"/>
  <c r="F87" i="13"/>
  <c r="E87" i="13"/>
  <c r="AB86" i="13"/>
  <c r="AA86" i="13"/>
  <c r="Z86" i="13"/>
  <c r="X86" i="13"/>
  <c r="W86" i="13"/>
  <c r="V86" i="13"/>
  <c r="T86" i="13"/>
  <c r="S86" i="13"/>
  <c r="R86" i="13"/>
  <c r="O86" i="13"/>
  <c r="L86" i="13"/>
  <c r="I86" i="13"/>
  <c r="Q86" i="13" s="1"/>
  <c r="H86" i="13"/>
  <c r="G86" i="13"/>
  <c r="F86" i="13"/>
  <c r="E86" i="13"/>
  <c r="AB85" i="13"/>
  <c r="AA85" i="13"/>
  <c r="Z85" i="13"/>
  <c r="X85" i="13"/>
  <c r="W85" i="13"/>
  <c r="V85" i="13"/>
  <c r="T85" i="13"/>
  <c r="S85" i="13"/>
  <c r="R85" i="13"/>
  <c r="O85" i="13"/>
  <c r="L85" i="13"/>
  <c r="I85" i="13"/>
  <c r="Q85" i="13" s="1"/>
  <c r="H85" i="13"/>
  <c r="G85" i="13"/>
  <c r="P85" i="13" s="1"/>
  <c r="F85" i="13"/>
  <c r="E85" i="13"/>
  <c r="AB84" i="13"/>
  <c r="AA84" i="13"/>
  <c r="Z84" i="13"/>
  <c r="X84" i="13"/>
  <c r="W84" i="13"/>
  <c r="V84" i="13"/>
  <c r="T84" i="13"/>
  <c r="S84" i="13"/>
  <c r="R84" i="13"/>
  <c r="O84" i="13"/>
  <c r="L84" i="13"/>
  <c r="I84" i="13"/>
  <c r="Q84" i="13" s="1"/>
  <c r="H84" i="13"/>
  <c r="G84" i="13"/>
  <c r="P84" i="13" s="1"/>
  <c r="F84" i="13"/>
  <c r="E84" i="13"/>
  <c r="AB83" i="13"/>
  <c r="AA83" i="13"/>
  <c r="Z83" i="13"/>
  <c r="X83" i="13"/>
  <c r="W83" i="13"/>
  <c r="V83" i="13"/>
  <c r="T83" i="13"/>
  <c r="S83" i="13"/>
  <c r="R83" i="13"/>
  <c r="O83" i="13"/>
  <c r="L83" i="13"/>
  <c r="I83" i="13"/>
  <c r="Q83" i="13" s="1"/>
  <c r="H83" i="13"/>
  <c r="G83" i="13"/>
  <c r="P83" i="13" s="1"/>
  <c r="F83" i="13"/>
  <c r="E83" i="13"/>
  <c r="AB82" i="13"/>
  <c r="AA82" i="13"/>
  <c r="Z82" i="13"/>
  <c r="X82" i="13"/>
  <c r="W82" i="13"/>
  <c r="V82" i="13"/>
  <c r="T82" i="13"/>
  <c r="S82" i="13"/>
  <c r="R82" i="13"/>
  <c r="O82" i="13"/>
  <c r="L82" i="13"/>
  <c r="I82" i="13"/>
  <c r="Q82" i="13" s="1"/>
  <c r="H82" i="13"/>
  <c r="G82" i="13"/>
  <c r="P82" i="13" s="1"/>
  <c r="F82" i="13"/>
  <c r="E82" i="13"/>
  <c r="AB81" i="13"/>
  <c r="AA81" i="13"/>
  <c r="Z81" i="13"/>
  <c r="X81" i="13"/>
  <c r="W81" i="13"/>
  <c r="V81" i="13"/>
  <c r="T81" i="13"/>
  <c r="S81" i="13"/>
  <c r="R81" i="13"/>
  <c r="O81" i="13"/>
  <c r="L81" i="13"/>
  <c r="I81" i="13"/>
  <c r="Q81" i="13" s="1"/>
  <c r="H81" i="13"/>
  <c r="G81" i="13"/>
  <c r="P81" i="13" s="1"/>
  <c r="F81" i="13"/>
  <c r="E81" i="13"/>
  <c r="AB80" i="13"/>
  <c r="AA80" i="13"/>
  <c r="Z80" i="13"/>
  <c r="X80" i="13"/>
  <c r="W80" i="13"/>
  <c r="V80" i="13"/>
  <c r="T80" i="13"/>
  <c r="S80" i="13"/>
  <c r="R80" i="13"/>
  <c r="O80" i="13"/>
  <c r="L80" i="13"/>
  <c r="I80" i="13"/>
  <c r="Q80" i="13" s="1"/>
  <c r="H80" i="13"/>
  <c r="G80" i="13"/>
  <c r="F80" i="13"/>
  <c r="E80" i="13"/>
  <c r="AB79" i="13"/>
  <c r="AA79" i="13"/>
  <c r="Z79" i="13"/>
  <c r="X79" i="13"/>
  <c r="W79" i="13"/>
  <c r="V79" i="13"/>
  <c r="T79" i="13"/>
  <c r="S79" i="13"/>
  <c r="R79" i="13"/>
  <c r="O79" i="13"/>
  <c r="L79" i="13"/>
  <c r="I79" i="13"/>
  <c r="Q79" i="13" s="1"/>
  <c r="H79" i="13"/>
  <c r="G79" i="13"/>
  <c r="P79" i="13" s="1"/>
  <c r="F79" i="13"/>
  <c r="E79" i="13"/>
  <c r="AB78" i="13"/>
  <c r="AA78" i="13"/>
  <c r="Z78" i="13"/>
  <c r="X78" i="13"/>
  <c r="W78" i="13"/>
  <c r="V78" i="13"/>
  <c r="T78" i="13"/>
  <c r="S78" i="13"/>
  <c r="R78" i="13"/>
  <c r="O78" i="13"/>
  <c r="L78" i="13"/>
  <c r="I78" i="13"/>
  <c r="Q78" i="13" s="1"/>
  <c r="H78" i="13"/>
  <c r="G78" i="13"/>
  <c r="P78" i="13" s="1"/>
  <c r="F78" i="13"/>
  <c r="E78" i="13"/>
  <c r="AB77" i="13"/>
  <c r="AA77" i="13"/>
  <c r="Z77" i="13"/>
  <c r="X77" i="13"/>
  <c r="W77" i="13"/>
  <c r="V77" i="13"/>
  <c r="T77" i="13"/>
  <c r="S77" i="13"/>
  <c r="R77" i="13"/>
  <c r="O77" i="13"/>
  <c r="L77" i="13"/>
  <c r="I77" i="13"/>
  <c r="Q77" i="13" s="1"/>
  <c r="H77" i="13"/>
  <c r="G77" i="13"/>
  <c r="P77" i="13" s="1"/>
  <c r="F77" i="13"/>
  <c r="E77" i="13"/>
  <c r="AB76" i="13"/>
  <c r="AA76" i="13"/>
  <c r="Z76" i="13"/>
  <c r="X76" i="13"/>
  <c r="W76" i="13"/>
  <c r="V76" i="13"/>
  <c r="T76" i="13"/>
  <c r="S76" i="13"/>
  <c r="R76" i="13"/>
  <c r="O76" i="13"/>
  <c r="L76" i="13"/>
  <c r="I76" i="13"/>
  <c r="Q76" i="13" s="1"/>
  <c r="H76" i="13"/>
  <c r="G76" i="13"/>
  <c r="F76" i="13"/>
  <c r="E76" i="13"/>
  <c r="AB75" i="13"/>
  <c r="AA75" i="13"/>
  <c r="Z75" i="13"/>
  <c r="X75" i="13"/>
  <c r="W75" i="13"/>
  <c r="V75" i="13"/>
  <c r="T75" i="13"/>
  <c r="S75" i="13"/>
  <c r="R75" i="13"/>
  <c r="O75" i="13"/>
  <c r="L75" i="13"/>
  <c r="I75" i="13"/>
  <c r="Q75" i="13" s="1"/>
  <c r="H75" i="13"/>
  <c r="G75" i="13"/>
  <c r="P75" i="13" s="1"/>
  <c r="F75" i="13"/>
  <c r="E75" i="13"/>
  <c r="AB73" i="13"/>
  <c r="AA73" i="13"/>
  <c r="Z73" i="13"/>
  <c r="AC73" i="13" s="1"/>
  <c r="X73" i="13"/>
  <c r="W73" i="13"/>
  <c r="V73" i="13"/>
  <c r="Y73" i="13" s="1"/>
  <c r="T73" i="13"/>
  <c r="S73" i="13"/>
  <c r="R73" i="13"/>
  <c r="U73" i="13" s="1"/>
  <c r="O73" i="13"/>
  <c r="L73" i="13"/>
  <c r="I73" i="13"/>
  <c r="Q73" i="13" s="1"/>
  <c r="H73" i="13"/>
  <c r="G73" i="13"/>
  <c r="P73" i="13" s="1"/>
  <c r="F73" i="13"/>
  <c r="E73" i="13"/>
  <c r="AB72" i="13"/>
  <c r="AA72" i="13"/>
  <c r="Z72" i="13"/>
  <c r="X72" i="13"/>
  <c r="W72" i="13"/>
  <c r="V72" i="13"/>
  <c r="T72" i="13"/>
  <c r="S72" i="13"/>
  <c r="R72" i="13"/>
  <c r="O72" i="13"/>
  <c r="L72" i="13"/>
  <c r="I72" i="13"/>
  <c r="Q72" i="13" s="1"/>
  <c r="H72" i="13"/>
  <c r="G72" i="13"/>
  <c r="F72" i="13"/>
  <c r="E72" i="13"/>
  <c r="AB71" i="13"/>
  <c r="AA71" i="13"/>
  <c r="Z71" i="13"/>
  <c r="AC71" i="13" s="1"/>
  <c r="X71" i="13"/>
  <c r="W71" i="13"/>
  <c r="V71" i="13"/>
  <c r="Y71" i="13" s="1"/>
  <c r="T71" i="13"/>
  <c r="S71" i="13"/>
  <c r="R71" i="13"/>
  <c r="U71" i="13" s="1"/>
  <c r="O71" i="13"/>
  <c r="L71" i="13"/>
  <c r="I71" i="13"/>
  <c r="Q71" i="13" s="1"/>
  <c r="H71" i="13"/>
  <c r="G71" i="13"/>
  <c r="P71" i="13" s="1"/>
  <c r="F71" i="13"/>
  <c r="E71" i="13"/>
  <c r="AB70" i="13"/>
  <c r="AA70" i="13"/>
  <c r="Z70" i="13"/>
  <c r="X70" i="13"/>
  <c r="W70" i="13"/>
  <c r="V70" i="13"/>
  <c r="T70" i="13"/>
  <c r="S70" i="13"/>
  <c r="R70" i="13"/>
  <c r="O70" i="13"/>
  <c r="L70" i="13"/>
  <c r="I70" i="13"/>
  <c r="Q70" i="13" s="1"/>
  <c r="H70" i="13"/>
  <c r="G70" i="13"/>
  <c r="P70" i="13" s="1"/>
  <c r="F70" i="13"/>
  <c r="E70" i="13"/>
  <c r="AB69" i="13"/>
  <c r="AA69" i="13"/>
  <c r="Z69" i="13"/>
  <c r="X69" i="13"/>
  <c r="W69" i="13"/>
  <c r="V69" i="13"/>
  <c r="T69" i="13"/>
  <c r="S69" i="13"/>
  <c r="R69" i="13"/>
  <c r="O69" i="13"/>
  <c r="L69" i="13"/>
  <c r="I69" i="13"/>
  <c r="Q69" i="13" s="1"/>
  <c r="H69" i="13"/>
  <c r="G69" i="13"/>
  <c r="F69" i="13"/>
  <c r="E69" i="13"/>
  <c r="AB68" i="13"/>
  <c r="AA68" i="13"/>
  <c r="Z68" i="13"/>
  <c r="X68" i="13"/>
  <c r="W68" i="13"/>
  <c r="V68" i="13"/>
  <c r="T68" i="13"/>
  <c r="S68" i="13"/>
  <c r="R68" i="13"/>
  <c r="O68" i="13"/>
  <c r="L68" i="13"/>
  <c r="I68" i="13"/>
  <c r="Q68" i="13" s="1"/>
  <c r="H68" i="13"/>
  <c r="G68" i="13"/>
  <c r="P68" i="13" s="1"/>
  <c r="F68" i="13"/>
  <c r="E68" i="13"/>
  <c r="AB67" i="13"/>
  <c r="AA67" i="13"/>
  <c r="Z67" i="13"/>
  <c r="X67" i="13"/>
  <c r="W67" i="13"/>
  <c r="V67" i="13"/>
  <c r="T67" i="13"/>
  <c r="S67" i="13"/>
  <c r="R67" i="13"/>
  <c r="O67" i="13"/>
  <c r="L67" i="13"/>
  <c r="I67" i="13"/>
  <c r="Q67" i="13" s="1"/>
  <c r="H67" i="13"/>
  <c r="G67" i="13"/>
  <c r="F67" i="13"/>
  <c r="E67" i="13"/>
  <c r="AB66" i="13"/>
  <c r="AA66" i="13"/>
  <c r="Z66" i="13"/>
  <c r="X66" i="13"/>
  <c r="W66" i="13"/>
  <c r="V66" i="13"/>
  <c r="T66" i="13"/>
  <c r="S66" i="13"/>
  <c r="R66" i="13"/>
  <c r="O66" i="13"/>
  <c r="L66" i="13"/>
  <c r="I66" i="13"/>
  <c r="Q66" i="13" s="1"/>
  <c r="H66" i="13"/>
  <c r="G66" i="13"/>
  <c r="P66" i="13" s="1"/>
  <c r="F66" i="13"/>
  <c r="E66" i="13"/>
  <c r="AB65" i="13"/>
  <c r="AA65" i="13"/>
  <c r="Z65" i="13"/>
  <c r="X65" i="13"/>
  <c r="W65" i="13"/>
  <c r="V65" i="13"/>
  <c r="T65" i="13"/>
  <c r="S65" i="13"/>
  <c r="R65" i="13"/>
  <c r="O65" i="13"/>
  <c r="L65" i="13"/>
  <c r="I65" i="13"/>
  <c r="Q65" i="13" s="1"/>
  <c r="H65" i="13"/>
  <c r="G65" i="13"/>
  <c r="F65" i="13"/>
  <c r="E65" i="13"/>
  <c r="AB64" i="13"/>
  <c r="AA64" i="13"/>
  <c r="Z64" i="13"/>
  <c r="AC64" i="13" s="1"/>
  <c r="X64" i="13"/>
  <c r="W64" i="13"/>
  <c r="V64" i="13"/>
  <c r="Y64" i="13" s="1"/>
  <c r="T64" i="13"/>
  <c r="S64" i="13"/>
  <c r="R64" i="13"/>
  <c r="U64" i="13" s="1"/>
  <c r="O64" i="13"/>
  <c r="L64" i="13"/>
  <c r="I64" i="13"/>
  <c r="Q64" i="13" s="1"/>
  <c r="H64" i="13"/>
  <c r="G64" i="13"/>
  <c r="P64" i="13" s="1"/>
  <c r="F64" i="13"/>
  <c r="E64" i="13"/>
  <c r="AB63" i="13"/>
  <c r="AA63" i="13"/>
  <c r="Z63" i="13"/>
  <c r="X63" i="13"/>
  <c r="W63" i="13"/>
  <c r="V63" i="13"/>
  <c r="T63" i="13"/>
  <c r="S63" i="13"/>
  <c r="R63" i="13"/>
  <c r="O63" i="13"/>
  <c r="L63" i="13"/>
  <c r="I63" i="13"/>
  <c r="Q63" i="13" s="1"/>
  <c r="H63" i="13"/>
  <c r="G63" i="13"/>
  <c r="F63" i="13"/>
  <c r="E63" i="13"/>
  <c r="AB62" i="13"/>
  <c r="AA62" i="13"/>
  <c r="Z62" i="13"/>
  <c r="X62" i="13"/>
  <c r="W62" i="13"/>
  <c r="V62" i="13"/>
  <c r="T62" i="13"/>
  <c r="S62" i="13"/>
  <c r="R62" i="13"/>
  <c r="O62" i="13"/>
  <c r="L62" i="13"/>
  <c r="I62" i="13"/>
  <c r="Q62" i="13" s="1"/>
  <c r="H62" i="13"/>
  <c r="G62" i="13"/>
  <c r="P62" i="13" s="1"/>
  <c r="F62" i="13"/>
  <c r="E62" i="13"/>
  <c r="AB61" i="13"/>
  <c r="AA61" i="13"/>
  <c r="Z61" i="13"/>
  <c r="AC61" i="13" s="1"/>
  <c r="X61" i="13"/>
  <c r="W61" i="13"/>
  <c r="V61" i="13"/>
  <c r="Y61" i="13" s="1"/>
  <c r="T61" i="13"/>
  <c r="S61" i="13"/>
  <c r="R61" i="13"/>
  <c r="U61" i="13" s="1"/>
  <c r="O61" i="13"/>
  <c r="L61" i="13"/>
  <c r="I61" i="13"/>
  <c r="Q61" i="13" s="1"/>
  <c r="H61" i="13"/>
  <c r="G61" i="13"/>
  <c r="F61" i="13"/>
  <c r="E61" i="13"/>
  <c r="AB60" i="13"/>
  <c r="AA60" i="13"/>
  <c r="Z60" i="13"/>
  <c r="AC60" i="13" s="1"/>
  <c r="X60" i="13"/>
  <c r="W60" i="13"/>
  <c r="V60" i="13"/>
  <c r="Y60" i="13" s="1"/>
  <c r="T60" i="13"/>
  <c r="S60" i="13"/>
  <c r="R60" i="13"/>
  <c r="U60" i="13" s="1"/>
  <c r="O60" i="13"/>
  <c r="L60" i="13"/>
  <c r="I60" i="13"/>
  <c r="Q60" i="13" s="1"/>
  <c r="H60" i="13"/>
  <c r="G60" i="13"/>
  <c r="P60" i="13" s="1"/>
  <c r="F60" i="13"/>
  <c r="E60" i="13"/>
  <c r="AB59" i="13"/>
  <c r="AA59" i="13"/>
  <c r="Z59" i="13"/>
  <c r="X59" i="13"/>
  <c r="W59" i="13"/>
  <c r="V59" i="13"/>
  <c r="Y59" i="13" s="1"/>
  <c r="T59" i="13"/>
  <c r="S59" i="13"/>
  <c r="R59" i="13"/>
  <c r="U59" i="13" s="1"/>
  <c r="O59" i="13"/>
  <c r="L59" i="13"/>
  <c r="I59" i="13"/>
  <c r="Q59" i="13" s="1"/>
  <c r="H59" i="13"/>
  <c r="G59" i="13"/>
  <c r="F59" i="13"/>
  <c r="E59" i="13"/>
  <c r="AB58" i="13"/>
  <c r="AA58" i="13"/>
  <c r="Z58" i="13"/>
  <c r="X58" i="13"/>
  <c r="W58" i="13"/>
  <c r="V58" i="13"/>
  <c r="T58" i="13"/>
  <c r="S58" i="13"/>
  <c r="R58" i="13"/>
  <c r="O58" i="13"/>
  <c r="L58" i="13"/>
  <c r="I58" i="13"/>
  <c r="Q58" i="13" s="1"/>
  <c r="H58" i="13"/>
  <c r="G58" i="13"/>
  <c r="P58" i="13" s="1"/>
  <c r="F58" i="13"/>
  <c r="E58" i="13"/>
  <c r="AB57" i="13"/>
  <c r="AA57" i="13"/>
  <c r="Z57" i="13"/>
  <c r="X57" i="13"/>
  <c r="W57" i="13"/>
  <c r="V57" i="13"/>
  <c r="T57" i="13"/>
  <c r="S57" i="13"/>
  <c r="R57" i="13"/>
  <c r="O57" i="13"/>
  <c r="L57" i="13"/>
  <c r="I57" i="13"/>
  <c r="Q57" i="13" s="1"/>
  <c r="H57" i="13"/>
  <c r="G57" i="13"/>
  <c r="F57" i="13"/>
  <c r="E57" i="13"/>
  <c r="AB56" i="13"/>
  <c r="AA56" i="13"/>
  <c r="Z56" i="13"/>
  <c r="X56" i="13"/>
  <c r="W56" i="13"/>
  <c r="V56" i="13"/>
  <c r="T56" i="13"/>
  <c r="S56" i="13"/>
  <c r="R56" i="13"/>
  <c r="O56" i="13"/>
  <c r="L56" i="13"/>
  <c r="I56" i="13"/>
  <c r="Q56" i="13" s="1"/>
  <c r="H56" i="13"/>
  <c r="G56" i="13"/>
  <c r="P56" i="13" s="1"/>
  <c r="F56" i="13"/>
  <c r="E56" i="13"/>
  <c r="AB55" i="13"/>
  <c r="AA55" i="13"/>
  <c r="Z55" i="13"/>
  <c r="X55" i="13"/>
  <c r="W55" i="13"/>
  <c r="V55" i="13"/>
  <c r="T55" i="13"/>
  <c r="S55" i="13"/>
  <c r="R55" i="13"/>
  <c r="O55" i="13"/>
  <c r="L55" i="13"/>
  <c r="I55" i="13"/>
  <c r="Q55" i="13" s="1"/>
  <c r="H55" i="13"/>
  <c r="G55" i="13"/>
  <c r="F55" i="13"/>
  <c r="E55" i="13"/>
  <c r="AB54" i="13"/>
  <c r="AA54" i="13"/>
  <c r="Z54" i="13"/>
  <c r="X54" i="13"/>
  <c r="W54" i="13"/>
  <c r="V54" i="13"/>
  <c r="T54" i="13"/>
  <c r="S54" i="13"/>
  <c r="R54" i="13"/>
  <c r="O54" i="13"/>
  <c r="L54" i="13"/>
  <c r="I54" i="13"/>
  <c r="Q54" i="13" s="1"/>
  <c r="H54" i="13"/>
  <c r="G54" i="13"/>
  <c r="P54" i="13" s="1"/>
  <c r="F54" i="13"/>
  <c r="E54" i="13"/>
  <c r="AB53" i="13"/>
  <c r="AA53" i="13"/>
  <c r="Z53" i="13"/>
  <c r="X53" i="13"/>
  <c r="W53" i="13"/>
  <c r="V53" i="13"/>
  <c r="T53" i="13"/>
  <c r="S53" i="13"/>
  <c r="R53" i="13"/>
  <c r="O53" i="13"/>
  <c r="L53" i="13"/>
  <c r="I53" i="13"/>
  <c r="Q53" i="13" s="1"/>
  <c r="H53" i="13"/>
  <c r="G53" i="13"/>
  <c r="F53" i="13"/>
  <c r="E53" i="13"/>
  <c r="AB51" i="13"/>
  <c r="AA51" i="13"/>
  <c r="Z51" i="13"/>
  <c r="X51" i="13"/>
  <c r="W51" i="13"/>
  <c r="V51" i="13"/>
  <c r="T51" i="13"/>
  <c r="S51" i="13"/>
  <c r="R51" i="13"/>
  <c r="O51" i="13"/>
  <c r="L51" i="13"/>
  <c r="I51" i="13"/>
  <c r="Q51" i="13" s="1"/>
  <c r="H51" i="13"/>
  <c r="G51" i="13"/>
  <c r="F51" i="13"/>
  <c r="E51" i="13"/>
  <c r="AB50" i="13"/>
  <c r="AA50" i="13"/>
  <c r="Z50" i="13"/>
  <c r="X50" i="13"/>
  <c r="W50" i="13"/>
  <c r="V50" i="13"/>
  <c r="T50" i="13"/>
  <c r="S50" i="13"/>
  <c r="R50" i="13"/>
  <c r="O50" i="13"/>
  <c r="L50" i="13"/>
  <c r="I50" i="13"/>
  <c r="Q50" i="13" s="1"/>
  <c r="H50" i="13"/>
  <c r="G50" i="13"/>
  <c r="P50" i="13" s="1"/>
  <c r="F50" i="13"/>
  <c r="E50" i="13"/>
  <c r="AB49" i="13"/>
  <c r="AA49" i="13"/>
  <c r="Z49" i="13"/>
  <c r="X49" i="13"/>
  <c r="W49" i="13"/>
  <c r="V49" i="13"/>
  <c r="T49" i="13"/>
  <c r="S49" i="13"/>
  <c r="R49" i="13"/>
  <c r="O49" i="13"/>
  <c r="L49" i="13"/>
  <c r="I49" i="13"/>
  <c r="Q49" i="13" s="1"/>
  <c r="H49" i="13"/>
  <c r="G49" i="13"/>
  <c r="F49" i="13"/>
  <c r="E49" i="13"/>
  <c r="AB48" i="13"/>
  <c r="AA48" i="13"/>
  <c r="Z48" i="13"/>
  <c r="X48" i="13"/>
  <c r="W48" i="13"/>
  <c r="V48" i="13"/>
  <c r="T48" i="13"/>
  <c r="S48" i="13"/>
  <c r="R48" i="13"/>
  <c r="O48" i="13"/>
  <c r="L48" i="13"/>
  <c r="I48" i="13"/>
  <c r="Q48" i="13" s="1"/>
  <c r="H48" i="13"/>
  <c r="G48" i="13"/>
  <c r="P48" i="13" s="1"/>
  <c r="F48" i="13"/>
  <c r="E48" i="13"/>
  <c r="AB47" i="13"/>
  <c r="AA47" i="13"/>
  <c r="Z47" i="13"/>
  <c r="X47" i="13"/>
  <c r="W47" i="13"/>
  <c r="V47" i="13"/>
  <c r="T47" i="13"/>
  <c r="S47" i="13"/>
  <c r="R47" i="13"/>
  <c r="O47" i="13"/>
  <c r="L47" i="13"/>
  <c r="I47" i="13"/>
  <c r="Q47" i="13" s="1"/>
  <c r="H47" i="13"/>
  <c r="G47" i="13"/>
  <c r="F47" i="13"/>
  <c r="E47" i="13"/>
  <c r="AB46" i="13"/>
  <c r="AA46" i="13"/>
  <c r="Z46" i="13"/>
  <c r="X46" i="13"/>
  <c r="W46" i="13"/>
  <c r="V46" i="13"/>
  <c r="T46" i="13"/>
  <c r="S46" i="13"/>
  <c r="R46" i="13"/>
  <c r="O46" i="13"/>
  <c r="L46" i="13"/>
  <c r="I46" i="13"/>
  <c r="Q46" i="13" s="1"/>
  <c r="H46" i="13"/>
  <c r="G46" i="13"/>
  <c r="P46" i="13" s="1"/>
  <c r="F46" i="13"/>
  <c r="E46" i="13"/>
  <c r="AB45" i="13"/>
  <c r="AA45" i="13"/>
  <c r="Z45" i="13"/>
  <c r="X45" i="13"/>
  <c r="W45" i="13"/>
  <c r="V45" i="13"/>
  <c r="T45" i="13"/>
  <c r="S45" i="13"/>
  <c r="R45" i="13"/>
  <c r="O45" i="13"/>
  <c r="L45" i="13"/>
  <c r="I45" i="13"/>
  <c r="Q45" i="13" s="1"/>
  <c r="H45" i="13"/>
  <c r="G45" i="13"/>
  <c r="F45" i="13"/>
  <c r="E45" i="13"/>
  <c r="AB44" i="13"/>
  <c r="AA44" i="13"/>
  <c r="Z44" i="13"/>
  <c r="X44" i="13"/>
  <c r="W44" i="13"/>
  <c r="V44" i="13"/>
  <c r="T44" i="13"/>
  <c r="S44" i="13"/>
  <c r="R44" i="13"/>
  <c r="O44" i="13"/>
  <c r="L44" i="13"/>
  <c r="I44" i="13"/>
  <c r="Q44" i="13" s="1"/>
  <c r="H44" i="13"/>
  <c r="G44" i="13"/>
  <c r="P44" i="13" s="1"/>
  <c r="F44" i="13"/>
  <c r="E44" i="13"/>
  <c r="AB43" i="13"/>
  <c r="AA43" i="13"/>
  <c r="Z43" i="13"/>
  <c r="X43" i="13"/>
  <c r="W43" i="13"/>
  <c r="V43" i="13"/>
  <c r="T43" i="13"/>
  <c r="S43" i="13"/>
  <c r="R43" i="13"/>
  <c r="O43" i="13"/>
  <c r="L43" i="13"/>
  <c r="I43" i="13"/>
  <c r="Q43" i="13" s="1"/>
  <c r="H43" i="13"/>
  <c r="G43" i="13"/>
  <c r="F43" i="13"/>
  <c r="E43" i="13"/>
  <c r="AB42" i="13"/>
  <c r="AA42" i="13"/>
  <c r="Z42" i="13"/>
  <c r="X42" i="13"/>
  <c r="W42" i="13"/>
  <c r="V42" i="13"/>
  <c r="T42" i="13"/>
  <c r="S42" i="13"/>
  <c r="R42" i="13"/>
  <c r="O42" i="13"/>
  <c r="L42" i="13"/>
  <c r="I42" i="13"/>
  <c r="Q42" i="13" s="1"/>
  <c r="H42" i="13"/>
  <c r="G42" i="13"/>
  <c r="P42" i="13" s="1"/>
  <c r="F42" i="13"/>
  <c r="E42" i="13"/>
  <c r="AB41" i="13"/>
  <c r="AA41" i="13"/>
  <c r="Z41" i="13"/>
  <c r="X41" i="13"/>
  <c r="W41" i="13"/>
  <c r="V41" i="13"/>
  <c r="T41" i="13"/>
  <c r="S41" i="13"/>
  <c r="R41" i="13"/>
  <c r="O41" i="13"/>
  <c r="L41" i="13"/>
  <c r="I41" i="13"/>
  <c r="Q41" i="13" s="1"/>
  <c r="H41" i="13"/>
  <c r="G41" i="13"/>
  <c r="P41" i="13" s="1"/>
  <c r="F41" i="13"/>
  <c r="E41" i="13"/>
  <c r="AB40" i="13"/>
  <c r="AA40" i="13"/>
  <c r="Z40" i="13"/>
  <c r="X40" i="13"/>
  <c r="W40" i="13"/>
  <c r="V40" i="13"/>
  <c r="T40" i="13"/>
  <c r="S40" i="13"/>
  <c r="R40" i="13"/>
  <c r="O40" i="13"/>
  <c r="L40" i="13"/>
  <c r="I40" i="13"/>
  <c r="Q40" i="13" s="1"/>
  <c r="H40" i="13"/>
  <c r="G40" i="13"/>
  <c r="P40" i="13" s="1"/>
  <c r="F40" i="13"/>
  <c r="E40" i="13"/>
  <c r="AB39" i="13"/>
  <c r="AA39" i="13"/>
  <c r="Z39" i="13"/>
  <c r="X39" i="13"/>
  <c r="W39" i="13"/>
  <c r="V39" i="13"/>
  <c r="T39" i="13"/>
  <c r="S39" i="13"/>
  <c r="R39" i="13"/>
  <c r="O39" i="13"/>
  <c r="L39" i="13"/>
  <c r="I39" i="13"/>
  <c r="Q39" i="13" s="1"/>
  <c r="H39" i="13"/>
  <c r="G39" i="13"/>
  <c r="P39" i="13" s="1"/>
  <c r="F39" i="13"/>
  <c r="E39" i="13"/>
  <c r="AB38" i="13"/>
  <c r="AA38" i="13"/>
  <c r="Z38" i="13"/>
  <c r="X38" i="13"/>
  <c r="W38" i="13"/>
  <c r="V38" i="13"/>
  <c r="T38" i="13"/>
  <c r="S38" i="13"/>
  <c r="R38" i="13"/>
  <c r="O38" i="13"/>
  <c r="L38" i="13"/>
  <c r="I38" i="13"/>
  <c r="Q38" i="13" s="1"/>
  <c r="H38" i="13"/>
  <c r="G38" i="13"/>
  <c r="P38" i="13" s="1"/>
  <c r="F38" i="13"/>
  <c r="E38" i="13"/>
  <c r="AB37" i="13"/>
  <c r="AA37" i="13"/>
  <c r="Z37" i="13"/>
  <c r="X37" i="13"/>
  <c r="W37" i="13"/>
  <c r="V37" i="13"/>
  <c r="T37" i="13"/>
  <c r="S37" i="13"/>
  <c r="R37" i="13"/>
  <c r="O37" i="13"/>
  <c r="L37" i="13"/>
  <c r="I37" i="13"/>
  <c r="Q37" i="13" s="1"/>
  <c r="H37" i="13"/>
  <c r="G37" i="13"/>
  <c r="P37" i="13" s="1"/>
  <c r="F37" i="13"/>
  <c r="E37" i="13"/>
  <c r="AB36" i="13"/>
  <c r="AA36" i="13"/>
  <c r="Z36" i="13"/>
  <c r="X36" i="13"/>
  <c r="W36" i="13"/>
  <c r="V36" i="13"/>
  <c r="T36" i="13"/>
  <c r="S36" i="13"/>
  <c r="R36" i="13"/>
  <c r="O36" i="13"/>
  <c r="L36" i="13"/>
  <c r="I36" i="13"/>
  <c r="Q36" i="13" s="1"/>
  <c r="H36" i="13"/>
  <c r="G36" i="13"/>
  <c r="P36" i="13" s="1"/>
  <c r="F36" i="13"/>
  <c r="E36" i="13"/>
  <c r="AB35" i="13"/>
  <c r="AA35" i="13"/>
  <c r="Z35" i="13"/>
  <c r="X35" i="13"/>
  <c r="W35" i="13"/>
  <c r="V35" i="13"/>
  <c r="T35" i="13"/>
  <c r="S35" i="13"/>
  <c r="R35" i="13"/>
  <c r="O35" i="13"/>
  <c r="L35" i="13"/>
  <c r="I35" i="13"/>
  <c r="Q35" i="13" s="1"/>
  <c r="H35" i="13"/>
  <c r="G35" i="13"/>
  <c r="P35" i="13" s="1"/>
  <c r="F35" i="13"/>
  <c r="E35" i="13"/>
  <c r="AB34" i="13"/>
  <c r="AA34" i="13"/>
  <c r="Z34" i="13"/>
  <c r="X34" i="13"/>
  <c r="W34" i="13"/>
  <c r="V34" i="13"/>
  <c r="T34" i="13"/>
  <c r="S34" i="13"/>
  <c r="R34" i="13"/>
  <c r="O34" i="13"/>
  <c r="L34" i="13"/>
  <c r="I34" i="13"/>
  <c r="Q34" i="13" s="1"/>
  <c r="H34" i="13"/>
  <c r="G34" i="13"/>
  <c r="P34" i="13" s="1"/>
  <c r="F34" i="13"/>
  <c r="E34" i="13"/>
  <c r="AB33" i="13"/>
  <c r="AA33" i="13"/>
  <c r="Z33" i="13"/>
  <c r="X33" i="13"/>
  <c r="W33" i="13"/>
  <c r="V33" i="13"/>
  <c r="T33" i="13"/>
  <c r="S33" i="13"/>
  <c r="R33" i="13"/>
  <c r="O33" i="13"/>
  <c r="L33" i="13"/>
  <c r="I33" i="13"/>
  <c r="Q33" i="13" s="1"/>
  <c r="H33" i="13"/>
  <c r="G33" i="13"/>
  <c r="P33" i="13" s="1"/>
  <c r="F33" i="13"/>
  <c r="E33" i="13"/>
  <c r="AB32" i="13"/>
  <c r="AA32" i="13"/>
  <c r="Z32" i="13"/>
  <c r="X32" i="13"/>
  <c r="W32" i="13"/>
  <c r="V32" i="13"/>
  <c r="T32" i="13"/>
  <c r="S32" i="13"/>
  <c r="R32" i="13"/>
  <c r="O32" i="13"/>
  <c r="L32" i="13"/>
  <c r="I32" i="13"/>
  <c r="Q32" i="13" s="1"/>
  <c r="H32" i="13"/>
  <c r="G32" i="13"/>
  <c r="P32" i="13" s="1"/>
  <c r="F32" i="13"/>
  <c r="E32" i="13"/>
  <c r="AB30" i="13"/>
  <c r="AA30" i="13"/>
  <c r="Z30" i="13"/>
  <c r="X30" i="13"/>
  <c r="W30" i="13"/>
  <c r="V30" i="13"/>
  <c r="T30" i="13"/>
  <c r="S30" i="13"/>
  <c r="R30" i="13"/>
  <c r="O30" i="13"/>
  <c r="L30" i="13"/>
  <c r="I30" i="13"/>
  <c r="Q30" i="13" s="1"/>
  <c r="H30" i="13"/>
  <c r="G30" i="13"/>
  <c r="P30" i="13" s="1"/>
  <c r="F30" i="13"/>
  <c r="E30" i="13"/>
  <c r="AB29" i="13"/>
  <c r="AA29" i="13"/>
  <c r="Z29" i="13"/>
  <c r="X29" i="13"/>
  <c r="W29" i="13"/>
  <c r="V29" i="13"/>
  <c r="T29" i="13"/>
  <c r="S29" i="13"/>
  <c r="R29" i="13"/>
  <c r="O29" i="13"/>
  <c r="L29" i="13"/>
  <c r="I29" i="13"/>
  <c r="Q29" i="13" s="1"/>
  <c r="H29" i="13"/>
  <c r="G29" i="13"/>
  <c r="P29" i="13" s="1"/>
  <c r="F29" i="13"/>
  <c r="E29" i="13"/>
  <c r="AB28" i="13"/>
  <c r="AA28" i="13"/>
  <c r="Z28" i="13"/>
  <c r="X28" i="13"/>
  <c r="W28" i="13"/>
  <c r="V28" i="13"/>
  <c r="T28" i="13"/>
  <c r="S28" i="13"/>
  <c r="R28" i="13"/>
  <c r="O28" i="13"/>
  <c r="L28" i="13"/>
  <c r="I28" i="13"/>
  <c r="Q28" i="13" s="1"/>
  <c r="H28" i="13"/>
  <c r="G28" i="13"/>
  <c r="P28" i="13" s="1"/>
  <c r="F28" i="13"/>
  <c r="E28" i="13"/>
  <c r="AB27" i="13"/>
  <c r="AA27" i="13"/>
  <c r="Z27" i="13"/>
  <c r="X27" i="13"/>
  <c r="W27" i="13"/>
  <c r="V27" i="13"/>
  <c r="T27" i="13"/>
  <c r="S27" i="13"/>
  <c r="R27" i="13"/>
  <c r="O27" i="13"/>
  <c r="L27" i="13"/>
  <c r="I27" i="13"/>
  <c r="Q27" i="13" s="1"/>
  <c r="H27" i="13"/>
  <c r="G27" i="13"/>
  <c r="P27" i="13" s="1"/>
  <c r="F27" i="13"/>
  <c r="E27" i="13"/>
  <c r="AB26" i="13"/>
  <c r="AA26" i="13"/>
  <c r="Z26" i="13"/>
  <c r="X26" i="13"/>
  <c r="W26" i="13"/>
  <c r="V26" i="13"/>
  <c r="T26" i="13"/>
  <c r="S26" i="13"/>
  <c r="R26" i="13"/>
  <c r="O26" i="13"/>
  <c r="L26" i="13"/>
  <c r="I26" i="13"/>
  <c r="Q26" i="13" s="1"/>
  <c r="H26" i="13"/>
  <c r="G26" i="13"/>
  <c r="P26" i="13" s="1"/>
  <c r="F26" i="13"/>
  <c r="E26" i="13"/>
  <c r="AB25" i="13"/>
  <c r="AA25" i="13"/>
  <c r="Z25" i="13"/>
  <c r="X25" i="13"/>
  <c r="W25" i="13"/>
  <c r="V25" i="13"/>
  <c r="T25" i="13"/>
  <c r="S25" i="13"/>
  <c r="R25" i="13"/>
  <c r="O25" i="13"/>
  <c r="L25" i="13"/>
  <c r="I25" i="13"/>
  <c r="Q25" i="13" s="1"/>
  <c r="H25" i="13"/>
  <c r="G25" i="13"/>
  <c r="P25" i="13" s="1"/>
  <c r="F25" i="13"/>
  <c r="E25" i="13"/>
  <c r="AB24" i="13"/>
  <c r="AA24" i="13"/>
  <c r="Z24" i="13"/>
  <c r="X24" i="13"/>
  <c r="W24" i="13"/>
  <c r="V24" i="13"/>
  <c r="T24" i="13"/>
  <c r="S24" i="13"/>
  <c r="R24" i="13"/>
  <c r="O24" i="13"/>
  <c r="L24" i="13"/>
  <c r="I24" i="13"/>
  <c r="Q24" i="13" s="1"/>
  <c r="H24" i="13"/>
  <c r="G24" i="13"/>
  <c r="P24" i="13" s="1"/>
  <c r="F24" i="13"/>
  <c r="E24" i="13"/>
  <c r="AB23" i="13"/>
  <c r="AA23" i="13"/>
  <c r="Z23" i="13"/>
  <c r="X23" i="13"/>
  <c r="W23" i="13"/>
  <c r="V23" i="13"/>
  <c r="T23" i="13"/>
  <c r="S23" i="13"/>
  <c r="R23" i="13"/>
  <c r="O23" i="13"/>
  <c r="L23" i="13"/>
  <c r="I23" i="13"/>
  <c r="Q23" i="13" s="1"/>
  <c r="H23" i="13"/>
  <c r="G23" i="13"/>
  <c r="P23" i="13" s="1"/>
  <c r="F23" i="13"/>
  <c r="E23" i="13"/>
  <c r="AB22" i="13"/>
  <c r="AA22" i="13"/>
  <c r="Z22" i="13"/>
  <c r="X22" i="13"/>
  <c r="W22" i="13"/>
  <c r="V22" i="13"/>
  <c r="T22" i="13"/>
  <c r="S22" i="13"/>
  <c r="R22" i="13"/>
  <c r="O22" i="13"/>
  <c r="L22" i="13"/>
  <c r="I22" i="13"/>
  <c r="Q22" i="13" s="1"/>
  <c r="H22" i="13"/>
  <c r="G22" i="13"/>
  <c r="P22" i="13" s="1"/>
  <c r="F22" i="13"/>
  <c r="E22" i="13"/>
  <c r="AB21" i="13"/>
  <c r="AA21" i="13"/>
  <c r="Z21" i="13"/>
  <c r="X21" i="13"/>
  <c r="W21" i="13"/>
  <c r="V21" i="13"/>
  <c r="T21" i="13"/>
  <c r="S21" i="13"/>
  <c r="R21" i="13"/>
  <c r="O21" i="13"/>
  <c r="L21" i="13"/>
  <c r="I21" i="13"/>
  <c r="Q21" i="13" s="1"/>
  <c r="H21" i="13"/>
  <c r="G21" i="13"/>
  <c r="P21" i="13" s="1"/>
  <c r="F21" i="13"/>
  <c r="E21" i="13"/>
  <c r="AB20" i="13"/>
  <c r="AA20" i="13"/>
  <c r="Z20" i="13"/>
  <c r="X20" i="13"/>
  <c r="W20" i="13"/>
  <c r="V20" i="13"/>
  <c r="T20" i="13"/>
  <c r="S20" i="13"/>
  <c r="R20" i="13"/>
  <c r="O20" i="13"/>
  <c r="L20" i="13"/>
  <c r="I20" i="13"/>
  <c r="Q20" i="13" s="1"/>
  <c r="H20" i="13"/>
  <c r="G20" i="13"/>
  <c r="P20" i="13" s="1"/>
  <c r="F20" i="13"/>
  <c r="E20" i="13"/>
  <c r="AB19" i="13"/>
  <c r="AA19" i="13"/>
  <c r="Z19" i="13"/>
  <c r="X19" i="13"/>
  <c r="W19" i="13"/>
  <c r="V19" i="13"/>
  <c r="T19" i="13"/>
  <c r="S19" i="13"/>
  <c r="R19" i="13"/>
  <c r="O19" i="13"/>
  <c r="L19" i="13"/>
  <c r="I19" i="13"/>
  <c r="Q19" i="13" s="1"/>
  <c r="H19" i="13"/>
  <c r="G19" i="13"/>
  <c r="P19" i="13" s="1"/>
  <c r="F19" i="13"/>
  <c r="E19" i="13"/>
  <c r="AB18" i="13"/>
  <c r="AA18" i="13"/>
  <c r="Z18" i="13"/>
  <c r="X18" i="13"/>
  <c r="W18" i="13"/>
  <c r="V18" i="13"/>
  <c r="T18" i="13"/>
  <c r="S18" i="13"/>
  <c r="R18" i="13"/>
  <c r="O18" i="13"/>
  <c r="L18" i="13"/>
  <c r="I18" i="13"/>
  <c r="Q18" i="13" s="1"/>
  <c r="H18" i="13"/>
  <c r="G18" i="13"/>
  <c r="P18" i="13" s="1"/>
  <c r="F18" i="13"/>
  <c r="E18" i="13"/>
  <c r="AB17" i="13"/>
  <c r="AA17" i="13"/>
  <c r="Z17" i="13"/>
  <c r="X17" i="13"/>
  <c r="W17" i="13"/>
  <c r="V17" i="13"/>
  <c r="T17" i="13"/>
  <c r="S17" i="13"/>
  <c r="R17" i="13"/>
  <c r="O17" i="13"/>
  <c r="L17" i="13"/>
  <c r="I17" i="13"/>
  <c r="H17" i="13"/>
  <c r="G17" i="13"/>
  <c r="P17" i="13" s="1"/>
  <c r="F17" i="13"/>
  <c r="E17" i="13"/>
  <c r="AB16" i="13"/>
  <c r="AA16" i="13"/>
  <c r="Z16" i="13"/>
  <c r="X16" i="13"/>
  <c r="W16" i="13"/>
  <c r="V16" i="13"/>
  <c r="T16" i="13"/>
  <c r="S16" i="13"/>
  <c r="R16" i="13"/>
  <c r="O16" i="13"/>
  <c r="L16" i="13"/>
  <c r="I16" i="13"/>
  <c r="Q16" i="13" s="1"/>
  <c r="H16" i="13"/>
  <c r="G16" i="13"/>
  <c r="P16" i="13" s="1"/>
  <c r="F16" i="13"/>
  <c r="E16" i="13"/>
  <c r="AB15" i="13"/>
  <c r="AA15" i="13"/>
  <c r="Z15" i="13"/>
  <c r="X15" i="13"/>
  <c r="W15" i="13"/>
  <c r="V15" i="13"/>
  <c r="T15" i="13"/>
  <c r="S15" i="13"/>
  <c r="R15" i="13"/>
  <c r="O15" i="13"/>
  <c r="L15" i="13"/>
  <c r="I15" i="13"/>
  <c r="Q15" i="13" s="1"/>
  <c r="H15" i="13"/>
  <c r="G15" i="13"/>
  <c r="P15" i="13" s="1"/>
  <c r="F15" i="13"/>
  <c r="E15" i="13"/>
  <c r="AB14" i="13"/>
  <c r="AA14" i="13"/>
  <c r="Z14" i="13"/>
  <c r="X14" i="13"/>
  <c r="W14" i="13"/>
  <c r="V14" i="13"/>
  <c r="T14" i="13"/>
  <c r="S14" i="13"/>
  <c r="R14" i="13"/>
  <c r="O14" i="13"/>
  <c r="L14" i="13"/>
  <c r="I14" i="13"/>
  <c r="Q14" i="13" s="1"/>
  <c r="H14" i="13"/>
  <c r="G14" i="13"/>
  <c r="P14" i="13" s="1"/>
  <c r="F14" i="13"/>
  <c r="E14" i="13"/>
  <c r="O106" i="12"/>
  <c r="L106" i="12"/>
  <c r="I106" i="12"/>
  <c r="Q106" i="12" s="1"/>
  <c r="H106" i="12"/>
  <c r="N106" i="12" s="1"/>
  <c r="G106" i="12"/>
  <c r="P106" i="12" s="1"/>
  <c r="F106" i="12"/>
  <c r="E106" i="12"/>
  <c r="O105" i="12"/>
  <c r="L105" i="12"/>
  <c r="I105" i="12"/>
  <c r="Q105" i="12" s="1"/>
  <c r="H105" i="12"/>
  <c r="N105" i="12" s="1"/>
  <c r="G105" i="12"/>
  <c r="P105" i="12" s="1"/>
  <c r="F105" i="12"/>
  <c r="E105" i="12"/>
  <c r="O104" i="12"/>
  <c r="L104" i="12"/>
  <c r="I104" i="12"/>
  <c r="Q104" i="12" s="1"/>
  <c r="H104" i="12"/>
  <c r="G104" i="12"/>
  <c r="P104" i="12" s="1"/>
  <c r="F104" i="12"/>
  <c r="E104" i="12"/>
  <c r="O103" i="12"/>
  <c r="L103" i="12"/>
  <c r="I103" i="12"/>
  <c r="Q103" i="12" s="1"/>
  <c r="H103" i="12"/>
  <c r="N103" i="12" s="1"/>
  <c r="G103" i="12"/>
  <c r="P103" i="12" s="1"/>
  <c r="F103" i="12"/>
  <c r="E103" i="12"/>
  <c r="O102" i="12"/>
  <c r="L102" i="12"/>
  <c r="I102" i="12"/>
  <c r="Q102" i="12" s="1"/>
  <c r="H102" i="12"/>
  <c r="N102" i="12" s="1"/>
  <c r="G102" i="12"/>
  <c r="P102" i="12" s="1"/>
  <c r="F102" i="12"/>
  <c r="E102" i="12"/>
  <c r="O101" i="12"/>
  <c r="L101" i="12"/>
  <c r="I101" i="12"/>
  <c r="Q101" i="12" s="1"/>
  <c r="H101" i="12"/>
  <c r="N101" i="12" s="1"/>
  <c r="G101" i="12"/>
  <c r="P101" i="12" s="1"/>
  <c r="F101" i="12"/>
  <c r="E101" i="12"/>
  <c r="O100" i="12"/>
  <c r="L100" i="12"/>
  <c r="I100" i="12"/>
  <c r="Q100" i="12" s="1"/>
  <c r="H100" i="12"/>
  <c r="N100" i="12" s="1"/>
  <c r="G100" i="12"/>
  <c r="P100" i="12" s="1"/>
  <c r="F100" i="12"/>
  <c r="E100" i="12"/>
  <c r="O99" i="12"/>
  <c r="L99" i="12"/>
  <c r="I99" i="12"/>
  <c r="Q99" i="12" s="1"/>
  <c r="H99" i="12"/>
  <c r="N99" i="12" s="1"/>
  <c r="G99" i="12"/>
  <c r="P99" i="12" s="1"/>
  <c r="F99" i="12"/>
  <c r="E99" i="12"/>
  <c r="O98" i="12"/>
  <c r="L98" i="12"/>
  <c r="I98" i="12"/>
  <c r="Q98" i="12" s="1"/>
  <c r="H98" i="12"/>
  <c r="N98" i="12" s="1"/>
  <c r="G98" i="12"/>
  <c r="P98" i="12" s="1"/>
  <c r="F98" i="12"/>
  <c r="E98" i="12"/>
  <c r="O97" i="12"/>
  <c r="L97" i="12"/>
  <c r="I97" i="12"/>
  <c r="Q97" i="12" s="1"/>
  <c r="H97" i="12"/>
  <c r="N97" i="12" s="1"/>
  <c r="G97" i="12"/>
  <c r="P97" i="12" s="1"/>
  <c r="F97" i="12"/>
  <c r="E97" i="12"/>
  <c r="O96" i="12"/>
  <c r="L96" i="12"/>
  <c r="I96" i="12"/>
  <c r="Q96" i="12" s="1"/>
  <c r="H96" i="12"/>
  <c r="G96" i="12"/>
  <c r="P96" i="12" s="1"/>
  <c r="F96" i="12"/>
  <c r="E96" i="12"/>
  <c r="O95" i="12"/>
  <c r="L95" i="12"/>
  <c r="I95" i="12"/>
  <c r="Q95" i="12" s="1"/>
  <c r="H95" i="12"/>
  <c r="N95" i="12" s="1"/>
  <c r="G95" i="12"/>
  <c r="P95" i="12" s="1"/>
  <c r="F95" i="12"/>
  <c r="E95" i="12"/>
  <c r="O94" i="12"/>
  <c r="L94" i="12"/>
  <c r="I94" i="12"/>
  <c r="Q94" i="12" s="1"/>
  <c r="H94" i="12"/>
  <c r="N94" i="12" s="1"/>
  <c r="G94" i="12"/>
  <c r="P94" i="12" s="1"/>
  <c r="F94" i="12"/>
  <c r="E94" i="12"/>
  <c r="O93" i="12"/>
  <c r="L93" i="12"/>
  <c r="I93" i="12"/>
  <c r="Q93" i="12" s="1"/>
  <c r="H93" i="12"/>
  <c r="N93" i="12" s="1"/>
  <c r="G93" i="12"/>
  <c r="P93" i="12" s="1"/>
  <c r="F93" i="12"/>
  <c r="E93" i="12"/>
  <c r="O92" i="12"/>
  <c r="L92" i="12"/>
  <c r="I92" i="12"/>
  <c r="Q92" i="12" s="1"/>
  <c r="H92" i="12"/>
  <c r="N92" i="12" s="1"/>
  <c r="G92" i="12"/>
  <c r="P92" i="12" s="1"/>
  <c r="F92" i="12"/>
  <c r="E92" i="12"/>
  <c r="O91" i="12"/>
  <c r="L91" i="12"/>
  <c r="I91" i="12"/>
  <c r="Q91" i="12" s="1"/>
  <c r="H91" i="12"/>
  <c r="N91" i="12" s="1"/>
  <c r="G91" i="12"/>
  <c r="P91" i="12" s="1"/>
  <c r="F91" i="12"/>
  <c r="E91" i="12"/>
  <c r="O90" i="12"/>
  <c r="L90" i="12"/>
  <c r="I90" i="12"/>
  <c r="H90" i="12"/>
  <c r="G90" i="12"/>
  <c r="F90" i="12"/>
  <c r="E90" i="12"/>
  <c r="AB88" i="12"/>
  <c r="AA88" i="12"/>
  <c r="Z88" i="12"/>
  <c r="Y88" i="12"/>
  <c r="X88" i="12"/>
  <c r="V88" i="12"/>
  <c r="U88" i="12"/>
  <c r="S88" i="12"/>
  <c r="R88" i="12"/>
  <c r="O88" i="12"/>
  <c r="L88" i="12"/>
  <c r="I88" i="12"/>
  <c r="Q88" i="12" s="1"/>
  <c r="H88" i="12"/>
  <c r="G88" i="12"/>
  <c r="P88" i="12" s="1"/>
  <c r="F88" i="12"/>
  <c r="E88" i="12"/>
  <c r="AB87" i="12"/>
  <c r="AA87" i="12"/>
  <c r="Z87" i="12"/>
  <c r="Y87" i="12"/>
  <c r="X87" i="12"/>
  <c r="V87" i="12"/>
  <c r="U87" i="12"/>
  <c r="S87" i="12"/>
  <c r="R87" i="12"/>
  <c r="O87" i="12"/>
  <c r="L87" i="12"/>
  <c r="I87" i="12"/>
  <c r="Q87" i="12" s="1"/>
  <c r="H87" i="12"/>
  <c r="G87" i="12"/>
  <c r="P87" i="12" s="1"/>
  <c r="F87" i="12"/>
  <c r="E87" i="12"/>
  <c r="AB86" i="12"/>
  <c r="AA86" i="12"/>
  <c r="Z86" i="12"/>
  <c r="Y86" i="12"/>
  <c r="X86" i="12"/>
  <c r="V86" i="12"/>
  <c r="U86" i="12"/>
  <c r="S86" i="12"/>
  <c r="R86" i="12"/>
  <c r="O86" i="12"/>
  <c r="L86" i="12"/>
  <c r="I86" i="12"/>
  <c r="Q86" i="12" s="1"/>
  <c r="H86" i="12"/>
  <c r="G86" i="12"/>
  <c r="P86" i="12" s="1"/>
  <c r="F86" i="12"/>
  <c r="E86" i="12"/>
  <c r="AB85" i="12"/>
  <c r="AA85" i="12"/>
  <c r="Z85" i="12"/>
  <c r="Y85" i="12"/>
  <c r="X85" i="12"/>
  <c r="V85" i="12"/>
  <c r="U85" i="12"/>
  <c r="S85" i="12"/>
  <c r="R85" i="12"/>
  <c r="O85" i="12"/>
  <c r="L85" i="12"/>
  <c r="I85" i="12"/>
  <c r="Q85" i="12" s="1"/>
  <c r="H85" i="12"/>
  <c r="G85" i="12"/>
  <c r="P85" i="12" s="1"/>
  <c r="F85" i="12"/>
  <c r="E85" i="12"/>
  <c r="AB84" i="12"/>
  <c r="AA84" i="12"/>
  <c r="Z84" i="12"/>
  <c r="Y84" i="12"/>
  <c r="X84" i="12"/>
  <c r="V84" i="12"/>
  <c r="U84" i="12"/>
  <c r="S84" i="12"/>
  <c r="R84" i="12"/>
  <c r="O84" i="12"/>
  <c r="L84" i="12"/>
  <c r="I84" i="12"/>
  <c r="Q84" i="12" s="1"/>
  <c r="H84" i="12"/>
  <c r="G84" i="12"/>
  <c r="P84" i="12" s="1"/>
  <c r="F84" i="12"/>
  <c r="E84" i="12"/>
  <c r="AB83" i="12"/>
  <c r="AA83" i="12"/>
  <c r="Z83" i="12"/>
  <c r="Y83" i="12"/>
  <c r="X83" i="12"/>
  <c r="V83" i="12"/>
  <c r="U83" i="12"/>
  <c r="S83" i="12"/>
  <c r="R83" i="12"/>
  <c r="O83" i="12"/>
  <c r="L83" i="12"/>
  <c r="I83" i="12"/>
  <c r="Q83" i="12" s="1"/>
  <c r="H83" i="12"/>
  <c r="G83" i="12"/>
  <c r="P83" i="12" s="1"/>
  <c r="F83" i="12"/>
  <c r="E83" i="12"/>
  <c r="AB82" i="12"/>
  <c r="AA82" i="12"/>
  <c r="Z82" i="12"/>
  <c r="Y82" i="12"/>
  <c r="X82" i="12"/>
  <c r="V82" i="12"/>
  <c r="U82" i="12"/>
  <c r="S82" i="12"/>
  <c r="R82" i="12"/>
  <c r="O82" i="12"/>
  <c r="L82" i="12"/>
  <c r="I82" i="12"/>
  <c r="Q82" i="12" s="1"/>
  <c r="H82" i="12"/>
  <c r="G82" i="12"/>
  <c r="P82" i="12" s="1"/>
  <c r="F82" i="12"/>
  <c r="E82" i="12"/>
  <c r="AB81" i="12"/>
  <c r="AA81" i="12"/>
  <c r="Z81" i="12"/>
  <c r="Y81" i="12"/>
  <c r="X81" i="12"/>
  <c r="V81" i="12"/>
  <c r="U81" i="12"/>
  <c r="S81" i="12"/>
  <c r="R81" i="12"/>
  <c r="O81" i="12"/>
  <c r="L81" i="12"/>
  <c r="I81" i="12"/>
  <c r="Q81" i="12" s="1"/>
  <c r="H81" i="12"/>
  <c r="G81" i="12"/>
  <c r="P81" i="12" s="1"/>
  <c r="F81" i="12"/>
  <c r="E81" i="12"/>
  <c r="AB80" i="12"/>
  <c r="AA80" i="12"/>
  <c r="Z80" i="12"/>
  <c r="Y80" i="12"/>
  <c r="X80" i="12"/>
  <c r="V80" i="12"/>
  <c r="U80" i="12"/>
  <c r="S80" i="12"/>
  <c r="R80" i="12"/>
  <c r="O80" i="12"/>
  <c r="L80" i="12"/>
  <c r="I80" i="12"/>
  <c r="Q80" i="12" s="1"/>
  <c r="H80" i="12"/>
  <c r="G80" i="12"/>
  <c r="F80" i="12"/>
  <c r="E80" i="12"/>
  <c r="AB79" i="12"/>
  <c r="AA79" i="12"/>
  <c r="Z79" i="12"/>
  <c r="Y79" i="12"/>
  <c r="X79" i="12"/>
  <c r="V79" i="12"/>
  <c r="U79" i="12"/>
  <c r="S79" i="12"/>
  <c r="R79" i="12"/>
  <c r="O79" i="12"/>
  <c r="L79" i="12"/>
  <c r="I79" i="12"/>
  <c r="Q79" i="12" s="1"/>
  <c r="H79" i="12"/>
  <c r="G79" i="12"/>
  <c r="P79" i="12" s="1"/>
  <c r="F79" i="12"/>
  <c r="E79" i="12"/>
  <c r="AB78" i="12"/>
  <c r="AA78" i="12"/>
  <c r="Z78" i="12"/>
  <c r="Y78" i="12"/>
  <c r="X78" i="12"/>
  <c r="V78" i="12"/>
  <c r="U78" i="12"/>
  <c r="S78" i="12"/>
  <c r="R78" i="12"/>
  <c r="O78" i="12"/>
  <c r="L78" i="12"/>
  <c r="I78" i="12"/>
  <c r="Q78" i="12" s="1"/>
  <c r="H78" i="12"/>
  <c r="G78" i="12"/>
  <c r="P78" i="12" s="1"/>
  <c r="F78" i="12"/>
  <c r="E78" i="12"/>
  <c r="AB77" i="12"/>
  <c r="AA77" i="12"/>
  <c r="Z77" i="12"/>
  <c r="Y77" i="12"/>
  <c r="X77" i="12"/>
  <c r="V77" i="12"/>
  <c r="U77" i="12"/>
  <c r="S77" i="12"/>
  <c r="R77" i="12"/>
  <c r="O77" i="12"/>
  <c r="L77" i="12"/>
  <c r="I77" i="12"/>
  <c r="Q77" i="12" s="1"/>
  <c r="H77" i="12"/>
  <c r="G77" i="12"/>
  <c r="P77" i="12" s="1"/>
  <c r="F77" i="12"/>
  <c r="E77" i="12"/>
  <c r="AB76" i="12"/>
  <c r="AA76" i="12"/>
  <c r="Z76" i="12"/>
  <c r="Y76" i="12"/>
  <c r="X76" i="12"/>
  <c r="V76" i="12"/>
  <c r="U76" i="12"/>
  <c r="S76" i="12"/>
  <c r="R76" i="12"/>
  <c r="O76" i="12"/>
  <c r="L76" i="12"/>
  <c r="I76" i="12"/>
  <c r="Q76" i="12" s="1"/>
  <c r="H76" i="12"/>
  <c r="G76" i="12"/>
  <c r="P76" i="12" s="1"/>
  <c r="F76" i="12"/>
  <c r="E76" i="12"/>
  <c r="AB75" i="12"/>
  <c r="AA75" i="12"/>
  <c r="Z75" i="12"/>
  <c r="Y75" i="12"/>
  <c r="X75" i="12"/>
  <c r="V75" i="12"/>
  <c r="U75" i="12"/>
  <c r="S75" i="12"/>
  <c r="R75" i="12"/>
  <c r="O75" i="12"/>
  <c r="L75" i="12"/>
  <c r="I75" i="12"/>
  <c r="H75" i="12"/>
  <c r="G75" i="12"/>
  <c r="P75" i="12" s="1"/>
  <c r="F75" i="12"/>
  <c r="E75" i="12"/>
  <c r="AB73" i="12"/>
  <c r="AA73" i="12"/>
  <c r="Z73" i="12"/>
  <c r="Y73" i="12"/>
  <c r="X73" i="12"/>
  <c r="V73" i="12"/>
  <c r="U73" i="12"/>
  <c r="S73" i="12"/>
  <c r="R73" i="12"/>
  <c r="O73" i="12"/>
  <c r="L73" i="12"/>
  <c r="I73" i="12"/>
  <c r="Q73" i="12" s="1"/>
  <c r="H73" i="12"/>
  <c r="G73" i="12"/>
  <c r="P73" i="12" s="1"/>
  <c r="F73" i="12"/>
  <c r="E73" i="12"/>
  <c r="AB72" i="12"/>
  <c r="AA72" i="12"/>
  <c r="Z72" i="12"/>
  <c r="Y72" i="12"/>
  <c r="X72" i="12"/>
  <c r="V72" i="12"/>
  <c r="U72" i="12"/>
  <c r="S72" i="12"/>
  <c r="R72" i="12"/>
  <c r="O72" i="12"/>
  <c r="L72" i="12"/>
  <c r="I72" i="12"/>
  <c r="Q72" i="12" s="1"/>
  <c r="H72" i="12"/>
  <c r="G72" i="12"/>
  <c r="P72" i="12" s="1"/>
  <c r="F72" i="12"/>
  <c r="E72" i="12"/>
  <c r="AB71" i="12"/>
  <c r="AA71" i="12"/>
  <c r="Z71" i="12"/>
  <c r="Y71" i="12"/>
  <c r="X71" i="12"/>
  <c r="V71" i="12"/>
  <c r="U71" i="12"/>
  <c r="S71" i="12"/>
  <c r="R71" i="12"/>
  <c r="O71" i="12"/>
  <c r="L71" i="12"/>
  <c r="I71" i="12"/>
  <c r="Q71" i="12" s="1"/>
  <c r="H71" i="12"/>
  <c r="G71" i="12"/>
  <c r="P71" i="12" s="1"/>
  <c r="F71" i="12"/>
  <c r="E71" i="12"/>
  <c r="AB70" i="12"/>
  <c r="AA70" i="12"/>
  <c r="Z70" i="12"/>
  <c r="Y70" i="12"/>
  <c r="X70" i="12"/>
  <c r="V70" i="12"/>
  <c r="U70" i="12"/>
  <c r="S70" i="12"/>
  <c r="R70" i="12"/>
  <c r="O70" i="12"/>
  <c r="L70" i="12"/>
  <c r="I70" i="12"/>
  <c r="Q70" i="12" s="1"/>
  <c r="H70" i="12"/>
  <c r="G70" i="12"/>
  <c r="P70" i="12" s="1"/>
  <c r="F70" i="12"/>
  <c r="E70" i="12"/>
  <c r="AB69" i="12"/>
  <c r="AA69" i="12"/>
  <c r="Z69" i="12"/>
  <c r="Y69" i="12"/>
  <c r="X69" i="12"/>
  <c r="V69" i="12"/>
  <c r="U69" i="12"/>
  <c r="S69" i="12"/>
  <c r="R69" i="12"/>
  <c r="O69" i="12"/>
  <c r="L69" i="12"/>
  <c r="I69" i="12"/>
  <c r="Q69" i="12" s="1"/>
  <c r="H69" i="12"/>
  <c r="G69" i="12"/>
  <c r="P69" i="12" s="1"/>
  <c r="F69" i="12"/>
  <c r="E69" i="12"/>
  <c r="AB68" i="12"/>
  <c r="AA68" i="12"/>
  <c r="Z68" i="12"/>
  <c r="Y68" i="12"/>
  <c r="X68" i="12"/>
  <c r="V68" i="12"/>
  <c r="U68" i="12"/>
  <c r="S68" i="12"/>
  <c r="R68" i="12"/>
  <c r="O68" i="12"/>
  <c r="L68" i="12"/>
  <c r="I68" i="12"/>
  <c r="Q68" i="12" s="1"/>
  <c r="H68" i="12"/>
  <c r="G68" i="12"/>
  <c r="P68" i="12" s="1"/>
  <c r="F68" i="12"/>
  <c r="E68" i="12"/>
  <c r="AB67" i="12"/>
  <c r="AA67" i="12"/>
  <c r="Z67" i="12"/>
  <c r="Y67" i="12"/>
  <c r="X67" i="12"/>
  <c r="V67" i="12"/>
  <c r="U67" i="12"/>
  <c r="S67" i="12"/>
  <c r="R67" i="12"/>
  <c r="O67" i="12"/>
  <c r="L67" i="12"/>
  <c r="I67" i="12"/>
  <c r="Q67" i="12" s="1"/>
  <c r="H67" i="12"/>
  <c r="G67" i="12"/>
  <c r="P67" i="12" s="1"/>
  <c r="F67" i="12"/>
  <c r="E67" i="12"/>
  <c r="AB66" i="12"/>
  <c r="AA66" i="12"/>
  <c r="Z66" i="12"/>
  <c r="Y66" i="12"/>
  <c r="X66" i="12"/>
  <c r="V66" i="12"/>
  <c r="U66" i="12"/>
  <c r="S66" i="12"/>
  <c r="R66" i="12"/>
  <c r="O66" i="12"/>
  <c r="L66" i="12"/>
  <c r="I66" i="12"/>
  <c r="Q66" i="12" s="1"/>
  <c r="H66" i="12"/>
  <c r="G66" i="12"/>
  <c r="P66" i="12" s="1"/>
  <c r="F66" i="12"/>
  <c r="E66" i="12"/>
  <c r="AB65" i="12"/>
  <c r="AA65" i="12"/>
  <c r="Z65" i="12"/>
  <c r="Y65" i="12"/>
  <c r="X65" i="12"/>
  <c r="V65" i="12"/>
  <c r="U65" i="12"/>
  <c r="S65" i="12"/>
  <c r="R65" i="12"/>
  <c r="O65" i="12"/>
  <c r="L65" i="12"/>
  <c r="I65" i="12"/>
  <c r="Q65" i="12" s="1"/>
  <c r="H65" i="12"/>
  <c r="G65" i="12"/>
  <c r="P65" i="12" s="1"/>
  <c r="F65" i="12"/>
  <c r="E65" i="12"/>
  <c r="AB64" i="12"/>
  <c r="AA64" i="12"/>
  <c r="Z64" i="12"/>
  <c r="Y64" i="12"/>
  <c r="X64" i="12"/>
  <c r="V64" i="12"/>
  <c r="U64" i="12"/>
  <c r="S64" i="12"/>
  <c r="R64" i="12"/>
  <c r="O64" i="12"/>
  <c r="L64" i="12"/>
  <c r="I64" i="12"/>
  <c r="Q64" i="12" s="1"/>
  <c r="H64" i="12"/>
  <c r="G64" i="12"/>
  <c r="P64" i="12" s="1"/>
  <c r="F64" i="12"/>
  <c r="E64" i="12"/>
  <c r="AB63" i="12"/>
  <c r="AA63" i="12"/>
  <c r="Z63" i="12"/>
  <c r="Y63" i="12"/>
  <c r="X63" i="12"/>
  <c r="V63" i="12"/>
  <c r="U63" i="12"/>
  <c r="S63" i="12"/>
  <c r="R63" i="12"/>
  <c r="O63" i="12"/>
  <c r="L63" i="12"/>
  <c r="I63" i="12"/>
  <c r="Q63" i="12" s="1"/>
  <c r="H63" i="12"/>
  <c r="G63" i="12"/>
  <c r="P63" i="12" s="1"/>
  <c r="F63" i="12"/>
  <c r="E63" i="12"/>
  <c r="AB62" i="12"/>
  <c r="AA62" i="12"/>
  <c r="Z62" i="12"/>
  <c r="Y62" i="12"/>
  <c r="X62" i="12"/>
  <c r="V62" i="12"/>
  <c r="U62" i="12"/>
  <c r="S62" i="12"/>
  <c r="R62" i="12"/>
  <c r="O62" i="12"/>
  <c r="L62" i="12"/>
  <c r="I62" i="12"/>
  <c r="Q62" i="12" s="1"/>
  <c r="H62" i="12"/>
  <c r="G62" i="12"/>
  <c r="P62" i="12" s="1"/>
  <c r="F62" i="12"/>
  <c r="E62" i="12"/>
  <c r="AB61" i="12"/>
  <c r="AA61" i="12"/>
  <c r="Z61" i="12"/>
  <c r="Y61" i="12"/>
  <c r="X61" i="12"/>
  <c r="V61" i="12"/>
  <c r="U61" i="12"/>
  <c r="S61" i="12"/>
  <c r="R61" i="12"/>
  <c r="O61" i="12"/>
  <c r="L61" i="12"/>
  <c r="I61" i="12"/>
  <c r="Q61" i="12" s="1"/>
  <c r="H61" i="12"/>
  <c r="G61" i="12"/>
  <c r="P61" i="12" s="1"/>
  <c r="F61" i="12"/>
  <c r="E61" i="12"/>
  <c r="AB60" i="12"/>
  <c r="AA60" i="12"/>
  <c r="Z60" i="12"/>
  <c r="Y60" i="12"/>
  <c r="X60" i="12"/>
  <c r="V60" i="12"/>
  <c r="U60" i="12"/>
  <c r="S60" i="12"/>
  <c r="R60" i="12"/>
  <c r="O60" i="12"/>
  <c r="L60" i="12"/>
  <c r="I60" i="12"/>
  <c r="Q60" i="12" s="1"/>
  <c r="H60" i="12"/>
  <c r="G60" i="12"/>
  <c r="P60" i="12" s="1"/>
  <c r="F60" i="12"/>
  <c r="E60" i="12"/>
  <c r="AB59" i="12"/>
  <c r="AA59" i="12"/>
  <c r="Z59" i="12"/>
  <c r="Y59" i="12"/>
  <c r="X59" i="12"/>
  <c r="V59" i="12"/>
  <c r="U59" i="12"/>
  <c r="S59" i="12"/>
  <c r="R59" i="12"/>
  <c r="O59" i="12"/>
  <c r="L59" i="12"/>
  <c r="I59" i="12"/>
  <c r="Q59" i="12" s="1"/>
  <c r="H59" i="12"/>
  <c r="G59" i="12"/>
  <c r="P59" i="12" s="1"/>
  <c r="F59" i="12"/>
  <c r="E59" i="12"/>
  <c r="AB58" i="12"/>
  <c r="AA58" i="12"/>
  <c r="Z58" i="12"/>
  <c r="Y58" i="12"/>
  <c r="X58" i="12"/>
  <c r="V58" i="12"/>
  <c r="U58" i="12"/>
  <c r="S58" i="12"/>
  <c r="R58" i="12"/>
  <c r="O58" i="12"/>
  <c r="L58" i="12"/>
  <c r="I58" i="12"/>
  <c r="Q58" i="12" s="1"/>
  <c r="H58" i="12"/>
  <c r="G58" i="12"/>
  <c r="P58" i="12" s="1"/>
  <c r="F58" i="12"/>
  <c r="E58" i="12"/>
  <c r="AB57" i="12"/>
  <c r="AA57" i="12"/>
  <c r="Z57" i="12"/>
  <c r="Y57" i="12"/>
  <c r="X57" i="12"/>
  <c r="V57" i="12"/>
  <c r="U57" i="12"/>
  <c r="S57" i="12"/>
  <c r="R57" i="12"/>
  <c r="O57" i="12"/>
  <c r="L57" i="12"/>
  <c r="I57" i="12"/>
  <c r="Q57" i="12" s="1"/>
  <c r="H57" i="12"/>
  <c r="G57" i="12"/>
  <c r="P57" i="12" s="1"/>
  <c r="F57" i="12"/>
  <c r="E57" i="12"/>
  <c r="AB56" i="12"/>
  <c r="AA56" i="12"/>
  <c r="Z56" i="12"/>
  <c r="Y56" i="12"/>
  <c r="X56" i="12"/>
  <c r="V56" i="12"/>
  <c r="U56" i="12"/>
  <c r="S56" i="12"/>
  <c r="R56" i="12"/>
  <c r="O56" i="12"/>
  <c r="L56" i="12"/>
  <c r="I56" i="12"/>
  <c r="Q56" i="12" s="1"/>
  <c r="H56" i="12"/>
  <c r="G56" i="12"/>
  <c r="P56" i="12" s="1"/>
  <c r="F56" i="12"/>
  <c r="E56" i="12"/>
  <c r="AB55" i="12"/>
  <c r="AA55" i="12"/>
  <c r="Z55" i="12"/>
  <c r="Y55" i="12"/>
  <c r="X55" i="12"/>
  <c r="V55" i="12"/>
  <c r="U55" i="12"/>
  <c r="S55" i="12"/>
  <c r="R55" i="12"/>
  <c r="O55" i="12"/>
  <c r="L55" i="12"/>
  <c r="I55" i="12"/>
  <c r="Q55" i="12" s="1"/>
  <c r="H55" i="12"/>
  <c r="G55" i="12"/>
  <c r="P55" i="12" s="1"/>
  <c r="F55" i="12"/>
  <c r="E55" i="12"/>
  <c r="AB54" i="12"/>
  <c r="AA54" i="12"/>
  <c r="Z54" i="12"/>
  <c r="Y54" i="12"/>
  <c r="X54" i="12"/>
  <c r="V54" i="12"/>
  <c r="U54" i="12"/>
  <c r="S54" i="12"/>
  <c r="R54" i="12"/>
  <c r="O54" i="12"/>
  <c r="L54" i="12"/>
  <c r="I54" i="12"/>
  <c r="Q54" i="12" s="1"/>
  <c r="H54" i="12"/>
  <c r="G54" i="12"/>
  <c r="P54" i="12" s="1"/>
  <c r="F54" i="12"/>
  <c r="E54" i="12"/>
  <c r="AB53" i="12"/>
  <c r="AA53" i="12"/>
  <c r="Z53" i="12"/>
  <c r="Y53" i="12"/>
  <c r="X53" i="12"/>
  <c r="V53" i="12"/>
  <c r="U53" i="12"/>
  <c r="S53" i="12"/>
  <c r="R53" i="12"/>
  <c r="O53" i="12"/>
  <c r="L53" i="12"/>
  <c r="I53" i="12"/>
  <c r="H53" i="12"/>
  <c r="G53" i="12"/>
  <c r="P53" i="12" s="1"/>
  <c r="F53" i="12"/>
  <c r="E53" i="12"/>
  <c r="AB51" i="12"/>
  <c r="AA51" i="12"/>
  <c r="Z51" i="12"/>
  <c r="Y51" i="12"/>
  <c r="X51" i="12"/>
  <c r="V51" i="12"/>
  <c r="U51" i="12"/>
  <c r="S51" i="12"/>
  <c r="R51" i="12"/>
  <c r="O51" i="12"/>
  <c r="L51" i="12"/>
  <c r="I51" i="12"/>
  <c r="Q51" i="12" s="1"/>
  <c r="H51" i="12"/>
  <c r="G51" i="12"/>
  <c r="P51" i="12" s="1"/>
  <c r="F51" i="12"/>
  <c r="E51" i="12"/>
  <c r="AB50" i="12"/>
  <c r="AA50" i="12"/>
  <c r="Z50" i="12"/>
  <c r="Y50" i="12"/>
  <c r="X50" i="12"/>
  <c r="V50" i="12"/>
  <c r="U50" i="12"/>
  <c r="S50" i="12"/>
  <c r="R50" i="12"/>
  <c r="O50" i="12"/>
  <c r="L50" i="12"/>
  <c r="I50" i="12"/>
  <c r="Q50" i="12" s="1"/>
  <c r="H50" i="12"/>
  <c r="G50" i="12"/>
  <c r="P50" i="12" s="1"/>
  <c r="F50" i="12"/>
  <c r="E50" i="12"/>
  <c r="AB49" i="12"/>
  <c r="AA49" i="12"/>
  <c r="Z49" i="12"/>
  <c r="Y49" i="12"/>
  <c r="X49" i="12"/>
  <c r="V49" i="12"/>
  <c r="U49" i="12"/>
  <c r="S49" i="12"/>
  <c r="R49" i="12"/>
  <c r="O49" i="12"/>
  <c r="L49" i="12"/>
  <c r="I49" i="12"/>
  <c r="Q49" i="12" s="1"/>
  <c r="H49" i="12"/>
  <c r="G49" i="12"/>
  <c r="P49" i="12" s="1"/>
  <c r="F49" i="12"/>
  <c r="E49" i="12"/>
  <c r="AB48" i="12"/>
  <c r="AA48" i="12"/>
  <c r="Z48" i="12"/>
  <c r="Y48" i="12"/>
  <c r="X48" i="12"/>
  <c r="V48" i="12"/>
  <c r="U48" i="12"/>
  <c r="S48" i="12"/>
  <c r="R48" i="12"/>
  <c r="O48" i="12"/>
  <c r="L48" i="12"/>
  <c r="I48" i="12"/>
  <c r="Q48" i="12" s="1"/>
  <c r="H48" i="12"/>
  <c r="G48" i="12"/>
  <c r="P48" i="12" s="1"/>
  <c r="F48" i="12"/>
  <c r="E48" i="12"/>
  <c r="AB47" i="12"/>
  <c r="AA47" i="12"/>
  <c r="Z47" i="12"/>
  <c r="Y47" i="12"/>
  <c r="X47" i="12"/>
  <c r="V47" i="12"/>
  <c r="U47" i="12"/>
  <c r="S47" i="12"/>
  <c r="R47" i="12"/>
  <c r="O47" i="12"/>
  <c r="L47" i="12"/>
  <c r="I47" i="12"/>
  <c r="Q47" i="12" s="1"/>
  <c r="H47" i="12"/>
  <c r="G47" i="12"/>
  <c r="P47" i="12" s="1"/>
  <c r="F47" i="12"/>
  <c r="E47" i="12"/>
  <c r="AB46" i="12"/>
  <c r="AA46" i="12"/>
  <c r="Z46" i="12"/>
  <c r="Y46" i="12"/>
  <c r="X46" i="12"/>
  <c r="V46" i="12"/>
  <c r="U46" i="12"/>
  <c r="S46" i="12"/>
  <c r="R46" i="12"/>
  <c r="O46" i="12"/>
  <c r="L46" i="12"/>
  <c r="I46" i="12"/>
  <c r="Q46" i="12" s="1"/>
  <c r="H46" i="12"/>
  <c r="G46" i="12"/>
  <c r="P46" i="12" s="1"/>
  <c r="F46" i="12"/>
  <c r="E46" i="12"/>
  <c r="AB45" i="12"/>
  <c r="AA45" i="12"/>
  <c r="Z45" i="12"/>
  <c r="Y45" i="12"/>
  <c r="X45" i="12"/>
  <c r="V45" i="12"/>
  <c r="U45" i="12"/>
  <c r="S45" i="12"/>
  <c r="R45" i="12"/>
  <c r="O45" i="12"/>
  <c r="L45" i="12"/>
  <c r="I45" i="12"/>
  <c r="Q45" i="12" s="1"/>
  <c r="H45" i="12"/>
  <c r="G45" i="12"/>
  <c r="P45" i="12" s="1"/>
  <c r="F45" i="12"/>
  <c r="E45" i="12"/>
  <c r="AB44" i="12"/>
  <c r="AA44" i="12"/>
  <c r="Z44" i="12"/>
  <c r="Y44" i="12"/>
  <c r="X44" i="12"/>
  <c r="V44" i="12"/>
  <c r="U44" i="12"/>
  <c r="S44" i="12"/>
  <c r="R44" i="12"/>
  <c r="O44" i="12"/>
  <c r="L44" i="12"/>
  <c r="I44" i="12"/>
  <c r="Q44" i="12" s="1"/>
  <c r="H44" i="12"/>
  <c r="G44" i="12"/>
  <c r="P44" i="12" s="1"/>
  <c r="F44" i="12"/>
  <c r="E44" i="12"/>
  <c r="AB43" i="12"/>
  <c r="AA43" i="12"/>
  <c r="Z43" i="12"/>
  <c r="Y43" i="12"/>
  <c r="X43" i="12"/>
  <c r="V43" i="12"/>
  <c r="U43" i="12"/>
  <c r="S43" i="12"/>
  <c r="R43" i="12"/>
  <c r="O43" i="12"/>
  <c r="L43" i="12"/>
  <c r="I43" i="12"/>
  <c r="Q43" i="12" s="1"/>
  <c r="H43" i="12"/>
  <c r="G43" i="12"/>
  <c r="P43" i="12" s="1"/>
  <c r="F43" i="12"/>
  <c r="E43" i="12"/>
  <c r="AB42" i="12"/>
  <c r="AA42" i="12"/>
  <c r="Z42" i="12"/>
  <c r="Y42" i="12"/>
  <c r="X42" i="12"/>
  <c r="V42" i="12"/>
  <c r="U42" i="12"/>
  <c r="S42" i="12"/>
  <c r="R42" i="12"/>
  <c r="O42" i="12"/>
  <c r="L42" i="12"/>
  <c r="I42" i="12"/>
  <c r="Q42" i="12" s="1"/>
  <c r="H42" i="12"/>
  <c r="G42" i="12"/>
  <c r="P42" i="12" s="1"/>
  <c r="F42" i="12"/>
  <c r="E42" i="12"/>
  <c r="AB41" i="12"/>
  <c r="AA41" i="12"/>
  <c r="Z41" i="12"/>
  <c r="Y41" i="12"/>
  <c r="X41" i="12"/>
  <c r="V41" i="12"/>
  <c r="U41" i="12"/>
  <c r="S41" i="12"/>
  <c r="R41" i="12"/>
  <c r="O41" i="12"/>
  <c r="L41" i="12"/>
  <c r="I41" i="12"/>
  <c r="Q41" i="12" s="1"/>
  <c r="H41" i="12"/>
  <c r="G41" i="12"/>
  <c r="P41" i="12" s="1"/>
  <c r="F41" i="12"/>
  <c r="E41" i="12"/>
  <c r="AB40" i="12"/>
  <c r="AA40" i="12"/>
  <c r="Z40" i="12"/>
  <c r="Y40" i="12"/>
  <c r="X40" i="12"/>
  <c r="V40" i="12"/>
  <c r="U40" i="12"/>
  <c r="S40" i="12"/>
  <c r="R40" i="12"/>
  <c r="O40" i="12"/>
  <c r="L40" i="12"/>
  <c r="I40" i="12"/>
  <c r="Q40" i="12" s="1"/>
  <c r="H40" i="12"/>
  <c r="G40" i="12"/>
  <c r="P40" i="12" s="1"/>
  <c r="F40" i="12"/>
  <c r="E40" i="12"/>
  <c r="AB39" i="12"/>
  <c r="AA39" i="12"/>
  <c r="Z39" i="12"/>
  <c r="Y39" i="12"/>
  <c r="X39" i="12"/>
  <c r="V39" i="12"/>
  <c r="U39" i="12"/>
  <c r="S39" i="12"/>
  <c r="R39" i="12"/>
  <c r="O39" i="12"/>
  <c r="L39" i="12"/>
  <c r="I39" i="12"/>
  <c r="Q39" i="12" s="1"/>
  <c r="H39" i="12"/>
  <c r="G39" i="12"/>
  <c r="P39" i="12" s="1"/>
  <c r="F39" i="12"/>
  <c r="E39" i="12"/>
  <c r="AB38" i="12"/>
  <c r="AA38" i="12"/>
  <c r="Z38" i="12"/>
  <c r="Y38" i="12"/>
  <c r="X38" i="12"/>
  <c r="V38" i="12"/>
  <c r="U38" i="12"/>
  <c r="S38" i="12"/>
  <c r="R38" i="12"/>
  <c r="O38" i="12"/>
  <c r="L38" i="12"/>
  <c r="I38" i="12"/>
  <c r="Q38" i="12" s="1"/>
  <c r="H38" i="12"/>
  <c r="G38" i="12"/>
  <c r="P38" i="12" s="1"/>
  <c r="F38" i="12"/>
  <c r="E38" i="12"/>
  <c r="AB37" i="12"/>
  <c r="AA37" i="12"/>
  <c r="Z37" i="12"/>
  <c r="Y37" i="12"/>
  <c r="X37" i="12"/>
  <c r="V37" i="12"/>
  <c r="U37" i="12"/>
  <c r="S37" i="12"/>
  <c r="R37" i="12"/>
  <c r="O37" i="12"/>
  <c r="L37" i="12"/>
  <c r="I37" i="12"/>
  <c r="Q37" i="12" s="1"/>
  <c r="H37" i="12"/>
  <c r="G37" i="12"/>
  <c r="P37" i="12" s="1"/>
  <c r="F37" i="12"/>
  <c r="E37" i="12"/>
  <c r="AB36" i="12"/>
  <c r="AA36" i="12"/>
  <c r="Z36" i="12"/>
  <c r="Y36" i="12"/>
  <c r="X36" i="12"/>
  <c r="V36" i="12"/>
  <c r="U36" i="12"/>
  <c r="S36" i="12"/>
  <c r="R36" i="12"/>
  <c r="O36" i="12"/>
  <c r="L36" i="12"/>
  <c r="I36" i="12"/>
  <c r="H36" i="12"/>
  <c r="G36" i="12"/>
  <c r="P36" i="12" s="1"/>
  <c r="F36" i="12"/>
  <c r="E36" i="12"/>
  <c r="AB35" i="12"/>
  <c r="AA35" i="12"/>
  <c r="Z35" i="12"/>
  <c r="Y35" i="12"/>
  <c r="X35" i="12"/>
  <c r="V35" i="12"/>
  <c r="U35" i="12"/>
  <c r="S35" i="12"/>
  <c r="R35" i="12"/>
  <c r="O35" i="12"/>
  <c r="L35" i="12"/>
  <c r="I35" i="12"/>
  <c r="Q35" i="12" s="1"/>
  <c r="H35" i="12"/>
  <c r="G35" i="12"/>
  <c r="P35" i="12" s="1"/>
  <c r="F35" i="12"/>
  <c r="E35" i="12"/>
  <c r="AB34" i="12"/>
  <c r="AA34" i="12"/>
  <c r="Z34" i="12"/>
  <c r="Y34" i="12"/>
  <c r="X34" i="12"/>
  <c r="V34" i="12"/>
  <c r="U34" i="12"/>
  <c r="S34" i="12"/>
  <c r="R34" i="12"/>
  <c r="O34" i="12"/>
  <c r="L34" i="12"/>
  <c r="I34" i="12"/>
  <c r="Q34" i="12" s="1"/>
  <c r="H34" i="12"/>
  <c r="G34" i="12"/>
  <c r="P34" i="12" s="1"/>
  <c r="F34" i="12"/>
  <c r="E34" i="12"/>
  <c r="AB33" i="12"/>
  <c r="AA33" i="12"/>
  <c r="Z33" i="12"/>
  <c r="Y33" i="12"/>
  <c r="X33" i="12"/>
  <c r="V33" i="12"/>
  <c r="U33" i="12"/>
  <c r="S33" i="12"/>
  <c r="R33" i="12"/>
  <c r="O33" i="12"/>
  <c r="L33" i="12"/>
  <c r="I33" i="12"/>
  <c r="Q33" i="12" s="1"/>
  <c r="H33" i="12"/>
  <c r="G33" i="12"/>
  <c r="P33" i="12" s="1"/>
  <c r="F33" i="12"/>
  <c r="E33" i="12"/>
  <c r="AB32" i="12"/>
  <c r="AA32" i="12"/>
  <c r="Z32" i="12"/>
  <c r="Y32" i="12"/>
  <c r="X32" i="12"/>
  <c r="V32" i="12"/>
  <c r="U32" i="12"/>
  <c r="S32" i="12"/>
  <c r="R32" i="12"/>
  <c r="O32" i="12"/>
  <c r="L32" i="12"/>
  <c r="I32" i="12"/>
  <c r="Q32" i="12" s="1"/>
  <c r="H32" i="12"/>
  <c r="G32" i="12"/>
  <c r="P32" i="12" s="1"/>
  <c r="F32" i="12"/>
  <c r="E32" i="12"/>
  <c r="AB30" i="12"/>
  <c r="AA30" i="12"/>
  <c r="Z30" i="12"/>
  <c r="Y30" i="12"/>
  <c r="X30" i="12"/>
  <c r="V30" i="12"/>
  <c r="U30" i="12"/>
  <c r="S30" i="12"/>
  <c r="R30" i="12"/>
  <c r="O30" i="12"/>
  <c r="L30" i="12"/>
  <c r="I30" i="12"/>
  <c r="Q30" i="12" s="1"/>
  <c r="H30" i="12"/>
  <c r="G30" i="12"/>
  <c r="P30" i="12" s="1"/>
  <c r="F30" i="12"/>
  <c r="E30" i="12"/>
  <c r="AB29" i="12"/>
  <c r="AA29" i="12"/>
  <c r="Z29" i="12"/>
  <c r="Y29" i="12"/>
  <c r="X29" i="12"/>
  <c r="V29" i="12"/>
  <c r="U29" i="12"/>
  <c r="S29" i="12"/>
  <c r="R29" i="12"/>
  <c r="O29" i="12"/>
  <c r="L29" i="12"/>
  <c r="I29" i="12"/>
  <c r="Q29" i="12" s="1"/>
  <c r="H29" i="12"/>
  <c r="G29" i="12"/>
  <c r="P29" i="12" s="1"/>
  <c r="F29" i="12"/>
  <c r="E29" i="12"/>
  <c r="AB28" i="12"/>
  <c r="AA28" i="12"/>
  <c r="Z28" i="12"/>
  <c r="Y28" i="12"/>
  <c r="X28" i="12"/>
  <c r="V28" i="12"/>
  <c r="U28" i="12"/>
  <c r="S28" i="12"/>
  <c r="R28" i="12"/>
  <c r="O28" i="12"/>
  <c r="L28" i="12"/>
  <c r="I28" i="12"/>
  <c r="Q28" i="12" s="1"/>
  <c r="H28" i="12"/>
  <c r="G28" i="12"/>
  <c r="P28" i="12" s="1"/>
  <c r="F28" i="12"/>
  <c r="E28" i="12"/>
  <c r="AB27" i="12"/>
  <c r="AA27" i="12"/>
  <c r="Z27" i="12"/>
  <c r="Y27" i="12"/>
  <c r="X27" i="12"/>
  <c r="V27" i="12"/>
  <c r="U27" i="12"/>
  <c r="S27" i="12"/>
  <c r="R27" i="12"/>
  <c r="O27" i="12"/>
  <c r="L27" i="12"/>
  <c r="I27" i="12"/>
  <c r="Q27" i="12" s="1"/>
  <c r="H27" i="12"/>
  <c r="G27" i="12"/>
  <c r="P27" i="12" s="1"/>
  <c r="F27" i="12"/>
  <c r="E27" i="12"/>
  <c r="AB26" i="12"/>
  <c r="AA26" i="12"/>
  <c r="Z26" i="12"/>
  <c r="Y26" i="12"/>
  <c r="X26" i="12"/>
  <c r="V26" i="12"/>
  <c r="U26" i="12"/>
  <c r="S26" i="12"/>
  <c r="R26" i="12"/>
  <c r="O26" i="12"/>
  <c r="L26" i="12"/>
  <c r="I26" i="12"/>
  <c r="H26" i="12"/>
  <c r="G26" i="12"/>
  <c r="P26" i="12" s="1"/>
  <c r="F26" i="12"/>
  <c r="E26" i="12"/>
  <c r="AB25" i="12"/>
  <c r="AA25" i="12"/>
  <c r="Z25" i="12"/>
  <c r="Y25" i="12"/>
  <c r="X25" i="12"/>
  <c r="V25" i="12"/>
  <c r="U25" i="12"/>
  <c r="S25" i="12"/>
  <c r="R25" i="12"/>
  <c r="O25" i="12"/>
  <c r="L25" i="12"/>
  <c r="I25" i="12"/>
  <c r="Q25" i="12" s="1"/>
  <c r="H25" i="12"/>
  <c r="G25" i="12"/>
  <c r="P25" i="12" s="1"/>
  <c r="F25" i="12"/>
  <c r="E25" i="12"/>
  <c r="AB24" i="12"/>
  <c r="AA24" i="12"/>
  <c r="Z24" i="12"/>
  <c r="Y24" i="12"/>
  <c r="X24" i="12"/>
  <c r="V24" i="12"/>
  <c r="U24" i="12"/>
  <c r="S24" i="12"/>
  <c r="R24" i="12"/>
  <c r="O24" i="12"/>
  <c r="L24" i="12"/>
  <c r="I24" i="12"/>
  <c r="Q24" i="12" s="1"/>
  <c r="H24" i="12"/>
  <c r="G24" i="12"/>
  <c r="P24" i="12" s="1"/>
  <c r="F24" i="12"/>
  <c r="E24" i="12"/>
  <c r="AB23" i="12"/>
  <c r="AA23" i="12"/>
  <c r="Z23" i="12"/>
  <c r="Y23" i="12"/>
  <c r="X23" i="12"/>
  <c r="V23" i="12"/>
  <c r="U23" i="12"/>
  <c r="S23" i="12"/>
  <c r="R23" i="12"/>
  <c r="O23" i="12"/>
  <c r="L23" i="12"/>
  <c r="I23" i="12"/>
  <c r="Q23" i="12" s="1"/>
  <c r="H23" i="12"/>
  <c r="G23" i="12"/>
  <c r="P23" i="12" s="1"/>
  <c r="F23" i="12"/>
  <c r="E23" i="12"/>
  <c r="AB22" i="12"/>
  <c r="AA22" i="12"/>
  <c r="Z22" i="12"/>
  <c r="Y22" i="12"/>
  <c r="X22" i="12"/>
  <c r="V22" i="12"/>
  <c r="U22" i="12"/>
  <c r="S22" i="12"/>
  <c r="R22" i="12"/>
  <c r="O22" i="12"/>
  <c r="L22" i="12"/>
  <c r="I22" i="12"/>
  <c r="Q22" i="12" s="1"/>
  <c r="H22" i="12"/>
  <c r="G22" i="12"/>
  <c r="P22" i="12" s="1"/>
  <c r="F22" i="12"/>
  <c r="E22" i="12"/>
  <c r="AB21" i="12"/>
  <c r="AA21" i="12"/>
  <c r="Z21" i="12"/>
  <c r="Y21" i="12"/>
  <c r="X21" i="12"/>
  <c r="V21" i="12"/>
  <c r="U21" i="12"/>
  <c r="S21" i="12"/>
  <c r="R21" i="12"/>
  <c r="O21" i="12"/>
  <c r="L21" i="12"/>
  <c r="I21" i="12"/>
  <c r="Q21" i="12" s="1"/>
  <c r="H21" i="12"/>
  <c r="G21" i="12"/>
  <c r="P21" i="12" s="1"/>
  <c r="F21" i="12"/>
  <c r="E21" i="12"/>
  <c r="AB20" i="12"/>
  <c r="AA20" i="12"/>
  <c r="Z20" i="12"/>
  <c r="Y20" i="12"/>
  <c r="X20" i="12"/>
  <c r="V20" i="12"/>
  <c r="U20" i="12"/>
  <c r="S20" i="12"/>
  <c r="R20" i="12"/>
  <c r="O20" i="12"/>
  <c r="L20" i="12"/>
  <c r="I20" i="12"/>
  <c r="Q20" i="12" s="1"/>
  <c r="H20" i="12"/>
  <c r="G20" i="12"/>
  <c r="P20" i="12" s="1"/>
  <c r="F20" i="12"/>
  <c r="E20" i="12"/>
  <c r="AB19" i="12"/>
  <c r="AA19" i="12"/>
  <c r="Z19" i="12"/>
  <c r="Y19" i="12"/>
  <c r="X19" i="12"/>
  <c r="V19" i="12"/>
  <c r="U19" i="12"/>
  <c r="S19" i="12"/>
  <c r="R19" i="12"/>
  <c r="O19" i="12"/>
  <c r="L19" i="12"/>
  <c r="I19" i="12"/>
  <c r="Q19" i="12" s="1"/>
  <c r="H19" i="12"/>
  <c r="G19" i="12"/>
  <c r="P19" i="12" s="1"/>
  <c r="F19" i="12"/>
  <c r="E19" i="12"/>
  <c r="AB18" i="12"/>
  <c r="AA18" i="12"/>
  <c r="Z18" i="12"/>
  <c r="Y18" i="12"/>
  <c r="X18" i="12"/>
  <c r="V18" i="12"/>
  <c r="U18" i="12"/>
  <c r="S18" i="12"/>
  <c r="R18" i="12"/>
  <c r="O18" i="12"/>
  <c r="L18" i="12"/>
  <c r="I18" i="12"/>
  <c r="Q18" i="12" s="1"/>
  <c r="H18" i="12"/>
  <c r="G18" i="12"/>
  <c r="P18" i="12" s="1"/>
  <c r="F18" i="12"/>
  <c r="E18" i="12"/>
  <c r="AB17" i="12"/>
  <c r="AA17" i="12"/>
  <c r="Z17" i="12"/>
  <c r="Y17" i="12"/>
  <c r="X17" i="12"/>
  <c r="V17" i="12"/>
  <c r="U17" i="12"/>
  <c r="S17" i="12"/>
  <c r="R17" i="12"/>
  <c r="O17" i="12"/>
  <c r="L17" i="12"/>
  <c r="I17" i="12"/>
  <c r="Q17" i="12" s="1"/>
  <c r="H17" i="12"/>
  <c r="G17" i="12"/>
  <c r="P17" i="12" s="1"/>
  <c r="F17" i="12"/>
  <c r="E17" i="12"/>
  <c r="AB16" i="12"/>
  <c r="AA16" i="12"/>
  <c r="Z16" i="12"/>
  <c r="Y16" i="12"/>
  <c r="X16" i="12"/>
  <c r="V16" i="12"/>
  <c r="U16" i="12"/>
  <c r="S16" i="12"/>
  <c r="R16" i="12"/>
  <c r="O16" i="12"/>
  <c r="L16" i="12"/>
  <c r="I16" i="12"/>
  <c r="Q16" i="12" s="1"/>
  <c r="H16" i="12"/>
  <c r="G16" i="12"/>
  <c r="P16" i="12" s="1"/>
  <c r="F16" i="12"/>
  <c r="E16" i="12"/>
  <c r="AB15" i="12"/>
  <c r="AA15" i="12"/>
  <c r="Z15" i="12"/>
  <c r="Y15" i="12"/>
  <c r="X15" i="12"/>
  <c r="V15" i="12"/>
  <c r="U15" i="12"/>
  <c r="S15" i="12"/>
  <c r="R15" i="12"/>
  <c r="O15" i="12"/>
  <c r="L15" i="12"/>
  <c r="I15" i="12"/>
  <c r="Q15" i="12" s="1"/>
  <c r="H15" i="12"/>
  <c r="G15" i="12"/>
  <c r="P15" i="12" s="1"/>
  <c r="F15" i="12"/>
  <c r="E15" i="12"/>
  <c r="AB14" i="12"/>
  <c r="AA14" i="12"/>
  <c r="Z14" i="12"/>
  <c r="Y14" i="12"/>
  <c r="X14" i="12"/>
  <c r="V14" i="12"/>
  <c r="U14" i="12"/>
  <c r="S14" i="12"/>
  <c r="R14" i="12"/>
  <c r="O14" i="12"/>
  <c r="L14" i="12"/>
  <c r="I14" i="12"/>
  <c r="Q14" i="12" s="1"/>
  <c r="H14" i="12"/>
  <c r="G14" i="12"/>
  <c r="P14" i="12" s="1"/>
  <c r="F14" i="12"/>
  <c r="E14" i="12"/>
  <c r="O106" i="11"/>
  <c r="L106" i="11"/>
  <c r="I106" i="11"/>
  <c r="Q106" i="11" s="1"/>
  <c r="H106" i="11"/>
  <c r="N106" i="11" s="1"/>
  <c r="G106" i="11"/>
  <c r="P106" i="11" s="1"/>
  <c r="F106" i="11"/>
  <c r="E106" i="11"/>
  <c r="O105" i="11"/>
  <c r="L105" i="11"/>
  <c r="I105" i="11"/>
  <c r="Q105" i="11" s="1"/>
  <c r="H105" i="11"/>
  <c r="N105" i="11" s="1"/>
  <c r="G105" i="11"/>
  <c r="P105" i="11" s="1"/>
  <c r="F105" i="11"/>
  <c r="E105" i="11"/>
  <c r="O104" i="11"/>
  <c r="L104" i="11"/>
  <c r="I104" i="11"/>
  <c r="Q104" i="11" s="1"/>
  <c r="H104" i="11"/>
  <c r="G104" i="11"/>
  <c r="P104" i="11" s="1"/>
  <c r="F104" i="11"/>
  <c r="E104" i="11"/>
  <c r="O103" i="11"/>
  <c r="L103" i="11"/>
  <c r="I103" i="11"/>
  <c r="Q103" i="11" s="1"/>
  <c r="H103" i="11"/>
  <c r="N103" i="11" s="1"/>
  <c r="G103" i="11"/>
  <c r="P103" i="11" s="1"/>
  <c r="F103" i="11"/>
  <c r="E103" i="11"/>
  <c r="O102" i="11"/>
  <c r="L102" i="11"/>
  <c r="I102" i="11"/>
  <c r="Q102" i="11" s="1"/>
  <c r="H102" i="11"/>
  <c r="N102" i="11" s="1"/>
  <c r="G102" i="11"/>
  <c r="P102" i="11" s="1"/>
  <c r="F102" i="11"/>
  <c r="E102" i="11"/>
  <c r="O101" i="11"/>
  <c r="L101" i="11"/>
  <c r="I101" i="11"/>
  <c r="Q101" i="11" s="1"/>
  <c r="H101" i="11"/>
  <c r="N101" i="11" s="1"/>
  <c r="G101" i="11"/>
  <c r="P101" i="11" s="1"/>
  <c r="F101" i="11"/>
  <c r="E101" i="11"/>
  <c r="O100" i="11"/>
  <c r="L100" i="11"/>
  <c r="I100" i="11"/>
  <c r="Q100" i="11" s="1"/>
  <c r="H100" i="11"/>
  <c r="N100" i="11" s="1"/>
  <c r="G100" i="11"/>
  <c r="P100" i="11" s="1"/>
  <c r="F100" i="11"/>
  <c r="E100" i="11"/>
  <c r="O99" i="11"/>
  <c r="L99" i="11"/>
  <c r="I99" i="11"/>
  <c r="Q99" i="11" s="1"/>
  <c r="H99" i="11"/>
  <c r="N99" i="11" s="1"/>
  <c r="G99" i="11"/>
  <c r="P99" i="11" s="1"/>
  <c r="F99" i="11"/>
  <c r="E99" i="11"/>
  <c r="O98" i="11"/>
  <c r="L98" i="11"/>
  <c r="I98" i="11"/>
  <c r="Q98" i="11" s="1"/>
  <c r="H98" i="11"/>
  <c r="G98" i="11"/>
  <c r="P98" i="11" s="1"/>
  <c r="F98" i="11"/>
  <c r="E98" i="11"/>
  <c r="O97" i="11"/>
  <c r="L97" i="11"/>
  <c r="I97" i="11"/>
  <c r="Q97" i="11" s="1"/>
  <c r="H97" i="11"/>
  <c r="N97" i="11" s="1"/>
  <c r="G97" i="11"/>
  <c r="P97" i="11" s="1"/>
  <c r="F97" i="11"/>
  <c r="E97" i="11"/>
  <c r="O96" i="11"/>
  <c r="L96" i="11"/>
  <c r="I96" i="11"/>
  <c r="Q96" i="11" s="1"/>
  <c r="H96" i="11"/>
  <c r="N96" i="11" s="1"/>
  <c r="G96" i="11"/>
  <c r="P96" i="11" s="1"/>
  <c r="F96" i="11"/>
  <c r="E96" i="11"/>
  <c r="O95" i="11"/>
  <c r="L95" i="11"/>
  <c r="I95" i="11"/>
  <c r="Q95" i="11" s="1"/>
  <c r="H95" i="11"/>
  <c r="G95" i="11"/>
  <c r="P95" i="11" s="1"/>
  <c r="F95" i="11"/>
  <c r="E95" i="11"/>
  <c r="O94" i="11"/>
  <c r="L94" i="11"/>
  <c r="I94" i="11"/>
  <c r="Q94" i="11" s="1"/>
  <c r="H94" i="11"/>
  <c r="N94" i="11" s="1"/>
  <c r="G94" i="11"/>
  <c r="P94" i="11" s="1"/>
  <c r="F94" i="11"/>
  <c r="E94" i="11"/>
  <c r="O93" i="11"/>
  <c r="L93" i="11"/>
  <c r="I93" i="11"/>
  <c r="Q93" i="11" s="1"/>
  <c r="H93" i="11"/>
  <c r="N93" i="11" s="1"/>
  <c r="G93" i="11"/>
  <c r="P93" i="11" s="1"/>
  <c r="F93" i="11"/>
  <c r="E93" i="11"/>
  <c r="O92" i="11"/>
  <c r="L92" i="11"/>
  <c r="I92" i="11"/>
  <c r="Q92" i="11" s="1"/>
  <c r="H92" i="11"/>
  <c r="N92" i="11" s="1"/>
  <c r="G92" i="11"/>
  <c r="P92" i="11" s="1"/>
  <c r="F92" i="11"/>
  <c r="E92" i="11"/>
  <c r="O91" i="11"/>
  <c r="L91" i="11"/>
  <c r="I91" i="11"/>
  <c r="Q91" i="11" s="1"/>
  <c r="H91" i="11"/>
  <c r="N91" i="11" s="1"/>
  <c r="G91" i="11"/>
  <c r="P91" i="11" s="1"/>
  <c r="F91" i="11"/>
  <c r="E91" i="11"/>
  <c r="O90" i="11"/>
  <c r="L90" i="11"/>
  <c r="I90" i="11"/>
  <c r="Q90" i="11" s="1"/>
  <c r="H90" i="11"/>
  <c r="N90" i="11" s="1"/>
  <c r="G90" i="11"/>
  <c r="P90" i="11" s="1"/>
  <c r="F90" i="11"/>
  <c r="E90" i="11"/>
  <c r="S88" i="11"/>
  <c r="R88" i="11"/>
  <c r="O88" i="11"/>
  <c r="L88" i="11"/>
  <c r="I88" i="11"/>
  <c r="Q88" i="11" s="1"/>
  <c r="H88" i="11"/>
  <c r="G88" i="11"/>
  <c r="P88" i="11" s="1"/>
  <c r="F88" i="11"/>
  <c r="E88" i="11"/>
  <c r="S87" i="11"/>
  <c r="R87" i="11"/>
  <c r="T87" i="11" s="1"/>
  <c r="O87" i="11"/>
  <c r="L87" i="11"/>
  <c r="I87" i="11"/>
  <c r="Q87" i="11" s="1"/>
  <c r="H87" i="11"/>
  <c r="N87" i="11" s="1"/>
  <c r="G87" i="11"/>
  <c r="P87" i="11" s="1"/>
  <c r="F87" i="11"/>
  <c r="E87" i="11"/>
  <c r="S86" i="11"/>
  <c r="R86" i="11"/>
  <c r="O86" i="11"/>
  <c r="L86" i="11"/>
  <c r="I86" i="11"/>
  <c r="Q86" i="11" s="1"/>
  <c r="H86" i="11"/>
  <c r="G86" i="11"/>
  <c r="P86" i="11" s="1"/>
  <c r="F86" i="11"/>
  <c r="E86" i="11"/>
  <c r="S85" i="11"/>
  <c r="R85" i="11"/>
  <c r="T85" i="11" s="1"/>
  <c r="O85" i="11"/>
  <c r="L85" i="11"/>
  <c r="I85" i="11"/>
  <c r="Q85" i="11" s="1"/>
  <c r="H85" i="11"/>
  <c r="N85" i="11" s="1"/>
  <c r="G85" i="11"/>
  <c r="F85" i="11"/>
  <c r="E85" i="11"/>
  <c r="S84" i="11"/>
  <c r="R84" i="11"/>
  <c r="T84" i="11" s="1"/>
  <c r="O84" i="11"/>
  <c r="L84" i="11"/>
  <c r="I84" i="11"/>
  <c r="Q84" i="11" s="1"/>
  <c r="H84" i="11"/>
  <c r="N84" i="11" s="1"/>
  <c r="G84" i="11"/>
  <c r="P84" i="11" s="1"/>
  <c r="F84" i="11"/>
  <c r="E84" i="11"/>
  <c r="S83" i="11"/>
  <c r="R83" i="11"/>
  <c r="T83" i="11" s="1"/>
  <c r="O83" i="11"/>
  <c r="L83" i="11"/>
  <c r="I83" i="11"/>
  <c r="Q83" i="11" s="1"/>
  <c r="H83" i="11"/>
  <c r="N83" i="11" s="1"/>
  <c r="G83" i="11"/>
  <c r="P83" i="11" s="1"/>
  <c r="F83" i="11"/>
  <c r="E83" i="11"/>
  <c r="S82" i="11"/>
  <c r="R82" i="11"/>
  <c r="T82" i="11" s="1"/>
  <c r="O82" i="11"/>
  <c r="L82" i="11"/>
  <c r="I82" i="11"/>
  <c r="Q82" i="11" s="1"/>
  <c r="H82" i="11"/>
  <c r="N82" i="11" s="1"/>
  <c r="G82" i="11"/>
  <c r="P82" i="11" s="1"/>
  <c r="F82" i="11"/>
  <c r="E82" i="11"/>
  <c r="S81" i="11"/>
  <c r="R81" i="11"/>
  <c r="T81" i="11" s="1"/>
  <c r="O81" i="11"/>
  <c r="L81" i="11"/>
  <c r="I81" i="11"/>
  <c r="Q81" i="11" s="1"/>
  <c r="H81" i="11"/>
  <c r="N81" i="11" s="1"/>
  <c r="G81" i="11"/>
  <c r="P81" i="11" s="1"/>
  <c r="F81" i="11"/>
  <c r="E81" i="11"/>
  <c r="S80" i="11"/>
  <c r="R80" i="11"/>
  <c r="T80" i="11" s="1"/>
  <c r="O80" i="11"/>
  <c r="L80" i="11"/>
  <c r="I80" i="11"/>
  <c r="Q80" i="11" s="1"/>
  <c r="H80" i="11"/>
  <c r="N80" i="11" s="1"/>
  <c r="G80" i="11"/>
  <c r="P80" i="11" s="1"/>
  <c r="F80" i="11"/>
  <c r="E80" i="11"/>
  <c r="S79" i="11"/>
  <c r="R79" i="11"/>
  <c r="T79" i="11" s="1"/>
  <c r="O79" i="11"/>
  <c r="L79" i="11"/>
  <c r="I79" i="11"/>
  <c r="Q79" i="11" s="1"/>
  <c r="H79" i="11"/>
  <c r="N79" i="11" s="1"/>
  <c r="G79" i="11"/>
  <c r="P79" i="11" s="1"/>
  <c r="F79" i="11"/>
  <c r="E79" i="11"/>
  <c r="S78" i="11"/>
  <c r="R78" i="11"/>
  <c r="T78" i="11" s="1"/>
  <c r="O78" i="11"/>
  <c r="L78" i="11"/>
  <c r="I78" i="11"/>
  <c r="H78" i="11"/>
  <c r="N78" i="11" s="1"/>
  <c r="G78" i="11"/>
  <c r="P78" i="11" s="1"/>
  <c r="F78" i="11"/>
  <c r="E78" i="11"/>
  <c r="S77" i="11"/>
  <c r="R77" i="11"/>
  <c r="O77" i="11"/>
  <c r="L77" i="11"/>
  <c r="I77" i="11"/>
  <c r="Q77" i="11" s="1"/>
  <c r="H77" i="11"/>
  <c r="N77" i="11" s="1"/>
  <c r="G77" i="11"/>
  <c r="P77" i="11" s="1"/>
  <c r="F77" i="11"/>
  <c r="E77" i="11"/>
  <c r="S76" i="11"/>
  <c r="R76" i="11"/>
  <c r="O76" i="11"/>
  <c r="L76" i="11"/>
  <c r="I76" i="11"/>
  <c r="Q76" i="11" s="1"/>
  <c r="H76" i="11"/>
  <c r="G76" i="11"/>
  <c r="P76" i="11" s="1"/>
  <c r="F76" i="11"/>
  <c r="E76" i="11"/>
  <c r="S75" i="11"/>
  <c r="R75" i="11"/>
  <c r="O75" i="11"/>
  <c r="L75" i="11"/>
  <c r="I75" i="11"/>
  <c r="Q75" i="11" s="1"/>
  <c r="H75" i="11"/>
  <c r="G75" i="11"/>
  <c r="P75" i="11" s="1"/>
  <c r="F75" i="11"/>
  <c r="E75" i="11"/>
  <c r="S73" i="11"/>
  <c r="R73" i="11"/>
  <c r="T73" i="11" s="1"/>
  <c r="O73" i="11"/>
  <c r="L73" i="11"/>
  <c r="I73" i="11"/>
  <c r="Q73" i="11" s="1"/>
  <c r="H73" i="11"/>
  <c r="N73" i="11" s="1"/>
  <c r="G73" i="11"/>
  <c r="P73" i="11" s="1"/>
  <c r="F73" i="11"/>
  <c r="E73" i="11"/>
  <c r="S72" i="11"/>
  <c r="R72" i="11"/>
  <c r="T72" i="11" s="1"/>
  <c r="O72" i="11"/>
  <c r="L72" i="11"/>
  <c r="I72" i="11"/>
  <c r="Q72" i="11" s="1"/>
  <c r="H72" i="11"/>
  <c r="N72" i="11" s="1"/>
  <c r="G72" i="11"/>
  <c r="P72" i="11" s="1"/>
  <c r="F72" i="11"/>
  <c r="E72" i="11"/>
  <c r="S71" i="11"/>
  <c r="R71" i="11"/>
  <c r="T71" i="11" s="1"/>
  <c r="O71" i="11"/>
  <c r="L71" i="11"/>
  <c r="I71" i="11"/>
  <c r="Q71" i="11" s="1"/>
  <c r="H71" i="11"/>
  <c r="N71" i="11" s="1"/>
  <c r="G71" i="11"/>
  <c r="P71" i="11" s="1"/>
  <c r="F71" i="11"/>
  <c r="E71" i="11"/>
  <c r="S70" i="11"/>
  <c r="R70" i="11"/>
  <c r="T70" i="11" s="1"/>
  <c r="O70" i="11"/>
  <c r="L70" i="11"/>
  <c r="I70" i="11"/>
  <c r="Q70" i="11" s="1"/>
  <c r="H70" i="11"/>
  <c r="N70" i="11" s="1"/>
  <c r="G70" i="11"/>
  <c r="P70" i="11" s="1"/>
  <c r="F70" i="11"/>
  <c r="E70" i="11"/>
  <c r="S69" i="11"/>
  <c r="R69" i="11"/>
  <c r="O69" i="11"/>
  <c r="L69" i="11"/>
  <c r="I69" i="11"/>
  <c r="Q69" i="11" s="1"/>
  <c r="H69" i="11"/>
  <c r="G69" i="11"/>
  <c r="P69" i="11" s="1"/>
  <c r="F69" i="11"/>
  <c r="E69" i="11"/>
  <c r="S68" i="11"/>
  <c r="R68" i="11"/>
  <c r="T68" i="11" s="1"/>
  <c r="O68" i="11"/>
  <c r="L68" i="11"/>
  <c r="I68" i="11"/>
  <c r="Q68" i="11" s="1"/>
  <c r="H68" i="11"/>
  <c r="N68" i="11" s="1"/>
  <c r="G68" i="11"/>
  <c r="P68" i="11" s="1"/>
  <c r="F68" i="11"/>
  <c r="E68" i="11"/>
  <c r="S67" i="11"/>
  <c r="R67" i="11"/>
  <c r="T67" i="11" s="1"/>
  <c r="O67" i="11"/>
  <c r="L67" i="11"/>
  <c r="I67" i="11"/>
  <c r="Q67" i="11" s="1"/>
  <c r="H67" i="11"/>
  <c r="N67" i="11" s="1"/>
  <c r="G67" i="11"/>
  <c r="P67" i="11" s="1"/>
  <c r="F67" i="11"/>
  <c r="E67" i="11"/>
  <c r="S66" i="11"/>
  <c r="R66" i="11"/>
  <c r="T66" i="11" s="1"/>
  <c r="O66" i="11"/>
  <c r="L66" i="11"/>
  <c r="I66" i="11"/>
  <c r="Q66" i="11" s="1"/>
  <c r="H66" i="11"/>
  <c r="N66" i="11" s="1"/>
  <c r="G66" i="11"/>
  <c r="P66" i="11" s="1"/>
  <c r="F66" i="11"/>
  <c r="E66" i="11"/>
  <c r="S65" i="11"/>
  <c r="R65" i="11"/>
  <c r="T65" i="11" s="1"/>
  <c r="O65" i="11"/>
  <c r="L65" i="11"/>
  <c r="I65" i="11"/>
  <c r="Q65" i="11" s="1"/>
  <c r="H65" i="11"/>
  <c r="N65" i="11" s="1"/>
  <c r="G65" i="11"/>
  <c r="P65" i="11" s="1"/>
  <c r="F65" i="11"/>
  <c r="E65" i="11"/>
  <c r="S64" i="11"/>
  <c r="R64" i="11"/>
  <c r="T64" i="11" s="1"/>
  <c r="O64" i="11"/>
  <c r="L64" i="11"/>
  <c r="I64" i="11"/>
  <c r="Q64" i="11" s="1"/>
  <c r="H64" i="11"/>
  <c r="N64" i="11" s="1"/>
  <c r="G64" i="11"/>
  <c r="P64" i="11" s="1"/>
  <c r="F64" i="11"/>
  <c r="E64" i="11"/>
  <c r="S63" i="11"/>
  <c r="R63" i="11"/>
  <c r="T63" i="11" s="1"/>
  <c r="O63" i="11"/>
  <c r="L63" i="11"/>
  <c r="I63" i="11"/>
  <c r="Q63" i="11" s="1"/>
  <c r="H63" i="11"/>
  <c r="N63" i="11" s="1"/>
  <c r="G63" i="11"/>
  <c r="P63" i="11" s="1"/>
  <c r="F63" i="11"/>
  <c r="E63" i="11"/>
  <c r="S62" i="11"/>
  <c r="R62" i="11"/>
  <c r="T62" i="11" s="1"/>
  <c r="O62" i="11"/>
  <c r="L62" i="11"/>
  <c r="I62" i="11"/>
  <c r="Q62" i="11" s="1"/>
  <c r="H62" i="11"/>
  <c r="N62" i="11" s="1"/>
  <c r="G62" i="11"/>
  <c r="P62" i="11" s="1"/>
  <c r="F62" i="11"/>
  <c r="E62" i="11"/>
  <c r="S61" i="11"/>
  <c r="R61" i="11"/>
  <c r="T61" i="11" s="1"/>
  <c r="O61" i="11"/>
  <c r="L61" i="11"/>
  <c r="I61" i="11"/>
  <c r="Q61" i="11" s="1"/>
  <c r="H61" i="11"/>
  <c r="N61" i="11" s="1"/>
  <c r="G61" i="11"/>
  <c r="P61" i="11" s="1"/>
  <c r="F61" i="11"/>
  <c r="E61" i="11"/>
  <c r="S60" i="11"/>
  <c r="R60" i="11"/>
  <c r="T60" i="11" s="1"/>
  <c r="O60" i="11"/>
  <c r="L60" i="11"/>
  <c r="I60" i="11"/>
  <c r="Q60" i="11" s="1"/>
  <c r="H60" i="11"/>
  <c r="N60" i="11" s="1"/>
  <c r="G60" i="11"/>
  <c r="P60" i="11" s="1"/>
  <c r="F60" i="11"/>
  <c r="E60" i="11"/>
  <c r="S59" i="11"/>
  <c r="R59" i="11"/>
  <c r="T59" i="11" s="1"/>
  <c r="O59" i="11"/>
  <c r="L59" i="11"/>
  <c r="I59" i="11"/>
  <c r="Q59" i="11" s="1"/>
  <c r="H59" i="11"/>
  <c r="N59" i="11" s="1"/>
  <c r="G59" i="11"/>
  <c r="P59" i="11" s="1"/>
  <c r="F59" i="11"/>
  <c r="E59" i="11"/>
  <c r="S58" i="11"/>
  <c r="R58" i="11"/>
  <c r="T58" i="11" s="1"/>
  <c r="O58" i="11"/>
  <c r="L58" i="11"/>
  <c r="I58" i="11"/>
  <c r="Q58" i="11" s="1"/>
  <c r="H58" i="11"/>
  <c r="N58" i="11" s="1"/>
  <c r="G58" i="11"/>
  <c r="P58" i="11" s="1"/>
  <c r="F58" i="11"/>
  <c r="E58" i="11"/>
  <c r="S57" i="11"/>
  <c r="R57" i="11"/>
  <c r="T57" i="11" s="1"/>
  <c r="O57" i="11"/>
  <c r="L57" i="11"/>
  <c r="I57" i="11"/>
  <c r="Q57" i="11" s="1"/>
  <c r="H57" i="11"/>
  <c r="N57" i="11" s="1"/>
  <c r="G57" i="11"/>
  <c r="P57" i="11" s="1"/>
  <c r="F57" i="11"/>
  <c r="E57" i="11"/>
  <c r="S56" i="11"/>
  <c r="R56" i="11"/>
  <c r="O56" i="11"/>
  <c r="L56" i="11"/>
  <c r="I56" i="11"/>
  <c r="Q56" i="11" s="1"/>
  <c r="H56" i="11"/>
  <c r="G56" i="11"/>
  <c r="P56" i="11" s="1"/>
  <c r="F56" i="11"/>
  <c r="E56" i="11"/>
  <c r="S55" i="11"/>
  <c r="R55" i="11"/>
  <c r="T55" i="11" s="1"/>
  <c r="O55" i="11"/>
  <c r="L55" i="11"/>
  <c r="I55" i="11"/>
  <c r="Q55" i="11" s="1"/>
  <c r="H55" i="11"/>
  <c r="G55" i="11"/>
  <c r="P55" i="11" s="1"/>
  <c r="F55" i="11"/>
  <c r="E55" i="11"/>
  <c r="S54" i="11"/>
  <c r="R54" i="11"/>
  <c r="T54" i="11" s="1"/>
  <c r="O54" i="11"/>
  <c r="L54" i="11"/>
  <c r="I54" i="11"/>
  <c r="Q54" i="11" s="1"/>
  <c r="H54" i="11"/>
  <c r="N54" i="11" s="1"/>
  <c r="G54" i="11"/>
  <c r="P54" i="11" s="1"/>
  <c r="F54" i="11"/>
  <c r="E54" i="11"/>
  <c r="S53" i="11"/>
  <c r="R53" i="11"/>
  <c r="O53" i="11"/>
  <c r="L53" i="11"/>
  <c r="I53" i="11"/>
  <c r="Q53" i="11" s="1"/>
  <c r="H53" i="11"/>
  <c r="G53" i="11"/>
  <c r="P53" i="11" s="1"/>
  <c r="F53" i="11"/>
  <c r="E53" i="11"/>
  <c r="S51" i="11"/>
  <c r="R51" i="11"/>
  <c r="T51" i="11" s="1"/>
  <c r="O51" i="11"/>
  <c r="L51" i="11"/>
  <c r="I51" i="11"/>
  <c r="Q51" i="11" s="1"/>
  <c r="H51" i="11"/>
  <c r="N51" i="11" s="1"/>
  <c r="G51" i="11"/>
  <c r="P51" i="11" s="1"/>
  <c r="F51" i="11"/>
  <c r="E51" i="11"/>
  <c r="S50" i="11"/>
  <c r="R50" i="11"/>
  <c r="T50" i="11" s="1"/>
  <c r="O50" i="11"/>
  <c r="L50" i="11"/>
  <c r="I50" i="11"/>
  <c r="Q50" i="11" s="1"/>
  <c r="H50" i="11"/>
  <c r="N50" i="11" s="1"/>
  <c r="G50" i="11"/>
  <c r="P50" i="11" s="1"/>
  <c r="F50" i="11"/>
  <c r="E50" i="11"/>
  <c r="S49" i="11"/>
  <c r="R49" i="11"/>
  <c r="T49" i="11" s="1"/>
  <c r="O49" i="11"/>
  <c r="L49" i="11"/>
  <c r="I49" i="11"/>
  <c r="Q49" i="11" s="1"/>
  <c r="H49" i="11"/>
  <c r="N49" i="11" s="1"/>
  <c r="G49" i="11"/>
  <c r="P49" i="11" s="1"/>
  <c r="F49" i="11"/>
  <c r="E49" i="11"/>
  <c r="S48" i="11"/>
  <c r="R48" i="11"/>
  <c r="T48" i="11" s="1"/>
  <c r="O48" i="11"/>
  <c r="L48" i="11"/>
  <c r="I48" i="11"/>
  <c r="Q48" i="11" s="1"/>
  <c r="H48" i="11"/>
  <c r="N48" i="11" s="1"/>
  <c r="G48" i="11"/>
  <c r="P48" i="11" s="1"/>
  <c r="F48" i="11"/>
  <c r="E48" i="11"/>
  <c r="S47" i="11"/>
  <c r="R47" i="11"/>
  <c r="T47" i="11" s="1"/>
  <c r="O47" i="11"/>
  <c r="L47" i="11"/>
  <c r="I47" i="11"/>
  <c r="Q47" i="11" s="1"/>
  <c r="H47" i="11"/>
  <c r="N47" i="11" s="1"/>
  <c r="G47" i="11"/>
  <c r="P47" i="11" s="1"/>
  <c r="F47" i="11"/>
  <c r="E47" i="11"/>
  <c r="S46" i="11"/>
  <c r="R46" i="11"/>
  <c r="T46" i="11" s="1"/>
  <c r="O46" i="11"/>
  <c r="L46" i="11"/>
  <c r="I46" i="11"/>
  <c r="Q46" i="11" s="1"/>
  <c r="H46" i="11"/>
  <c r="N46" i="11" s="1"/>
  <c r="G46" i="11"/>
  <c r="P46" i="11" s="1"/>
  <c r="F46" i="11"/>
  <c r="E46" i="11"/>
  <c r="S45" i="11"/>
  <c r="R45" i="11"/>
  <c r="T45" i="11" s="1"/>
  <c r="O45" i="11"/>
  <c r="L45" i="11"/>
  <c r="I45" i="11"/>
  <c r="Q45" i="11" s="1"/>
  <c r="H45" i="11"/>
  <c r="N45" i="11" s="1"/>
  <c r="G45" i="11"/>
  <c r="P45" i="11" s="1"/>
  <c r="F45" i="11"/>
  <c r="E45" i="11"/>
  <c r="S44" i="11"/>
  <c r="R44" i="11"/>
  <c r="T44" i="11" s="1"/>
  <c r="O44" i="11"/>
  <c r="L44" i="11"/>
  <c r="I44" i="11"/>
  <c r="Q44" i="11" s="1"/>
  <c r="H44" i="11"/>
  <c r="N44" i="11" s="1"/>
  <c r="G44" i="11"/>
  <c r="P44" i="11" s="1"/>
  <c r="F44" i="11"/>
  <c r="E44" i="11"/>
  <c r="S43" i="11"/>
  <c r="R43" i="11"/>
  <c r="T43" i="11" s="1"/>
  <c r="O43" i="11"/>
  <c r="L43" i="11"/>
  <c r="I43" i="11"/>
  <c r="Q43" i="11" s="1"/>
  <c r="H43" i="11"/>
  <c r="N43" i="11" s="1"/>
  <c r="G43" i="11"/>
  <c r="P43" i="11" s="1"/>
  <c r="F43" i="11"/>
  <c r="E43" i="11"/>
  <c r="S42" i="11"/>
  <c r="R42" i="11"/>
  <c r="T42" i="11" s="1"/>
  <c r="O42" i="11"/>
  <c r="L42" i="11"/>
  <c r="I42" i="11"/>
  <c r="Q42" i="11" s="1"/>
  <c r="H42" i="11"/>
  <c r="N42" i="11" s="1"/>
  <c r="G42" i="11"/>
  <c r="P42" i="11" s="1"/>
  <c r="F42" i="11"/>
  <c r="E42" i="11"/>
  <c r="S41" i="11"/>
  <c r="R41" i="11"/>
  <c r="T41" i="11" s="1"/>
  <c r="O41" i="11"/>
  <c r="L41" i="11"/>
  <c r="I41" i="11"/>
  <c r="Q41" i="11" s="1"/>
  <c r="H41" i="11"/>
  <c r="N41" i="11" s="1"/>
  <c r="G41" i="11"/>
  <c r="P41" i="11" s="1"/>
  <c r="F41" i="11"/>
  <c r="E41" i="11"/>
  <c r="S40" i="11"/>
  <c r="R40" i="11"/>
  <c r="T40" i="11" s="1"/>
  <c r="O40" i="11"/>
  <c r="L40" i="11"/>
  <c r="I40" i="11"/>
  <c r="Q40" i="11" s="1"/>
  <c r="H40" i="11"/>
  <c r="N40" i="11" s="1"/>
  <c r="G40" i="11"/>
  <c r="P40" i="11" s="1"/>
  <c r="F40" i="11"/>
  <c r="E40" i="11"/>
  <c r="S39" i="11"/>
  <c r="R39" i="11"/>
  <c r="T39" i="11" s="1"/>
  <c r="O39" i="11"/>
  <c r="L39" i="11"/>
  <c r="I39" i="11"/>
  <c r="Q39" i="11" s="1"/>
  <c r="H39" i="11"/>
  <c r="N39" i="11" s="1"/>
  <c r="G39" i="11"/>
  <c r="P39" i="11" s="1"/>
  <c r="F39" i="11"/>
  <c r="E39" i="11"/>
  <c r="S38" i="11"/>
  <c r="R38" i="11"/>
  <c r="T38" i="11" s="1"/>
  <c r="O38" i="11"/>
  <c r="L38" i="11"/>
  <c r="I38" i="11"/>
  <c r="Q38" i="11" s="1"/>
  <c r="H38" i="11"/>
  <c r="N38" i="11" s="1"/>
  <c r="G38" i="11"/>
  <c r="P38" i="11" s="1"/>
  <c r="F38" i="11"/>
  <c r="E38" i="11"/>
  <c r="S37" i="11"/>
  <c r="R37" i="11"/>
  <c r="T37" i="11" s="1"/>
  <c r="O37" i="11"/>
  <c r="L37" i="11"/>
  <c r="I37" i="11"/>
  <c r="Q37" i="11" s="1"/>
  <c r="H37" i="11"/>
  <c r="N37" i="11" s="1"/>
  <c r="G37" i="11"/>
  <c r="P37" i="11" s="1"/>
  <c r="F37" i="11"/>
  <c r="E37" i="11"/>
  <c r="S36" i="11"/>
  <c r="R36" i="11"/>
  <c r="O36" i="11"/>
  <c r="L36" i="11"/>
  <c r="I36" i="11"/>
  <c r="Q36" i="11" s="1"/>
  <c r="H36" i="11"/>
  <c r="G36" i="11"/>
  <c r="P36" i="11" s="1"/>
  <c r="F36" i="11"/>
  <c r="E36" i="11"/>
  <c r="S35" i="11"/>
  <c r="R35" i="11"/>
  <c r="T35" i="11" s="1"/>
  <c r="O35" i="11"/>
  <c r="L35" i="11"/>
  <c r="I35" i="11"/>
  <c r="Q35" i="11" s="1"/>
  <c r="H35" i="11"/>
  <c r="N35" i="11" s="1"/>
  <c r="G35" i="11"/>
  <c r="P35" i="11" s="1"/>
  <c r="F35" i="11"/>
  <c r="E35" i="11"/>
  <c r="S34" i="11"/>
  <c r="R34" i="11"/>
  <c r="T34" i="11" s="1"/>
  <c r="O34" i="11"/>
  <c r="L34" i="11"/>
  <c r="I34" i="11"/>
  <c r="Q34" i="11" s="1"/>
  <c r="H34" i="11"/>
  <c r="N34" i="11" s="1"/>
  <c r="G34" i="11"/>
  <c r="P34" i="11" s="1"/>
  <c r="F34" i="11"/>
  <c r="E34" i="11"/>
  <c r="S33" i="11"/>
  <c r="R33" i="11"/>
  <c r="T33" i="11" s="1"/>
  <c r="O33" i="11"/>
  <c r="L33" i="11"/>
  <c r="I33" i="11"/>
  <c r="Q33" i="11" s="1"/>
  <c r="H33" i="11"/>
  <c r="N33" i="11" s="1"/>
  <c r="G33" i="11"/>
  <c r="P33" i="11" s="1"/>
  <c r="F33" i="11"/>
  <c r="E33" i="11"/>
  <c r="S32" i="11"/>
  <c r="R32" i="11"/>
  <c r="O32" i="11"/>
  <c r="L32" i="11"/>
  <c r="I32" i="11"/>
  <c r="H32" i="11"/>
  <c r="G32" i="11"/>
  <c r="P32" i="11" s="1"/>
  <c r="F32" i="11"/>
  <c r="E32" i="11"/>
  <c r="S30" i="11"/>
  <c r="R30" i="11"/>
  <c r="O30" i="11"/>
  <c r="L30" i="11"/>
  <c r="I30" i="11"/>
  <c r="Q30" i="11" s="1"/>
  <c r="H30" i="11"/>
  <c r="G30" i="11"/>
  <c r="P30" i="11" s="1"/>
  <c r="F30" i="11"/>
  <c r="E30" i="11"/>
  <c r="S29" i="11"/>
  <c r="R29" i="11"/>
  <c r="T29" i="11" s="1"/>
  <c r="O29" i="11"/>
  <c r="L29" i="11"/>
  <c r="I29" i="11"/>
  <c r="Q29" i="11" s="1"/>
  <c r="H29" i="11"/>
  <c r="N29" i="11" s="1"/>
  <c r="G29" i="11"/>
  <c r="P29" i="11" s="1"/>
  <c r="F29" i="11"/>
  <c r="E29" i="11"/>
  <c r="S28" i="11"/>
  <c r="R28" i="11"/>
  <c r="T28" i="11" s="1"/>
  <c r="O28" i="11"/>
  <c r="L28" i="11"/>
  <c r="I28" i="11"/>
  <c r="Q28" i="11" s="1"/>
  <c r="H28" i="11"/>
  <c r="N28" i="11" s="1"/>
  <c r="G28" i="11"/>
  <c r="P28" i="11" s="1"/>
  <c r="F28" i="11"/>
  <c r="E28" i="11"/>
  <c r="S27" i="11"/>
  <c r="R27" i="11"/>
  <c r="T27" i="11" s="1"/>
  <c r="O27" i="11"/>
  <c r="L27" i="11"/>
  <c r="I27" i="11"/>
  <c r="Q27" i="11" s="1"/>
  <c r="H27" i="11"/>
  <c r="N27" i="11" s="1"/>
  <c r="G27" i="11"/>
  <c r="P27" i="11" s="1"/>
  <c r="F27" i="11"/>
  <c r="E27" i="11"/>
  <c r="S26" i="11"/>
  <c r="R26" i="11"/>
  <c r="T26" i="11" s="1"/>
  <c r="O26" i="11"/>
  <c r="L26" i="11"/>
  <c r="I26" i="11"/>
  <c r="Q26" i="11" s="1"/>
  <c r="H26" i="11"/>
  <c r="N26" i="11" s="1"/>
  <c r="G26" i="11"/>
  <c r="P26" i="11" s="1"/>
  <c r="F26" i="11"/>
  <c r="E26" i="11"/>
  <c r="S25" i="11"/>
  <c r="R25" i="11"/>
  <c r="T25" i="11" s="1"/>
  <c r="O25" i="11"/>
  <c r="L25" i="11"/>
  <c r="I25" i="11"/>
  <c r="Q25" i="11" s="1"/>
  <c r="H25" i="11"/>
  <c r="N25" i="11" s="1"/>
  <c r="G25" i="11"/>
  <c r="P25" i="11" s="1"/>
  <c r="F25" i="11"/>
  <c r="E25" i="11"/>
  <c r="S24" i="11"/>
  <c r="R24" i="11"/>
  <c r="T24" i="11" s="1"/>
  <c r="O24" i="11"/>
  <c r="L24" i="11"/>
  <c r="I24" i="11"/>
  <c r="Q24" i="11" s="1"/>
  <c r="H24" i="11"/>
  <c r="N24" i="11" s="1"/>
  <c r="G24" i="11"/>
  <c r="P24" i="11" s="1"/>
  <c r="F24" i="11"/>
  <c r="E24" i="11"/>
  <c r="S23" i="11"/>
  <c r="R23" i="11"/>
  <c r="T23" i="11" s="1"/>
  <c r="O23" i="11"/>
  <c r="L23" i="11"/>
  <c r="I23" i="11"/>
  <c r="Q23" i="11" s="1"/>
  <c r="H23" i="11"/>
  <c r="N23" i="11" s="1"/>
  <c r="G23" i="11"/>
  <c r="P23" i="11" s="1"/>
  <c r="F23" i="11"/>
  <c r="E23" i="11"/>
  <c r="S22" i="11"/>
  <c r="R22" i="11"/>
  <c r="T22" i="11" s="1"/>
  <c r="O22" i="11"/>
  <c r="L22" i="11"/>
  <c r="I22" i="11"/>
  <c r="Q22" i="11" s="1"/>
  <c r="H22" i="11"/>
  <c r="N22" i="11" s="1"/>
  <c r="G22" i="11"/>
  <c r="P22" i="11" s="1"/>
  <c r="F22" i="11"/>
  <c r="E22" i="11"/>
  <c r="S21" i="11"/>
  <c r="R21" i="11"/>
  <c r="T21" i="11" s="1"/>
  <c r="O21" i="11"/>
  <c r="L21" i="11"/>
  <c r="I21" i="11"/>
  <c r="Q21" i="11" s="1"/>
  <c r="H21" i="11"/>
  <c r="N21" i="11" s="1"/>
  <c r="G21" i="11"/>
  <c r="P21" i="11" s="1"/>
  <c r="F21" i="11"/>
  <c r="E21" i="11"/>
  <c r="S20" i="11"/>
  <c r="R20" i="11"/>
  <c r="T20" i="11" s="1"/>
  <c r="O20" i="11"/>
  <c r="L20" i="11"/>
  <c r="I20" i="11"/>
  <c r="Q20" i="11" s="1"/>
  <c r="H20" i="11"/>
  <c r="N20" i="11" s="1"/>
  <c r="G20" i="11"/>
  <c r="P20" i="11" s="1"/>
  <c r="F20" i="11"/>
  <c r="E20" i="11"/>
  <c r="S19" i="11"/>
  <c r="R19" i="11"/>
  <c r="T19" i="11" s="1"/>
  <c r="O19" i="11"/>
  <c r="L19" i="11"/>
  <c r="I19" i="11"/>
  <c r="Q19" i="11" s="1"/>
  <c r="H19" i="11"/>
  <c r="N19" i="11" s="1"/>
  <c r="G19" i="11"/>
  <c r="P19" i="11" s="1"/>
  <c r="F19" i="11"/>
  <c r="E19" i="11"/>
  <c r="S18" i="11"/>
  <c r="R18" i="11"/>
  <c r="T18" i="11" s="1"/>
  <c r="O18" i="11"/>
  <c r="L18" i="11"/>
  <c r="I18" i="11"/>
  <c r="Q18" i="11" s="1"/>
  <c r="H18" i="11"/>
  <c r="N18" i="11" s="1"/>
  <c r="G18" i="11"/>
  <c r="P18" i="11" s="1"/>
  <c r="F18" i="11"/>
  <c r="E18" i="11"/>
  <c r="S17" i="11"/>
  <c r="R17" i="11"/>
  <c r="T17" i="11" s="1"/>
  <c r="O17" i="11"/>
  <c r="L17" i="11"/>
  <c r="I17" i="11"/>
  <c r="Q17" i="11" s="1"/>
  <c r="H17" i="11"/>
  <c r="N17" i="11" s="1"/>
  <c r="G17" i="11"/>
  <c r="P17" i="11" s="1"/>
  <c r="F17" i="11"/>
  <c r="E17" i="11"/>
  <c r="S16" i="11"/>
  <c r="R16" i="11"/>
  <c r="T16" i="11" s="1"/>
  <c r="O16" i="11"/>
  <c r="L16" i="11"/>
  <c r="I16" i="11"/>
  <c r="Q16" i="11" s="1"/>
  <c r="H16" i="11"/>
  <c r="N16" i="11" s="1"/>
  <c r="G16" i="11"/>
  <c r="P16" i="11" s="1"/>
  <c r="F16" i="11"/>
  <c r="E16" i="11"/>
  <c r="S15" i="11"/>
  <c r="R15" i="11"/>
  <c r="T15" i="11" s="1"/>
  <c r="O15" i="11"/>
  <c r="L15" i="11"/>
  <c r="I15" i="11"/>
  <c r="Q15" i="11" s="1"/>
  <c r="H15" i="11"/>
  <c r="N15" i="11" s="1"/>
  <c r="G15" i="11"/>
  <c r="P15" i="11" s="1"/>
  <c r="F15" i="11"/>
  <c r="E15" i="11"/>
  <c r="S14" i="11"/>
  <c r="R14" i="11"/>
  <c r="T14" i="11" s="1"/>
  <c r="O14" i="11"/>
  <c r="L14" i="11"/>
  <c r="I14" i="11"/>
  <c r="H14" i="11"/>
  <c r="N14" i="11" s="1"/>
  <c r="G14" i="11"/>
  <c r="F14" i="11"/>
  <c r="E14" i="11"/>
  <c r="V106" i="10"/>
  <c r="U106" i="10"/>
  <c r="O106" i="10"/>
  <c r="L106" i="10"/>
  <c r="I106" i="10"/>
  <c r="Q106" i="10" s="1"/>
  <c r="H106" i="10"/>
  <c r="N106" i="10" s="1"/>
  <c r="G106" i="10"/>
  <c r="P106" i="10" s="1"/>
  <c r="F106" i="10"/>
  <c r="E106" i="10"/>
  <c r="V105" i="10"/>
  <c r="U105" i="10"/>
  <c r="O105" i="10"/>
  <c r="L105" i="10"/>
  <c r="I105" i="10"/>
  <c r="Q105" i="10" s="1"/>
  <c r="H105" i="10"/>
  <c r="N105" i="10" s="1"/>
  <c r="G105" i="10"/>
  <c r="P105" i="10" s="1"/>
  <c r="F105" i="10"/>
  <c r="E105" i="10"/>
  <c r="V104" i="10"/>
  <c r="U104" i="10"/>
  <c r="O104" i="10"/>
  <c r="L104" i="10"/>
  <c r="I104" i="10"/>
  <c r="Q104" i="10" s="1"/>
  <c r="H104" i="10"/>
  <c r="G104" i="10"/>
  <c r="P104" i="10" s="1"/>
  <c r="F104" i="10"/>
  <c r="E104" i="10"/>
  <c r="V103" i="10"/>
  <c r="U103" i="10"/>
  <c r="O103" i="10"/>
  <c r="L103" i="10"/>
  <c r="I103" i="10"/>
  <c r="Q103" i="10" s="1"/>
  <c r="H103" i="10"/>
  <c r="N103" i="10" s="1"/>
  <c r="G103" i="10"/>
  <c r="P103" i="10" s="1"/>
  <c r="F103" i="10"/>
  <c r="E103" i="10"/>
  <c r="V102" i="10"/>
  <c r="U102" i="10"/>
  <c r="O102" i="10"/>
  <c r="L102" i="10"/>
  <c r="I102" i="10"/>
  <c r="Q102" i="10" s="1"/>
  <c r="H102" i="10"/>
  <c r="N102" i="10" s="1"/>
  <c r="G102" i="10"/>
  <c r="P102" i="10" s="1"/>
  <c r="F102" i="10"/>
  <c r="E102" i="10"/>
  <c r="V101" i="10"/>
  <c r="U101" i="10"/>
  <c r="O101" i="10"/>
  <c r="L101" i="10"/>
  <c r="I101" i="10"/>
  <c r="Q101" i="10" s="1"/>
  <c r="H101" i="10"/>
  <c r="G101" i="10"/>
  <c r="P101" i="10" s="1"/>
  <c r="F101" i="10"/>
  <c r="E101" i="10"/>
  <c r="V100" i="10"/>
  <c r="U100" i="10"/>
  <c r="O100" i="10"/>
  <c r="L100" i="10"/>
  <c r="I100" i="10"/>
  <c r="Q100" i="10" s="1"/>
  <c r="H100" i="10"/>
  <c r="N100" i="10" s="1"/>
  <c r="G100" i="10"/>
  <c r="P100" i="10" s="1"/>
  <c r="F100" i="10"/>
  <c r="E100" i="10"/>
  <c r="V99" i="10"/>
  <c r="U99" i="10"/>
  <c r="O99" i="10"/>
  <c r="L99" i="10"/>
  <c r="I99" i="10"/>
  <c r="Q99" i="10" s="1"/>
  <c r="H99" i="10"/>
  <c r="N99" i="10" s="1"/>
  <c r="G99" i="10"/>
  <c r="P99" i="10" s="1"/>
  <c r="F99" i="10"/>
  <c r="E99" i="10"/>
  <c r="V98" i="10"/>
  <c r="U98" i="10"/>
  <c r="O98" i="10"/>
  <c r="L98" i="10"/>
  <c r="I98" i="10"/>
  <c r="Q98" i="10" s="1"/>
  <c r="H98" i="10"/>
  <c r="N98" i="10" s="1"/>
  <c r="G98" i="10"/>
  <c r="P98" i="10" s="1"/>
  <c r="F98" i="10"/>
  <c r="E98" i="10"/>
  <c r="V97" i="10"/>
  <c r="U97" i="10"/>
  <c r="O97" i="10"/>
  <c r="L97" i="10"/>
  <c r="I97" i="10"/>
  <c r="Q97" i="10" s="1"/>
  <c r="H97" i="10"/>
  <c r="N97" i="10" s="1"/>
  <c r="G97" i="10"/>
  <c r="P97" i="10" s="1"/>
  <c r="F97" i="10"/>
  <c r="E97" i="10"/>
  <c r="V96" i="10"/>
  <c r="U96" i="10"/>
  <c r="O96" i="10"/>
  <c r="L96" i="10"/>
  <c r="I96" i="10"/>
  <c r="Q96" i="10" s="1"/>
  <c r="H96" i="10"/>
  <c r="N96" i="10" s="1"/>
  <c r="G96" i="10"/>
  <c r="P96" i="10" s="1"/>
  <c r="F96" i="10"/>
  <c r="E96" i="10"/>
  <c r="V95" i="10"/>
  <c r="U95" i="10"/>
  <c r="O95" i="10"/>
  <c r="L95" i="10"/>
  <c r="I95" i="10"/>
  <c r="Q95" i="10" s="1"/>
  <c r="H95" i="10"/>
  <c r="G95" i="10"/>
  <c r="P95" i="10" s="1"/>
  <c r="F95" i="10"/>
  <c r="E95" i="10"/>
  <c r="V94" i="10"/>
  <c r="U94" i="10"/>
  <c r="O94" i="10"/>
  <c r="L94" i="10"/>
  <c r="I94" i="10"/>
  <c r="Q94" i="10" s="1"/>
  <c r="H94" i="10"/>
  <c r="N94" i="10" s="1"/>
  <c r="G94" i="10"/>
  <c r="P94" i="10" s="1"/>
  <c r="F94" i="10"/>
  <c r="E94" i="10"/>
  <c r="V93" i="10"/>
  <c r="U93" i="10"/>
  <c r="O93" i="10"/>
  <c r="L93" i="10"/>
  <c r="I93" i="10"/>
  <c r="Q93" i="10" s="1"/>
  <c r="H93" i="10"/>
  <c r="N93" i="10" s="1"/>
  <c r="G93" i="10"/>
  <c r="P93" i="10" s="1"/>
  <c r="F93" i="10"/>
  <c r="E93" i="10"/>
  <c r="V92" i="10"/>
  <c r="U92" i="10"/>
  <c r="O92" i="10"/>
  <c r="L92" i="10"/>
  <c r="I92" i="10"/>
  <c r="Q92" i="10" s="1"/>
  <c r="H92" i="10"/>
  <c r="N92" i="10" s="1"/>
  <c r="G92" i="10"/>
  <c r="P92" i="10" s="1"/>
  <c r="F92" i="10"/>
  <c r="E92" i="10"/>
  <c r="V91" i="10"/>
  <c r="U91" i="10"/>
  <c r="O91" i="10"/>
  <c r="L91" i="10"/>
  <c r="I91" i="10"/>
  <c r="Q91" i="10" s="1"/>
  <c r="H91" i="10"/>
  <c r="N91" i="10" s="1"/>
  <c r="G91" i="10"/>
  <c r="P91" i="10" s="1"/>
  <c r="F91" i="10"/>
  <c r="E91" i="10"/>
  <c r="V90" i="10"/>
  <c r="U90" i="10"/>
  <c r="O90" i="10"/>
  <c r="L90" i="10"/>
  <c r="I90" i="10"/>
  <c r="Q90" i="10" s="1"/>
  <c r="H90" i="10"/>
  <c r="N90" i="10" s="1"/>
  <c r="G90" i="10"/>
  <c r="F90" i="10"/>
  <c r="E90" i="10"/>
  <c r="U89" i="10"/>
  <c r="T89" i="10"/>
  <c r="S89" i="10"/>
  <c r="V89" i="10" s="1"/>
  <c r="R89" i="10"/>
  <c r="AH88" i="10"/>
  <c r="AG88" i="10"/>
  <c r="AE88" i="10"/>
  <c r="AD88" i="10"/>
  <c r="AB88" i="10"/>
  <c r="AA88" i="10"/>
  <c r="Y88" i="10"/>
  <c r="X88" i="10"/>
  <c r="W88" i="10"/>
  <c r="T88" i="10"/>
  <c r="S88" i="10"/>
  <c r="V88" i="10" s="1"/>
  <c r="R88" i="10"/>
  <c r="O88" i="10"/>
  <c r="L88" i="10"/>
  <c r="I88" i="10"/>
  <c r="Q88" i="10" s="1"/>
  <c r="H88" i="10"/>
  <c r="G88" i="10"/>
  <c r="P88" i="10" s="1"/>
  <c r="F88" i="10"/>
  <c r="E88" i="10"/>
  <c r="AH87" i="10"/>
  <c r="AG87" i="10"/>
  <c r="AE87" i="10"/>
  <c r="AD87" i="10"/>
  <c r="AB87" i="10"/>
  <c r="AA87" i="10"/>
  <c r="Y87" i="10"/>
  <c r="X87" i="10"/>
  <c r="W87" i="10"/>
  <c r="T87" i="10"/>
  <c r="S87" i="10"/>
  <c r="V87" i="10" s="1"/>
  <c r="R87" i="10"/>
  <c r="O87" i="10"/>
  <c r="L87" i="10"/>
  <c r="I87" i="10"/>
  <c r="Q87" i="10" s="1"/>
  <c r="H87" i="10"/>
  <c r="N87" i="10" s="1"/>
  <c r="G87" i="10"/>
  <c r="P87" i="10" s="1"/>
  <c r="F87" i="10"/>
  <c r="E87" i="10"/>
  <c r="AH86" i="10"/>
  <c r="AG86" i="10"/>
  <c r="AE86" i="10"/>
  <c r="AD86" i="10"/>
  <c r="AB86" i="10"/>
  <c r="AA86" i="10"/>
  <c r="Y86" i="10"/>
  <c r="X86" i="10"/>
  <c r="W86" i="10"/>
  <c r="T86" i="10"/>
  <c r="S86" i="10"/>
  <c r="V86" i="10" s="1"/>
  <c r="R86" i="10"/>
  <c r="O86" i="10"/>
  <c r="L86" i="10"/>
  <c r="I86" i="10"/>
  <c r="Q86" i="10" s="1"/>
  <c r="H86" i="10"/>
  <c r="N86" i="10" s="1"/>
  <c r="G86" i="10"/>
  <c r="P86" i="10" s="1"/>
  <c r="F86" i="10"/>
  <c r="E86" i="10"/>
  <c r="AH85" i="10"/>
  <c r="AG85" i="10"/>
  <c r="AE85" i="10"/>
  <c r="AD85" i="10"/>
  <c r="AB85" i="10"/>
  <c r="AA85" i="10"/>
  <c r="Y85" i="10"/>
  <c r="X85" i="10"/>
  <c r="Z85" i="10" s="1"/>
  <c r="W85" i="10"/>
  <c r="T85" i="10"/>
  <c r="S85" i="10"/>
  <c r="V85" i="10" s="1"/>
  <c r="R85" i="10"/>
  <c r="U85" i="10" s="1"/>
  <c r="O85" i="10"/>
  <c r="L85" i="10"/>
  <c r="I85" i="10"/>
  <c r="Q85" i="10" s="1"/>
  <c r="H85" i="10"/>
  <c r="N85" i="10" s="1"/>
  <c r="G85" i="10"/>
  <c r="P85" i="10" s="1"/>
  <c r="F85" i="10"/>
  <c r="E85" i="10"/>
  <c r="AH84" i="10"/>
  <c r="AG84" i="10"/>
  <c r="AE84" i="10"/>
  <c r="AD84" i="10"/>
  <c r="AB84" i="10"/>
  <c r="AA84" i="10"/>
  <c r="Y84" i="10"/>
  <c r="X84" i="10"/>
  <c r="W84" i="10"/>
  <c r="T84" i="10"/>
  <c r="S84" i="10"/>
  <c r="V84" i="10" s="1"/>
  <c r="R84" i="10"/>
  <c r="O84" i="10"/>
  <c r="L84" i="10"/>
  <c r="I84" i="10"/>
  <c r="Q84" i="10" s="1"/>
  <c r="H84" i="10"/>
  <c r="N84" i="10" s="1"/>
  <c r="G84" i="10"/>
  <c r="P84" i="10" s="1"/>
  <c r="F84" i="10"/>
  <c r="E84" i="10"/>
  <c r="AH83" i="10"/>
  <c r="AG83" i="10"/>
  <c r="AE83" i="10"/>
  <c r="AD83" i="10"/>
  <c r="AB83" i="10"/>
  <c r="AA83" i="10"/>
  <c r="Y83" i="10"/>
  <c r="X83" i="10"/>
  <c r="Z83" i="10" s="1"/>
  <c r="W83" i="10"/>
  <c r="T83" i="10"/>
  <c r="S83" i="10"/>
  <c r="V83" i="10" s="1"/>
  <c r="R83" i="10"/>
  <c r="U83" i="10" s="1"/>
  <c r="O83" i="10"/>
  <c r="L83" i="10"/>
  <c r="I83" i="10"/>
  <c r="Q83" i="10" s="1"/>
  <c r="H83" i="10"/>
  <c r="N83" i="10" s="1"/>
  <c r="G83" i="10"/>
  <c r="P83" i="10" s="1"/>
  <c r="F83" i="10"/>
  <c r="E83" i="10"/>
  <c r="AH82" i="10"/>
  <c r="AG82" i="10"/>
  <c r="AE82" i="10"/>
  <c r="AD82" i="10"/>
  <c r="AB82" i="10"/>
  <c r="AA82" i="10"/>
  <c r="Y82" i="10"/>
  <c r="X82" i="10"/>
  <c r="W82" i="10"/>
  <c r="T82" i="10"/>
  <c r="S82" i="10"/>
  <c r="V82" i="10" s="1"/>
  <c r="R82" i="10"/>
  <c r="O82" i="10"/>
  <c r="L82" i="10"/>
  <c r="I82" i="10"/>
  <c r="Q82" i="10" s="1"/>
  <c r="H82" i="10"/>
  <c r="G82" i="10"/>
  <c r="P82" i="10" s="1"/>
  <c r="F82" i="10"/>
  <c r="E82" i="10"/>
  <c r="AH81" i="10"/>
  <c r="AG81" i="10"/>
  <c r="AE81" i="10"/>
  <c r="AD81" i="10"/>
  <c r="AB81" i="10"/>
  <c r="AA81" i="10"/>
  <c r="Y81" i="10"/>
  <c r="X81" i="10"/>
  <c r="W81" i="10"/>
  <c r="T81" i="10"/>
  <c r="S81" i="10"/>
  <c r="V81" i="10" s="1"/>
  <c r="R81" i="10"/>
  <c r="O81" i="10"/>
  <c r="L81" i="10"/>
  <c r="I81" i="10"/>
  <c r="Q81" i="10" s="1"/>
  <c r="H81" i="10"/>
  <c r="N81" i="10" s="1"/>
  <c r="G81" i="10"/>
  <c r="P81" i="10" s="1"/>
  <c r="F81" i="10"/>
  <c r="E81" i="10"/>
  <c r="AH80" i="10"/>
  <c r="AG80" i="10"/>
  <c r="AE80" i="10"/>
  <c r="AD80" i="10"/>
  <c r="AB80" i="10"/>
  <c r="AA80" i="10"/>
  <c r="Y80" i="10"/>
  <c r="X80" i="10"/>
  <c r="W80" i="10"/>
  <c r="T80" i="10"/>
  <c r="S80" i="10"/>
  <c r="V80" i="10" s="1"/>
  <c r="R80" i="10"/>
  <c r="O80" i="10"/>
  <c r="L80" i="10"/>
  <c r="I80" i="10"/>
  <c r="Q80" i="10" s="1"/>
  <c r="H80" i="10"/>
  <c r="N80" i="10" s="1"/>
  <c r="G80" i="10"/>
  <c r="P80" i="10" s="1"/>
  <c r="F80" i="10"/>
  <c r="E80" i="10"/>
  <c r="AH79" i="10"/>
  <c r="AG79" i="10"/>
  <c r="AE79" i="10"/>
  <c r="AD79" i="10"/>
  <c r="AB79" i="10"/>
  <c r="AA79" i="10"/>
  <c r="Y79" i="10"/>
  <c r="X79" i="10"/>
  <c r="Z79" i="10" s="1"/>
  <c r="W79" i="10"/>
  <c r="T79" i="10"/>
  <c r="S79" i="10"/>
  <c r="V79" i="10" s="1"/>
  <c r="R79" i="10"/>
  <c r="U79" i="10" s="1"/>
  <c r="O79" i="10"/>
  <c r="L79" i="10"/>
  <c r="I79" i="10"/>
  <c r="Q79" i="10" s="1"/>
  <c r="H79" i="10"/>
  <c r="N79" i="10" s="1"/>
  <c r="G79" i="10"/>
  <c r="P79" i="10" s="1"/>
  <c r="F79" i="10"/>
  <c r="E79" i="10"/>
  <c r="AH78" i="10"/>
  <c r="AG78" i="10"/>
  <c r="AE78" i="10"/>
  <c r="AD78" i="10"/>
  <c r="AB78" i="10"/>
  <c r="AA78" i="10"/>
  <c r="Y78" i="10"/>
  <c r="X78" i="10"/>
  <c r="W78" i="10"/>
  <c r="T78" i="10"/>
  <c r="S78" i="10"/>
  <c r="V78" i="10" s="1"/>
  <c r="R78" i="10"/>
  <c r="O78" i="10"/>
  <c r="L78" i="10"/>
  <c r="I78" i="10"/>
  <c r="Q78" i="10" s="1"/>
  <c r="H78" i="10"/>
  <c r="N78" i="10" s="1"/>
  <c r="G78" i="10"/>
  <c r="P78" i="10" s="1"/>
  <c r="F78" i="10"/>
  <c r="E78" i="10"/>
  <c r="AH77" i="10"/>
  <c r="AG77" i="10"/>
  <c r="AE77" i="10"/>
  <c r="AD77" i="10"/>
  <c r="AB77" i="10"/>
  <c r="AA77" i="10"/>
  <c r="Y77" i="10"/>
  <c r="X77" i="10"/>
  <c r="W77" i="10"/>
  <c r="T77" i="10"/>
  <c r="S77" i="10"/>
  <c r="V77" i="10" s="1"/>
  <c r="R77" i="10"/>
  <c r="O77" i="10"/>
  <c r="L77" i="10"/>
  <c r="I77" i="10"/>
  <c r="Q77" i="10" s="1"/>
  <c r="H77" i="10"/>
  <c r="N77" i="10" s="1"/>
  <c r="G77" i="10"/>
  <c r="P77" i="10" s="1"/>
  <c r="F77" i="10"/>
  <c r="E77" i="10"/>
  <c r="AH76" i="10"/>
  <c r="AG76" i="10"/>
  <c r="AE76" i="10"/>
  <c r="AD76" i="10"/>
  <c r="AB76" i="10"/>
  <c r="AA76" i="10"/>
  <c r="Y76" i="10"/>
  <c r="X76" i="10"/>
  <c r="W76" i="10"/>
  <c r="T76" i="10"/>
  <c r="S76" i="10"/>
  <c r="V76" i="10" s="1"/>
  <c r="R76" i="10"/>
  <c r="O76" i="10"/>
  <c r="L76" i="10"/>
  <c r="I76" i="10"/>
  <c r="Q76" i="10" s="1"/>
  <c r="H76" i="10"/>
  <c r="N76" i="10" s="1"/>
  <c r="G76" i="10"/>
  <c r="P76" i="10" s="1"/>
  <c r="F76" i="10"/>
  <c r="E76" i="10"/>
  <c r="AH75" i="10"/>
  <c r="AG75" i="10"/>
  <c r="AE75" i="10"/>
  <c r="AD75" i="10"/>
  <c r="AB75" i="10"/>
  <c r="AA75" i="10"/>
  <c r="Y75" i="10"/>
  <c r="X75" i="10"/>
  <c r="W75" i="10"/>
  <c r="T75" i="10"/>
  <c r="S75" i="10"/>
  <c r="V75" i="10" s="1"/>
  <c r="R75" i="10"/>
  <c r="U75" i="10" s="1"/>
  <c r="O75" i="10"/>
  <c r="L75" i="10"/>
  <c r="I75" i="10"/>
  <c r="H75" i="10"/>
  <c r="N75" i="10" s="1"/>
  <c r="G75" i="10"/>
  <c r="P75" i="10" s="1"/>
  <c r="F75" i="10"/>
  <c r="E75" i="10"/>
  <c r="AH73" i="10"/>
  <c r="AG73" i="10"/>
  <c r="AE73" i="10"/>
  <c r="AD73" i="10"/>
  <c r="AB73" i="10"/>
  <c r="AA73" i="10"/>
  <c r="Y73" i="10"/>
  <c r="X73" i="10"/>
  <c r="Z73" i="10" s="1"/>
  <c r="W73" i="10"/>
  <c r="T73" i="10"/>
  <c r="S73" i="10"/>
  <c r="V73" i="10" s="1"/>
  <c r="R73" i="10"/>
  <c r="U73" i="10" s="1"/>
  <c r="O73" i="10"/>
  <c r="L73" i="10"/>
  <c r="I73" i="10"/>
  <c r="Q73" i="10" s="1"/>
  <c r="H73" i="10"/>
  <c r="N73" i="10" s="1"/>
  <c r="G73" i="10"/>
  <c r="P73" i="10" s="1"/>
  <c r="F73" i="10"/>
  <c r="E73" i="10"/>
  <c r="AH72" i="10"/>
  <c r="AG72" i="10"/>
  <c r="AE72" i="10"/>
  <c r="AD72" i="10"/>
  <c r="AB72" i="10"/>
  <c r="AA72" i="10"/>
  <c r="Y72" i="10"/>
  <c r="X72" i="10"/>
  <c r="W72" i="10"/>
  <c r="T72" i="10"/>
  <c r="S72" i="10"/>
  <c r="V72" i="10" s="1"/>
  <c r="R72" i="10"/>
  <c r="O72" i="10"/>
  <c r="L72" i="10"/>
  <c r="I72" i="10"/>
  <c r="Q72" i="10" s="1"/>
  <c r="H72" i="10"/>
  <c r="G72" i="10"/>
  <c r="P72" i="10" s="1"/>
  <c r="F72" i="10"/>
  <c r="E72" i="10"/>
  <c r="AH71" i="10"/>
  <c r="AG71" i="10"/>
  <c r="AE71" i="10"/>
  <c r="AD71" i="10"/>
  <c r="AB71" i="10"/>
  <c r="AA71" i="10"/>
  <c r="Y71" i="10"/>
  <c r="X71" i="10"/>
  <c r="Z71" i="10" s="1"/>
  <c r="W71" i="10"/>
  <c r="T71" i="10"/>
  <c r="S71" i="10"/>
  <c r="V71" i="10" s="1"/>
  <c r="R71" i="10"/>
  <c r="U71" i="10" s="1"/>
  <c r="O71" i="10"/>
  <c r="L71" i="10"/>
  <c r="I71" i="10"/>
  <c r="Q71" i="10" s="1"/>
  <c r="H71" i="10"/>
  <c r="N71" i="10" s="1"/>
  <c r="G71" i="10"/>
  <c r="P71" i="10" s="1"/>
  <c r="F71" i="10"/>
  <c r="E71" i="10"/>
  <c r="AH70" i="10"/>
  <c r="AG70" i="10"/>
  <c r="AE70" i="10"/>
  <c r="AD70" i="10"/>
  <c r="AB70" i="10"/>
  <c r="AA70" i="10"/>
  <c r="Y70" i="10"/>
  <c r="X70" i="10"/>
  <c r="W70" i="10"/>
  <c r="T70" i="10"/>
  <c r="S70" i="10"/>
  <c r="V70" i="10" s="1"/>
  <c r="R70" i="10"/>
  <c r="O70" i="10"/>
  <c r="L70" i="10"/>
  <c r="I70" i="10"/>
  <c r="Q70" i="10" s="1"/>
  <c r="H70" i="10"/>
  <c r="N70" i="10" s="1"/>
  <c r="G70" i="10"/>
  <c r="P70" i="10" s="1"/>
  <c r="F70" i="10"/>
  <c r="E70" i="10"/>
  <c r="AH69" i="10"/>
  <c r="AG69" i="10"/>
  <c r="AE69" i="10"/>
  <c r="AD69" i="10"/>
  <c r="AB69" i="10"/>
  <c r="AA69" i="10"/>
  <c r="Y69" i="10"/>
  <c r="X69" i="10"/>
  <c r="Z69" i="10" s="1"/>
  <c r="W69" i="10"/>
  <c r="T69" i="10"/>
  <c r="S69" i="10"/>
  <c r="V69" i="10" s="1"/>
  <c r="R69" i="10"/>
  <c r="U69" i="10" s="1"/>
  <c r="O69" i="10"/>
  <c r="L69" i="10"/>
  <c r="I69" i="10"/>
  <c r="Q69" i="10" s="1"/>
  <c r="H69" i="10"/>
  <c r="N69" i="10" s="1"/>
  <c r="G69" i="10"/>
  <c r="P69" i="10" s="1"/>
  <c r="F69" i="10"/>
  <c r="E69" i="10"/>
  <c r="AH68" i="10"/>
  <c r="AG68" i="10"/>
  <c r="AE68" i="10"/>
  <c r="AD68" i="10"/>
  <c r="AB68" i="10"/>
  <c r="AA68" i="10"/>
  <c r="Y68" i="10"/>
  <c r="X68" i="10"/>
  <c r="W68" i="10"/>
  <c r="T68" i="10"/>
  <c r="S68" i="10"/>
  <c r="V68" i="10" s="1"/>
  <c r="R68" i="10"/>
  <c r="O68" i="10"/>
  <c r="L68" i="10"/>
  <c r="I68" i="10"/>
  <c r="Q68" i="10" s="1"/>
  <c r="H68" i="10"/>
  <c r="G68" i="10"/>
  <c r="P68" i="10" s="1"/>
  <c r="F68" i="10"/>
  <c r="E68" i="10"/>
  <c r="AH67" i="10"/>
  <c r="AG67" i="10"/>
  <c r="AE67" i="10"/>
  <c r="AD67" i="10"/>
  <c r="AB67" i="10"/>
  <c r="AA67" i="10"/>
  <c r="Y67" i="10"/>
  <c r="X67" i="10"/>
  <c r="W67" i="10"/>
  <c r="T67" i="10"/>
  <c r="S67" i="10"/>
  <c r="V67" i="10" s="1"/>
  <c r="R67" i="10"/>
  <c r="O67" i="10"/>
  <c r="L67" i="10"/>
  <c r="I67" i="10"/>
  <c r="Q67" i="10" s="1"/>
  <c r="H67" i="10"/>
  <c r="N67" i="10" s="1"/>
  <c r="G67" i="10"/>
  <c r="P67" i="10" s="1"/>
  <c r="F67" i="10"/>
  <c r="E67" i="10"/>
  <c r="AH66" i="10"/>
  <c r="AG66" i="10"/>
  <c r="AE66" i="10"/>
  <c r="AD66" i="10"/>
  <c r="AB66" i="10"/>
  <c r="AA66" i="10"/>
  <c r="Y66" i="10"/>
  <c r="X66" i="10"/>
  <c r="W66" i="10"/>
  <c r="T66" i="10"/>
  <c r="S66" i="10"/>
  <c r="V66" i="10" s="1"/>
  <c r="R66" i="10"/>
  <c r="O66" i="10"/>
  <c r="L66" i="10"/>
  <c r="I66" i="10"/>
  <c r="Q66" i="10" s="1"/>
  <c r="H66" i="10"/>
  <c r="G66" i="10"/>
  <c r="P66" i="10" s="1"/>
  <c r="F66" i="10"/>
  <c r="E66" i="10"/>
  <c r="AH65" i="10"/>
  <c r="AG65" i="10"/>
  <c r="AE65" i="10"/>
  <c r="AD65" i="10"/>
  <c r="AB65" i="10"/>
  <c r="AA65" i="10"/>
  <c r="Y65" i="10"/>
  <c r="X65" i="10"/>
  <c r="Z65" i="10" s="1"/>
  <c r="W65" i="10"/>
  <c r="T65" i="10"/>
  <c r="S65" i="10"/>
  <c r="V65" i="10" s="1"/>
  <c r="R65" i="10"/>
  <c r="U65" i="10" s="1"/>
  <c r="O65" i="10"/>
  <c r="L65" i="10"/>
  <c r="I65" i="10"/>
  <c r="Q65" i="10" s="1"/>
  <c r="H65" i="10"/>
  <c r="N65" i="10" s="1"/>
  <c r="G65" i="10"/>
  <c r="P65" i="10" s="1"/>
  <c r="F65" i="10"/>
  <c r="E65" i="10"/>
  <c r="AH64" i="10"/>
  <c r="AG64" i="10"/>
  <c r="AE64" i="10"/>
  <c r="AD64" i="10"/>
  <c r="AB64" i="10"/>
  <c r="AA64" i="10"/>
  <c r="Y64" i="10"/>
  <c r="X64" i="10"/>
  <c r="W64" i="10"/>
  <c r="T64" i="10"/>
  <c r="S64" i="10"/>
  <c r="V64" i="10" s="1"/>
  <c r="R64" i="10"/>
  <c r="O64" i="10"/>
  <c r="L64" i="10"/>
  <c r="I64" i="10"/>
  <c r="Q64" i="10" s="1"/>
  <c r="H64" i="10"/>
  <c r="G64" i="10"/>
  <c r="P64" i="10" s="1"/>
  <c r="F64" i="10"/>
  <c r="E64" i="10"/>
  <c r="AH63" i="10"/>
  <c r="AG63" i="10"/>
  <c r="AE63" i="10"/>
  <c r="AD63" i="10"/>
  <c r="AB63" i="10"/>
  <c r="AA63" i="10"/>
  <c r="Y63" i="10"/>
  <c r="X63" i="10"/>
  <c r="W63" i="10"/>
  <c r="T63" i="10"/>
  <c r="S63" i="10"/>
  <c r="V63" i="10" s="1"/>
  <c r="R63" i="10"/>
  <c r="O63" i="10"/>
  <c r="L63" i="10"/>
  <c r="I63" i="10"/>
  <c r="Q63" i="10" s="1"/>
  <c r="H63" i="10"/>
  <c r="G63" i="10"/>
  <c r="P63" i="10" s="1"/>
  <c r="F63" i="10"/>
  <c r="E63" i="10"/>
  <c r="AH62" i="10"/>
  <c r="AG62" i="10"/>
  <c r="AE62" i="10"/>
  <c r="AD62" i="10"/>
  <c r="AB62" i="10"/>
  <c r="AA62" i="10"/>
  <c r="Y62" i="10"/>
  <c r="X62" i="10"/>
  <c r="W62" i="10"/>
  <c r="T62" i="10"/>
  <c r="S62" i="10"/>
  <c r="V62" i="10" s="1"/>
  <c r="R62" i="10"/>
  <c r="O62" i="10"/>
  <c r="L62" i="10"/>
  <c r="I62" i="10"/>
  <c r="Q62" i="10" s="1"/>
  <c r="H62" i="10"/>
  <c r="N62" i="10" s="1"/>
  <c r="G62" i="10"/>
  <c r="P62" i="10" s="1"/>
  <c r="F62" i="10"/>
  <c r="E62" i="10"/>
  <c r="AH61" i="10"/>
  <c r="AG61" i="10"/>
  <c r="AE61" i="10"/>
  <c r="AD61" i="10"/>
  <c r="AB61" i="10"/>
  <c r="AA61" i="10"/>
  <c r="Y61" i="10"/>
  <c r="X61" i="10"/>
  <c r="W61" i="10"/>
  <c r="T61" i="10"/>
  <c r="S61" i="10"/>
  <c r="V61" i="10" s="1"/>
  <c r="R61" i="10"/>
  <c r="O61" i="10"/>
  <c r="L61" i="10"/>
  <c r="I61" i="10"/>
  <c r="Q61" i="10" s="1"/>
  <c r="H61" i="10"/>
  <c r="N61" i="10" s="1"/>
  <c r="G61" i="10"/>
  <c r="P61" i="10" s="1"/>
  <c r="F61" i="10"/>
  <c r="E61" i="10"/>
  <c r="AH60" i="10"/>
  <c r="AG60" i="10"/>
  <c r="AE60" i="10"/>
  <c r="AD60" i="10"/>
  <c r="AB60" i="10"/>
  <c r="AA60" i="10"/>
  <c r="Y60" i="10"/>
  <c r="X60" i="10"/>
  <c r="W60" i="10"/>
  <c r="T60" i="10"/>
  <c r="S60" i="10"/>
  <c r="V60" i="10" s="1"/>
  <c r="R60" i="10"/>
  <c r="U60" i="10" s="1"/>
  <c r="O60" i="10"/>
  <c r="L60" i="10"/>
  <c r="I60" i="10"/>
  <c r="Q60" i="10" s="1"/>
  <c r="H60" i="10"/>
  <c r="N60" i="10" s="1"/>
  <c r="G60" i="10"/>
  <c r="P60" i="10" s="1"/>
  <c r="F60" i="10"/>
  <c r="E60" i="10"/>
  <c r="AH59" i="10"/>
  <c r="AG59" i="10"/>
  <c r="AE59" i="10"/>
  <c r="AD59" i="10"/>
  <c r="AB59" i="10"/>
  <c r="AA59" i="10"/>
  <c r="Y59" i="10"/>
  <c r="X59" i="10"/>
  <c r="W59" i="10"/>
  <c r="T59" i="10"/>
  <c r="S59" i="10"/>
  <c r="V59" i="10" s="1"/>
  <c r="R59" i="10"/>
  <c r="O59" i="10"/>
  <c r="L59" i="10"/>
  <c r="I59" i="10"/>
  <c r="Q59" i="10" s="1"/>
  <c r="H59" i="10"/>
  <c r="G59" i="10"/>
  <c r="P59" i="10" s="1"/>
  <c r="F59" i="10"/>
  <c r="E59" i="10"/>
  <c r="AH58" i="10"/>
  <c r="AG58" i="10"/>
  <c r="AE58" i="10"/>
  <c r="AD58" i="10"/>
  <c r="AB58" i="10"/>
  <c r="AA58" i="10"/>
  <c r="Y58" i="10"/>
  <c r="X58" i="10"/>
  <c r="W58" i="10"/>
  <c r="T58" i="10"/>
  <c r="S58" i="10"/>
  <c r="V58" i="10" s="1"/>
  <c r="R58" i="10"/>
  <c r="U58" i="10" s="1"/>
  <c r="O58" i="10"/>
  <c r="L58" i="10"/>
  <c r="I58" i="10"/>
  <c r="Q58" i="10" s="1"/>
  <c r="H58" i="10"/>
  <c r="N58" i="10" s="1"/>
  <c r="G58" i="10"/>
  <c r="P58" i="10" s="1"/>
  <c r="F58" i="10"/>
  <c r="E58" i="10"/>
  <c r="AH57" i="10"/>
  <c r="AG57" i="10"/>
  <c r="AE57" i="10"/>
  <c r="AD57" i="10"/>
  <c r="AB57" i="10"/>
  <c r="AA57" i="10"/>
  <c r="Y57" i="10"/>
  <c r="X57" i="10"/>
  <c r="W57" i="10"/>
  <c r="T57" i="10"/>
  <c r="S57" i="10"/>
  <c r="V57" i="10" s="1"/>
  <c r="R57" i="10"/>
  <c r="O57" i="10"/>
  <c r="L57" i="10"/>
  <c r="I57" i="10"/>
  <c r="Q57" i="10" s="1"/>
  <c r="H57" i="10"/>
  <c r="G57" i="10"/>
  <c r="P57" i="10" s="1"/>
  <c r="F57" i="10"/>
  <c r="E57" i="10"/>
  <c r="AH56" i="10"/>
  <c r="AG56" i="10"/>
  <c r="AE56" i="10"/>
  <c r="AD56" i="10"/>
  <c r="AB56" i="10"/>
  <c r="AA56" i="10"/>
  <c r="Y56" i="10"/>
  <c r="X56" i="10"/>
  <c r="W56" i="10"/>
  <c r="T56" i="10"/>
  <c r="S56" i="10"/>
  <c r="V56" i="10" s="1"/>
  <c r="R56" i="10"/>
  <c r="O56" i="10"/>
  <c r="L56" i="10"/>
  <c r="I56" i="10"/>
  <c r="Q56" i="10" s="1"/>
  <c r="H56" i="10"/>
  <c r="N56" i="10" s="1"/>
  <c r="G56" i="10"/>
  <c r="P56" i="10" s="1"/>
  <c r="F56" i="10"/>
  <c r="E56" i="10"/>
  <c r="AH55" i="10"/>
  <c r="AG55" i="10"/>
  <c r="AE55" i="10"/>
  <c r="AD55" i="10"/>
  <c r="AB55" i="10"/>
  <c r="AA55" i="10"/>
  <c r="Y55" i="10"/>
  <c r="X55" i="10"/>
  <c r="W55" i="10"/>
  <c r="T55" i="10"/>
  <c r="S55" i="10"/>
  <c r="V55" i="10" s="1"/>
  <c r="R55" i="10"/>
  <c r="O55" i="10"/>
  <c r="L55" i="10"/>
  <c r="I55" i="10"/>
  <c r="Q55" i="10" s="1"/>
  <c r="H55" i="10"/>
  <c r="G55" i="10"/>
  <c r="P55" i="10" s="1"/>
  <c r="F55" i="10"/>
  <c r="E55" i="10"/>
  <c r="AH54" i="10"/>
  <c r="AG54" i="10"/>
  <c r="AE54" i="10"/>
  <c r="AD54" i="10"/>
  <c r="AB54" i="10"/>
  <c r="AA54" i="10"/>
  <c r="Y54" i="10"/>
  <c r="X54" i="10"/>
  <c r="W54" i="10"/>
  <c r="T54" i="10"/>
  <c r="S54" i="10"/>
  <c r="V54" i="10" s="1"/>
  <c r="R54" i="10"/>
  <c r="O54" i="10"/>
  <c r="L54" i="10"/>
  <c r="I54" i="10"/>
  <c r="Q54" i="10" s="1"/>
  <c r="H54" i="10"/>
  <c r="G54" i="10"/>
  <c r="P54" i="10" s="1"/>
  <c r="F54" i="10"/>
  <c r="E54" i="10"/>
  <c r="AH53" i="10"/>
  <c r="AG53" i="10"/>
  <c r="AE53" i="10"/>
  <c r="AD53" i="10"/>
  <c r="AB53" i="10"/>
  <c r="AA53" i="10"/>
  <c r="Y53" i="10"/>
  <c r="X53" i="10"/>
  <c r="W53" i="10"/>
  <c r="T53" i="10"/>
  <c r="S53" i="10"/>
  <c r="R53" i="10"/>
  <c r="O53" i="10"/>
  <c r="L53" i="10"/>
  <c r="I53" i="10"/>
  <c r="Q53" i="10" s="1"/>
  <c r="H53" i="10"/>
  <c r="N53" i="10" s="1"/>
  <c r="G53" i="10"/>
  <c r="F53" i="10"/>
  <c r="E53" i="10"/>
  <c r="AH51" i="10"/>
  <c r="AG51" i="10"/>
  <c r="AE51" i="10"/>
  <c r="AD51" i="10"/>
  <c r="AB51" i="10"/>
  <c r="AA51" i="10"/>
  <c r="Y51" i="10"/>
  <c r="X51" i="10"/>
  <c r="W51" i="10"/>
  <c r="T51" i="10"/>
  <c r="S51" i="10"/>
  <c r="V51" i="10" s="1"/>
  <c r="R51" i="10"/>
  <c r="O51" i="10"/>
  <c r="L51" i="10"/>
  <c r="I51" i="10"/>
  <c r="Q51" i="10" s="1"/>
  <c r="H51" i="10"/>
  <c r="N51" i="10" s="1"/>
  <c r="G51" i="10"/>
  <c r="P51" i="10" s="1"/>
  <c r="F51" i="10"/>
  <c r="E51" i="10"/>
  <c r="AH50" i="10"/>
  <c r="AG50" i="10"/>
  <c r="AE50" i="10"/>
  <c r="AD50" i="10"/>
  <c r="AB50" i="10"/>
  <c r="AA50" i="10"/>
  <c r="Y50" i="10"/>
  <c r="X50" i="10"/>
  <c r="W50" i="10"/>
  <c r="T50" i="10"/>
  <c r="S50" i="10"/>
  <c r="V50" i="10" s="1"/>
  <c r="R50" i="10"/>
  <c r="O50" i="10"/>
  <c r="L50" i="10"/>
  <c r="I50" i="10"/>
  <c r="Q50" i="10" s="1"/>
  <c r="H50" i="10"/>
  <c r="G50" i="10"/>
  <c r="P50" i="10" s="1"/>
  <c r="F50" i="10"/>
  <c r="E50" i="10"/>
  <c r="AH49" i="10"/>
  <c r="AG49" i="10"/>
  <c r="AE49" i="10"/>
  <c r="AD49" i="10"/>
  <c r="AB49" i="10"/>
  <c r="AA49" i="10"/>
  <c r="Y49" i="10"/>
  <c r="X49" i="10"/>
  <c r="W49" i="10"/>
  <c r="T49" i="10"/>
  <c r="S49" i="10"/>
  <c r="V49" i="10" s="1"/>
  <c r="R49" i="10"/>
  <c r="O49" i="10"/>
  <c r="L49" i="10"/>
  <c r="I49" i="10"/>
  <c r="Q49" i="10" s="1"/>
  <c r="H49" i="10"/>
  <c r="N49" i="10" s="1"/>
  <c r="G49" i="10"/>
  <c r="P49" i="10" s="1"/>
  <c r="F49" i="10"/>
  <c r="E49" i="10"/>
  <c r="AH48" i="10"/>
  <c r="AG48" i="10"/>
  <c r="AE48" i="10"/>
  <c r="AD48" i="10"/>
  <c r="AB48" i="10"/>
  <c r="AA48" i="10"/>
  <c r="Y48" i="10"/>
  <c r="X48" i="10"/>
  <c r="W48" i="10"/>
  <c r="T48" i="10"/>
  <c r="S48" i="10"/>
  <c r="V48" i="10" s="1"/>
  <c r="R48" i="10"/>
  <c r="U48" i="10" s="1"/>
  <c r="O48" i="10"/>
  <c r="L48" i="10"/>
  <c r="I48" i="10"/>
  <c r="Q48" i="10" s="1"/>
  <c r="H48" i="10"/>
  <c r="N48" i="10" s="1"/>
  <c r="G48" i="10"/>
  <c r="P48" i="10" s="1"/>
  <c r="F48" i="10"/>
  <c r="E48" i="10"/>
  <c r="AH47" i="10"/>
  <c r="AG47" i="10"/>
  <c r="AE47" i="10"/>
  <c r="AD47" i="10"/>
  <c r="AB47" i="10"/>
  <c r="AA47" i="10"/>
  <c r="Y47" i="10"/>
  <c r="X47" i="10"/>
  <c r="W47" i="10"/>
  <c r="T47" i="10"/>
  <c r="S47" i="10"/>
  <c r="V47" i="10" s="1"/>
  <c r="R47" i="10"/>
  <c r="U47" i="10" s="1"/>
  <c r="O47" i="10"/>
  <c r="L47" i="10"/>
  <c r="I47" i="10"/>
  <c r="Q47" i="10" s="1"/>
  <c r="H47" i="10"/>
  <c r="N47" i="10" s="1"/>
  <c r="G47" i="10"/>
  <c r="P47" i="10" s="1"/>
  <c r="F47" i="10"/>
  <c r="E47" i="10"/>
  <c r="AH46" i="10"/>
  <c r="AG46" i="10"/>
  <c r="AE46" i="10"/>
  <c r="AD46" i="10"/>
  <c r="AB46" i="10"/>
  <c r="AA46" i="10"/>
  <c r="Y46" i="10"/>
  <c r="X46" i="10"/>
  <c r="W46" i="10"/>
  <c r="T46" i="10"/>
  <c r="S46" i="10"/>
  <c r="V46" i="10" s="1"/>
  <c r="R46" i="10"/>
  <c r="O46" i="10"/>
  <c r="L46" i="10"/>
  <c r="I46" i="10"/>
  <c r="Q46" i="10" s="1"/>
  <c r="H46" i="10"/>
  <c r="G46" i="10"/>
  <c r="P46" i="10" s="1"/>
  <c r="F46" i="10"/>
  <c r="E46" i="10"/>
  <c r="AH45" i="10"/>
  <c r="AG45" i="10"/>
  <c r="AE45" i="10"/>
  <c r="AD45" i="10"/>
  <c r="AB45" i="10"/>
  <c r="AA45" i="10"/>
  <c r="Y45" i="10"/>
  <c r="X45" i="10"/>
  <c r="W45" i="10"/>
  <c r="T45" i="10"/>
  <c r="S45" i="10"/>
  <c r="V45" i="10" s="1"/>
  <c r="R45" i="10"/>
  <c r="O45" i="10"/>
  <c r="L45" i="10"/>
  <c r="I45" i="10"/>
  <c r="Q45" i="10" s="1"/>
  <c r="H45" i="10"/>
  <c r="G45" i="10"/>
  <c r="P45" i="10" s="1"/>
  <c r="F45" i="10"/>
  <c r="E45" i="10"/>
  <c r="AH44" i="10"/>
  <c r="AG44" i="10"/>
  <c r="AE44" i="10"/>
  <c r="AD44" i="10"/>
  <c r="AB44" i="10"/>
  <c r="AA44" i="10"/>
  <c r="Y44" i="10"/>
  <c r="X44" i="10"/>
  <c r="W44" i="10"/>
  <c r="T44" i="10"/>
  <c r="S44" i="10"/>
  <c r="V44" i="10" s="1"/>
  <c r="R44" i="10"/>
  <c r="O44" i="10"/>
  <c r="L44" i="10"/>
  <c r="I44" i="10"/>
  <c r="Q44" i="10" s="1"/>
  <c r="H44" i="10"/>
  <c r="N44" i="10" s="1"/>
  <c r="G44" i="10"/>
  <c r="P44" i="10" s="1"/>
  <c r="F44" i="10"/>
  <c r="E44" i="10"/>
  <c r="AH43" i="10"/>
  <c r="AG43" i="10"/>
  <c r="AE43" i="10"/>
  <c r="AD43" i="10"/>
  <c r="AB43" i="10"/>
  <c r="AA43" i="10"/>
  <c r="Y43" i="10"/>
  <c r="X43" i="10"/>
  <c r="W43" i="10"/>
  <c r="T43" i="10"/>
  <c r="S43" i="10"/>
  <c r="V43" i="10" s="1"/>
  <c r="R43" i="10"/>
  <c r="O43" i="10"/>
  <c r="L43" i="10"/>
  <c r="I43" i="10"/>
  <c r="Q43" i="10" s="1"/>
  <c r="H43" i="10"/>
  <c r="N43" i="10" s="1"/>
  <c r="G43" i="10"/>
  <c r="P43" i="10" s="1"/>
  <c r="F43" i="10"/>
  <c r="E43" i="10"/>
  <c r="AH42" i="10"/>
  <c r="AG42" i="10"/>
  <c r="AE42" i="10"/>
  <c r="AD42" i="10"/>
  <c r="AB42" i="10"/>
  <c r="AA42" i="10"/>
  <c r="Y42" i="10"/>
  <c r="X42" i="10"/>
  <c r="W42" i="10"/>
  <c r="T42" i="10"/>
  <c r="S42" i="10"/>
  <c r="V42" i="10" s="1"/>
  <c r="R42" i="10"/>
  <c r="O42" i="10"/>
  <c r="L42" i="10"/>
  <c r="I42" i="10"/>
  <c r="Q42" i="10" s="1"/>
  <c r="H42" i="10"/>
  <c r="N42" i="10" s="1"/>
  <c r="G42" i="10"/>
  <c r="P42" i="10" s="1"/>
  <c r="F42" i="10"/>
  <c r="E42" i="10"/>
  <c r="AH41" i="10"/>
  <c r="AG41" i="10"/>
  <c r="AE41" i="10"/>
  <c r="AD41" i="10"/>
  <c r="AB41" i="10"/>
  <c r="AA41" i="10"/>
  <c r="Y41" i="10"/>
  <c r="X41" i="10"/>
  <c r="W41" i="10"/>
  <c r="T41" i="10"/>
  <c r="S41" i="10"/>
  <c r="V41" i="10" s="1"/>
  <c r="R41" i="10"/>
  <c r="O41" i="10"/>
  <c r="L41" i="10"/>
  <c r="I41" i="10"/>
  <c r="Q41" i="10" s="1"/>
  <c r="H41" i="10"/>
  <c r="N41" i="10" s="1"/>
  <c r="G41" i="10"/>
  <c r="P41" i="10" s="1"/>
  <c r="F41" i="10"/>
  <c r="E41" i="10"/>
  <c r="AH40" i="10"/>
  <c r="AG40" i="10"/>
  <c r="AE40" i="10"/>
  <c r="AD40" i="10"/>
  <c r="AB40" i="10"/>
  <c r="AA40" i="10"/>
  <c r="Y40" i="10"/>
  <c r="X40" i="10"/>
  <c r="W40" i="10"/>
  <c r="T40" i="10"/>
  <c r="S40" i="10"/>
  <c r="V40" i="10" s="1"/>
  <c r="R40" i="10"/>
  <c r="O40" i="10"/>
  <c r="L40" i="10"/>
  <c r="I40" i="10"/>
  <c r="Q40" i="10" s="1"/>
  <c r="H40" i="10"/>
  <c r="G40" i="10"/>
  <c r="P40" i="10" s="1"/>
  <c r="F40" i="10"/>
  <c r="E40" i="10"/>
  <c r="AH39" i="10"/>
  <c r="AG39" i="10"/>
  <c r="AE39" i="10"/>
  <c r="AD39" i="10"/>
  <c r="AB39" i="10"/>
  <c r="AA39" i="10"/>
  <c r="Y39" i="10"/>
  <c r="X39" i="10"/>
  <c r="W39" i="10"/>
  <c r="T39" i="10"/>
  <c r="S39" i="10"/>
  <c r="V39" i="10" s="1"/>
  <c r="R39" i="10"/>
  <c r="O39" i="10"/>
  <c r="L39" i="10"/>
  <c r="I39" i="10"/>
  <c r="Q39" i="10" s="1"/>
  <c r="H39" i="10"/>
  <c r="N39" i="10" s="1"/>
  <c r="G39" i="10"/>
  <c r="P39" i="10" s="1"/>
  <c r="F39" i="10"/>
  <c r="E39" i="10"/>
  <c r="AH38" i="10"/>
  <c r="AG38" i="10"/>
  <c r="AE38" i="10"/>
  <c r="AD38" i="10"/>
  <c r="AB38" i="10"/>
  <c r="AA38" i="10"/>
  <c r="Y38" i="10"/>
  <c r="X38" i="10"/>
  <c r="W38" i="10"/>
  <c r="T38" i="10"/>
  <c r="S38" i="10"/>
  <c r="V38" i="10" s="1"/>
  <c r="R38" i="10"/>
  <c r="O38" i="10"/>
  <c r="L38" i="10"/>
  <c r="I38" i="10"/>
  <c r="Q38" i="10" s="1"/>
  <c r="H38" i="10"/>
  <c r="G38" i="10"/>
  <c r="P38" i="10" s="1"/>
  <c r="F38" i="10"/>
  <c r="E38" i="10"/>
  <c r="AH37" i="10"/>
  <c r="AG37" i="10"/>
  <c r="AE37" i="10"/>
  <c r="AD37" i="10"/>
  <c r="AB37" i="10"/>
  <c r="AA37" i="10"/>
  <c r="Y37" i="10"/>
  <c r="X37" i="10"/>
  <c r="Z37" i="10" s="1"/>
  <c r="W37" i="10"/>
  <c r="T37" i="10"/>
  <c r="S37" i="10"/>
  <c r="V37" i="10" s="1"/>
  <c r="R37" i="10"/>
  <c r="U37" i="10" s="1"/>
  <c r="O37" i="10"/>
  <c r="L37" i="10"/>
  <c r="I37" i="10"/>
  <c r="Q37" i="10" s="1"/>
  <c r="H37" i="10"/>
  <c r="N37" i="10" s="1"/>
  <c r="G37" i="10"/>
  <c r="P37" i="10" s="1"/>
  <c r="F37" i="10"/>
  <c r="E37" i="10"/>
  <c r="AH36" i="10"/>
  <c r="AG36" i="10"/>
  <c r="AE36" i="10"/>
  <c r="AD36" i="10"/>
  <c r="AB36" i="10"/>
  <c r="AA36" i="10"/>
  <c r="Y36" i="10"/>
  <c r="X36" i="10"/>
  <c r="W36" i="10"/>
  <c r="T36" i="10"/>
  <c r="S36" i="10"/>
  <c r="V36" i="10" s="1"/>
  <c r="R36" i="10"/>
  <c r="O36" i="10"/>
  <c r="L36" i="10"/>
  <c r="I36" i="10"/>
  <c r="Q36" i="10" s="1"/>
  <c r="H36" i="10"/>
  <c r="G36" i="10"/>
  <c r="P36" i="10" s="1"/>
  <c r="F36" i="10"/>
  <c r="E36" i="10"/>
  <c r="AH35" i="10"/>
  <c r="AG35" i="10"/>
  <c r="AE35" i="10"/>
  <c r="AD35" i="10"/>
  <c r="AB35" i="10"/>
  <c r="AA35" i="10"/>
  <c r="Y35" i="10"/>
  <c r="X35" i="10"/>
  <c r="W35" i="10"/>
  <c r="T35" i="10"/>
  <c r="S35" i="10"/>
  <c r="V35" i="10" s="1"/>
  <c r="R35" i="10"/>
  <c r="O35" i="10"/>
  <c r="L35" i="10"/>
  <c r="I35" i="10"/>
  <c r="Q35" i="10" s="1"/>
  <c r="H35" i="10"/>
  <c r="G35" i="10"/>
  <c r="F35" i="10"/>
  <c r="E35" i="10"/>
  <c r="AH34" i="10"/>
  <c r="AG34" i="10"/>
  <c r="AE34" i="10"/>
  <c r="AD34" i="10"/>
  <c r="AB34" i="10"/>
  <c r="AA34" i="10"/>
  <c r="Y34" i="10"/>
  <c r="X34" i="10"/>
  <c r="W34" i="10"/>
  <c r="T34" i="10"/>
  <c r="S34" i="10"/>
  <c r="V34" i="10" s="1"/>
  <c r="R34" i="10"/>
  <c r="O34" i="10"/>
  <c r="L34" i="10"/>
  <c r="I34" i="10"/>
  <c r="Q34" i="10" s="1"/>
  <c r="H34" i="10"/>
  <c r="N34" i="10" s="1"/>
  <c r="G34" i="10"/>
  <c r="P34" i="10" s="1"/>
  <c r="F34" i="10"/>
  <c r="E34" i="10"/>
  <c r="AH33" i="10"/>
  <c r="AG33" i="10"/>
  <c r="AE33" i="10"/>
  <c r="AD33" i="10"/>
  <c r="AB33" i="10"/>
  <c r="AA33" i="10"/>
  <c r="Y33" i="10"/>
  <c r="X33" i="10"/>
  <c r="W33" i="10"/>
  <c r="T33" i="10"/>
  <c r="S33" i="10"/>
  <c r="V33" i="10" s="1"/>
  <c r="R33" i="10"/>
  <c r="O33" i="10"/>
  <c r="L33" i="10"/>
  <c r="I33" i="10"/>
  <c r="Q33" i="10" s="1"/>
  <c r="H33" i="10"/>
  <c r="N33" i="10" s="1"/>
  <c r="G33" i="10"/>
  <c r="P33" i="10" s="1"/>
  <c r="F33" i="10"/>
  <c r="E33" i="10"/>
  <c r="AH32" i="10"/>
  <c r="AG32" i="10"/>
  <c r="AE32" i="10"/>
  <c r="AD32" i="10"/>
  <c r="AB32" i="10"/>
  <c r="AA32" i="10"/>
  <c r="Y32" i="10"/>
  <c r="X32" i="10"/>
  <c r="AC32" i="10" s="1"/>
  <c r="W32" i="10"/>
  <c r="T32" i="10"/>
  <c r="S32" i="10"/>
  <c r="V32" i="10" s="1"/>
  <c r="R32" i="10"/>
  <c r="U32" i="10" s="1"/>
  <c r="O32" i="10"/>
  <c r="L32" i="10"/>
  <c r="I32" i="10"/>
  <c r="H32" i="10"/>
  <c r="N32" i="10" s="1"/>
  <c r="G32" i="10"/>
  <c r="P32" i="10" s="1"/>
  <c r="F32" i="10"/>
  <c r="E32" i="10"/>
  <c r="AH30" i="10"/>
  <c r="AG30" i="10"/>
  <c r="AE30" i="10"/>
  <c r="AD30" i="10"/>
  <c r="AB30" i="10"/>
  <c r="AA30" i="10"/>
  <c r="Y30" i="10"/>
  <c r="X30" i="10"/>
  <c r="W30" i="10"/>
  <c r="T30" i="10"/>
  <c r="S30" i="10"/>
  <c r="V30" i="10" s="1"/>
  <c r="R30" i="10"/>
  <c r="O30" i="10"/>
  <c r="L30" i="10"/>
  <c r="I30" i="10"/>
  <c r="Q30" i="10" s="1"/>
  <c r="H30" i="10"/>
  <c r="G30" i="10"/>
  <c r="P30" i="10" s="1"/>
  <c r="F30" i="10"/>
  <c r="E30" i="10"/>
  <c r="AH29" i="10"/>
  <c r="AG29" i="10"/>
  <c r="AE29" i="10"/>
  <c r="AD29" i="10"/>
  <c r="AB29" i="10"/>
  <c r="AA29" i="10"/>
  <c r="Y29" i="10"/>
  <c r="X29" i="10"/>
  <c r="W29" i="10"/>
  <c r="T29" i="10"/>
  <c r="S29" i="10"/>
  <c r="V29" i="10" s="1"/>
  <c r="R29" i="10"/>
  <c r="O29" i="10"/>
  <c r="L29" i="10"/>
  <c r="I29" i="10"/>
  <c r="Q29" i="10" s="1"/>
  <c r="H29" i="10"/>
  <c r="G29" i="10"/>
  <c r="P29" i="10" s="1"/>
  <c r="F29" i="10"/>
  <c r="E29" i="10"/>
  <c r="AH28" i="10"/>
  <c r="AG28" i="10"/>
  <c r="AE28" i="10"/>
  <c r="AD28" i="10"/>
  <c r="AB28" i="10"/>
  <c r="AA28" i="10"/>
  <c r="Y28" i="10"/>
  <c r="X28" i="10"/>
  <c r="W28" i="10"/>
  <c r="T28" i="10"/>
  <c r="S28" i="10"/>
  <c r="V28" i="10" s="1"/>
  <c r="R28" i="10"/>
  <c r="O28" i="10"/>
  <c r="L28" i="10"/>
  <c r="I28" i="10"/>
  <c r="Q28" i="10" s="1"/>
  <c r="H28" i="10"/>
  <c r="N28" i="10" s="1"/>
  <c r="G28" i="10"/>
  <c r="P28" i="10" s="1"/>
  <c r="F28" i="10"/>
  <c r="E28" i="10"/>
  <c r="AH27" i="10"/>
  <c r="AG27" i="10"/>
  <c r="AE27" i="10"/>
  <c r="AD27" i="10"/>
  <c r="AB27" i="10"/>
  <c r="AA27" i="10"/>
  <c r="Y27" i="10"/>
  <c r="X27" i="10"/>
  <c r="W27" i="10"/>
  <c r="T27" i="10"/>
  <c r="S27" i="10"/>
  <c r="V27" i="10" s="1"/>
  <c r="R27" i="10"/>
  <c r="O27" i="10"/>
  <c r="L27" i="10"/>
  <c r="I27" i="10"/>
  <c r="Q27" i="10" s="1"/>
  <c r="H27" i="10"/>
  <c r="N27" i="10" s="1"/>
  <c r="G27" i="10"/>
  <c r="P27" i="10" s="1"/>
  <c r="F27" i="10"/>
  <c r="E27" i="10"/>
  <c r="AH26" i="10"/>
  <c r="AG26" i="10"/>
  <c r="AE26" i="10"/>
  <c r="AD26" i="10"/>
  <c r="AB26" i="10"/>
  <c r="AA26" i="10"/>
  <c r="Y26" i="10"/>
  <c r="X26" i="10"/>
  <c r="W26" i="10"/>
  <c r="T26" i="10"/>
  <c r="S26" i="10"/>
  <c r="V26" i="10" s="1"/>
  <c r="R26" i="10"/>
  <c r="O26" i="10"/>
  <c r="L26" i="10"/>
  <c r="I26" i="10"/>
  <c r="Q26" i="10" s="1"/>
  <c r="H26" i="10"/>
  <c r="N26" i="10" s="1"/>
  <c r="G26" i="10"/>
  <c r="P26" i="10" s="1"/>
  <c r="F26" i="10"/>
  <c r="E26" i="10"/>
  <c r="AH25" i="10"/>
  <c r="AG25" i="10"/>
  <c r="AE25" i="10"/>
  <c r="AD25" i="10"/>
  <c r="AB25" i="10"/>
  <c r="AA25" i="10"/>
  <c r="Y25" i="10"/>
  <c r="X25" i="10"/>
  <c r="W25" i="10"/>
  <c r="T25" i="10"/>
  <c r="S25" i="10"/>
  <c r="V25" i="10" s="1"/>
  <c r="R25" i="10"/>
  <c r="O25" i="10"/>
  <c r="L25" i="10"/>
  <c r="I25" i="10"/>
  <c r="Q25" i="10" s="1"/>
  <c r="H25" i="10"/>
  <c r="N25" i="10" s="1"/>
  <c r="G25" i="10"/>
  <c r="P25" i="10" s="1"/>
  <c r="F25" i="10"/>
  <c r="E25" i="10"/>
  <c r="AH24" i="10"/>
  <c r="AG24" i="10"/>
  <c r="AE24" i="10"/>
  <c r="AD24" i="10"/>
  <c r="AB24" i="10"/>
  <c r="AA24" i="10"/>
  <c r="Y24" i="10"/>
  <c r="X24" i="10"/>
  <c r="W24" i="10"/>
  <c r="T24" i="10"/>
  <c r="S24" i="10"/>
  <c r="V24" i="10" s="1"/>
  <c r="R24" i="10"/>
  <c r="O24" i="10"/>
  <c r="L24" i="10"/>
  <c r="I24" i="10"/>
  <c r="Q24" i="10" s="1"/>
  <c r="H24" i="10"/>
  <c r="N24" i="10" s="1"/>
  <c r="G24" i="10"/>
  <c r="P24" i="10" s="1"/>
  <c r="F24" i="10"/>
  <c r="E24" i="10"/>
  <c r="AH23" i="10"/>
  <c r="AG23" i="10"/>
  <c r="AE23" i="10"/>
  <c r="AD23" i="10"/>
  <c r="AB23" i="10"/>
  <c r="AA23" i="10"/>
  <c r="Y23" i="10"/>
  <c r="X23" i="10"/>
  <c r="W23" i="10"/>
  <c r="T23" i="10"/>
  <c r="S23" i="10"/>
  <c r="V23" i="10" s="1"/>
  <c r="R23" i="10"/>
  <c r="O23" i="10"/>
  <c r="L23" i="10"/>
  <c r="I23" i="10"/>
  <c r="Q23" i="10" s="1"/>
  <c r="H23" i="10"/>
  <c r="G23" i="10"/>
  <c r="P23" i="10" s="1"/>
  <c r="F23" i="10"/>
  <c r="E23" i="10"/>
  <c r="AH22" i="10"/>
  <c r="AG22" i="10"/>
  <c r="AE22" i="10"/>
  <c r="AD22" i="10"/>
  <c r="AB22" i="10"/>
  <c r="AA22" i="10"/>
  <c r="Y22" i="10"/>
  <c r="X22" i="10"/>
  <c r="W22" i="10"/>
  <c r="T22" i="10"/>
  <c r="S22" i="10"/>
  <c r="V22" i="10" s="1"/>
  <c r="R22" i="10"/>
  <c r="O22" i="10"/>
  <c r="L22" i="10"/>
  <c r="I22" i="10"/>
  <c r="Q22" i="10" s="1"/>
  <c r="H22" i="10"/>
  <c r="N22" i="10" s="1"/>
  <c r="G22" i="10"/>
  <c r="P22" i="10" s="1"/>
  <c r="F22" i="10"/>
  <c r="E22" i="10"/>
  <c r="AH21" i="10"/>
  <c r="AG21" i="10"/>
  <c r="AE21" i="10"/>
  <c r="AD21" i="10"/>
  <c r="AB21" i="10"/>
  <c r="AA21" i="10"/>
  <c r="Y21" i="10"/>
  <c r="X21" i="10"/>
  <c r="W21" i="10"/>
  <c r="T21" i="10"/>
  <c r="S21" i="10"/>
  <c r="V21" i="10" s="1"/>
  <c r="R21" i="10"/>
  <c r="O21" i="10"/>
  <c r="L21" i="10"/>
  <c r="I21" i="10"/>
  <c r="Q21" i="10" s="1"/>
  <c r="H21" i="10"/>
  <c r="N21" i="10" s="1"/>
  <c r="G21" i="10"/>
  <c r="P21" i="10" s="1"/>
  <c r="F21" i="10"/>
  <c r="E21" i="10"/>
  <c r="AH20" i="10"/>
  <c r="AG20" i="10"/>
  <c r="AE20" i="10"/>
  <c r="AD20" i="10"/>
  <c r="AB20" i="10"/>
  <c r="AA20" i="10"/>
  <c r="Y20" i="10"/>
  <c r="X20" i="10"/>
  <c r="W20" i="10"/>
  <c r="T20" i="10"/>
  <c r="S20" i="10"/>
  <c r="V20" i="10" s="1"/>
  <c r="R20" i="10"/>
  <c r="O20" i="10"/>
  <c r="L20" i="10"/>
  <c r="I20" i="10"/>
  <c r="Q20" i="10" s="1"/>
  <c r="H20" i="10"/>
  <c r="G20" i="10"/>
  <c r="P20" i="10" s="1"/>
  <c r="F20" i="10"/>
  <c r="E20" i="10"/>
  <c r="AH19" i="10"/>
  <c r="AG19" i="10"/>
  <c r="AE19" i="10"/>
  <c r="AD19" i="10"/>
  <c r="AB19" i="10"/>
  <c r="AA19" i="10"/>
  <c r="Y19" i="10"/>
  <c r="X19" i="10"/>
  <c r="W19" i="10"/>
  <c r="T19" i="10"/>
  <c r="S19" i="10"/>
  <c r="V19" i="10" s="1"/>
  <c r="R19" i="10"/>
  <c r="O19" i="10"/>
  <c r="L19" i="10"/>
  <c r="I19" i="10"/>
  <c r="Q19" i="10" s="1"/>
  <c r="H19" i="10"/>
  <c r="N19" i="10" s="1"/>
  <c r="G19" i="10"/>
  <c r="P19" i="10" s="1"/>
  <c r="F19" i="10"/>
  <c r="E19" i="10"/>
  <c r="AH18" i="10"/>
  <c r="AG18" i="10"/>
  <c r="AE18" i="10"/>
  <c r="AD18" i="10"/>
  <c r="AB18" i="10"/>
  <c r="AA18" i="10"/>
  <c r="Y18" i="10"/>
  <c r="X18" i="10"/>
  <c r="W18" i="10"/>
  <c r="T18" i="10"/>
  <c r="S18" i="10"/>
  <c r="V18" i="10" s="1"/>
  <c r="R18" i="10"/>
  <c r="O18" i="10"/>
  <c r="L18" i="10"/>
  <c r="I18" i="10"/>
  <c r="Q18" i="10" s="1"/>
  <c r="H18" i="10"/>
  <c r="G18" i="10"/>
  <c r="P18" i="10" s="1"/>
  <c r="F18" i="10"/>
  <c r="E18" i="10"/>
  <c r="AH17" i="10"/>
  <c r="AG17" i="10"/>
  <c r="AE17" i="10"/>
  <c r="AD17" i="10"/>
  <c r="AB17" i="10"/>
  <c r="AA17" i="10"/>
  <c r="Y17" i="10"/>
  <c r="X17" i="10"/>
  <c r="W17" i="10"/>
  <c r="T17" i="10"/>
  <c r="S17" i="10"/>
  <c r="V17" i="10" s="1"/>
  <c r="R17" i="10"/>
  <c r="O17" i="10"/>
  <c r="L17" i="10"/>
  <c r="I17" i="10"/>
  <c r="Q17" i="10" s="1"/>
  <c r="H17" i="10"/>
  <c r="G17" i="10"/>
  <c r="P17" i="10" s="1"/>
  <c r="F17" i="10"/>
  <c r="E17" i="10"/>
  <c r="AH16" i="10"/>
  <c r="AG16" i="10"/>
  <c r="AE16" i="10"/>
  <c r="AD16" i="10"/>
  <c r="AB16" i="10"/>
  <c r="AA16" i="10"/>
  <c r="Y16" i="10"/>
  <c r="X16" i="10"/>
  <c r="W16" i="10"/>
  <c r="T16" i="10"/>
  <c r="S16" i="10"/>
  <c r="V16" i="10" s="1"/>
  <c r="R16" i="10"/>
  <c r="O16" i="10"/>
  <c r="L16" i="10"/>
  <c r="I16" i="10"/>
  <c r="Q16" i="10" s="1"/>
  <c r="H16" i="10"/>
  <c r="G16" i="10"/>
  <c r="P16" i="10" s="1"/>
  <c r="F16" i="10"/>
  <c r="E16" i="10"/>
  <c r="AH15" i="10"/>
  <c r="AG15" i="10"/>
  <c r="AE15" i="10"/>
  <c r="AD15" i="10"/>
  <c r="AB15" i="10"/>
  <c r="AA15" i="10"/>
  <c r="Y15" i="10"/>
  <c r="X15" i="10"/>
  <c r="W15" i="10"/>
  <c r="T15" i="10"/>
  <c r="S15" i="10"/>
  <c r="V15" i="10" s="1"/>
  <c r="R15" i="10"/>
  <c r="O15" i="10"/>
  <c r="L15" i="10"/>
  <c r="I15" i="10"/>
  <c r="Q15" i="10" s="1"/>
  <c r="H15" i="10"/>
  <c r="G15" i="10"/>
  <c r="P15" i="10" s="1"/>
  <c r="F15" i="10"/>
  <c r="E15" i="10"/>
  <c r="AH14" i="10"/>
  <c r="AG14" i="10"/>
  <c r="AE14" i="10"/>
  <c r="AD14" i="10"/>
  <c r="AB14" i="10"/>
  <c r="AA14" i="10"/>
  <c r="Y14" i="10"/>
  <c r="X14" i="10"/>
  <c r="W14" i="10"/>
  <c r="T14" i="10"/>
  <c r="S14" i="10"/>
  <c r="V14" i="10" s="1"/>
  <c r="R14" i="10"/>
  <c r="O14" i="10"/>
  <c r="L14" i="10"/>
  <c r="I14" i="10"/>
  <c r="H14" i="10"/>
  <c r="G14" i="10"/>
  <c r="P14" i="10" s="1"/>
  <c r="F14" i="10"/>
  <c r="E14" i="10"/>
  <c r="T9" i="10"/>
  <c r="S9" i="10"/>
  <c r="V9" i="10" s="1"/>
  <c r="R9" i="10"/>
  <c r="O106" i="9"/>
  <c r="L106" i="9"/>
  <c r="I106" i="9"/>
  <c r="Q106" i="9" s="1"/>
  <c r="H106" i="9"/>
  <c r="N106" i="9" s="1"/>
  <c r="G106" i="9"/>
  <c r="F106" i="9"/>
  <c r="E106" i="9"/>
  <c r="O105" i="9"/>
  <c r="L105" i="9"/>
  <c r="I105" i="9"/>
  <c r="Q105" i="9" s="1"/>
  <c r="H105" i="9"/>
  <c r="N105" i="9" s="1"/>
  <c r="G105" i="9"/>
  <c r="F105" i="9"/>
  <c r="E105" i="9"/>
  <c r="O104" i="9"/>
  <c r="L104" i="9"/>
  <c r="I104" i="9"/>
  <c r="Q104" i="9" s="1"/>
  <c r="H104" i="9"/>
  <c r="G104" i="9"/>
  <c r="P104" i="9" s="1"/>
  <c r="F104" i="9"/>
  <c r="E104" i="9"/>
  <c r="O103" i="9"/>
  <c r="L103" i="9"/>
  <c r="I103" i="9"/>
  <c r="Q103" i="9" s="1"/>
  <c r="H103" i="9"/>
  <c r="N103" i="9" s="1"/>
  <c r="G103" i="9"/>
  <c r="P103" i="9" s="1"/>
  <c r="F103" i="9"/>
  <c r="E103" i="9"/>
  <c r="O102" i="9"/>
  <c r="L102" i="9"/>
  <c r="I102" i="9"/>
  <c r="Q102" i="9" s="1"/>
  <c r="H102" i="9"/>
  <c r="N102" i="9" s="1"/>
  <c r="G102" i="9"/>
  <c r="P102" i="9" s="1"/>
  <c r="F102" i="9"/>
  <c r="E102" i="9"/>
  <c r="O101" i="9"/>
  <c r="L101" i="9"/>
  <c r="I101" i="9"/>
  <c r="Q101" i="9" s="1"/>
  <c r="H101" i="9"/>
  <c r="G101" i="9"/>
  <c r="P101" i="9" s="1"/>
  <c r="F101" i="9"/>
  <c r="E101" i="9"/>
  <c r="O100" i="9"/>
  <c r="L100" i="9"/>
  <c r="I100" i="9"/>
  <c r="Q100" i="9" s="1"/>
  <c r="H100" i="9"/>
  <c r="N100" i="9" s="1"/>
  <c r="G100" i="9"/>
  <c r="P100" i="9" s="1"/>
  <c r="F100" i="9"/>
  <c r="E100" i="9"/>
  <c r="O99" i="9"/>
  <c r="L99" i="9"/>
  <c r="I99" i="9"/>
  <c r="Q99" i="9" s="1"/>
  <c r="H99" i="9"/>
  <c r="N99" i="9" s="1"/>
  <c r="G99" i="9"/>
  <c r="P99" i="9" s="1"/>
  <c r="F99" i="9"/>
  <c r="E99" i="9"/>
  <c r="O98" i="9"/>
  <c r="L98" i="9"/>
  <c r="I98" i="9"/>
  <c r="Q98" i="9" s="1"/>
  <c r="H98" i="9"/>
  <c r="N98" i="9" s="1"/>
  <c r="G98" i="9"/>
  <c r="P98" i="9" s="1"/>
  <c r="F98" i="9"/>
  <c r="E98" i="9"/>
  <c r="O97" i="9"/>
  <c r="L97" i="9"/>
  <c r="I97" i="9"/>
  <c r="Q97" i="9" s="1"/>
  <c r="H97" i="9"/>
  <c r="N97" i="9" s="1"/>
  <c r="G97" i="9"/>
  <c r="P97" i="9" s="1"/>
  <c r="F97" i="9"/>
  <c r="E97" i="9"/>
  <c r="O96" i="9"/>
  <c r="L96" i="9"/>
  <c r="I96" i="9"/>
  <c r="Q96" i="9" s="1"/>
  <c r="H96" i="9"/>
  <c r="N96" i="9" s="1"/>
  <c r="G96" i="9"/>
  <c r="P96" i="9" s="1"/>
  <c r="F96" i="9"/>
  <c r="E96" i="9"/>
  <c r="O95" i="9"/>
  <c r="L95" i="9"/>
  <c r="I95" i="9"/>
  <c r="Q95" i="9" s="1"/>
  <c r="H95" i="9"/>
  <c r="G95" i="9"/>
  <c r="P95" i="9" s="1"/>
  <c r="F95" i="9"/>
  <c r="E95" i="9"/>
  <c r="O94" i="9"/>
  <c r="L94" i="9"/>
  <c r="I94" i="9"/>
  <c r="Q94" i="9" s="1"/>
  <c r="H94" i="9"/>
  <c r="N94" i="9" s="1"/>
  <c r="G94" i="9"/>
  <c r="P94" i="9" s="1"/>
  <c r="F94" i="9"/>
  <c r="E94" i="9"/>
  <c r="O93" i="9"/>
  <c r="L93" i="9"/>
  <c r="I93" i="9"/>
  <c r="Q93" i="9" s="1"/>
  <c r="H93" i="9"/>
  <c r="G93" i="9"/>
  <c r="P93" i="9" s="1"/>
  <c r="F93" i="9"/>
  <c r="E93" i="9"/>
  <c r="O92" i="9"/>
  <c r="L92" i="9"/>
  <c r="I92" i="9"/>
  <c r="Q92" i="9" s="1"/>
  <c r="H92" i="9"/>
  <c r="N92" i="9" s="1"/>
  <c r="G92" i="9"/>
  <c r="P92" i="9" s="1"/>
  <c r="F92" i="9"/>
  <c r="E92" i="9"/>
  <c r="O91" i="9"/>
  <c r="L91" i="9"/>
  <c r="I91" i="9"/>
  <c r="Q91" i="9" s="1"/>
  <c r="H91" i="9"/>
  <c r="N91" i="9" s="1"/>
  <c r="G91" i="9"/>
  <c r="P91" i="9" s="1"/>
  <c r="F91" i="9"/>
  <c r="E91" i="9"/>
  <c r="O90" i="9"/>
  <c r="L90" i="9"/>
  <c r="I90" i="9"/>
  <c r="H90" i="9"/>
  <c r="N90" i="9" s="1"/>
  <c r="G90" i="9"/>
  <c r="P90" i="9" s="1"/>
  <c r="F90" i="9"/>
  <c r="E90" i="9"/>
  <c r="AA88" i="9"/>
  <c r="Y88" i="9"/>
  <c r="X88" i="9"/>
  <c r="V88" i="9"/>
  <c r="U88" i="9"/>
  <c r="S88" i="9"/>
  <c r="R88" i="9"/>
  <c r="O88" i="9"/>
  <c r="L88" i="9"/>
  <c r="I88" i="9"/>
  <c r="Q88" i="9" s="1"/>
  <c r="H88" i="9"/>
  <c r="G88" i="9"/>
  <c r="P88" i="9" s="1"/>
  <c r="F88" i="9"/>
  <c r="E88" i="9"/>
  <c r="AA87" i="9"/>
  <c r="Y87" i="9"/>
  <c r="X87" i="9"/>
  <c r="V87" i="9"/>
  <c r="U87" i="9"/>
  <c r="W87" i="9" s="1"/>
  <c r="S87" i="9"/>
  <c r="R87" i="9"/>
  <c r="T87" i="9" s="1"/>
  <c r="O87" i="9"/>
  <c r="L87" i="9"/>
  <c r="I87" i="9"/>
  <c r="Q87" i="9" s="1"/>
  <c r="H87" i="9"/>
  <c r="N87" i="9" s="1"/>
  <c r="G87" i="9"/>
  <c r="P87" i="9" s="1"/>
  <c r="F87" i="9"/>
  <c r="E87" i="9"/>
  <c r="AA86" i="9"/>
  <c r="Y86" i="9"/>
  <c r="X86" i="9"/>
  <c r="V86" i="9"/>
  <c r="U86" i="9"/>
  <c r="W86" i="9" s="1"/>
  <c r="S86" i="9"/>
  <c r="R86" i="9"/>
  <c r="T86" i="9" s="1"/>
  <c r="O86" i="9"/>
  <c r="L86" i="9"/>
  <c r="I86" i="9"/>
  <c r="Q86" i="9" s="1"/>
  <c r="H86" i="9"/>
  <c r="N86" i="9" s="1"/>
  <c r="G86" i="9"/>
  <c r="P86" i="9" s="1"/>
  <c r="F86" i="9"/>
  <c r="E86" i="9"/>
  <c r="AA85" i="9"/>
  <c r="Y85" i="9"/>
  <c r="X85" i="9"/>
  <c r="Z85" i="9" s="1"/>
  <c r="V85" i="9"/>
  <c r="U85" i="9"/>
  <c r="W85" i="9" s="1"/>
  <c r="S85" i="9"/>
  <c r="R85" i="9"/>
  <c r="T85" i="9" s="1"/>
  <c r="O85" i="9"/>
  <c r="L85" i="9"/>
  <c r="I85" i="9"/>
  <c r="Q85" i="9" s="1"/>
  <c r="H85" i="9"/>
  <c r="N85" i="9" s="1"/>
  <c r="G85" i="9"/>
  <c r="P85" i="9" s="1"/>
  <c r="F85" i="9"/>
  <c r="E85" i="9"/>
  <c r="AA84" i="9"/>
  <c r="Y84" i="9"/>
  <c r="X84" i="9"/>
  <c r="V84" i="9"/>
  <c r="U84" i="9"/>
  <c r="W84" i="9" s="1"/>
  <c r="S84" i="9"/>
  <c r="R84" i="9"/>
  <c r="T84" i="9" s="1"/>
  <c r="O84" i="9"/>
  <c r="L84" i="9"/>
  <c r="I84" i="9"/>
  <c r="Q84" i="9" s="1"/>
  <c r="H84" i="9"/>
  <c r="N84" i="9" s="1"/>
  <c r="G84" i="9"/>
  <c r="P84" i="9" s="1"/>
  <c r="F84" i="9"/>
  <c r="E84" i="9"/>
  <c r="AA83" i="9"/>
  <c r="Y83" i="9"/>
  <c r="X83" i="9"/>
  <c r="V83" i="9"/>
  <c r="U83" i="9"/>
  <c r="W83" i="9" s="1"/>
  <c r="S83" i="9"/>
  <c r="R83" i="9"/>
  <c r="T83" i="9" s="1"/>
  <c r="O83" i="9"/>
  <c r="L83" i="9"/>
  <c r="I83" i="9"/>
  <c r="Q83" i="9" s="1"/>
  <c r="H83" i="9"/>
  <c r="N83" i="9" s="1"/>
  <c r="G83" i="9"/>
  <c r="P83" i="9" s="1"/>
  <c r="F83" i="9"/>
  <c r="E83" i="9"/>
  <c r="AA82" i="9"/>
  <c r="Y82" i="9"/>
  <c r="X82" i="9"/>
  <c r="Z82" i="9" s="1"/>
  <c r="V82" i="9"/>
  <c r="U82" i="9"/>
  <c r="W82" i="9" s="1"/>
  <c r="S82" i="9"/>
  <c r="R82" i="9"/>
  <c r="T82" i="9" s="1"/>
  <c r="O82" i="9"/>
  <c r="L82" i="9"/>
  <c r="I82" i="9"/>
  <c r="Q82" i="9" s="1"/>
  <c r="H82" i="9"/>
  <c r="N82" i="9" s="1"/>
  <c r="G82" i="9"/>
  <c r="P82" i="9" s="1"/>
  <c r="F82" i="9"/>
  <c r="E82" i="9"/>
  <c r="AA81" i="9"/>
  <c r="Y81" i="9"/>
  <c r="X81" i="9"/>
  <c r="V81" i="9"/>
  <c r="U81" i="9"/>
  <c r="W81" i="9" s="1"/>
  <c r="S81" i="9"/>
  <c r="R81" i="9"/>
  <c r="T81" i="9" s="1"/>
  <c r="O81" i="9"/>
  <c r="L81" i="9"/>
  <c r="I81" i="9"/>
  <c r="Q81" i="9" s="1"/>
  <c r="H81" i="9"/>
  <c r="N81" i="9" s="1"/>
  <c r="G81" i="9"/>
  <c r="P81" i="9" s="1"/>
  <c r="F81" i="9"/>
  <c r="E81" i="9"/>
  <c r="AA80" i="9"/>
  <c r="Y80" i="9"/>
  <c r="X80" i="9"/>
  <c r="AB80" i="9" s="1"/>
  <c r="V80" i="9"/>
  <c r="U80" i="9"/>
  <c r="W80" i="9" s="1"/>
  <c r="S80" i="9"/>
  <c r="R80" i="9"/>
  <c r="T80" i="9" s="1"/>
  <c r="O80" i="9"/>
  <c r="L80" i="9"/>
  <c r="I80" i="9"/>
  <c r="Q80" i="9" s="1"/>
  <c r="H80" i="9"/>
  <c r="N80" i="9" s="1"/>
  <c r="G80" i="9"/>
  <c r="P80" i="9" s="1"/>
  <c r="F80" i="9"/>
  <c r="E80" i="9"/>
  <c r="AA79" i="9"/>
  <c r="Y79" i="9"/>
  <c r="X79" i="9"/>
  <c r="Z79" i="9" s="1"/>
  <c r="V79" i="9"/>
  <c r="U79" i="9"/>
  <c r="W79" i="9" s="1"/>
  <c r="S79" i="9"/>
  <c r="R79" i="9"/>
  <c r="T79" i="9" s="1"/>
  <c r="O79" i="9"/>
  <c r="L79" i="9"/>
  <c r="I79" i="9"/>
  <c r="Q79" i="9" s="1"/>
  <c r="H79" i="9"/>
  <c r="N79" i="9" s="1"/>
  <c r="G79" i="9"/>
  <c r="P79" i="9" s="1"/>
  <c r="F79" i="9"/>
  <c r="E79" i="9"/>
  <c r="AA78" i="9"/>
  <c r="Y78" i="9"/>
  <c r="X78" i="9"/>
  <c r="V78" i="9"/>
  <c r="U78" i="9"/>
  <c r="W78" i="9" s="1"/>
  <c r="S78" i="9"/>
  <c r="R78" i="9"/>
  <c r="T78" i="9" s="1"/>
  <c r="O78" i="9"/>
  <c r="L78" i="9"/>
  <c r="I78" i="9"/>
  <c r="Q78" i="9" s="1"/>
  <c r="H78" i="9"/>
  <c r="N78" i="9" s="1"/>
  <c r="G78" i="9"/>
  <c r="P78" i="9" s="1"/>
  <c r="F78" i="9"/>
  <c r="E78" i="9"/>
  <c r="AA77" i="9"/>
  <c r="Y77" i="9"/>
  <c r="X77" i="9"/>
  <c r="AB77" i="9" s="1"/>
  <c r="V77" i="9"/>
  <c r="U77" i="9"/>
  <c r="W77" i="9" s="1"/>
  <c r="S77" i="9"/>
  <c r="R77" i="9"/>
  <c r="T77" i="9" s="1"/>
  <c r="O77" i="9"/>
  <c r="L77" i="9"/>
  <c r="I77" i="9"/>
  <c r="Q77" i="9" s="1"/>
  <c r="H77" i="9"/>
  <c r="N77" i="9" s="1"/>
  <c r="G77" i="9"/>
  <c r="P77" i="9" s="1"/>
  <c r="F77" i="9"/>
  <c r="E77" i="9"/>
  <c r="AA76" i="9"/>
  <c r="Y76" i="9"/>
  <c r="X76" i="9"/>
  <c r="Z76" i="9" s="1"/>
  <c r="V76" i="9"/>
  <c r="U76" i="9"/>
  <c r="W76" i="9" s="1"/>
  <c r="S76" i="9"/>
  <c r="R76" i="9"/>
  <c r="T76" i="9" s="1"/>
  <c r="O76" i="9"/>
  <c r="L76" i="9"/>
  <c r="I76" i="9"/>
  <c r="Q76" i="9" s="1"/>
  <c r="H76" i="9"/>
  <c r="N76" i="9" s="1"/>
  <c r="G76" i="9"/>
  <c r="F76" i="9"/>
  <c r="E76" i="9"/>
  <c r="AA75" i="9"/>
  <c r="Y75" i="9"/>
  <c r="X75" i="9"/>
  <c r="V75" i="9"/>
  <c r="U75" i="9"/>
  <c r="W75" i="9" s="1"/>
  <c r="S75" i="9"/>
  <c r="R75" i="9"/>
  <c r="O75" i="9"/>
  <c r="L75" i="9"/>
  <c r="I75" i="9"/>
  <c r="Q75" i="9" s="1"/>
  <c r="H75" i="9"/>
  <c r="N75" i="9" s="1"/>
  <c r="G75" i="9"/>
  <c r="P75" i="9" s="1"/>
  <c r="F75" i="9"/>
  <c r="E75" i="9"/>
  <c r="AA73" i="9"/>
  <c r="Y73" i="9"/>
  <c r="X73" i="9"/>
  <c r="Z73" i="9" s="1"/>
  <c r="V73" i="9"/>
  <c r="U73" i="9"/>
  <c r="W73" i="9" s="1"/>
  <c r="S73" i="9"/>
  <c r="R73" i="9"/>
  <c r="T73" i="9" s="1"/>
  <c r="O73" i="9"/>
  <c r="L73" i="9"/>
  <c r="I73" i="9"/>
  <c r="Q73" i="9" s="1"/>
  <c r="H73" i="9"/>
  <c r="N73" i="9" s="1"/>
  <c r="G73" i="9"/>
  <c r="P73" i="9" s="1"/>
  <c r="F73" i="9"/>
  <c r="E73" i="9"/>
  <c r="AA72" i="9"/>
  <c r="Y72" i="9"/>
  <c r="X72" i="9"/>
  <c r="V72" i="9"/>
  <c r="U72" i="9"/>
  <c r="S72" i="9"/>
  <c r="R72" i="9"/>
  <c r="O72" i="9"/>
  <c r="L72" i="9"/>
  <c r="I72" i="9"/>
  <c r="Q72" i="9" s="1"/>
  <c r="H72" i="9"/>
  <c r="G72" i="9"/>
  <c r="P72" i="9" s="1"/>
  <c r="F72" i="9"/>
  <c r="E72" i="9"/>
  <c r="AA71" i="9"/>
  <c r="Y71" i="9"/>
  <c r="X71" i="9"/>
  <c r="AB71" i="9" s="1"/>
  <c r="V71" i="9"/>
  <c r="U71" i="9"/>
  <c r="W71" i="9" s="1"/>
  <c r="S71" i="9"/>
  <c r="R71" i="9"/>
  <c r="T71" i="9" s="1"/>
  <c r="O71" i="9"/>
  <c r="L71" i="9"/>
  <c r="I71" i="9"/>
  <c r="Q71" i="9" s="1"/>
  <c r="H71" i="9"/>
  <c r="N71" i="9" s="1"/>
  <c r="G71" i="9"/>
  <c r="P71" i="9" s="1"/>
  <c r="F71" i="9"/>
  <c r="E71" i="9"/>
  <c r="AA70" i="9"/>
  <c r="Y70" i="9"/>
  <c r="X70" i="9"/>
  <c r="V70" i="9"/>
  <c r="U70" i="9"/>
  <c r="W70" i="9" s="1"/>
  <c r="S70" i="9"/>
  <c r="R70" i="9"/>
  <c r="T70" i="9" s="1"/>
  <c r="O70" i="9"/>
  <c r="L70" i="9"/>
  <c r="I70" i="9"/>
  <c r="Q70" i="9" s="1"/>
  <c r="H70" i="9"/>
  <c r="N70" i="9" s="1"/>
  <c r="G70" i="9"/>
  <c r="P70" i="9" s="1"/>
  <c r="F70" i="9"/>
  <c r="E70" i="9"/>
  <c r="AA69" i="9"/>
  <c r="Y69" i="9"/>
  <c r="X69" i="9"/>
  <c r="V69" i="9"/>
  <c r="U69" i="9"/>
  <c r="W69" i="9" s="1"/>
  <c r="S69" i="9"/>
  <c r="R69" i="9"/>
  <c r="T69" i="9" s="1"/>
  <c r="O69" i="9"/>
  <c r="L69" i="9"/>
  <c r="I69" i="9"/>
  <c r="Q69" i="9" s="1"/>
  <c r="H69" i="9"/>
  <c r="N69" i="9" s="1"/>
  <c r="G69" i="9"/>
  <c r="P69" i="9" s="1"/>
  <c r="F69" i="9"/>
  <c r="E69" i="9"/>
  <c r="AA68" i="9"/>
  <c r="Y68" i="9"/>
  <c r="X68" i="9"/>
  <c r="V68" i="9"/>
  <c r="U68" i="9"/>
  <c r="W68" i="9" s="1"/>
  <c r="S68" i="9"/>
  <c r="R68" i="9"/>
  <c r="T68" i="9" s="1"/>
  <c r="O68" i="9"/>
  <c r="L68" i="9"/>
  <c r="I68" i="9"/>
  <c r="Q68" i="9" s="1"/>
  <c r="H68" i="9"/>
  <c r="N68" i="9" s="1"/>
  <c r="G68" i="9"/>
  <c r="P68" i="9" s="1"/>
  <c r="F68" i="9"/>
  <c r="E68" i="9"/>
  <c r="AA67" i="9"/>
  <c r="Y67" i="9"/>
  <c r="X67" i="9"/>
  <c r="Z67" i="9" s="1"/>
  <c r="V67" i="9"/>
  <c r="U67" i="9"/>
  <c r="W67" i="9" s="1"/>
  <c r="S67" i="9"/>
  <c r="R67" i="9"/>
  <c r="T67" i="9" s="1"/>
  <c r="O67" i="9"/>
  <c r="L67" i="9"/>
  <c r="I67" i="9"/>
  <c r="Q67" i="9" s="1"/>
  <c r="H67" i="9"/>
  <c r="N67" i="9" s="1"/>
  <c r="G67" i="9"/>
  <c r="P67" i="9" s="1"/>
  <c r="F67" i="9"/>
  <c r="E67" i="9"/>
  <c r="AA66" i="9"/>
  <c r="Y66" i="9"/>
  <c r="X66" i="9"/>
  <c r="V66" i="9"/>
  <c r="U66" i="9"/>
  <c r="W66" i="9" s="1"/>
  <c r="S66" i="9"/>
  <c r="R66" i="9"/>
  <c r="T66" i="9" s="1"/>
  <c r="O66" i="9"/>
  <c r="L66" i="9"/>
  <c r="I66" i="9"/>
  <c r="Q66" i="9" s="1"/>
  <c r="H66" i="9"/>
  <c r="N66" i="9" s="1"/>
  <c r="G66" i="9"/>
  <c r="P66" i="9" s="1"/>
  <c r="F66" i="9"/>
  <c r="E66" i="9"/>
  <c r="AA65" i="9"/>
  <c r="Y65" i="9"/>
  <c r="X65" i="9"/>
  <c r="AB65" i="9" s="1"/>
  <c r="V65" i="9"/>
  <c r="U65" i="9"/>
  <c r="W65" i="9" s="1"/>
  <c r="S65" i="9"/>
  <c r="R65" i="9"/>
  <c r="T65" i="9" s="1"/>
  <c r="O65" i="9"/>
  <c r="L65" i="9"/>
  <c r="I65" i="9"/>
  <c r="Q65" i="9" s="1"/>
  <c r="H65" i="9"/>
  <c r="N65" i="9" s="1"/>
  <c r="G65" i="9"/>
  <c r="P65" i="9" s="1"/>
  <c r="F65" i="9"/>
  <c r="E65" i="9"/>
  <c r="AA64" i="9"/>
  <c r="Y64" i="9"/>
  <c r="X64" i="9"/>
  <c r="Z64" i="9" s="1"/>
  <c r="V64" i="9"/>
  <c r="U64" i="9"/>
  <c r="W64" i="9" s="1"/>
  <c r="S64" i="9"/>
  <c r="R64" i="9"/>
  <c r="T64" i="9" s="1"/>
  <c r="O64" i="9"/>
  <c r="L64" i="9"/>
  <c r="I64" i="9"/>
  <c r="Q64" i="9" s="1"/>
  <c r="H64" i="9"/>
  <c r="N64" i="9" s="1"/>
  <c r="G64" i="9"/>
  <c r="P64" i="9" s="1"/>
  <c r="F64" i="9"/>
  <c r="E64" i="9"/>
  <c r="AA63" i="9"/>
  <c r="Y63" i="9"/>
  <c r="X63" i="9"/>
  <c r="V63" i="9"/>
  <c r="U63" i="9"/>
  <c r="W63" i="9" s="1"/>
  <c r="S63" i="9"/>
  <c r="R63" i="9"/>
  <c r="T63" i="9" s="1"/>
  <c r="O63" i="9"/>
  <c r="L63" i="9"/>
  <c r="I63" i="9"/>
  <c r="Q63" i="9" s="1"/>
  <c r="H63" i="9"/>
  <c r="N63" i="9" s="1"/>
  <c r="G63" i="9"/>
  <c r="P63" i="9" s="1"/>
  <c r="F63" i="9"/>
  <c r="E63" i="9"/>
  <c r="AA62" i="9"/>
  <c r="Y62" i="9"/>
  <c r="X62" i="9"/>
  <c r="V62" i="9"/>
  <c r="U62" i="9"/>
  <c r="W62" i="9" s="1"/>
  <c r="S62" i="9"/>
  <c r="R62" i="9"/>
  <c r="T62" i="9" s="1"/>
  <c r="O62" i="9"/>
  <c r="L62" i="9"/>
  <c r="I62" i="9"/>
  <c r="Q62" i="9" s="1"/>
  <c r="H62" i="9"/>
  <c r="N62" i="9" s="1"/>
  <c r="G62" i="9"/>
  <c r="P62" i="9" s="1"/>
  <c r="F62" i="9"/>
  <c r="E62" i="9"/>
  <c r="AA61" i="9"/>
  <c r="Y61" i="9"/>
  <c r="X61" i="9"/>
  <c r="V61" i="9"/>
  <c r="U61" i="9"/>
  <c r="W61" i="9" s="1"/>
  <c r="S61" i="9"/>
  <c r="R61" i="9"/>
  <c r="T61" i="9" s="1"/>
  <c r="O61" i="9"/>
  <c r="L61" i="9"/>
  <c r="I61" i="9"/>
  <c r="Q61" i="9" s="1"/>
  <c r="H61" i="9"/>
  <c r="N61" i="9" s="1"/>
  <c r="G61" i="9"/>
  <c r="P61" i="9" s="1"/>
  <c r="F61" i="9"/>
  <c r="E61" i="9"/>
  <c r="AA60" i="9"/>
  <c r="Y60" i="9"/>
  <c r="X60" i="9"/>
  <c r="V60" i="9"/>
  <c r="U60" i="9"/>
  <c r="W60" i="9" s="1"/>
  <c r="S60" i="9"/>
  <c r="R60" i="9"/>
  <c r="T60" i="9" s="1"/>
  <c r="O60" i="9"/>
  <c r="L60" i="9"/>
  <c r="I60" i="9"/>
  <c r="Q60" i="9" s="1"/>
  <c r="H60" i="9"/>
  <c r="N60" i="9" s="1"/>
  <c r="G60" i="9"/>
  <c r="P60" i="9" s="1"/>
  <c r="F60" i="9"/>
  <c r="E60" i="9"/>
  <c r="AA59" i="9"/>
  <c r="Y59" i="9"/>
  <c r="X59" i="9"/>
  <c r="V59" i="9"/>
  <c r="U59" i="9"/>
  <c r="W59" i="9" s="1"/>
  <c r="S59" i="9"/>
  <c r="R59" i="9"/>
  <c r="T59" i="9" s="1"/>
  <c r="O59" i="9"/>
  <c r="L59" i="9"/>
  <c r="I59" i="9"/>
  <c r="Q59" i="9" s="1"/>
  <c r="H59" i="9"/>
  <c r="N59" i="9" s="1"/>
  <c r="G59" i="9"/>
  <c r="P59" i="9" s="1"/>
  <c r="F59" i="9"/>
  <c r="E59" i="9"/>
  <c r="AA58" i="9"/>
  <c r="Y58" i="9"/>
  <c r="X58" i="9"/>
  <c r="V58" i="9"/>
  <c r="U58" i="9"/>
  <c r="W58" i="9" s="1"/>
  <c r="S58" i="9"/>
  <c r="R58" i="9"/>
  <c r="T58" i="9" s="1"/>
  <c r="O58" i="9"/>
  <c r="L58" i="9"/>
  <c r="I58" i="9"/>
  <c r="Q58" i="9" s="1"/>
  <c r="H58" i="9"/>
  <c r="N58" i="9" s="1"/>
  <c r="G58" i="9"/>
  <c r="F58" i="9"/>
  <c r="E58" i="9"/>
  <c r="AA57" i="9"/>
  <c r="Y57" i="9"/>
  <c r="X57" i="9"/>
  <c r="V57" i="9"/>
  <c r="U57" i="9"/>
  <c r="W57" i="9" s="1"/>
  <c r="S57" i="9"/>
  <c r="R57" i="9"/>
  <c r="T57" i="9" s="1"/>
  <c r="O57" i="9"/>
  <c r="L57" i="9"/>
  <c r="I57" i="9"/>
  <c r="Q57" i="9" s="1"/>
  <c r="H57" i="9"/>
  <c r="N57" i="9" s="1"/>
  <c r="G57" i="9"/>
  <c r="P57" i="9" s="1"/>
  <c r="F57" i="9"/>
  <c r="E57" i="9"/>
  <c r="AA56" i="9"/>
  <c r="Y56" i="9"/>
  <c r="X56" i="9"/>
  <c r="AB56" i="9" s="1"/>
  <c r="V56" i="9"/>
  <c r="U56" i="9"/>
  <c r="W56" i="9" s="1"/>
  <c r="S56" i="9"/>
  <c r="R56" i="9"/>
  <c r="T56" i="9" s="1"/>
  <c r="O56" i="9"/>
  <c r="L56" i="9"/>
  <c r="I56" i="9"/>
  <c r="Q56" i="9" s="1"/>
  <c r="H56" i="9"/>
  <c r="N56" i="9" s="1"/>
  <c r="G56" i="9"/>
  <c r="P56" i="9" s="1"/>
  <c r="F56" i="9"/>
  <c r="E56" i="9"/>
  <c r="AA55" i="9"/>
  <c r="Y55" i="9"/>
  <c r="X55" i="9"/>
  <c r="Z55" i="9" s="1"/>
  <c r="V55" i="9"/>
  <c r="U55" i="9"/>
  <c r="W55" i="9" s="1"/>
  <c r="S55" i="9"/>
  <c r="R55" i="9"/>
  <c r="T55" i="9" s="1"/>
  <c r="O55" i="9"/>
  <c r="L55" i="9"/>
  <c r="I55" i="9"/>
  <c r="Q55" i="9" s="1"/>
  <c r="H55" i="9"/>
  <c r="N55" i="9" s="1"/>
  <c r="G55" i="9"/>
  <c r="P55" i="9" s="1"/>
  <c r="F55" i="9"/>
  <c r="E55" i="9"/>
  <c r="AA54" i="9"/>
  <c r="Y54" i="9"/>
  <c r="X54" i="9"/>
  <c r="V54" i="9"/>
  <c r="U54" i="9"/>
  <c r="W54" i="9" s="1"/>
  <c r="S54" i="9"/>
  <c r="R54" i="9"/>
  <c r="T54" i="9" s="1"/>
  <c r="O54" i="9"/>
  <c r="L54" i="9"/>
  <c r="I54" i="9"/>
  <c r="Q54" i="9" s="1"/>
  <c r="H54" i="9"/>
  <c r="N54" i="9" s="1"/>
  <c r="G54" i="9"/>
  <c r="P54" i="9" s="1"/>
  <c r="F54" i="9"/>
  <c r="E54" i="9"/>
  <c r="AA53" i="9"/>
  <c r="Y53" i="9"/>
  <c r="X53" i="9"/>
  <c r="AB53" i="9" s="1"/>
  <c r="V53" i="9"/>
  <c r="U53" i="9"/>
  <c r="W53" i="9" s="1"/>
  <c r="S53" i="9"/>
  <c r="R53" i="9"/>
  <c r="T53" i="9" s="1"/>
  <c r="O53" i="9"/>
  <c r="L53" i="9"/>
  <c r="I53" i="9"/>
  <c r="Q53" i="9" s="1"/>
  <c r="H53" i="9"/>
  <c r="G53" i="9"/>
  <c r="P53" i="9" s="1"/>
  <c r="F53" i="9"/>
  <c r="E53" i="9"/>
  <c r="AA51" i="9"/>
  <c r="Y51" i="9"/>
  <c r="X51" i="9"/>
  <c r="V51" i="9"/>
  <c r="U51" i="9"/>
  <c r="W51" i="9" s="1"/>
  <c r="S51" i="9"/>
  <c r="R51" i="9"/>
  <c r="T51" i="9" s="1"/>
  <c r="O51" i="9"/>
  <c r="L51" i="9"/>
  <c r="I51" i="9"/>
  <c r="Q51" i="9" s="1"/>
  <c r="H51" i="9"/>
  <c r="N51" i="9" s="1"/>
  <c r="G51" i="9"/>
  <c r="P51" i="9" s="1"/>
  <c r="F51" i="9"/>
  <c r="E51" i="9"/>
  <c r="AA50" i="9"/>
  <c r="Y50" i="9"/>
  <c r="X50" i="9"/>
  <c r="AB50" i="9" s="1"/>
  <c r="V50" i="9"/>
  <c r="U50" i="9"/>
  <c r="W50" i="9" s="1"/>
  <c r="S50" i="9"/>
  <c r="R50" i="9"/>
  <c r="T50" i="9" s="1"/>
  <c r="O50" i="9"/>
  <c r="L50" i="9"/>
  <c r="I50" i="9"/>
  <c r="Q50" i="9" s="1"/>
  <c r="H50" i="9"/>
  <c r="N50" i="9" s="1"/>
  <c r="G50" i="9"/>
  <c r="P50" i="9" s="1"/>
  <c r="F50" i="9"/>
  <c r="E50" i="9"/>
  <c r="AA49" i="9"/>
  <c r="Y49" i="9"/>
  <c r="X49" i="9"/>
  <c r="V49" i="9"/>
  <c r="U49" i="9"/>
  <c r="W49" i="9" s="1"/>
  <c r="S49" i="9"/>
  <c r="R49" i="9"/>
  <c r="T49" i="9" s="1"/>
  <c r="O49" i="9"/>
  <c r="L49" i="9"/>
  <c r="I49" i="9"/>
  <c r="Q49" i="9" s="1"/>
  <c r="H49" i="9"/>
  <c r="N49" i="9" s="1"/>
  <c r="G49" i="9"/>
  <c r="P49" i="9" s="1"/>
  <c r="F49" i="9"/>
  <c r="E49" i="9"/>
  <c r="AA48" i="9"/>
  <c r="Y48" i="9"/>
  <c r="X48" i="9"/>
  <c r="Z48" i="9" s="1"/>
  <c r="V48" i="9"/>
  <c r="U48" i="9"/>
  <c r="S48" i="9"/>
  <c r="R48" i="9"/>
  <c r="T48" i="9" s="1"/>
  <c r="O48" i="9"/>
  <c r="L48" i="9"/>
  <c r="I48" i="9"/>
  <c r="Q48" i="9" s="1"/>
  <c r="H48" i="9"/>
  <c r="N48" i="9" s="1"/>
  <c r="G48" i="9"/>
  <c r="P48" i="9" s="1"/>
  <c r="F48" i="9"/>
  <c r="E48" i="9"/>
  <c r="AA47" i="9"/>
  <c r="Y47" i="9"/>
  <c r="X47" i="9"/>
  <c r="AB47" i="9" s="1"/>
  <c r="V47" i="9"/>
  <c r="U47" i="9"/>
  <c r="W47" i="9" s="1"/>
  <c r="S47" i="9"/>
  <c r="R47" i="9"/>
  <c r="T47" i="9" s="1"/>
  <c r="O47" i="9"/>
  <c r="L47" i="9"/>
  <c r="I47" i="9"/>
  <c r="Q47" i="9" s="1"/>
  <c r="H47" i="9"/>
  <c r="N47" i="9" s="1"/>
  <c r="G47" i="9"/>
  <c r="P47" i="9" s="1"/>
  <c r="F47" i="9"/>
  <c r="E47" i="9"/>
  <c r="AA46" i="9"/>
  <c r="Y46" i="9"/>
  <c r="X46" i="9"/>
  <c r="V46" i="9"/>
  <c r="U46" i="9"/>
  <c r="S46" i="9"/>
  <c r="R46" i="9"/>
  <c r="O46" i="9"/>
  <c r="L46" i="9"/>
  <c r="I46" i="9"/>
  <c r="Q46" i="9" s="1"/>
  <c r="H46" i="9"/>
  <c r="G46" i="9"/>
  <c r="P46" i="9" s="1"/>
  <c r="F46" i="9"/>
  <c r="E46" i="9"/>
  <c r="AA45" i="9"/>
  <c r="Y45" i="9"/>
  <c r="X45" i="9"/>
  <c r="V45" i="9"/>
  <c r="U45" i="9"/>
  <c r="S45" i="9"/>
  <c r="R45" i="9"/>
  <c r="O45" i="9"/>
  <c r="L45" i="9"/>
  <c r="I45" i="9"/>
  <c r="Q45" i="9" s="1"/>
  <c r="H45" i="9"/>
  <c r="G45" i="9"/>
  <c r="P45" i="9" s="1"/>
  <c r="F45" i="9"/>
  <c r="E45" i="9"/>
  <c r="AA44" i="9"/>
  <c r="Y44" i="9"/>
  <c r="X44" i="9"/>
  <c r="V44" i="9"/>
  <c r="U44" i="9"/>
  <c r="W44" i="9" s="1"/>
  <c r="S44" i="9"/>
  <c r="R44" i="9"/>
  <c r="T44" i="9" s="1"/>
  <c r="O44" i="9"/>
  <c r="L44" i="9"/>
  <c r="I44" i="9"/>
  <c r="Q44" i="9" s="1"/>
  <c r="H44" i="9"/>
  <c r="N44" i="9" s="1"/>
  <c r="G44" i="9"/>
  <c r="P44" i="9" s="1"/>
  <c r="F44" i="9"/>
  <c r="E44" i="9"/>
  <c r="AA43" i="9"/>
  <c r="Y43" i="9"/>
  <c r="X43" i="9"/>
  <c r="V43" i="9"/>
  <c r="U43" i="9"/>
  <c r="W43" i="9" s="1"/>
  <c r="S43" i="9"/>
  <c r="R43" i="9"/>
  <c r="T43" i="9" s="1"/>
  <c r="O43" i="9"/>
  <c r="L43" i="9"/>
  <c r="I43" i="9"/>
  <c r="Q43" i="9" s="1"/>
  <c r="H43" i="9"/>
  <c r="N43" i="9" s="1"/>
  <c r="G43" i="9"/>
  <c r="P43" i="9" s="1"/>
  <c r="F43" i="9"/>
  <c r="E43" i="9"/>
  <c r="AA42" i="9"/>
  <c r="Y42" i="9"/>
  <c r="X42" i="9"/>
  <c r="V42" i="9"/>
  <c r="U42" i="9"/>
  <c r="S42" i="9"/>
  <c r="R42" i="9"/>
  <c r="O42" i="9"/>
  <c r="L42" i="9"/>
  <c r="I42" i="9"/>
  <c r="Q42" i="9" s="1"/>
  <c r="H42" i="9"/>
  <c r="G42" i="9"/>
  <c r="P42" i="9" s="1"/>
  <c r="F42" i="9"/>
  <c r="E42" i="9"/>
  <c r="AA41" i="9"/>
  <c r="Y41" i="9"/>
  <c r="X41" i="9"/>
  <c r="AB41" i="9" s="1"/>
  <c r="V41" i="9"/>
  <c r="U41" i="9"/>
  <c r="W41" i="9" s="1"/>
  <c r="S41" i="9"/>
  <c r="R41" i="9"/>
  <c r="T41" i="9" s="1"/>
  <c r="O41" i="9"/>
  <c r="L41" i="9"/>
  <c r="I41" i="9"/>
  <c r="Q41" i="9" s="1"/>
  <c r="H41" i="9"/>
  <c r="N41" i="9" s="1"/>
  <c r="G41" i="9"/>
  <c r="P41" i="9" s="1"/>
  <c r="F41" i="9"/>
  <c r="E41" i="9"/>
  <c r="AA40" i="9"/>
  <c r="Y40" i="9"/>
  <c r="X40" i="9"/>
  <c r="AB40" i="9" s="1"/>
  <c r="V40" i="9"/>
  <c r="U40" i="9"/>
  <c r="W40" i="9" s="1"/>
  <c r="S40" i="9"/>
  <c r="R40" i="9"/>
  <c r="T40" i="9" s="1"/>
  <c r="O40" i="9"/>
  <c r="L40" i="9"/>
  <c r="I40" i="9"/>
  <c r="Q40" i="9" s="1"/>
  <c r="H40" i="9"/>
  <c r="N40" i="9" s="1"/>
  <c r="G40" i="9"/>
  <c r="F40" i="9"/>
  <c r="E40" i="9"/>
  <c r="AA39" i="9"/>
  <c r="Y39" i="9"/>
  <c r="X39" i="9"/>
  <c r="Z39" i="9" s="1"/>
  <c r="V39" i="9"/>
  <c r="U39" i="9"/>
  <c r="W39" i="9" s="1"/>
  <c r="S39" i="9"/>
  <c r="R39" i="9"/>
  <c r="T39" i="9" s="1"/>
  <c r="O39" i="9"/>
  <c r="L39" i="9"/>
  <c r="I39" i="9"/>
  <c r="Q39" i="9" s="1"/>
  <c r="H39" i="9"/>
  <c r="N39" i="9" s="1"/>
  <c r="G39" i="9"/>
  <c r="P39" i="9" s="1"/>
  <c r="F39" i="9"/>
  <c r="E39" i="9"/>
  <c r="AA38" i="9"/>
  <c r="Y38" i="9"/>
  <c r="X38" i="9"/>
  <c r="V38" i="9"/>
  <c r="U38" i="9"/>
  <c r="W38" i="9" s="1"/>
  <c r="S38" i="9"/>
  <c r="R38" i="9"/>
  <c r="T38" i="9" s="1"/>
  <c r="O38" i="9"/>
  <c r="L38" i="9"/>
  <c r="I38" i="9"/>
  <c r="Q38" i="9" s="1"/>
  <c r="H38" i="9"/>
  <c r="N38" i="9" s="1"/>
  <c r="G38" i="9"/>
  <c r="P38" i="9" s="1"/>
  <c r="F38" i="9"/>
  <c r="E38" i="9"/>
  <c r="AA37" i="9"/>
  <c r="Y37" i="9"/>
  <c r="X37" i="9"/>
  <c r="Z37" i="9" s="1"/>
  <c r="V37" i="9"/>
  <c r="U37" i="9"/>
  <c r="W37" i="9" s="1"/>
  <c r="S37" i="9"/>
  <c r="R37" i="9"/>
  <c r="T37" i="9" s="1"/>
  <c r="O37" i="9"/>
  <c r="L37" i="9"/>
  <c r="I37" i="9"/>
  <c r="Q37" i="9" s="1"/>
  <c r="H37" i="9"/>
  <c r="N37" i="9" s="1"/>
  <c r="G37" i="9"/>
  <c r="P37" i="9" s="1"/>
  <c r="F37" i="9"/>
  <c r="E37" i="9"/>
  <c r="AA36" i="9"/>
  <c r="Y36" i="9"/>
  <c r="X36" i="9"/>
  <c r="V36" i="9"/>
  <c r="U36" i="9"/>
  <c r="S36" i="9"/>
  <c r="R36" i="9"/>
  <c r="O36" i="9"/>
  <c r="L36" i="9"/>
  <c r="I36" i="9"/>
  <c r="Q36" i="9" s="1"/>
  <c r="H36" i="9"/>
  <c r="G36" i="9"/>
  <c r="P36" i="9" s="1"/>
  <c r="F36" i="9"/>
  <c r="E36" i="9"/>
  <c r="AA35" i="9"/>
  <c r="Y35" i="9"/>
  <c r="X35" i="9"/>
  <c r="V35" i="9"/>
  <c r="U35" i="9"/>
  <c r="W35" i="9" s="1"/>
  <c r="S35" i="9"/>
  <c r="R35" i="9"/>
  <c r="T35" i="9" s="1"/>
  <c r="O35" i="9"/>
  <c r="L35" i="9"/>
  <c r="I35" i="9"/>
  <c r="Q35" i="9" s="1"/>
  <c r="H35" i="9"/>
  <c r="N35" i="9" s="1"/>
  <c r="G35" i="9"/>
  <c r="P35" i="9" s="1"/>
  <c r="F35" i="9"/>
  <c r="E35" i="9"/>
  <c r="AA34" i="9"/>
  <c r="Y34" i="9"/>
  <c r="X34" i="9"/>
  <c r="V34" i="9"/>
  <c r="U34" i="9"/>
  <c r="S34" i="9"/>
  <c r="R34" i="9"/>
  <c r="O34" i="9"/>
  <c r="L34" i="9"/>
  <c r="I34" i="9"/>
  <c r="Q34" i="9" s="1"/>
  <c r="H34" i="9"/>
  <c r="G34" i="9"/>
  <c r="P34" i="9" s="1"/>
  <c r="F34" i="9"/>
  <c r="E34" i="9"/>
  <c r="AA33" i="9"/>
  <c r="Y33" i="9"/>
  <c r="X33" i="9"/>
  <c r="V33" i="9"/>
  <c r="U33" i="9"/>
  <c r="W33" i="9" s="1"/>
  <c r="S33" i="9"/>
  <c r="R33" i="9"/>
  <c r="T33" i="9" s="1"/>
  <c r="O33" i="9"/>
  <c r="L33" i="9"/>
  <c r="I33" i="9"/>
  <c r="Q33" i="9" s="1"/>
  <c r="H33" i="9"/>
  <c r="N33" i="9" s="1"/>
  <c r="G33" i="9"/>
  <c r="P33" i="9" s="1"/>
  <c r="F33" i="9"/>
  <c r="E33" i="9"/>
  <c r="AA32" i="9"/>
  <c r="Y32" i="9"/>
  <c r="X32" i="9"/>
  <c r="V32" i="9"/>
  <c r="U32" i="9"/>
  <c r="S32" i="9"/>
  <c r="R32" i="9"/>
  <c r="O32" i="9"/>
  <c r="L32" i="9"/>
  <c r="I32" i="9"/>
  <c r="Q32" i="9" s="1"/>
  <c r="H32" i="9"/>
  <c r="G32" i="9"/>
  <c r="P32" i="9" s="1"/>
  <c r="F32" i="9"/>
  <c r="E32" i="9"/>
  <c r="AA30" i="9"/>
  <c r="Y30" i="9"/>
  <c r="X30" i="9"/>
  <c r="V30" i="9"/>
  <c r="U30" i="9"/>
  <c r="S30" i="9"/>
  <c r="R30" i="9"/>
  <c r="O30" i="9"/>
  <c r="L30" i="9"/>
  <c r="I30" i="9"/>
  <c r="Q30" i="9" s="1"/>
  <c r="H30" i="9"/>
  <c r="G30" i="9"/>
  <c r="P30" i="9" s="1"/>
  <c r="F30" i="9"/>
  <c r="E30" i="9"/>
  <c r="AA29" i="9"/>
  <c r="Y29" i="9"/>
  <c r="X29" i="9"/>
  <c r="V29" i="9"/>
  <c r="U29" i="9"/>
  <c r="S29" i="9"/>
  <c r="R29" i="9"/>
  <c r="O29" i="9"/>
  <c r="L29" i="9"/>
  <c r="I29" i="9"/>
  <c r="Q29" i="9" s="1"/>
  <c r="H29" i="9"/>
  <c r="G29" i="9"/>
  <c r="P29" i="9" s="1"/>
  <c r="F29" i="9"/>
  <c r="E29" i="9"/>
  <c r="AA28" i="9"/>
  <c r="Y28" i="9"/>
  <c r="X28" i="9"/>
  <c r="V28" i="9"/>
  <c r="U28" i="9"/>
  <c r="S28" i="9"/>
  <c r="R28" i="9"/>
  <c r="O28" i="9"/>
  <c r="L28" i="9"/>
  <c r="I28" i="9"/>
  <c r="Q28" i="9" s="1"/>
  <c r="H28" i="9"/>
  <c r="G28" i="9"/>
  <c r="P28" i="9" s="1"/>
  <c r="F28" i="9"/>
  <c r="E28" i="9"/>
  <c r="AA27" i="9"/>
  <c r="Y27" i="9"/>
  <c r="X27" i="9"/>
  <c r="V27" i="9"/>
  <c r="U27" i="9"/>
  <c r="S27" i="9"/>
  <c r="R27" i="9"/>
  <c r="O27" i="9"/>
  <c r="L27" i="9"/>
  <c r="I27" i="9"/>
  <c r="Q27" i="9" s="1"/>
  <c r="H27" i="9"/>
  <c r="G27" i="9"/>
  <c r="P27" i="9" s="1"/>
  <c r="F27" i="9"/>
  <c r="E27" i="9"/>
  <c r="AA26" i="9"/>
  <c r="Y26" i="9"/>
  <c r="X26" i="9"/>
  <c r="V26" i="9"/>
  <c r="U26" i="9"/>
  <c r="S26" i="9"/>
  <c r="R26" i="9"/>
  <c r="O26" i="9"/>
  <c r="L26" i="9"/>
  <c r="I26" i="9"/>
  <c r="Q26" i="9" s="1"/>
  <c r="H26" i="9"/>
  <c r="G26" i="9"/>
  <c r="P26" i="9" s="1"/>
  <c r="F26" i="9"/>
  <c r="E26" i="9"/>
  <c r="AA25" i="9"/>
  <c r="Y25" i="9"/>
  <c r="X25" i="9"/>
  <c r="V25" i="9"/>
  <c r="U25" i="9"/>
  <c r="S25" i="9"/>
  <c r="R25" i="9"/>
  <c r="O25" i="9"/>
  <c r="L25" i="9"/>
  <c r="I25" i="9"/>
  <c r="Q25" i="9" s="1"/>
  <c r="H25" i="9"/>
  <c r="G25" i="9"/>
  <c r="P25" i="9" s="1"/>
  <c r="F25" i="9"/>
  <c r="E25" i="9"/>
  <c r="AA24" i="9"/>
  <c r="Y24" i="9"/>
  <c r="X24" i="9"/>
  <c r="V24" i="9"/>
  <c r="U24" i="9"/>
  <c r="S24" i="9"/>
  <c r="R24" i="9"/>
  <c r="O24" i="9"/>
  <c r="L24" i="9"/>
  <c r="I24" i="9"/>
  <c r="Q24" i="9" s="1"/>
  <c r="H24" i="9"/>
  <c r="G24" i="9"/>
  <c r="P24" i="9" s="1"/>
  <c r="F24" i="9"/>
  <c r="E24" i="9"/>
  <c r="AA23" i="9"/>
  <c r="Y23" i="9"/>
  <c r="X23" i="9"/>
  <c r="V23" i="9"/>
  <c r="U23" i="9"/>
  <c r="S23" i="9"/>
  <c r="R23" i="9"/>
  <c r="O23" i="9"/>
  <c r="L23" i="9"/>
  <c r="I23" i="9"/>
  <c r="Q23" i="9" s="1"/>
  <c r="H23" i="9"/>
  <c r="G23" i="9"/>
  <c r="P23" i="9" s="1"/>
  <c r="F23" i="9"/>
  <c r="E23" i="9"/>
  <c r="AA22" i="9"/>
  <c r="Y22" i="9"/>
  <c r="X22" i="9"/>
  <c r="V22" i="9"/>
  <c r="U22" i="9"/>
  <c r="S22" i="9"/>
  <c r="R22" i="9"/>
  <c r="O22" i="9"/>
  <c r="L22" i="9"/>
  <c r="I22" i="9"/>
  <c r="Q22" i="9" s="1"/>
  <c r="H22" i="9"/>
  <c r="G22" i="9"/>
  <c r="P22" i="9" s="1"/>
  <c r="F22" i="9"/>
  <c r="E22" i="9"/>
  <c r="AA21" i="9"/>
  <c r="Y21" i="9"/>
  <c r="X21" i="9"/>
  <c r="V21" i="9"/>
  <c r="U21" i="9"/>
  <c r="S21" i="9"/>
  <c r="R21" i="9"/>
  <c r="O21" i="9"/>
  <c r="L21" i="9"/>
  <c r="I21" i="9"/>
  <c r="Q21" i="9" s="1"/>
  <c r="H21" i="9"/>
  <c r="G21" i="9"/>
  <c r="P21" i="9" s="1"/>
  <c r="F21" i="9"/>
  <c r="E21" i="9"/>
  <c r="AA20" i="9"/>
  <c r="Y20" i="9"/>
  <c r="X20" i="9"/>
  <c r="V20" i="9"/>
  <c r="U20" i="9"/>
  <c r="S20" i="9"/>
  <c r="R20" i="9"/>
  <c r="O20" i="9"/>
  <c r="L20" i="9"/>
  <c r="I20" i="9"/>
  <c r="Q20" i="9" s="1"/>
  <c r="H20" i="9"/>
  <c r="G20" i="9"/>
  <c r="P20" i="9" s="1"/>
  <c r="F20" i="9"/>
  <c r="E20" i="9"/>
  <c r="AA19" i="9"/>
  <c r="Y19" i="9"/>
  <c r="X19" i="9"/>
  <c r="V19" i="9"/>
  <c r="U19" i="9"/>
  <c r="S19" i="9"/>
  <c r="R19" i="9"/>
  <c r="O19" i="9"/>
  <c r="L19" i="9"/>
  <c r="I19" i="9"/>
  <c r="Q19" i="9" s="1"/>
  <c r="H19" i="9"/>
  <c r="G19" i="9"/>
  <c r="P19" i="9" s="1"/>
  <c r="F19" i="9"/>
  <c r="E19" i="9"/>
  <c r="AA18" i="9"/>
  <c r="Y18" i="9"/>
  <c r="X18" i="9"/>
  <c r="V18" i="9"/>
  <c r="U18" i="9"/>
  <c r="S18" i="9"/>
  <c r="R18" i="9"/>
  <c r="O18" i="9"/>
  <c r="L18" i="9"/>
  <c r="I18" i="9"/>
  <c r="Q18" i="9" s="1"/>
  <c r="H18" i="9"/>
  <c r="G18" i="9"/>
  <c r="P18" i="9" s="1"/>
  <c r="F18" i="9"/>
  <c r="E18" i="9"/>
  <c r="AA17" i="9"/>
  <c r="Y17" i="9"/>
  <c r="X17" i="9"/>
  <c r="V17" i="9"/>
  <c r="U17" i="9"/>
  <c r="S17" i="9"/>
  <c r="R17" i="9"/>
  <c r="O17" i="9"/>
  <c r="L17" i="9"/>
  <c r="I17" i="9"/>
  <c r="Q17" i="9" s="1"/>
  <c r="H17" i="9"/>
  <c r="G17" i="9"/>
  <c r="P17" i="9" s="1"/>
  <c r="F17" i="9"/>
  <c r="E17" i="9"/>
  <c r="AA16" i="9"/>
  <c r="Y16" i="9"/>
  <c r="X16" i="9"/>
  <c r="V16" i="9"/>
  <c r="U16" i="9"/>
  <c r="S16" i="9"/>
  <c r="R16" i="9"/>
  <c r="O16" i="9"/>
  <c r="L16" i="9"/>
  <c r="I16" i="9"/>
  <c r="Q16" i="9" s="1"/>
  <c r="H16" i="9"/>
  <c r="G16" i="9"/>
  <c r="P16" i="9" s="1"/>
  <c r="F16" i="9"/>
  <c r="E16" i="9"/>
  <c r="AA15" i="9"/>
  <c r="Y15" i="9"/>
  <c r="X15" i="9"/>
  <c r="V15" i="9"/>
  <c r="U15" i="9"/>
  <c r="S15" i="9"/>
  <c r="R15" i="9"/>
  <c r="O15" i="9"/>
  <c r="L15" i="9"/>
  <c r="I15" i="9"/>
  <c r="Q15" i="9" s="1"/>
  <c r="H15" i="9"/>
  <c r="G15" i="9"/>
  <c r="P15" i="9" s="1"/>
  <c r="F15" i="9"/>
  <c r="E15" i="9"/>
  <c r="AA14" i="9"/>
  <c r="Y14" i="9"/>
  <c r="X14" i="9"/>
  <c r="V14" i="9"/>
  <c r="U14" i="9"/>
  <c r="S14" i="9"/>
  <c r="R14" i="9"/>
  <c r="O14" i="9"/>
  <c r="L14" i="9"/>
  <c r="I14" i="9"/>
  <c r="Q14" i="9" s="1"/>
  <c r="H14" i="9"/>
  <c r="G14" i="9"/>
  <c r="P14" i="9" s="1"/>
  <c r="F14" i="9"/>
  <c r="E14" i="9"/>
  <c r="AB9" i="9"/>
  <c r="V106" i="8"/>
  <c r="U106" i="8"/>
  <c r="O106" i="8"/>
  <c r="L106" i="8"/>
  <c r="I106" i="8"/>
  <c r="Q106" i="8" s="1"/>
  <c r="H106" i="8"/>
  <c r="N106" i="8" s="1"/>
  <c r="G106" i="8"/>
  <c r="P106" i="8" s="1"/>
  <c r="F106" i="8"/>
  <c r="E106" i="8"/>
  <c r="V105" i="8"/>
  <c r="U105" i="8"/>
  <c r="O105" i="8"/>
  <c r="L105" i="8"/>
  <c r="I105" i="8"/>
  <c r="Q105" i="8" s="1"/>
  <c r="H105" i="8"/>
  <c r="N105" i="8" s="1"/>
  <c r="G105" i="8"/>
  <c r="P105" i="8" s="1"/>
  <c r="F105" i="8"/>
  <c r="E105" i="8"/>
  <c r="V104" i="8"/>
  <c r="U104" i="8"/>
  <c r="O104" i="8"/>
  <c r="L104" i="8"/>
  <c r="I104" i="8"/>
  <c r="Q104" i="8" s="1"/>
  <c r="H104" i="8"/>
  <c r="G104" i="8"/>
  <c r="F104" i="8"/>
  <c r="E104" i="8"/>
  <c r="V103" i="8"/>
  <c r="U103" i="8"/>
  <c r="O103" i="8"/>
  <c r="L103" i="8"/>
  <c r="I103" i="8"/>
  <c r="Q103" i="8" s="1"/>
  <c r="H103" i="8"/>
  <c r="N103" i="8" s="1"/>
  <c r="G103" i="8"/>
  <c r="P103" i="8" s="1"/>
  <c r="F103" i="8"/>
  <c r="E103" i="8"/>
  <c r="V102" i="8"/>
  <c r="U102" i="8"/>
  <c r="O102" i="8"/>
  <c r="L102" i="8"/>
  <c r="I102" i="8"/>
  <c r="Q102" i="8" s="1"/>
  <c r="H102" i="8"/>
  <c r="N102" i="8" s="1"/>
  <c r="G102" i="8"/>
  <c r="P102" i="8" s="1"/>
  <c r="F102" i="8"/>
  <c r="E102" i="8"/>
  <c r="V101" i="8"/>
  <c r="U101" i="8"/>
  <c r="O101" i="8"/>
  <c r="L101" i="8"/>
  <c r="I101" i="8"/>
  <c r="Q101" i="8" s="1"/>
  <c r="H101" i="8"/>
  <c r="G101" i="8"/>
  <c r="P101" i="8" s="1"/>
  <c r="F101" i="8"/>
  <c r="E101" i="8"/>
  <c r="V100" i="8"/>
  <c r="U100" i="8"/>
  <c r="O100" i="8"/>
  <c r="L100" i="8"/>
  <c r="I100" i="8"/>
  <c r="Q100" i="8" s="1"/>
  <c r="H100" i="8"/>
  <c r="N100" i="8" s="1"/>
  <c r="G100" i="8"/>
  <c r="P100" i="8" s="1"/>
  <c r="F100" i="8"/>
  <c r="E100" i="8"/>
  <c r="V99" i="8"/>
  <c r="U99" i="8"/>
  <c r="O99" i="8"/>
  <c r="L99" i="8"/>
  <c r="I99" i="8"/>
  <c r="Q99" i="8" s="1"/>
  <c r="H99" i="8"/>
  <c r="N99" i="8" s="1"/>
  <c r="G99" i="8"/>
  <c r="P99" i="8" s="1"/>
  <c r="F99" i="8"/>
  <c r="E99" i="8"/>
  <c r="V98" i="8"/>
  <c r="U98" i="8"/>
  <c r="O98" i="8"/>
  <c r="L98" i="8"/>
  <c r="I98" i="8"/>
  <c r="Q98" i="8" s="1"/>
  <c r="H98" i="8"/>
  <c r="N98" i="8" s="1"/>
  <c r="G98" i="8"/>
  <c r="P98" i="8" s="1"/>
  <c r="F98" i="8"/>
  <c r="E98" i="8"/>
  <c r="V97" i="8"/>
  <c r="U97" i="8"/>
  <c r="O97" i="8"/>
  <c r="L97" i="8"/>
  <c r="I97" i="8"/>
  <c r="Q97" i="8" s="1"/>
  <c r="H97" i="8"/>
  <c r="N97" i="8" s="1"/>
  <c r="G97" i="8"/>
  <c r="P97" i="8" s="1"/>
  <c r="F97" i="8"/>
  <c r="E97" i="8"/>
  <c r="V96" i="8"/>
  <c r="U96" i="8"/>
  <c r="O96" i="8"/>
  <c r="L96" i="8"/>
  <c r="I96" i="8"/>
  <c r="Q96" i="8" s="1"/>
  <c r="H96" i="8"/>
  <c r="N96" i="8" s="1"/>
  <c r="G96" i="8"/>
  <c r="P96" i="8" s="1"/>
  <c r="F96" i="8"/>
  <c r="E96" i="8"/>
  <c r="V95" i="8"/>
  <c r="U95" i="8"/>
  <c r="O95" i="8"/>
  <c r="L95" i="8"/>
  <c r="I95" i="8"/>
  <c r="Q95" i="8" s="1"/>
  <c r="H95" i="8"/>
  <c r="N95" i="8" s="1"/>
  <c r="G95" i="8"/>
  <c r="P95" i="8" s="1"/>
  <c r="F95" i="8"/>
  <c r="E95" i="8"/>
  <c r="V94" i="8"/>
  <c r="U94" i="8"/>
  <c r="O94" i="8"/>
  <c r="L94" i="8"/>
  <c r="I94" i="8"/>
  <c r="Q94" i="8" s="1"/>
  <c r="H94" i="8"/>
  <c r="N94" i="8" s="1"/>
  <c r="G94" i="8"/>
  <c r="P94" i="8" s="1"/>
  <c r="F94" i="8"/>
  <c r="E94" i="8"/>
  <c r="V93" i="8"/>
  <c r="U93" i="8"/>
  <c r="O93" i="8"/>
  <c r="L93" i="8"/>
  <c r="I93" i="8"/>
  <c r="Q93" i="8" s="1"/>
  <c r="H93" i="8"/>
  <c r="G93" i="8"/>
  <c r="P93" i="8" s="1"/>
  <c r="F93" i="8"/>
  <c r="E93" i="8"/>
  <c r="V92" i="8"/>
  <c r="U92" i="8"/>
  <c r="O92" i="8"/>
  <c r="L92" i="8"/>
  <c r="I92" i="8"/>
  <c r="Q92" i="8" s="1"/>
  <c r="H92" i="8"/>
  <c r="N92" i="8" s="1"/>
  <c r="G92" i="8"/>
  <c r="P92" i="8" s="1"/>
  <c r="F92" i="8"/>
  <c r="E92" i="8"/>
  <c r="V91" i="8"/>
  <c r="U91" i="8"/>
  <c r="O91" i="8"/>
  <c r="L91" i="8"/>
  <c r="I91" i="8"/>
  <c r="H91" i="8"/>
  <c r="N91" i="8" s="1"/>
  <c r="G91" i="8"/>
  <c r="P91" i="8" s="1"/>
  <c r="F91" i="8"/>
  <c r="E91" i="8"/>
  <c r="V90" i="8"/>
  <c r="U90" i="8"/>
  <c r="O90" i="8"/>
  <c r="L90" i="8"/>
  <c r="I90" i="8"/>
  <c r="Q90" i="8" s="1"/>
  <c r="H90" i="8"/>
  <c r="N90" i="8" s="1"/>
  <c r="G90" i="8"/>
  <c r="P90" i="8" s="1"/>
  <c r="F90" i="8"/>
  <c r="E90" i="8"/>
  <c r="T89" i="8"/>
  <c r="S89" i="8"/>
  <c r="V89" i="8" s="1"/>
  <c r="R89" i="8"/>
  <c r="U89" i="8" s="1"/>
  <c r="X88" i="8"/>
  <c r="W88" i="8"/>
  <c r="T88" i="8"/>
  <c r="S88" i="8"/>
  <c r="V88" i="8" s="1"/>
  <c r="R88" i="8"/>
  <c r="O88" i="8"/>
  <c r="L88" i="8"/>
  <c r="I88" i="8"/>
  <c r="Q88" i="8" s="1"/>
  <c r="H88" i="8"/>
  <c r="N88" i="8" s="1"/>
  <c r="G88" i="8"/>
  <c r="P88" i="8" s="1"/>
  <c r="F88" i="8"/>
  <c r="E88" i="8"/>
  <c r="X87" i="8"/>
  <c r="W87" i="8"/>
  <c r="T87" i="8"/>
  <c r="S87" i="8"/>
  <c r="V87" i="8" s="1"/>
  <c r="R87" i="8"/>
  <c r="O87" i="8"/>
  <c r="L87" i="8"/>
  <c r="I87" i="8"/>
  <c r="Q87" i="8" s="1"/>
  <c r="H87" i="8"/>
  <c r="N87" i="8" s="1"/>
  <c r="G87" i="8"/>
  <c r="P87" i="8" s="1"/>
  <c r="F87" i="8"/>
  <c r="E87" i="8"/>
  <c r="X86" i="8"/>
  <c r="W86" i="8"/>
  <c r="T86" i="8"/>
  <c r="S86" i="8"/>
  <c r="V86" i="8" s="1"/>
  <c r="R86" i="8"/>
  <c r="O86" i="8"/>
  <c r="L86" i="8"/>
  <c r="I86" i="8"/>
  <c r="Q86" i="8" s="1"/>
  <c r="H86" i="8"/>
  <c r="N86" i="8" s="1"/>
  <c r="G86" i="8"/>
  <c r="P86" i="8" s="1"/>
  <c r="F86" i="8"/>
  <c r="E86" i="8"/>
  <c r="X85" i="8"/>
  <c r="W85" i="8"/>
  <c r="T85" i="8"/>
  <c r="S85" i="8"/>
  <c r="V85" i="8" s="1"/>
  <c r="R85" i="8"/>
  <c r="O85" i="8"/>
  <c r="L85" i="8"/>
  <c r="I85" i="8"/>
  <c r="Q85" i="8" s="1"/>
  <c r="H85" i="8"/>
  <c r="N85" i="8" s="1"/>
  <c r="G85" i="8"/>
  <c r="P85" i="8" s="1"/>
  <c r="F85" i="8"/>
  <c r="E85" i="8"/>
  <c r="X84" i="8"/>
  <c r="W84" i="8"/>
  <c r="T84" i="8"/>
  <c r="S84" i="8"/>
  <c r="V84" i="8" s="1"/>
  <c r="R84" i="8"/>
  <c r="O84" i="8"/>
  <c r="L84" i="8"/>
  <c r="I84" i="8"/>
  <c r="Q84" i="8" s="1"/>
  <c r="H84" i="8"/>
  <c r="N84" i="8" s="1"/>
  <c r="G84" i="8"/>
  <c r="P84" i="8" s="1"/>
  <c r="F84" i="8"/>
  <c r="E84" i="8"/>
  <c r="X83" i="8"/>
  <c r="W83" i="8"/>
  <c r="T83" i="8"/>
  <c r="S83" i="8"/>
  <c r="V83" i="8" s="1"/>
  <c r="R83" i="8"/>
  <c r="O83" i="8"/>
  <c r="L83" i="8"/>
  <c r="I83" i="8"/>
  <c r="Q83" i="8" s="1"/>
  <c r="H83" i="8"/>
  <c r="N83" i="8" s="1"/>
  <c r="G83" i="8"/>
  <c r="P83" i="8" s="1"/>
  <c r="F83" i="8"/>
  <c r="E83" i="8"/>
  <c r="X82" i="8"/>
  <c r="W82" i="8"/>
  <c r="T82" i="8"/>
  <c r="S82" i="8"/>
  <c r="V82" i="8" s="1"/>
  <c r="R82" i="8"/>
  <c r="O82" i="8"/>
  <c r="L82" i="8"/>
  <c r="I82" i="8"/>
  <c r="Q82" i="8" s="1"/>
  <c r="H82" i="8"/>
  <c r="N82" i="8" s="1"/>
  <c r="G82" i="8"/>
  <c r="P82" i="8" s="1"/>
  <c r="F82" i="8"/>
  <c r="E82" i="8"/>
  <c r="X81" i="8"/>
  <c r="W81" i="8"/>
  <c r="T81" i="8"/>
  <c r="S81" i="8"/>
  <c r="V81" i="8" s="1"/>
  <c r="R81" i="8"/>
  <c r="O81" i="8"/>
  <c r="L81" i="8"/>
  <c r="I81" i="8"/>
  <c r="Q81" i="8" s="1"/>
  <c r="H81" i="8"/>
  <c r="N81" i="8" s="1"/>
  <c r="G81" i="8"/>
  <c r="P81" i="8" s="1"/>
  <c r="F81" i="8"/>
  <c r="E81" i="8"/>
  <c r="X80" i="8"/>
  <c r="W80" i="8"/>
  <c r="T80" i="8"/>
  <c r="S80" i="8"/>
  <c r="V80" i="8" s="1"/>
  <c r="R80" i="8"/>
  <c r="O80" i="8"/>
  <c r="L80" i="8"/>
  <c r="I80" i="8"/>
  <c r="Q80" i="8" s="1"/>
  <c r="H80" i="8"/>
  <c r="N80" i="8" s="1"/>
  <c r="G80" i="8"/>
  <c r="P80" i="8" s="1"/>
  <c r="F80" i="8"/>
  <c r="E80" i="8"/>
  <c r="X79" i="8"/>
  <c r="W79" i="8"/>
  <c r="T79" i="8"/>
  <c r="S79" i="8"/>
  <c r="V79" i="8" s="1"/>
  <c r="R79" i="8"/>
  <c r="O79" i="8"/>
  <c r="L79" i="8"/>
  <c r="I79" i="8"/>
  <c r="H79" i="8"/>
  <c r="N79" i="8" s="1"/>
  <c r="G79" i="8"/>
  <c r="P79" i="8" s="1"/>
  <c r="F79" i="8"/>
  <c r="E79" i="8"/>
  <c r="X78" i="8"/>
  <c r="W78" i="8"/>
  <c r="T78" i="8"/>
  <c r="S78" i="8"/>
  <c r="V78" i="8" s="1"/>
  <c r="R78" i="8"/>
  <c r="O78" i="8"/>
  <c r="L78" i="8"/>
  <c r="I78" i="8"/>
  <c r="Q78" i="8" s="1"/>
  <c r="H78" i="8"/>
  <c r="N78" i="8" s="1"/>
  <c r="G78" i="8"/>
  <c r="P78" i="8" s="1"/>
  <c r="F78" i="8"/>
  <c r="E78" i="8"/>
  <c r="X77" i="8"/>
  <c r="W77" i="8"/>
  <c r="T77" i="8"/>
  <c r="S77" i="8"/>
  <c r="R77" i="8"/>
  <c r="O77" i="8"/>
  <c r="L77" i="8"/>
  <c r="I77" i="8"/>
  <c r="Q77" i="8" s="1"/>
  <c r="H77" i="8"/>
  <c r="N77" i="8" s="1"/>
  <c r="G77" i="8"/>
  <c r="F77" i="8"/>
  <c r="E77" i="8"/>
  <c r="X76" i="8"/>
  <c r="W76" i="8"/>
  <c r="T76" i="8"/>
  <c r="S76" i="8"/>
  <c r="V76" i="8" s="1"/>
  <c r="R76" i="8"/>
  <c r="O76" i="8"/>
  <c r="L76" i="8"/>
  <c r="I76" i="8"/>
  <c r="Q76" i="8" s="1"/>
  <c r="H76" i="8"/>
  <c r="N76" i="8" s="1"/>
  <c r="G76" i="8"/>
  <c r="P76" i="8" s="1"/>
  <c r="F76" i="8"/>
  <c r="E76" i="8"/>
  <c r="X75" i="8"/>
  <c r="W75" i="8"/>
  <c r="T75" i="8"/>
  <c r="S75" i="8"/>
  <c r="V75" i="8" s="1"/>
  <c r="R75" i="8"/>
  <c r="O75" i="8"/>
  <c r="L75" i="8"/>
  <c r="I75" i="8"/>
  <c r="Q75" i="8" s="1"/>
  <c r="H75" i="8"/>
  <c r="G75" i="8"/>
  <c r="P75" i="8" s="1"/>
  <c r="F75" i="8"/>
  <c r="E75" i="8"/>
  <c r="X73" i="8"/>
  <c r="W73" i="8"/>
  <c r="T73" i="8"/>
  <c r="S73" i="8"/>
  <c r="V73" i="8" s="1"/>
  <c r="R73" i="8"/>
  <c r="O73" i="8"/>
  <c r="L73" i="8"/>
  <c r="I73" i="8"/>
  <c r="Q73" i="8" s="1"/>
  <c r="H73" i="8"/>
  <c r="N73" i="8" s="1"/>
  <c r="G73" i="8"/>
  <c r="P73" i="8" s="1"/>
  <c r="F73" i="8"/>
  <c r="E73" i="8"/>
  <c r="X72" i="8"/>
  <c r="W72" i="8"/>
  <c r="T72" i="8"/>
  <c r="S72" i="8"/>
  <c r="V72" i="8" s="1"/>
  <c r="R72" i="8"/>
  <c r="O72" i="8"/>
  <c r="L72" i="8"/>
  <c r="I72" i="8"/>
  <c r="Q72" i="8" s="1"/>
  <c r="H72" i="8"/>
  <c r="N72" i="8" s="1"/>
  <c r="G72" i="8"/>
  <c r="P72" i="8" s="1"/>
  <c r="F72" i="8"/>
  <c r="E72" i="8"/>
  <c r="X71" i="8"/>
  <c r="W71" i="8"/>
  <c r="T71" i="8"/>
  <c r="S71" i="8"/>
  <c r="V71" i="8" s="1"/>
  <c r="R71" i="8"/>
  <c r="O71" i="8"/>
  <c r="L71" i="8"/>
  <c r="I71" i="8"/>
  <c r="Q71" i="8" s="1"/>
  <c r="H71" i="8"/>
  <c r="N71" i="8" s="1"/>
  <c r="G71" i="8"/>
  <c r="P71" i="8" s="1"/>
  <c r="F71" i="8"/>
  <c r="E71" i="8"/>
  <c r="X70" i="8"/>
  <c r="W70" i="8"/>
  <c r="T70" i="8"/>
  <c r="S70" i="8"/>
  <c r="V70" i="8" s="1"/>
  <c r="R70" i="8"/>
  <c r="O70" i="8"/>
  <c r="L70" i="8"/>
  <c r="I70" i="8"/>
  <c r="Q70" i="8" s="1"/>
  <c r="H70" i="8"/>
  <c r="N70" i="8" s="1"/>
  <c r="G70" i="8"/>
  <c r="P70" i="8" s="1"/>
  <c r="F70" i="8"/>
  <c r="E70" i="8"/>
  <c r="X69" i="8"/>
  <c r="W69" i="8"/>
  <c r="T69" i="8"/>
  <c r="S69" i="8"/>
  <c r="V69" i="8" s="1"/>
  <c r="R69" i="8"/>
  <c r="O69" i="8"/>
  <c r="L69" i="8"/>
  <c r="I69" i="8"/>
  <c r="Q69" i="8" s="1"/>
  <c r="H69" i="8"/>
  <c r="N69" i="8" s="1"/>
  <c r="G69" i="8"/>
  <c r="P69" i="8" s="1"/>
  <c r="F69" i="8"/>
  <c r="E69" i="8"/>
  <c r="X68" i="8"/>
  <c r="W68" i="8"/>
  <c r="T68" i="8"/>
  <c r="S68" i="8"/>
  <c r="V68" i="8" s="1"/>
  <c r="R68" i="8"/>
  <c r="O68" i="8"/>
  <c r="L68" i="8"/>
  <c r="I68" i="8"/>
  <c r="Q68" i="8" s="1"/>
  <c r="H68" i="8"/>
  <c r="N68" i="8" s="1"/>
  <c r="G68" i="8"/>
  <c r="P68" i="8" s="1"/>
  <c r="F68" i="8"/>
  <c r="E68" i="8"/>
  <c r="X67" i="8"/>
  <c r="W67" i="8"/>
  <c r="T67" i="8"/>
  <c r="S67" i="8"/>
  <c r="V67" i="8" s="1"/>
  <c r="R67" i="8"/>
  <c r="O67" i="8"/>
  <c r="L67" i="8"/>
  <c r="I67" i="8"/>
  <c r="Q67" i="8" s="1"/>
  <c r="H67" i="8"/>
  <c r="N67" i="8" s="1"/>
  <c r="G67" i="8"/>
  <c r="P67" i="8" s="1"/>
  <c r="F67" i="8"/>
  <c r="E67" i="8"/>
  <c r="X66" i="8"/>
  <c r="W66" i="8"/>
  <c r="T66" i="8"/>
  <c r="S66" i="8"/>
  <c r="V66" i="8" s="1"/>
  <c r="R66" i="8"/>
  <c r="O66" i="8"/>
  <c r="L66" i="8"/>
  <c r="I66" i="8"/>
  <c r="Q66" i="8" s="1"/>
  <c r="H66" i="8"/>
  <c r="N66" i="8" s="1"/>
  <c r="G66" i="8"/>
  <c r="P66" i="8" s="1"/>
  <c r="F66" i="8"/>
  <c r="E66" i="8"/>
  <c r="X65" i="8"/>
  <c r="W65" i="8"/>
  <c r="T65" i="8"/>
  <c r="S65" i="8"/>
  <c r="V65" i="8" s="1"/>
  <c r="R65" i="8"/>
  <c r="O65" i="8"/>
  <c r="L65" i="8"/>
  <c r="I65" i="8"/>
  <c r="Q65" i="8" s="1"/>
  <c r="H65" i="8"/>
  <c r="N65" i="8" s="1"/>
  <c r="G65" i="8"/>
  <c r="P65" i="8" s="1"/>
  <c r="F65" i="8"/>
  <c r="E65" i="8"/>
  <c r="X64" i="8"/>
  <c r="W64" i="8"/>
  <c r="T64" i="8"/>
  <c r="S64" i="8"/>
  <c r="V64" i="8" s="1"/>
  <c r="R64" i="8"/>
  <c r="O64" i="8"/>
  <c r="L64" i="8"/>
  <c r="I64" i="8"/>
  <c r="Q64" i="8" s="1"/>
  <c r="H64" i="8"/>
  <c r="N64" i="8" s="1"/>
  <c r="G64" i="8"/>
  <c r="P64" i="8" s="1"/>
  <c r="F64" i="8"/>
  <c r="E64" i="8"/>
  <c r="X63" i="8"/>
  <c r="W63" i="8"/>
  <c r="T63" i="8"/>
  <c r="S63" i="8"/>
  <c r="V63" i="8" s="1"/>
  <c r="R63" i="8"/>
  <c r="O63" i="8"/>
  <c r="L63" i="8"/>
  <c r="I63" i="8"/>
  <c r="Q63" i="8" s="1"/>
  <c r="H63" i="8"/>
  <c r="N63" i="8" s="1"/>
  <c r="G63" i="8"/>
  <c r="P63" i="8" s="1"/>
  <c r="F63" i="8"/>
  <c r="E63" i="8"/>
  <c r="X62" i="8"/>
  <c r="W62" i="8"/>
  <c r="T62" i="8"/>
  <c r="S62" i="8"/>
  <c r="V62" i="8" s="1"/>
  <c r="R62" i="8"/>
  <c r="O62" i="8"/>
  <c r="L62" i="8"/>
  <c r="I62" i="8"/>
  <c r="Q62" i="8" s="1"/>
  <c r="H62" i="8"/>
  <c r="N62" i="8" s="1"/>
  <c r="G62" i="8"/>
  <c r="P62" i="8" s="1"/>
  <c r="F62" i="8"/>
  <c r="E62" i="8"/>
  <c r="X61" i="8"/>
  <c r="W61" i="8"/>
  <c r="T61" i="8"/>
  <c r="S61" i="8"/>
  <c r="V61" i="8" s="1"/>
  <c r="R61" i="8"/>
  <c r="O61" i="8"/>
  <c r="L61" i="8"/>
  <c r="I61" i="8"/>
  <c r="Q61" i="8" s="1"/>
  <c r="H61" i="8"/>
  <c r="N61" i="8" s="1"/>
  <c r="G61" i="8"/>
  <c r="P61" i="8" s="1"/>
  <c r="F61" i="8"/>
  <c r="E61" i="8"/>
  <c r="X60" i="8"/>
  <c r="W60" i="8"/>
  <c r="T60" i="8"/>
  <c r="S60" i="8"/>
  <c r="V60" i="8" s="1"/>
  <c r="R60" i="8"/>
  <c r="O60" i="8"/>
  <c r="L60" i="8"/>
  <c r="I60" i="8"/>
  <c r="Q60" i="8" s="1"/>
  <c r="H60" i="8"/>
  <c r="N60" i="8" s="1"/>
  <c r="G60" i="8"/>
  <c r="P60" i="8" s="1"/>
  <c r="F60" i="8"/>
  <c r="E60" i="8"/>
  <c r="X59" i="8"/>
  <c r="W59" i="8"/>
  <c r="T59" i="8"/>
  <c r="S59" i="8"/>
  <c r="V59" i="8" s="1"/>
  <c r="R59" i="8"/>
  <c r="O59" i="8"/>
  <c r="L59" i="8"/>
  <c r="I59" i="8"/>
  <c r="Q59" i="8" s="1"/>
  <c r="H59" i="8"/>
  <c r="N59" i="8" s="1"/>
  <c r="G59" i="8"/>
  <c r="P59" i="8" s="1"/>
  <c r="F59" i="8"/>
  <c r="E59" i="8"/>
  <c r="X58" i="8"/>
  <c r="W58" i="8"/>
  <c r="T58" i="8"/>
  <c r="S58" i="8"/>
  <c r="V58" i="8" s="1"/>
  <c r="R58" i="8"/>
  <c r="O58" i="8"/>
  <c r="L58" i="8"/>
  <c r="I58" i="8"/>
  <c r="Q58" i="8" s="1"/>
  <c r="H58" i="8"/>
  <c r="N58" i="8" s="1"/>
  <c r="G58" i="8"/>
  <c r="P58" i="8" s="1"/>
  <c r="F58" i="8"/>
  <c r="E58" i="8"/>
  <c r="X57" i="8"/>
  <c r="W57" i="8"/>
  <c r="T57" i="8"/>
  <c r="S57" i="8"/>
  <c r="V57" i="8" s="1"/>
  <c r="R57" i="8"/>
  <c r="O57" i="8"/>
  <c r="L57" i="8"/>
  <c r="I57" i="8"/>
  <c r="Q57" i="8" s="1"/>
  <c r="H57" i="8"/>
  <c r="N57" i="8" s="1"/>
  <c r="G57" i="8"/>
  <c r="P57" i="8" s="1"/>
  <c r="F57" i="8"/>
  <c r="E57" i="8"/>
  <c r="X56" i="8"/>
  <c r="W56" i="8"/>
  <c r="T56" i="8"/>
  <c r="S56" i="8"/>
  <c r="V56" i="8" s="1"/>
  <c r="R56" i="8"/>
  <c r="O56" i="8"/>
  <c r="L56" i="8"/>
  <c r="I56" i="8"/>
  <c r="Q56" i="8" s="1"/>
  <c r="H56" i="8"/>
  <c r="N56" i="8" s="1"/>
  <c r="G56" i="8"/>
  <c r="P56" i="8" s="1"/>
  <c r="F56" i="8"/>
  <c r="E56" i="8"/>
  <c r="X55" i="8"/>
  <c r="W55" i="8"/>
  <c r="T55" i="8"/>
  <c r="S55" i="8"/>
  <c r="V55" i="8" s="1"/>
  <c r="R55" i="8"/>
  <c r="O55" i="8"/>
  <c r="L55" i="8"/>
  <c r="I55" i="8"/>
  <c r="H55" i="8"/>
  <c r="N55" i="8" s="1"/>
  <c r="G55" i="8"/>
  <c r="P55" i="8" s="1"/>
  <c r="F55" i="8"/>
  <c r="E55" i="8"/>
  <c r="X54" i="8"/>
  <c r="W54" i="8"/>
  <c r="T54" i="8"/>
  <c r="S54" i="8"/>
  <c r="V54" i="8" s="1"/>
  <c r="R54" i="8"/>
  <c r="O54" i="8"/>
  <c r="L54" i="8"/>
  <c r="I54" i="8"/>
  <c r="Q54" i="8" s="1"/>
  <c r="H54" i="8"/>
  <c r="N54" i="8" s="1"/>
  <c r="G54" i="8"/>
  <c r="P54" i="8" s="1"/>
  <c r="F54" i="8"/>
  <c r="E54" i="8"/>
  <c r="X53" i="8"/>
  <c r="W53" i="8"/>
  <c r="T53" i="8"/>
  <c r="S53" i="8"/>
  <c r="R53" i="8"/>
  <c r="O53" i="8"/>
  <c r="L53" i="8"/>
  <c r="I53" i="8"/>
  <c r="Q53" i="8" s="1"/>
  <c r="H53" i="8"/>
  <c r="N53" i="8" s="1"/>
  <c r="G53" i="8"/>
  <c r="F53" i="8"/>
  <c r="E53" i="8"/>
  <c r="X51" i="8"/>
  <c r="W51" i="8"/>
  <c r="T51" i="8"/>
  <c r="S51" i="8"/>
  <c r="V51" i="8" s="1"/>
  <c r="R51" i="8"/>
  <c r="O51" i="8"/>
  <c r="L51" i="8"/>
  <c r="I51" i="8"/>
  <c r="Q51" i="8" s="1"/>
  <c r="H51" i="8"/>
  <c r="N51" i="8" s="1"/>
  <c r="G51" i="8"/>
  <c r="P51" i="8" s="1"/>
  <c r="F51" i="8"/>
  <c r="E51" i="8"/>
  <c r="X50" i="8"/>
  <c r="W50" i="8"/>
  <c r="T50" i="8"/>
  <c r="S50" i="8"/>
  <c r="V50" i="8" s="1"/>
  <c r="R50" i="8"/>
  <c r="O50" i="8"/>
  <c r="L50" i="8"/>
  <c r="I50" i="8"/>
  <c r="Q50" i="8" s="1"/>
  <c r="H50" i="8"/>
  <c r="N50" i="8" s="1"/>
  <c r="G50" i="8"/>
  <c r="P50" i="8" s="1"/>
  <c r="F50" i="8"/>
  <c r="E50" i="8"/>
  <c r="X49" i="8"/>
  <c r="W49" i="8"/>
  <c r="T49" i="8"/>
  <c r="S49" i="8"/>
  <c r="V49" i="8" s="1"/>
  <c r="R49" i="8"/>
  <c r="O49" i="8"/>
  <c r="L49" i="8"/>
  <c r="I49" i="8"/>
  <c r="Q49" i="8" s="1"/>
  <c r="H49" i="8"/>
  <c r="N49" i="8" s="1"/>
  <c r="G49" i="8"/>
  <c r="P49" i="8" s="1"/>
  <c r="F49" i="8"/>
  <c r="E49" i="8"/>
  <c r="X48" i="8"/>
  <c r="W48" i="8"/>
  <c r="T48" i="8"/>
  <c r="S48" i="8"/>
  <c r="V48" i="8" s="1"/>
  <c r="R48" i="8"/>
  <c r="O48" i="8"/>
  <c r="L48" i="8"/>
  <c r="I48" i="8"/>
  <c r="Q48" i="8" s="1"/>
  <c r="H48" i="8"/>
  <c r="N48" i="8" s="1"/>
  <c r="G48" i="8"/>
  <c r="P48" i="8" s="1"/>
  <c r="F48" i="8"/>
  <c r="E48" i="8"/>
  <c r="X47" i="8"/>
  <c r="W47" i="8"/>
  <c r="T47" i="8"/>
  <c r="S47" i="8"/>
  <c r="V47" i="8" s="1"/>
  <c r="R47" i="8"/>
  <c r="O47" i="8"/>
  <c r="L47" i="8"/>
  <c r="I47" i="8"/>
  <c r="Q47" i="8" s="1"/>
  <c r="H47" i="8"/>
  <c r="N47" i="8" s="1"/>
  <c r="G47" i="8"/>
  <c r="P47" i="8" s="1"/>
  <c r="F47" i="8"/>
  <c r="E47" i="8"/>
  <c r="X46" i="8"/>
  <c r="W46" i="8"/>
  <c r="T46" i="8"/>
  <c r="S46" i="8"/>
  <c r="V46" i="8" s="1"/>
  <c r="R46" i="8"/>
  <c r="O46" i="8"/>
  <c r="L46" i="8"/>
  <c r="I46" i="8"/>
  <c r="Q46" i="8" s="1"/>
  <c r="H46" i="8"/>
  <c r="N46" i="8" s="1"/>
  <c r="G46" i="8"/>
  <c r="P46" i="8" s="1"/>
  <c r="F46" i="8"/>
  <c r="E46" i="8"/>
  <c r="X45" i="8"/>
  <c r="W45" i="8"/>
  <c r="T45" i="8"/>
  <c r="S45" i="8"/>
  <c r="V45" i="8" s="1"/>
  <c r="R45" i="8"/>
  <c r="O45" i="8"/>
  <c r="L45" i="8"/>
  <c r="I45" i="8"/>
  <c r="Q45" i="8" s="1"/>
  <c r="H45" i="8"/>
  <c r="N45" i="8" s="1"/>
  <c r="G45" i="8"/>
  <c r="P45" i="8" s="1"/>
  <c r="F45" i="8"/>
  <c r="E45" i="8"/>
  <c r="X44" i="8"/>
  <c r="W44" i="8"/>
  <c r="T44" i="8"/>
  <c r="S44" i="8"/>
  <c r="V44" i="8" s="1"/>
  <c r="R44" i="8"/>
  <c r="O44" i="8"/>
  <c r="L44" i="8"/>
  <c r="I44" i="8"/>
  <c r="Q44" i="8" s="1"/>
  <c r="H44" i="8"/>
  <c r="N44" i="8" s="1"/>
  <c r="G44" i="8"/>
  <c r="P44" i="8" s="1"/>
  <c r="F44" i="8"/>
  <c r="E44" i="8"/>
  <c r="X43" i="8"/>
  <c r="W43" i="8"/>
  <c r="T43" i="8"/>
  <c r="S43" i="8"/>
  <c r="V43" i="8" s="1"/>
  <c r="R43" i="8"/>
  <c r="O43" i="8"/>
  <c r="L43" i="8"/>
  <c r="I43" i="8"/>
  <c r="Q43" i="8" s="1"/>
  <c r="H43" i="8"/>
  <c r="N43" i="8" s="1"/>
  <c r="G43" i="8"/>
  <c r="P43" i="8" s="1"/>
  <c r="F43" i="8"/>
  <c r="E43" i="8"/>
  <c r="X42" i="8"/>
  <c r="W42" i="8"/>
  <c r="T42" i="8"/>
  <c r="S42" i="8"/>
  <c r="V42" i="8" s="1"/>
  <c r="R42" i="8"/>
  <c r="O42" i="8"/>
  <c r="L42" i="8"/>
  <c r="I42" i="8"/>
  <c r="Q42" i="8" s="1"/>
  <c r="H42" i="8"/>
  <c r="N42" i="8" s="1"/>
  <c r="G42" i="8"/>
  <c r="P42" i="8" s="1"/>
  <c r="F42" i="8"/>
  <c r="E42" i="8"/>
  <c r="X41" i="8"/>
  <c r="W41" i="8"/>
  <c r="T41" i="8"/>
  <c r="S41" i="8"/>
  <c r="V41" i="8" s="1"/>
  <c r="R41" i="8"/>
  <c r="O41" i="8"/>
  <c r="L41" i="8"/>
  <c r="I41" i="8"/>
  <c r="Q41" i="8" s="1"/>
  <c r="H41" i="8"/>
  <c r="N41" i="8" s="1"/>
  <c r="G41" i="8"/>
  <c r="P41" i="8" s="1"/>
  <c r="F41" i="8"/>
  <c r="E41" i="8"/>
  <c r="X40" i="8"/>
  <c r="W40" i="8"/>
  <c r="T40" i="8"/>
  <c r="S40" i="8"/>
  <c r="V40" i="8" s="1"/>
  <c r="R40" i="8"/>
  <c r="O40" i="8"/>
  <c r="L40" i="8"/>
  <c r="I40" i="8"/>
  <c r="Q40" i="8" s="1"/>
  <c r="H40" i="8"/>
  <c r="N40" i="8" s="1"/>
  <c r="G40" i="8"/>
  <c r="P40" i="8" s="1"/>
  <c r="F40" i="8"/>
  <c r="E40" i="8"/>
  <c r="X39" i="8"/>
  <c r="W39" i="8"/>
  <c r="T39" i="8"/>
  <c r="S39" i="8"/>
  <c r="V39" i="8" s="1"/>
  <c r="R39" i="8"/>
  <c r="O39" i="8"/>
  <c r="L39" i="8"/>
  <c r="I39" i="8"/>
  <c r="Q39" i="8" s="1"/>
  <c r="H39" i="8"/>
  <c r="N39" i="8" s="1"/>
  <c r="G39" i="8"/>
  <c r="P39" i="8" s="1"/>
  <c r="F39" i="8"/>
  <c r="E39" i="8"/>
  <c r="X38" i="8"/>
  <c r="W38" i="8"/>
  <c r="T38" i="8"/>
  <c r="S38" i="8"/>
  <c r="V38" i="8" s="1"/>
  <c r="R38" i="8"/>
  <c r="O38" i="8"/>
  <c r="L38" i="8"/>
  <c r="I38" i="8"/>
  <c r="Q38" i="8" s="1"/>
  <c r="H38" i="8"/>
  <c r="N38" i="8" s="1"/>
  <c r="G38" i="8"/>
  <c r="P38" i="8" s="1"/>
  <c r="F38" i="8"/>
  <c r="E38" i="8"/>
  <c r="X37" i="8"/>
  <c r="W37" i="8"/>
  <c r="T37" i="8"/>
  <c r="S37" i="8"/>
  <c r="V37" i="8" s="1"/>
  <c r="R37" i="8"/>
  <c r="O37" i="8"/>
  <c r="L37" i="8"/>
  <c r="I37" i="8"/>
  <c r="Q37" i="8" s="1"/>
  <c r="H37" i="8"/>
  <c r="N37" i="8" s="1"/>
  <c r="G37" i="8"/>
  <c r="P37" i="8" s="1"/>
  <c r="F37" i="8"/>
  <c r="E37" i="8"/>
  <c r="X36" i="8"/>
  <c r="W36" i="8"/>
  <c r="T36" i="8"/>
  <c r="S36" i="8"/>
  <c r="V36" i="8" s="1"/>
  <c r="R36" i="8"/>
  <c r="O36" i="8"/>
  <c r="L36" i="8"/>
  <c r="I36" i="8"/>
  <c r="Q36" i="8" s="1"/>
  <c r="H36" i="8"/>
  <c r="N36" i="8" s="1"/>
  <c r="G36" i="8"/>
  <c r="P36" i="8" s="1"/>
  <c r="F36" i="8"/>
  <c r="E36" i="8"/>
  <c r="X35" i="8"/>
  <c r="W35" i="8"/>
  <c r="T35" i="8"/>
  <c r="S35" i="8"/>
  <c r="R35" i="8"/>
  <c r="O35" i="8"/>
  <c r="L35" i="8"/>
  <c r="I35" i="8"/>
  <c r="Q35" i="8" s="1"/>
  <c r="H35" i="8"/>
  <c r="N35" i="8" s="1"/>
  <c r="G35" i="8"/>
  <c r="F35" i="8"/>
  <c r="E35" i="8"/>
  <c r="X34" i="8"/>
  <c r="W34" i="8"/>
  <c r="T34" i="8"/>
  <c r="S34" i="8"/>
  <c r="V34" i="8" s="1"/>
  <c r="R34" i="8"/>
  <c r="O34" i="8"/>
  <c r="L34" i="8"/>
  <c r="I34" i="8"/>
  <c r="Q34" i="8" s="1"/>
  <c r="H34" i="8"/>
  <c r="N34" i="8" s="1"/>
  <c r="G34" i="8"/>
  <c r="P34" i="8" s="1"/>
  <c r="F34" i="8"/>
  <c r="E34" i="8"/>
  <c r="X33" i="8"/>
  <c r="W33" i="8"/>
  <c r="T33" i="8"/>
  <c r="S33" i="8"/>
  <c r="V33" i="8" s="1"/>
  <c r="R33" i="8"/>
  <c r="O33" i="8"/>
  <c r="L33" i="8"/>
  <c r="I33" i="8"/>
  <c r="Q33" i="8" s="1"/>
  <c r="H33" i="8"/>
  <c r="N33" i="8" s="1"/>
  <c r="G33" i="8"/>
  <c r="P33" i="8" s="1"/>
  <c r="F33" i="8"/>
  <c r="E33" i="8"/>
  <c r="X32" i="8"/>
  <c r="W32" i="8"/>
  <c r="T32" i="8"/>
  <c r="S32" i="8"/>
  <c r="V32" i="8" s="1"/>
  <c r="R32" i="8"/>
  <c r="O32" i="8"/>
  <c r="L32" i="8"/>
  <c r="I32" i="8"/>
  <c r="Q32" i="8" s="1"/>
  <c r="H32" i="8"/>
  <c r="N32" i="8" s="1"/>
  <c r="G32" i="8"/>
  <c r="P32" i="8" s="1"/>
  <c r="F32" i="8"/>
  <c r="E32" i="8"/>
  <c r="X30" i="8"/>
  <c r="W30" i="8"/>
  <c r="T30" i="8"/>
  <c r="S30" i="8"/>
  <c r="V30" i="8" s="1"/>
  <c r="R30" i="8"/>
  <c r="O30" i="8"/>
  <c r="L30" i="8"/>
  <c r="I30" i="8"/>
  <c r="Q30" i="8" s="1"/>
  <c r="H30" i="8"/>
  <c r="N30" i="8" s="1"/>
  <c r="G30" i="8"/>
  <c r="P30" i="8" s="1"/>
  <c r="F30" i="8"/>
  <c r="E30" i="8"/>
  <c r="X29" i="8"/>
  <c r="W29" i="8"/>
  <c r="T29" i="8"/>
  <c r="S29" i="8"/>
  <c r="V29" i="8" s="1"/>
  <c r="R29" i="8"/>
  <c r="O29" i="8"/>
  <c r="L29" i="8"/>
  <c r="I29" i="8"/>
  <c r="Q29" i="8" s="1"/>
  <c r="H29" i="8"/>
  <c r="N29" i="8" s="1"/>
  <c r="G29" i="8"/>
  <c r="P29" i="8" s="1"/>
  <c r="F29" i="8"/>
  <c r="E29" i="8"/>
  <c r="X28" i="8"/>
  <c r="W28" i="8"/>
  <c r="T28" i="8"/>
  <c r="S28" i="8"/>
  <c r="V28" i="8" s="1"/>
  <c r="R28" i="8"/>
  <c r="O28" i="8"/>
  <c r="L28" i="8"/>
  <c r="I28" i="8"/>
  <c r="Q28" i="8" s="1"/>
  <c r="H28" i="8"/>
  <c r="N28" i="8" s="1"/>
  <c r="G28" i="8"/>
  <c r="P28" i="8" s="1"/>
  <c r="F28" i="8"/>
  <c r="E28" i="8"/>
  <c r="X27" i="8"/>
  <c r="W27" i="8"/>
  <c r="T27" i="8"/>
  <c r="S27" i="8"/>
  <c r="V27" i="8" s="1"/>
  <c r="R27" i="8"/>
  <c r="O27" i="8"/>
  <c r="L27" i="8"/>
  <c r="I27" i="8"/>
  <c r="Q27" i="8" s="1"/>
  <c r="H27" i="8"/>
  <c r="N27" i="8" s="1"/>
  <c r="G27" i="8"/>
  <c r="P27" i="8" s="1"/>
  <c r="F27" i="8"/>
  <c r="E27" i="8"/>
  <c r="X26" i="8"/>
  <c r="W26" i="8"/>
  <c r="T26" i="8"/>
  <c r="S26" i="8"/>
  <c r="V26" i="8" s="1"/>
  <c r="R26" i="8"/>
  <c r="O26" i="8"/>
  <c r="L26" i="8"/>
  <c r="I26" i="8"/>
  <c r="Q26" i="8" s="1"/>
  <c r="H26" i="8"/>
  <c r="N26" i="8" s="1"/>
  <c r="G26" i="8"/>
  <c r="P26" i="8" s="1"/>
  <c r="F26" i="8"/>
  <c r="E26" i="8"/>
  <c r="X25" i="8"/>
  <c r="W25" i="8"/>
  <c r="T25" i="8"/>
  <c r="S25" i="8"/>
  <c r="V25" i="8" s="1"/>
  <c r="R25" i="8"/>
  <c r="O25" i="8"/>
  <c r="L25" i="8"/>
  <c r="I25" i="8"/>
  <c r="Q25" i="8" s="1"/>
  <c r="H25" i="8"/>
  <c r="N25" i="8" s="1"/>
  <c r="G25" i="8"/>
  <c r="F25" i="8"/>
  <c r="E25" i="8"/>
  <c r="X24" i="8"/>
  <c r="W24" i="8"/>
  <c r="T24" i="8"/>
  <c r="S24" i="8"/>
  <c r="V24" i="8" s="1"/>
  <c r="R24" i="8"/>
  <c r="O24" i="8"/>
  <c r="L24" i="8"/>
  <c r="I24" i="8"/>
  <c r="Q24" i="8" s="1"/>
  <c r="H24" i="8"/>
  <c r="N24" i="8" s="1"/>
  <c r="G24" i="8"/>
  <c r="P24" i="8" s="1"/>
  <c r="F24" i="8"/>
  <c r="E24" i="8"/>
  <c r="X23" i="8"/>
  <c r="W23" i="8"/>
  <c r="T23" i="8"/>
  <c r="S23" i="8"/>
  <c r="V23" i="8" s="1"/>
  <c r="R23" i="8"/>
  <c r="O23" i="8"/>
  <c r="L23" i="8"/>
  <c r="I23" i="8"/>
  <c r="Q23" i="8" s="1"/>
  <c r="H23" i="8"/>
  <c r="N23" i="8" s="1"/>
  <c r="G23" i="8"/>
  <c r="P23" i="8" s="1"/>
  <c r="F23" i="8"/>
  <c r="E23" i="8"/>
  <c r="X22" i="8"/>
  <c r="W22" i="8"/>
  <c r="T22" i="8"/>
  <c r="S22" i="8"/>
  <c r="V22" i="8" s="1"/>
  <c r="R22" i="8"/>
  <c r="O22" i="8"/>
  <c r="L22" i="8"/>
  <c r="I22" i="8"/>
  <c r="Q22" i="8" s="1"/>
  <c r="H22" i="8"/>
  <c r="N22" i="8" s="1"/>
  <c r="G22" i="8"/>
  <c r="P22" i="8" s="1"/>
  <c r="F22" i="8"/>
  <c r="E22" i="8"/>
  <c r="X21" i="8"/>
  <c r="W21" i="8"/>
  <c r="T21" i="8"/>
  <c r="S21" i="8"/>
  <c r="V21" i="8" s="1"/>
  <c r="R21" i="8"/>
  <c r="O21" i="8"/>
  <c r="L21" i="8"/>
  <c r="I21" i="8"/>
  <c r="Q21" i="8" s="1"/>
  <c r="H21" i="8"/>
  <c r="N21" i="8" s="1"/>
  <c r="G21" i="8"/>
  <c r="P21" i="8" s="1"/>
  <c r="F21" i="8"/>
  <c r="E21" i="8"/>
  <c r="X20" i="8"/>
  <c r="W20" i="8"/>
  <c r="T20" i="8"/>
  <c r="S20" i="8"/>
  <c r="V20" i="8" s="1"/>
  <c r="R20" i="8"/>
  <c r="O20" i="8"/>
  <c r="L20" i="8"/>
  <c r="I20" i="8"/>
  <c r="Q20" i="8" s="1"/>
  <c r="H20" i="8"/>
  <c r="N20" i="8" s="1"/>
  <c r="G20" i="8"/>
  <c r="P20" i="8" s="1"/>
  <c r="F20" i="8"/>
  <c r="E20" i="8"/>
  <c r="X19" i="8"/>
  <c r="W19" i="8"/>
  <c r="T19" i="8"/>
  <c r="S19" i="8"/>
  <c r="V19" i="8" s="1"/>
  <c r="R19" i="8"/>
  <c r="O19" i="8"/>
  <c r="L19" i="8"/>
  <c r="I19" i="8"/>
  <c r="Q19" i="8" s="1"/>
  <c r="H19" i="8"/>
  <c r="N19" i="8" s="1"/>
  <c r="G19" i="8"/>
  <c r="P19" i="8" s="1"/>
  <c r="F19" i="8"/>
  <c r="E19" i="8"/>
  <c r="X18" i="8"/>
  <c r="W18" i="8"/>
  <c r="T18" i="8"/>
  <c r="S18" i="8"/>
  <c r="V18" i="8" s="1"/>
  <c r="R18" i="8"/>
  <c r="O18" i="8"/>
  <c r="L18" i="8"/>
  <c r="I18" i="8"/>
  <c r="Q18" i="8" s="1"/>
  <c r="H18" i="8"/>
  <c r="N18" i="8" s="1"/>
  <c r="G18" i="8"/>
  <c r="P18" i="8" s="1"/>
  <c r="F18" i="8"/>
  <c r="E18" i="8"/>
  <c r="X17" i="8"/>
  <c r="W17" i="8"/>
  <c r="T17" i="8"/>
  <c r="S17" i="8"/>
  <c r="R17" i="8"/>
  <c r="O17" i="8"/>
  <c r="L17" i="8"/>
  <c r="I17" i="8"/>
  <c r="Q17" i="8" s="1"/>
  <c r="H17" i="8"/>
  <c r="N17" i="8" s="1"/>
  <c r="G17" i="8"/>
  <c r="F17" i="8"/>
  <c r="E17" i="8"/>
  <c r="X16" i="8"/>
  <c r="W16" i="8"/>
  <c r="T16" i="8"/>
  <c r="S16" i="8"/>
  <c r="V16" i="8" s="1"/>
  <c r="R16" i="8"/>
  <c r="O16" i="8"/>
  <c r="L16" i="8"/>
  <c r="I16" i="8"/>
  <c r="Q16" i="8" s="1"/>
  <c r="H16" i="8"/>
  <c r="N16" i="8" s="1"/>
  <c r="G16" i="8"/>
  <c r="P16" i="8" s="1"/>
  <c r="F16" i="8"/>
  <c r="E16" i="8"/>
  <c r="X15" i="8"/>
  <c r="W15" i="8"/>
  <c r="T15" i="8"/>
  <c r="S15" i="8"/>
  <c r="V15" i="8" s="1"/>
  <c r="R15" i="8"/>
  <c r="O15" i="8"/>
  <c r="L15" i="8"/>
  <c r="I15" i="8"/>
  <c r="Q15" i="8" s="1"/>
  <c r="H15" i="8"/>
  <c r="N15" i="8" s="1"/>
  <c r="G15" i="8"/>
  <c r="P15" i="8" s="1"/>
  <c r="F15" i="8"/>
  <c r="E15" i="8"/>
  <c r="X14" i="8"/>
  <c r="W14" i="8"/>
  <c r="T14" i="8"/>
  <c r="S14" i="8"/>
  <c r="V14" i="8" s="1"/>
  <c r="R14" i="8"/>
  <c r="O14" i="8"/>
  <c r="L14" i="8"/>
  <c r="I14" i="8"/>
  <c r="Q14" i="8" s="1"/>
  <c r="H14" i="8"/>
  <c r="G14" i="8"/>
  <c r="P14" i="8" s="1"/>
  <c r="F14" i="8"/>
  <c r="E14" i="8"/>
  <c r="AA9" i="8"/>
  <c r="Z9" i="8"/>
  <c r="AB9" i="8" s="1"/>
  <c r="T9" i="8"/>
  <c r="S9" i="8"/>
  <c r="V9" i="8" s="1"/>
  <c r="R9" i="8"/>
  <c r="U9" i="8" s="1"/>
  <c r="AB8" i="8"/>
  <c r="AA8" i="8"/>
  <c r="Z8" i="8"/>
  <c r="Z7" i="8" s="1"/>
  <c r="AB7" i="8" s="1"/>
  <c r="AA7" i="8"/>
  <c r="V106" i="7"/>
  <c r="U106" i="7"/>
  <c r="O106" i="7"/>
  <c r="L106" i="7"/>
  <c r="I106" i="7"/>
  <c r="Q106" i="7" s="1"/>
  <c r="H106" i="7"/>
  <c r="N106" i="7" s="1"/>
  <c r="G106" i="7"/>
  <c r="P106" i="7" s="1"/>
  <c r="F106" i="7"/>
  <c r="E106" i="7"/>
  <c r="V105" i="7"/>
  <c r="U105" i="7"/>
  <c r="O105" i="7"/>
  <c r="L105" i="7"/>
  <c r="I105" i="7"/>
  <c r="Q105" i="7" s="1"/>
  <c r="H105" i="7"/>
  <c r="N105" i="7" s="1"/>
  <c r="G105" i="7"/>
  <c r="P105" i="7" s="1"/>
  <c r="F105" i="7"/>
  <c r="E105" i="7"/>
  <c r="V104" i="7"/>
  <c r="U104" i="7"/>
  <c r="O104" i="7"/>
  <c r="L104" i="7"/>
  <c r="I104" i="7"/>
  <c r="Q104" i="7" s="1"/>
  <c r="H104" i="7"/>
  <c r="G104" i="7"/>
  <c r="F104" i="7"/>
  <c r="E104" i="7"/>
  <c r="V103" i="7"/>
  <c r="U103" i="7"/>
  <c r="O103" i="7"/>
  <c r="L103" i="7"/>
  <c r="I103" i="7"/>
  <c r="Q103" i="7" s="1"/>
  <c r="H103" i="7"/>
  <c r="G103" i="7"/>
  <c r="P103" i="7" s="1"/>
  <c r="F103" i="7"/>
  <c r="E103" i="7"/>
  <c r="V102" i="7"/>
  <c r="U102" i="7"/>
  <c r="O102" i="7"/>
  <c r="L102" i="7"/>
  <c r="I102" i="7"/>
  <c r="Q102" i="7" s="1"/>
  <c r="H102" i="7"/>
  <c r="N102" i="7" s="1"/>
  <c r="G102" i="7"/>
  <c r="P102" i="7" s="1"/>
  <c r="F102" i="7"/>
  <c r="E102" i="7"/>
  <c r="V101" i="7"/>
  <c r="U101" i="7"/>
  <c r="O101" i="7"/>
  <c r="L101" i="7"/>
  <c r="I101" i="7"/>
  <c r="Q101" i="7" s="1"/>
  <c r="H101" i="7"/>
  <c r="N101" i="7" s="1"/>
  <c r="G101" i="7"/>
  <c r="P101" i="7" s="1"/>
  <c r="F101" i="7"/>
  <c r="E101" i="7"/>
  <c r="V100" i="7"/>
  <c r="U100" i="7"/>
  <c r="O100" i="7"/>
  <c r="L100" i="7"/>
  <c r="I100" i="7"/>
  <c r="Q100" i="7" s="1"/>
  <c r="H100" i="7"/>
  <c r="N100" i="7" s="1"/>
  <c r="G100" i="7"/>
  <c r="P100" i="7" s="1"/>
  <c r="F100" i="7"/>
  <c r="E100" i="7"/>
  <c r="V99" i="7"/>
  <c r="U99" i="7"/>
  <c r="O99" i="7"/>
  <c r="L99" i="7"/>
  <c r="I99" i="7"/>
  <c r="Q99" i="7" s="1"/>
  <c r="H99" i="7"/>
  <c r="N99" i="7" s="1"/>
  <c r="G99" i="7"/>
  <c r="P99" i="7" s="1"/>
  <c r="F99" i="7"/>
  <c r="E99" i="7"/>
  <c r="V98" i="7"/>
  <c r="U98" i="7"/>
  <c r="O98" i="7"/>
  <c r="L98" i="7"/>
  <c r="I98" i="7"/>
  <c r="Q98" i="7" s="1"/>
  <c r="H98" i="7"/>
  <c r="N98" i="7" s="1"/>
  <c r="G98" i="7"/>
  <c r="P98" i="7" s="1"/>
  <c r="F98" i="7"/>
  <c r="E98" i="7"/>
  <c r="V97" i="7"/>
  <c r="U97" i="7"/>
  <c r="O97" i="7"/>
  <c r="L97" i="7"/>
  <c r="I97" i="7"/>
  <c r="Q97" i="7" s="1"/>
  <c r="H97" i="7"/>
  <c r="N97" i="7" s="1"/>
  <c r="G97" i="7"/>
  <c r="P97" i="7" s="1"/>
  <c r="F97" i="7"/>
  <c r="E97" i="7"/>
  <c r="V96" i="7"/>
  <c r="U96" i="7"/>
  <c r="O96" i="7"/>
  <c r="L96" i="7"/>
  <c r="I96" i="7"/>
  <c r="Q96" i="7" s="1"/>
  <c r="H96" i="7"/>
  <c r="N96" i="7" s="1"/>
  <c r="G96" i="7"/>
  <c r="P96" i="7" s="1"/>
  <c r="F96" i="7"/>
  <c r="E96" i="7"/>
  <c r="V95" i="7"/>
  <c r="U95" i="7"/>
  <c r="O95" i="7"/>
  <c r="L95" i="7"/>
  <c r="I95" i="7"/>
  <c r="Q95" i="7" s="1"/>
  <c r="H95" i="7"/>
  <c r="N95" i="7" s="1"/>
  <c r="G95" i="7"/>
  <c r="P95" i="7" s="1"/>
  <c r="F95" i="7"/>
  <c r="E95" i="7"/>
  <c r="V94" i="7"/>
  <c r="U94" i="7"/>
  <c r="O94" i="7"/>
  <c r="L94" i="7"/>
  <c r="I94" i="7"/>
  <c r="Q94" i="7" s="1"/>
  <c r="H94" i="7"/>
  <c r="N94" i="7" s="1"/>
  <c r="G94" i="7"/>
  <c r="P94" i="7" s="1"/>
  <c r="F94" i="7"/>
  <c r="E94" i="7"/>
  <c r="V93" i="7"/>
  <c r="U93" i="7"/>
  <c r="O93" i="7"/>
  <c r="L93" i="7"/>
  <c r="I93" i="7"/>
  <c r="Q93" i="7" s="1"/>
  <c r="H93" i="7"/>
  <c r="N93" i="7" s="1"/>
  <c r="G93" i="7"/>
  <c r="P93" i="7" s="1"/>
  <c r="F93" i="7"/>
  <c r="E93" i="7"/>
  <c r="V92" i="7"/>
  <c r="U92" i="7"/>
  <c r="O92" i="7"/>
  <c r="L92" i="7"/>
  <c r="I92" i="7"/>
  <c r="Q92" i="7" s="1"/>
  <c r="H92" i="7"/>
  <c r="N92" i="7" s="1"/>
  <c r="G92" i="7"/>
  <c r="P92" i="7" s="1"/>
  <c r="F92" i="7"/>
  <c r="E92" i="7"/>
  <c r="V91" i="7"/>
  <c r="U91" i="7"/>
  <c r="O91" i="7"/>
  <c r="L91" i="7"/>
  <c r="I91" i="7"/>
  <c r="Q91" i="7" s="1"/>
  <c r="H91" i="7"/>
  <c r="G91" i="7"/>
  <c r="P91" i="7" s="1"/>
  <c r="F91" i="7"/>
  <c r="E91" i="7"/>
  <c r="V90" i="7"/>
  <c r="U90" i="7"/>
  <c r="O90" i="7"/>
  <c r="L90" i="7"/>
  <c r="I90" i="7"/>
  <c r="Q90" i="7" s="1"/>
  <c r="H90" i="7"/>
  <c r="N90" i="7" s="1"/>
  <c r="G90" i="7"/>
  <c r="F90" i="7"/>
  <c r="E90" i="7"/>
  <c r="U89" i="7"/>
  <c r="T89" i="7"/>
  <c r="S89" i="7"/>
  <c r="V89" i="7" s="1"/>
  <c r="R89" i="7"/>
  <c r="CN88" i="7"/>
  <c r="CM88" i="7"/>
  <c r="CK88" i="7"/>
  <c r="CJ88" i="7"/>
  <c r="CL88" i="7" s="1"/>
  <c r="CH88" i="7"/>
  <c r="CG88" i="7"/>
  <c r="CI88" i="7" s="1"/>
  <c r="CE88" i="7"/>
  <c r="CD88" i="7"/>
  <c r="CF88" i="7" s="1"/>
  <c r="CB88" i="7"/>
  <c r="CA88" i="7"/>
  <c r="CC88" i="7" s="1"/>
  <c r="BY88" i="7"/>
  <c r="BX88" i="7"/>
  <c r="BZ88" i="7" s="1"/>
  <c r="BV88" i="7"/>
  <c r="BU88" i="7"/>
  <c r="BW88" i="7" s="1"/>
  <c r="BS88" i="7"/>
  <c r="BR88" i="7"/>
  <c r="BP88" i="7"/>
  <c r="BO88" i="7"/>
  <c r="BM88" i="7"/>
  <c r="BL88" i="7"/>
  <c r="BJ88" i="7"/>
  <c r="BI88" i="7"/>
  <c r="BG88" i="7"/>
  <c r="BF88" i="7"/>
  <c r="BH88" i="7" s="1"/>
  <c r="BD88" i="7"/>
  <c r="BC88" i="7"/>
  <c r="BE88" i="7" s="1"/>
  <c r="BA88" i="7"/>
  <c r="AZ88" i="7"/>
  <c r="BB88" i="7" s="1"/>
  <c r="AX88" i="7"/>
  <c r="AW88" i="7"/>
  <c r="AY88" i="7" s="1"/>
  <c r="AU88" i="7"/>
  <c r="AT88" i="7"/>
  <c r="AV88" i="7" s="1"/>
  <c r="AS88" i="7"/>
  <c r="AR88" i="7"/>
  <c r="AP88" i="7"/>
  <c r="AO88" i="7"/>
  <c r="AM88" i="7"/>
  <c r="AL88" i="7"/>
  <c r="AJ88" i="7"/>
  <c r="AI88" i="7"/>
  <c r="AG88" i="7"/>
  <c r="AF88" i="7"/>
  <c r="AE88" i="7"/>
  <c r="AD88" i="7"/>
  <c r="AC88" i="7"/>
  <c r="AA88" i="7"/>
  <c r="Z88" i="7"/>
  <c r="X88" i="7"/>
  <c r="W88" i="7"/>
  <c r="T88" i="7"/>
  <c r="S88" i="7"/>
  <c r="V88" i="7" s="1"/>
  <c r="R88" i="7"/>
  <c r="O88" i="7"/>
  <c r="L88" i="7"/>
  <c r="I88" i="7"/>
  <c r="Q88" i="7" s="1"/>
  <c r="H88" i="7"/>
  <c r="G88" i="7"/>
  <c r="P88" i="7" s="1"/>
  <c r="F88" i="7"/>
  <c r="E88" i="7"/>
  <c r="CN87" i="7"/>
  <c r="CM87" i="7"/>
  <c r="CK87" i="7"/>
  <c r="CJ87" i="7"/>
  <c r="CL87" i="7" s="1"/>
  <c r="CH87" i="7"/>
  <c r="CG87" i="7"/>
  <c r="CI87" i="7" s="1"/>
  <c r="CE87" i="7"/>
  <c r="CD87" i="7"/>
  <c r="CF87" i="7" s="1"/>
  <c r="CB87" i="7"/>
  <c r="CA87" i="7"/>
  <c r="CC87" i="7" s="1"/>
  <c r="BY87" i="7"/>
  <c r="BX87" i="7"/>
  <c r="BZ87" i="7" s="1"/>
  <c r="BV87" i="7"/>
  <c r="BU87" i="7"/>
  <c r="BW87" i="7" s="1"/>
  <c r="BS87" i="7"/>
  <c r="BR87" i="7"/>
  <c r="BP87" i="7"/>
  <c r="BO87" i="7"/>
  <c r="BM87" i="7"/>
  <c r="BL87" i="7"/>
  <c r="BJ87" i="7"/>
  <c r="BI87" i="7"/>
  <c r="BG87" i="7"/>
  <c r="BF87" i="7"/>
  <c r="BH87" i="7" s="1"/>
  <c r="BD87" i="7"/>
  <c r="BC87" i="7"/>
  <c r="BE87" i="7" s="1"/>
  <c r="BA87" i="7"/>
  <c r="AZ87" i="7"/>
  <c r="BB87" i="7" s="1"/>
  <c r="AX87" i="7"/>
  <c r="AW87" i="7"/>
  <c r="AY87" i="7" s="1"/>
  <c r="AU87" i="7"/>
  <c r="AT87" i="7"/>
  <c r="AV87" i="7" s="1"/>
  <c r="AS87" i="7"/>
  <c r="AR87" i="7"/>
  <c r="AP87" i="7"/>
  <c r="AO87" i="7"/>
  <c r="AM87" i="7"/>
  <c r="AL87" i="7"/>
  <c r="AJ87" i="7"/>
  <c r="AI87" i="7"/>
  <c r="AG87" i="7"/>
  <c r="AF87" i="7"/>
  <c r="AE87" i="7"/>
  <c r="AD87" i="7"/>
  <c r="AC87" i="7"/>
  <c r="AA87" i="7"/>
  <c r="Z87" i="7"/>
  <c r="X87" i="7"/>
  <c r="W87" i="7"/>
  <c r="T87" i="7"/>
  <c r="S87" i="7"/>
  <c r="V87" i="7" s="1"/>
  <c r="R87" i="7"/>
  <c r="O87" i="7"/>
  <c r="L87" i="7"/>
  <c r="I87" i="7"/>
  <c r="Q87" i="7" s="1"/>
  <c r="H87" i="7"/>
  <c r="G87" i="7"/>
  <c r="P87" i="7" s="1"/>
  <c r="F87" i="7"/>
  <c r="E87" i="7"/>
  <c r="CN86" i="7"/>
  <c r="CM86" i="7"/>
  <c r="CK86" i="7"/>
  <c r="CJ86" i="7"/>
  <c r="CL86" i="7" s="1"/>
  <c r="CH86" i="7"/>
  <c r="CG86" i="7"/>
  <c r="CI86" i="7" s="1"/>
  <c r="CE86" i="7"/>
  <c r="CD86" i="7"/>
  <c r="CF86" i="7" s="1"/>
  <c r="CB86" i="7"/>
  <c r="CA86" i="7"/>
  <c r="CC86" i="7" s="1"/>
  <c r="BY86" i="7"/>
  <c r="BX86" i="7"/>
  <c r="BZ86" i="7" s="1"/>
  <c r="BV86" i="7"/>
  <c r="BU86" i="7"/>
  <c r="BW86" i="7" s="1"/>
  <c r="BS86" i="7"/>
  <c r="BR86" i="7"/>
  <c r="BP86" i="7"/>
  <c r="BO86" i="7"/>
  <c r="BM86" i="7"/>
  <c r="BL86" i="7"/>
  <c r="BJ86" i="7"/>
  <c r="BI86" i="7"/>
  <c r="BG86" i="7"/>
  <c r="BF86" i="7"/>
  <c r="BD86" i="7"/>
  <c r="BC86" i="7"/>
  <c r="BA86" i="7"/>
  <c r="AZ86" i="7"/>
  <c r="AX86" i="7"/>
  <c r="AW86" i="7"/>
  <c r="AU86" i="7"/>
  <c r="AT86" i="7"/>
  <c r="AS86" i="7"/>
  <c r="AR86" i="7"/>
  <c r="AP86" i="7"/>
  <c r="AO86" i="7"/>
  <c r="AM86" i="7"/>
  <c r="AL86" i="7"/>
  <c r="AJ86" i="7"/>
  <c r="AI86" i="7"/>
  <c r="AG86" i="7"/>
  <c r="AF86" i="7"/>
  <c r="AE86" i="7"/>
  <c r="AD86" i="7"/>
  <c r="AC86" i="7"/>
  <c r="AA86" i="7"/>
  <c r="Z86" i="7"/>
  <c r="X86" i="7"/>
  <c r="W86" i="7"/>
  <c r="T86" i="7"/>
  <c r="S86" i="7"/>
  <c r="V86" i="7" s="1"/>
  <c r="R86" i="7"/>
  <c r="O86" i="7"/>
  <c r="L86" i="7"/>
  <c r="I86" i="7"/>
  <c r="Q86" i="7" s="1"/>
  <c r="H86" i="7"/>
  <c r="G86" i="7"/>
  <c r="P86" i="7" s="1"/>
  <c r="F86" i="7"/>
  <c r="E86" i="7"/>
  <c r="CN85" i="7"/>
  <c r="CM85" i="7"/>
  <c r="CK85" i="7"/>
  <c r="CJ85" i="7"/>
  <c r="CL85" i="7" s="1"/>
  <c r="CH85" i="7"/>
  <c r="CG85" i="7"/>
  <c r="CI85" i="7" s="1"/>
  <c r="CE85" i="7"/>
  <c r="CD85" i="7"/>
  <c r="CF85" i="7" s="1"/>
  <c r="CB85" i="7"/>
  <c r="CA85" i="7"/>
  <c r="CC85" i="7" s="1"/>
  <c r="BY85" i="7"/>
  <c r="BX85" i="7"/>
  <c r="BZ85" i="7" s="1"/>
  <c r="BV85" i="7"/>
  <c r="BU85" i="7"/>
  <c r="BW85" i="7" s="1"/>
  <c r="BS85" i="7"/>
  <c r="BR85" i="7"/>
  <c r="BP85" i="7"/>
  <c r="BO85" i="7"/>
  <c r="BM85" i="7"/>
  <c r="BL85" i="7"/>
  <c r="BJ85" i="7"/>
  <c r="BI85" i="7"/>
  <c r="BG85" i="7"/>
  <c r="BF85" i="7"/>
  <c r="BH85" i="7" s="1"/>
  <c r="BD85" i="7"/>
  <c r="BC85" i="7"/>
  <c r="BE85" i="7" s="1"/>
  <c r="BA85" i="7"/>
  <c r="AZ85" i="7"/>
  <c r="BB85" i="7" s="1"/>
  <c r="AX85" i="7"/>
  <c r="AW85" i="7"/>
  <c r="AY85" i="7" s="1"/>
  <c r="AU85" i="7"/>
  <c r="AT85" i="7"/>
  <c r="AV85" i="7" s="1"/>
  <c r="AS85" i="7"/>
  <c r="AR85" i="7"/>
  <c r="AP85" i="7"/>
  <c r="AO85" i="7"/>
  <c r="AM85" i="7"/>
  <c r="AL85" i="7"/>
  <c r="AJ85" i="7"/>
  <c r="AI85" i="7"/>
  <c r="AG85" i="7"/>
  <c r="AF85" i="7"/>
  <c r="AE85" i="7"/>
  <c r="AD85" i="7"/>
  <c r="AC85" i="7"/>
  <c r="AA85" i="7"/>
  <c r="Z85" i="7"/>
  <c r="X85" i="7"/>
  <c r="W85" i="7"/>
  <c r="T85" i="7"/>
  <c r="S85" i="7"/>
  <c r="V85" i="7" s="1"/>
  <c r="R85" i="7"/>
  <c r="O85" i="7"/>
  <c r="L85" i="7"/>
  <c r="I85" i="7"/>
  <c r="Q85" i="7" s="1"/>
  <c r="H85" i="7"/>
  <c r="G85" i="7"/>
  <c r="P85" i="7" s="1"/>
  <c r="F85" i="7"/>
  <c r="E85" i="7"/>
  <c r="CN84" i="7"/>
  <c r="CM84" i="7"/>
  <c r="CK84" i="7"/>
  <c r="CJ84" i="7"/>
  <c r="CL84" i="7" s="1"/>
  <c r="CH84" i="7"/>
  <c r="CG84" i="7"/>
  <c r="CI84" i="7" s="1"/>
  <c r="CE84" i="7"/>
  <c r="CD84" i="7"/>
  <c r="CF84" i="7" s="1"/>
  <c r="CB84" i="7"/>
  <c r="CA84" i="7"/>
  <c r="CC84" i="7" s="1"/>
  <c r="BY84" i="7"/>
  <c r="BX84" i="7"/>
  <c r="BZ84" i="7" s="1"/>
  <c r="BV84" i="7"/>
  <c r="BU84" i="7"/>
  <c r="BW84" i="7" s="1"/>
  <c r="BS84" i="7"/>
  <c r="BR84" i="7"/>
  <c r="BP84" i="7"/>
  <c r="BO84" i="7"/>
  <c r="BM84" i="7"/>
  <c r="BL84" i="7"/>
  <c r="BJ84" i="7"/>
  <c r="BI84" i="7"/>
  <c r="BG84" i="7"/>
  <c r="BF84" i="7"/>
  <c r="BH84" i="7" s="1"/>
  <c r="BD84" i="7"/>
  <c r="BC84" i="7"/>
  <c r="BE84" i="7" s="1"/>
  <c r="BA84" i="7"/>
  <c r="AZ84" i="7"/>
  <c r="BB84" i="7" s="1"/>
  <c r="AX84" i="7"/>
  <c r="AW84" i="7"/>
  <c r="AY84" i="7" s="1"/>
  <c r="AU84" i="7"/>
  <c r="AT84" i="7"/>
  <c r="AV84" i="7" s="1"/>
  <c r="AS84" i="7"/>
  <c r="AR84" i="7"/>
  <c r="AP84" i="7"/>
  <c r="AO84" i="7"/>
  <c r="AM84" i="7"/>
  <c r="AL84" i="7"/>
  <c r="AJ84" i="7"/>
  <c r="AI84" i="7"/>
  <c r="AG84" i="7"/>
  <c r="AF84" i="7"/>
  <c r="AE84" i="7"/>
  <c r="AD84" i="7"/>
  <c r="AC84" i="7"/>
  <c r="AA84" i="7"/>
  <c r="Z84" i="7"/>
  <c r="X84" i="7"/>
  <c r="W84" i="7"/>
  <c r="T84" i="7"/>
  <c r="S84" i="7"/>
  <c r="V84" i="7" s="1"/>
  <c r="R84" i="7"/>
  <c r="O84" i="7"/>
  <c r="L84" i="7"/>
  <c r="I84" i="7"/>
  <c r="Q84" i="7" s="1"/>
  <c r="H84" i="7"/>
  <c r="G84" i="7"/>
  <c r="P84" i="7" s="1"/>
  <c r="F84" i="7"/>
  <c r="E84" i="7"/>
  <c r="CN83" i="7"/>
  <c r="CM83" i="7"/>
  <c r="CK83" i="7"/>
  <c r="CJ83" i="7"/>
  <c r="CL83" i="7" s="1"/>
  <c r="CH83" i="7"/>
  <c r="CG83" i="7"/>
  <c r="CI83" i="7" s="1"/>
  <c r="CE83" i="7"/>
  <c r="CD83" i="7"/>
  <c r="CF83" i="7" s="1"/>
  <c r="CB83" i="7"/>
  <c r="CA83" i="7"/>
  <c r="CC83" i="7" s="1"/>
  <c r="BY83" i="7"/>
  <c r="BX83" i="7"/>
  <c r="BV83" i="7"/>
  <c r="BU83" i="7"/>
  <c r="BW83" i="7" s="1"/>
  <c r="BS83" i="7"/>
  <c r="BR83" i="7"/>
  <c r="BT83" i="7" s="1"/>
  <c r="BP83" i="7"/>
  <c r="BO83" i="7"/>
  <c r="BQ83" i="7" s="1"/>
  <c r="BM83" i="7"/>
  <c r="BL83" i="7"/>
  <c r="BN83" i="7" s="1"/>
  <c r="BJ83" i="7"/>
  <c r="BI83" i="7"/>
  <c r="BK83" i="7" s="1"/>
  <c r="BG83" i="7"/>
  <c r="BF83" i="7"/>
  <c r="BH83" i="7" s="1"/>
  <c r="BD83" i="7"/>
  <c r="BC83" i="7"/>
  <c r="BE83" i="7" s="1"/>
  <c r="BA83" i="7"/>
  <c r="AZ83" i="7"/>
  <c r="BB83" i="7" s="1"/>
  <c r="AX83" i="7"/>
  <c r="AW83" i="7"/>
  <c r="AY83" i="7" s="1"/>
  <c r="AU83" i="7"/>
  <c r="AT83" i="7"/>
  <c r="AV83" i="7" s="1"/>
  <c r="AS83" i="7"/>
  <c r="AR83" i="7"/>
  <c r="AP83" i="7"/>
  <c r="AO83" i="7"/>
  <c r="AQ83" i="7" s="1"/>
  <c r="AM83" i="7"/>
  <c r="AL83" i="7"/>
  <c r="AN83" i="7" s="1"/>
  <c r="AJ83" i="7"/>
  <c r="AI83" i="7"/>
  <c r="AK83" i="7" s="1"/>
  <c r="AG83" i="7"/>
  <c r="AF83" i="7"/>
  <c r="AH83" i="7" s="1"/>
  <c r="AE83" i="7"/>
  <c r="AD83" i="7"/>
  <c r="AC83" i="7"/>
  <c r="AA83" i="7"/>
  <c r="Z83" i="7"/>
  <c r="X83" i="7"/>
  <c r="W83" i="7"/>
  <c r="T83" i="7"/>
  <c r="S83" i="7"/>
  <c r="V83" i="7" s="1"/>
  <c r="R83" i="7"/>
  <c r="U83" i="7" s="1"/>
  <c r="O83" i="7"/>
  <c r="L83" i="7"/>
  <c r="I83" i="7"/>
  <c r="Q83" i="7" s="1"/>
  <c r="H83" i="7"/>
  <c r="G83" i="7"/>
  <c r="P83" i="7" s="1"/>
  <c r="F83" i="7"/>
  <c r="E83" i="7"/>
  <c r="CN82" i="7"/>
  <c r="CM82" i="7"/>
  <c r="CK82" i="7"/>
  <c r="CJ82" i="7"/>
  <c r="CL82" i="7" s="1"/>
  <c r="CH82" i="7"/>
  <c r="CG82" i="7"/>
  <c r="CI82" i="7" s="1"/>
  <c r="CE82" i="7"/>
  <c r="CD82" i="7"/>
  <c r="CF82" i="7" s="1"/>
  <c r="CB82" i="7"/>
  <c r="CA82" i="7"/>
  <c r="CC82" i="7" s="1"/>
  <c r="BY82" i="7"/>
  <c r="BX82" i="7"/>
  <c r="BZ82" i="7" s="1"/>
  <c r="BV82" i="7"/>
  <c r="BU82" i="7"/>
  <c r="BW82" i="7" s="1"/>
  <c r="BS82" i="7"/>
  <c r="BR82" i="7"/>
  <c r="BP82" i="7"/>
  <c r="BO82" i="7"/>
  <c r="BM82" i="7"/>
  <c r="BL82" i="7"/>
  <c r="BJ82" i="7"/>
  <c r="BI82" i="7"/>
  <c r="BG82" i="7"/>
  <c r="BF82" i="7"/>
  <c r="BD82" i="7"/>
  <c r="BC82" i="7"/>
  <c r="BE82" i="7" s="1"/>
  <c r="BA82" i="7"/>
  <c r="AZ82" i="7"/>
  <c r="BB82" i="7" s="1"/>
  <c r="AX82" i="7"/>
  <c r="AW82" i="7"/>
  <c r="AY82" i="7" s="1"/>
  <c r="AU82" i="7"/>
  <c r="AT82" i="7"/>
  <c r="AV82" i="7" s="1"/>
  <c r="AS82" i="7"/>
  <c r="AR82" i="7"/>
  <c r="AP82" i="7"/>
  <c r="AO82" i="7"/>
  <c r="AM82" i="7"/>
  <c r="AL82" i="7"/>
  <c r="AJ82" i="7"/>
  <c r="AI82" i="7"/>
  <c r="AG82" i="7"/>
  <c r="AF82" i="7"/>
  <c r="AE82" i="7"/>
  <c r="AD82" i="7"/>
  <c r="AC82" i="7"/>
  <c r="AA82" i="7"/>
  <c r="Z82" i="7"/>
  <c r="X82" i="7"/>
  <c r="W82" i="7"/>
  <c r="T82" i="7"/>
  <c r="S82" i="7"/>
  <c r="V82" i="7" s="1"/>
  <c r="R82" i="7"/>
  <c r="O82" i="7"/>
  <c r="L82" i="7"/>
  <c r="I82" i="7"/>
  <c r="Q82" i="7" s="1"/>
  <c r="H82" i="7"/>
  <c r="G82" i="7"/>
  <c r="P82" i="7" s="1"/>
  <c r="F82" i="7"/>
  <c r="E82" i="7"/>
  <c r="CN81" i="7"/>
  <c r="CM81" i="7"/>
  <c r="CK81" i="7"/>
  <c r="CJ81" i="7"/>
  <c r="CL81" i="7" s="1"/>
  <c r="CH81" i="7"/>
  <c r="CG81" i="7"/>
  <c r="CI81" i="7" s="1"/>
  <c r="CE81" i="7"/>
  <c r="CD81" i="7"/>
  <c r="CF81" i="7" s="1"/>
  <c r="CB81" i="7"/>
  <c r="CA81" i="7"/>
  <c r="CC81" i="7" s="1"/>
  <c r="BY81" i="7"/>
  <c r="BX81" i="7"/>
  <c r="BZ81" i="7" s="1"/>
  <c r="BV81" i="7"/>
  <c r="BU81" i="7"/>
  <c r="BW81" i="7" s="1"/>
  <c r="BS81" i="7"/>
  <c r="BR81" i="7"/>
  <c r="BP81" i="7"/>
  <c r="BO81" i="7"/>
  <c r="BM81" i="7"/>
  <c r="BL81" i="7"/>
  <c r="BJ81" i="7"/>
  <c r="BI81" i="7"/>
  <c r="BG81" i="7"/>
  <c r="BF81" i="7"/>
  <c r="BH81" i="7" s="1"/>
  <c r="BD81" i="7"/>
  <c r="BC81" i="7"/>
  <c r="BE81" i="7" s="1"/>
  <c r="BA81" i="7"/>
  <c r="AZ81" i="7"/>
  <c r="BB81" i="7" s="1"/>
  <c r="AX81" i="7"/>
  <c r="AW81" i="7"/>
  <c r="AY81" i="7" s="1"/>
  <c r="AU81" i="7"/>
  <c r="AT81" i="7"/>
  <c r="AV81" i="7" s="1"/>
  <c r="AS81" i="7"/>
  <c r="AR81" i="7"/>
  <c r="AP81" i="7"/>
  <c r="AO81" i="7"/>
  <c r="AM81" i="7"/>
  <c r="AL81" i="7"/>
  <c r="AJ81" i="7"/>
  <c r="AI81" i="7"/>
  <c r="AG81" i="7"/>
  <c r="AF81" i="7"/>
  <c r="AE81" i="7"/>
  <c r="AD81" i="7"/>
  <c r="AC81" i="7"/>
  <c r="AA81" i="7"/>
  <c r="Z81" i="7"/>
  <c r="X81" i="7"/>
  <c r="W81" i="7"/>
  <c r="T81" i="7"/>
  <c r="S81" i="7"/>
  <c r="V81" i="7" s="1"/>
  <c r="R81" i="7"/>
  <c r="O81" i="7"/>
  <c r="L81" i="7"/>
  <c r="I81" i="7"/>
  <c r="H81" i="7"/>
  <c r="G81" i="7"/>
  <c r="P81" i="7" s="1"/>
  <c r="F81" i="7"/>
  <c r="E81" i="7"/>
  <c r="CN80" i="7"/>
  <c r="CM80" i="7"/>
  <c r="CK80" i="7"/>
  <c r="CJ80" i="7"/>
  <c r="CL80" i="7" s="1"/>
  <c r="CH80" i="7"/>
  <c r="CG80" i="7"/>
  <c r="CI80" i="7" s="1"/>
  <c r="CE80" i="7"/>
  <c r="CD80" i="7"/>
  <c r="CB80" i="7"/>
  <c r="CA80" i="7"/>
  <c r="CC80" i="7" s="1"/>
  <c r="BY80" i="7"/>
  <c r="BX80" i="7"/>
  <c r="BZ80" i="7" s="1"/>
  <c r="BV80" i="7"/>
  <c r="BU80" i="7"/>
  <c r="BW80" i="7" s="1"/>
  <c r="BS80" i="7"/>
  <c r="BR80" i="7"/>
  <c r="BP80" i="7"/>
  <c r="BO80" i="7"/>
  <c r="BM80" i="7"/>
  <c r="BL80" i="7"/>
  <c r="BJ80" i="7"/>
  <c r="BI80" i="7"/>
  <c r="BG80" i="7"/>
  <c r="BF80" i="7"/>
  <c r="BH80" i="7" s="1"/>
  <c r="BD80" i="7"/>
  <c r="BC80" i="7"/>
  <c r="BE80" i="7" s="1"/>
  <c r="BA80" i="7"/>
  <c r="AZ80" i="7"/>
  <c r="BB80" i="7" s="1"/>
  <c r="AX80" i="7"/>
  <c r="AW80" i="7"/>
  <c r="AY80" i="7" s="1"/>
  <c r="AU80" i="7"/>
  <c r="AT80" i="7"/>
  <c r="AS80" i="7"/>
  <c r="AR80" i="7"/>
  <c r="AP80" i="7"/>
  <c r="AO80" i="7"/>
  <c r="AM80" i="7"/>
  <c r="AL80" i="7"/>
  <c r="AJ80" i="7"/>
  <c r="AI80" i="7"/>
  <c r="AG80" i="7"/>
  <c r="AF80" i="7"/>
  <c r="AE80" i="7"/>
  <c r="AD80" i="7"/>
  <c r="AC80" i="7"/>
  <c r="AA80" i="7"/>
  <c r="Z80" i="7"/>
  <c r="X80" i="7"/>
  <c r="W80" i="7"/>
  <c r="T80" i="7"/>
  <c r="S80" i="7"/>
  <c r="V80" i="7" s="1"/>
  <c r="R80" i="7"/>
  <c r="O80" i="7"/>
  <c r="L80" i="7"/>
  <c r="I80" i="7"/>
  <c r="Q80" i="7" s="1"/>
  <c r="H80" i="7"/>
  <c r="G80" i="7"/>
  <c r="P80" i="7" s="1"/>
  <c r="F80" i="7"/>
  <c r="E80" i="7"/>
  <c r="CN79" i="7"/>
  <c r="CM79" i="7"/>
  <c r="CK79" i="7"/>
  <c r="CJ79" i="7"/>
  <c r="CL79" i="7" s="1"/>
  <c r="CH79" i="7"/>
  <c r="CG79" i="7"/>
  <c r="CI79" i="7" s="1"/>
  <c r="CE79" i="7"/>
  <c r="CD79" i="7"/>
  <c r="CF79" i="7" s="1"/>
  <c r="CB79" i="7"/>
  <c r="CA79" i="7"/>
  <c r="CC79" i="7" s="1"/>
  <c r="BY79" i="7"/>
  <c r="BX79" i="7"/>
  <c r="BZ79" i="7" s="1"/>
  <c r="BV79" i="7"/>
  <c r="BU79" i="7"/>
  <c r="BW79" i="7" s="1"/>
  <c r="BS79" i="7"/>
  <c r="BR79" i="7"/>
  <c r="BP79" i="7"/>
  <c r="BO79" i="7"/>
  <c r="BM79" i="7"/>
  <c r="BL79" i="7"/>
  <c r="BJ79" i="7"/>
  <c r="BI79" i="7"/>
  <c r="BG79" i="7"/>
  <c r="BF79" i="7"/>
  <c r="BH79" i="7" s="1"/>
  <c r="BD79" i="7"/>
  <c r="BC79" i="7"/>
  <c r="BE79" i="7" s="1"/>
  <c r="BA79" i="7"/>
  <c r="AZ79" i="7"/>
  <c r="BB79" i="7" s="1"/>
  <c r="AX79" i="7"/>
  <c r="AW79" i="7"/>
  <c r="AY79" i="7" s="1"/>
  <c r="AU79" i="7"/>
  <c r="AT79" i="7"/>
  <c r="AV79" i="7" s="1"/>
  <c r="AS79" i="7"/>
  <c r="AR79" i="7"/>
  <c r="AP79" i="7"/>
  <c r="AO79" i="7"/>
  <c r="AQ79" i="7" s="1"/>
  <c r="AM79" i="7"/>
  <c r="AL79" i="7"/>
  <c r="AN79" i="7" s="1"/>
  <c r="AJ79" i="7"/>
  <c r="AI79" i="7"/>
  <c r="AK79" i="7" s="1"/>
  <c r="AG79" i="7"/>
  <c r="AF79" i="7"/>
  <c r="AH79" i="7" s="1"/>
  <c r="AE79" i="7"/>
  <c r="AD79" i="7"/>
  <c r="AC79" i="7"/>
  <c r="AA79" i="7"/>
  <c r="Z79" i="7"/>
  <c r="X79" i="7"/>
  <c r="W79" i="7"/>
  <c r="T79" i="7"/>
  <c r="S79" i="7"/>
  <c r="V79" i="7" s="1"/>
  <c r="R79" i="7"/>
  <c r="U79" i="7" s="1"/>
  <c r="O79" i="7"/>
  <c r="L79" i="7"/>
  <c r="I79" i="7"/>
  <c r="Q79" i="7" s="1"/>
  <c r="H79" i="7"/>
  <c r="G79" i="7"/>
  <c r="P79" i="7" s="1"/>
  <c r="F79" i="7"/>
  <c r="E79" i="7"/>
  <c r="CN78" i="7"/>
  <c r="CM78" i="7"/>
  <c r="CK78" i="7"/>
  <c r="CJ78" i="7"/>
  <c r="CH78" i="7"/>
  <c r="CG78" i="7"/>
  <c r="CE78" i="7"/>
  <c r="CD78" i="7"/>
  <c r="CB78" i="7"/>
  <c r="CA78" i="7"/>
  <c r="BY78" i="7"/>
  <c r="BX78" i="7"/>
  <c r="BV78" i="7"/>
  <c r="BU78" i="7"/>
  <c r="BW78" i="7" s="1"/>
  <c r="BS78" i="7"/>
  <c r="BR78" i="7"/>
  <c r="BP78" i="7"/>
  <c r="BO78" i="7"/>
  <c r="BM78" i="7"/>
  <c r="BL78" i="7"/>
  <c r="BJ78" i="7"/>
  <c r="BI78" i="7"/>
  <c r="BG78" i="7"/>
  <c r="BF78" i="7"/>
  <c r="BD78" i="7"/>
  <c r="BC78" i="7"/>
  <c r="BA78" i="7"/>
  <c r="AZ78" i="7"/>
  <c r="AX78" i="7"/>
  <c r="AW78" i="7"/>
  <c r="AU78" i="7"/>
  <c r="AT78" i="7"/>
  <c r="AS78" i="7"/>
  <c r="AR78" i="7"/>
  <c r="AP78" i="7"/>
  <c r="AO78" i="7"/>
  <c r="AM78" i="7"/>
  <c r="AL78" i="7"/>
  <c r="AJ78" i="7"/>
  <c r="AI78" i="7"/>
  <c r="AG78" i="7"/>
  <c r="AF78" i="7"/>
  <c r="AE78" i="7"/>
  <c r="AD78" i="7"/>
  <c r="AC78" i="7"/>
  <c r="AA78" i="7"/>
  <c r="Z78" i="7"/>
  <c r="X78" i="7"/>
  <c r="W78" i="7"/>
  <c r="T78" i="7"/>
  <c r="S78" i="7"/>
  <c r="V78" i="7" s="1"/>
  <c r="R78" i="7"/>
  <c r="O78" i="7"/>
  <c r="L78" i="7"/>
  <c r="I78" i="7"/>
  <c r="Q78" i="7" s="1"/>
  <c r="H78" i="7"/>
  <c r="G78" i="7"/>
  <c r="P78" i="7" s="1"/>
  <c r="F78" i="7"/>
  <c r="E78" i="7"/>
  <c r="CN77" i="7"/>
  <c r="CM77" i="7"/>
  <c r="CK77" i="7"/>
  <c r="CJ77" i="7"/>
  <c r="CL77" i="7" s="1"/>
  <c r="CH77" i="7"/>
  <c r="CG77" i="7"/>
  <c r="CI77" i="7" s="1"/>
  <c r="CE77" i="7"/>
  <c r="CD77" i="7"/>
  <c r="CF77" i="7" s="1"/>
  <c r="CB77" i="7"/>
  <c r="CA77" i="7"/>
  <c r="CC77" i="7" s="1"/>
  <c r="BY77" i="7"/>
  <c r="BX77" i="7"/>
  <c r="BZ77" i="7" s="1"/>
  <c r="BV77" i="7"/>
  <c r="BU77" i="7"/>
  <c r="BW77" i="7" s="1"/>
  <c r="BS77" i="7"/>
  <c r="BR77" i="7"/>
  <c r="BP77" i="7"/>
  <c r="BO77" i="7"/>
  <c r="BM77" i="7"/>
  <c r="BL77" i="7"/>
  <c r="BJ77" i="7"/>
  <c r="BI77" i="7"/>
  <c r="BG77" i="7"/>
  <c r="BF77" i="7"/>
  <c r="BH77" i="7" s="1"/>
  <c r="BD77" i="7"/>
  <c r="BC77" i="7"/>
  <c r="BE77" i="7" s="1"/>
  <c r="BA77" i="7"/>
  <c r="AZ77" i="7"/>
  <c r="BB77" i="7" s="1"/>
  <c r="AX77" i="7"/>
  <c r="AW77" i="7"/>
  <c r="AY77" i="7" s="1"/>
  <c r="AU77" i="7"/>
  <c r="AT77" i="7"/>
  <c r="AV77" i="7" s="1"/>
  <c r="AS77" i="7"/>
  <c r="AR77" i="7"/>
  <c r="AP77" i="7"/>
  <c r="AO77" i="7"/>
  <c r="AM77" i="7"/>
  <c r="AL77" i="7"/>
  <c r="AJ77" i="7"/>
  <c r="AI77" i="7"/>
  <c r="AG77" i="7"/>
  <c r="AF77" i="7"/>
  <c r="AE77" i="7"/>
  <c r="AD77" i="7"/>
  <c r="AC77" i="7"/>
  <c r="AA77" i="7"/>
  <c r="Z77" i="7"/>
  <c r="X77" i="7"/>
  <c r="W77" i="7"/>
  <c r="T77" i="7"/>
  <c r="S77" i="7"/>
  <c r="V77" i="7" s="1"/>
  <c r="R77" i="7"/>
  <c r="O77" i="7"/>
  <c r="L77" i="7"/>
  <c r="I77" i="7"/>
  <c r="Q77" i="7" s="1"/>
  <c r="H77" i="7"/>
  <c r="G77" i="7"/>
  <c r="P77" i="7" s="1"/>
  <c r="F77" i="7"/>
  <c r="E77" i="7"/>
  <c r="CN76" i="7"/>
  <c r="CM76" i="7"/>
  <c r="CK76" i="7"/>
  <c r="CJ76" i="7"/>
  <c r="CL76" i="7" s="1"/>
  <c r="CH76" i="7"/>
  <c r="CG76" i="7"/>
  <c r="CI76" i="7" s="1"/>
  <c r="CE76" i="7"/>
  <c r="CD76" i="7"/>
  <c r="CF76" i="7" s="1"/>
  <c r="CB76" i="7"/>
  <c r="CA76" i="7"/>
  <c r="CC76" i="7" s="1"/>
  <c r="BY76" i="7"/>
  <c r="BX76" i="7"/>
  <c r="BZ76" i="7" s="1"/>
  <c r="BV76" i="7"/>
  <c r="BU76" i="7"/>
  <c r="BW76" i="7" s="1"/>
  <c r="BS76" i="7"/>
  <c r="BR76" i="7"/>
  <c r="BP76" i="7"/>
  <c r="BO76" i="7"/>
  <c r="BM76" i="7"/>
  <c r="BL76" i="7"/>
  <c r="BJ76" i="7"/>
  <c r="BI76" i="7"/>
  <c r="BG76" i="7"/>
  <c r="BF76" i="7"/>
  <c r="BD76" i="7"/>
  <c r="BC76" i="7"/>
  <c r="BA76" i="7"/>
  <c r="AZ76" i="7"/>
  <c r="AX76" i="7"/>
  <c r="AW76" i="7"/>
  <c r="AU76" i="7"/>
  <c r="AT76" i="7"/>
  <c r="AS76" i="7"/>
  <c r="AR76" i="7"/>
  <c r="AP76" i="7"/>
  <c r="AO76" i="7"/>
  <c r="AM76" i="7"/>
  <c r="AL76" i="7"/>
  <c r="AJ76" i="7"/>
  <c r="AI76" i="7"/>
  <c r="AG76" i="7"/>
  <c r="AF76" i="7"/>
  <c r="AE76" i="7"/>
  <c r="AD76" i="7"/>
  <c r="AC76" i="7"/>
  <c r="AA76" i="7"/>
  <c r="Z76" i="7"/>
  <c r="X76" i="7"/>
  <c r="W76" i="7"/>
  <c r="T76" i="7"/>
  <c r="S76" i="7"/>
  <c r="V76" i="7" s="1"/>
  <c r="R76" i="7"/>
  <c r="O76" i="7"/>
  <c r="L76" i="7"/>
  <c r="I76" i="7"/>
  <c r="Q76" i="7" s="1"/>
  <c r="H76" i="7"/>
  <c r="G76" i="7"/>
  <c r="P76" i="7" s="1"/>
  <c r="F76" i="7"/>
  <c r="E76" i="7"/>
  <c r="CN75" i="7"/>
  <c r="CM75" i="7"/>
  <c r="CK75" i="7"/>
  <c r="CJ75" i="7"/>
  <c r="CL75" i="7" s="1"/>
  <c r="CH75" i="7"/>
  <c r="CG75" i="7"/>
  <c r="CI75" i="7" s="1"/>
  <c r="CE75" i="7"/>
  <c r="CD75" i="7"/>
  <c r="CF75" i="7" s="1"/>
  <c r="CB75" i="7"/>
  <c r="CA75" i="7"/>
  <c r="CC75" i="7" s="1"/>
  <c r="BY75" i="7"/>
  <c r="BX75" i="7"/>
  <c r="BZ75" i="7" s="1"/>
  <c r="BV75" i="7"/>
  <c r="BU75" i="7"/>
  <c r="BW75" i="7" s="1"/>
  <c r="BS75" i="7"/>
  <c r="BR75" i="7"/>
  <c r="BP75" i="7"/>
  <c r="BO75" i="7"/>
  <c r="BM75" i="7"/>
  <c r="BL75" i="7"/>
  <c r="BJ75" i="7"/>
  <c r="BI75" i="7"/>
  <c r="BG75" i="7"/>
  <c r="BF75" i="7"/>
  <c r="BH75" i="7" s="1"/>
  <c r="BD75" i="7"/>
  <c r="BC75" i="7"/>
  <c r="BE75" i="7" s="1"/>
  <c r="BA75" i="7"/>
  <c r="AZ75" i="7"/>
  <c r="BB75" i="7" s="1"/>
  <c r="AX75" i="7"/>
  <c r="AW75" i="7"/>
  <c r="AY75" i="7" s="1"/>
  <c r="AU75" i="7"/>
  <c r="AT75" i="7"/>
  <c r="AV75" i="7" s="1"/>
  <c r="AS75" i="7"/>
  <c r="AR75" i="7"/>
  <c r="AP75" i="7"/>
  <c r="AO75" i="7"/>
  <c r="AM75" i="7"/>
  <c r="AL75" i="7"/>
  <c r="AJ75" i="7"/>
  <c r="AI75" i="7"/>
  <c r="AG75" i="7"/>
  <c r="AF75" i="7"/>
  <c r="AE75" i="7"/>
  <c r="AD75" i="7"/>
  <c r="AC75" i="7"/>
  <c r="AA75" i="7"/>
  <c r="Z75" i="7"/>
  <c r="X75" i="7"/>
  <c r="W75" i="7"/>
  <c r="T75" i="7"/>
  <c r="S75" i="7"/>
  <c r="V75" i="7" s="1"/>
  <c r="R75" i="7"/>
  <c r="O75" i="7"/>
  <c r="L75" i="7"/>
  <c r="I75" i="7"/>
  <c r="Q75" i="7" s="1"/>
  <c r="H75" i="7"/>
  <c r="G75" i="7"/>
  <c r="P75" i="7" s="1"/>
  <c r="F75" i="7"/>
  <c r="E75" i="7"/>
  <c r="CN73" i="7"/>
  <c r="CM73" i="7"/>
  <c r="CK73" i="7"/>
  <c r="CJ73" i="7"/>
  <c r="CL73" i="7" s="1"/>
  <c r="CH73" i="7"/>
  <c r="CG73" i="7"/>
  <c r="CI73" i="7" s="1"/>
  <c r="CE73" i="7"/>
  <c r="CD73" i="7"/>
  <c r="CF73" i="7" s="1"/>
  <c r="CB73" i="7"/>
  <c r="CA73" i="7"/>
  <c r="CC73" i="7" s="1"/>
  <c r="BY73" i="7"/>
  <c r="BX73" i="7"/>
  <c r="BZ73" i="7" s="1"/>
  <c r="BV73" i="7"/>
  <c r="BU73" i="7"/>
  <c r="BW73" i="7" s="1"/>
  <c r="BS73" i="7"/>
  <c r="BR73" i="7"/>
  <c r="BP73" i="7"/>
  <c r="BO73" i="7"/>
  <c r="BM73" i="7"/>
  <c r="BL73" i="7"/>
  <c r="BJ73" i="7"/>
  <c r="BI73" i="7"/>
  <c r="BG73" i="7"/>
  <c r="BF73" i="7"/>
  <c r="BH73" i="7" s="1"/>
  <c r="BD73" i="7"/>
  <c r="BC73" i="7"/>
  <c r="BE73" i="7" s="1"/>
  <c r="BA73" i="7"/>
  <c r="AZ73" i="7"/>
  <c r="BB73" i="7" s="1"/>
  <c r="AX73" i="7"/>
  <c r="AW73" i="7"/>
  <c r="AY73" i="7" s="1"/>
  <c r="AU73" i="7"/>
  <c r="AT73" i="7"/>
  <c r="AV73" i="7" s="1"/>
  <c r="AS73" i="7"/>
  <c r="AR73" i="7"/>
  <c r="AP73" i="7"/>
  <c r="AO73" i="7"/>
  <c r="AQ73" i="7" s="1"/>
  <c r="AM73" i="7"/>
  <c r="AL73" i="7"/>
  <c r="AN73" i="7" s="1"/>
  <c r="AJ73" i="7"/>
  <c r="AI73" i="7"/>
  <c r="AK73" i="7" s="1"/>
  <c r="AG73" i="7"/>
  <c r="AF73" i="7"/>
  <c r="AH73" i="7" s="1"/>
  <c r="AE73" i="7"/>
  <c r="AD73" i="7"/>
  <c r="AC73" i="7"/>
  <c r="AA73" i="7"/>
  <c r="Z73" i="7"/>
  <c r="X73" i="7"/>
  <c r="W73" i="7"/>
  <c r="T73" i="7"/>
  <c r="S73" i="7"/>
  <c r="V73" i="7" s="1"/>
  <c r="R73" i="7"/>
  <c r="U73" i="7" s="1"/>
  <c r="O73" i="7"/>
  <c r="L73" i="7"/>
  <c r="I73" i="7"/>
  <c r="Q73" i="7" s="1"/>
  <c r="H73" i="7"/>
  <c r="G73" i="7"/>
  <c r="P73" i="7" s="1"/>
  <c r="F73" i="7"/>
  <c r="E73" i="7"/>
  <c r="CN72" i="7"/>
  <c r="CM72" i="7"/>
  <c r="CK72" i="7"/>
  <c r="CJ72" i="7"/>
  <c r="CL72" i="7" s="1"/>
  <c r="CH72" i="7"/>
  <c r="CG72" i="7"/>
  <c r="CI72" i="7" s="1"/>
  <c r="CE72" i="7"/>
  <c r="CD72" i="7"/>
  <c r="CF72" i="7" s="1"/>
  <c r="CB72" i="7"/>
  <c r="CA72" i="7"/>
  <c r="CC72" i="7" s="1"/>
  <c r="BY72" i="7"/>
  <c r="BX72" i="7"/>
  <c r="BZ72" i="7" s="1"/>
  <c r="BV72" i="7"/>
  <c r="BU72" i="7"/>
  <c r="BW72" i="7" s="1"/>
  <c r="BS72" i="7"/>
  <c r="BR72" i="7"/>
  <c r="BP72" i="7"/>
  <c r="BO72" i="7"/>
  <c r="BM72" i="7"/>
  <c r="BL72" i="7"/>
  <c r="BJ72" i="7"/>
  <c r="BI72" i="7"/>
  <c r="BG72" i="7"/>
  <c r="BF72" i="7"/>
  <c r="BH72" i="7" s="1"/>
  <c r="BD72" i="7"/>
  <c r="BC72" i="7"/>
  <c r="BE72" i="7" s="1"/>
  <c r="BA72" i="7"/>
  <c r="AZ72" i="7"/>
  <c r="BB72" i="7" s="1"/>
  <c r="AX72" i="7"/>
  <c r="AW72" i="7"/>
  <c r="AY72" i="7" s="1"/>
  <c r="AU72" i="7"/>
  <c r="AT72" i="7"/>
  <c r="AV72" i="7" s="1"/>
  <c r="AS72" i="7"/>
  <c r="AR72" i="7"/>
  <c r="AP72" i="7"/>
  <c r="AO72" i="7"/>
  <c r="AM72" i="7"/>
  <c r="AL72" i="7"/>
  <c r="AJ72" i="7"/>
  <c r="AI72" i="7"/>
  <c r="AG72" i="7"/>
  <c r="AF72" i="7"/>
  <c r="AE72" i="7"/>
  <c r="AD72" i="7"/>
  <c r="AC72" i="7"/>
  <c r="AA72" i="7"/>
  <c r="Z72" i="7"/>
  <c r="X72" i="7"/>
  <c r="W72" i="7"/>
  <c r="T72" i="7"/>
  <c r="S72" i="7"/>
  <c r="V72" i="7" s="1"/>
  <c r="R72" i="7"/>
  <c r="O72" i="7"/>
  <c r="L72" i="7"/>
  <c r="I72" i="7"/>
  <c r="Q72" i="7" s="1"/>
  <c r="H72" i="7"/>
  <c r="G72" i="7"/>
  <c r="P72" i="7" s="1"/>
  <c r="F72" i="7"/>
  <c r="E72" i="7"/>
  <c r="CN71" i="7"/>
  <c r="CM71" i="7"/>
  <c r="CK71" i="7"/>
  <c r="CJ71" i="7"/>
  <c r="CL71" i="7" s="1"/>
  <c r="CH71" i="7"/>
  <c r="CG71" i="7"/>
  <c r="CI71" i="7" s="1"/>
  <c r="CE71" i="7"/>
  <c r="CD71" i="7"/>
  <c r="CF71" i="7" s="1"/>
  <c r="CB71" i="7"/>
  <c r="CA71" i="7"/>
  <c r="CC71" i="7" s="1"/>
  <c r="BY71" i="7"/>
  <c r="BX71" i="7"/>
  <c r="BZ71" i="7" s="1"/>
  <c r="BV71" i="7"/>
  <c r="BU71" i="7"/>
  <c r="BW71" i="7" s="1"/>
  <c r="BS71" i="7"/>
  <c r="BR71" i="7"/>
  <c r="BP71" i="7"/>
  <c r="BO71" i="7"/>
  <c r="BM71" i="7"/>
  <c r="BL71" i="7"/>
  <c r="BJ71" i="7"/>
  <c r="BI71" i="7"/>
  <c r="BG71" i="7"/>
  <c r="BF71" i="7"/>
  <c r="BH71" i="7" s="1"/>
  <c r="BD71" i="7"/>
  <c r="BC71" i="7"/>
  <c r="BE71" i="7" s="1"/>
  <c r="BA71" i="7"/>
  <c r="AZ71" i="7"/>
  <c r="BB71" i="7" s="1"/>
  <c r="AX71" i="7"/>
  <c r="AW71" i="7"/>
  <c r="AY71" i="7" s="1"/>
  <c r="AU71" i="7"/>
  <c r="AT71" i="7"/>
  <c r="AV71" i="7" s="1"/>
  <c r="AS71" i="7"/>
  <c r="AR71" i="7"/>
  <c r="AP71" i="7"/>
  <c r="AO71" i="7"/>
  <c r="AQ71" i="7" s="1"/>
  <c r="AM71" i="7"/>
  <c r="AL71" i="7"/>
  <c r="AN71" i="7" s="1"/>
  <c r="AJ71" i="7"/>
  <c r="AI71" i="7"/>
  <c r="AK71" i="7" s="1"/>
  <c r="AG71" i="7"/>
  <c r="AF71" i="7"/>
  <c r="AH71" i="7" s="1"/>
  <c r="AE71" i="7"/>
  <c r="AD71" i="7"/>
  <c r="AC71" i="7"/>
  <c r="AA71" i="7"/>
  <c r="Z71" i="7"/>
  <c r="X71" i="7"/>
  <c r="W71" i="7"/>
  <c r="T71" i="7"/>
  <c r="S71" i="7"/>
  <c r="V71" i="7" s="1"/>
  <c r="R71" i="7"/>
  <c r="U71" i="7" s="1"/>
  <c r="O71" i="7"/>
  <c r="L71" i="7"/>
  <c r="I71" i="7"/>
  <c r="Q71" i="7" s="1"/>
  <c r="H71" i="7"/>
  <c r="G71" i="7"/>
  <c r="P71" i="7" s="1"/>
  <c r="F71" i="7"/>
  <c r="E71" i="7"/>
  <c r="CN70" i="7"/>
  <c r="CM70" i="7"/>
  <c r="CK70" i="7"/>
  <c r="CJ70" i="7"/>
  <c r="CL70" i="7" s="1"/>
  <c r="CH70" i="7"/>
  <c r="CG70" i="7"/>
  <c r="CI70" i="7" s="1"/>
  <c r="CE70" i="7"/>
  <c r="CD70" i="7"/>
  <c r="CF70" i="7" s="1"/>
  <c r="CB70" i="7"/>
  <c r="CA70" i="7"/>
  <c r="CC70" i="7" s="1"/>
  <c r="BY70" i="7"/>
  <c r="BX70" i="7"/>
  <c r="BZ70" i="7" s="1"/>
  <c r="BV70" i="7"/>
  <c r="BU70" i="7"/>
  <c r="BW70" i="7" s="1"/>
  <c r="BS70" i="7"/>
  <c r="BR70" i="7"/>
  <c r="BP70" i="7"/>
  <c r="BO70" i="7"/>
  <c r="BM70" i="7"/>
  <c r="BL70" i="7"/>
  <c r="BJ70" i="7"/>
  <c r="BI70" i="7"/>
  <c r="BG70" i="7"/>
  <c r="BF70" i="7"/>
  <c r="BH70" i="7" s="1"/>
  <c r="BD70" i="7"/>
  <c r="BC70" i="7"/>
  <c r="BE70" i="7" s="1"/>
  <c r="BA70" i="7"/>
  <c r="AZ70" i="7"/>
  <c r="BB70" i="7" s="1"/>
  <c r="AX70" i="7"/>
  <c r="AW70" i="7"/>
  <c r="AY70" i="7" s="1"/>
  <c r="AU70" i="7"/>
  <c r="AT70" i="7"/>
  <c r="AV70" i="7" s="1"/>
  <c r="AS70" i="7"/>
  <c r="AR70" i="7"/>
  <c r="AP70" i="7"/>
  <c r="AO70" i="7"/>
  <c r="AM70" i="7"/>
  <c r="AL70" i="7"/>
  <c r="AJ70" i="7"/>
  <c r="AI70" i="7"/>
  <c r="AG70" i="7"/>
  <c r="AF70" i="7"/>
  <c r="AE70" i="7"/>
  <c r="AD70" i="7"/>
  <c r="AC70" i="7"/>
  <c r="AA70" i="7"/>
  <c r="Z70" i="7"/>
  <c r="X70" i="7"/>
  <c r="W70" i="7"/>
  <c r="T70" i="7"/>
  <c r="S70" i="7"/>
  <c r="V70" i="7" s="1"/>
  <c r="R70" i="7"/>
  <c r="O70" i="7"/>
  <c r="L70" i="7"/>
  <c r="I70" i="7"/>
  <c r="Q70" i="7" s="1"/>
  <c r="H70" i="7"/>
  <c r="G70" i="7"/>
  <c r="P70" i="7" s="1"/>
  <c r="F70" i="7"/>
  <c r="E70" i="7"/>
  <c r="CN69" i="7"/>
  <c r="CM69" i="7"/>
  <c r="CK69" i="7"/>
  <c r="CJ69" i="7"/>
  <c r="CH69" i="7"/>
  <c r="CG69" i="7"/>
  <c r="CE69" i="7"/>
  <c r="CD69" i="7"/>
  <c r="CB69" i="7"/>
  <c r="CA69" i="7"/>
  <c r="BY69" i="7"/>
  <c r="BX69" i="7"/>
  <c r="BV69" i="7"/>
  <c r="BU69" i="7"/>
  <c r="BW69" i="7" s="1"/>
  <c r="BS69" i="7"/>
  <c r="BR69" i="7"/>
  <c r="BP69" i="7"/>
  <c r="BO69" i="7"/>
  <c r="BM69" i="7"/>
  <c r="BL69" i="7"/>
  <c r="BJ69" i="7"/>
  <c r="BI69" i="7"/>
  <c r="BG69" i="7"/>
  <c r="BF69" i="7"/>
  <c r="BD69" i="7"/>
  <c r="BC69" i="7"/>
  <c r="BA69" i="7"/>
  <c r="AZ69" i="7"/>
  <c r="AX69" i="7"/>
  <c r="AW69" i="7"/>
  <c r="AU69" i="7"/>
  <c r="AT69" i="7"/>
  <c r="AS69" i="7"/>
  <c r="AR69" i="7"/>
  <c r="AP69" i="7"/>
  <c r="AO69" i="7"/>
  <c r="AM69" i="7"/>
  <c r="AL69" i="7"/>
  <c r="AJ69" i="7"/>
  <c r="AI69" i="7"/>
  <c r="AG69" i="7"/>
  <c r="AF69" i="7"/>
  <c r="AE69" i="7"/>
  <c r="AD69" i="7"/>
  <c r="AC69" i="7"/>
  <c r="AA69" i="7"/>
  <c r="Z69" i="7"/>
  <c r="X69" i="7"/>
  <c r="W69" i="7"/>
  <c r="T69" i="7"/>
  <c r="S69" i="7"/>
  <c r="V69" i="7" s="1"/>
  <c r="R69" i="7"/>
  <c r="O69" i="7"/>
  <c r="L69" i="7"/>
  <c r="I69" i="7"/>
  <c r="Q69" i="7" s="1"/>
  <c r="H69" i="7"/>
  <c r="G69" i="7"/>
  <c r="P69" i="7" s="1"/>
  <c r="F69" i="7"/>
  <c r="E69" i="7"/>
  <c r="CN68" i="7"/>
  <c r="CM68" i="7"/>
  <c r="CK68" i="7"/>
  <c r="CJ68" i="7"/>
  <c r="CL68" i="7" s="1"/>
  <c r="CH68" i="7"/>
  <c r="CG68" i="7"/>
  <c r="CI68" i="7" s="1"/>
  <c r="CE68" i="7"/>
  <c r="CD68" i="7"/>
  <c r="CF68" i="7" s="1"/>
  <c r="CB68" i="7"/>
  <c r="CA68" i="7"/>
  <c r="CC68" i="7" s="1"/>
  <c r="BY68" i="7"/>
  <c r="BX68" i="7"/>
  <c r="BZ68" i="7" s="1"/>
  <c r="BV68" i="7"/>
  <c r="BU68" i="7"/>
  <c r="BW68" i="7" s="1"/>
  <c r="BS68" i="7"/>
  <c r="BR68" i="7"/>
  <c r="BP68" i="7"/>
  <c r="BO68" i="7"/>
  <c r="BM68" i="7"/>
  <c r="BL68" i="7"/>
  <c r="BJ68" i="7"/>
  <c r="BI68" i="7"/>
  <c r="BG68" i="7"/>
  <c r="BF68" i="7"/>
  <c r="BH68" i="7" s="1"/>
  <c r="BD68" i="7"/>
  <c r="BC68" i="7"/>
  <c r="BE68" i="7" s="1"/>
  <c r="BA68" i="7"/>
  <c r="AZ68" i="7"/>
  <c r="BB68" i="7" s="1"/>
  <c r="AX68" i="7"/>
  <c r="AW68" i="7"/>
  <c r="AY68" i="7" s="1"/>
  <c r="AU68" i="7"/>
  <c r="AT68" i="7"/>
  <c r="AV68" i="7" s="1"/>
  <c r="AS68" i="7"/>
  <c r="AR68" i="7"/>
  <c r="AP68" i="7"/>
  <c r="AO68" i="7"/>
  <c r="AM68" i="7"/>
  <c r="AL68" i="7"/>
  <c r="AJ68" i="7"/>
  <c r="AI68" i="7"/>
  <c r="AG68" i="7"/>
  <c r="AF68" i="7"/>
  <c r="AE68" i="7"/>
  <c r="AD68" i="7"/>
  <c r="AC68" i="7"/>
  <c r="AA68" i="7"/>
  <c r="Z68" i="7"/>
  <c r="X68" i="7"/>
  <c r="W68" i="7"/>
  <c r="T68" i="7"/>
  <c r="S68" i="7"/>
  <c r="V68" i="7" s="1"/>
  <c r="R68" i="7"/>
  <c r="O68" i="7"/>
  <c r="L68" i="7"/>
  <c r="I68" i="7"/>
  <c r="Q68" i="7" s="1"/>
  <c r="H68" i="7"/>
  <c r="G68" i="7"/>
  <c r="P68" i="7" s="1"/>
  <c r="F68" i="7"/>
  <c r="E68" i="7"/>
  <c r="CN67" i="7"/>
  <c r="CM67" i="7"/>
  <c r="CK67" i="7"/>
  <c r="CJ67" i="7"/>
  <c r="CL67" i="7" s="1"/>
  <c r="CH67" i="7"/>
  <c r="CG67" i="7"/>
  <c r="CI67" i="7" s="1"/>
  <c r="CE67" i="7"/>
  <c r="CD67" i="7"/>
  <c r="CF67" i="7" s="1"/>
  <c r="CB67" i="7"/>
  <c r="CA67" i="7"/>
  <c r="CC67" i="7" s="1"/>
  <c r="BY67" i="7"/>
  <c r="BX67" i="7"/>
  <c r="BZ67" i="7" s="1"/>
  <c r="BV67" i="7"/>
  <c r="BU67" i="7"/>
  <c r="BW67" i="7" s="1"/>
  <c r="BS67" i="7"/>
  <c r="BR67" i="7"/>
  <c r="BP67" i="7"/>
  <c r="BO67" i="7"/>
  <c r="BM67" i="7"/>
  <c r="BL67" i="7"/>
  <c r="BJ67" i="7"/>
  <c r="BI67" i="7"/>
  <c r="BG67" i="7"/>
  <c r="BF67" i="7"/>
  <c r="BH67" i="7" s="1"/>
  <c r="BD67" i="7"/>
  <c r="BC67" i="7"/>
  <c r="BE67" i="7" s="1"/>
  <c r="BA67" i="7"/>
  <c r="AZ67" i="7"/>
  <c r="BB67" i="7" s="1"/>
  <c r="AX67" i="7"/>
  <c r="AW67" i="7"/>
  <c r="AY67" i="7" s="1"/>
  <c r="AU67" i="7"/>
  <c r="AT67" i="7"/>
  <c r="AV67" i="7" s="1"/>
  <c r="AS67" i="7"/>
  <c r="AR67" i="7"/>
  <c r="AP67" i="7"/>
  <c r="AO67" i="7"/>
  <c r="AM67" i="7"/>
  <c r="AL67" i="7"/>
  <c r="AJ67" i="7"/>
  <c r="AI67" i="7"/>
  <c r="AG67" i="7"/>
  <c r="AF67" i="7"/>
  <c r="AE67" i="7"/>
  <c r="AD67" i="7"/>
  <c r="AC67" i="7"/>
  <c r="AA67" i="7"/>
  <c r="Z67" i="7"/>
  <c r="X67" i="7"/>
  <c r="W67" i="7"/>
  <c r="T67" i="7"/>
  <c r="S67" i="7"/>
  <c r="V67" i="7" s="1"/>
  <c r="R67" i="7"/>
  <c r="O67" i="7"/>
  <c r="L67" i="7"/>
  <c r="I67" i="7"/>
  <c r="Q67" i="7" s="1"/>
  <c r="H67" i="7"/>
  <c r="G67" i="7"/>
  <c r="P67" i="7" s="1"/>
  <c r="F67" i="7"/>
  <c r="E67" i="7"/>
  <c r="CN66" i="7"/>
  <c r="CM66" i="7"/>
  <c r="CK66" i="7"/>
  <c r="CJ66" i="7"/>
  <c r="CH66" i="7"/>
  <c r="CG66" i="7"/>
  <c r="CE66" i="7"/>
  <c r="CD66" i="7"/>
  <c r="CB66" i="7"/>
  <c r="CA66" i="7"/>
  <c r="BY66" i="7"/>
  <c r="BX66" i="7"/>
  <c r="BV66" i="7"/>
  <c r="BU66" i="7"/>
  <c r="BW66" i="7" s="1"/>
  <c r="BS66" i="7"/>
  <c r="BR66" i="7"/>
  <c r="BP66" i="7"/>
  <c r="BO66" i="7"/>
  <c r="BM66" i="7"/>
  <c r="BL66" i="7"/>
  <c r="BJ66" i="7"/>
  <c r="BI66" i="7"/>
  <c r="BG66" i="7"/>
  <c r="BF66" i="7"/>
  <c r="BH66" i="7" s="1"/>
  <c r="BD66" i="7"/>
  <c r="BC66" i="7"/>
  <c r="BE66" i="7" s="1"/>
  <c r="BA66" i="7"/>
  <c r="AZ66" i="7"/>
  <c r="BB66" i="7" s="1"/>
  <c r="AX66" i="7"/>
  <c r="AW66" i="7"/>
  <c r="AY66" i="7" s="1"/>
  <c r="AU66" i="7"/>
  <c r="AT66" i="7"/>
  <c r="AV66" i="7" s="1"/>
  <c r="AS66" i="7"/>
  <c r="AR66" i="7"/>
  <c r="AP66" i="7"/>
  <c r="AO66" i="7"/>
  <c r="AM66" i="7"/>
  <c r="AL66" i="7"/>
  <c r="AJ66" i="7"/>
  <c r="AI66" i="7"/>
  <c r="AG66" i="7"/>
  <c r="AF66" i="7"/>
  <c r="AE66" i="7"/>
  <c r="AD66" i="7"/>
  <c r="AC66" i="7"/>
  <c r="AA66" i="7"/>
  <c r="Z66" i="7"/>
  <c r="X66" i="7"/>
  <c r="W66" i="7"/>
  <c r="T66" i="7"/>
  <c r="S66" i="7"/>
  <c r="V66" i="7" s="1"/>
  <c r="R66" i="7"/>
  <c r="O66" i="7"/>
  <c r="L66" i="7"/>
  <c r="I66" i="7"/>
  <c r="Q66" i="7" s="1"/>
  <c r="H66" i="7"/>
  <c r="G66" i="7"/>
  <c r="P66" i="7" s="1"/>
  <c r="F66" i="7"/>
  <c r="E66" i="7"/>
  <c r="CN65" i="7"/>
  <c r="CM65" i="7"/>
  <c r="CK65" i="7"/>
  <c r="CJ65" i="7"/>
  <c r="CL65" i="7" s="1"/>
  <c r="CH65" i="7"/>
  <c r="CG65" i="7"/>
  <c r="CI65" i="7" s="1"/>
  <c r="CE65" i="7"/>
  <c r="CD65" i="7"/>
  <c r="CF65" i="7" s="1"/>
  <c r="CB65" i="7"/>
  <c r="CA65" i="7"/>
  <c r="CC65" i="7" s="1"/>
  <c r="BY65" i="7"/>
  <c r="BX65" i="7"/>
  <c r="BZ65" i="7" s="1"/>
  <c r="BV65" i="7"/>
  <c r="BU65" i="7"/>
  <c r="BW65" i="7" s="1"/>
  <c r="BS65" i="7"/>
  <c r="BR65" i="7"/>
  <c r="BP65" i="7"/>
  <c r="BO65" i="7"/>
  <c r="BM65" i="7"/>
  <c r="BL65" i="7"/>
  <c r="BJ65" i="7"/>
  <c r="BI65" i="7"/>
  <c r="BG65" i="7"/>
  <c r="BF65" i="7"/>
  <c r="BH65" i="7" s="1"/>
  <c r="BD65" i="7"/>
  <c r="BC65" i="7"/>
  <c r="BE65" i="7" s="1"/>
  <c r="BA65" i="7"/>
  <c r="AZ65" i="7"/>
  <c r="BB65" i="7" s="1"/>
  <c r="AX65" i="7"/>
  <c r="AW65" i="7"/>
  <c r="AY65" i="7" s="1"/>
  <c r="AU65" i="7"/>
  <c r="AT65" i="7"/>
  <c r="AV65" i="7" s="1"/>
  <c r="AS65" i="7"/>
  <c r="AR65" i="7"/>
  <c r="AP65" i="7"/>
  <c r="AO65" i="7"/>
  <c r="AM65" i="7"/>
  <c r="AL65" i="7"/>
  <c r="AJ65" i="7"/>
  <c r="AI65" i="7"/>
  <c r="AG65" i="7"/>
  <c r="AF65" i="7"/>
  <c r="AE65" i="7"/>
  <c r="AD65" i="7"/>
  <c r="AC65" i="7"/>
  <c r="AA65" i="7"/>
  <c r="Z65" i="7"/>
  <c r="X65" i="7"/>
  <c r="W65" i="7"/>
  <c r="T65" i="7"/>
  <c r="S65" i="7"/>
  <c r="V65" i="7" s="1"/>
  <c r="R65" i="7"/>
  <c r="O65" i="7"/>
  <c r="L65" i="7"/>
  <c r="I65" i="7"/>
  <c r="Q65" i="7" s="1"/>
  <c r="H65" i="7"/>
  <c r="G65" i="7"/>
  <c r="P65" i="7" s="1"/>
  <c r="F65" i="7"/>
  <c r="E65" i="7"/>
  <c r="CN64" i="7"/>
  <c r="CM64" i="7"/>
  <c r="CK64" i="7"/>
  <c r="CJ64" i="7"/>
  <c r="CH64" i="7"/>
  <c r="CG64" i="7"/>
  <c r="CE64" i="7"/>
  <c r="CD64" i="7"/>
  <c r="CB64" i="7"/>
  <c r="CA64" i="7"/>
  <c r="BY64" i="7"/>
  <c r="BX64" i="7"/>
  <c r="BV64" i="7"/>
  <c r="BU64" i="7"/>
  <c r="BW64" i="7" s="1"/>
  <c r="BS64" i="7"/>
  <c r="BR64" i="7"/>
  <c r="BP64" i="7"/>
  <c r="BO64" i="7"/>
  <c r="BM64" i="7"/>
  <c r="BL64" i="7"/>
  <c r="BJ64" i="7"/>
  <c r="BI64" i="7"/>
  <c r="BG64" i="7"/>
  <c r="BF64" i="7"/>
  <c r="BH64" i="7" s="1"/>
  <c r="BD64" i="7"/>
  <c r="BC64" i="7"/>
  <c r="BE64" i="7" s="1"/>
  <c r="BA64" i="7"/>
  <c r="AZ64" i="7"/>
  <c r="BB64" i="7" s="1"/>
  <c r="AX64" i="7"/>
  <c r="AW64" i="7"/>
  <c r="AY64" i="7" s="1"/>
  <c r="AU64" i="7"/>
  <c r="AT64" i="7"/>
  <c r="AV64" i="7" s="1"/>
  <c r="AS64" i="7"/>
  <c r="AR64" i="7"/>
  <c r="AP64" i="7"/>
  <c r="AO64" i="7"/>
  <c r="AM64" i="7"/>
  <c r="AL64" i="7"/>
  <c r="AJ64" i="7"/>
  <c r="AI64" i="7"/>
  <c r="AG64" i="7"/>
  <c r="AF64" i="7"/>
  <c r="AE64" i="7"/>
  <c r="AD64" i="7"/>
  <c r="AC64" i="7"/>
  <c r="AA64" i="7"/>
  <c r="Z64" i="7"/>
  <c r="X64" i="7"/>
  <c r="W64" i="7"/>
  <c r="T64" i="7"/>
  <c r="S64" i="7"/>
  <c r="V64" i="7" s="1"/>
  <c r="R64" i="7"/>
  <c r="O64" i="7"/>
  <c r="L64" i="7"/>
  <c r="I64" i="7"/>
  <c r="Q64" i="7" s="1"/>
  <c r="H64" i="7"/>
  <c r="G64" i="7"/>
  <c r="P64" i="7" s="1"/>
  <c r="F64" i="7"/>
  <c r="E64" i="7"/>
  <c r="CN63" i="7"/>
  <c r="CM63" i="7"/>
  <c r="CK63" i="7"/>
  <c r="CJ63" i="7"/>
  <c r="CH63" i="7"/>
  <c r="CG63" i="7"/>
  <c r="CE63" i="7"/>
  <c r="CD63" i="7"/>
  <c r="CB63" i="7"/>
  <c r="CA63" i="7"/>
  <c r="BY63" i="7"/>
  <c r="BX63" i="7"/>
  <c r="BV63" i="7"/>
  <c r="BU63" i="7"/>
  <c r="BW63" i="7" s="1"/>
  <c r="BS63" i="7"/>
  <c r="BR63" i="7"/>
  <c r="BP63" i="7"/>
  <c r="BO63" i="7"/>
  <c r="BM63" i="7"/>
  <c r="BL63" i="7"/>
  <c r="BJ63" i="7"/>
  <c r="BI63" i="7"/>
  <c r="BG63" i="7"/>
  <c r="BF63" i="7"/>
  <c r="BH63" i="7" s="1"/>
  <c r="BD63" i="7"/>
  <c r="BC63" i="7"/>
  <c r="BE63" i="7" s="1"/>
  <c r="BA63" i="7"/>
  <c r="AZ63" i="7"/>
  <c r="BB63" i="7" s="1"/>
  <c r="AX63" i="7"/>
  <c r="AW63" i="7"/>
  <c r="AY63" i="7" s="1"/>
  <c r="AU63" i="7"/>
  <c r="AT63" i="7"/>
  <c r="AV63" i="7" s="1"/>
  <c r="AS63" i="7"/>
  <c r="AR63" i="7"/>
  <c r="AP63" i="7"/>
  <c r="AO63" i="7"/>
  <c r="AM63" i="7"/>
  <c r="AL63" i="7"/>
  <c r="AJ63" i="7"/>
  <c r="AI63" i="7"/>
  <c r="AG63" i="7"/>
  <c r="AF63" i="7"/>
  <c r="AE63" i="7"/>
  <c r="AD63" i="7"/>
  <c r="AC63" i="7"/>
  <c r="AA63" i="7"/>
  <c r="Z63" i="7"/>
  <c r="X63" i="7"/>
  <c r="W63" i="7"/>
  <c r="T63" i="7"/>
  <c r="S63" i="7"/>
  <c r="V63" i="7" s="1"/>
  <c r="R63" i="7"/>
  <c r="O63" i="7"/>
  <c r="L63" i="7"/>
  <c r="I63" i="7"/>
  <c r="Q63" i="7" s="1"/>
  <c r="H63" i="7"/>
  <c r="G63" i="7"/>
  <c r="P63" i="7" s="1"/>
  <c r="F63" i="7"/>
  <c r="E63" i="7"/>
  <c r="CN62" i="7"/>
  <c r="CM62" i="7"/>
  <c r="CK62" i="7"/>
  <c r="CJ62" i="7"/>
  <c r="CL62" i="7" s="1"/>
  <c r="CH62" i="7"/>
  <c r="CG62" i="7"/>
  <c r="CI62" i="7" s="1"/>
  <c r="CE62" i="7"/>
  <c r="CD62" i="7"/>
  <c r="CF62" i="7" s="1"/>
  <c r="CB62" i="7"/>
  <c r="CA62" i="7"/>
  <c r="CC62" i="7" s="1"/>
  <c r="BY62" i="7"/>
  <c r="BX62" i="7"/>
  <c r="BZ62" i="7" s="1"/>
  <c r="BV62" i="7"/>
  <c r="BU62" i="7"/>
  <c r="BW62" i="7" s="1"/>
  <c r="BS62" i="7"/>
  <c r="BR62" i="7"/>
  <c r="BP62" i="7"/>
  <c r="BO62" i="7"/>
  <c r="BM62" i="7"/>
  <c r="BL62" i="7"/>
  <c r="BJ62" i="7"/>
  <c r="BI62" i="7"/>
  <c r="BG62" i="7"/>
  <c r="BF62" i="7"/>
  <c r="BH62" i="7" s="1"/>
  <c r="BD62" i="7"/>
  <c r="BC62" i="7"/>
  <c r="BE62" i="7" s="1"/>
  <c r="BA62" i="7"/>
  <c r="AZ62" i="7"/>
  <c r="BB62" i="7" s="1"/>
  <c r="AX62" i="7"/>
  <c r="AW62" i="7"/>
  <c r="AY62" i="7" s="1"/>
  <c r="AU62" i="7"/>
  <c r="AT62" i="7"/>
  <c r="AV62" i="7" s="1"/>
  <c r="AS62" i="7"/>
  <c r="AR62" i="7"/>
  <c r="AP62" i="7"/>
  <c r="AO62" i="7"/>
  <c r="AM62" i="7"/>
  <c r="AL62" i="7"/>
  <c r="AJ62" i="7"/>
  <c r="AI62" i="7"/>
  <c r="AG62" i="7"/>
  <c r="AF62" i="7"/>
  <c r="AE62" i="7"/>
  <c r="AD62" i="7"/>
  <c r="AC62" i="7"/>
  <c r="AA62" i="7"/>
  <c r="Z62" i="7"/>
  <c r="X62" i="7"/>
  <c r="W62" i="7"/>
  <c r="T62" i="7"/>
  <c r="S62" i="7"/>
  <c r="V62" i="7" s="1"/>
  <c r="R62" i="7"/>
  <c r="O62" i="7"/>
  <c r="L62" i="7"/>
  <c r="I62" i="7"/>
  <c r="Q62" i="7" s="1"/>
  <c r="H62" i="7"/>
  <c r="G62" i="7"/>
  <c r="P62" i="7" s="1"/>
  <c r="F62" i="7"/>
  <c r="E62" i="7"/>
  <c r="CN61" i="7"/>
  <c r="CM61" i="7"/>
  <c r="CK61" i="7"/>
  <c r="CJ61" i="7"/>
  <c r="CH61" i="7"/>
  <c r="CG61" i="7"/>
  <c r="CE61" i="7"/>
  <c r="CD61" i="7"/>
  <c r="CB61" i="7"/>
  <c r="CA61" i="7"/>
  <c r="BY61" i="7"/>
  <c r="BX61" i="7"/>
  <c r="BV61" i="7"/>
  <c r="BU61" i="7"/>
  <c r="BW61" i="7" s="1"/>
  <c r="BS61" i="7"/>
  <c r="BR61" i="7"/>
  <c r="BP61" i="7"/>
  <c r="BO61" i="7"/>
  <c r="BM61" i="7"/>
  <c r="BL61" i="7"/>
  <c r="BJ61" i="7"/>
  <c r="BI61" i="7"/>
  <c r="BG61" i="7"/>
  <c r="BF61" i="7"/>
  <c r="BH61" i="7" s="1"/>
  <c r="BD61" i="7"/>
  <c r="BC61" i="7"/>
  <c r="BE61" i="7" s="1"/>
  <c r="BA61" i="7"/>
  <c r="AZ61" i="7"/>
  <c r="BB61" i="7" s="1"/>
  <c r="AX61" i="7"/>
  <c r="AW61" i="7"/>
  <c r="AY61" i="7" s="1"/>
  <c r="AU61" i="7"/>
  <c r="AT61" i="7"/>
  <c r="AV61" i="7" s="1"/>
  <c r="AS61" i="7"/>
  <c r="AR61" i="7"/>
  <c r="AP61" i="7"/>
  <c r="AO61" i="7"/>
  <c r="AM61" i="7"/>
  <c r="AL61" i="7"/>
  <c r="AJ61" i="7"/>
  <c r="AI61" i="7"/>
  <c r="AG61" i="7"/>
  <c r="AF61" i="7"/>
  <c r="AE61" i="7"/>
  <c r="AD61" i="7"/>
  <c r="AC61" i="7"/>
  <c r="AA61" i="7"/>
  <c r="Z61" i="7"/>
  <c r="X61" i="7"/>
  <c r="W61" i="7"/>
  <c r="T61" i="7"/>
  <c r="S61" i="7"/>
  <c r="V61" i="7" s="1"/>
  <c r="R61" i="7"/>
  <c r="O61" i="7"/>
  <c r="L61" i="7"/>
  <c r="I61" i="7"/>
  <c r="Q61" i="7" s="1"/>
  <c r="H61" i="7"/>
  <c r="G61" i="7"/>
  <c r="P61" i="7" s="1"/>
  <c r="F61" i="7"/>
  <c r="E61" i="7"/>
  <c r="CN60" i="7"/>
  <c r="CM60" i="7"/>
  <c r="CK60" i="7"/>
  <c r="CJ60" i="7"/>
  <c r="CH60" i="7"/>
  <c r="CG60" i="7"/>
  <c r="CE60" i="7"/>
  <c r="CD60" i="7"/>
  <c r="CB60" i="7"/>
  <c r="CA60" i="7"/>
  <c r="BY60" i="7"/>
  <c r="BX60" i="7"/>
  <c r="BV60" i="7"/>
  <c r="BU60" i="7"/>
  <c r="BW60" i="7" s="1"/>
  <c r="BS60" i="7"/>
  <c r="BR60" i="7"/>
  <c r="BP60" i="7"/>
  <c r="BO60" i="7"/>
  <c r="BM60" i="7"/>
  <c r="BL60" i="7"/>
  <c r="BJ60" i="7"/>
  <c r="BI60" i="7"/>
  <c r="BG60" i="7"/>
  <c r="BF60" i="7"/>
  <c r="BH60" i="7" s="1"/>
  <c r="BD60" i="7"/>
  <c r="BC60" i="7"/>
  <c r="BE60" i="7" s="1"/>
  <c r="BA60" i="7"/>
  <c r="AZ60" i="7"/>
  <c r="BB60" i="7" s="1"/>
  <c r="AX60" i="7"/>
  <c r="AW60" i="7"/>
  <c r="AY60" i="7" s="1"/>
  <c r="AU60" i="7"/>
  <c r="AT60" i="7"/>
  <c r="AV60" i="7" s="1"/>
  <c r="AS60" i="7"/>
  <c r="AR60" i="7"/>
  <c r="AP60" i="7"/>
  <c r="AO60" i="7"/>
  <c r="AQ60" i="7" s="1"/>
  <c r="AM60" i="7"/>
  <c r="AL60" i="7"/>
  <c r="AN60" i="7" s="1"/>
  <c r="AJ60" i="7"/>
  <c r="AI60" i="7"/>
  <c r="AK60" i="7" s="1"/>
  <c r="AG60" i="7"/>
  <c r="AF60" i="7"/>
  <c r="AH60" i="7" s="1"/>
  <c r="AE60" i="7"/>
  <c r="AD60" i="7"/>
  <c r="AC60" i="7"/>
  <c r="AA60" i="7"/>
  <c r="Z60" i="7"/>
  <c r="X60" i="7"/>
  <c r="W60" i="7"/>
  <c r="T60" i="7"/>
  <c r="S60" i="7"/>
  <c r="V60" i="7" s="1"/>
  <c r="R60" i="7"/>
  <c r="U60" i="7" s="1"/>
  <c r="O60" i="7"/>
  <c r="L60" i="7"/>
  <c r="I60" i="7"/>
  <c r="Q60" i="7" s="1"/>
  <c r="H60" i="7"/>
  <c r="G60" i="7"/>
  <c r="P60" i="7" s="1"/>
  <c r="F60" i="7"/>
  <c r="E60" i="7"/>
  <c r="CN59" i="7"/>
  <c r="CM59" i="7"/>
  <c r="CK59" i="7"/>
  <c r="CJ59" i="7"/>
  <c r="CH59" i="7"/>
  <c r="CG59" i="7"/>
  <c r="CE59" i="7"/>
  <c r="CD59" i="7"/>
  <c r="CB59" i="7"/>
  <c r="CA59" i="7"/>
  <c r="BY59" i="7"/>
  <c r="BX59" i="7"/>
  <c r="BV59" i="7"/>
  <c r="BU59" i="7"/>
  <c r="BW59" i="7" s="1"/>
  <c r="BS59" i="7"/>
  <c r="BR59" i="7"/>
  <c r="BP59" i="7"/>
  <c r="BO59" i="7"/>
  <c r="BM59" i="7"/>
  <c r="BL59" i="7"/>
  <c r="BJ59" i="7"/>
  <c r="BI59" i="7"/>
  <c r="BG59" i="7"/>
  <c r="BF59" i="7"/>
  <c r="BH59" i="7" s="1"/>
  <c r="BD59" i="7"/>
  <c r="BC59" i="7"/>
  <c r="BE59" i="7" s="1"/>
  <c r="BA59" i="7"/>
  <c r="AZ59" i="7"/>
  <c r="BB59" i="7" s="1"/>
  <c r="AX59" i="7"/>
  <c r="AW59" i="7"/>
  <c r="AY59" i="7" s="1"/>
  <c r="AU59" i="7"/>
  <c r="AT59" i="7"/>
  <c r="AV59" i="7" s="1"/>
  <c r="AS59" i="7"/>
  <c r="AR59" i="7"/>
  <c r="AP59" i="7"/>
  <c r="AO59" i="7"/>
  <c r="AM59" i="7"/>
  <c r="AL59" i="7"/>
  <c r="AJ59" i="7"/>
  <c r="AI59" i="7"/>
  <c r="AG59" i="7"/>
  <c r="AF59" i="7"/>
  <c r="AE59" i="7"/>
  <c r="AD59" i="7"/>
  <c r="AC59" i="7"/>
  <c r="AA59" i="7"/>
  <c r="Z59" i="7"/>
  <c r="X59" i="7"/>
  <c r="W59" i="7"/>
  <c r="T59" i="7"/>
  <c r="S59" i="7"/>
  <c r="V59" i="7" s="1"/>
  <c r="R59" i="7"/>
  <c r="O59" i="7"/>
  <c r="L59" i="7"/>
  <c r="I59" i="7"/>
  <c r="Q59" i="7" s="1"/>
  <c r="H59" i="7"/>
  <c r="G59" i="7"/>
  <c r="P59" i="7" s="1"/>
  <c r="F59" i="7"/>
  <c r="E59" i="7"/>
  <c r="CN58" i="7"/>
  <c r="CM58" i="7"/>
  <c r="CK58" i="7"/>
  <c r="CJ58" i="7"/>
  <c r="CL58" i="7" s="1"/>
  <c r="CH58" i="7"/>
  <c r="CG58" i="7"/>
  <c r="CI58" i="7" s="1"/>
  <c r="CE58" i="7"/>
  <c r="CD58" i="7"/>
  <c r="CF58" i="7" s="1"/>
  <c r="CB58" i="7"/>
  <c r="CA58" i="7"/>
  <c r="CC58" i="7" s="1"/>
  <c r="BY58" i="7"/>
  <c r="BX58" i="7"/>
  <c r="BZ58" i="7" s="1"/>
  <c r="BV58" i="7"/>
  <c r="BU58" i="7"/>
  <c r="BW58" i="7" s="1"/>
  <c r="BS58" i="7"/>
  <c r="BR58" i="7"/>
  <c r="BP58" i="7"/>
  <c r="BO58" i="7"/>
  <c r="BM58" i="7"/>
  <c r="BL58" i="7"/>
  <c r="BJ58" i="7"/>
  <c r="BI58" i="7"/>
  <c r="BG58" i="7"/>
  <c r="BF58" i="7"/>
  <c r="BD58" i="7"/>
  <c r="BC58" i="7"/>
  <c r="BA58" i="7"/>
  <c r="AZ58" i="7"/>
  <c r="AX58" i="7"/>
  <c r="AW58" i="7"/>
  <c r="AU58" i="7"/>
  <c r="AT58" i="7"/>
  <c r="AS58" i="7"/>
  <c r="AR58" i="7"/>
  <c r="AP58" i="7"/>
  <c r="AO58" i="7"/>
  <c r="AM58" i="7"/>
  <c r="AL58" i="7"/>
  <c r="AJ58" i="7"/>
  <c r="AI58" i="7"/>
  <c r="AG58" i="7"/>
  <c r="AF58" i="7"/>
  <c r="AE58" i="7"/>
  <c r="AD58" i="7"/>
  <c r="AC58" i="7"/>
  <c r="AA58" i="7"/>
  <c r="Z58" i="7"/>
  <c r="X58" i="7"/>
  <c r="W58" i="7"/>
  <c r="T58" i="7"/>
  <c r="S58" i="7"/>
  <c r="R58" i="7"/>
  <c r="O58" i="7"/>
  <c r="L58" i="7"/>
  <c r="I58" i="7"/>
  <c r="Q58" i="7" s="1"/>
  <c r="H58" i="7"/>
  <c r="G58" i="7"/>
  <c r="P58" i="7" s="1"/>
  <c r="F58" i="7"/>
  <c r="E58" i="7"/>
  <c r="CN57" i="7"/>
  <c r="CM57" i="7"/>
  <c r="CK57" i="7"/>
  <c r="CJ57" i="7"/>
  <c r="CL57" i="7" s="1"/>
  <c r="CH57" i="7"/>
  <c r="CG57" i="7"/>
  <c r="CI57" i="7" s="1"/>
  <c r="CE57" i="7"/>
  <c r="CD57" i="7"/>
  <c r="CF57" i="7" s="1"/>
  <c r="CB57" i="7"/>
  <c r="CA57" i="7"/>
  <c r="CC57" i="7" s="1"/>
  <c r="BY57" i="7"/>
  <c r="BX57" i="7"/>
  <c r="BZ57" i="7" s="1"/>
  <c r="BV57" i="7"/>
  <c r="BU57" i="7"/>
  <c r="BW57" i="7" s="1"/>
  <c r="BS57" i="7"/>
  <c r="BR57" i="7"/>
  <c r="BP57" i="7"/>
  <c r="BO57" i="7"/>
  <c r="BM57" i="7"/>
  <c r="BL57" i="7"/>
  <c r="BJ57" i="7"/>
  <c r="BI57" i="7"/>
  <c r="BG57" i="7"/>
  <c r="BF57" i="7"/>
  <c r="BH57" i="7" s="1"/>
  <c r="BD57" i="7"/>
  <c r="BC57" i="7"/>
  <c r="BE57" i="7" s="1"/>
  <c r="BA57" i="7"/>
  <c r="AZ57" i="7"/>
  <c r="BB57" i="7" s="1"/>
  <c r="AX57" i="7"/>
  <c r="AW57" i="7"/>
  <c r="AY57" i="7" s="1"/>
  <c r="AU57" i="7"/>
  <c r="AT57" i="7"/>
  <c r="AV57" i="7" s="1"/>
  <c r="AS57" i="7"/>
  <c r="AR57" i="7"/>
  <c r="AP57" i="7"/>
  <c r="AO57" i="7"/>
  <c r="AM57" i="7"/>
  <c r="AL57" i="7"/>
  <c r="AJ57" i="7"/>
  <c r="AI57" i="7"/>
  <c r="AG57" i="7"/>
  <c r="AF57" i="7"/>
  <c r="AE57" i="7"/>
  <c r="AD57" i="7"/>
  <c r="AC57" i="7"/>
  <c r="AA57" i="7"/>
  <c r="Z57" i="7"/>
  <c r="X57" i="7"/>
  <c r="W57" i="7"/>
  <c r="T57" i="7"/>
  <c r="S57" i="7"/>
  <c r="V57" i="7" s="1"/>
  <c r="R57" i="7"/>
  <c r="O57" i="7"/>
  <c r="L57" i="7"/>
  <c r="I57" i="7"/>
  <c r="Q57" i="7" s="1"/>
  <c r="H57" i="7"/>
  <c r="G57" i="7"/>
  <c r="P57" i="7" s="1"/>
  <c r="F57" i="7"/>
  <c r="E57" i="7"/>
  <c r="CN56" i="7"/>
  <c r="CM56" i="7"/>
  <c r="CK56" i="7"/>
  <c r="CJ56" i="7"/>
  <c r="CH56" i="7"/>
  <c r="CG56" i="7"/>
  <c r="CE56" i="7"/>
  <c r="CD56" i="7"/>
  <c r="CB56" i="7"/>
  <c r="CA56" i="7"/>
  <c r="BY56" i="7"/>
  <c r="BX56" i="7"/>
  <c r="BV56" i="7"/>
  <c r="BU56" i="7"/>
  <c r="BW56" i="7" s="1"/>
  <c r="BS56" i="7"/>
  <c r="BR56" i="7"/>
  <c r="BP56" i="7"/>
  <c r="BO56" i="7"/>
  <c r="BM56" i="7"/>
  <c r="BL56" i="7"/>
  <c r="BJ56" i="7"/>
  <c r="BI56" i="7"/>
  <c r="BG56" i="7"/>
  <c r="BF56" i="7"/>
  <c r="BH56" i="7" s="1"/>
  <c r="BD56" i="7"/>
  <c r="BC56" i="7"/>
  <c r="BE56" i="7" s="1"/>
  <c r="BA56" i="7"/>
  <c r="AZ56" i="7"/>
  <c r="BB56" i="7" s="1"/>
  <c r="AX56" i="7"/>
  <c r="AW56" i="7"/>
  <c r="AY56" i="7" s="1"/>
  <c r="AU56" i="7"/>
  <c r="AT56" i="7"/>
  <c r="AV56" i="7" s="1"/>
  <c r="AS56" i="7"/>
  <c r="AR56" i="7"/>
  <c r="AP56" i="7"/>
  <c r="AO56" i="7"/>
  <c r="AM56" i="7"/>
  <c r="AL56" i="7"/>
  <c r="AJ56" i="7"/>
  <c r="AI56" i="7"/>
  <c r="AG56" i="7"/>
  <c r="AF56" i="7"/>
  <c r="AE56" i="7"/>
  <c r="AD56" i="7"/>
  <c r="AC56" i="7"/>
  <c r="AA56" i="7"/>
  <c r="Z56" i="7"/>
  <c r="X56" i="7"/>
  <c r="W56" i="7"/>
  <c r="T56" i="7"/>
  <c r="S56" i="7"/>
  <c r="V56" i="7" s="1"/>
  <c r="R56" i="7"/>
  <c r="O56" i="7"/>
  <c r="L56" i="7"/>
  <c r="I56" i="7"/>
  <c r="Q56" i="7" s="1"/>
  <c r="H56" i="7"/>
  <c r="G56" i="7"/>
  <c r="P56" i="7" s="1"/>
  <c r="F56" i="7"/>
  <c r="E56" i="7"/>
  <c r="CN55" i="7"/>
  <c r="CM55" i="7"/>
  <c r="CK55" i="7"/>
  <c r="CJ55" i="7"/>
  <c r="CH55" i="7"/>
  <c r="CG55" i="7"/>
  <c r="CE55" i="7"/>
  <c r="CD55" i="7"/>
  <c r="CB55" i="7"/>
  <c r="CA55" i="7"/>
  <c r="BY55" i="7"/>
  <c r="BX55" i="7"/>
  <c r="BV55" i="7"/>
  <c r="BU55" i="7"/>
  <c r="BW55" i="7" s="1"/>
  <c r="BS55" i="7"/>
  <c r="BR55" i="7"/>
  <c r="BP55" i="7"/>
  <c r="BO55" i="7"/>
  <c r="BM55" i="7"/>
  <c r="BL55" i="7"/>
  <c r="BJ55" i="7"/>
  <c r="BI55" i="7"/>
  <c r="BG55" i="7"/>
  <c r="BF55" i="7"/>
  <c r="BD55" i="7"/>
  <c r="BC55" i="7"/>
  <c r="BA55" i="7"/>
  <c r="AZ55" i="7"/>
  <c r="AX55" i="7"/>
  <c r="AW55" i="7"/>
  <c r="AU55" i="7"/>
  <c r="AT55" i="7"/>
  <c r="AS55" i="7"/>
  <c r="AR55" i="7"/>
  <c r="AP55" i="7"/>
  <c r="AO55" i="7"/>
  <c r="AM55" i="7"/>
  <c r="AL55" i="7"/>
  <c r="AJ55" i="7"/>
  <c r="AI55" i="7"/>
  <c r="AG55" i="7"/>
  <c r="AF55" i="7"/>
  <c r="AE55" i="7"/>
  <c r="AD55" i="7"/>
  <c r="AC55" i="7"/>
  <c r="AA55" i="7"/>
  <c r="Z55" i="7"/>
  <c r="X55" i="7"/>
  <c r="W55" i="7"/>
  <c r="T55" i="7"/>
  <c r="S55" i="7"/>
  <c r="V55" i="7" s="1"/>
  <c r="R55" i="7"/>
  <c r="O55" i="7"/>
  <c r="L55" i="7"/>
  <c r="I55" i="7"/>
  <c r="Q55" i="7" s="1"/>
  <c r="H55" i="7"/>
  <c r="G55" i="7"/>
  <c r="P55" i="7" s="1"/>
  <c r="F55" i="7"/>
  <c r="E55" i="7"/>
  <c r="CN54" i="7"/>
  <c r="CM54" i="7"/>
  <c r="CK54" i="7"/>
  <c r="CJ54" i="7"/>
  <c r="CH54" i="7"/>
  <c r="CG54" i="7"/>
  <c r="CE54" i="7"/>
  <c r="CD54" i="7"/>
  <c r="CB54" i="7"/>
  <c r="CA54" i="7"/>
  <c r="BY54" i="7"/>
  <c r="BX54" i="7"/>
  <c r="BV54" i="7"/>
  <c r="BU54" i="7"/>
  <c r="BW54" i="7" s="1"/>
  <c r="BS54" i="7"/>
  <c r="BR54" i="7"/>
  <c r="BP54" i="7"/>
  <c r="BO54" i="7"/>
  <c r="BM54" i="7"/>
  <c r="BL54" i="7"/>
  <c r="BJ54" i="7"/>
  <c r="BI54" i="7"/>
  <c r="BG54" i="7"/>
  <c r="BF54" i="7"/>
  <c r="BD54" i="7"/>
  <c r="BC54" i="7"/>
  <c r="BA54" i="7"/>
  <c r="AZ54" i="7"/>
  <c r="AX54" i="7"/>
  <c r="AW54" i="7"/>
  <c r="AU54" i="7"/>
  <c r="AT54" i="7"/>
  <c r="AS54" i="7"/>
  <c r="AR54" i="7"/>
  <c r="AP54" i="7"/>
  <c r="AO54" i="7"/>
  <c r="AM54" i="7"/>
  <c r="AL54" i="7"/>
  <c r="AJ54" i="7"/>
  <c r="AI54" i="7"/>
  <c r="AG54" i="7"/>
  <c r="AF54" i="7"/>
  <c r="AE54" i="7"/>
  <c r="AD54" i="7"/>
  <c r="AC54" i="7"/>
  <c r="AA54" i="7"/>
  <c r="Z54" i="7"/>
  <c r="X54" i="7"/>
  <c r="W54" i="7"/>
  <c r="T54" i="7"/>
  <c r="S54" i="7"/>
  <c r="V54" i="7" s="1"/>
  <c r="R54" i="7"/>
  <c r="O54" i="7"/>
  <c r="L54" i="7"/>
  <c r="I54" i="7"/>
  <c r="Q54" i="7" s="1"/>
  <c r="H54" i="7"/>
  <c r="G54" i="7"/>
  <c r="P54" i="7" s="1"/>
  <c r="F54" i="7"/>
  <c r="E54" i="7"/>
  <c r="CN53" i="7"/>
  <c r="CM53" i="7"/>
  <c r="CK53" i="7"/>
  <c r="CJ53" i="7"/>
  <c r="CH53" i="7"/>
  <c r="CG53" i="7"/>
  <c r="CE53" i="7"/>
  <c r="CD53" i="7"/>
  <c r="CB53" i="7"/>
  <c r="CA53" i="7"/>
  <c r="BY53" i="7"/>
  <c r="BX53" i="7"/>
  <c r="BV53" i="7"/>
  <c r="BU53" i="7"/>
  <c r="BW53" i="7" s="1"/>
  <c r="BS53" i="7"/>
  <c r="BR53" i="7"/>
  <c r="BP53" i="7"/>
  <c r="BO53" i="7"/>
  <c r="BM53" i="7"/>
  <c r="BL53" i="7"/>
  <c r="BJ53" i="7"/>
  <c r="BI53" i="7"/>
  <c r="BG53" i="7"/>
  <c r="BF53" i="7"/>
  <c r="BD53" i="7"/>
  <c r="BC53" i="7"/>
  <c r="BA53" i="7"/>
  <c r="AZ53" i="7"/>
  <c r="AX53" i="7"/>
  <c r="AW53" i="7"/>
  <c r="AU53" i="7"/>
  <c r="AT53" i="7"/>
  <c r="AS53" i="7"/>
  <c r="AR53" i="7"/>
  <c r="AP53" i="7"/>
  <c r="AO53" i="7"/>
  <c r="AM53" i="7"/>
  <c r="AL53" i="7"/>
  <c r="AJ53" i="7"/>
  <c r="AI53" i="7"/>
  <c r="AG53" i="7"/>
  <c r="AF53" i="7"/>
  <c r="AE53" i="7"/>
  <c r="AD53" i="7"/>
  <c r="AC53" i="7"/>
  <c r="AA53" i="7"/>
  <c r="Z53" i="7"/>
  <c r="X53" i="7"/>
  <c r="W53" i="7"/>
  <c r="T53" i="7"/>
  <c r="S53" i="7"/>
  <c r="V53" i="7" s="1"/>
  <c r="R53" i="7"/>
  <c r="O53" i="7"/>
  <c r="L53" i="7"/>
  <c r="I53" i="7"/>
  <c r="Q53" i="7" s="1"/>
  <c r="H53" i="7"/>
  <c r="G53" i="7"/>
  <c r="P53" i="7" s="1"/>
  <c r="F53" i="7"/>
  <c r="E53" i="7"/>
  <c r="CN51" i="7"/>
  <c r="CM51" i="7"/>
  <c r="CK51" i="7"/>
  <c r="CJ51" i="7"/>
  <c r="CH51" i="7"/>
  <c r="CG51" i="7"/>
  <c r="CE51" i="7"/>
  <c r="CD51" i="7"/>
  <c r="CB51" i="7"/>
  <c r="CA51" i="7"/>
  <c r="BY51" i="7"/>
  <c r="BX51" i="7"/>
  <c r="BV51" i="7"/>
  <c r="BU51" i="7"/>
  <c r="BW51" i="7" s="1"/>
  <c r="BS51" i="7"/>
  <c r="BR51" i="7"/>
  <c r="BP51" i="7"/>
  <c r="BO51" i="7"/>
  <c r="BM51" i="7"/>
  <c r="BL51" i="7"/>
  <c r="BJ51" i="7"/>
  <c r="BI51" i="7"/>
  <c r="BG51" i="7"/>
  <c r="BF51" i="7"/>
  <c r="BD51" i="7"/>
  <c r="BC51" i="7"/>
  <c r="BA51" i="7"/>
  <c r="AZ51" i="7"/>
  <c r="AX51" i="7"/>
  <c r="AW51" i="7"/>
  <c r="AU51" i="7"/>
  <c r="AT51" i="7"/>
  <c r="AS51" i="7"/>
  <c r="AR51" i="7"/>
  <c r="AP51" i="7"/>
  <c r="AO51" i="7"/>
  <c r="AM51" i="7"/>
  <c r="AL51" i="7"/>
  <c r="AJ51" i="7"/>
  <c r="AI51" i="7"/>
  <c r="AG51" i="7"/>
  <c r="AF51" i="7"/>
  <c r="AE51" i="7"/>
  <c r="AD51" i="7"/>
  <c r="AC51" i="7"/>
  <c r="AA51" i="7"/>
  <c r="Z51" i="7"/>
  <c r="X51" i="7"/>
  <c r="W51" i="7"/>
  <c r="T51" i="7"/>
  <c r="S51" i="7"/>
  <c r="V51" i="7" s="1"/>
  <c r="R51" i="7"/>
  <c r="O51" i="7"/>
  <c r="L51" i="7"/>
  <c r="I51" i="7"/>
  <c r="Q51" i="7" s="1"/>
  <c r="H51" i="7"/>
  <c r="G51" i="7"/>
  <c r="P51" i="7" s="1"/>
  <c r="F51" i="7"/>
  <c r="E51" i="7"/>
  <c r="CN50" i="7"/>
  <c r="CM50" i="7"/>
  <c r="CK50" i="7"/>
  <c r="CJ50" i="7"/>
  <c r="CL50" i="7" s="1"/>
  <c r="CH50" i="7"/>
  <c r="CG50" i="7"/>
  <c r="CI50" i="7" s="1"/>
  <c r="CE50" i="7"/>
  <c r="CD50" i="7"/>
  <c r="CF50" i="7" s="1"/>
  <c r="CB50" i="7"/>
  <c r="CA50" i="7"/>
  <c r="CC50" i="7" s="1"/>
  <c r="BY50" i="7"/>
  <c r="BX50" i="7"/>
  <c r="BZ50" i="7" s="1"/>
  <c r="BV50" i="7"/>
  <c r="BU50" i="7"/>
  <c r="BW50" i="7" s="1"/>
  <c r="BS50" i="7"/>
  <c r="BR50" i="7"/>
  <c r="BP50" i="7"/>
  <c r="BO50" i="7"/>
  <c r="BM50" i="7"/>
  <c r="BL50" i="7"/>
  <c r="BJ50" i="7"/>
  <c r="BI50" i="7"/>
  <c r="BG50" i="7"/>
  <c r="BF50" i="7"/>
  <c r="BD50" i="7"/>
  <c r="BC50" i="7"/>
  <c r="BA50" i="7"/>
  <c r="AZ50" i="7"/>
  <c r="AX50" i="7"/>
  <c r="AW50" i="7"/>
  <c r="AU50" i="7"/>
  <c r="AT50" i="7"/>
  <c r="AS50" i="7"/>
  <c r="AR50" i="7"/>
  <c r="AP50" i="7"/>
  <c r="AO50" i="7"/>
  <c r="AM50" i="7"/>
  <c r="AL50" i="7"/>
  <c r="AJ50" i="7"/>
  <c r="AI50" i="7"/>
  <c r="AG50" i="7"/>
  <c r="AF50" i="7"/>
  <c r="AE50" i="7"/>
  <c r="AD50" i="7"/>
  <c r="AC50" i="7"/>
  <c r="AA50" i="7"/>
  <c r="Z50" i="7"/>
  <c r="X50" i="7"/>
  <c r="W50" i="7"/>
  <c r="T50" i="7"/>
  <c r="S50" i="7"/>
  <c r="V50" i="7" s="1"/>
  <c r="R50" i="7"/>
  <c r="O50" i="7"/>
  <c r="L50" i="7"/>
  <c r="I50" i="7"/>
  <c r="Q50" i="7" s="1"/>
  <c r="H50" i="7"/>
  <c r="G50" i="7"/>
  <c r="P50" i="7" s="1"/>
  <c r="F50" i="7"/>
  <c r="E50" i="7"/>
  <c r="CN49" i="7"/>
  <c r="CM49" i="7"/>
  <c r="CK49" i="7"/>
  <c r="CJ49" i="7"/>
  <c r="CL49" i="7" s="1"/>
  <c r="CH49" i="7"/>
  <c r="CG49" i="7"/>
  <c r="CI49" i="7" s="1"/>
  <c r="CE49" i="7"/>
  <c r="CD49" i="7"/>
  <c r="CF49" i="7" s="1"/>
  <c r="CB49" i="7"/>
  <c r="CA49" i="7"/>
  <c r="CC49" i="7" s="1"/>
  <c r="BY49" i="7"/>
  <c r="BX49" i="7"/>
  <c r="BZ49" i="7" s="1"/>
  <c r="BV49" i="7"/>
  <c r="BU49" i="7"/>
  <c r="BW49" i="7" s="1"/>
  <c r="BS49" i="7"/>
  <c r="BR49" i="7"/>
  <c r="BP49" i="7"/>
  <c r="BO49" i="7"/>
  <c r="BM49" i="7"/>
  <c r="BL49" i="7"/>
  <c r="BJ49" i="7"/>
  <c r="BI49" i="7"/>
  <c r="BG49" i="7"/>
  <c r="BF49" i="7"/>
  <c r="BD49" i="7"/>
  <c r="BC49" i="7"/>
  <c r="BA49" i="7"/>
  <c r="AZ49" i="7"/>
  <c r="AX49" i="7"/>
  <c r="AW49" i="7"/>
  <c r="AU49" i="7"/>
  <c r="AT49" i="7"/>
  <c r="AS49" i="7"/>
  <c r="AR49" i="7"/>
  <c r="AP49" i="7"/>
  <c r="AO49" i="7"/>
  <c r="AM49" i="7"/>
  <c r="AL49" i="7"/>
  <c r="AJ49" i="7"/>
  <c r="AI49" i="7"/>
  <c r="AG49" i="7"/>
  <c r="AF49" i="7"/>
  <c r="AE49" i="7"/>
  <c r="AD49" i="7"/>
  <c r="AC49" i="7"/>
  <c r="AA49" i="7"/>
  <c r="Z49" i="7"/>
  <c r="X49" i="7"/>
  <c r="W49" i="7"/>
  <c r="T49" i="7"/>
  <c r="S49" i="7"/>
  <c r="V49" i="7" s="1"/>
  <c r="R49" i="7"/>
  <c r="O49" i="7"/>
  <c r="L49" i="7"/>
  <c r="I49" i="7"/>
  <c r="Q49" i="7" s="1"/>
  <c r="H49" i="7"/>
  <c r="G49" i="7"/>
  <c r="P49" i="7" s="1"/>
  <c r="F49" i="7"/>
  <c r="E49" i="7"/>
  <c r="CN48" i="7"/>
  <c r="CM48" i="7"/>
  <c r="CK48" i="7"/>
  <c r="CJ48" i="7"/>
  <c r="CL48" i="7" s="1"/>
  <c r="CH48" i="7"/>
  <c r="CG48" i="7"/>
  <c r="CI48" i="7" s="1"/>
  <c r="CE48" i="7"/>
  <c r="CD48" i="7"/>
  <c r="CF48" i="7" s="1"/>
  <c r="CB48" i="7"/>
  <c r="CA48" i="7"/>
  <c r="CC48" i="7" s="1"/>
  <c r="BY48" i="7"/>
  <c r="BX48" i="7"/>
  <c r="BZ48" i="7" s="1"/>
  <c r="BV48" i="7"/>
  <c r="BU48" i="7"/>
  <c r="BW48" i="7" s="1"/>
  <c r="BS48" i="7"/>
  <c r="BR48" i="7"/>
  <c r="BP48" i="7"/>
  <c r="BO48" i="7"/>
  <c r="BM48" i="7"/>
  <c r="BL48" i="7"/>
  <c r="BJ48" i="7"/>
  <c r="BI48" i="7"/>
  <c r="BG48" i="7"/>
  <c r="BF48" i="7"/>
  <c r="BD48" i="7"/>
  <c r="BC48" i="7"/>
  <c r="BA48" i="7"/>
  <c r="AZ48" i="7"/>
  <c r="AX48" i="7"/>
  <c r="AW48" i="7"/>
  <c r="AU48" i="7"/>
  <c r="AT48" i="7"/>
  <c r="AS48" i="7"/>
  <c r="AR48" i="7"/>
  <c r="AP48" i="7"/>
  <c r="AO48" i="7"/>
  <c r="AM48" i="7"/>
  <c r="AL48" i="7"/>
  <c r="AJ48" i="7"/>
  <c r="AI48" i="7"/>
  <c r="AG48" i="7"/>
  <c r="AF48" i="7"/>
  <c r="AE48" i="7"/>
  <c r="AD48" i="7"/>
  <c r="AC48" i="7"/>
  <c r="AA48" i="7"/>
  <c r="Z48" i="7"/>
  <c r="X48" i="7"/>
  <c r="W48" i="7"/>
  <c r="T48" i="7"/>
  <c r="S48" i="7"/>
  <c r="V48" i="7" s="1"/>
  <c r="R48" i="7"/>
  <c r="O48" i="7"/>
  <c r="L48" i="7"/>
  <c r="I48" i="7"/>
  <c r="Q48" i="7" s="1"/>
  <c r="H48" i="7"/>
  <c r="G48" i="7"/>
  <c r="P48" i="7" s="1"/>
  <c r="F48" i="7"/>
  <c r="E48" i="7"/>
  <c r="CN47" i="7"/>
  <c r="CM47" i="7"/>
  <c r="CK47" i="7"/>
  <c r="CJ47" i="7"/>
  <c r="CL47" i="7" s="1"/>
  <c r="CH47" i="7"/>
  <c r="CG47" i="7"/>
  <c r="CI47" i="7" s="1"/>
  <c r="CE47" i="7"/>
  <c r="CD47" i="7"/>
  <c r="CF47" i="7" s="1"/>
  <c r="CB47" i="7"/>
  <c r="CA47" i="7"/>
  <c r="BY47" i="7"/>
  <c r="BX47" i="7"/>
  <c r="BZ47" i="7" s="1"/>
  <c r="BV47" i="7"/>
  <c r="BU47" i="7"/>
  <c r="BW47" i="7" s="1"/>
  <c r="BS47" i="7"/>
  <c r="BR47" i="7"/>
  <c r="BP47" i="7"/>
  <c r="BO47" i="7"/>
  <c r="BM47" i="7"/>
  <c r="BL47" i="7"/>
  <c r="BJ47" i="7"/>
  <c r="BI47" i="7"/>
  <c r="BG47" i="7"/>
  <c r="BF47" i="7"/>
  <c r="BD47" i="7"/>
  <c r="BC47" i="7"/>
  <c r="BA47" i="7"/>
  <c r="AZ47" i="7"/>
  <c r="AX47" i="7"/>
  <c r="AW47" i="7"/>
  <c r="AU47" i="7"/>
  <c r="AT47" i="7"/>
  <c r="AS47" i="7"/>
  <c r="AR47" i="7"/>
  <c r="AP47" i="7"/>
  <c r="AO47" i="7"/>
  <c r="AM47" i="7"/>
  <c r="AL47" i="7"/>
  <c r="AJ47" i="7"/>
  <c r="AI47" i="7"/>
  <c r="AG47" i="7"/>
  <c r="AF47" i="7"/>
  <c r="AE47" i="7"/>
  <c r="AD47" i="7"/>
  <c r="AC47" i="7"/>
  <c r="AA47" i="7"/>
  <c r="Z47" i="7"/>
  <c r="X47" i="7"/>
  <c r="W47" i="7"/>
  <c r="T47" i="7"/>
  <c r="S47" i="7"/>
  <c r="V47" i="7" s="1"/>
  <c r="R47" i="7"/>
  <c r="O47" i="7"/>
  <c r="L47" i="7"/>
  <c r="I47" i="7"/>
  <c r="Q47" i="7" s="1"/>
  <c r="H47" i="7"/>
  <c r="G47" i="7"/>
  <c r="P47" i="7" s="1"/>
  <c r="F47" i="7"/>
  <c r="E47" i="7"/>
  <c r="CN46" i="7"/>
  <c r="CM46" i="7"/>
  <c r="CK46" i="7"/>
  <c r="CJ46" i="7"/>
  <c r="CL46" i="7" s="1"/>
  <c r="CH46" i="7"/>
  <c r="CG46" i="7"/>
  <c r="CI46" i="7" s="1"/>
  <c r="CE46" i="7"/>
  <c r="CD46" i="7"/>
  <c r="CF46" i="7" s="1"/>
  <c r="CB46" i="7"/>
  <c r="CA46" i="7"/>
  <c r="CC46" i="7" s="1"/>
  <c r="BY46" i="7"/>
  <c r="BX46" i="7"/>
  <c r="BZ46" i="7" s="1"/>
  <c r="BV46" i="7"/>
  <c r="BU46" i="7"/>
  <c r="BW46" i="7" s="1"/>
  <c r="BS46" i="7"/>
  <c r="BR46" i="7"/>
  <c r="BP46" i="7"/>
  <c r="BO46" i="7"/>
  <c r="BM46" i="7"/>
  <c r="BL46" i="7"/>
  <c r="BJ46" i="7"/>
  <c r="BI46" i="7"/>
  <c r="BG46" i="7"/>
  <c r="BF46" i="7"/>
  <c r="BD46" i="7"/>
  <c r="BC46" i="7"/>
  <c r="BA46" i="7"/>
  <c r="AZ46" i="7"/>
  <c r="AX46" i="7"/>
  <c r="AW46" i="7"/>
  <c r="AU46" i="7"/>
  <c r="AT46" i="7"/>
  <c r="AS46" i="7"/>
  <c r="AR46" i="7"/>
  <c r="AP46" i="7"/>
  <c r="AO46" i="7"/>
  <c r="AM46" i="7"/>
  <c r="AL46" i="7"/>
  <c r="AJ46" i="7"/>
  <c r="AI46" i="7"/>
  <c r="AG46" i="7"/>
  <c r="AF46" i="7"/>
  <c r="AE46" i="7"/>
  <c r="AD46" i="7"/>
  <c r="AC46" i="7"/>
  <c r="AA46" i="7"/>
  <c r="Z46" i="7"/>
  <c r="X46" i="7"/>
  <c r="W46" i="7"/>
  <c r="T46" i="7"/>
  <c r="S46" i="7"/>
  <c r="V46" i="7" s="1"/>
  <c r="R46" i="7"/>
  <c r="O46" i="7"/>
  <c r="L46" i="7"/>
  <c r="I46" i="7"/>
  <c r="Q46" i="7" s="1"/>
  <c r="H46" i="7"/>
  <c r="G46" i="7"/>
  <c r="P46" i="7" s="1"/>
  <c r="F46" i="7"/>
  <c r="E46" i="7"/>
  <c r="CN45" i="7"/>
  <c r="CM45" i="7"/>
  <c r="CK45" i="7"/>
  <c r="CJ45" i="7"/>
  <c r="CH45" i="7"/>
  <c r="CG45" i="7"/>
  <c r="CE45" i="7"/>
  <c r="CD45" i="7"/>
  <c r="CB45" i="7"/>
  <c r="CA45" i="7"/>
  <c r="BY45" i="7"/>
  <c r="BX45" i="7"/>
  <c r="BV45" i="7"/>
  <c r="BU45" i="7"/>
  <c r="BW45" i="7" s="1"/>
  <c r="BS45" i="7"/>
  <c r="BR45" i="7"/>
  <c r="BP45" i="7"/>
  <c r="BO45" i="7"/>
  <c r="BM45" i="7"/>
  <c r="BL45" i="7"/>
  <c r="BJ45" i="7"/>
  <c r="BI45" i="7"/>
  <c r="BG45" i="7"/>
  <c r="BF45" i="7"/>
  <c r="BH45" i="7" s="1"/>
  <c r="BD45" i="7"/>
  <c r="BC45" i="7"/>
  <c r="BE45" i="7" s="1"/>
  <c r="BA45" i="7"/>
  <c r="AZ45" i="7"/>
  <c r="BB45" i="7" s="1"/>
  <c r="AX45" i="7"/>
  <c r="AW45" i="7"/>
  <c r="AY45" i="7" s="1"/>
  <c r="AU45" i="7"/>
  <c r="AT45" i="7"/>
  <c r="AV45" i="7" s="1"/>
  <c r="AS45" i="7"/>
  <c r="AR45" i="7"/>
  <c r="AP45" i="7"/>
  <c r="AO45" i="7"/>
  <c r="AM45" i="7"/>
  <c r="AL45" i="7"/>
  <c r="AJ45" i="7"/>
  <c r="AI45" i="7"/>
  <c r="AG45" i="7"/>
  <c r="AF45" i="7"/>
  <c r="AE45" i="7"/>
  <c r="AD45" i="7"/>
  <c r="AC45" i="7"/>
  <c r="AA45" i="7"/>
  <c r="Z45" i="7"/>
  <c r="X45" i="7"/>
  <c r="W45" i="7"/>
  <c r="T45" i="7"/>
  <c r="S45" i="7"/>
  <c r="V45" i="7" s="1"/>
  <c r="R45" i="7"/>
  <c r="O45" i="7"/>
  <c r="L45" i="7"/>
  <c r="I45" i="7"/>
  <c r="Q45" i="7" s="1"/>
  <c r="H45" i="7"/>
  <c r="G45" i="7"/>
  <c r="P45" i="7" s="1"/>
  <c r="F45" i="7"/>
  <c r="E45" i="7"/>
  <c r="CN44" i="7"/>
  <c r="CM44" i="7"/>
  <c r="CK44" i="7"/>
  <c r="CJ44" i="7"/>
  <c r="CL44" i="7" s="1"/>
  <c r="CH44" i="7"/>
  <c r="CG44" i="7"/>
  <c r="CI44" i="7" s="1"/>
  <c r="CE44" i="7"/>
  <c r="CD44" i="7"/>
  <c r="CF44" i="7" s="1"/>
  <c r="CB44" i="7"/>
  <c r="CA44" i="7"/>
  <c r="CC44" i="7" s="1"/>
  <c r="BY44" i="7"/>
  <c r="BX44" i="7"/>
  <c r="BZ44" i="7" s="1"/>
  <c r="BV44" i="7"/>
  <c r="BU44" i="7"/>
  <c r="BW44" i="7" s="1"/>
  <c r="BS44" i="7"/>
  <c r="BR44" i="7"/>
  <c r="BP44" i="7"/>
  <c r="BO44" i="7"/>
  <c r="BM44" i="7"/>
  <c r="BL44" i="7"/>
  <c r="BJ44" i="7"/>
  <c r="BI44" i="7"/>
  <c r="BG44" i="7"/>
  <c r="BF44" i="7"/>
  <c r="BD44" i="7"/>
  <c r="BC44" i="7"/>
  <c r="BA44" i="7"/>
  <c r="AZ44" i="7"/>
  <c r="AX44" i="7"/>
  <c r="AW44" i="7"/>
  <c r="AU44" i="7"/>
  <c r="AT44" i="7"/>
  <c r="AS44" i="7"/>
  <c r="AR44" i="7"/>
  <c r="AP44" i="7"/>
  <c r="AO44" i="7"/>
  <c r="AM44" i="7"/>
  <c r="AL44" i="7"/>
  <c r="AJ44" i="7"/>
  <c r="AI44" i="7"/>
  <c r="AG44" i="7"/>
  <c r="AF44" i="7"/>
  <c r="AE44" i="7"/>
  <c r="AD44" i="7"/>
  <c r="AC44" i="7"/>
  <c r="AA44" i="7"/>
  <c r="Z44" i="7"/>
  <c r="X44" i="7"/>
  <c r="W44" i="7"/>
  <c r="T44" i="7"/>
  <c r="S44" i="7"/>
  <c r="V44" i="7" s="1"/>
  <c r="R44" i="7"/>
  <c r="O44" i="7"/>
  <c r="L44" i="7"/>
  <c r="I44" i="7"/>
  <c r="Q44" i="7" s="1"/>
  <c r="H44" i="7"/>
  <c r="G44" i="7"/>
  <c r="P44" i="7" s="1"/>
  <c r="F44" i="7"/>
  <c r="E44" i="7"/>
  <c r="CN43" i="7"/>
  <c r="CM43" i="7"/>
  <c r="CK43" i="7"/>
  <c r="CJ43" i="7"/>
  <c r="CL43" i="7" s="1"/>
  <c r="CH43" i="7"/>
  <c r="CG43" i="7"/>
  <c r="CI43" i="7" s="1"/>
  <c r="CE43" i="7"/>
  <c r="CD43" i="7"/>
  <c r="CF43" i="7" s="1"/>
  <c r="CB43" i="7"/>
  <c r="CA43" i="7"/>
  <c r="CC43" i="7" s="1"/>
  <c r="BY43" i="7"/>
  <c r="BX43" i="7"/>
  <c r="BZ43" i="7" s="1"/>
  <c r="BV43" i="7"/>
  <c r="BU43" i="7"/>
  <c r="BW43" i="7" s="1"/>
  <c r="BS43" i="7"/>
  <c r="BR43" i="7"/>
  <c r="BP43" i="7"/>
  <c r="BO43" i="7"/>
  <c r="BM43" i="7"/>
  <c r="BL43" i="7"/>
  <c r="BJ43" i="7"/>
  <c r="BI43" i="7"/>
  <c r="BG43" i="7"/>
  <c r="BF43" i="7"/>
  <c r="BD43" i="7"/>
  <c r="BC43" i="7"/>
  <c r="BA43" i="7"/>
  <c r="AZ43" i="7"/>
  <c r="AX43" i="7"/>
  <c r="AW43" i="7"/>
  <c r="AU43" i="7"/>
  <c r="AT43" i="7"/>
  <c r="AS43" i="7"/>
  <c r="AR43" i="7"/>
  <c r="AP43" i="7"/>
  <c r="AO43" i="7"/>
  <c r="AM43" i="7"/>
  <c r="AL43" i="7"/>
  <c r="AJ43" i="7"/>
  <c r="AI43" i="7"/>
  <c r="AG43" i="7"/>
  <c r="AF43" i="7"/>
  <c r="AE43" i="7"/>
  <c r="AD43" i="7"/>
  <c r="AC43" i="7"/>
  <c r="AA43" i="7"/>
  <c r="Z43" i="7"/>
  <c r="X43" i="7"/>
  <c r="W43" i="7"/>
  <c r="T43" i="7"/>
  <c r="S43" i="7"/>
  <c r="V43" i="7" s="1"/>
  <c r="R43" i="7"/>
  <c r="O43" i="7"/>
  <c r="L43" i="7"/>
  <c r="I43" i="7"/>
  <c r="H43" i="7"/>
  <c r="G43" i="7"/>
  <c r="P43" i="7" s="1"/>
  <c r="F43" i="7"/>
  <c r="E43" i="7"/>
  <c r="CN42" i="7"/>
  <c r="CM42" i="7"/>
  <c r="CK42" i="7"/>
  <c r="CJ42" i="7"/>
  <c r="CL42" i="7" s="1"/>
  <c r="CH42" i="7"/>
  <c r="CG42" i="7"/>
  <c r="CI42" i="7" s="1"/>
  <c r="CE42" i="7"/>
  <c r="CD42" i="7"/>
  <c r="CF42" i="7" s="1"/>
  <c r="CB42" i="7"/>
  <c r="CA42" i="7"/>
  <c r="CC42" i="7" s="1"/>
  <c r="BY42" i="7"/>
  <c r="BX42" i="7"/>
  <c r="BZ42" i="7" s="1"/>
  <c r="BV42" i="7"/>
  <c r="BU42" i="7"/>
  <c r="BW42" i="7" s="1"/>
  <c r="BS42" i="7"/>
  <c r="BR42" i="7"/>
  <c r="BP42" i="7"/>
  <c r="BO42" i="7"/>
  <c r="BM42" i="7"/>
  <c r="BL42" i="7"/>
  <c r="BJ42" i="7"/>
  <c r="BI42" i="7"/>
  <c r="BG42" i="7"/>
  <c r="BF42" i="7"/>
  <c r="BH42" i="7" s="1"/>
  <c r="BD42" i="7"/>
  <c r="BC42" i="7"/>
  <c r="BE42" i="7" s="1"/>
  <c r="BA42" i="7"/>
  <c r="AZ42" i="7"/>
  <c r="BB42" i="7" s="1"/>
  <c r="AX42" i="7"/>
  <c r="AW42" i="7"/>
  <c r="AY42" i="7" s="1"/>
  <c r="AU42" i="7"/>
  <c r="AT42" i="7"/>
  <c r="AV42" i="7" s="1"/>
  <c r="AS42" i="7"/>
  <c r="AR42" i="7"/>
  <c r="AP42" i="7"/>
  <c r="AO42" i="7"/>
  <c r="AM42" i="7"/>
  <c r="AL42" i="7"/>
  <c r="AJ42" i="7"/>
  <c r="AI42" i="7"/>
  <c r="AG42" i="7"/>
  <c r="AF42" i="7"/>
  <c r="AE42" i="7"/>
  <c r="AD42" i="7"/>
  <c r="AC42" i="7"/>
  <c r="AA42" i="7"/>
  <c r="Z42" i="7"/>
  <c r="X42" i="7"/>
  <c r="W42" i="7"/>
  <c r="T42" i="7"/>
  <c r="S42" i="7"/>
  <c r="V42" i="7" s="1"/>
  <c r="R42" i="7"/>
  <c r="O42" i="7"/>
  <c r="L42" i="7"/>
  <c r="I42" i="7"/>
  <c r="Q42" i="7" s="1"/>
  <c r="H42" i="7"/>
  <c r="G42" i="7"/>
  <c r="P42" i="7" s="1"/>
  <c r="F42" i="7"/>
  <c r="E42" i="7"/>
  <c r="CN41" i="7"/>
  <c r="CM41" i="7"/>
  <c r="CK41" i="7"/>
  <c r="CJ41" i="7"/>
  <c r="CL41" i="7" s="1"/>
  <c r="CH41" i="7"/>
  <c r="CG41" i="7"/>
  <c r="CI41" i="7" s="1"/>
  <c r="CE41" i="7"/>
  <c r="CD41" i="7"/>
  <c r="CF41" i="7" s="1"/>
  <c r="CB41" i="7"/>
  <c r="CA41" i="7"/>
  <c r="CC41" i="7" s="1"/>
  <c r="BY41" i="7"/>
  <c r="BX41" i="7"/>
  <c r="BZ41" i="7" s="1"/>
  <c r="BV41" i="7"/>
  <c r="BU41" i="7"/>
  <c r="BW41" i="7" s="1"/>
  <c r="BS41" i="7"/>
  <c r="BR41" i="7"/>
  <c r="BP41" i="7"/>
  <c r="BO41" i="7"/>
  <c r="BM41" i="7"/>
  <c r="BL41" i="7"/>
  <c r="BJ41" i="7"/>
  <c r="BI41" i="7"/>
  <c r="BG41" i="7"/>
  <c r="BF41" i="7"/>
  <c r="BD41" i="7"/>
  <c r="BC41" i="7"/>
  <c r="BA41" i="7"/>
  <c r="AZ41" i="7"/>
  <c r="AX41" i="7"/>
  <c r="AW41" i="7"/>
  <c r="AU41" i="7"/>
  <c r="AT41" i="7"/>
  <c r="AS41" i="7"/>
  <c r="AR41" i="7"/>
  <c r="AP41" i="7"/>
  <c r="AO41" i="7"/>
  <c r="AM41" i="7"/>
  <c r="AL41" i="7"/>
  <c r="AJ41" i="7"/>
  <c r="AI41" i="7"/>
  <c r="AG41" i="7"/>
  <c r="AF41" i="7"/>
  <c r="AE41" i="7"/>
  <c r="AD41" i="7"/>
  <c r="AC41" i="7"/>
  <c r="AA41" i="7"/>
  <c r="Z41" i="7"/>
  <c r="X41" i="7"/>
  <c r="W41" i="7"/>
  <c r="T41" i="7"/>
  <c r="S41" i="7"/>
  <c r="V41" i="7" s="1"/>
  <c r="R41" i="7"/>
  <c r="O41" i="7"/>
  <c r="L41" i="7"/>
  <c r="I41" i="7"/>
  <c r="Q41" i="7" s="1"/>
  <c r="H41" i="7"/>
  <c r="G41" i="7"/>
  <c r="P41" i="7" s="1"/>
  <c r="F41" i="7"/>
  <c r="E41" i="7"/>
  <c r="CN40" i="7"/>
  <c r="CM40" i="7"/>
  <c r="CK40" i="7"/>
  <c r="CJ40" i="7"/>
  <c r="CL40" i="7" s="1"/>
  <c r="CH40" i="7"/>
  <c r="CG40" i="7"/>
  <c r="CI40" i="7" s="1"/>
  <c r="CE40" i="7"/>
  <c r="CD40" i="7"/>
  <c r="CF40" i="7" s="1"/>
  <c r="CB40" i="7"/>
  <c r="CA40" i="7"/>
  <c r="CC40" i="7" s="1"/>
  <c r="BY40" i="7"/>
  <c r="BX40" i="7"/>
  <c r="BZ40" i="7" s="1"/>
  <c r="BV40" i="7"/>
  <c r="BU40" i="7"/>
  <c r="BW40" i="7" s="1"/>
  <c r="BS40" i="7"/>
  <c r="BR40" i="7"/>
  <c r="BP40" i="7"/>
  <c r="BO40" i="7"/>
  <c r="BM40" i="7"/>
  <c r="BL40" i="7"/>
  <c r="BJ40" i="7"/>
  <c r="BI40" i="7"/>
  <c r="BG40" i="7"/>
  <c r="BF40" i="7"/>
  <c r="BD40" i="7"/>
  <c r="BC40" i="7"/>
  <c r="BA40" i="7"/>
  <c r="AZ40" i="7"/>
  <c r="AX40" i="7"/>
  <c r="AW40" i="7"/>
  <c r="AU40" i="7"/>
  <c r="AT40" i="7"/>
  <c r="AS40" i="7"/>
  <c r="AR40" i="7"/>
  <c r="AP40" i="7"/>
  <c r="AO40" i="7"/>
  <c r="AM40" i="7"/>
  <c r="AL40" i="7"/>
  <c r="AJ40" i="7"/>
  <c r="AI40" i="7"/>
  <c r="AG40" i="7"/>
  <c r="AF40" i="7"/>
  <c r="AE40" i="7"/>
  <c r="AD40" i="7"/>
  <c r="AC40" i="7"/>
  <c r="AA40" i="7"/>
  <c r="Z40" i="7"/>
  <c r="X40" i="7"/>
  <c r="W40" i="7"/>
  <c r="T40" i="7"/>
  <c r="S40" i="7"/>
  <c r="V40" i="7" s="1"/>
  <c r="R40" i="7"/>
  <c r="O40" i="7"/>
  <c r="L40" i="7"/>
  <c r="I40" i="7"/>
  <c r="Q40" i="7" s="1"/>
  <c r="H40" i="7"/>
  <c r="G40" i="7"/>
  <c r="P40" i="7" s="1"/>
  <c r="F40" i="7"/>
  <c r="E40" i="7"/>
  <c r="CN39" i="7"/>
  <c r="CM39" i="7"/>
  <c r="CK39" i="7"/>
  <c r="CJ39" i="7"/>
  <c r="CL39" i="7" s="1"/>
  <c r="CH39" i="7"/>
  <c r="CG39" i="7"/>
  <c r="CI39" i="7" s="1"/>
  <c r="CE39" i="7"/>
  <c r="CD39" i="7"/>
  <c r="CF39" i="7" s="1"/>
  <c r="CB39" i="7"/>
  <c r="CA39" i="7"/>
  <c r="CC39" i="7" s="1"/>
  <c r="BY39" i="7"/>
  <c r="BX39" i="7"/>
  <c r="BZ39" i="7" s="1"/>
  <c r="BV39" i="7"/>
  <c r="BU39" i="7"/>
  <c r="BW39" i="7" s="1"/>
  <c r="BS39" i="7"/>
  <c r="BR39" i="7"/>
  <c r="BP39" i="7"/>
  <c r="BO39" i="7"/>
  <c r="BM39" i="7"/>
  <c r="BL39" i="7"/>
  <c r="BJ39" i="7"/>
  <c r="BI39" i="7"/>
  <c r="BG39" i="7"/>
  <c r="BF39" i="7"/>
  <c r="BH39" i="7" s="1"/>
  <c r="BD39" i="7"/>
  <c r="BC39" i="7"/>
  <c r="BA39" i="7"/>
  <c r="AZ39" i="7"/>
  <c r="BB39" i="7" s="1"/>
  <c r="AX39" i="7"/>
  <c r="AW39" i="7"/>
  <c r="AY39" i="7" s="1"/>
  <c r="AU39" i="7"/>
  <c r="AT39" i="7"/>
  <c r="AV39" i="7" s="1"/>
  <c r="AS39" i="7"/>
  <c r="AR39" i="7"/>
  <c r="AP39" i="7"/>
  <c r="AO39" i="7"/>
  <c r="AM39" i="7"/>
  <c r="AL39" i="7"/>
  <c r="AJ39" i="7"/>
  <c r="AI39" i="7"/>
  <c r="AG39" i="7"/>
  <c r="AF39" i="7"/>
  <c r="AE39" i="7"/>
  <c r="AD39" i="7"/>
  <c r="AC39" i="7"/>
  <c r="AA39" i="7"/>
  <c r="Z39" i="7"/>
  <c r="X39" i="7"/>
  <c r="W39" i="7"/>
  <c r="T39" i="7"/>
  <c r="S39" i="7"/>
  <c r="V39" i="7" s="1"/>
  <c r="R39" i="7"/>
  <c r="O39" i="7"/>
  <c r="L39" i="7"/>
  <c r="I39" i="7"/>
  <c r="Q39" i="7" s="1"/>
  <c r="H39" i="7"/>
  <c r="G39" i="7"/>
  <c r="P39" i="7" s="1"/>
  <c r="F39" i="7"/>
  <c r="E39" i="7"/>
  <c r="CN38" i="7"/>
  <c r="CM38" i="7"/>
  <c r="CK38" i="7"/>
  <c r="CJ38" i="7"/>
  <c r="CL38" i="7" s="1"/>
  <c r="CH38" i="7"/>
  <c r="CG38" i="7"/>
  <c r="CI38" i="7" s="1"/>
  <c r="CE38" i="7"/>
  <c r="CD38" i="7"/>
  <c r="CF38" i="7" s="1"/>
  <c r="CB38" i="7"/>
  <c r="CA38" i="7"/>
  <c r="CC38" i="7" s="1"/>
  <c r="BY38" i="7"/>
  <c r="BX38" i="7"/>
  <c r="BZ38" i="7" s="1"/>
  <c r="BV38" i="7"/>
  <c r="BU38" i="7"/>
  <c r="BW38" i="7" s="1"/>
  <c r="BS38" i="7"/>
  <c r="BR38" i="7"/>
  <c r="BP38" i="7"/>
  <c r="BO38" i="7"/>
  <c r="BM38" i="7"/>
  <c r="BL38" i="7"/>
  <c r="BJ38" i="7"/>
  <c r="BI38" i="7"/>
  <c r="BG38" i="7"/>
  <c r="BF38" i="7"/>
  <c r="BD38" i="7"/>
  <c r="BC38" i="7"/>
  <c r="BA38" i="7"/>
  <c r="AZ38" i="7"/>
  <c r="AX38" i="7"/>
  <c r="AW38" i="7"/>
  <c r="AU38" i="7"/>
  <c r="AT38" i="7"/>
  <c r="AS38" i="7"/>
  <c r="AR38" i="7"/>
  <c r="AP38" i="7"/>
  <c r="AO38" i="7"/>
  <c r="AM38" i="7"/>
  <c r="AL38" i="7"/>
  <c r="AJ38" i="7"/>
  <c r="AI38" i="7"/>
  <c r="AG38" i="7"/>
  <c r="AF38" i="7"/>
  <c r="AE38" i="7"/>
  <c r="AD38" i="7"/>
  <c r="AC38" i="7"/>
  <c r="AA38" i="7"/>
  <c r="Z38" i="7"/>
  <c r="X38" i="7"/>
  <c r="W38" i="7"/>
  <c r="T38" i="7"/>
  <c r="S38" i="7"/>
  <c r="V38" i="7" s="1"/>
  <c r="R38" i="7"/>
  <c r="O38" i="7"/>
  <c r="L38" i="7"/>
  <c r="I38" i="7"/>
  <c r="Q38" i="7" s="1"/>
  <c r="H38" i="7"/>
  <c r="G38" i="7"/>
  <c r="P38" i="7" s="1"/>
  <c r="F38" i="7"/>
  <c r="E38" i="7"/>
  <c r="CN37" i="7"/>
  <c r="CM37" i="7"/>
  <c r="CK37" i="7"/>
  <c r="CJ37" i="7"/>
  <c r="CL37" i="7" s="1"/>
  <c r="CH37" i="7"/>
  <c r="CG37" i="7"/>
  <c r="CI37" i="7" s="1"/>
  <c r="CE37" i="7"/>
  <c r="CD37" i="7"/>
  <c r="CF37" i="7" s="1"/>
  <c r="CB37" i="7"/>
  <c r="CA37" i="7"/>
  <c r="CC37" i="7" s="1"/>
  <c r="BY37" i="7"/>
  <c r="BX37" i="7"/>
  <c r="BZ37" i="7" s="1"/>
  <c r="BV37" i="7"/>
  <c r="BU37" i="7"/>
  <c r="BW37" i="7" s="1"/>
  <c r="BS37" i="7"/>
  <c r="BR37" i="7"/>
  <c r="BP37" i="7"/>
  <c r="BO37" i="7"/>
  <c r="BM37" i="7"/>
  <c r="BL37" i="7"/>
  <c r="BJ37" i="7"/>
  <c r="BI37" i="7"/>
  <c r="BG37" i="7"/>
  <c r="BF37" i="7"/>
  <c r="BD37" i="7"/>
  <c r="BC37" i="7"/>
  <c r="BA37" i="7"/>
  <c r="AZ37" i="7"/>
  <c r="AX37" i="7"/>
  <c r="AW37" i="7"/>
  <c r="AU37" i="7"/>
  <c r="AT37" i="7"/>
  <c r="AS37" i="7"/>
  <c r="AR37" i="7"/>
  <c r="AP37" i="7"/>
  <c r="AO37" i="7"/>
  <c r="AM37" i="7"/>
  <c r="AL37" i="7"/>
  <c r="AJ37" i="7"/>
  <c r="AI37" i="7"/>
  <c r="AG37" i="7"/>
  <c r="AF37" i="7"/>
  <c r="AE37" i="7"/>
  <c r="AD37" i="7"/>
  <c r="AC37" i="7"/>
  <c r="AA37" i="7"/>
  <c r="Z37" i="7"/>
  <c r="X37" i="7"/>
  <c r="W37" i="7"/>
  <c r="T37" i="7"/>
  <c r="S37" i="7"/>
  <c r="V37" i="7" s="1"/>
  <c r="R37" i="7"/>
  <c r="O37" i="7"/>
  <c r="L37" i="7"/>
  <c r="I37" i="7"/>
  <c r="Q37" i="7" s="1"/>
  <c r="H37" i="7"/>
  <c r="G37" i="7"/>
  <c r="P37" i="7" s="1"/>
  <c r="F37" i="7"/>
  <c r="E37" i="7"/>
  <c r="CN36" i="7"/>
  <c r="CM36" i="7"/>
  <c r="CK36" i="7"/>
  <c r="CJ36" i="7"/>
  <c r="CL36" i="7" s="1"/>
  <c r="CH36" i="7"/>
  <c r="CG36" i="7"/>
  <c r="CE36" i="7"/>
  <c r="CD36" i="7"/>
  <c r="CF36" i="7" s="1"/>
  <c r="CB36" i="7"/>
  <c r="CA36" i="7"/>
  <c r="CC36" i="7" s="1"/>
  <c r="BY36" i="7"/>
  <c r="BX36" i="7"/>
  <c r="BZ36" i="7" s="1"/>
  <c r="BV36" i="7"/>
  <c r="BU36" i="7"/>
  <c r="BW36" i="7" s="1"/>
  <c r="BS36" i="7"/>
  <c r="BR36" i="7"/>
  <c r="BP36" i="7"/>
  <c r="BO36" i="7"/>
  <c r="BM36" i="7"/>
  <c r="BL36" i="7"/>
  <c r="BJ36" i="7"/>
  <c r="BI36" i="7"/>
  <c r="BG36" i="7"/>
  <c r="BF36" i="7"/>
  <c r="BH36" i="7" s="1"/>
  <c r="BD36" i="7"/>
  <c r="BC36" i="7"/>
  <c r="BE36" i="7" s="1"/>
  <c r="BA36" i="7"/>
  <c r="AZ36" i="7"/>
  <c r="BB36" i="7" s="1"/>
  <c r="AX36" i="7"/>
  <c r="AW36" i="7"/>
  <c r="AY36" i="7" s="1"/>
  <c r="AU36" i="7"/>
  <c r="AT36" i="7"/>
  <c r="AV36" i="7" s="1"/>
  <c r="AS36" i="7"/>
  <c r="AR36" i="7"/>
  <c r="AP36" i="7"/>
  <c r="AO36" i="7"/>
  <c r="AM36" i="7"/>
  <c r="AL36" i="7"/>
  <c r="AJ36" i="7"/>
  <c r="AI36" i="7"/>
  <c r="AG36" i="7"/>
  <c r="AF36" i="7"/>
  <c r="AE36" i="7"/>
  <c r="AD36" i="7"/>
  <c r="AC36" i="7"/>
  <c r="AA36" i="7"/>
  <c r="Z36" i="7"/>
  <c r="X36" i="7"/>
  <c r="W36" i="7"/>
  <c r="T36" i="7"/>
  <c r="S36" i="7"/>
  <c r="V36" i="7" s="1"/>
  <c r="R36" i="7"/>
  <c r="O36" i="7"/>
  <c r="L36" i="7"/>
  <c r="I36" i="7"/>
  <c r="Q36" i="7" s="1"/>
  <c r="H36" i="7"/>
  <c r="G36" i="7"/>
  <c r="F36" i="7"/>
  <c r="E36" i="7"/>
  <c r="CN35" i="7"/>
  <c r="CM35" i="7"/>
  <c r="CK35" i="7"/>
  <c r="CJ35" i="7"/>
  <c r="CL35" i="7" s="1"/>
  <c r="CH35" i="7"/>
  <c r="CG35" i="7"/>
  <c r="CI35" i="7" s="1"/>
  <c r="CE35" i="7"/>
  <c r="CD35" i="7"/>
  <c r="CF35" i="7" s="1"/>
  <c r="CB35" i="7"/>
  <c r="CA35" i="7"/>
  <c r="CC35" i="7" s="1"/>
  <c r="BY35" i="7"/>
  <c r="BX35" i="7"/>
  <c r="BZ35" i="7" s="1"/>
  <c r="BV35" i="7"/>
  <c r="BU35" i="7"/>
  <c r="BW35" i="7" s="1"/>
  <c r="BS35" i="7"/>
  <c r="BR35" i="7"/>
  <c r="BP35" i="7"/>
  <c r="BO35" i="7"/>
  <c r="BM35" i="7"/>
  <c r="BL35" i="7"/>
  <c r="BJ35" i="7"/>
  <c r="BI35" i="7"/>
  <c r="BG35" i="7"/>
  <c r="BF35" i="7"/>
  <c r="BD35" i="7"/>
  <c r="BC35" i="7"/>
  <c r="BA35" i="7"/>
  <c r="AZ35" i="7"/>
  <c r="AX35" i="7"/>
  <c r="AW35" i="7"/>
  <c r="AU35" i="7"/>
  <c r="AT35" i="7"/>
  <c r="AS35" i="7"/>
  <c r="AR35" i="7"/>
  <c r="AP35" i="7"/>
  <c r="AO35" i="7"/>
  <c r="AM35" i="7"/>
  <c r="AL35" i="7"/>
  <c r="AJ35" i="7"/>
  <c r="AI35" i="7"/>
  <c r="AG35" i="7"/>
  <c r="AF35" i="7"/>
  <c r="AE35" i="7"/>
  <c r="AD35" i="7"/>
  <c r="AC35" i="7"/>
  <c r="AA35" i="7"/>
  <c r="Z35" i="7"/>
  <c r="X35" i="7"/>
  <c r="W35" i="7"/>
  <c r="T35" i="7"/>
  <c r="S35" i="7"/>
  <c r="V35" i="7" s="1"/>
  <c r="R35" i="7"/>
  <c r="O35" i="7"/>
  <c r="L35" i="7"/>
  <c r="I35" i="7"/>
  <c r="Q35" i="7" s="1"/>
  <c r="H35" i="7"/>
  <c r="G35" i="7"/>
  <c r="P35" i="7" s="1"/>
  <c r="F35" i="7"/>
  <c r="E35" i="7"/>
  <c r="CN34" i="7"/>
  <c r="CM34" i="7"/>
  <c r="CK34" i="7"/>
  <c r="CJ34" i="7"/>
  <c r="CL34" i="7" s="1"/>
  <c r="CH34" i="7"/>
  <c r="CG34" i="7"/>
  <c r="CI34" i="7" s="1"/>
  <c r="CE34" i="7"/>
  <c r="CD34" i="7"/>
  <c r="CF34" i="7" s="1"/>
  <c r="CB34" i="7"/>
  <c r="CA34" i="7"/>
  <c r="CC34" i="7" s="1"/>
  <c r="BY34" i="7"/>
  <c r="BX34" i="7"/>
  <c r="BZ34" i="7" s="1"/>
  <c r="BV34" i="7"/>
  <c r="BU34" i="7"/>
  <c r="BW34" i="7" s="1"/>
  <c r="BS34" i="7"/>
  <c r="BR34" i="7"/>
  <c r="BP34" i="7"/>
  <c r="BO34" i="7"/>
  <c r="BM34" i="7"/>
  <c r="BL34" i="7"/>
  <c r="BJ34" i="7"/>
  <c r="BI34" i="7"/>
  <c r="BG34" i="7"/>
  <c r="BF34" i="7"/>
  <c r="BH34" i="7" s="1"/>
  <c r="BD34" i="7"/>
  <c r="BC34" i="7"/>
  <c r="BE34" i="7" s="1"/>
  <c r="BA34" i="7"/>
  <c r="AZ34" i="7"/>
  <c r="BB34" i="7" s="1"/>
  <c r="AX34" i="7"/>
  <c r="AW34" i="7"/>
  <c r="AY34" i="7" s="1"/>
  <c r="AU34" i="7"/>
  <c r="AT34" i="7"/>
  <c r="AV34" i="7" s="1"/>
  <c r="AS34" i="7"/>
  <c r="AR34" i="7"/>
  <c r="AP34" i="7"/>
  <c r="AO34" i="7"/>
  <c r="AM34" i="7"/>
  <c r="AL34" i="7"/>
  <c r="AJ34" i="7"/>
  <c r="AI34" i="7"/>
  <c r="AG34" i="7"/>
  <c r="AF34" i="7"/>
  <c r="AE34" i="7"/>
  <c r="AD34" i="7"/>
  <c r="AC34" i="7"/>
  <c r="AA34" i="7"/>
  <c r="Z34" i="7"/>
  <c r="X34" i="7"/>
  <c r="W34" i="7"/>
  <c r="T34" i="7"/>
  <c r="S34" i="7"/>
  <c r="V34" i="7" s="1"/>
  <c r="R34" i="7"/>
  <c r="O34" i="7"/>
  <c r="L34" i="7"/>
  <c r="I34" i="7"/>
  <c r="Q34" i="7" s="1"/>
  <c r="H34" i="7"/>
  <c r="G34" i="7"/>
  <c r="P34" i="7" s="1"/>
  <c r="F34" i="7"/>
  <c r="E34" i="7"/>
  <c r="CN33" i="7"/>
  <c r="CM33" i="7"/>
  <c r="CK33" i="7"/>
  <c r="CJ33" i="7"/>
  <c r="CL33" i="7" s="1"/>
  <c r="CH33" i="7"/>
  <c r="CG33" i="7"/>
  <c r="CI33" i="7" s="1"/>
  <c r="CE33" i="7"/>
  <c r="CD33" i="7"/>
  <c r="CF33" i="7" s="1"/>
  <c r="CB33" i="7"/>
  <c r="CA33" i="7"/>
  <c r="CC33" i="7" s="1"/>
  <c r="BY33" i="7"/>
  <c r="BX33" i="7"/>
  <c r="BZ33" i="7" s="1"/>
  <c r="BV33" i="7"/>
  <c r="BU33" i="7"/>
  <c r="BW33" i="7" s="1"/>
  <c r="BS33" i="7"/>
  <c r="BR33" i="7"/>
  <c r="BP33" i="7"/>
  <c r="BO33" i="7"/>
  <c r="BM33" i="7"/>
  <c r="BL33" i="7"/>
  <c r="BJ33" i="7"/>
  <c r="BI33" i="7"/>
  <c r="BG33" i="7"/>
  <c r="BF33" i="7"/>
  <c r="BH33" i="7" s="1"/>
  <c r="BD33" i="7"/>
  <c r="BC33" i="7"/>
  <c r="BE33" i="7" s="1"/>
  <c r="BA33" i="7"/>
  <c r="AZ33" i="7"/>
  <c r="BB33" i="7" s="1"/>
  <c r="AX33" i="7"/>
  <c r="AW33" i="7"/>
  <c r="AY33" i="7" s="1"/>
  <c r="AU33" i="7"/>
  <c r="AT33" i="7"/>
  <c r="AV33" i="7" s="1"/>
  <c r="AS33" i="7"/>
  <c r="AR33" i="7"/>
  <c r="AP33" i="7"/>
  <c r="AO33" i="7"/>
  <c r="AM33" i="7"/>
  <c r="AL33" i="7"/>
  <c r="AJ33" i="7"/>
  <c r="AI33" i="7"/>
  <c r="AG33" i="7"/>
  <c r="AF33" i="7"/>
  <c r="AE33" i="7"/>
  <c r="AD33" i="7"/>
  <c r="AC33" i="7"/>
  <c r="AA33" i="7"/>
  <c r="Z33" i="7"/>
  <c r="X33" i="7"/>
  <c r="W33" i="7"/>
  <c r="T33" i="7"/>
  <c r="S33" i="7"/>
  <c r="V33" i="7" s="1"/>
  <c r="R33" i="7"/>
  <c r="O33" i="7"/>
  <c r="L33" i="7"/>
  <c r="I33" i="7"/>
  <c r="Q33" i="7" s="1"/>
  <c r="H33" i="7"/>
  <c r="G33" i="7"/>
  <c r="P33" i="7" s="1"/>
  <c r="F33" i="7"/>
  <c r="E33" i="7"/>
  <c r="CN32" i="7"/>
  <c r="CM32" i="7"/>
  <c r="CK32" i="7"/>
  <c r="CJ32" i="7"/>
  <c r="CL32" i="7" s="1"/>
  <c r="CH32" i="7"/>
  <c r="CG32" i="7"/>
  <c r="CI32" i="7" s="1"/>
  <c r="CE32" i="7"/>
  <c r="CD32" i="7"/>
  <c r="CB32" i="7"/>
  <c r="CA32" i="7"/>
  <c r="CC32" i="7" s="1"/>
  <c r="BY32" i="7"/>
  <c r="BX32" i="7"/>
  <c r="BV32" i="7"/>
  <c r="BU32" i="7"/>
  <c r="BW32" i="7" s="1"/>
  <c r="BS32" i="7"/>
  <c r="BR32" i="7"/>
  <c r="BP32" i="7"/>
  <c r="BO32" i="7"/>
  <c r="BM32" i="7"/>
  <c r="BL32" i="7"/>
  <c r="BJ32" i="7"/>
  <c r="BI32" i="7"/>
  <c r="BG32" i="7"/>
  <c r="BF32" i="7"/>
  <c r="BH32" i="7" s="1"/>
  <c r="BD32" i="7"/>
  <c r="BC32" i="7"/>
  <c r="BE32" i="7" s="1"/>
  <c r="BA32" i="7"/>
  <c r="AZ32" i="7"/>
  <c r="BB32" i="7" s="1"/>
  <c r="AX32" i="7"/>
  <c r="AW32" i="7"/>
  <c r="AY32" i="7" s="1"/>
  <c r="AU32" i="7"/>
  <c r="AT32" i="7"/>
  <c r="AS32" i="7"/>
  <c r="AR32" i="7"/>
  <c r="AP32" i="7"/>
  <c r="AO32" i="7"/>
  <c r="AM32" i="7"/>
  <c r="AL32" i="7"/>
  <c r="AJ32" i="7"/>
  <c r="AI32" i="7"/>
  <c r="AG32" i="7"/>
  <c r="AF32" i="7"/>
  <c r="AE32" i="7"/>
  <c r="AD32" i="7"/>
  <c r="AC32" i="7"/>
  <c r="AA32" i="7"/>
  <c r="Z32" i="7"/>
  <c r="X32" i="7"/>
  <c r="W32" i="7"/>
  <c r="T32" i="7"/>
  <c r="S32" i="7"/>
  <c r="R32" i="7"/>
  <c r="O32" i="7"/>
  <c r="L32" i="7"/>
  <c r="I32" i="7"/>
  <c r="Q32" i="7" s="1"/>
  <c r="H32" i="7"/>
  <c r="G32" i="7"/>
  <c r="P32" i="7" s="1"/>
  <c r="F32" i="7"/>
  <c r="E32" i="7"/>
  <c r="CN30" i="7"/>
  <c r="CM30" i="7"/>
  <c r="CK30" i="7"/>
  <c r="CJ30" i="7"/>
  <c r="CL30" i="7" s="1"/>
  <c r="CH30" i="7"/>
  <c r="CG30" i="7"/>
  <c r="CI30" i="7" s="1"/>
  <c r="CE30" i="7"/>
  <c r="CD30" i="7"/>
  <c r="CF30" i="7" s="1"/>
  <c r="CB30" i="7"/>
  <c r="CA30" i="7"/>
  <c r="CC30" i="7" s="1"/>
  <c r="BY30" i="7"/>
  <c r="BX30" i="7"/>
  <c r="BZ30" i="7" s="1"/>
  <c r="BV30" i="7"/>
  <c r="BU30" i="7"/>
  <c r="BW30" i="7" s="1"/>
  <c r="BS30" i="7"/>
  <c r="BR30" i="7"/>
  <c r="BP30" i="7"/>
  <c r="BO30" i="7"/>
  <c r="BM30" i="7"/>
  <c r="BL30" i="7"/>
  <c r="BJ30" i="7"/>
  <c r="BI30" i="7"/>
  <c r="BG30" i="7"/>
  <c r="BF30" i="7"/>
  <c r="BH30" i="7" s="1"/>
  <c r="BD30" i="7"/>
  <c r="BC30" i="7"/>
  <c r="BE30" i="7" s="1"/>
  <c r="BA30" i="7"/>
  <c r="AZ30" i="7"/>
  <c r="BB30" i="7" s="1"/>
  <c r="AX30" i="7"/>
  <c r="AW30" i="7"/>
  <c r="AY30" i="7" s="1"/>
  <c r="AU30" i="7"/>
  <c r="AT30" i="7"/>
  <c r="AV30" i="7" s="1"/>
  <c r="AS30" i="7"/>
  <c r="AR30" i="7"/>
  <c r="AP30" i="7"/>
  <c r="AO30" i="7"/>
  <c r="AM30" i="7"/>
  <c r="AL30" i="7"/>
  <c r="AJ30" i="7"/>
  <c r="AI30" i="7"/>
  <c r="AG30" i="7"/>
  <c r="AF30" i="7"/>
  <c r="AE30" i="7"/>
  <c r="AD30" i="7"/>
  <c r="AC30" i="7"/>
  <c r="AA30" i="7"/>
  <c r="Z30" i="7"/>
  <c r="X30" i="7"/>
  <c r="W30" i="7"/>
  <c r="T30" i="7"/>
  <c r="S30" i="7"/>
  <c r="V30" i="7" s="1"/>
  <c r="R30" i="7"/>
  <c r="O30" i="7"/>
  <c r="L30" i="7"/>
  <c r="I30" i="7"/>
  <c r="Q30" i="7" s="1"/>
  <c r="H30" i="7"/>
  <c r="G30" i="7"/>
  <c r="P30" i="7" s="1"/>
  <c r="F30" i="7"/>
  <c r="E30" i="7"/>
  <c r="CN29" i="7"/>
  <c r="CM29" i="7"/>
  <c r="CK29" i="7"/>
  <c r="CJ29" i="7"/>
  <c r="CL29" i="7" s="1"/>
  <c r="CH29" i="7"/>
  <c r="CG29" i="7"/>
  <c r="CI29" i="7" s="1"/>
  <c r="CE29" i="7"/>
  <c r="CD29" i="7"/>
  <c r="CF29" i="7" s="1"/>
  <c r="CB29" i="7"/>
  <c r="CA29" i="7"/>
  <c r="CC29" i="7" s="1"/>
  <c r="BY29" i="7"/>
  <c r="BX29" i="7"/>
  <c r="BZ29" i="7" s="1"/>
  <c r="BV29" i="7"/>
  <c r="BU29" i="7"/>
  <c r="BW29" i="7" s="1"/>
  <c r="BS29" i="7"/>
  <c r="BR29" i="7"/>
  <c r="BP29" i="7"/>
  <c r="BO29" i="7"/>
  <c r="BM29" i="7"/>
  <c r="BL29" i="7"/>
  <c r="BJ29" i="7"/>
  <c r="BI29" i="7"/>
  <c r="BG29" i="7"/>
  <c r="BF29" i="7"/>
  <c r="BD29" i="7"/>
  <c r="BC29" i="7"/>
  <c r="BA29" i="7"/>
  <c r="AZ29" i="7"/>
  <c r="AX29" i="7"/>
  <c r="AW29" i="7"/>
  <c r="AU29" i="7"/>
  <c r="AT29" i="7"/>
  <c r="AS29" i="7"/>
  <c r="AR29" i="7"/>
  <c r="AP29" i="7"/>
  <c r="AO29" i="7"/>
  <c r="AM29" i="7"/>
  <c r="AL29" i="7"/>
  <c r="AJ29" i="7"/>
  <c r="AI29" i="7"/>
  <c r="AG29" i="7"/>
  <c r="AF29" i="7"/>
  <c r="AE29" i="7"/>
  <c r="AD29" i="7"/>
  <c r="AC29" i="7"/>
  <c r="AA29" i="7"/>
  <c r="Z29" i="7"/>
  <c r="X29" i="7"/>
  <c r="W29" i="7"/>
  <c r="T29" i="7"/>
  <c r="S29" i="7"/>
  <c r="V29" i="7" s="1"/>
  <c r="R29" i="7"/>
  <c r="O29" i="7"/>
  <c r="L29" i="7"/>
  <c r="I29" i="7"/>
  <c r="Q29" i="7" s="1"/>
  <c r="H29" i="7"/>
  <c r="G29" i="7"/>
  <c r="P29" i="7" s="1"/>
  <c r="F29" i="7"/>
  <c r="E29" i="7"/>
  <c r="CN28" i="7"/>
  <c r="CM28" i="7"/>
  <c r="CK28" i="7"/>
  <c r="CJ28" i="7"/>
  <c r="CL28" i="7" s="1"/>
  <c r="CH28" i="7"/>
  <c r="CG28" i="7"/>
  <c r="CI28" i="7" s="1"/>
  <c r="CE28" i="7"/>
  <c r="CD28" i="7"/>
  <c r="CF28" i="7" s="1"/>
  <c r="CB28" i="7"/>
  <c r="CA28" i="7"/>
  <c r="CC28" i="7" s="1"/>
  <c r="BY28" i="7"/>
  <c r="BX28" i="7"/>
  <c r="BZ28" i="7" s="1"/>
  <c r="BV28" i="7"/>
  <c r="BU28" i="7"/>
  <c r="BW28" i="7" s="1"/>
  <c r="BS28" i="7"/>
  <c r="BR28" i="7"/>
  <c r="BP28" i="7"/>
  <c r="BO28" i="7"/>
  <c r="BM28" i="7"/>
  <c r="BL28" i="7"/>
  <c r="BJ28" i="7"/>
  <c r="BI28" i="7"/>
  <c r="BG28" i="7"/>
  <c r="BF28" i="7"/>
  <c r="BH28" i="7" s="1"/>
  <c r="BD28" i="7"/>
  <c r="BC28" i="7"/>
  <c r="BE28" i="7" s="1"/>
  <c r="BA28" i="7"/>
  <c r="AZ28" i="7"/>
  <c r="BB28" i="7" s="1"/>
  <c r="AX28" i="7"/>
  <c r="AW28" i="7"/>
  <c r="AY28" i="7" s="1"/>
  <c r="AU28" i="7"/>
  <c r="AT28" i="7"/>
  <c r="AV28" i="7" s="1"/>
  <c r="AS28" i="7"/>
  <c r="AR28" i="7"/>
  <c r="AP28" i="7"/>
  <c r="AO28" i="7"/>
  <c r="AM28" i="7"/>
  <c r="AL28" i="7"/>
  <c r="AJ28" i="7"/>
  <c r="AI28" i="7"/>
  <c r="AG28" i="7"/>
  <c r="AF28" i="7"/>
  <c r="AE28" i="7"/>
  <c r="AD28" i="7"/>
  <c r="AC28" i="7"/>
  <c r="AA28" i="7"/>
  <c r="Z28" i="7"/>
  <c r="X28" i="7"/>
  <c r="W28" i="7"/>
  <c r="T28" i="7"/>
  <c r="S28" i="7"/>
  <c r="V28" i="7" s="1"/>
  <c r="R28" i="7"/>
  <c r="O28" i="7"/>
  <c r="L28" i="7"/>
  <c r="I28" i="7"/>
  <c r="Q28" i="7" s="1"/>
  <c r="H28" i="7"/>
  <c r="G28" i="7"/>
  <c r="P28" i="7" s="1"/>
  <c r="F28" i="7"/>
  <c r="E28" i="7"/>
  <c r="CN27" i="7"/>
  <c r="CM27" i="7"/>
  <c r="CK27" i="7"/>
  <c r="CJ27" i="7"/>
  <c r="CH27" i="7"/>
  <c r="CG27" i="7"/>
  <c r="CE27" i="7"/>
  <c r="CD27" i="7"/>
  <c r="CB27" i="7"/>
  <c r="CA27" i="7"/>
  <c r="BY27" i="7"/>
  <c r="BX27" i="7"/>
  <c r="BV27" i="7"/>
  <c r="BU27" i="7"/>
  <c r="BW27" i="7" s="1"/>
  <c r="BS27" i="7"/>
  <c r="BR27" i="7"/>
  <c r="BP27" i="7"/>
  <c r="BO27" i="7"/>
  <c r="BM27" i="7"/>
  <c r="BL27" i="7"/>
  <c r="BJ27" i="7"/>
  <c r="BI27" i="7"/>
  <c r="BG27" i="7"/>
  <c r="BF27" i="7"/>
  <c r="BH27" i="7" s="1"/>
  <c r="BD27" i="7"/>
  <c r="BC27" i="7"/>
  <c r="BE27" i="7" s="1"/>
  <c r="BA27" i="7"/>
  <c r="AZ27" i="7"/>
  <c r="BB27" i="7" s="1"/>
  <c r="AX27" i="7"/>
  <c r="AW27" i="7"/>
  <c r="AY27" i="7" s="1"/>
  <c r="AU27" i="7"/>
  <c r="AT27" i="7"/>
  <c r="AV27" i="7" s="1"/>
  <c r="AS27" i="7"/>
  <c r="AR27" i="7"/>
  <c r="AP27" i="7"/>
  <c r="AO27" i="7"/>
  <c r="AM27" i="7"/>
  <c r="AL27" i="7"/>
  <c r="AJ27" i="7"/>
  <c r="AI27" i="7"/>
  <c r="AG27" i="7"/>
  <c r="AF27" i="7"/>
  <c r="AE27" i="7"/>
  <c r="AD27" i="7"/>
  <c r="AC27" i="7"/>
  <c r="AA27" i="7"/>
  <c r="Z27" i="7"/>
  <c r="X27" i="7"/>
  <c r="W27" i="7"/>
  <c r="T27" i="7"/>
  <c r="S27" i="7"/>
  <c r="V27" i="7" s="1"/>
  <c r="R27" i="7"/>
  <c r="O27" i="7"/>
  <c r="L27" i="7"/>
  <c r="I27" i="7"/>
  <c r="Q27" i="7" s="1"/>
  <c r="H27" i="7"/>
  <c r="G27" i="7"/>
  <c r="P27" i="7" s="1"/>
  <c r="F27" i="7"/>
  <c r="E27" i="7"/>
  <c r="CN26" i="7"/>
  <c r="CM26" i="7"/>
  <c r="CK26" i="7"/>
  <c r="CJ26" i="7"/>
  <c r="CL26" i="7" s="1"/>
  <c r="CH26" i="7"/>
  <c r="CG26" i="7"/>
  <c r="CI26" i="7" s="1"/>
  <c r="CE26" i="7"/>
  <c r="CD26" i="7"/>
  <c r="CF26" i="7" s="1"/>
  <c r="CB26" i="7"/>
  <c r="CA26" i="7"/>
  <c r="CC26" i="7" s="1"/>
  <c r="BY26" i="7"/>
  <c r="BX26" i="7"/>
  <c r="BZ26" i="7" s="1"/>
  <c r="BV26" i="7"/>
  <c r="BU26" i="7"/>
  <c r="BW26" i="7" s="1"/>
  <c r="BS26" i="7"/>
  <c r="BR26" i="7"/>
  <c r="BP26" i="7"/>
  <c r="BO26" i="7"/>
  <c r="BM26" i="7"/>
  <c r="BL26" i="7"/>
  <c r="BJ26" i="7"/>
  <c r="BI26" i="7"/>
  <c r="BG26" i="7"/>
  <c r="BF26" i="7"/>
  <c r="BH26" i="7" s="1"/>
  <c r="BD26" i="7"/>
  <c r="BC26" i="7"/>
  <c r="BE26" i="7" s="1"/>
  <c r="BA26" i="7"/>
  <c r="AZ26" i="7"/>
  <c r="BB26" i="7" s="1"/>
  <c r="AX26" i="7"/>
  <c r="AW26" i="7"/>
  <c r="AY26" i="7" s="1"/>
  <c r="AU26" i="7"/>
  <c r="AT26" i="7"/>
  <c r="AV26" i="7" s="1"/>
  <c r="AS26" i="7"/>
  <c r="AR26" i="7"/>
  <c r="AP26" i="7"/>
  <c r="AO26" i="7"/>
  <c r="AM26" i="7"/>
  <c r="AL26" i="7"/>
  <c r="AJ26" i="7"/>
  <c r="AI26" i="7"/>
  <c r="AG26" i="7"/>
  <c r="AF26" i="7"/>
  <c r="AE26" i="7"/>
  <c r="AD26" i="7"/>
  <c r="AC26" i="7"/>
  <c r="AA26" i="7"/>
  <c r="Z26" i="7"/>
  <c r="X26" i="7"/>
  <c r="W26" i="7"/>
  <c r="T26" i="7"/>
  <c r="S26" i="7"/>
  <c r="V26" i="7" s="1"/>
  <c r="R26" i="7"/>
  <c r="O26" i="7"/>
  <c r="L26" i="7"/>
  <c r="I26" i="7"/>
  <c r="Q26" i="7" s="1"/>
  <c r="H26" i="7"/>
  <c r="G26" i="7"/>
  <c r="P26" i="7" s="1"/>
  <c r="F26" i="7"/>
  <c r="E26" i="7"/>
  <c r="CN25" i="7"/>
  <c r="CM25" i="7"/>
  <c r="CK25" i="7"/>
  <c r="CJ25" i="7"/>
  <c r="CL25" i="7" s="1"/>
  <c r="CH25" i="7"/>
  <c r="CG25" i="7"/>
  <c r="CI25" i="7" s="1"/>
  <c r="CE25" i="7"/>
  <c r="CD25" i="7"/>
  <c r="CF25" i="7" s="1"/>
  <c r="CB25" i="7"/>
  <c r="CA25" i="7"/>
  <c r="CC25" i="7" s="1"/>
  <c r="BY25" i="7"/>
  <c r="BX25" i="7"/>
  <c r="BZ25" i="7" s="1"/>
  <c r="BV25" i="7"/>
  <c r="BU25" i="7"/>
  <c r="BW25" i="7" s="1"/>
  <c r="BS25" i="7"/>
  <c r="BR25" i="7"/>
  <c r="BP25" i="7"/>
  <c r="BO25" i="7"/>
  <c r="BM25" i="7"/>
  <c r="BL25" i="7"/>
  <c r="BJ25" i="7"/>
  <c r="BI25" i="7"/>
  <c r="BG25" i="7"/>
  <c r="BF25" i="7"/>
  <c r="BH25" i="7" s="1"/>
  <c r="BD25" i="7"/>
  <c r="BC25" i="7"/>
  <c r="BE25" i="7" s="1"/>
  <c r="BA25" i="7"/>
  <c r="AZ25" i="7"/>
  <c r="BB25" i="7" s="1"/>
  <c r="AX25" i="7"/>
  <c r="AW25" i="7"/>
  <c r="AY25" i="7" s="1"/>
  <c r="AU25" i="7"/>
  <c r="AT25" i="7"/>
  <c r="AV25" i="7" s="1"/>
  <c r="AS25" i="7"/>
  <c r="AR25" i="7"/>
  <c r="AP25" i="7"/>
  <c r="AO25" i="7"/>
  <c r="AM25" i="7"/>
  <c r="AL25" i="7"/>
  <c r="AJ25" i="7"/>
  <c r="AI25" i="7"/>
  <c r="AG25" i="7"/>
  <c r="AF25" i="7"/>
  <c r="AE25" i="7"/>
  <c r="AD25" i="7"/>
  <c r="AC25" i="7"/>
  <c r="AA25" i="7"/>
  <c r="Z25" i="7"/>
  <c r="X25" i="7"/>
  <c r="W25" i="7"/>
  <c r="T25" i="7"/>
  <c r="S25" i="7"/>
  <c r="V25" i="7" s="1"/>
  <c r="R25" i="7"/>
  <c r="O25" i="7"/>
  <c r="L25" i="7"/>
  <c r="I25" i="7"/>
  <c r="Q25" i="7" s="1"/>
  <c r="H25" i="7"/>
  <c r="G25" i="7"/>
  <c r="P25" i="7" s="1"/>
  <c r="F25" i="7"/>
  <c r="E25" i="7"/>
  <c r="CN24" i="7"/>
  <c r="CM24" i="7"/>
  <c r="CK24" i="7"/>
  <c r="CJ24" i="7"/>
  <c r="CL24" i="7" s="1"/>
  <c r="CH24" i="7"/>
  <c r="CG24" i="7"/>
  <c r="CI24" i="7" s="1"/>
  <c r="CE24" i="7"/>
  <c r="CD24" i="7"/>
  <c r="CF24" i="7" s="1"/>
  <c r="CB24" i="7"/>
  <c r="CA24" i="7"/>
  <c r="CC24" i="7" s="1"/>
  <c r="BY24" i="7"/>
  <c r="BX24" i="7"/>
  <c r="BZ24" i="7" s="1"/>
  <c r="BV24" i="7"/>
  <c r="BU24" i="7"/>
  <c r="BW24" i="7" s="1"/>
  <c r="BS24" i="7"/>
  <c r="BR24" i="7"/>
  <c r="BP24" i="7"/>
  <c r="BO24" i="7"/>
  <c r="BM24" i="7"/>
  <c r="BL24" i="7"/>
  <c r="BJ24" i="7"/>
  <c r="BI24" i="7"/>
  <c r="BG24" i="7"/>
  <c r="BF24" i="7"/>
  <c r="BH24" i="7" s="1"/>
  <c r="BD24" i="7"/>
  <c r="BC24" i="7"/>
  <c r="BE24" i="7" s="1"/>
  <c r="BA24" i="7"/>
  <c r="AZ24" i="7"/>
  <c r="BB24" i="7" s="1"/>
  <c r="AX24" i="7"/>
  <c r="AW24" i="7"/>
  <c r="AY24" i="7" s="1"/>
  <c r="AU24" i="7"/>
  <c r="AT24" i="7"/>
  <c r="AV24" i="7" s="1"/>
  <c r="AS24" i="7"/>
  <c r="AR24" i="7"/>
  <c r="AP24" i="7"/>
  <c r="AO24" i="7"/>
  <c r="AM24" i="7"/>
  <c r="AL24" i="7"/>
  <c r="AJ24" i="7"/>
  <c r="AI24" i="7"/>
  <c r="AG24" i="7"/>
  <c r="AF24" i="7"/>
  <c r="AE24" i="7"/>
  <c r="AD24" i="7"/>
  <c r="AC24" i="7"/>
  <c r="AA24" i="7"/>
  <c r="Z24" i="7"/>
  <c r="X24" i="7"/>
  <c r="W24" i="7"/>
  <c r="T24" i="7"/>
  <c r="S24" i="7"/>
  <c r="V24" i="7" s="1"/>
  <c r="R24" i="7"/>
  <c r="O24" i="7"/>
  <c r="L24" i="7"/>
  <c r="I24" i="7"/>
  <c r="Q24" i="7" s="1"/>
  <c r="H24" i="7"/>
  <c r="G24" i="7"/>
  <c r="P24" i="7" s="1"/>
  <c r="F24" i="7"/>
  <c r="E24" i="7"/>
  <c r="CN23" i="7"/>
  <c r="CM23" i="7"/>
  <c r="CK23" i="7"/>
  <c r="CJ23" i="7"/>
  <c r="CL23" i="7" s="1"/>
  <c r="CH23" i="7"/>
  <c r="CG23" i="7"/>
  <c r="CI23" i="7" s="1"/>
  <c r="CE23" i="7"/>
  <c r="CD23" i="7"/>
  <c r="CF23" i="7" s="1"/>
  <c r="CB23" i="7"/>
  <c r="CA23" i="7"/>
  <c r="CC23" i="7" s="1"/>
  <c r="BY23" i="7"/>
  <c r="BX23" i="7"/>
  <c r="BZ23" i="7" s="1"/>
  <c r="BV23" i="7"/>
  <c r="BU23" i="7"/>
  <c r="BW23" i="7" s="1"/>
  <c r="BS23" i="7"/>
  <c r="BR23" i="7"/>
  <c r="BP23" i="7"/>
  <c r="BO23" i="7"/>
  <c r="BM23" i="7"/>
  <c r="BL23" i="7"/>
  <c r="BJ23" i="7"/>
  <c r="BI23" i="7"/>
  <c r="BG23" i="7"/>
  <c r="BF23" i="7"/>
  <c r="BD23" i="7"/>
  <c r="BC23" i="7"/>
  <c r="BA23" i="7"/>
  <c r="AZ23" i="7"/>
  <c r="AX23" i="7"/>
  <c r="AW23" i="7"/>
  <c r="AU23" i="7"/>
  <c r="AT23" i="7"/>
  <c r="AS23" i="7"/>
  <c r="AR23" i="7"/>
  <c r="AP23" i="7"/>
  <c r="AO23" i="7"/>
  <c r="AM23" i="7"/>
  <c r="AL23" i="7"/>
  <c r="AJ23" i="7"/>
  <c r="AI23" i="7"/>
  <c r="AG23" i="7"/>
  <c r="AF23" i="7"/>
  <c r="AE23" i="7"/>
  <c r="AD23" i="7"/>
  <c r="AC23" i="7"/>
  <c r="AA23" i="7"/>
  <c r="Z23" i="7"/>
  <c r="X23" i="7"/>
  <c r="W23" i="7"/>
  <c r="T23" i="7"/>
  <c r="S23" i="7"/>
  <c r="V23" i="7" s="1"/>
  <c r="R23" i="7"/>
  <c r="O23" i="7"/>
  <c r="L23" i="7"/>
  <c r="I23" i="7"/>
  <c r="Q23" i="7" s="1"/>
  <c r="H23" i="7"/>
  <c r="G23" i="7"/>
  <c r="P23" i="7" s="1"/>
  <c r="F23" i="7"/>
  <c r="E23" i="7"/>
  <c r="CN22" i="7"/>
  <c r="CM22" i="7"/>
  <c r="CK22" i="7"/>
  <c r="CJ22" i="7"/>
  <c r="CL22" i="7" s="1"/>
  <c r="CH22" i="7"/>
  <c r="CG22" i="7"/>
  <c r="CI22" i="7" s="1"/>
  <c r="CE22" i="7"/>
  <c r="CD22" i="7"/>
  <c r="CF22" i="7" s="1"/>
  <c r="CB22" i="7"/>
  <c r="CA22" i="7"/>
  <c r="CC22" i="7" s="1"/>
  <c r="BY22" i="7"/>
  <c r="BX22" i="7"/>
  <c r="BZ22" i="7" s="1"/>
  <c r="BV22" i="7"/>
  <c r="BU22" i="7"/>
  <c r="BW22" i="7" s="1"/>
  <c r="BS22" i="7"/>
  <c r="BR22" i="7"/>
  <c r="BP22" i="7"/>
  <c r="BO22" i="7"/>
  <c r="BM22" i="7"/>
  <c r="BL22" i="7"/>
  <c r="BJ22" i="7"/>
  <c r="BI22" i="7"/>
  <c r="BG22" i="7"/>
  <c r="BF22" i="7"/>
  <c r="BH22" i="7" s="1"/>
  <c r="BD22" i="7"/>
  <c r="BC22" i="7"/>
  <c r="BE22" i="7" s="1"/>
  <c r="BA22" i="7"/>
  <c r="AZ22" i="7"/>
  <c r="BB22" i="7" s="1"/>
  <c r="AX22" i="7"/>
  <c r="AW22" i="7"/>
  <c r="AY22" i="7" s="1"/>
  <c r="AU22" i="7"/>
  <c r="AT22" i="7"/>
  <c r="AV22" i="7" s="1"/>
  <c r="AS22" i="7"/>
  <c r="AR22" i="7"/>
  <c r="AP22" i="7"/>
  <c r="AO22" i="7"/>
  <c r="AM22" i="7"/>
  <c r="AL22" i="7"/>
  <c r="AJ22" i="7"/>
  <c r="AI22" i="7"/>
  <c r="AG22" i="7"/>
  <c r="AF22" i="7"/>
  <c r="AE22" i="7"/>
  <c r="AD22" i="7"/>
  <c r="AC22" i="7"/>
  <c r="AA22" i="7"/>
  <c r="Z22" i="7"/>
  <c r="X22" i="7"/>
  <c r="W22" i="7"/>
  <c r="T22" i="7"/>
  <c r="S22" i="7"/>
  <c r="V22" i="7" s="1"/>
  <c r="R22" i="7"/>
  <c r="O22" i="7"/>
  <c r="L22" i="7"/>
  <c r="I22" i="7"/>
  <c r="Q22" i="7" s="1"/>
  <c r="H22" i="7"/>
  <c r="G22" i="7"/>
  <c r="F22" i="7"/>
  <c r="E22" i="7"/>
  <c r="CN21" i="7"/>
  <c r="CM21" i="7"/>
  <c r="CK21" i="7"/>
  <c r="CJ21" i="7"/>
  <c r="CL21" i="7" s="1"/>
  <c r="CH21" i="7"/>
  <c r="CG21" i="7"/>
  <c r="CI21" i="7" s="1"/>
  <c r="CE21" i="7"/>
  <c r="CD21" i="7"/>
  <c r="CF21" i="7" s="1"/>
  <c r="CB21" i="7"/>
  <c r="CA21" i="7"/>
  <c r="CC21" i="7" s="1"/>
  <c r="BY21" i="7"/>
  <c r="BX21" i="7"/>
  <c r="BZ21" i="7" s="1"/>
  <c r="BV21" i="7"/>
  <c r="BU21" i="7"/>
  <c r="BW21" i="7" s="1"/>
  <c r="BS21" i="7"/>
  <c r="BR21" i="7"/>
  <c r="BP21" i="7"/>
  <c r="BO21" i="7"/>
  <c r="BM21" i="7"/>
  <c r="BL21" i="7"/>
  <c r="BJ21" i="7"/>
  <c r="BI21" i="7"/>
  <c r="BG21" i="7"/>
  <c r="BF21" i="7"/>
  <c r="BH21" i="7" s="1"/>
  <c r="BD21" i="7"/>
  <c r="BC21" i="7"/>
  <c r="BE21" i="7" s="1"/>
  <c r="BA21" i="7"/>
  <c r="AZ21" i="7"/>
  <c r="BB21" i="7" s="1"/>
  <c r="AX21" i="7"/>
  <c r="AW21" i="7"/>
  <c r="AY21" i="7" s="1"/>
  <c r="AU21" i="7"/>
  <c r="AT21" i="7"/>
  <c r="AV21" i="7" s="1"/>
  <c r="AS21" i="7"/>
  <c r="AR21" i="7"/>
  <c r="AP21" i="7"/>
  <c r="AO21" i="7"/>
  <c r="AM21" i="7"/>
  <c r="AL21" i="7"/>
  <c r="AJ21" i="7"/>
  <c r="AI21" i="7"/>
  <c r="AG21" i="7"/>
  <c r="AF21" i="7"/>
  <c r="AE21" i="7"/>
  <c r="AD21" i="7"/>
  <c r="AC21" i="7"/>
  <c r="AA21" i="7"/>
  <c r="Z21" i="7"/>
  <c r="X21" i="7"/>
  <c r="W21" i="7"/>
  <c r="T21" i="7"/>
  <c r="S21" i="7"/>
  <c r="V21" i="7" s="1"/>
  <c r="R21" i="7"/>
  <c r="O21" i="7"/>
  <c r="L21" i="7"/>
  <c r="I21" i="7"/>
  <c r="Q21" i="7" s="1"/>
  <c r="H21" i="7"/>
  <c r="G21" i="7"/>
  <c r="P21" i="7" s="1"/>
  <c r="F21" i="7"/>
  <c r="E21" i="7"/>
  <c r="CN20" i="7"/>
  <c r="CM20" i="7"/>
  <c r="CK20" i="7"/>
  <c r="CJ20" i="7"/>
  <c r="CH20" i="7"/>
  <c r="CG20" i="7"/>
  <c r="CE20" i="7"/>
  <c r="CD20" i="7"/>
  <c r="CB20" i="7"/>
  <c r="CA20" i="7"/>
  <c r="BY20" i="7"/>
  <c r="BX20" i="7"/>
  <c r="BV20" i="7"/>
  <c r="BU20" i="7"/>
  <c r="BW20" i="7" s="1"/>
  <c r="BS20" i="7"/>
  <c r="BR20" i="7"/>
  <c r="BP20" i="7"/>
  <c r="BO20" i="7"/>
  <c r="BM20" i="7"/>
  <c r="BL20" i="7"/>
  <c r="BJ20" i="7"/>
  <c r="BI20" i="7"/>
  <c r="BG20" i="7"/>
  <c r="BF20" i="7"/>
  <c r="BH20" i="7" s="1"/>
  <c r="BD20" i="7"/>
  <c r="BC20" i="7"/>
  <c r="BE20" i="7" s="1"/>
  <c r="BA20" i="7"/>
  <c r="AZ20" i="7"/>
  <c r="BB20" i="7" s="1"/>
  <c r="AX20" i="7"/>
  <c r="AW20" i="7"/>
  <c r="AY20" i="7" s="1"/>
  <c r="AU20" i="7"/>
  <c r="AT20" i="7"/>
  <c r="AV20" i="7" s="1"/>
  <c r="AS20" i="7"/>
  <c r="AR20" i="7"/>
  <c r="AP20" i="7"/>
  <c r="AO20" i="7"/>
  <c r="AM20" i="7"/>
  <c r="AL20" i="7"/>
  <c r="AJ20" i="7"/>
  <c r="AI20" i="7"/>
  <c r="AG20" i="7"/>
  <c r="AF20" i="7"/>
  <c r="AE20" i="7"/>
  <c r="AD20" i="7"/>
  <c r="AC20" i="7"/>
  <c r="AA20" i="7"/>
  <c r="Z20" i="7"/>
  <c r="X20" i="7"/>
  <c r="W20" i="7"/>
  <c r="T20" i="7"/>
  <c r="S20" i="7"/>
  <c r="V20" i="7" s="1"/>
  <c r="R20" i="7"/>
  <c r="O20" i="7"/>
  <c r="L20" i="7"/>
  <c r="I20" i="7"/>
  <c r="Q20" i="7" s="1"/>
  <c r="H20" i="7"/>
  <c r="G20" i="7"/>
  <c r="P20" i="7" s="1"/>
  <c r="F20" i="7"/>
  <c r="E20" i="7"/>
  <c r="CN19" i="7"/>
  <c r="CM19" i="7"/>
  <c r="CK19" i="7"/>
  <c r="CJ19" i="7"/>
  <c r="CH19" i="7"/>
  <c r="CG19" i="7"/>
  <c r="CE19" i="7"/>
  <c r="CD19" i="7"/>
  <c r="CB19" i="7"/>
  <c r="CA19" i="7"/>
  <c r="BY19" i="7"/>
  <c r="BX19" i="7"/>
  <c r="BV19" i="7"/>
  <c r="BU19" i="7"/>
  <c r="BW19" i="7" s="1"/>
  <c r="BS19" i="7"/>
  <c r="BR19" i="7"/>
  <c r="BP19" i="7"/>
  <c r="BO19" i="7"/>
  <c r="BM19" i="7"/>
  <c r="BL19" i="7"/>
  <c r="BJ19" i="7"/>
  <c r="BI19" i="7"/>
  <c r="BG19" i="7"/>
  <c r="BF19" i="7"/>
  <c r="BH19" i="7" s="1"/>
  <c r="BD19" i="7"/>
  <c r="BC19" i="7"/>
  <c r="BE19" i="7" s="1"/>
  <c r="BA19" i="7"/>
  <c r="AZ19" i="7"/>
  <c r="BB19" i="7" s="1"/>
  <c r="AX19" i="7"/>
  <c r="AW19" i="7"/>
  <c r="AY19" i="7" s="1"/>
  <c r="AU19" i="7"/>
  <c r="AT19" i="7"/>
  <c r="AV19" i="7" s="1"/>
  <c r="AS19" i="7"/>
  <c r="AR19" i="7"/>
  <c r="AP19" i="7"/>
  <c r="AO19" i="7"/>
  <c r="AM19" i="7"/>
  <c r="AL19" i="7"/>
  <c r="AJ19" i="7"/>
  <c r="AI19" i="7"/>
  <c r="AG19" i="7"/>
  <c r="AF19" i="7"/>
  <c r="AE19" i="7"/>
  <c r="AD19" i="7"/>
  <c r="AC19" i="7"/>
  <c r="AA19" i="7"/>
  <c r="Z19" i="7"/>
  <c r="X19" i="7"/>
  <c r="W19" i="7"/>
  <c r="T19" i="7"/>
  <c r="S19" i="7"/>
  <c r="V19" i="7" s="1"/>
  <c r="R19" i="7"/>
  <c r="O19" i="7"/>
  <c r="L19" i="7"/>
  <c r="I19" i="7"/>
  <c r="Q19" i="7" s="1"/>
  <c r="H19" i="7"/>
  <c r="G19" i="7"/>
  <c r="P19" i="7" s="1"/>
  <c r="F19" i="7"/>
  <c r="E19" i="7"/>
  <c r="CN18" i="7"/>
  <c r="CM18" i="7"/>
  <c r="CK18" i="7"/>
  <c r="CJ18" i="7"/>
  <c r="CL18" i="7" s="1"/>
  <c r="CH18" i="7"/>
  <c r="CG18" i="7"/>
  <c r="CI18" i="7" s="1"/>
  <c r="CE18" i="7"/>
  <c r="CD18" i="7"/>
  <c r="CF18" i="7" s="1"/>
  <c r="CB18" i="7"/>
  <c r="CA18" i="7"/>
  <c r="CC18" i="7" s="1"/>
  <c r="BY18" i="7"/>
  <c r="BX18" i="7"/>
  <c r="BZ18" i="7" s="1"/>
  <c r="BV18" i="7"/>
  <c r="BU18" i="7"/>
  <c r="BW18" i="7" s="1"/>
  <c r="BS18" i="7"/>
  <c r="BR18" i="7"/>
  <c r="BP18" i="7"/>
  <c r="BO18" i="7"/>
  <c r="BM18" i="7"/>
  <c r="BL18" i="7"/>
  <c r="BJ18" i="7"/>
  <c r="BI18" i="7"/>
  <c r="BG18" i="7"/>
  <c r="BF18" i="7"/>
  <c r="BH18" i="7" s="1"/>
  <c r="BD18" i="7"/>
  <c r="BC18" i="7"/>
  <c r="BE18" i="7" s="1"/>
  <c r="BA18" i="7"/>
  <c r="AZ18" i="7"/>
  <c r="BB18" i="7" s="1"/>
  <c r="AX18" i="7"/>
  <c r="AW18" i="7"/>
  <c r="AY18" i="7" s="1"/>
  <c r="AU18" i="7"/>
  <c r="AT18" i="7"/>
  <c r="AV18" i="7" s="1"/>
  <c r="AS18" i="7"/>
  <c r="AR18" i="7"/>
  <c r="AP18" i="7"/>
  <c r="AO18" i="7"/>
  <c r="AM18" i="7"/>
  <c r="AL18" i="7"/>
  <c r="AJ18" i="7"/>
  <c r="AI18" i="7"/>
  <c r="AG18" i="7"/>
  <c r="AF18" i="7"/>
  <c r="AE18" i="7"/>
  <c r="AD18" i="7"/>
  <c r="AC18" i="7"/>
  <c r="AA18" i="7"/>
  <c r="Z18" i="7"/>
  <c r="X18" i="7"/>
  <c r="W18" i="7"/>
  <c r="T18" i="7"/>
  <c r="S18" i="7"/>
  <c r="V18" i="7" s="1"/>
  <c r="R18" i="7"/>
  <c r="O18" i="7"/>
  <c r="L18" i="7"/>
  <c r="I18" i="7"/>
  <c r="Q18" i="7" s="1"/>
  <c r="H18" i="7"/>
  <c r="G18" i="7"/>
  <c r="P18" i="7" s="1"/>
  <c r="F18" i="7"/>
  <c r="E18" i="7"/>
  <c r="CN17" i="7"/>
  <c r="CM17" i="7"/>
  <c r="CK17" i="7"/>
  <c r="CJ17" i="7"/>
  <c r="CL17" i="7" s="1"/>
  <c r="CH17" i="7"/>
  <c r="CG17" i="7"/>
  <c r="CI17" i="7" s="1"/>
  <c r="CE17" i="7"/>
  <c r="CD17" i="7"/>
  <c r="CF17" i="7" s="1"/>
  <c r="CB17" i="7"/>
  <c r="CA17" i="7"/>
  <c r="CC17" i="7" s="1"/>
  <c r="BY17" i="7"/>
  <c r="BX17" i="7"/>
  <c r="BZ17" i="7" s="1"/>
  <c r="BV17" i="7"/>
  <c r="BU17" i="7"/>
  <c r="BW17" i="7" s="1"/>
  <c r="BS17" i="7"/>
  <c r="BR17" i="7"/>
  <c r="BP17" i="7"/>
  <c r="BO17" i="7"/>
  <c r="BM17" i="7"/>
  <c r="BL17" i="7"/>
  <c r="BJ17" i="7"/>
  <c r="BI17" i="7"/>
  <c r="BG17" i="7"/>
  <c r="BF17" i="7"/>
  <c r="BH17" i="7" s="1"/>
  <c r="BD17" i="7"/>
  <c r="BC17" i="7"/>
  <c r="BE17" i="7" s="1"/>
  <c r="BA17" i="7"/>
  <c r="AZ17" i="7"/>
  <c r="BB17" i="7" s="1"/>
  <c r="AX17" i="7"/>
  <c r="AW17" i="7"/>
  <c r="AY17" i="7" s="1"/>
  <c r="AU17" i="7"/>
  <c r="AT17" i="7"/>
  <c r="AV17" i="7" s="1"/>
  <c r="AS17" i="7"/>
  <c r="AR17" i="7"/>
  <c r="AP17" i="7"/>
  <c r="AO17" i="7"/>
  <c r="AM17" i="7"/>
  <c r="AL17" i="7"/>
  <c r="AJ17" i="7"/>
  <c r="AI17" i="7"/>
  <c r="AG17" i="7"/>
  <c r="AF17" i="7"/>
  <c r="AE17" i="7"/>
  <c r="AD17" i="7"/>
  <c r="AC17" i="7"/>
  <c r="AA17" i="7"/>
  <c r="Z17" i="7"/>
  <c r="X17" i="7"/>
  <c r="W17" i="7"/>
  <c r="T17" i="7"/>
  <c r="S17" i="7"/>
  <c r="V17" i="7" s="1"/>
  <c r="R17" i="7"/>
  <c r="O17" i="7"/>
  <c r="L17" i="7"/>
  <c r="I17" i="7"/>
  <c r="Q17" i="7" s="1"/>
  <c r="H17" i="7"/>
  <c r="G17" i="7"/>
  <c r="P17" i="7" s="1"/>
  <c r="F17" i="7"/>
  <c r="E17" i="7"/>
  <c r="CN16" i="7"/>
  <c r="CM16" i="7"/>
  <c r="CK16" i="7"/>
  <c r="CJ16" i="7"/>
  <c r="CH16" i="7"/>
  <c r="CG16" i="7"/>
  <c r="CE16" i="7"/>
  <c r="CD16" i="7"/>
  <c r="CB16" i="7"/>
  <c r="CA16" i="7"/>
  <c r="BY16" i="7"/>
  <c r="BX16" i="7"/>
  <c r="BV16" i="7"/>
  <c r="BU16" i="7"/>
  <c r="BW16" i="7" s="1"/>
  <c r="BS16" i="7"/>
  <c r="BR16" i="7"/>
  <c r="BP16" i="7"/>
  <c r="BO16" i="7"/>
  <c r="BM16" i="7"/>
  <c r="BL16" i="7"/>
  <c r="BJ16" i="7"/>
  <c r="BI16" i="7"/>
  <c r="BG16" i="7"/>
  <c r="BF16" i="7"/>
  <c r="BD16" i="7"/>
  <c r="BC16" i="7"/>
  <c r="BA16" i="7"/>
  <c r="AZ16" i="7"/>
  <c r="AX16" i="7"/>
  <c r="AW16" i="7"/>
  <c r="AU16" i="7"/>
  <c r="AT16" i="7"/>
  <c r="AS16" i="7"/>
  <c r="AR16" i="7"/>
  <c r="AP16" i="7"/>
  <c r="AO16" i="7"/>
  <c r="AM16" i="7"/>
  <c r="AL16" i="7"/>
  <c r="AJ16" i="7"/>
  <c r="AI16" i="7"/>
  <c r="AG16" i="7"/>
  <c r="AF16" i="7"/>
  <c r="AE16" i="7"/>
  <c r="AD16" i="7"/>
  <c r="AC16" i="7"/>
  <c r="AA16" i="7"/>
  <c r="Z16" i="7"/>
  <c r="X16" i="7"/>
  <c r="W16" i="7"/>
  <c r="T16" i="7"/>
  <c r="S16" i="7"/>
  <c r="V16" i="7" s="1"/>
  <c r="R16" i="7"/>
  <c r="O16" i="7"/>
  <c r="L16" i="7"/>
  <c r="I16" i="7"/>
  <c r="Q16" i="7" s="1"/>
  <c r="H16" i="7"/>
  <c r="G16" i="7"/>
  <c r="P16" i="7" s="1"/>
  <c r="F16" i="7"/>
  <c r="E16" i="7"/>
  <c r="CN15" i="7"/>
  <c r="CM15" i="7"/>
  <c r="CK15" i="7"/>
  <c r="CJ15" i="7"/>
  <c r="CL15" i="7" s="1"/>
  <c r="CH15" i="7"/>
  <c r="CG15" i="7"/>
  <c r="CI15" i="7" s="1"/>
  <c r="CE15" i="7"/>
  <c r="CD15" i="7"/>
  <c r="CF15" i="7" s="1"/>
  <c r="CB15" i="7"/>
  <c r="CA15" i="7"/>
  <c r="CC15" i="7" s="1"/>
  <c r="BY15" i="7"/>
  <c r="BX15" i="7"/>
  <c r="BZ15" i="7" s="1"/>
  <c r="BV15" i="7"/>
  <c r="BU15" i="7"/>
  <c r="BS15" i="7"/>
  <c r="BR15" i="7"/>
  <c r="BP15" i="7"/>
  <c r="BO15" i="7"/>
  <c r="BM15" i="7"/>
  <c r="BL15" i="7"/>
  <c r="BJ15" i="7"/>
  <c r="BI15" i="7"/>
  <c r="BG15" i="7"/>
  <c r="BF15" i="7"/>
  <c r="BD15" i="7"/>
  <c r="BC15" i="7"/>
  <c r="BE15" i="7" s="1"/>
  <c r="BA15" i="7"/>
  <c r="AZ15" i="7"/>
  <c r="BB15" i="7" s="1"/>
  <c r="AX15" i="7"/>
  <c r="AW15" i="7"/>
  <c r="AY15" i="7" s="1"/>
  <c r="AU15" i="7"/>
  <c r="AT15" i="7"/>
  <c r="AV15" i="7" s="1"/>
  <c r="AS15" i="7"/>
  <c r="AR15" i="7"/>
  <c r="AP15" i="7"/>
  <c r="AO15" i="7"/>
  <c r="AM15" i="7"/>
  <c r="AL15" i="7"/>
  <c r="AJ15" i="7"/>
  <c r="AI15" i="7"/>
  <c r="AG15" i="7"/>
  <c r="AF15" i="7"/>
  <c r="AE15" i="7"/>
  <c r="AD15" i="7"/>
  <c r="AC15" i="7"/>
  <c r="AA15" i="7"/>
  <c r="Z15" i="7"/>
  <c r="X15" i="7"/>
  <c r="W15" i="7"/>
  <c r="T15" i="7"/>
  <c r="S15" i="7"/>
  <c r="R15" i="7"/>
  <c r="O15" i="7"/>
  <c r="L15" i="7"/>
  <c r="I15" i="7"/>
  <c r="H15" i="7"/>
  <c r="G15" i="7"/>
  <c r="P15" i="7" s="1"/>
  <c r="F15" i="7"/>
  <c r="E15" i="7"/>
  <c r="CN14" i="7"/>
  <c r="CM14" i="7"/>
  <c r="CK14" i="7"/>
  <c r="CJ14" i="7"/>
  <c r="CL14" i="7" s="1"/>
  <c r="CH14" i="7"/>
  <c r="CG14" i="7"/>
  <c r="CE14" i="7"/>
  <c r="CD14" i="7"/>
  <c r="CB14" i="7"/>
  <c r="CA14" i="7"/>
  <c r="CC14" i="7" s="1"/>
  <c r="BY14" i="7"/>
  <c r="BX14" i="7"/>
  <c r="BV14" i="7"/>
  <c r="BU14" i="7"/>
  <c r="BW14" i="7" s="1"/>
  <c r="BS14" i="7"/>
  <c r="BR14" i="7"/>
  <c r="BP14" i="7"/>
  <c r="BO14" i="7"/>
  <c r="BM14" i="7"/>
  <c r="BL14" i="7"/>
  <c r="BJ14" i="7"/>
  <c r="BI14" i="7"/>
  <c r="BG14" i="7"/>
  <c r="BF14" i="7"/>
  <c r="BH14" i="7" s="1"/>
  <c r="BD14" i="7"/>
  <c r="BC14" i="7"/>
  <c r="BA14" i="7"/>
  <c r="AZ14" i="7"/>
  <c r="BB14" i="7" s="1"/>
  <c r="AX14" i="7"/>
  <c r="AW14" i="7"/>
  <c r="AU14" i="7"/>
  <c r="AT14" i="7"/>
  <c r="AV14" i="7" s="1"/>
  <c r="AS14" i="7"/>
  <c r="AR14" i="7"/>
  <c r="AP14" i="7"/>
  <c r="AO14" i="7"/>
  <c r="AM14" i="7"/>
  <c r="AL14" i="7"/>
  <c r="AJ14" i="7"/>
  <c r="AI14" i="7"/>
  <c r="AG14" i="7"/>
  <c r="AF14" i="7"/>
  <c r="AE14" i="7"/>
  <c r="AD14" i="7"/>
  <c r="AC14" i="7"/>
  <c r="AA14" i="7"/>
  <c r="Z14" i="7"/>
  <c r="X14" i="7"/>
  <c r="W14" i="7"/>
  <c r="T14" i="7"/>
  <c r="S14" i="7"/>
  <c r="V14" i="7" s="1"/>
  <c r="R14" i="7"/>
  <c r="O14" i="7"/>
  <c r="L14" i="7"/>
  <c r="I14" i="7"/>
  <c r="Q14" i="7" s="1"/>
  <c r="H14" i="7"/>
  <c r="G14" i="7"/>
  <c r="P14" i="7" s="1"/>
  <c r="F14" i="7"/>
  <c r="E14" i="7"/>
  <c r="T9" i="7"/>
  <c r="S9" i="7"/>
  <c r="V9" i="7" s="1"/>
  <c r="R9" i="7"/>
  <c r="U9" i="7" s="1"/>
  <c r="V106" i="6"/>
  <c r="U106" i="6"/>
  <c r="O106" i="6"/>
  <c r="L106" i="6"/>
  <c r="I106" i="6"/>
  <c r="Q106" i="6" s="1"/>
  <c r="H106" i="6"/>
  <c r="G106" i="6"/>
  <c r="P106" i="6" s="1"/>
  <c r="F106" i="6"/>
  <c r="E106" i="6"/>
  <c r="V105" i="6"/>
  <c r="U105" i="6"/>
  <c r="O105" i="6"/>
  <c r="L105" i="6"/>
  <c r="I105" i="6"/>
  <c r="Q105" i="6" s="1"/>
  <c r="H105" i="6"/>
  <c r="N105" i="6" s="1"/>
  <c r="G105" i="6"/>
  <c r="P105" i="6" s="1"/>
  <c r="F105" i="6"/>
  <c r="E105" i="6"/>
  <c r="V104" i="6"/>
  <c r="U104" i="6"/>
  <c r="O104" i="6"/>
  <c r="L104" i="6"/>
  <c r="I104" i="6"/>
  <c r="Q104" i="6" s="1"/>
  <c r="H104" i="6"/>
  <c r="G104" i="6"/>
  <c r="P104" i="6" s="1"/>
  <c r="F104" i="6"/>
  <c r="E104" i="6"/>
  <c r="V103" i="6"/>
  <c r="U103" i="6"/>
  <c r="O103" i="6"/>
  <c r="L103" i="6"/>
  <c r="I103" i="6"/>
  <c r="Q103" i="6" s="1"/>
  <c r="H103" i="6"/>
  <c r="N103" i="6" s="1"/>
  <c r="G103" i="6"/>
  <c r="P103" i="6" s="1"/>
  <c r="F103" i="6"/>
  <c r="E103" i="6"/>
  <c r="V102" i="6"/>
  <c r="U102" i="6"/>
  <c r="O102" i="6"/>
  <c r="L102" i="6"/>
  <c r="I102" i="6"/>
  <c r="Q102" i="6" s="1"/>
  <c r="H102" i="6"/>
  <c r="N102" i="6" s="1"/>
  <c r="G102" i="6"/>
  <c r="P102" i="6" s="1"/>
  <c r="F102" i="6"/>
  <c r="E102" i="6"/>
  <c r="V101" i="6"/>
  <c r="U101" i="6"/>
  <c r="O101" i="6"/>
  <c r="L101" i="6"/>
  <c r="I101" i="6"/>
  <c r="Q101" i="6" s="1"/>
  <c r="H101" i="6"/>
  <c r="G101" i="6"/>
  <c r="P101" i="6" s="1"/>
  <c r="F101" i="6"/>
  <c r="E101" i="6"/>
  <c r="V100" i="6"/>
  <c r="U100" i="6"/>
  <c r="O100" i="6"/>
  <c r="L100" i="6"/>
  <c r="I100" i="6"/>
  <c r="Q100" i="6" s="1"/>
  <c r="H100" i="6"/>
  <c r="N100" i="6" s="1"/>
  <c r="G100" i="6"/>
  <c r="P100" i="6" s="1"/>
  <c r="F100" i="6"/>
  <c r="E100" i="6"/>
  <c r="V99" i="6"/>
  <c r="U99" i="6"/>
  <c r="O99" i="6"/>
  <c r="L99" i="6"/>
  <c r="I99" i="6"/>
  <c r="Q99" i="6" s="1"/>
  <c r="H99" i="6"/>
  <c r="N99" i="6" s="1"/>
  <c r="G99" i="6"/>
  <c r="P99" i="6" s="1"/>
  <c r="F99" i="6"/>
  <c r="E99" i="6"/>
  <c r="V98" i="6"/>
  <c r="U98" i="6"/>
  <c r="O98" i="6"/>
  <c r="L98" i="6"/>
  <c r="I98" i="6"/>
  <c r="Q98" i="6" s="1"/>
  <c r="H98" i="6"/>
  <c r="G98" i="6"/>
  <c r="P98" i="6" s="1"/>
  <c r="F98" i="6"/>
  <c r="E98" i="6"/>
  <c r="V97" i="6"/>
  <c r="U97" i="6"/>
  <c r="O97" i="6"/>
  <c r="L97" i="6"/>
  <c r="I97" i="6"/>
  <c r="Q97" i="6" s="1"/>
  <c r="H97" i="6"/>
  <c r="N97" i="6" s="1"/>
  <c r="G97" i="6"/>
  <c r="P97" i="6" s="1"/>
  <c r="F97" i="6"/>
  <c r="E97" i="6"/>
  <c r="V96" i="6"/>
  <c r="U96" i="6"/>
  <c r="O96" i="6"/>
  <c r="L96" i="6"/>
  <c r="I96" i="6"/>
  <c r="Q96" i="6" s="1"/>
  <c r="H96" i="6"/>
  <c r="N96" i="6" s="1"/>
  <c r="G96" i="6"/>
  <c r="P96" i="6" s="1"/>
  <c r="F96" i="6"/>
  <c r="E96" i="6"/>
  <c r="V95" i="6"/>
  <c r="U95" i="6"/>
  <c r="O95" i="6"/>
  <c r="L95" i="6"/>
  <c r="I95" i="6"/>
  <c r="Q95" i="6" s="1"/>
  <c r="H95" i="6"/>
  <c r="N95" i="6" s="1"/>
  <c r="G95" i="6"/>
  <c r="P95" i="6" s="1"/>
  <c r="F95" i="6"/>
  <c r="E95" i="6"/>
  <c r="V94" i="6"/>
  <c r="U94" i="6"/>
  <c r="O94" i="6"/>
  <c r="L94" i="6"/>
  <c r="I94" i="6"/>
  <c r="Q94" i="6" s="1"/>
  <c r="H94" i="6"/>
  <c r="N94" i="6" s="1"/>
  <c r="G94" i="6"/>
  <c r="P94" i="6" s="1"/>
  <c r="F94" i="6"/>
  <c r="E94" i="6"/>
  <c r="V93" i="6"/>
  <c r="U93" i="6"/>
  <c r="O93" i="6"/>
  <c r="L93" i="6"/>
  <c r="I93" i="6"/>
  <c r="Q93" i="6" s="1"/>
  <c r="H93" i="6"/>
  <c r="G93" i="6"/>
  <c r="P93" i="6" s="1"/>
  <c r="F93" i="6"/>
  <c r="E93" i="6"/>
  <c r="V92" i="6"/>
  <c r="U92" i="6"/>
  <c r="O92" i="6"/>
  <c r="L92" i="6"/>
  <c r="I92" i="6"/>
  <c r="Q92" i="6" s="1"/>
  <c r="H92" i="6"/>
  <c r="N92" i="6" s="1"/>
  <c r="G92" i="6"/>
  <c r="P92" i="6" s="1"/>
  <c r="F92" i="6"/>
  <c r="E92" i="6"/>
  <c r="V91" i="6"/>
  <c r="U91" i="6"/>
  <c r="O91" i="6"/>
  <c r="L91" i="6"/>
  <c r="I91" i="6"/>
  <c r="H91" i="6"/>
  <c r="N91" i="6" s="1"/>
  <c r="G91" i="6"/>
  <c r="P91" i="6" s="1"/>
  <c r="F91" i="6"/>
  <c r="E91" i="6"/>
  <c r="V90" i="6"/>
  <c r="U90" i="6"/>
  <c r="O90" i="6"/>
  <c r="L90" i="6"/>
  <c r="I90" i="6"/>
  <c r="Q90" i="6" s="1"/>
  <c r="H90" i="6"/>
  <c r="N90" i="6" s="1"/>
  <c r="G90" i="6"/>
  <c r="F90" i="6"/>
  <c r="E90" i="6"/>
  <c r="V89" i="6"/>
  <c r="U89" i="6"/>
  <c r="T89" i="6"/>
  <c r="S89" i="6"/>
  <c r="R89" i="6"/>
  <c r="X88" i="6"/>
  <c r="W88" i="6"/>
  <c r="T88" i="6"/>
  <c r="S88" i="6"/>
  <c r="V88" i="6" s="1"/>
  <c r="R88" i="6"/>
  <c r="U88" i="6" s="1"/>
  <c r="O88" i="6"/>
  <c r="L88" i="6"/>
  <c r="I88" i="6"/>
  <c r="Q88" i="6" s="1"/>
  <c r="H88" i="6"/>
  <c r="G88" i="6"/>
  <c r="P88" i="6" s="1"/>
  <c r="F88" i="6"/>
  <c r="E88" i="6"/>
  <c r="X87" i="6"/>
  <c r="W87" i="6"/>
  <c r="T87" i="6"/>
  <c r="S87" i="6"/>
  <c r="V87" i="6" s="1"/>
  <c r="R87" i="6"/>
  <c r="U87" i="6" s="1"/>
  <c r="O87" i="6"/>
  <c r="L87" i="6"/>
  <c r="I87" i="6"/>
  <c r="Q87" i="6" s="1"/>
  <c r="H87" i="6"/>
  <c r="G87" i="6"/>
  <c r="P87" i="6" s="1"/>
  <c r="F87" i="6"/>
  <c r="E87" i="6"/>
  <c r="X86" i="6"/>
  <c r="W86" i="6"/>
  <c r="T86" i="6"/>
  <c r="S86" i="6"/>
  <c r="V86" i="6" s="1"/>
  <c r="R86" i="6"/>
  <c r="U86" i="6" s="1"/>
  <c r="O86" i="6"/>
  <c r="L86" i="6"/>
  <c r="I86" i="6"/>
  <c r="Q86" i="6" s="1"/>
  <c r="H86" i="6"/>
  <c r="G86" i="6"/>
  <c r="P86" i="6" s="1"/>
  <c r="F86" i="6"/>
  <c r="E86" i="6"/>
  <c r="X85" i="6"/>
  <c r="W85" i="6"/>
  <c r="T85" i="6"/>
  <c r="S85" i="6"/>
  <c r="V85" i="6" s="1"/>
  <c r="R85" i="6"/>
  <c r="U85" i="6" s="1"/>
  <c r="O85" i="6"/>
  <c r="L85" i="6"/>
  <c r="I85" i="6"/>
  <c r="Q85" i="6" s="1"/>
  <c r="H85" i="6"/>
  <c r="G85" i="6"/>
  <c r="P85" i="6" s="1"/>
  <c r="F85" i="6"/>
  <c r="E85" i="6"/>
  <c r="X84" i="6"/>
  <c r="W84" i="6"/>
  <c r="T84" i="6"/>
  <c r="S84" i="6"/>
  <c r="V84" i="6" s="1"/>
  <c r="R84" i="6"/>
  <c r="U84" i="6" s="1"/>
  <c r="O84" i="6"/>
  <c r="L84" i="6"/>
  <c r="I84" i="6"/>
  <c r="Q84" i="6" s="1"/>
  <c r="H84" i="6"/>
  <c r="G84" i="6"/>
  <c r="P84" i="6" s="1"/>
  <c r="F84" i="6"/>
  <c r="E84" i="6"/>
  <c r="X83" i="6"/>
  <c r="W83" i="6"/>
  <c r="Y83" i="6" s="1"/>
  <c r="T83" i="6"/>
  <c r="S83" i="6"/>
  <c r="V83" i="6" s="1"/>
  <c r="R83" i="6"/>
  <c r="U83" i="6" s="1"/>
  <c r="O83" i="6"/>
  <c r="L83" i="6"/>
  <c r="I83" i="6"/>
  <c r="Q83" i="6" s="1"/>
  <c r="H83" i="6"/>
  <c r="N83" i="6" s="1"/>
  <c r="G83" i="6"/>
  <c r="P83" i="6" s="1"/>
  <c r="E83" i="6"/>
  <c r="X82" i="6"/>
  <c r="W82" i="6"/>
  <c r="Y82" i="6" s="1"/>
  <c r="T82" i="6"/>
  <c r="S82" i="6"/>
  <c r="V82" i="6" s="1"/>
  <c r="R82" i="6"/>
  <c r="U82" i="6" s="1"/>
  <c r="O82" i="6"/>
  <c r="L82" i="6"/>
  <c r="I82" i="6"/>
  <c r="Q82" i="6" s="1"/>
  <c r="H82" i="6"/>
  <c r="N82" i="6" s="1"/>
  <c r="G82" i="6"/>
  <c r="P82" i="6" s="1"/>
  <c r="E82" i="6"/>
  <c r="X81" i="6"/>
  <c r="W81" i="6"/>
  <c r="T81" i="6"/>
  <c r="S81" i="6"/>
  <c r="V81" i="6" s="1"/>
  <c r="R81" i="6"/>
  <c r="U81" i="6" s="1"/>
  <c r="O81" i="6"/>
  <c r="L81" i="6"/>
  <c r="I81" i="6"/>
  <c r="Q81" i="6" s="1"/>
  <c r="H81" i="6"/>
  <c r="G81" i="6"/>
  <c r="P81" i="6" s="1"/>
  <c r="F81" i="6"/>
  <c r="E81" i="6"/>
  <c r="X80" i="6"/>
  <c r="W80" i="6"/>
  <c r="T80" i="6"/>
  <c r="S80" i="6"/>
  <c r="V80" i="6" s="1"/>
  <c r="R80" i="6"/>
  <c r="U80" i="6" s="1"/>
  <c r="O80" i="6"/>
  <c r="L80" i="6"/>
  <c r="I80" i="6"/>
  <c r="Q80" i="6" s="1"/>
  <c r="H80" i="6"/>
  <c r="G80" i="6"/>
  <c r="P80" i="6" s="1"/>
  <c r="F80" i="6"/>
  <c r="E80" i="6"/>
  <c r="X79" i="6"/>
  <c r="W79" i="6"/>
  <c r="T79" i="6"/>
  <c r="S79" i="6"/>
  <c r="V79" i="6" s="1"/>
  <c r="R79" i="6"/>
  <c r="U79" i="6" s="1"/>
  <c r="O79" i="6"/>
  <c r="L79" i="6"/>
  <c r="I79" i="6"/>
  <c r="Q79" i="6" s="1"/>
  <c r="H79" i="6"/>
  <c r="G79" i="6"/>
  <c r="P79" i="6" s="1"/>
  <c r="F79" i="6"/>
  <c r="E79" i="6"/>
  <c r="X78" i="6"/>
  <c r="W78" i="6"/>
  <c r="T78" i="6"/>
  <c r="S78" i="6"/>
  <c r="V78" i="6" s="1"/>
  <c r="R78" i="6"/>
  <c r="U78" i="6" s="1"/>
  <c r="O78" i="6"/>
  <c r="L78" i="6"/>
  <c r="I78" i="6"/>
  <c r="Q78" i="6" s="1"/>
  <c r="H78" i="6"/>
  <c r="G78" i="6"/>
  <c r="P78" i="6" s="1"/>
  <c r="F78" i="6"/>
  <c r="E78" i="6"/>
  <c r="X77" i="6"/>
  <c r="W77" i="6"/>
  <c r="T77" i="6"/>
  <c r="S77" i="6"/>
  <c r="V77" i="6" s="1"/>
  <c r="R77" i="6"/>
  <c r="U77" i="6" s="1"/>
  <c r="O77" i="6"/>
  <c r="L77" i="6"/>
  <c r="I77" i="6"/>
  <c r="Q77" i="6" s="1"/>
  <c r="H77" i="6"/>
  <c r="G77" i="6"/>
  <c r="P77" i="6" s="1"/>
  <c r="F77" i="6"/>
  <c r="E77" i="6"/>
  <c r="X76" i="6"/>
  <c r="W76" i="6"/>
  <c r="T76" i="6"/>
  <c r="S76" i="6"/>
  <c r="R76" i="6"/>
  <c r="U76" i="6" s="1"/>
  <c r="O76" i="6"/>
  <c r="L76" i="6"/>
  <c r="I76" i="6"/>
  <c r="Q76" i="6" s="1"/>
  <c r="H76" i="6"/>
  <c r="N76" i="6" s="1"/>
  <c r="G76" i="6"/>
  <c r="E76" i="6"/>
  <c r="X75" i="6"/>
  <c r="W75" i="6"/>
  <c r="T75" i="6"/>
  <c r="S75" i="6"/>
  <c r="V75" i="6" s="1"/>
  <c r="R75" i="6"/>
  <c r="O75" i="6"/>
  <c r="L75" i="6"/>
  <c r="I75" i="6"/>
  <c r="Q75" i="6" s="1"/>
  <c r="H75" i="6"/>
  <c r="G75" i="6"/>
  <c r="P75" i="6" s="1"/>
  <c r="F75" i="6"/>
  <c r="E75" i="6"/>
  <c r="X73" i="6"/>
  <c r="W73" i="6"/>
  <c r="T73" i="6"/>
  <c r="S73" i="6"/>
  <c r="V73" i="6" s="1"/>
  <c r="R73" i="6"/>
  <c r="U73" i="6" s="1"/>
  <c r="O73" i="6"/>
  <c r="L73" i="6"/>
  <c r="I73" i="6"/>
  <c r="Q73" i="6" s="1"/>
  <c r="H73" i="6"/>
  <c r="G73" i="6"/>
  <c r="P73" i="6" s="1"/>
  <c r="F73" i="6"/>
  <c r="E73" i="6"/>
  <c r="X72" i="6"/>
  <c r="W72" i="6"/>
  <c r="T72" i="6"/>
  <c r="S72" i="6"/>
  <c r="V72" i="6" s="1"/>
  <c r="R72" i="6"/>
  <c r="U72" i="6" s="1"/>
  <c r="O72" i="6"/>
  <c r="L72" i="6"/>
  <c r="I72" i="6"/>
  <c r="Q72" i="6" s="1"/>
  <c r="H72" i="6"/>
  <c r="G72" i="6"/>
  <c r="P72" i="6" s="1"/>
  <c r="F72" i="6"/>
  <c r="E72" i="6"/>
  <c r="X71" i="6"/>
  <c r="W71" i="6"/>
  <c r="T71" i="6"/>
  <c r="S71" i="6"/>
  <c r="V71" i="6" s="1"/>
  <c r="R71" i="6"/>
  <c r="U71" i="6" s="1"/>
  <c r="O71" i="6"/>
  <c r="L71" i="6"/>
  <c r="I71" i="6"/>
  <c r="Q71" i="6" s="1"/>
  <c r="H71" i="6"/>
  <c r="G71" i="6"/>
  <c r="P71" i="6" s="1"/>
  <c r="F71" i="6"/>
  <c r="E71" i="6"/>
  <c r="X70" i="6"/>
  <c r="W70" i="6"/>
  <c r="T70" i="6"/>
  <c r="S70" i="6"/>
  <c r="V70" i="6" s="1"/>
  <c r="R70" i="6"/>
  <c r="U70" i="6" s="1"/>
  <c r="O70" i="6"/>
  <c r="L70" i="6"/>
  <c r="I70" i="6"/>
  <c r="Q70" i="6" s="1"/>
  <c r="H70" i="6"/>
  <c r="G70" i="6"/>
  <c r="P70" i="6" s="1"/>
  <c r="F70" i="6"/>
  <c r="E70" i="6"/>
  <c r="X69" i="6"/>
  <c r="W69" i="6"/>
  <c r="T69" i="6"/>
  <c r="S69" i="6"/>
  <c r="V69" i="6" s="1"/>
  <c r="R69" i="6"/>
  <c r="U69" i="6" s="1"/>
  <c r="O69" i="6"/>
  <c r="L69" i="6"/>
  <c r="I69" i="6"/>
  <c r="Q69" i="6" s="1"/>
  <c r="H69" i="6"/>
  <c r="G69" i="6"/>
  <c r="P69" i="6" s="1"/>
  <c r="F69" i="6"/>
  <c r="E69" i="6"/>
  <c r="X68" i="6"/>
  <c r="W68" i="6"/>
  <c r="T68" i="6"/>
  <c r="S68" i="6"/>
  <c r="V68" i="6" s="1"/>
  <c r="R68" i="6"/>
  <c r="U68" i="6" s="1"/>
  <c r="O68" i="6"/>
  <c r="L68" i="6"/>
  <c r="I68" i="6"/>
  <c r="Q68" i="6" s="1"/>
  <c r="H68" i="6"/>
  <c r="G68" i="6"/>
  <c r="P68" i="6" s="1"/>
  <c r="F68" i="6"/>
  <c r="E68" i="6"/>
  <c r="X67" i="6"/>
  <c r="W67" i="6"/>
  <c r="T67" i="6"/>
  <c r="S67" i="6"/>
  <c r="V67" i="6" s="1"/>
  <c r="R67" i="6"/>
  <c r="U67" i="6" s="1"/>
  <c r="O67" i="6"/>
  <c r="L67" i="6"/>
  <c r="I67" i="6"/>
  <c r="Q67" i="6" s="1"/>
  <c r="H67" i="6"/>
  <c r="G67" i="6"/>
  <c r="P67" i="6" s="1"/>
  <c r="F67" i="6"/>
  <c r="E67" i="6"/>
  <c r="X66" i="6"/>
  <c r="W66" i="6"/>
  <c r="T66" i="6"/>
  <c r="S66" i="6"/>
  <c r="V66" i="6" s="1"/>
  <c r="R66" i="6"/>
  <c r="U66" i="6" s="1"/>
  <c r="O66" i="6"/>
  <c r="L66" i="6"/>
  <c r="I66" i="6"/>
  <c r="Q66" i="6" s="1"/>
  <c r="H66" i="6"/>
  <c r="G66" i="6"/>
  <c r="P66" i="6" s="1"/>
  <c r="F66" i="6"/>
  <c r="E66" i="6"/>
  <c r="X65" i="6"/>
  <c r="W65" i="6"/>
  <c r="T65" i="6"/>
  <c r="S65" i="6"/>
  <c r="V65" i="6" s="1"/>
  <c r="R65" i="6"/>
  <c r="U65" i="6" s="1"/>
  <c r="O65" i="6"/>
  <c r="L65" i="6"/>
  <c r="I65" i="6"/>
  <c r="Q65" i="6" s="1"/>
  <c r="H65" i="6"/>
  <c r="G65" i="6"/>
  <c r="P65" i="6" s="1"/>
  <c r="F65" i="6"/>
  <c r="E65" i="6"/>
  <c r="X64" i="6"/>
  <c r="W64" i="6"/>
  <c r="T64" i="6"/>
  <c r="S64" i="6"/>
  <c r="V64" i="6" s="1"/>
  <c r="R64" i="6"/>
  <c r="U64" i="6" s="1"/>
  <c r="O64" i="6"/>
  <c r="L64" i="6"/>
  <c r="I64" i="6"/>
  <c r="Q64" i="6" s="1"/>
  <c r="H64" i="6"/>
  <c r="G64" i="6"/>
  <c r="P64" i="6" s="1"/>
  <c r="F64" i="6"/>
  <c r="E64" i="6"/>
  <c r="X63" i="6"/>
  <c r="W63" i="6"/>
  <c r="T63" i="6"/>
  <c r="S63" i="6"/>
  <c r="V63" i="6" s="1"/>
  <c r="R63" i="6"/>
  <c r="U63" i="6" s="1"/>
  <c r="O63" i="6"/>
  <c r="L63" i="6"/>
  <c r="I63" i="6"/>
  <c r="Q63" i="6" s="1"/>
  <c r="H63" i="6"/>
  <c r="G63" i="6"/>
  <c r="P63" i="6" s="1"/>
  <c r="F63" i="6"/>
  <c r="E63" i="6"/>
  <c r="X62" i="6"/>
  <c r="W62" i="6"/>
  <c r="T62" i="6"/>
  <c r="S62" i="6"/>
  <c r="V62" i="6" s="1"/>
  <c r="R62" i="6"/>
  <c r="U62" i="6" s="1"/>
  <c r="O62" i="6"/>
  <c r="L62" i="6"/>
  <c r="I62" i="6"/>
  <c r="Q62" i="6" s="1"/>
  <c r="H62" i="6"/>
  <c r="G62" i="6"/>
  <c r="P62" i="6" s="1"/>
  <c r="F62" i="6"/>
  <c r="E62" i="6"/>
  <c r="X61" i="6"/>
  <c r="W61" i="6"/>
  <c r="T61" i="6"/>
  <c r="S61" i="6"/>
  <c r="V61" i="6" s="1"/>
  <c r="R61" i="6"/>
  <c r="U61" i="6" s="1"/>
  <c r="O61" i="6"/>
  <c r="L61" i="6"/>
  <c r="I61" i="6"/>
  <c r="Q61" i="6" s="1"/>
  <c r="H61" i="6"/>
  <c r="G61" i="6"/>
  <c r="P61" i="6" s="1"/>
  <c r="F61" i="6"/>
  <c r="E61" i="6"/>
  <c r="X60" i="6"/>
  <c r="W60" i="6"/>
  <c r="T60" i="6"/>
  <c r="S60" i="6"/>
  <c r="V60" i="6" s="1"/>
  <c r="R60" i="6"/>
  <c r="U60" i="6" s="1"/>
  <c r="O60" i="6"/>
  <c r="L60" i="6"/>
  <c r="I60" i="6"/>
  <c r="Q60" i="6" s="1"/>
  <c r="H60" i="6"/>
  <c r="G60" i="6"/>
  <c r="P60" i="6" s="1"/>
  <c r="F60" i="6"/>
  <c r="E60" i="6"/>
  <c r="X59" i="6"/>
  <c r="W59" i="6"/>
  <c r="Y59" i="6" s="1"/>
  <c r="T59" i="6"/>
  <c r="S59" i="6"/>
  <c r="V59" i="6" s="1"/>
  <c r="R59" i="6"/>
  <c r="U59" i="6" s="1"/>
  <c r="O59" i="6"/>
  <c r="L59" i="6"/>
  <c r="I59" i="6"/>
  <c r="Q59" i="6" s="1"/>
  <c r="H59" i="6"/>
  <c r="N59" i="6" s="1"/>
  <c r="G59" i="6"/>
  <c r="P59" i="6" s="1"/>
  <c r="E59" i="6"/>
  <c r="X58" i="6"/>
  <c r="W58" i="6"/>
  <c r="T58" i="6"/>
  <c r="S58" i="6"/>
  <c r="V58" i="6" s="1"/>
  <c r="R58" i="6"/>
  <c r="U58" i="6" s="1"/>
  <c r="O58" i="6"/>
  <c r="L58" i="6"/>
  <c r="I58" i="6"/>
  <c r="Q58" i="6" s="1"/>
  <c r="H58" i="6"/>
  <c r="G58" i="6"/>
  <c r="P58" i="6" s="1"/>
  <c r="F58" i="6"/>
  <c r="E58" i="6"/>
  <c r="X57" i="6"/>
  <c r="W57" i="6"/>
  <c r="T57" i="6"/>
  <c r="S57" i="6"/>
  <c r="V57" i="6" s="1"/>
  <c r="R57" i="6"/>
  <c r="U57" i="6" s="1"/>
  <c r="O57" i="6"/>
  <c r="L57" i="6"/>
  <c r="I57" i="6"/>
  <c r="Q57" i="6" s="1"/>
  <c r="H57" i="6"/>
  <c r="G57" i="6"/>
  <c r="P57" i="6" s="1"/>
  <c r="F57" i="6"/>
  <c r="E57" i="6"/>
  <c r="X56" i="6"/>
  <c r="W56" i="6"/>
  <c r="Y56" i="6" s="1"/>
  <c r="T56" i="6"/>
  <c r="S56" i="6"/>
  <c r="V56" i="6" s="1"/>
  <c r="R56" i="6"/>
  <c r="U56" i="6" s="1"/>
  <c r="O56" i="6"/>
  <c r="L56" i="6"/>
  <c r="I56" i="6"/>
  <c r="Q56" i="6" s="1"/>
  <c r="H56" i="6"/>
  <c r="N56" i="6" s="1"/>
  <c r="G56" i="6"/>
  <c r="P56" i="6" s="1"/>
  <c r="E56" i="6"/>
  <c r="X55" i="6"/>
  <c r="W55" i="6"/>
  <c r="T55" i="6"/>
  <c r="S55" i="6"/>
  <c r="V55" i="6" s="1"/>
  <c r="R55" i="6"/>
  <c r="U55" i="6" s="1"/>
  <c r="O55" i="6"/>
  <c r="L55" i="6"/>
  <c r="I55" i="6"/>
  <c r="Q55" i="6" s="1"/>
  <c r="H55" i="6"/>
  <c r="G55" i="6"/>
  <c r="P55" i="6" s="1"/>
  <c r="F55" i="6"/>
  <c r="E55" i="6"/>
  <c r="X54" i="6"/>
  <c r="W54" i="6"/>
  <c r="T54" i="6"/>
  <c r="S54" i="6"/>
  <c r="V54" i="6" s="1"/>
  <c r="R54" i="6"/>
  <c r="U54" i="6" s="1"/>
  <c r="O54" i="6"/>
  <c r="L54" i="6"/>
  <c r="I54" i="6"/>
  <c r="Q54" i="6" s="1"/>
  <c r="H54" i="6"/>
  <c r="G54" i="6"/>
  <c r="P54" i="6" s="1"/>
  <c r="F54" i="6"/>
  <c r="E54" i="6"/>
  <c r="X53" i="6"/>
  <c r="W53" i="6"/>
  <c r="T53" i="6"/>
  <c r="S53" i="6"/>
  <c r="V53" i="6" s="1"/>
  <c r="R53" i="6"/>
  <c r="U53" i="6" s="1"/>
  <c r="O53" i="6"/>
  <c r="L53" i="6"/>
  <c r="I53" i="6"/>
  <c r="Q53" i="6" s="1"/>
  <c r="H53" i="6"/>
  <c r="G53" i="6"/>
  <c r="F53" i="6"/>
  <c r="E53" i="6"/>
  <c r="X51" i="6"/>
  <c r="W51" i="6"/>
  <c r="T51" i="6"/>
  <c r="S51" i="6"/>
  <c r="V51" i="6" s="1"/>
  <c r="R51" i="6"/>
  <c r="U51" i="6" s="1"/>
  <c r="O51" i="6"/>
  <c r="L51" i="6"/>
  <c r="I51" i="6"/>
  <c r="Q51" i="6" s="1"/>
  <c r="H51" i="6"/>
  <c r="G51" i="6"/>
  <c r="P51" i="6" s="1"/>
  <c r="F51" i="6"/>
  <c r="E51" i="6"/>
  <c r="X50" i="6"/>
  <c r="W50" i="6"/>
  <c r="T50" i="6"/>
  <c r="S50" i="6"/>
  <c r="V50" i="6" s="1"/>
  <c r="R50" i="6"/>
  <c r="U50" i="6" s="1"/>
  <c r="O50" i="6"/>
  <c r="L50" i="6"/>
  <c r="I50" i="6"/>
  <c r="Q50" i="6" s="1"/>
  <c r="H50" i="6"/>
  <c r="G50" i="6"/>
  <c r="P50" i="6" s="1"/>
  <c r="F50" i="6"/>
  <c r="E50" i="6"/>
  <c r="X49" i="6"/>
  <c r="W49" i="6"/>
  <c r="T49" i="6"/>
  <c r="S49" i="6"/>
  <c r="V49" i="6" s="1"/>
  <c r="R49" i="6"/>
  <c r="U49" i="6" s="1"/>
  <c r="O49" i="6"/>
  <c r="L49" i="6"/>
  <c r="I49" i="6"/>
  <c r="Q49" i="6" s="1"/>
  <c r="H49" i="6"/>
  <c r="G49" i="6"/>
  <c r="P49" i="6" s="1"/>
  <c r="F49" i="6"/>
  <c r="E49" i="6"/>
  <c r="X48" i="6"/>
  <c r="W48" i="6"/>
  <c r="T48" i="6"/>
  <c r="S48" i="6"/>
  <c r="V48" i="6" s="1"/>
  <c r="R48" i="6"/>
  <c r="U48" i="6" s="1"/>
  <c r="O48" i="6"/>
  <c r="L48" i="6"/>
  <c r="I48" i="6"/>
  <c r="Q48" i="6" s="1"/>
  <c r="H48" i="6"/>
  <c r="G48" i="6"/>
  <c r="P48" i="6" s="1"/>
  <c r="F48" i="6"/>
  <c r="E48" i="6"/>
  <c r="X47" i="6"/>
  <c r="W47" i="6"/>
  <c r="T47" i="6"/>
  <c r="S47" i="6"/>
  <c r="V47" i="6" s="1"/>
  <c r="R47" i="6"/>
  <c r="U47" i="6" s="1"/>
  <c r="O47" i="6"/>
  <c r="L47" i="6"/>
  <c r="I47" i="6"/>
  <c r="Q47" i="6" s="1"/>
  <c r="H47" i="6"/>
  <c r="G47" i="6"/>
  <c r="P47" i="6" s="1"/>
  <c r="F47" i="6"/>
  <c r="E47" i="6"/>
  <c r="X46" i="6"/>
  <c r="W46" i="6"/>
  <c r="T46" i="6"/>
  <c r="S46" i="6"/>
  <c r="V46" i="6" s="1"/>
  <c r="R46" i="6"/>
  <c r="U46" i="6" s="1"/>
  <c r="O46" i="6"/>
  <c r="L46" i="6"/>
  <c r="I46" i="6"/>
  <c r="Q46" i="6" s="1"/>
  <c r="H46" i="6"/>
  <c r="G46" i="6"/>
  <c r="P46" i="6" s="1"/>
  <c r="F46" i="6"/>
  <c r="E46" i="6"/>
  <c r="X45" i="6"/>
  <c r="W45" i="6"/>
  <c r="T45" i="6"/>
  <c r="S45" i="6"/>
  <c r="V45" i="6" s="1"/>
  <c r="R45" i="6"/>
  <c r="U45" i="6" s="1"/>
  <c r="O45" i="6"/>
  <c r="L45" i="6"/>
  <c r="I45" i="6"/>
  <c r="Q45" i="6" s="1"/>
  <c r="H45" i="6"/>
  <c r="G45" i="6"/>
  <c r="P45" i="6" s="1"/>
  <c r="F45" i="6"/>
  <c r="E45" i="6"/>
  <c r="X44" i="6"/>
  <c r="W44" i="6"/>
  <c r="T44" i="6"/>
  <c r="S44" i="6"/>
  <c r="V44" i="6" s="1"/>
  <c r="R44" i="6"/>
  <c r="U44" i="6" s="1"/>
  <c r="O44" i="6"/>
  <c r="L44" i="6"/>
  <c r="I44" i="6"/>
  <c r="Q44" i="6" s="1"/>
  <c r="H44" i="6"/>
  <c r="G44" i="6"/>
  <c r="P44" i="6" s="1"/>
  <c r="F44" i="6"/>
  <c r="E44" i="6"/>
  <c r="X43" i="6"/>
  <c r="W43" i="6"/>
  <c r="T43" i="6"/>
  <c r="S43" i="6"/>
  <c r="V43" i="6" s="1"/>
  <c r="R43" i="6"/>
  <c r="U43" i="6" s="1"/>
  <c r="O43" i="6"/>
  <c r="L43" i="6"/>
  <c r="I43" i="6"/>
  <c r="Q43" i="6" s="1"/>
  <c r="H43" i="6"/>
  <c r="G43" i="6"/>
  <c r="P43" i="6" s="1"/>
  <c r="F43" i="6"/>
  <c r="E43" i="6"/>
  <c r="X42" i="6"/>
  <c r="W42" i="6"/>
  <c r="T42" i="6"/>
  <c r="S42" i="6"/>
  <c r="V42" i="6" s="1"/>
  <c r="R42" i="6"/>
  <c r="U42" i="6" s="1"/>
  <c r="O42" i="6"/>
  <c r="L42" i="6"/>
  <c r="I42" i="6"/>
  <c r="Q42" i="6" s="1"/>
  <c r="H42" i="6"/>
  <c r="G42" i="6"/>
  <c r="P42" i="6" s="1"/>
  <c r="F42" i="6"/>
  <c r="E42" i="6"/>
  <c r="X41" i="6"/>
  <c r="W41" i="6"/>
  <c r="T41" i="6"/>
  <c r="S41" i="6"/>
  <c r="V41" i="6" s="1"/>
  <c r="R41" i="6"/>
  <c r="U41" i="6" s="1"/>
  <c r="O41" i="6"/>
  <c r="L41" i="6"/>
  <c r="I41" i="6"/>
  <c r="Q41" i="6" s="1"/>
  <c r="H41" i="6"/>
  <c r="G41" i="6"/>
  <c r="P41" i="6" s="1"/>
  <c r="F41" i="6"/>
  <c r="E41" i="6"/>
  <c r="X40" i="6"/>
  <c r="W40" i="6"/>
  <c r="T40" i="6"/>
  <c r="S40" i="6"/>
  <c r="V40" i="6" s="1"/>
  <c r="R40" i="6"/>
  <c r="U40" i="6" s="1"/>
  <c r="O40" i="6"/>
  <c r="L40" i="6"/>
  <c r="I40" i="6"/>
  <c r="Q40" i="6" s="1"/>
  <c r="H40" i="6"/>
  <c r="G40" i="6"/>
  <c r="P40" i="6" s="1"/>
  <c r="F40" i="6"/>
  <c r="E40" i="6"/>
  <c r="X39" i="6"/>
  <c r="W39" i="6"/>
  <c r="T39" i="6"/>
  <c r="S39" i="6"/>
  <c r="V39" i="6" s="1"/>
  <c r="R39" i="6"/>
  <c r="U39" i="6" s="1"/>
  <c r="O39" i="6"/>
  <c r="L39" i="6"/>
  <c r="I39" i="6"/>
  <c r="Q39" i="6" s="1"/>
  <c r="H39" i="6"/>
  <c r="G39" i="6"/>
  <c r="P39" i="6" s="1"/>
  <c r="F39" i="6"/>
  <c r="E39" i="6"/>
  <c r="X38" i="6"/>
  <c r="W38" i="6"/>
  <c r="T38" i="6"/>
  <c r="S38" i="6"/>
  <c r="V38" i="6" s="1"/>
  <c r="R38" i="6"/>
  <c r="U38" i="6" s="1"/>
  <c r="O38" i="6"/>
  <c r="L38" i="6"/>
  <c r="I38" i="6"/>
  <c r="Q38" i="6" s="1"/>
  <c r="H38" i="6"/>
  <c r="G38" i="6"/>
  <c r="P38" i="6" s="1"/>
  <c r="F38" i="6"/>
  <c r="E38" i="6"/>
  <c r="X37" i="6"/>
  <c r="W37" i="6"/>
  <c r="T37" i="6"/>
  <c r="S37" i="6"/>
  <c r="V37" i="6" s="1"/>
  <c r="R37" i="6"/>
  <c r="U37" i="6" s="1"/>
  <c r="O37" i="6"/>
  <c r="L37" i="6"/>
  <c r="I37" i="6"/>
  <c r="Q37" i="6" s="1"/>
  <c r="H37" i="6"/>
  <c r="G37" i="6"/>
  <c r="P37" i="6" s="1"/>
  <c r="F37" i="6"/>
  <c r="E37" i="6"/>
  <c r="X36" i="6"/>
  <c r="W36" i="6"/>
  <c r="T36" i="6"/>
  <c r="S36" i="6"/>
  <c r="V36" i="6" s="1"/>
  <c r="R36" i="6"/>
  <c r="U36" i="6" s="1"/>
  <c r="O36" i="6"/>
  <c r="L36" i="6"/>
  <c r="I36" i="6"/>
  <c r="Q36" i="6" s="1"/>
  <c r="H36" i="6"/>
  <c r="G36" i="6"/>
  <c r="P36" i="6" s="1"/>
  <c r="F36" i="6"/>
  <c r="E36" i="6"/>
  <c r="X35" i="6"/>
  <c r="W35" i="6"/>
  <c r="T35" i="6"/>
  <c r="S35" i="6"/>
  <c r="V35" i="6" s="1"/>
  <c r="R35" i="6"/>
  <c r="U35" i="6" s="1"/>
  <c r="O35" i="6"/>
  <c r="L35" i="6"/>
  <c r="I35" i="6"/>
  <c r="Q35" i="6" s="1"/>
  <c r="H35" i="6"/>
  <c r="G35" i="6"/>
  <c r="P35" i="6" s="1"/>
  <c r="F35" i="6"/>
  <c r="E35" i="6"/>
  <c r="X34" i="6"/>
  <c r="W34" i="6"/>
  <c r="T34" i="6"/>
  <c r="S34" i="6"/>
  <c r="V34" i="6" s="1"/>
  <c r="R34" i="6"/>
  <c r="U34" i="6" s="1"/>
  <c r="O34" i="6"/>
  <c r="L34" i="6"/>
  <c r="I34" i="6"/>
  <c r="Q34" i="6" s="1"/>
  <c r="H34" i="6"/>
  <c r="G34" i="6"/>
  <c r="P34" i="6" s="1"/>
  <c r="F34" i="6"/>
  <c r="E34" i="6"/>
  <c r="X33" i="6"/>
  <c r="W33" i="6"/>
  <c r="T33" i="6"/>
  <c r="S33" i="6"/>
  <c r="V33" i="6" s="1"/>
  <c r="R33" i="6"/>
  <c r="O33" i="6"/>
  <c r="L33" i="6"/>
  <c r="I33" i="6"/>
  <c r="Q33" i="6" s="1"/>
  <c r="H33" i="6"/>
  <c r="G33" i="6"/>
  <c r="P33" i="6" s="1"/>
  <c r="F33" i="6"/>
  <c r="E33" i="6"/>
  <c r="X32" i="6"/>
  <c r="W32" i="6"/>
  <c r="T32" i="6"/>
  <c r="S32" i="6"/>
  <c r="V32" i="6" s="1"/>
  <c r="R32" i="6"/>
  <c r="U32" i="6" s="1"/>
  <c r="O32" i="6"/>
  <c r="L32" i="6"/>
  <c r="I32" i="6"/>
  <c r="H32" i="6"/>
  <c r="G32" i="6"/>
  <c r="P32" i="6" s="1"/>
  <c r="F32" i="6"/>
  <c r="E32" i="6"/>
  <c r="X30" i="6"/>
  <c r="W30" i="6"/>
  <c r="T30" i="6"/>
  <c r="S30" i="6"/>
  <c r="V30" i="6" s="1"/>
  <c r="R30" i="6"/>
  <c r="U30" i="6" s="1"/>
  <c r="O30" i="6"/>
  <c r="L30" i="6"/>
  <c r="I30" i="6"/>
  <c r="Q30" i="6" s="1"/>
  <c r="H30" i="6"/>
  <c r="G30" i="6"/>
  <c r="P30" i="6" s="1"/>
  <c r="F30" i="6"/>
  <c r="E30" i="6"/>
  <c r="X29" i="6"/>
  <c r="W29" i="6"/>
  <c r="T29" i="6"/>
  <c r="S29" i="6"/>
  <c r="V29" i="6" s="1"/>
  <c r="R29" i="6"/>
  <c r="U29" i="6" s="1"/>
  <c r="O29" i="6"/>
  <c r="L29" i="6"/>
  <c r="I29" i="6"/>
  <c r="Q29" i="6" s="1"/>
  <c r="H29" i="6"/>
  <c r="G29" i="6"/>
  <c r="P29" i="6" s="1"/>
  <c r="F29" i="6"/>
  <c r="E29" i="6"/>
  <c r="X28" i="6"/>
  <c r="W28" i="6"/>
  <c r="T28" i="6"/>
  <c r="S28" i="6"/>
  <c r="V28" i="6" s="1"/>
  <c r="R28" i="6"/>
  <c r="U28" i="6" s="1"/>
  <c r="O28" i="6"/>
  <c r="L28" i="6"/>
  <c r="I28" i="6"/>
  <c r="Q28" i="6" s="1"/>
  <c r="H28" i="6"/>
  <c r="G28" i="6"/>
  <c r="P28" i="6" s="1"/>
  <c r="F28" i="6"/>
  <c r="E28" i="6"/>
  <c r="X27" i="6"/>
  <c r="W27" i="6"/>
  <c r="T27" i="6"/>
  <c r="S27" i="6"/>
  <c r="V27" i="6" s="1"/>
  <c r="R27" i="6"/>
  <c r="U27" i="6" s="1"/>
  <c r="O27" i="6"/>
  <c r="L27" i="6"/>
  <c r="I27" i="6"/>
  <c r="Q27" i="6" s="1"/>
  <c r="H27" i="6"/>
  <c r="G27" i="6"/>
  <c r="P27" i="6" s="1"/>
  <c r="F27" i="6"/>
  <c r="E27" i="6"/>
  <c r="X26" i="6"/>
  <c r="W26" i="6"/>
  <c r="T26" i="6"/>
  <c r="S26" i="6"/>
  <c r="V26" i="6" s="1"/>
  <c r="R26" i="6"/>
  <c r="U26" i="6" s="1"/>
  <c r="O26" i="6"/>
  <c r="L26" i="6"/>
  <c r="I26" i="6"/>
  <c r="Q26" i="6" s="1"/>
  <c r="H26" i="6"/>
  <c r="G26" i="6"/>
  <c r="P26" i="6" s="1"/>
  <c r="F26" i="6"/>
  <c r="E26" i="6"/>
  <c r="X25" i="6"/>
  <c r="W25" i="6"/>
  <c r="T25" i="6"/>
  <c r="S25" i="6"/>
  <c r="V25" i="6" s="1"/>
  <c r="R25" i="6"/>
  <c r="U25" i="6" s="1"/>
  <c r="O25" i="6"/>
  <c r="L25" i="6"/>
  <c r="I25" i="6"/>
  <c r="Q25" i="6" s="1"/>
  <c r="H25" i="6"/>
  <c r="G25" i="6"/>
  <c r="P25" i="6" s="1"/>
  <c r="F25" i="6"/>
  <c r="E25" i="6"/>
  <c r="X24" i="6"/>
  <c r="W24" i="6"/>
  <c r="T24" i="6"/>
  <c r="S24" i="6"/>
  <c r="V24" i="6" s="1"/>
  <c r="R24" i="6"/>
  <c r="U24" i="6" s="1"/>
  <c r="O24" i="6"/>
  <c r="L24" i="6"/>
  <c r="I24" i="6"/>
  <c r="Q24" i="6" s="1"/>
  <c r="H24" i="6"/>
  <c r="G24" i="6"/>
  <c r="P24" i="6" s="1"/>
  <c r="F24" i="6"/>
  <c r="E24" i="6"/>
  <c r="X23" i="6"/>
  <c r="W23" i="6"/>
  <c r="T23" i="6"/>
  <c r="S23" i="6"/>
  <c r="V23" i="6" s="1"/>
  <c r="R23" i="6"/>
  <c r="U23" i="6" s="1"/>
  <c r="O23" i="6"/>
  <c r="L23" i="6"/>
  <c r="I23" i="6"/>
  <c r="Q23" i="6" s="1"/>
  <c r="H23" i="6"/>
  <c r="G23" i="6"/>
  <c r="P23" i="6" s="1"/>
  <c r="F23" i="6"/>
  <c r="E23" i="6"/>
  <c r="X22" i="6"/>
  <c r="W22" i="6"/>
  <c r="T22" i="6"/>
  <c r="S22" i="6"/>
  <c r="V22" i="6" s="1"/>
  <c r="R22" i="6"/>
  <c r="U22" i="6" s="1"/>
  <c r="O22" i="6"/>
  <c r="L22" i="6"/>
  <c r="I22" i="6"/>
  <c r="Q22" i="6" s="1"/>
  <c r="H22" i="6"/>
  <c r="G22" i="6"/>
  <c r="P22" i="6" s="1"/>
  <c r="F22" i="6"/>
  <c r="E22" i="6"/>
  <c r="X21" i="6"/>
  <c r="W21" i="6"/>
  <c r="T21" i="6"/>
  <c r="S21" i="6"/>
  <c r="V21" i="6" s="1"/>
  <c r="R21" i="6"/>
  <c r="U21" i="6" s="1"/>
  <c r="O21" i="6"/>
  <c r="L21" i="6"/>
  <c r="I21" i="6"/>
  <c r="Q21" i="6" s="1"/>
  <c r="H21" i="6"/>
  <c r="G21" i="6"/>
  <c r="P21" i="6" s="1"/>
  <c r="F21" i="6"/>
  <c r="E21" i="6"/>
  <c r="X20" i="6"/>
  <c r="W20" i="6"/>
  <c r="T20" i="6"/>
  <c r="S20" i="6"/>
  <c r="V20" i="6" s="1"/>
  <c r="R20" i="6"/>
  <c r="U20" i="6" s="1"/>
  <c r="O20" i="6"/>
  <c r="L20" i="6"/>
  <c r="I20" i="6"/>
  <c r="Q20" i="6" s="1"/>
  <c r="H20" i="6"/>
  <c r="G20" i="6"/>
  <c r="P20" i="6" s="1"/>
  <c r="F20" i="6"/>
  <c r="E20" i="6"/>
  <c r="X19" i="6"/>
  <c r="W19" i="6"/>
  <c r="T19" i="6"/>
  <c r="S19" i="6"/>
  <c r="V19" i="6" s="1"/>
  <c r="R19" i="6"/>
  <c r="U19" i="6" s="1"/>
  <c r="O19" i="6"/>
  <c r="L19" i="6"/>
  <c r="I19" i="6"/>
  <c r="Q19" i="6" s="1"/>
  <c r="H19" i="6"/>
  <c r="G19" i="6"/>
  <c r="P19" i="6" s="1"/>
  <c r="F19" i="6"/>
  <c r="E19" i="6"/>
  <c r="X18" i="6"/>
  <c r="W18" i="6"/>
  <c r="T18" i="6"/>
  <c r="S18" i="6"/>
  <c r="V18" i="6" s="1"/>
  <c r="R18" i="6"/>
  <c r="U18" i="6" s="1"/>
  <c r="O18" i="6"/>
  <c r="L18" i="6"/>
  <c r="I18" i="6"/>
  <c r="Q18" i="6" s="1"/>
  <c r="H18" i="6"/>
  <c r="G18" i="6"/>
  <c r="P18" i="6" s="1"/>
  <c r="F18" i="6"/>
  <c r="E18" i="6"/>
  <c r="X17" i="6"/>
  <c r="W17" i="6"/>
  <c r="T17" i="6"/>
  <c r="S17" i="6"/>
  <c r="V17" i="6" s="1"/>
  <c r="R17" i="6"/>
  <c r="U17" i="6" s="1"/>
  <c r="O17" i="6"/>
  <c r="L17" i="6"/>
  <c r="I17" i="6"/>
  <c r="Q17" i="6" s="1"/>
  <c r="H17" i="6"/>
  <c r="G17" i="6"/>
  <c r="P17" i="6" s="1"/>
  <c r="F17" i="6"/>
  <c r="E17" i="6"/>
  <c r="X16" i="6"/>
  <c r="W16" i="6"/>
  <c r="T16" i="6"/>
  <c r="S16" i="6"/>
  <c r="V16" i="6" s="1"/>
  <c r="R16" i="6"/>
  <c r="U16" i="6" s="1"/>
  <c r="O16" i="6"/>
  <c r="L16" i="6"/>
  <c r="I16" i="6"/>
  <c r="Q16" i="6" s="1"/>
  <c r="H16" i="6"/>
  <c r="G16" i="6"/>
  <c r="P16" i="6" s="1"/>
  <c r="F16" i="6"/>
  <c r="E16" i="6"/>
  <c r="X15" i="6"/>
  <c r="W15" i="6"/>
  <c r="T15" i="6"/>
  <c r="S15" i="6"/>
  <c r="V15" i="6" s="1"/>
  <c r="R15" i="6"/>
  <c r="O15" i="6"/>
  <c r="L15" i="6"/>
  <c r="I15" i="6"/>
  <c r="Q15" i="6" s="1"/>
  <c r="H15" i="6"/>
  <c r="G15" i="6"/>
  <c r="P15" i="6" s="1"/>
  <c r="F15" i="6"/>
  <c r="E15" i="6"/>
  <c r="X14" i="6"/>
  <c r="W14" i="6"/>
  <c r="T14" i="6"/>
  <c r="S14" i="6"/>
  <c r="V14" i="6" s="1"/>
  <c r="R14" i="6"/>
  <c r="U14" i="6" s="1"/>
  <c r="O14" i="6"/>
  <c r="L14" i="6"/>
  <c r="I14" i="6"/>
  <c r="Q14" i="6" s="1"/>
  <c r="H14" i="6"/>
  <c r="G14" i="6"/>
  <c r="P14" i="6" s="1"/>
  <c r="F14" i="6"/>
  <c r="E14" i="6"/>
  <c r="AA9" i="6"/>
  <c r="Y9" i="6"/>
  <c r="T9" i="6"/>
  <c r="S9" i="6"/>
  <c r="V9" i="6" s="1"/>
  <c r="R9" i="6"/>
  <c r="U9" i="6" s="1"/>
  <c r="AB8" i="6"/>
  <c r="AA8" i="6"/>
  <c r="Z8" i="6"/>
  <c r="Z7" i="6"/>
  <c r="V106" i="5"/>
  <c r="U106" i="5"/>
  <c r="O106" i="5"/>
  <c r="L106" i="5"/>
  <c r="I106" i="5"/>
  <c r="Q106" i="5" s="1"/>
  <c r="H106" i="5"/>
  <c r="N106" i="5" s="1"/>
  <c r="G106" i="5"/>
  <c r="P106" i="5" s="1"/>
  <c r="F106" i="5"/>
  <c r="E106" i="5"/>
  <c r="V105" i="5"/>
  <c r="U105" i="5"/>
  <c r="O105" i="5"/>
  <c r="L105" i="5"/>
  <c r="I105" i="5"/>
  <c r="Q105" i="5" s="1"/>
  <c r="H105" i="5"/>
  <c r="N105" i="5" s="1"/>
  <c r="G105" i="5"/>
  <c r="P105" i="5" s="1"/>
  <c r="F105" i="5"/>
  <c r="E105" i="5"/>
  <c r="V104" i="5"/>
  <c r="U104" i="5"/>
  <c r="O104" i="5"/>
  <c r="L104" i="5"/>
  <c r="I104" i="5"/>
  <c r="Q104" i="5" s="1"/>
  <c r="H104" i="5"/>
  <c r="G104" i="5"/>
  <c r="P104" i="5" s="1"/>
  <c r="F104" i="5"/>
  <c r="E104" i="5"/>
  <c r="V103" i="5"/>
  <c r="U103" i="5"/>
  <c r="O103" i="5"/>
  <c r="L103" i="5"/>
  <c r="I103" i="5"/>
  <c r="Q103" i="5" s="1"/>
  <c r="H103" i="5"/>
  <c r="N103" i="5" s="1"/>
  <c r="G103" i="5"/>
  <c r="P103" i="5" s="1"/>
  <c r="F103" i="5"/>
  <c r="E103" i="5"/>
  <c r="V102" i="5"/>
  <c r="U102" i="5"/>
  <c r="O102" i="5"/>
  <c r="L102" i="5"/>
  <c r="I102" i="5"/>
  <c r="Q102" i="5" s="1"/>
  <c r="H102" i="5"/>
  <c r="N102" i="5" s="1"/>
  <c r="G102" i="5"/>
  <c r="P102" i="5" s="1"/>
  <c r="F102" i="5"/>
  <c r="E102" i="5"/>
  <c r="V101" i="5"/>
  <c r="U101" i="5"/>
  <c r="O101" i="5"/>
  <c r="L101" i="5"/>
  <c r="I101" i="5"/>
  <c r="Q101" i="5" s="1"/>
  <c r="H101" i="5"/>
  <c r="G101" i="5"/>
  <c r="P101" i="5" s="1"/>
  <c r="F101" i="5"/>
  <c r="E101" i="5"/>
  <c r="V100" i="5"/>
  <c r="U100" i="5"/>
  <c r="O100" i="5"/>
  <c r="L100" i="5"/>
  <c r="I100" i="5"/>
  <c r="Q100" i="5" s="1"/>
  <c r="H100" i="5"/>
  <c r="N100" i="5" s="1"/>
  <c r="G100" i="5"/>
  <c r="P100" i="5" s="1"/>
  <c r="F100" i="5"/>
  <c r="E100" i="5"/>
  <c r="V99" i="5"/>
  <c r="U99" i="5"/>
  <c r="O99" i="5"/>
  <c r="L99" i="5"/>
  <c r="I99" i="5"/>
  <c r="Q99" i="5" s="1"/>
  <c r="H99" i="5"/>
  <c r="N99" i="5" s="1"/>
  <c r="G99" i="5"/>
  <c r="P99" i="5" s="1"/>
  <c r="F99" i="5"/>
  <c r="E99" i="5"/>
  <c r="V98" i="5"/>
  <c r="U98" i="5"/>
  <c r="O98" i="5"/>
  <c r="L98" i="5"/>
  <c r="I98" i="5"/>
  <c r="Q98" i="5" s="1"/>
  <c r="H98" i="5"/>
  <c r="N98" i="5" s="1"/>
  <c r="G98" i="5"/>
  <c r="P98" i="5" s="1"/>
  <c r="F98" i="5"/>
  <c r="E98" i="5"/>
  <c r="V97" i="5"/>
  <c r="U97" i="5"/>
  <c r="O97" i="5"/>
  <c r="L97" i="5"/>
  <c r="I97" i="5"/>
  <c r="Q97" i="5" s="1"/>
  <c r="H97" i="5"/>
  <c r="N97" i="5" s="1"/>
  <c r="G97" i="5"/>
  <c r="P97" i="5" s="1"/>
  <c r="F97" i="5"/>
  <c r="E97" i="5"/>
  <c r="V96" i="5"/>
  <c r="U96" i="5"/>
  <c r="O96" i="5"/>
  <c r="L96" i="5"/>
  <c r="I96" i="5"/>
  <c r="Q96" i="5" s="1"/>
  <c r="H96" i="5"/>
  <c r="N96" i="5" s="1"/>
  <c r="G96" i="5"/>
  <c r="P96" i="5" s="1"/>
  <c r="F96" i="5"/>
  <c r="E96" i="5"/>
  <c r="V95" i="5"/>
  <c r="U95" i="5"/>
  <c r="O95" i="5"/>
  <c r="L95" i="5"/>
  <c r="I95" i="5"/>
  <c r="Q95" i="5" s="1"/>
  <c r="H95" i="5"/>
  <c r="G95" i="5"/>
  <c r="P95" i="5" s="1"/>
  <c r="F95" i="5"/>
  <c r="E95" i="5"/>
  <c r="V94" i="5"/>
  <c r="U94" i="5"/>
  <c r="O94" i="5"/>
  <c r="L94" i="5"/>
  <c r="I94" i="5"/>
  <c r="Q94" i="5" s="1"/>
  <c r="H94" i="5"/>
  <c r="N94" i="5" s="1"/>
  <c r="G94" i="5"/>
  <c r="P94" i="5" s="1"/>
  <c r="F94" i="5"/>
  <c r="E94" i="5"/>
  <c r="V93" i="5"/>
  <c r="U93" i="5"/>
  <c r="O93" i="5"/>
  <c r="L93" i="5"/>
  <c r="I93" i="5"/>
  <c r="Q93" i="5" s="1"/>
  <c r="H93" i="5"/>
  <c r="G93" i="5"/>
  <c r="P93" i="5" s="1"/>
  <c r="F93" i="5"/>
  <c r="E93" i="5"/>
  <c r="V92" i="5"/>
  <c r="U92" i="5"/>
  <c r="O92" i="5"/>
  <c r="L92" i="5"/>
  <c r="I92" i="5"/>
  <c r="Q92" i="5" s="1"/>
  <c r="H92" i="5"/>
  <c r="N92" i="5" s="1"/>
  <c r="G92" i="5"/>
  <c r="P92" i="5" s="1"/>
  <c r="F92" i="5"/>
  <c r="E92" i="5"/>
  <c r="V91" i="5"/>
  <c r="U91" i="5"/>
  <c r="O91" i="5"/>
  <c r="L91" i="5"/>
  <c r="I91" i="5"/>
  <c r="Q91" i="5" s="1"/>
  <c r="H91" i="5"/>
  <c r="N91" i="5" s="1"/>
  <c r="G91" i="5"/>
  <c r="P91" i="5" s="1"/>
  <c r="F91" i="5"/>
  <c r="E91" i="5"/>
  <c r="V90" i="5"/>
  <c r="U90" i="5"/>
  <c r="O90" i="5"/>
  <c r="L90" i="5"/>
  <c r="I90" i="5"/>
  <c r="H90" i="5"/>
  <c r="N90" i="5" s="1"/>
  <c r="G90" i="5"/>
  <c r="F90" i="5"/>
  <c r="E90" i="5"/>
  <c r="V89" i="5"/>
  <c r="T89" i="5"/>
  <c r="S89" i="5"/>
  <c r="R89" i="5"/>
  <c r="U89" i="5" s="1"/>
  <c r="X88" i="5"/>
  <c r="W88" i="5"/>
  <c r="T88" i="5"/>
  <c r="S88" i="5"/>
  <c r="V88" i="5" s="1"/>
  <c r="R88" i="5"/>
  <c r="U88" i="5" s="1"/>
  <c r="O88" i="5"/>
  <c r="L88" i="5"/>
  <c r="I88" i="5"/>
  <c r="Q88" i="5" s="1"/>
  <c r="H88" i="5"/>
  <c r="N88" i="5" s="1"/>
  <c r="G88" i="5"/>
  <c r="P88" i="5" s="1"/>
  <c r="F88" i="5"/>
  <c r="E88" i="5"/>
  <c r="X87" i="5"/>
  <c r="W87" i="5"/>
  <c r="Y87" i="5" s="1"/>
  <c r="T87" i="5"/>
  <c r="S87" i="5"/>
  <c r="V87" i="5" s="1"/>
  <c r="R87" i="5"/>
  <c r="U87" i="5" s="1"/>
  <c r="O87" i="5"/>
  <c r="L87" i="5"/>
  <c r="I87" i="5"/>
  <c r="Q87" i="5" s="1"/>
  <c r="H87" i="5"/>
  <c r="N87" i="5" s="1"/>
  <c r="G87" i="5"/>
  <c r="P87" i="5" s="1"/>
  <c r="F87" i="5"/>
  <c r="E87" i="5"/>
  <c r="X86" i="5"/>
  <c r="W86" i="5"/>
  <c r="Y86" i="5" s="1"/>
  <c r="T86" i="5"/>
  <c r="S86" i="5"/>
  <c r="V86" i="5" s="1"/>
  <c r="R86" i="5"/>
  <c r="U86" i="5" s="1"/>
  <c r="O86" i="5"/>
  <c r="L86" i="5"/>
  <c r="I86" i="5"/>
  <c r="Q86" i="5" s="1"/>
  <c r="H86" i="5"/>
  <c r="N86" i="5" s="1"/>
  <c r="G86" i="5"/>
  <c r="P86" i="5" s="1"/>
  <c r="F86" i="5"/>
  <c r="E86" i="5"/>
  <c r="X85" i="5"/>
  <c r="W85" i="5"/>
  <c r="Y85" i="5" s="1"/>
  <c r="T85" i="5"/>
  <c r="S85" i="5"/>
  <c r="V85" i="5" s="1"/>
  <c r="R85" i="5"/>
  <c r="U85" i="5" s="1"/>
  <c r="O85" i="5"/>
  <c r="L85" i="5"/>
  <c r="I85" i="5"/>
  <c r="Q85" i="5" s="1"/>
  <c r="H85" i="5"/>
  <c r="N85" i="5" s="1"/>
  <c r="G85" i="5"/>
  <c r="P85" i="5" s="1"/>
  <c r="F85" i="5"/>
  <c r="E85" i="5"/>
  <c r="X84" i="5"/>
  <c r="W84" i="5"/>
  <c r="Y84" i="5" s="1"/>
  <c r="T84" i="5"/>
  <c r="S84" i="5"/>
  <c r="V84" i="5" s="1"/>
  <c r="R84" i="5"/>
  <c r="U84" i="5" s="1"/>
  <c r="O84" i="5"/>
  <c r="L84" i="5"/>
  <c r="I84" i="5"/>
  <c r="Q84" i="5" s="1"/>
  <c r="H84" i="5"/>
  <c r="N84" i="5" s="1"/>
  <c r="G84" i="5"/>
  <c r="P84" i="5" s="1"/>
  <c r="F84" i="5"/>
  <c r="E84" i="5"/>
  <c r="X83" i="5"/>
  <c r="W83" i="5"/>
  <c r="Y83" i="5" s="1"/>
  <c r="T83" i="5"/>
  <c r="S83" i="5"/>
  <c r="V83" i="5" s="1"/>
  <c r="R83" i="5"/>
  <c r="U83" i="5" s="1"/>
  <c r="O83" i="5"/>
  <c r="L83" i="5"/>
  <c r="I83" i="5"/>
  <c r="Q83" i="5" s="1"/>
  <c r="H83" i="5"/>
  <c r="N83" i="5" s="1"/>
  <c r="G83" i="5"/>
  <c r="P83" i="5" s="1"/>
  <c r="F83" i="5"/>
  <c r="E83" i="5"/>
  <c r="X82" i="5"/>
  <c r="W82" i="5"/>
  <c r="Y82" i="5" s="1"/>
  <c r="T82" i="5"/>
  <c r="S82" i="5"/>
  <c r="R82" i="5"/>
  <c r="U82" i="5" s="1"/>
  <c r="O82" i="5"/>
  <c r="L82" i="5"/>
  <c r="I82" i="5"/>
  <c r="Q82" i="5" s="1"/>
  <c r="H82" i="5"/>
  <c r="N82" i="5" s="1"/>
  <c r="G82" i="5"/>
  <c r="P82" i="5" s="1"/>
  <c r="F82" i="5"/>
  <c r="E82" i="5"/>
  <c r="X81" i="5"/>
  <c r="W81" i="5"/>
  <c r="Y81" i="5" s="1"/>
  <c r="T81" i="5"/>
  <c r="S81" i="5"/>
  <c r="V81" i="5" s="1"/>
  <c r="R81" i="5"/>
  <c r="U81" i="5" s="1"/>
  <c r="O81" i="5"/>
  <c r="L81" i="5"/>
  <c r="I81" i="5"/>
  <c r="Q81" i="5" s="1"/>
  <c r="H81" i="5"/>
  <c r="N81" i="5" s="1"/>
  <c r="G81" i="5"/>
  <c r="P81" i="5" s="1"/>
  <c r="F81" i="5"/>
  <c r="E81" i="5"/>
  <c r="X80" i="5"/>
  <c r="W80" i="5"/>
  <c r="Y80" i="5" s="1"/>
  <c r="T80" i="5"/>
  <c r="S80" i="5"/>
  <c r="V80" i="5" s="1"/>
  <c r="R80" i="5"/>
  <c r="U80" i="5" s="1"/>
  <c r="O80" i="5"/>
  <c r="L80" i="5"/>
  <c r="I80" i="5"/>
  <c r="Q80" i="5" s="1"/>
  <c r="H80" i="5"/>
  <c r="N80" i="5" s="1"/>
  <c r="G80" i="5"/>
  <c r="P80" i="5" s="1"/>
  <c r="F80" i="5"/>
  <c r="E80" i="5"/>
  <c r="X79" i="5"/>
  <c r="W79" i="5"/>
  <c r="Y79" i="5" s="1"/>
  <c r="T79" i="5"/>
  <c r="S79" i="5"/>
  <c r="V79" i="5" s="1"/>
  <c r="R79" i="5"/>
  <c r="U79" i="5" s="1"/>
  <c r="O79" i="5"/>
  <c r="L79" i="5"/>
  <c r="I79" i="5"/>
  <c r="Q79" i="5" s="1"/>
  <c r="H79" i="5"/>
  <c r="N79" i="5" s="1"/>
  <c r="G79" i="5"/>
  <c r="P79" i="5" s="1"/>
  <c r="F79" i="5"/>
  <c r="E79" i="5"/>
  <c r="X78" i="5"/>
  <c r="W78" i="5"/>
  <c r="Y78" i="5" s="1"/>
  <c r="T78" i="5"/>
  <c r="S78" i="5"/>
  <c r="V78" i="5" s="1"/>
  <c r="R78" i="5"/>
  <c r="U78" i="5" s="1"/>
  <c r="O78" i="5"/>
  <c r="L78" i="5"/>
  <c r="I78" i="5"/>
  <c r="Q78" i="5" s="1"/>
  <c r="H78" i="5"/>
  <c r="N78" i="5" s="1"/>
  <c r="G78" i="5"/>
  <c r="P78" i="5" s="1"/>
  <c r="F78" i="5"/>
  <c r="E78" i="5"/>
  <c r="X77" i="5"/>
  <c r="W77" i="5"/>
  <c r="Y77" i="5" s="1"/>
  <c r="T77" i="5"/>
  <c r="S77" i="5"/>
  <c r="V77" i="5" s="1"/>
  <c r="R77" i="5"/>
  <c r="U77" i="5" s="1"/>
  <c r="O77" i="5"/>
  <c r="L77" i="5"/>
  <c r="I77" i="5"/>
  <c r="Q77" i="5" s="1"/>
  <c r="H77" i="5"/>
  <c r="N77" i="5" s="1"/>
  <c r="G77" i="5"/>
  <c r="P77" i="5" s="1"/>
  <c r="F77" i="5"/>
  <c r="E77" i="5"/>
  <c r="X76" i="5"/>
  <c r="W76" i="5"/>
  <c r="T76" i="5"/>
  <c r="S76" i="5"/>
  <c r="V76" i="5" s="1"/>
  <c r="R76" i="5"/>
  <c r="U76" i="5" s="1"/>
  <c r="O76" i="5"/>
  <c r="L76" i="5"/>
  <c r="I76" i="5"/>
  <c r="Q76" i="5" s="1"/>
  <c r="H76" i="5"/>
  <c r="N76" i="5" s="1"/>
  <c r="G76" i="5"/>
  <c r="P76" i="5" s="1"/>
  <c r="F76" i="5"/>
  <c r="E76" i="5"/>
  <c r="X75" i="5"/>
  <c r="W75" i="5"/>
  <c r="Y75" i="5" s="1"/>
  <c r="T75" i="5"/>
  <c r="S75" i="5"/>
  <c r="V75" i="5" s="1"/>
  <c r="R75" i="5"/>
  <c r="O75" i="5"/>
  <c r="L75" i="5"/>
  <c r="I75" i="5"/>
  <c r="Q75" i="5" s="1"/>
  <c r="H75" i="5"/>
  <c r="G75" i="5"/>
  <c r="P75" i="5" s="1"/>
  <c r="F75" i="5"/>
  <c r="E75" i="5"/>
  <c r="X73" i="5"/>
  <c r="W73" i="5"/>
  <c r="Y73" i="5" s="1"/>
  <c r="T73" i="5"/>
  <c r="S73" i="5"/>
  <c r="V73" i="5" s="1"/>
  <c r="R73" i="5"/>
  <c r="U73" i="5" s="1"/>
  <c r="O73" i="5"/>
  <c r="L73" i="5"/>
  <c r="I73" i="5"/>
  <c r="Q73" i="5" s="1"/>
  <c r="H73" i="5"/>
  <c r="N73" i="5" s="1"/>
  <c r="G73" i="5"/>
  <c r="P73" i="5" s="1"/>
  <c r="F73" i="5"/>
  <c r="E73" i="5"/>
  <c r="X72" i="5"/>
  <c r="W72" i="5"/>
  <c r="T72" i="5"/>
  <c r="S72" i="5"/>
  <c r="V72" i="5" s="1"/>
  <c r="R72" i="5"/>
  <c r="U72" i="5" s="1"/>
  <c r="O72" i="5"/>
  <c r="L72" i="5"/>
  <c r="I72" i="5"/>
  <c r="Q72" i="5" s="1"/>
  <c r="H72" i="5"/>
  <c r="N72" i="5" s="1"/>
  <c r="G72" i="5"/>
  <c r="P72" i="5" s="1"/>
  <c r="F72" i="5"/>
  <c r="E72" i="5"/>
  <c r="X71" i="5"/>
  <c r="W71" i="5"/>
  <c r="Y71" i="5" s="1"/>
  <c r="T71" i="5"/>
  <c r="S71" i="5"/>
  <c r="V71" i="5" s="1"/>
  <c r="R71" i="5"/>
  <c r="U71" i="5" s="1"/>
  <c r="O71" i="5"/>
  <c r="L71" i="5"/>
  <c r="I71" i="5"/>
  <c r="Q71" i="5" s="1"/>
  <c r="H71" i="5"/>
  <c r="N71" i="5" s="1"/>
  <c r="G71" i="5"/>
  <c r="P71" i="5" s="1"/>
  <c r="F71" i="5"/>
  <c r="E71" i="5"/>
  <c r="X70" i="5"/>
  <c r="W70" i="5"/>
  <c r="T70" i="5"/>
  <c r="S70" i="5"/>
  <c r="V70" i="5" s="1"/>
  <c r="R70" i="5"/>
  <c r="U70" i="5" s="1"/>
  <c r="O70" i="5"/>
  <c r="L70" i="5"/>
  <c r="I70" i="5"/>
  <c r="Q70" i="5" s="1"/>
  <c r="H70" i="5"/>
  <c r="N70" i="5" s="1"/>
  <c r="G70" i="5"/>
  <c r="P70" i="5" s="1"/>
  <c r="F70" i="5"/>
  <c r="E70" i="5"/>
  <c r="X69" i="5"/>
  <c r="W69" i="5"/>
  <c r="Y69" i="5" s="1"/>
  <c r="T69" i="5"/>
  <c r="S69" i="5"/>
  <c r="V69" i="5" s="1"/>
  <c r="R69" i="5"/>
  <c r="U69" i="5" s="1"/>
  <c r="O69" i="5"/>
  <c r="L69" i="5"/>
  <c r="I69" i="5"/>
  <c r="Q69" i="5" s="1"/>
  <c r="H69" i="5"/>
  <c r="N69" i="5" s="1"/>
  <c r="G69" i="5"/>
  <c r="P69" i="5" s="1"/>
  <c r="F69" i="5"/>
  <c r="E69" i="5"/>
  <c r="X68" i="5"/>
  <c r="W68" i="5"/>
  <c r="T68" i="5"/>
  <c r="S68" i="5"/>
  <c r="V68" i="5" s="1"/>
  <c r="R68" i="5"/>
  <c r="U68" i="5" s="1"/>
  <c r="O68" i="5"/>
  <c r="L68" i="5"/>
  <c r="I68" i="5"/>
  <c r="Q68" i="5" s="1"/>
  <c r="H68" i="5"/>
  <c r="N68" i="5" s="1"/>
  <c r="G68" i="5"/>
  <c r="P68" i="5" s="1"/>
  <c r="F68" i="5"/>
  <c r="E68" i="5"/>
  <c r="X67" i="5"/>
  <c r="W67" i="5"/>
  <c r="T67" i="5"/>
  <c r="S67" i="5"/>
  <c r="V67" i="5" s="1"/>
  <c r="R67" i="5"/>
  <c r="U67" i="5" s="1"/>
  <c r="O67" i="5"/>
  <c r="L67" i="5"/>
  <c r="I67" i="5"/>
  <c r="Q67" i="5" s="1"/>
  <c r="H67" i="5"/>
  <c r="N67" i="5" s="1"/>
  <c r="G67" i="5"/>
  <c r="P67" i="5" s="1"/>
  <c r="F67" i="5"/>
  <c r="E67" i="5"/>
  <c r="X66" i="5"/>
  <c r="W66" i="5"/>
  <c r="Y66" i="5" s="1"/>
  <c r="T66" i="5"/>
  <c r="S66" i="5"/>
  <c r="V66" i="5" s="1"/>
  <c r="R66" i="5"/>
  <c r="U66" i="5" s="1"/>
  <c r="O66" i="5"/>
  <c r="L66" i="5"/>
  <c r="I66" i="5"/>
  <c r="Q66" i="5" s="1"/>
  <c r="H66" i="5"/>
  <c r="N66" i="5" s="1"/>
  <c r="G66" i="5"/>
  <c r="P66" i="5" s="1"/>
  <c r="F66" i="5"/>
  <c r="E66" i="5"/>
  <c r="X65" i="5"/>
  <c r="W65" i="5"/>
  <c r="T65" i="5"/>
  <c r="S65" i="5"/>
  <c r="V65" i="5" s="1"/>
  <c r="R65" i="5"/>
  <c r="U65" i="5" s="1"/>
  <c r="O65" i="5"/>
  <c r="L65" i="5"/>
  <c r="I65" i="5"/>
  <c r="Q65" i="5" s="1"/>
  <c r="H65" i="5"/>
  <c r="N65" i="5" s="1"/>
  <c r="G65" i="5"/>
  <c r="P65" i="5" s="1"/>
  <c r="F65" i="5"/>
  <c r="E65" i="5"/>
  <c r="X64" i="5"/>
  <c r="W64" i="5"/>
  <c r="T64" i="5"/>
  <c r="S64" i="5"/>
  <c r="V64" i="5" s="1"/>
  <c r="R64" i="5"/>
  <c r="U64" i="5" s="1"/>
  <c r="O64" i="5"/>
  <c r="L64" i="5"/>
  <c r="I64" i="5"/>
  <c r="Q64" i="5" s="1"/>
  <c r="H64" i="5"/>
  <c r="N64" i="5" s="1"/>
  <c r="G64" i="5"/>
  <c r="P64" i="5" s="1"/>
  <c r="F64" i="5"/>
  <c r="E64" i="5"/>
  <c r="X63" i="5"/>
  <c r="W63" i="5"/>
  <c r="Y63" i="5" s="1"/>
  <c r="T63" i="5"/>
  <c r="S63" i="5"/>
  <c r="V63" i="5" s="1"/>
  <c r="R63" i="5"/>
  <c r="U63" i="5" s="1"/>
  <c r="O63" i="5"/>
  <c r="L63" i="5"/>
  <c r="I63" i="5"/>
  <c r="Q63" i="5" s="1"/>
  <c r="H63" i="5"/>
  <c r="N63" i="5" s="1"/>
  <c r="G63" i="5"/>
  <c r="P63" i="5" s="1"/>
  <c r="F63" i="5"/>
  <c r="E63" i="5"/>
  <c r="X62" i="5"/>
  <c r="W62" i="5"/>
  <c r="T62" i="5"/>
  <c r="S62" i="5"/>
  <c r="V62" i="5" s="1"/>
  <c r="R62" i="5"/>
  <c r="U62" i="5" s="1"/>
  <c r="O62" i="5"/>
  <c r="L62" i="5"/>
  <c r="I62" i="5"/>
  <c r="Q62" i="5" s="1"/>
  <c r="H62" i="5"/>
  <c r="N62" i="5" s="1"/>
  <c r="G62" i="5"/>
  <c r="P62" i="5" s="1"/>
  <c r="F62" i="5"/>
  <c r="E62" i="5"/>
  <c r="X61" i="5"/>
  <c r="W61" i="5"/>
  <c r="Y61" i="5" s="1"/>
  <c r="T61" i="5"/>
  <c r="S61" i="5"/>
  <c r="V61" i="5" s="1"/>
  <c r="R61" i="5"/>
  <c r="U61" i="5" s="1"/>
  <c r="O61" i="5"/>
  <c r="L61" i="5"/>
  <c r="I61" i="5"/>
  <c r="Q61" i="5" s="1"/>
  <c r="H61" i="5"/>
  <c r="N61" i="5" s="1"/>
  <c r="G61" i="5"/>
  <c r="P61" i="5" s="1"/>
  <c r="F61" i="5"/>
  <c r="E61" i="5"/>
  <c r="X60" i="5"/>
  <c r="W60" i="5"/>
  <c r="Y60" i="5" s="1"/>
  <c r="T60" i="5"/>
  <c r="S60" i="5"/>
  <c r="V60" i="5" s="1"/>
  <c r="R60" i="5"/>
  <c r="U60" i="5" s="1"/>
  <c r="O60" i="5"/>
  <c r="L60" i="5"/>
  <c r="I60" i="5"/>
  <c r="Q60" i="5" s="1"/>
  <c r="H60" i="5"/>
  <c r="N60" i="5" s="1"/>
  <c r="G60" i="5"/>
  <c r="P60" i="5" s="1"/>
  <c r="F60" i="5"/>
  <c r="E60" i="5"/>
  <c r="X59" i="5"/>
  <c r="W59" i="5"/>
  <c r="Y59" i="5" s="1"/>
  <c r="T59" i="5"/>
  <c r="S59" i="5"/>
  <c r="V59" i="5" s="1"/>
  <c r="R59" i="5"/>
  <c r="U59" i="5" s="1"/>
  <c r="O59" i="5"/>
  <c r="L59" i="5"/>
  <c r="I59" i="5"/>
  <c r="Q59" i="5" s="1"/>
  <c r="H59" i="5"/>
  <c r="N59" i="5" s="1"/>
  <c r="G59" i="5"/>
  <c r="P59" i="5" s="1"/>
  <c r="F59" i="5"/>
  <c r="E59" i="5"/>
  <c r="X58" i="5"/>
  <c r="W58" i="5"/>
  <c r="Y58" i="5" s="1"/>
  <c r="T58" i="5"/>
  <c r="S58" i="5"/>
  <c r="V58" i="5" s="1"/>
  <c r="R58" i="5"/>
  <c r="U58" i="5" s="1"/>
  <c r="O58" i="5"/>
  <c r="L58" i="5"/>
  <c r="I58" i="5"/>
  <c r="Q58" i="5" s="1"/>
  <c r="H58" i="5"/>
  <c r="N58" i="5" s="1"/>
  <c r="G58" i="5"/>
  <c r="P58" i="5" s="1"/>
  <c r="F58" i="5"/>
  <c r="E58" i="5"/>
  <c r="X57" i="5"/>
  <c r="W57" i="5"/>
  <c r="T57" i="5"/>
  <c r="S57" i="5"/>
  <c r="V57" i="5" s="1"/>
  <c r="R57" i="5"/>
  <c r="U57" i="5" s="1"/>
  <c r="O57" i="5"/>
  <c r="L57" i="5"/>
  <c r="I57" i="5"/>
  <c r="Q57" i="5" s="1"/>
  <c r="H57" i="5"/>
  <c r="N57" i="5" s="1"/>
  <c r="G57" i="5"/>
  <c r="P57" i="5" s="1"/>
  <c r="F57" i="5"/>
  <c r="E57" i="5"/>
  <c r="X56" i="5"/>
  <c r="W56" i="5"/>
  <c r="Y56" i="5" s="1"/>
  <c r="T56" i="5"/>
  <c r="S56" i="5"/>
  <c r="V56" i="5" s="1"/>
  <c r="R56" i="5"/>
  <c r="U56" i="5" s="1"/>
  <c r="O56" i="5"/>
  <c r="L56" i="5"/>
  <c r="I56" i="5"/>
  <c r="Q56" i="5" s="1"/>
  <c r="H56" i="5"/>
  <c r="N56" i="5" s="1"/>
  <c r="G56" i="5"/>
  <c r="P56" i="5" s="1"/>
  <c r="F56" i="5"/>
  <c r="E56" i="5"/>
  <c r="X55" i="5"/>
  <c r="W55" i="5"/>
  <c r="T55" i="5"/>
  <c r="S55" i="5"/>
  <c r="V55" i="5" s="1"/>
  <c r="R55" i="5"/>
  <c r="U55" i="5" s="1"/>
  <c r="O55" i="5"/>
  <c r="L55" i="5"/>
  <c r="I55" i="5"/>
  <c r="Q55" i="5" s="1"/>
  <c r="H55" i="5"/>
  <c r="N55" i="5" s="1"/>
  <c r="G55" i="5"/>
  <c r="P55" i="5" s="1"/>
  <c r="F55" i="5"/>
  <c r="E55" i="5"/>
  <c r="X54" i="5"/>
  <c r="W54" i="5"/>
  <c r="T54" i="5"/>
  <c r="S54" i="5"/>
  <c r="R54" i="5"/>
  <c r="U54" i="5" s="1"/>
  <c r="O54" i="5"/>
  <c r="L54" i="5"/>
  <c r="I54" i="5"/>
  <c r="Q54" i="5" s="1"/>
  <c r="H54" i="5"/>
  <c r="N54" i="5" s="1"/>
  <c r="G54" i="5"/>
  <c r="F54" i="5"/>
  <c r="E54" i="5"/>
  <c r="X53" i="5"/>
  <c r="W53" i="5"/>
  <c r="T53" i="5"/>
  <c r="S53" i="5"/>
  <c r="V53" i="5" s="1"/>
  <c r="R53" i="5"/>
  <c r="O53" i="5"/>
  <c r="L53" i="5"/>
  <c r="I53" i="5"/>
  <c r="Q53" i="5" s="1"/>
  <c r="H53" i="5"/>
  <c r="G53" i="5"/>
  <c r="P53" i="5" s="1"/>
  <c r="F53" i="5"/>
  <c r="E53" i="5"/>
  <c r="X51" i="5"/>
  <c r="W51" i="5"/>
  <c r="Y51" i="5" s="1"/>
  <c r="T51" i="5"/>
  <c r="S51" i="5"/>
  <c r="V51" i="5" s="1"/>
  <c r="R51" i="5"/>
  <c r="U51" i="5" s="1"/>
  <c r="O51" i="5"/>
  <c r="L51" i="5"/>
  <c r="I51" i="5"/>
  <c r="Q51" i="5" s="1"/>
  <c r="H51" i="5"/>
  <c r="N51" i="5" s="1"/>
  <c r="G51" i="5"/>
  <c r="P51" i="5" s="1"/>
  <c r="F51" i="5"/>
  <c r="E51" i="5"/>
  <c r="X50" i="5"/>
  <c r="W50" i="5"/>
  <c r="T50" i="5"/>
  <c r="S50" i="5"/>
  <c r="V50" i="5" s="1"/>
  <c r="R50" i="5"/>
  <c r="U50" i="5" s="1"/>
  <c r="O50" i="5"/>
  <c r="L50" i="5"/>
  <c r="I50" i="5"/>
  <c r="Q50" i="5" s="1"/>
  <c r="H50" i="5"/>
  <c r="N50" i="5" s="1"/>
  <c r="G50" i="5"/>
  <c r="P50" i="5" s="1"/>
  <c r="F50" i="5"/>
  <c r="E50" i="5"/>
  <c r="X49" i="5"/>
  <c r="W49" i="5"/>
  <c r="Y49" i="5" s="1"/>
  <c r="T49" i="5"/>
  <c r="S49" i="5"/>
  <c r="V49" i="5" s="1"/>
  <c r="R49" i="5"/>
  <c r="U49" i="5" s="1"/>
  <c r="O49" i="5"/>
  <c r="L49" i="5"/>
  <c r="I49" i="5"/>
  <c r="Q49" i="5" s="1"/>
  <c r="H49" i="5"/>
  <c r="N49" i="5" s="1"/>
  <c r="G49" i="5"/>
  <c r="P49" i="5" s="1"/>
  <c r="F49" i="5"/>
  <c r="E49" i="5"/>
  <c r="X48" i="5"/>
  <c r="W48" i="5"/>
  <c r="Y48" i="5" s="1"/>
  <c r="T48" i="5"/>
  <c r="S48" i="5"/>
  <c r="V48" i="5" s="1"/>
  <c r="R48" i="5"/>
  <c r="U48" i="5" s="1"/>
  <c r="O48" i="5"/>
  <c r="L48" i="5"/>
  <c r="I48" i="5"/>
  <c r="Q48" i="5" s="1"/>
  <c r="H48" i="5"/>
  <c r="N48" i="5" s="1"/>
  <c r="G48" i="5"/>
  <c r="P48" i="5" s="1"/>
  <c r="F48" i="5"/>
  <c r="E48" i="5"/>
  <c r="X47" i="5"/>
  <c r="W47" i="5"/>
  <c r="Y47" i="5" s="1"/>
  <c r="T47" i="5"/>
  <c r="S47" i="5"/>
  <c r="V47" i="5" s="1"/>
  <c r="R47" i="5"/>
  <c r="U47" i="5" s="1"/>
  <c r="O47" i="5"/>
  <c r="L47" i="5"/>
  <c r="I47" i="5"/>
  <c r="Q47" i="5" s="1"/>
  <c r="H47" i="5"/>
  <c r="N47" i="5" s="1"/>
  <c r="G47" i="5"/>
  <c r="P47" i="5" s="1"/>
  <c r="F47" i="5"/>
  <c r="E47" i="5"/>
  <c r="X46" i="5"/>
  <c r="W46" i="5"/>
  <c r="Y46" i="5" s="1"/>
  <c r="T46" i="5"/>
  <c r="S46" i="5"/>
  <c r="V46" i="5" s="1"/>
  <c r="R46" i="5"/>
  <c r="U46" i="5" s="1"/>
  <c r="O46" i="5"/>
  <c r="L46" i="5"/>
  <c r="I46" i="5"/>
  <c r="Q46" i="5" s="1"/>
  <c r="H46" i="5"/>
  <c r="N46" i="5" s="1"/>
  <c r="G46" i="5"/>
  <c r="P46" i="5" s="1"/>
  <c r="F46" i="5"/>
  <c r="E46" i="5"/>
  <c r="X45" i="5"/>
  <c r="W45" i="5"/>
  <c r="T45" i="5"/>
  <c r="S45" i="5"/>
  <c r="V45" i="5" s="1"/>
  <c r="R45" i="5"/>
  <c r="U45" i="5" s="1"/>
  <c r="O45" i="5"/>
  <c r="L45" i="5"/>
  <c r="I45" i="5"/>
  <c r="Q45" i="5" s="1"/>
  <c r="H45" i="5"/>
  <c r="N45" i="5" s="1"/>
  <c r="G45" i="5"/>
  <c r="P45" i="5" s="1"/>
  <c r="F45" i="5"/>
  <c r="E45" i="5"/>
  <c r="X44" i="5"/>
  <c r="W44" i="5"/>
  <c r="Y44" i="5" s="1"/>
  <c r="T44" i="5"/>
  <c r="S44" i="5"/>
  <c r="V44" i="5" s="1"/>
  <c r="R44" i="5"/>
  <c r="U44" i="5" s="1"/>
  <c r="O44" i="5"/>
  <c r="L44" i="5"/>
  <c r="I44" i="5"/>
  <c r="Q44" i="5" s="1"/>
  <c r="H44" i="5"/>
  <c r="N44" i="5" s="1"/>
  <c r="G44" i="5"/>
  <c r="P44" i="5" s="1"/>
  <c r="F44" i="5"/>
  <c r="E44" i="5"/>
  <c r="X43" i="5"/>
  <c r="W43" i="5"/>
  <c r="Y43" i="5" s="1"/>
  <c r="T43" i="5"/>
  <c r="S43" i="5"/>
  <c r="V43" i="5" s="1"/>
  <c r="R43" i="5"/>
  <c r="U43" i="5" s="1"/>
  <c r="O43" i="5"/>
  <c r="L43" i="5"/>
  <c r="I43" i="5"/>
  <c r="Q43" i="5" s="1"/>
  <c r="H43" i="5"/>
  <c r="N43" i="5" s="1"/>
  <c r="G43" i="5"/>
  <c r="P43" i="5" s="1"/>
  <c r="F43" i="5"/>
  <c r="E43" i="5"/>
  <c r="X42" i="5"/>
  <c r="W42" i="5"/>
  <c r="T42" i="5"/>
  <c r="S42" i="5"/>
  <c r="V42" i="5" s="1"/>
  <c r="R42" i="5"/>
  <c r="U42" i="5" s="1"/>
  <c r="O42" i="5"/>
  <c r="L42" i="5"/>
  <c r="I42" i="5"/>
  <c r="Q42" i="5" s="1"/>
  <c r="H42" i="5"/>
  <c r="N42" i="5" s="1"/>
  <c r="G42" i="5"/>
  <c r="P42" i="5" s="1"/>
  <c r="F42" i="5"/>
  <c r="E42" i="5"/>
  <c r="X41" i="5"/>
  <c r="W41" i="5"/>
  <c r="Y41" i="5" s="1"/>
  <c r="T41" i="5"/>
  <c r="S41" i="5"/>
  <c r="V41" i="5" s="1"/>
  <c r="R41" i="5"/>
  <c r="U41" i="5" s="1"/>
  <c r="O41" i="5"/>
  <c r="L41" i="5"/>
  <c r="I41" i="5"/>
  <c r="Q41" i="5" s="1"/>
  <c r="H41" i="5"/>
  <c r="N41" i="5" s="1"/>
  <c r="G41" i="5"/>
  <c r="P41" i="5" s="1"/>
  <c r="F41" i="5"/>
  <c r="E41" i="5"/>
  <c r="X40" i="5"/>
  <c r="W40" i="5"/>
  <c r="Y40" i="5" s="1"/>
  <c r="T40" i="5"/>
  <c r="S40" i="5"/>
  <c r="V40" i="5" s="1"/>
  <c r="R40" i="5"/>
  <c r="U40" i="5" s="1"/>
  <c r="O40" i="5"/>
  <c r="L40" i="5"/>
  <c r="I40" i="5"/>
  <c r="Q40" i="5" s="1"/>
  <c r="H40" i="5"/>
  <c r="N40" i="5" s="1"/>
  <c r="G40" i="5"/>
  <c r="P40" i="5" s="1"/>
  <c r="F40" i="5"/>
  <c r="E40" i="5"/>
  <c r="X39" i="5"/>
  <c r="W39" i="5"/>
  <c r="Y39" i="5" s="1"/>
  <c r="T39" i="5"/>
  <c r="S39" i="5"/>
  <c r="V39" i="5" s="1"/>
  <c r="R39" i="5"/>
  <c r="U39" i="5" s="1"/>
  <c r="O39" i="5"/>
  <c r="L39" i="5"/>
  <c r="I39" i="5"/>
  <c r="Q39" i="5" s="1"/>
  <c r="H39" i="5"/>
  <c r="N39" i="5" s="1"/>
  <c r="G39" i="5"/>
  <c r="P39" i="5" s="1"/>
  <c r="F39" i="5"/>
  <c r="E39" i="5"/>
  <c r="X38" i="5"/>
  <c r="W38" i="5"/>
  <c r="T38" i="5"/>
  <c r="S38" i="5"/>
  <c r="V38" i="5" s="1"/>
  <c r="R38" i="5"/>
  <c r="U38" i="5" s="1"/>
  <c r="O38" i="5"/>
  <c r="L38" i="5"/>
  <c r="I38" i="5"/>
  <c r="Q38" i="5" s="1"/>
  <c r="H38" i="5"/>
  <c r="N38" i="5" s="1"/>
  <c r="G38" i="5"/>
  <c r="P38" i="5" s="1"/>
  <c r="F38" i="5"/>
  <c r="E38" i="5"/>
  <c r="X37" i="5"/>
  <c r="W37" i="5"/>
  <c r="T37" i="5"/>
  <c r="S37" i="5"/>
  <c r="V37" i="5" s="1"/>
  <c r="R37" i="5"/>
  <c r="U37" i="5" s="1"/>
  <c r="O37" i="5"/>
  <c r="L37" i="5"/>
  <c r="I37" i="5"/>
  <c r="Q37" i="5" s="1"/>
  <c r="H37" i="5"/>
  <c r="N37" i="5" s="1"/>
  <c r="G37" i="5"/>
  <c r="P37" i="5" s="1"/>
  <c r="F37" i="5"/>
  <c r="E37" i="5"/>
  <c r="X36" i="5"/>
  <c r="W36" i="5"/>
  <c r="T36" i="5"/>
  <c r="S36" i="5"/>
  <c r="V36" i="5" s="1"/>
  <c r="R36" i="5"/>
  <c r="U36" i="5" s="1"/>
  <c r="O36" i="5"/>
  <c r="L36" i="5"/>
  <c r="I36" i="5"/>
  <c r="Q36" i="5" s="1"/>
  <c r="H36" i="5"/>
  <c r="N36" i="5" s="1"/>
  <c r="G36" i="5"/>
  <c r="P36" i="5" s="1"/>
  <c r="F36" i="5"/>
  <c r="E36" i="5"/>
  <c r="X35" i="5"/>
  <c r="W35" i="5"/>
  <c r="Y35" i="5" s="1"/>
  <c r="T35" i="5"/>
  <c r="S35" i="5"/>
  <c r="V35" i="5" s="1"/>
  <c r="R35" i="5"/>
  <c r="U35" i="5" s="1"/>
  <c r="O35" i="5"/>
  <c r="L35" i="5"/>
  <c r="I35" i="5"/>
  <c r="Q35" i="5" s="1"/>
  <c r="H35" i="5"/>
  <c r="N35" i="5" s="1"/>
  <c r="G35" i="5"/>
  <c r="P35" i="5" s="1"/>
  <c r="F35" i="5"/>
  <c r="E35" i="5"/>
  <c r="X34" i="5"/>
  <c r="W34" i="5"/>
  <c r="Y34" i="5" s="1"/>
  <c r="T34" i="5"/>
  <c r="S34" i="5"/>
  <c r="V34" i="5" s="1"/>
  <c r="R34" i="5"/>
  <c r="U34" i="5" s="1"/>
  <c r="O34" i="5"/>
  <c r="L34" i="5"/>
  <c r="I34" i="5"/>
  <c r="Q34" i="5" s="1"/>
  <c r="H34" i="5"/>
  <c r="N34" i="5" s="1"/>
  <c r="G34" i="5"/>
  <c r="P34" i="5" s="1"/>
  <c r="F34" i="5"/>
  <c r="E34" i="5"/>
  <c r="X33" i="5"/>
  <c r="W33" i="5"/>
  <c r="Y33" i="5" s="1"/>
  <c r="T33" i="5"/>
  <c r="S33" i="5"/>
  <c r="V33" i="5" s="1"/>
  <c r="R33" i="5"/>
  <c r="U33" i="5" s="1"/>
  <c r="O33" i="5"/>
  <c r="L33" i="5"/>
  <c r="I33" i="5"/>
  <c r="Q33" i="5" s="1"/>
  <c r="H33" i="5"/>
  <c r="N33" i="5" s="1"/>
  <c r="G33" i="5"/>
  <c r="P33" i="5" s="1"/>
  <c r="F33" i="5"/>
  <c r="E33" i="5"/>
  <c r="X32" i="5"/>
  <c r="W32" i="5"/>
  <c r="T32" i="5"/>
  <c r="S32" i="5"/>
  <c r="V32" i="5" s="1"/>
  <c r="R32" i="5"/>
  <c r="U32" i="5" s="1"/>
  <c r="O32" i="5"/>
  <c r="L32" i="5"/>
  <c r="I32" i="5"/>
  <c r="H32" i="5"/>
  <c r="G32" i="5"/>
  <c r="P32" i="5" s="1"/>
  <c r="F32" i="5"/>
  <c r="E32" i="5"/>
  <c r="X30" i="5"/>
  <c r="W30" i="5"/>
  <c r="T30" i="5"/>
  <c r="S30" i="5"/>
  <c r="V30" i="5" s="1"/>
  <c r="R30" i="5"/>
  <c r="U30" i="5" s="1"/>
  <c r="O30" i="5"/>
  <c r="L30" i="5"/>
  <c r="I30" i="5"/>
  <c r="Q30" i="5" s="1"/>
  <c r="H30" i="5"/>
  <c r="N30" i="5" s="1"/>
  <c r="G30" i="5"/>
  <c r="P30" i="5" s="1"/>
  <c r="F30" i="5"/>
  <c r="E30" i="5"/>
  <c r="X29" i="5"/>
  <c r="W29" i="5"/>
  <c r="Y29" i="5" s="1"/>
  <c r="T29" i="5"/>
  <c r="S29" i="5"/>
  <c r="V29" i="5" s="1"/>
  <c r="R29" i="5"/>
  <c r="U29" i="5" s="1"/>
  <c r="O29" i="5"/>
  <c r="L29" i="5"/>
  <c r="I29" i="5"/>
  <c r="Q29" i="5" s="1"/>
  <c r="H29" i="5"/>
  <c r="N29" i="5" s="1"/>
  <c r="G29" i="5"/>
  <c r="P29" i="5" s="1"/>
  <c r="F29" i="5"/>
  <c r="E29" i="5"/>
  <c r="X28" i="5"/>
  <c r="W28" i="5"/>
  <c r="T28" i="5"/>
  <c r="S28" i="5"/>
  <c r="V28" i="5" s="1"/>
  <c r="R28" i="5"/>
  <c r="U28" i="5" s="1"/>
  <c r="O28" i="5"/>
  <c r="L28" i="5"/>
  <c r="I28" i="5"/>
  <c r="Q28" i="5" s="1"/>
  <c r="H28" i="5"/>
  <c r="N28" i="5" s="1"/>
  <c r="G28" i="5"/>
  <c r="P28" i="5" s="1"/>
  <c r="F28" i="5"/>
  <c r="E28" i="5"/>
  <c r="X27" i="5"/>
  <c r="W27" i="5"/>
  <c r="T27" i="5"/>
  <c r="S27" i="5"/>
  <c r="V27" i="5" s="1"/>
  <c r="R27" i="5"/>
  <c r="U27" i="5" s="1"/>
  <c r="O27" i="5"/>
  <c r="L27" i="5"/>
  <c r="I27" i="5"/>
  <c r="Q27" i="5" s="1"/>
  <c r="H27" i="5"/>
  <c r="N27" i="5" s="1"/>
  <c r="G27" i="5"/>
  <c r="P27" i="5" s="1"/>
  <c r="F27" i="5"/>
  <c r="E27" i="5"/>
  <c r="X26" i="5"/>
  <c r="W26" i="5"/>
  <c r="Y26" i="5" s="1"/>
  <c r="T26" i="5"/>
  <c r="S26" i="5"/>
  <c r="V26" i="5" s="1"/>
  <c r="R26" i="5"/>
  <c r="U26" i="5" s="1"/>
  <c r="O26" i="5"/>
  <c r="L26" i="5"/>
  <c r="I26" i="5"/>
  <c r="Q26" i="5" s="1"/>
  <c r="H26" i="5"/>
  <c r="N26" i="5" s="1"/>
  <c r="G26" i="5"/>
  <c r="P26" i="5" s="1"/>
  <c r="F26" i="5"/>
  <c r="E26" i="5"/>
  <c r="X25" i="5"/>
  <c r="W25" i="5"/>
  <c r="T25" i="5"/>
  <c r="S25" i="5"/>
  <c r="V25" i="5" s="1"/>
  <c r="R25" i="5"/>
  <c r="U25" i="5" s="1"/>
  <c r="O25" i="5"/>
  <c r="L25" i="5"/>
  <c r="I25" i="5"/>
  <c r="Q25" i="5" s="1"/>
  <c r="H25" i="5"/>
  <c r="N25" i="5" s="1"/>
  <c r="G25" i="5"/>
  <c r="P25" i="5" s="1"/>
  <c r="F25" i="5"/>
  <c r="E25" i="5"/>
  <c r="X24" i="5"/>
  <c r="W24" i="5"/>
  <c r="Y24" i="5" s="1"/>
  <c r="T24" i="5"/>
  <c r="S24" i="5"/>
  <c r="V24" i="5" s="1"/>
  <c r="R24" i="5"/>
  <c r="U24" i="5" s="1"/>
  <c r="O24" i="5"/>
  <c r="L24" i="5"/>
  <c r="I24" i="5"/>
  <c r="Q24" i="5" s="1"/>
  <c r="H24" i="5"/>
  <c r="N24" i="5" s="1"/>
  <c r="G24" i="5"/>
  <c r="P24" i="5" s="1"/>
  <c r="F24" i="5"/>
  <c r="E24" i="5"/>
  <c r="X23" i="5"/>
  <c r="W23" i="5"/>
  <c r="T23" i="5"/>
  <c r="S23" i="5"/>
  <c r="V23" i="5" s="1"/>
  <c r="R23" i="5"/>
  <c r="U23" i="5" s="1"/>
  <c r="O23" i="5"/>
  <c r="L23" i="5"/>
  <c r="I23" i="5"/>
  <c r="Q23" i="5" s="1"/>
  <c r="H23" i="5"/>
  <c r="N23" i="5" s="1"/>
  <c r="G23" i="5"/>
  <c r="P23" i="5" s="1"/>
  <c r="F23" i="5"/>
  <c r="E23" i="5"/>
  <c r="X22" i="5"/>
  <c r="W22" i="5"/>
  <c r="Y22" i="5" s="1"/>
  <c r="T22" i="5"/>
  <c r="S22" i="5"/>
  <c r="V22" i="5" s="1"/>
  <c r="R22" i="5"/>
  <c r="U22" i="5" s="1"/>
  <c r="O22" i="5"/>
  <c r="L22" i="5"/>
  <c r="I22" i="5"/>
  <c r="Q22" i="5" s="1"/>
  <c r="H22" i="5"/>
  <c r="N22" i="5" s="1"/>
  <c r="G22" i="5"/>
  <c r="P22" i="5" s="1"/>
  <c r="F22" i="5"/>
  <c r="E22" i="5"/>
  <c r="X21" i="5"/>
  <c r="W21" i="5"/>
  <c r="Y21" i="5" s="1"/>
  <c r="T21" i="5"/>
  <c r="S21" i="5"/>
  <c r="V21" i="5" s="1"/>
  <c r="R21" i="5"/>
  <c r="U21" i="5" s="1"/>
  <c r="O21" i="5"/>
  <c r="L21" i="5"/>
  <c r="I21" i="5"/>
  <c r="Q21" i="5" s="1"/>
  <c r="H21" i="5"/>
  <c r="N21" i="5" s="1"/>
  <c r="G21" i="5"/>
  <c r="P21" i="5" s="1"/>
  <c r="F21" i="5"/>
  <c r="E21" i="5"/>
  <c r="X20" i="5"/>
  <c r="W20" i="5"/>
  <c r="T20" i="5"/>
  <c r="S20" i="5"/>
  <c r="V20" i="5" s="1"/>
  <c r="R20" i="5"/>
  <c r="U20" i="5" s="1"/>
  <c r="O20" i="5"/>
  <c r="L20" i="5"/>
  <c r="I20" i="5"/>
  <c r="Q20" i="5" s="1"/>
  <c r="H20" i="5"/>
  <c r="N20" i="5" s="1"/>
  <c r="G20" i="5"/>
  <c r="P20" i="5" s="1"/>
  <c r="F20" i="5"/>
  <c r="E20" i="5"/>
  <c r="X19" i="5"/>
  <c r="W19" i="5"/>
  <c r="Y19" i="5" s="1"/>
  <c r="T19" i="5"/>
  <c r="S19" i="5"/>
  <c r="V19" i="5" s="1"/>
  <c r="R19" i="5"/>
  <c r="U19" i="5" s="1"/>
  <c r="O19" i="5"/>
  <c r="L19" i="5"/>
  <c r="I19" i="5"/>
  <c r="Q19" i="5" s="1"/>
  <c r="H19" i="5"/>
  <c r="N19" i="5" s="1"/>
  <c r="G19" i="5"/>
  <c r="P19" i="5" s="1"/>
  <c r="F19" i="5"/>
  <c r="E19" i="5"/>
  <c r="X18" i="5"/>
  <c r="W18" i="5"/>
  <c r="T18" i="5"/>
  <c r="S18" i="5"/>
  <c r="V18" i="5" s="1"/>
  <c r="R18" i="5"/>
  <c r="U18" i="5" s="1"/>
  <c r="O18" i="5"/>
  <c r="L18" i="5"/>
  <c r="I18" i="5"/>
  <c r="Q18" i="5" s="1"/>
  <c r="H18" i="5"/>
  <c r="N18" i="5" s="1"/>
  <c r="G18" i="5"/>
  <c r="P18" i="5" s="1"/>
  <c r="F18" i="5"/>
  <c r="E18" i="5"/>
  <c r="X17" i="5"/>
  <c r="W17" i="5"/>
  <c r="T17" i="5"/>
  <c r="S17" i="5"/>
  <c r="V17" i="5" s="1"/>
  <c r="R17" i="5"/>
  <c r="U17" i="5" s="1"/>
  <c r="O17" i="5"/>
  <c r="L17" i="5"/>
  <c r="I17" i="5"/>
  <c r="Q17" i="5" s="1"/>
  <c r="H17" i="5"/>
  <c r="N17" i="5" s="1"/>
  <c r="G17" i="5"/>
  <c r="P17" i="5" s="1"/>
  <c r="F17" i="5"/>
  <c r="E17" i="5"/>
  <c r="X16" i="5"/>
  <c r="W16" i="5"/>
  <c r="Y16" i="5" s="1"/>
  <c r="T16" i="5"/>
  <c r="S16" i="5"/>
  <c r="V16" i="5" s="1"/>
  <c r="R16" i="5"/>
  <c r="U16" i="5" s="1"/>
  <c r="O16" i="5"/>
  <c r="L16" i="5"/>
  <c r="I16" i="5"/>
  <c r="Q16" i="5" s="1"/>
  <c r="H16" i="5"/>
  <c r="N16" i="5" s="1"/>
  <c r="G16" i="5"/>
  <c r="P16" i="5" s="1"/>
  <c r="F16" i="5"/>
  <c r="E16" i="5"/>
  <c r="X15" i="5"/>
  <c r="W15" i="5"/>
  <c r="T15" i="5"/>
  <c r="S15" i="5"/>
  <c r="V15" i="5" s="1"/>
  <c r="R15" i="5"/>
  <c r="U15" i="5" s="1"/>
  <c r="O15" i="5"/>
  <c r="L15" i="5"/>
  <c r="I15" i="5"/>
  <c r="Q15" i="5" s="1"/>
  <c r="H15" i="5"/>
  <c r="N15" i="5" s="1"/>
  <c r="G15" i="5"/>
  <c r="P15" i="5" s="1"/>
  <c r="F15" i="5"/>
  <c r="E15" i="5"/>
  <c r="X14" i="5"/>
  <c r="W14" i="5"/>
  <c r="Y14" i="5" s="1"/>
  <c r="T14" i="5"/>
  <c r="S14" i="5"/>
  <c r="V14" i="5" s="1"/>
  <c r="R14" i="5"/>
  <c r="U14" i="5" s="1"/>
  <c r="O14" i="5"/>
  <c r="L14" i="5"/>
  <c r="I14" i="5"/>
  <c r="Q14" i="5" s="1"/>
  <c r="H14" i="5"/>
  <c r="G14" i="5"/>
  <c r="P14" i="5" s="1"/>
  <c r="F14" i="5"/>
  <c r="E14" i="5"/>
  <c r="T9" i="5"/>
  <c r="S9" i="5"/>
  <c r="V9" i="5" s="1"/>
  <c r="R9" i="5"/>
  <c r="U9" i="5" s="1"/>
  <c r="V106" i="4"/>
  <c r="U106" i="4"/>
  <c r="O106" i="4"/>
  <c r="L106" i="4"/>
  <c r="I106" i="4"/>
  <c r="Q106" i="4" s="1"/>
  <c r="H106" i="4"/>
  <c r="N106" i="4" s="1"/>
  <c r="G106" i="4"/>
  <c r="P106" i="4" s="1"/>
  <c r="F106" i="4"/>
  <c r="E106" i="4"/>
  <c r="V105" i="4"/>
  <c r="U105" i="4"/>
  <c r="O105" i="4"/>
  <c r="L105" i="4"/>
  <c r="I105" i="4"/>
  <c r="Q105" i="4" s="1"/>
  <c r="H105" i="4"/>
  <c r="N105" i="4" s="1"/>
  <c r="G105" i="4"/>
  <c r="P105" i="4" s="1"/>
  <c r="F105" i="4"/>
  <c r="E105" i="4"/>
  <c r="V104" i="4"/>
  <c r="U104" i="4"/>
  <c r="O104" i="4"/>
  <c r="L104" i="4"/>
  <c r="I104" i="4"/>
  <c r="Q104" i="4" s="1"/>
  <c r="H104" i="4"/>
  <c r="N104" i="4" s="1"/>
  <c r="G104" i="4"/>
  <c r="P104" i="4" s="1"/>
  <c r="F104" i="4"/>
  <c r="E104" i="4"/>
  <c r="V103" i="4"/>
  <c r="U103" i="4"/>
  <c r="O103" i="4"/>
  <c r="L103" i="4"/>
  <c r="I103" i="4"/>
  <c r="Q103" i="4" s="1"/>
  <c r="H103" i="4"/>
  <c r="N103" i="4" s="1"/>
  <c r="G103" i="4"/>
  <c r="P103" i="4" s="1"/>
  <c r="F103" i="4"/>
  <c r="E103" i="4"/>
  <c r="V102" i="4"/>
  <c r="U102" i="4"/>
  <c r="O102" i="4"/>
  <c r="L102" i="4"/>
  <c r="I102" i="4"/>
  <c r="Q102" i="4" s="1"/>
  <c r="H102" i="4"/>
  <c r="N102" i="4" s="1"/>
  <c r="G102" i="4"/>
  <c r="P102" i="4" s="1"/>
  <c r="F102" i="4"/>
  <c r="E102" i="4"/>
  <c r="V101" i="4"/>
  <c r="U101" i="4"/>
  <c r="O101" i="4"/>
  <c r="L101" i="4"/>
  <c r="I101" i="4"/>
  <c r="Q101" i="4" s="1"/>
  <c r="H101" i="4"/>
  <c r="G101" i="4"/>
  <c r="P101" i="4" s="1"/>
  <c r="F101" i="4"/>
  <c r="E101" i="4"/>
  <c r="V100" i="4"/>
  <c r="U100" i="4"/>
  <c r="O100" i="4"/>
  <c r="L100" i="4"/>
  <c r="I100" i="4"/>
  <c r="Q100" i="4" s="1"/>
  <c r="H100" i="4"/>
  <c r="N100" i="4" s="1"/>
  <c r="G100" i="4"/>
  <c r="P100" i="4" s="1"/>
  <c r="F100" i="4"/>
  <c r="E100" i="4"/>
  <c r="V99" i="4"/>
  <c r="U99" i="4"/>
  <c r="O99" i="4"/>
  <c r="L99" i="4"/>
  <c r="I99" i="4"/>
  <c r="Q99" i="4" s="1"/>
  <c r="H99" i="4"/>
  <c r="N99" i="4" s="1"/>
  <c r="G99" i="4"/>
  <c r="P99" i="4" s="1"/>
  <c r="F99" i="4"/>
  <c r="E99" i="4"/>
  <c r="V98" i="4"/>
  <c r="U98" i="4"/>
  <c r="O98" i="4"/>
  <c r="L98" i="4"/>
  <c r="I98" i="4"/>
  <c r="Q98" i="4" s="1"/>
  <c r="H98" i="4"/>
  <c r="N98" i="4" s="1"/>
  <c r="G98" i="4"/>
  <c r="P98" i="4" s="1"/>
  <c r="F98" i="4"/>
  <c r="E98" i="4"/>
  <c r="V97" i="4"/>
  <c r="U97" i="4"/>
  <c r="O97" i="4"/>
  <c r="L97" i="4"/>
  <c r="I97" i="4"/>
  <c r="Q97" i="4" s="1"/>
  <c r="H97" i="4"/>
  <c r="N97" i="4" s="1"/>
  <c r="G97" i="4"/>
  <c r="P97" i="4" s="1"/>
  <c r="F97" i="4"/>
  <c r="E97" i="4"/>
  <c r="V96" i="4"/>
  <c r="U96" i="4"/>
  <c r="O96" i="4"/>
  <c r="L96" i="4"/>
  <c r="I96" i="4"/>
  <c r="Q96" i="4" s="1"/>
  <c r="H96" i="4"/>
  <c r="N96" i="4" s="1"/>
  <c r="G96" i="4"/>
  <c r="P96" i="4" s="1"/>
  <c r="F96" i="4"/>
  <c r="E96" i="4"/>
  <c r="V95" i="4"/>
  <c r="U95" i="4"/>
  <c r="O95" i="4"/>
  <c r="L95" i="4"/>
  <c r="I95" i="4"/>
  <c r="Q95" i="4" s="1"/>
  <c r="H95" i="4"/>
  <c r="N95" i="4" s="1"/>
  <c r="G95" i="4"/>
  <c r="P95" i="4" s="1"/>
  <c r="F95" i="4"/>
  <c r="E95" i="4"/>
  <c r="V94" i="4"/>
  <c r="U94" i="4"/>
  <c r="O94" i="4"/>
  <c r="L94" i="4"/>
  <c r="I94" i="4"/>
  <c r="Q94" i="4" s="1"/>
  <c r="H94" i="4"/>
  <c r="N94" i="4" s="1"/>
  <c r="G94" i="4"/>
  <c r="P94" i="4" s="1"/>
  <c r="F94" i="4"/>
  <c r="E94" i="4"/>
  <c r="V93" i="4"/>
  <c r="U93" i="4"/>
  <c r="O93" i="4"/>
  <c r="L93" i="4"/>
  <c r="I93" i="4"/>
  <c r="Q93" i="4" s="1"/>
  <c r="H93" i="4"/>
  <c r="G93" i="4"/>
  <c r="P93" i="4" s="1"/>
  <c r="F93" i="4"/>
  <c r="E93" i="4"/>
  <c r="V92" i="4"/>
  <c r="U92" i="4"/>
  <c r="O92" i="4"/>
  <c r="L92" i="4"/>
  <c r="I92" i="4"/>
  <c r="Q92" i="4" s="1"/>
  <c r="H92" i="4"/>
  <c r="N92" i="4" s="1"/>
  <c r="G92" i="4"/>
  <c r="P92" i="4" s="1"/>
  <c r="F92" i="4"/>
  <c r="E92" i="4"/>
  <c r="V91" i="4"/>
  <c r="U91" i="4"/>
  <c r="O91" i="4"/>
  <c r="L91" i="4"/>
  <c r="I91" i="4"/>
  <c r="Q91" i="4" s="1"/>
  <c r="H91" i="4"/>
  <c r="G91" i="4"/>
  <c r="P91" i="4" s="1"/>
  <c r="F91" i="4"/>
  <c r="E91" i="4"/>
  <c r="V90" i="4"/>
  <c r="U90" i="4"/>
  <c r="O90" i="4"/>
  <c r="L90" i="4"/>
  <c r="I90" i="4"/>
  <c r="H90" i="4"/>
  <c r="N90" i="4" s="1"/>
  <c r="G90" i="4"/>
  <c r="F90" i="4"/>
  <c r="E90" i="4"/>
  <c r="U89" i="4"/>
  <c r="T89" i="4"/>
  <c r="S89" i="4"/>
  <c r="V89" i="4" s="1"/>
  <c r="R89" i="4"/>
  <c r="AK88" i="4"/>
  <c r="AJ88" i="4"/>
  <c r="AL88" i="4" s="1"/>
  <c r="AH88" i="4"/>
  <c r="AF88" i="4"/>
  <c r="AE88" i="4"/>
  <c r="AD88" i="4"/>
  <c r="AB88" i="4"/>
  <c r="Z88" i="4"/>
  <c r="Y88" i="4"/>
  <c r="AC88" i="4" s="1"/>
  <c r="X88" i="4"/>
  <c r="AA88" i="4" s="1"/>
  <c r="W88" i="4"/>
  <c r="T88" i="4"/>
  <c r="S88" i="4"/>
  <c r="V88" i="4" s="1"/>
  <c r="R88" i="4"/>
  <c r="U88" i="4" s="1"/>
  <c r="O88" i="4"/>
  <c r="L88" i="4"/>
  <c r="I88" i="4"/>
  <c r="Q88" i="4" s="1"/>
  <c r="H88" i="4"/>
  <c r="G88" i="4"/>
  <c r="P88" i="4" s="1"/>
  <c r="F88" i="4"/>
  <c r="E88" i="4"/>
  <c r="AK87" i="4"/>
  <c r="AJ87" i="4"/>
  <c r="AL87" i="4" s="1"/>
  <c r="AH87" i="4"/>
  <c r="AF87" i="4"/>
  <c r="AE87" i="4"/>
  <c r="AI87" i="4" s="1"/>
  <c r="AD87" i="4"/>
  <c r="AG87" i="4" s="1"/>
  <c r="AB87" i="4"/>
  <c r="Z87" i="4"/>
  <c r="Y87" i="4"/>
  <c r="AC87" i="4" s="1"/>
  <c r="X87" i="4"/>
  <c r="AA87" i="4" s="1"/>
  <c r="W87" i="4"/>
  <c r="T87" i="4"/>
  <c r="S87" i="4"/>
  <c r="V87" i="4" s="1"/>
  <c r="R87" i="4"/>
  <c r="U87" i="4" s="1"/>
  <c r="O87" i="4"/>
  <c r="L87" i="4"/>
  <c r="I87" i="4"/>
  <c r="Q87" i="4" s="1"/>
  <c r="H87" i="4"/>
  <c r="N87" i="4" s="1"/>
  <c r="G87" i="4"/>
  <c r="P87" i="4" s="1"/>
  <c r="F87" i="4"/>
  <c r="E87" i="4"/>
  <c r="AK86" i="4"/>
  <c r="AJ86" i="4"/>
  <c r="AL86" i="4" s="1"/>
  <c r="AH86" i="4"/>
  <c r="AF86" i="4"/>
  <c r="AE86" i="4"/>
  <c r="AD86" i="4"/>
  <c r="AB86" i="4"/>
  <c r="Z86" i="4"/>
  <c r="Y86" i="4"/>
  <c r="AC86" i="4" s="1"/>
  <c r="X86" i="4"/>
  <c r="AA86" i="4" s="1"/>
  <c r="W86" i="4"/>
  <c r="T86" i="4"/>
  <c r="S86" i="4"/>
  <c r="V86" i="4" s="1"/>
  <c r="R86" i="4"/>
  <c r="U86" i="4" s="1"/>
  <c r="O86" i="4"/>
  <c r="L86" i="4"/>
  <c r="I86" i="4"/>
  <c r="Q86" i="4" s="1"/>
  <c r="H86" i="4"/>
  <c r="G86" i="4"/>
  <c r="P86" i="4" s="1"/>
  <c r="F86" i="4"/>
  <c r="E86" i="4"/>
  <c r="AK85" i="4"/>
  <c r="AJ85" i="4"/>
  <c r="AH85" i="4"/>
  <c r="AF85" i="4"/>
  <c r="AE85" i="4"/>
  <c r="AD85" i="4"/>
  <c r="AB85" i="4"/>
  <c r="Z85" i="4"/>
  <c r="Y85" i="4"/>
  <c r="X85" i="4"/>
  <c r="W85" i="4"/>
  <c r="T85" i="4"/>
  <c r="S85" i="4"/>
  <c r="V85" i="4" s="1"/>
  <c r="R85" i="4"/>
  <c r="U85" i="4" s="1"/>
  <c r="O85" i="4"/>
  <c r="L85" i="4"/>
  <c r="I85" i="4"/>
  <c r="Q85" i="4" s="1"/>
  <c r="H85" i="4"/>
  <c r="G85" i="4"/>
  <c r="P85" i="4" s="1"/>
  <c r="F85" i="4"/>
  <c r="E85" i="4"/>
  <c r="AK84" i="4"/>
  <c r="AJ84" i="4"/>
  <c r="AL84" i="4" s="1"/>
  <c r="AH84" i="4"/>
  <c r="AF84" i="4"/>
  <c r="AE84" i="4"/>
  <c r="AI84" i="4" s="1"/>
  <c r="AD84" i="4"/>
  <c r="AG84" i="4" s="1"/>
  <c r="AB84" i="4"/>
  <c r="Z84" i="4"/>
  <c r="Y84" i="4"/>
  <c r="AC84" i="4" s="1"/>
  <c r="X84" i="4"/>
  <c r="AA84" i="4" s="1"/>
  <c r="W84" i="4"/>
  <c r="T84" i="4"/>
  <c r="S84" i="4"/>
  <c r="V84" i="4" s="1"/>
  <c r="R84" i="4"/>
  <c r="U84" i="4" s="1"/>
  <c r="O84" i="4"/>
  <c r="L84" i="4"/>
  <c r="I84" i="4"/>
  <c r="Q84" i="4" s="1"/>
  <c r="H84" i="4"/>
  <c r="N84" i="4" s="1"/>
  <c r="G84" i="4"/>
  <c r="P84" i="4" s="1"/>
  <c r="F84" i="4"/>
  <c r="E84" i="4"/>
  <c r="AK83" i="4"/>
  <c r="AJ83" i="4"/>
  <c r="AL83" i="4" s="1"/>
  <c r="AH83" i="4"/>
  <c r="AF83" i="4"/>
  <c r="AE83" i="4"/>
  <c r="AI83" i="4" s="1"/>
  <c r="AD83" i="4"/>
  <c r="AG83" i="4" s="1"/>
  <c r="AB83" i="4"/>
  <c r="Z83" i="4"/>
  <c r="Y83" i="4"/>
  <c r="AC83" i="4" s="1"/>
  <c r="X83" i="4"/>
  <c r="AA83" i="4" s="1"/>
  <c r="W83" i="4"/>
  <c r="T83" i="4"/>
  <c r="S83" i="4"/>
  <c r="V83" i="4" s="1"/>
  <c r="R83" i="4"/>
  <c r="U83" i="4" s="1"/>
  <c r="O83" i="4"/>
  <c r="L83" i="4"/>
  <c r="I83" i="4"/>
  <c r="Q83" i="4" s="1"/>
  <c r="H83" i="4"/>
  <c r="N83" i="4" s="1"/>
  <c r="G83" i="4"/>
  <c r="P83" i="4" s="1"/>
  <c r="F83" i="4"/>
  <c r="E83" i="4"/>
  <c r="AK82" i="4"/>
  <c r="AJ82" i="4"/>
  <c r="AH82" i="4"/>
  <c r="AF82" i="4"/>
  <c r="AE82" i="4"/>
  <c r="AD82" i="4"/>
  <c r="AB82" i="4"/>
  <c r="Z82" i="4"/>
  <c r="Y82" i="4"/>
  <c r="X82" i="4"/>
  <c r="W82" i="4"/>
  <c r="T82" i="4"/>
  <c r="S82" i="4"/>
  <c r="V82" i="4" s="1"/>
  <c r="R82" i="4"/>
  <c r="U82" i="4" s="1"/>
  <c r="O82" i="4"/>
  <c r="L82" i="4"/>
  <c r="I82" i="4"/>
  <c r="Q82" i="4" s="1"/>
  <c r="H82" i="4"/>
  <c r="G82" i="4"/>
  <c r="P82" i="4" s="1"/>
  <c r="F82" i="4"/>
  <c r="E82" i="4"/>
  <c r="AK81" i="4"/>
  <c r="AJ81" i="4"/>
  <c r="AL81" i="4" s="1"/>
  <c r="AH81" i="4"/>
  <c r="AF81" i="4"/>
  <c r="AE81" i="4"/>
  <c r="AI81" i="4" s="1"/>
  <c r="AD81" i="4"/>
  <c r="AG81" i="4" s="1"/>
  <c r="AB81" i="4"/>
  <c r="Z81" i="4"/>
  <c r="Y81" i="4"/>
  <c r="AC81" i="4" s="1"/>
  <c r="X81" i="4"/>
  <c r="AA81" i="4" s="1"/>
  <c r="W81" i="4"/>
  <c r="T81" i="4"/>
  <c r="S81" i="4"/>
  <c r="V81" i="4" s="1"/>
  <c r="R81" i="4"/>
  <c r="U81" i="4" s="1"/>
  <c r="O81" i="4"/>
  <c r="L81" i="4"/>
  <c r="I81" i="4"/>
  <c r="Q81" i="4" s="1"/>
  <c r="H81" i="4"/>
  <c r="N81" i="4" s="1"/>
  <c r="G81" i="4"/>
  <c r="P81" i="4" s="1"/>
  <c r="F81" i="4"/>
  <c r="E81" i="4"/>
  <c r="AK80" i="4"/>
  <c r="AJ80" i="4"/>
  <c r="AL80" i="4" s="1"/>
  <c r="AH80" i="4"/>
  <c r="AF80" i="4"/>
  <c r="AE80" i="4"/>
  <c r="AI80" i="4" s="1"/>
  <c r="AD80" i="4"/>
  <c r="AG80" i="4" s="1"/>
  <c r="AB80" i="4"/>
  <c r="Z80" i="4"/>
  <c r="Y80" i="4"/>
  <c r="AC80" i="4" s="1"/>
  <c r="X80" i="4"/>
  <c r="AA80" i="4" s="1"/>
  <c r="W80" i="4"/>
  <c r="T80" i="4"/>
  <c r="S80" i="4"/>
  <c r="V80" i="4" s="1"/>
  <c r="R80" i="4"/>
  <c r="U80" i="4" s="1"/>
  <c r="O80" i="4"/>
  <c r="L80" i="4"/>
  <c r="I80" i="4"/>
  <c r="Q80" i="4" s="1"/>
  <c r="H80" i="4"/>
  <c r="N80" i="4" s="1"/>
  <c r="G80" i="4"/>
  <c r="P80" i="4" s="1"/>
  <c r="F80" i="4"/>
  <c r="E80" i="4"/>
  <c r="AK79" i="4"/>
  <c r="AJ79" i="4"/>
  <c r="AL79" i="4" s="1"/>
  <c r="AH79" i="4"/>
  <c r="AF79" i="4"/>
  <c r="AE79" i="4"/>
  <c r="AI79" i="4" s="1"/>
  <c r="AD79" i="4"/>
  <c r="AG79" i="4" s="1"/>
  <c r="AB79" i="4"/>
  <c r="Z79" i="4"/>
  <c r="Y79" i="4"/>
  <c r="AC79" i="4" s="1"/>
  <c r="X79" i="4"/>
  <c r="AA79" i="4" s="1"/>
  <c r="W79" i="4"/>
  <c r="T79" i="4"/>
  <c r="S79" i="4"/>
  <c r="R79" i="4"/>
  <c r="U79" i="4" s="1"/>
  <c r="O79" i="4"/>
  <c r="L79" i="4"/>
  <c r="I79" i="4"/>
  <c r="Q79" i="4" s="1"/>
  <c r="H79" i="4"/>
  <c r="G79" i="4"/>
  <c r="P79" i="4" s="1"/>
  <c r="F79" i="4"/>
  <c r="E79" i="4"/>
  <c r="AK78" i="4"/>
  <c r="AJ78" i="4"/>
  <c r="AL78" i="4" s="1"/>
  <c r="AH78" i="4"/>
  <c r="AF78" i="4"/>
  <c r="AE78" i="4"/>
  <c r="AD78" i="4"/>
  <c r="AB78" i="4"/>
  <c r="Z78" i="4"/>
  <c r="Y78" i="4"/>
  <c r="AC78" i="4" s="1"/>
  <c r="X78" i="4"/>
  <c r="AA78" i="4" s="1"/>
  <c r="W78" i="4"/>
  <c r="T78" i="4"/>
  <c r="S78" i="4"/>
  <c r="V78" i="4" s="1"/>
  <c r="R78" i="4"/>
  <c r="U78" i="4" s="1"/>
  <c r="O78" i="4"/>
  <c r="L78" i="4"/>
  <c r="I78" i="4"/>
  <c r="Q78" i="4" s="1"/>
  <c r="H78" i="4"/>
  <c r="G78" i="4"/>
  <c r="P78" i="4" s="1"/>
  <c r="F78" i="4"/>
  <c r="E78" i="4"/>
  <c r="AK77" i="4"/>
  <c r="AJ77" i="4"/>
  <c r="AH77" i="4"/>
  <c r="AF77" i="4"/>
  <c r="AE77" i="4"/>
  <c r="AD77" i="4"/>
  <c r="AB77" i="4"/>
  <c r="Z77" i="4"/>
  <c r="Y77" i="4"/>
  <c r="X77" i="4"/>
  <c r="W77" i="4"/>
  <c r="T77" i="4"/>
  <c r="S77" i="4"/>
  <c r="V77" i="4" s="1"/>
  <c r="R77" i="4"/>
  <c r="U77" i="4" s="1"/>
  <c r="O77" i="4"/>
  <c r="L77" i="4"/>
  <c r="I77" i="4"/>
  <c r="H77" i="4"/>
  <c r="G77" i="4"/>
  <c r="P77" i="4" s="1"/>
  <c r="F77" i="4"/>
  <c r="E77" i="4"/>
  <c r="AK76" i="4"/>
  <c r="AJ76" i="4"/>
  <c r="AL76" i="4" s="1"/>
  <c r="AH76" i="4"/>
  <c r="AF76" i="4"/>
  <c r="AE76" i="4"/>
  <c r="AD76" i="4"/>
  <c r="AB76" i="4"/>
  <c r="Z76" i="4"/>
  <c r="Y76" i="4"/>
  <c r="AC76" i="4" s="1"/>
  <c r="X76" i="4"/>
  <c r="AA76" i="4" s="1"/>
  <c r="W76" i="4"/>
  <c r="T76" i="4"/>
  <c r="S76" i="4"/>
  <c r="V76" i="4" s="1"/>
  <c r="R76" i="4"/>
  <c r="U76" i="4" s="1"/>
  <c r="O76" i="4"/>
  <c r="L76" i="4"/>
  <c r="I76" i="4"/>
  <c r="Q76" i="4" s="1"/>
  <c r="H76" i="4"/>
  <c r="G76" i="4"/>
  <c r="P76" i="4" s="1"/>
  <c r="F76" i="4"/>
  <c r="E76" i="4"/>
  <c r="AK75" i="4"/>
  <c r="AJ75" i="4"/>
  <c r="AL75" i="4" s="1"/>
  <c r="AH75" i="4"/>
  <c r="AF75" i="4"/>
  <c r="AE75" i="4"/>
  <c r="AD75" i="4"/>
  <c r="AG75" i="4" s="1"/>
  <c r="AB75" i="4"/>
  <c r="Z75" i="4"/>
  <c r="Y75" i="4"/>
  <c r="AC75" i="4" s="1"/>
  <c r="X75" i="4"/>
  <c r="W75" i="4"/>
  <c r="T75" i="4"/>
  <c r="S75" i="4"/>
  <c r="V75" i="4" s="1"/>
  <c r="R75" i="4"/>
  <c r="U75" i="4" s="1"/>
  <c r="O75" i="4"/>
  <c r="L75" i="4"/>
  <c r="I75" i="4"/>
  <c r="Q75" i="4" s="1"/>
  <c r="H75" i="4"/>
  <c r="N75" i="4" s="1"/>
  <c r="G75" i="4"/>
  <c r="P75" i="4" s="1"/>
  <c r="F75" i="4"/>
  <c r="E75" i="4"/>
  <c r="AK73" i="4"/>
  <c r="AJ73" i="4"/>
  <c r="AL73" i="4" s="1"/>
  <c r="AH73" i="4"/>
  <c r="AF73" i="4"/>
  <c r="AE73" i="4"/>
  <c r="AI73" i="4" s="1"/>
  <c r="AD73" i="4"/>
  <c r="AG73" i="4" s="1"/>
  <c r="AB73" i="4"/>
  <c r="Z73" i="4"/>
  <c r="Y73" i="4"/>
  <c r="AC73" i="4" s="1"/>
  <c r="X73" i="4"/>
  <c r="AA73" i="4" s="1"/>
  <c r="W73" i="4"/>
  <c r="T73" i="4"/>
  <c r="S73" i="4"/>
  <c r="V73" i="4" s="1"/>
  <c r="R73" i="4"/>
  <c r="U73" i="4" s="1"/>
  <c r="O73" i="4"/>
  <c r="L73" i="4"/>
  <c r="I73" i="4"/>
  <c r="Q73" i="4" s="1"/>
  <c r="H73" i="4"/>
  <c r="N73" i="4" s="1"/>
  <c r="G73" i="4"/>
  <c r="P73" i="4" s="1"/>
  <c r="F73" i="4"/>
  <c r="E73" i="4"/>
  <c r="AK72" i="4"/>
  <c r="AJ72" i="4"/>
  <c r="AL72" i="4" s="1"/>
  <c r="AH72" i="4"/>
  <c r="AF72" i="4"/>
  <c r="AE72" i="4"/>
  <c r="AI72" i="4" s="1"/>
  <c r="AD72" i="4"/>
  <c r="AG72" i="4" s="1"/>
  <c r="AB72" i="4"/>
  <c r="Z72" i="4"/>
  <c r="Y72" i="4"/>
  <c r="AC72" i="4" s="1"/>
  <c r="X72" i="4"/>
  <c r="AA72" i="4" s="1"/>
  <c r="W72" i="4"/>
  <c r="T72" i="4"/>
  <c r="S72" i="4"/>
  <c r="V72" i="4" s="1"/>
  <c r="R72" i="4"/>
  <c r="U72" i="4" s="1"/>
  <c r="O72" i="4"/>
  <c r="L72" i="4"/>
  <c r="I72" i="4"/>
  <c r="Q72" i="4" s="1"/>
  <c r="H72" i="4"/>
  <c r="N72" i="4" s="1"/>
  <c r="G72" i="4"/>
  <c r="P72" i="4" s="1"/>
  <c r="F72" i="4"/>
  <c r="E72" i="4"/>
  <c r="AK71" i="4"/>
  <c r="AJ71" i="4"/>
  <c r="AL71" i="4" s="1"/>
  <c r="AH71" i="4"/>
  <c r="AF71" i="4"/>
  <c r="AE71" i="4"/>
  <c r="AI71" i="4" s="1"/>
  <c r="AD71" i="4"/>
  <c r="AG71" i="4" s="1"/>
  <c r="AB71" i="4"/>
  <c r="Z71" i="4"/>
  <c r="Y71" i="4"/>
  <c r="AC71" i="4" s="1"/>
  <c r="X71" i="4"/>
  <c r="AA71" i="4" s="1"/>
  <c r="W71" i="4"/>
  <c r="T71" i="4"/>
  <c r="S71" i="4"/>
  <c r="V71" i="4" s="1"/>
  <c r="R71" i="4"/>
  <c r="U71" i="4" s="1"/>
  <c r="O71" i="4"/>
  <c r="L71" i="4"/>
  <c r="I71" i="4"/>
  <c r="Q71" i="4" s="1"/>
  <c r="H71" i="4"/>
  <c r="N71" i="4" s="1"/>
  <c r="G71" i="4"/>
  <c r="P71" i="4" s="1"/>
  <c r="F71" i="4"/>
  <c r="E71" i="4"/>
  <c r="AK70" i="4"/>
  <c r="AJ70" i="4"/>
  <c r="AL70" i="4" s="1"/>
  <c r="AH70" i="4"/>
  <c r="AF70" i="4"/>
  <c r="AE70" i="4"/>
  <c r="AD70" i="4"/>
  <c r="AB70" i="4"/>
  <c r="Z70" i="4"/>
  <c r="Y70" i="4"/>
  <c r="AC70" i="4" s="1"/>
  <c r="X70" i="4"/>
  <c r="AA70" i="4" s="1"/>
  <c r="W70" i="4"/>
  <c r="T70" i="4"/>
  <c r="S70" i="4"/>
  <c r="V70" i="4" s="1"/>
  <c r="R70" i="4"/>
  <c r="U70" i="4" s="1"/>
  <c r="O70" i="4"/>
  <c r="L70" i="4"/>
  <c r="I70" i="4"/>
  <c r="Q70" i="4" s="1"/>
  <c r="H70" i="4"/>
  <c r="G70" i="4"/>
  <c r="P70" i="4" s="1"/>
  <c r="F70" i="4"/>
  <c r="E70" i="4"/>
  <c r="AK69" i="4"/>
  <c r="AJ69" i="4"/>
  <c r="AL69" i="4" s="1"/>
  <c r="AH69" i="4"/>
  <c r="AF69" i="4"/>
  <c r="AE69" i="4"/>
  <c r="AI69" i="4" s="1"/>
  <c r="AD69" i="4"/>
  <c r="AG69" i="4" s="1"/>
  <c r="AB69" i="4"/>
  <c r="Z69" i="4"/>
  <c r="Y69" i="4"/>
  <c r="AC69" i="4" s="1"/>
  <c r="X69" i="4"/>
  <c r="AA69" i="4" s="1"/>
  <c r="W69" i="4"/>
  <c r="T69" i="4"/>
  <c r="S69" i="4"/>
  <c r="V69" i="4" s="1"/>
  <c r="R69" i="4"/>
  <c r="U69" i="4" s="1"/>
  <c r="O69" i="4"/>
  <c r="L69" i="4"/>
  <c r="I69" i="4"/>
  <c r="Q69" i="4" s="1"/>
  <c r="H69" i="4"/>
  <c r="N69" i="4" s="1"/>
  <c r="G69" i="4"/>
  <c r="P69" i="4" s="1"/>
  <c r="F69" i="4"/>
  <c r="E69" i="4"/>
  <c r="AK68" i="4"/>
  <c r="AJ68" i="4"/>
  <c r="AL68" i="4" s="1"/>
  <c r="AH68" i="4"/>
  <c r="AF68" i="4"/>
  <c r="AE68" i="4"/>
  <c r="AI68" i="4" s="1"/>
  <c r="AD68" i="4"/>
  <c r="AG68" i="4" s="1"/>
  <c r="AB68" i="4"/>
  <c r="Z68" i="4"/>
  <c r="Y68" i="4"/>
  <c r="AC68" i="4" s="1"/>
  <c r="X68" i="4"/>
  <c r="AA68" i="4" s="1"/>
  <c r="W68" i="4"/>
  <c r="T68" i="4"/>
  <c r="S68" i="4"/>
  <c r="V68" i="4" s="1"/>
  <c r="R68" i="4"/>
  <c r="U68" i="4" s="1"/>
  <c r="O68" i="4"/>
  <c r="L68" i="4"/>
  <c r="I68" i="4"/>
  <c r="Q68" i="4" s="1"/>
  <c r="H68" i="4"/>
  <c r="N68" i="4" s="1"/>
  <c r="G68" i="4"/>
  <c r="P68" i="4" s="1"/>
  <c r="F68" i="4"/>
  <c r="E68" i="4"/>
  <c r="AK67" i="4"/>
  <c r="AJ67" i="4"/>
  <c r="AH67" i="4"/>
  <c r="AF67" i="4"/>
  <c r="AE67" i="4"/>
  <c r="AD67" i="4"/>
  <c r="AB67" i="4"/>
  <c r="Z67" i="4"/>
  <c r="Y67" i="4"/>
  <c r="X67" i="4"/>
  <c r="W67" i="4"/>
  <c r="T67" i="4"/>
  <c r="S67" i="4"/>
  <c r="V67" i="4" s="1"/>
  <c r="R67" i="4"/>
  <c r="U67" i="4" s="1"/>
  <c r="O67" i="4"/>
  <c r="L67" i="4"/>
  <c r="I67" i="4"/>
  <c r="Q67" i="4" s="1"/>
  <c r="H67" i="4"/>
  <c r="G67" i="4"/>
  <c r="P67" i="4" s="1"/>
  <c r="F67" i="4"/>
  <c r="E67" i="4"/>
  <c r="AK66" i="4"/>
  <c r="AJ66" i="4"/>
  <c r="AL66" i="4" s="1"/>
  <c r="AH66" i="4"/>
  <c r="AF66" i="4"/>
  <c r="AE66" i="4"/>
  <c r="AI66" i="4" s="1"/>
  <c r="AD66" i="4"/>
  <c r="AG66" i="4" s="1"/>
  <c r="AB66" i="4"/>
  <c r="Z66" i="4"/>
  <c r="Y66" i="4"/>
  <c r="AC66" i="4" s="1"/>
  <c r="X66" i="4"/>
  <c r="AA66" i="4" s="1"/>
  <c r="W66" i="4"/>
  <c r="T66" i="4"/>
  <c r="S66" i="4"/>
  <c r="V66" i="4" s="1"/>
  <c r="R66" i="4"/>
  <c r="U66" i="4" s="1"/>
  <c r="O66" i="4"/>
  <c r="L66" i="4"/>
  <c r="I66" i="4"/>
  <c r="Q66" i="4" s="1"/>
  <c r="H66" i="4"/>
  <c r="N66" i="4" s="1"/>
  <c r="G66" i="4"/>
  <c r="P66" i="4" s="1"/>
  <c r="F66" i="4"/>
  <c r="E66" i="4"/>
  <c r="AK65" i="4"/>
  <c r="AJ65" i="4"/>
  <c r="AH65" i="4"/>
  <c r="AF65" i="4"/>
  <c r="AE65" i="4"/>
  <c r="AD65" i="4"/>
  <c r="AB65" i="4"/>
  <c r="Z65" i="4"/>
  <c r="Y65" i="4"/>
  <c r="X65" i="4"/>
  <c r="W65" i="4"/>
  <c r="T65" i="4"/>
  <c r="S65" i="4"/>
  <c r="V65" i="4" s="1"/>
  <c r="R65" i="4"/>
  <c r="U65" i="4" s="1"/>
  <c r="O65" i="4"/>
  <c r="L65" i="4"/>
  <c r="I65" i="4"/>
  <c r="Q65" i="4" s="1"/>
  <c r="H65" i="4"/>
  <c r="G65" i="4"/>
  <c r="P65" i="4" s="1"/>
  <c r="F65" i="4"/>
  <c r="E65" i="4"/>
  <c r="AK64" i="4"/>
  <c r="AJ64" i="4"/>
  <c r="AL64" i="4" s="1"/>
  <c r="AH64" i="4"/>
  <c r="AF64" i="4"/>
  <c r="AE64" i="4"/>
  <c r="AI64" i="4" s="1"/>
  <c r="AD64" i="4"/>
  <c r="AG64" i="4" s="1"/>
  <c r="AB64" i="4"/>
  <c r="Z64" i="4"/>
  <c r="Y64" i="4"/>
  <c r="AC64" i="4" s="1"/>
  <c r="X64" i="4"/>
  <c r="AA64" i="4" s="1"/>
  <c r="W64" i="4"/>
  <c r="T64" i="4"/>
  <c r="S64" i="4"/>
  <c r="V64" i="4" s="1"/>
  <c r="R64" i="4"/>
  <c r="U64" i="4" s="1"/>
  <c r="O64" i="4"/>
  <c r="L64" i="4"/>
  <c r="I64" i="4"/>
  <c r="Q64" i="4" s="1"/>
  <c r="H64" i="4"/>
  <c r="N64" i="4" s="1"/>
  <c r="G64" i="4"/>
  <c r="P64" i="4" s="1"/>
  <c r="F64" i="4"/>
  <c r="E64" i="4"/>
  <c r="AK63" i="4"/>
  <c r="AJ63" i="4"/>
  <c r="AL63" i="4" s="1"/>
  <c r="AH63" i="4"/>
  <c r="AF63" i="4"/>
  <c r="AE63" i="4"/>
  <c r="AD63" i="4"/>
  <c r="AB63" i="4"/>
  <c r="Z63" i="4"/>
  <c r="Y63" i="4"/>
  <c r="AC63" i="4" s="1"/>
  <c r="X63" i="4"/>
  <c r="AA63" i="4" s="1"/>
  <c r="W63" i="4"/>
  <c r="T63" i="4"/>
  <c r="S63" i="4"/>
  <c r="V63" i="4" s="1"/>
  <c r="R63" i="4"/>
  <c r="U63" i="4" s="1"/>
  <c r="O63" i="4"/>
  <c r="L63" i="4"/>
  <c r="I63" i="4"/>
  <c r="Q63" i="4" s="1"/>
  <c r="H63" i="4"/>
  <c r="G63" i="4"/>
  <c r="P63" i="4" s="1"/>
  <c r="F63" i="4"/>
  <c r="E63" i="4"/>
  <c r="AK62" i="4"/>
  <c r="AJ62" i="4"/>
  <c r="AL62" i="4" s="1"/>
  <c r="AH62" i="4"/>
  <c r="AF62" i="4"/>
  <c r="AE62" i="4"/>
  <c r="AI62" i="4" s="1"/>
  <c r="AD62" i="4"/>
  <c r="AG62" i="4" s="1"/>
  <c r="AB62" i="4"/>
  <c r="Z62" i="4"/>
  <c r="Y62" i="4"/>
  <c r="AC62" i="4" s="1"/>
  <c r="X62" i="4"/>
  <c r="AA62" i="4" s="1"/>
  <c r="W62" i="4"/>
  <c r="T62" i="4"/>
  <c r="S62" i="4"/>
  <c r="V62" i="4" s="1"/>
  <c r="R62" i="4"/>
  <c r="U62" i="4" s="1"/>
  <c r="O62" i="4"/>
  <c r="L62" i="4"/>
  <c r="I62" i="4"/>
  <c r="Q62" i="4" s="1"/>
  <c r="H62" i="4"/>
  <c r="N62" i="4" s="1"/>
  <c r="G62" i="4"/>
  <c r="P62" i="4" s="1"/>
  <c r="F62" i="4"/>
  <c r="E62" i="4"/>
  <c r="AK61" i="4"/>
  <c r="AJ61" i="4"/>
  <c r="AL61" i="4" s="1"/>
  <c r="AH61" i="4"/>
  <c r="AF61" i="4"/>
  <c r="AE61" i="4"/>
  <c r="AI61" i="4" s="1"/>
  <c r="AD61" i="4"/>
  <c r="AG61" i="4" s="1"/>
  <c r="AB61" i="4"/>
  <c r="Z61" i="4"/>
  <c r="Y61" i="4"/>
  <c r="AC61" i="4" s="1"/>
  <c r="X61" i="4"/>
  <c r="AA61" i="4" s="1"/>
  <c r="W61" i="4"/>
  <c r="T61" i="4"/>
  <c r="S61" i="4"/>
  <c r="V61" i="4" s="1"/>
  <c r="R61" i="4"/>
  <c r="U61" i="4" s="1"/>
  <c r="O61" i="4"/>
  <c r="L61" i="4"/>
  <c r="I61" i="4"/>
  <c r="Q61" i="4" s="1"/>
  <c r="H61" i="4"/>
  <c r="N61" i="4" s="1"/>
  <c r="G61" i="4"/>
  <c r="P61" i="4" s="1"/>
  <c r="F61" i="4"/>
  <c r="E61" i="4"/>
  <c r="AK60" i="4"/>
  <c r="AJ60" i="4"/>
  <c r="AL60" i="4" s="1"/>
  <c r="AH60" i="4"/>
  <c r="AF60" i="4"/>
  <c r="AE60" i="4"/>
  <c r="AI60" i="4" s="1"/>
  <c r="AD60" i="4"/>
  <c r="AG60" i="4" s="1"/>
  <c r="AB60" i="4"/>
  <c r="Z60" i="4"/>
  <c r="Y60" i="4"/>
  <c r="AC60" i="4" s="1"/>
  <c r="X60" i="4"/>
  <c r="AA60" i="4" s="1"/>
  <c r="W60" i="4"/>
  <c r="T60" i="4"/>
  <c r="S60" i="4"/>
  <c r="V60" i="4" s="1"/>
  <c r="R60" i="4"/>
  <c r="U60" i="4" s="1"/>
  <c r="O60" i="4"/>
  <c r="L60" i="4"/>
  <c r="I60" i="4"/>
  <c r="Q60" i="4" s="1"/>
  <c r="H60" i="4"/>
  <c r="N60" i="4" s="1"/>
  <c r="G60" i="4"/>
  <c r="P60" i="4" s="1"/>
  <c r="F60" i="4"/>
  <c r="E60" i="4"/>
  <c r="AK59" i="4"/>
  <c r="AJ59" i="4"/>
  <c r="AL59" i="4" s="1"/>
  <c r="AH59" i="4"/>
  <c r="AF59" i="4"/>
  <c r="AE59" i="4"/>
  <c r="AI59" i="4" s="1"/>
  <c r="AD59" i="4"/>
  <c r="AG59" i="4" s="1"/>
  <c r="AB59" i="4"/>
  <c r="Z59" i="4"/>
  <c r="Y59" i="4"/>
  <c r="AC59" i="4" s="1"/>
  <c r="X59" i="4"/>
  <c r="AA59" i="4" s="1"/>
  <c r="W59" i="4"/>
  <c r="T59" i="4"/>
  <c r="S59" i="4"/>
  <c r="V59" i="4" s="1"/>
  <c r="R59" i="4"/>
  <c r="U59" i="4" s="1"/>
  <c r="O59" i="4"/>
  <c r="L59" i="4"/>
  <c r="I59" i="4"/>
  <c r="Q59" i="4" s="1"/>
  <c r="H59" i="4"/>
  <c r="N59" i="4" s="1"/>
  <c r="G59" i="4"/>
  <c r="P59" i="4" s="1"/>
  <c r="F59" i="4"/>
  <c r="E59" i="4"/>
  <c r="AK58" i="4"/>
  <c r="AJ58" i="4"/>
  <c r="AL58" i="4" s="1"/>
  <c r="AH58" i="4"/>
  <c r="AF58" i="4"/>
  <c r="AE58" i="4"/>
  <c r="AI58" i="4" s="1"/>
  <c r="AD58" i="4"/>
  <c r="AG58" i="4" s="1"/>
  <c r="AB58" i="4"/>
  <c r="Z58" i="4"/>
  <c r="Y58" i="4"/>
  <c r="AC58" i="4" s="1"/>
  <c r="X58" i="4"/>
  <c r="AA58" i="4" s="1"/>
  <c r="W58" i="4"/>
  <c r="T58" i="4"/>
  <c r="S58" i="4"/>
  <c r="V58" i="4" s="1"/>
  <c r="R58" i="4"/>
  <c r="U58" i="4" s="1"/>
  <c r="O58" i="4"/>
  <c r="L58" i="4"/>
  <c r="I58" i="4"/>
  <c r="Q58" i="4" s="1"/>
  <c r="H58" i="4"/>
  <c r="N58" i="4" s="1"/>
  <c r="G58" i="4"/>
  <c r="P58" i="4" s="1"/>
  <c r="F58" i="4"/>
  <c r="E58" i="4"/>
  <c r="AK57" i="4"/>
  <c r="AJ57" i="4"/>
  <c r="AL57" i="4" s="1"/>
  <c r="AH57" i="4"/>
  <c r="AF57" i="4"/>
  <c r="AE57" i="4"/>
  <c r="AI57" i="4" s="1"/>
  <c r="AD57" i="4"/>
  <c r="AG57" i="4" s="1"/>
  <c r="AB57" i="4"/>
  <c r="Z57" i="4"/>
  <c r="Y57" i="4"/>
  <c r="AC57" i="4" s="1"/>
  <c r="X57" i="4"/>
  <c r="AA57" i="4" s="1"/>
  <c r="W57" i="4"/>
  <c r="T57" i="4"/>
  <c r="S57" i="4"/>
  <c r="V57" i="4" s="1"/>
  <c r="R57" i="4"/>
  <c r="U57" i="4" s="1"/>
  <c r="O57" i="4"/>
  <c r="L57" i="4"/>
  <c r="I57" i="4"/>
  <c r="Q57" i="4" s="1"/>
  <c r="H57" i="4"/>
  <c r="N57" i="4" s="1"/>
  <c r="G57" i="4"/>
  <c r="P57" i="4" s="1"/>
  <c r="F57" i="4"/>
  <c r="E57" i="4"/>
  <c r="AK56" i="4"/>
  <c r="AJ56" i="4"/>
  <c r="AL56" i="4" s="1"/>
  <c r="AH56" i="4"/>
  <c r="AF56" i="4"/>
  <c r="AE56" i="4"/>
  <c r="AD56" i="4"/>
  <c r="AB56" i="4"/>
  <c r="Z56" i="4"/>
  <c r="Y56" i="4"/>
  <c r="AC56" i="4" s="1"/>
  <c r="X56" i="4"/>
  <c r="AA56" i="4" s="1"/>
  <c r="W56" i="4"/>
  <c r="T56" i="4"/>
  <c r="S56" i="4"/>
  <c r="V56" i="4" s="1"/>
  <c r="R56" i="4"/>
  <c r="U56" i="4" s="1"/>
  <c r="O56" i="4"/>
  <c r="L56" i="4"/>
  <c r="I56" i="4"/>
  <c r="Q56" i="4" s="1"/>
  <c r="H56" i="4"/>
  <c r="G56" i="4"/>
  <c r="P56" i="4" s="1"/>
  <c r="F56" i="4"/>
  <c r="E56" i="4"/>
  <c r="AK55" i="4"/>
  <c r="AJ55" i="4"/>
  <c r="AH55" i="4"/>
  <c r="AF55" i="4"/>
  <c r="AE55" i="4"/>
  <c r="AD55" i="4"/>
  <c r="AB55" i="4"/>
  <c r="Z55" i="4"/>
  <c r="Y55" i="4"/>
  <c r="X55" i="4"/>
  <c r="W55" i="4"/>
  <c r="T55" i="4"/>
  <c r="S55" i="4"/>
  <c r="V55" i="4" s="1"/>
  <c r="R55" i="4"/>
  <c r="U55" i="4" s="1"/>
  <c r="O55" i="4"/>
  <c r="L55" i="4"/>
  <c r="I55" i="4"/>
  <c r="Q55" i="4" s="1"/>
  <c r="H55" i="4"/>
  <c r="G55" i="4"/>
  <c r="P55" i="4" s="1"/>
  <c r="F55" i="4"/>
  <c r="E55" i="4"/>
  <c r="AK54" i="4"/>
  <c r="AJ54" i="4"/>
  <c r="AL54" i="4" s="1"/>
  <c r="AH54" i="4"/>
  <c r="AF54" i="4"/>
  <c r="AE54" i="4"/>
  <c r="AI54" i="4" s="1"/>
  <c r="AD54" i="4"/>
  <c r="AG54" i="4" s="1"/>
  <c r="AB54" i="4"/>
  <c r="Z54" i="4"/>
  <c r="Y54" i="4"/>
  <c r="X54" i="4"/>
  <c r="AA54" i="4" s="1"/>
  <c r="W54" i="4"/>
  <c r="T54" i="4"/>
  <c r="S54" i="4"/>
  <c r="V54" i="4" s="1"/>
  <c r="R54" i="4"/>
  <c r="O54" i="4"/>
  <c r="L54" i="4"/>
  <c r="I54" i="4"/>
  <c r="Q54" i="4" s="1"/>
  <c r="H54" i="4"/>
  <c r="N54" i="4" s="1"/>
  <c r="G54" i="4"/>
  <c r="P54" i="4" s="1"/>
  <c r="F54" i="4"/>
  <c r="E54" i="4"/>
  <c r="AK53" i="4"/>
  <c r="AJ53" i="4"/>
  <c r="AL53" i="4" s="1"/>
  <c r="AH53" i="4"/>
  <c r="AF53" i="4"/>
  <c r="AE53" i="4"/>
  <c r="AD53" i="4"/>
  <c r="AB53" i="4"/>
  <c r="Z53" i="4"/>
  <c r="Y53" i="4"/>
  <c r="AC53" i="4" s="1"/>
  <c r="X53" i="4"/>
  <c r="AA53" i="4" s="1"/>
  <c r="W53" i="4"/>
  <c r="T53" i="4"/>
  <c r="S53" i="4"/>
  <c r="R53" i="4"/>
  <c r="U53" i="4" s="1"/>
  <c r="O53" i="4"/>
  <c r="L53" i="4"/>
  <c r="I53" i="4"/>
  <c r="Q53" i="4" s="1"/>
  <c r="H53" i="4"/>
  <c r="G53" i="4"/>
  <c r="F53" i="4"/>
  <c r="E53" i="4"/>
  <c r="AK51" i="4"/>
  <c r="AJ51" i="4"/>
  <c r="AL51" i="4" s="1"/>
  <c r="AH51" i="4"/>
  <c r="AF51" i="4"/>
  <c r="AE51" i="4"/>
  <c r="AD51" i="4"/>
  <c r="AB51" i="4"/>
  <c r="Z51" i="4"/>
  <c r="Y51" i="4"/>
  <c r="AC51" i="4" s="1"/>
  <c r="X51" i="4"/>
  <c r="AA51" i="4" s="1"/>
  <c r="W51" i="4"/>
  <c r="T51" i="4"/>
  <c r="S51" i="4"/>
  <c r="V51" i="4" s="1"/>
  <c r="R51" i="4"/>
  <c r="U51" i="4" s="1"/>
  <c r="O51" i="4"/>
  <c r="L51" i="4"/>
  <c r="I51" i="4"/>
  <c r="Q51" i="4" s="1"/>
  <c r="H51" i="4"/>
  <c r="G51" i="4"/>
  <c r="P51" i="4" s="1"/>
  <c r="F51" i="4"/>
  <c r="E51" i="4"/>
  <c r="AK50" i="4"/>
  <c r="AJ50" i="4"/>
  <c r="AL50" i="4" s="1"/>
  <c r="AH50" i="4"/>
  <c r="AF50" i="4"/>
  <c r="AE50" i="4"/>
  <c r="AI50" i="4" s="1"/>
  <c r="AD50" i="4"/>
  <c r="AG50" i="4" s="1"/>
  <c r="AB50" i="4"/>
  <c r="Z50" i="4"/>
  <c r="Y50" i="4"/>
  <c r="AC50" i="4" s="1"/>
  <c r="X50" i="4"/>
  <c r="AA50" i="4" s="1"/>
  <c r="W50" i="4"/>
  <c r="T50" i="4"/>
  <c r="S50" i="4"/>
  <c r="V50" i="4" s="1"/>
  <c r="R50" i="4"/>
  <c r="U50" i="4" s="1"/>
  <c r="O50" i="4"/>
  <c r="L50" i="4"/>
  <c r="I50" i="4"/>
  <c r="Q50" i="4" s="1"/>
  <c r="H50" i="4"/>
  <c r="N50" i="4" s="1"/>
  <c r="G50" i="4"/>
  <c r="P50" i="4" s="1"/>
  <c r="F50" i="4"/>
  <c r="E50" i="4"/>
  <c r="AK49" i="4"/>
  <c r="AJ49" i="4"/>
  <c r="AL49" i="4" s="1"/>
  <c r="AH49" i="4"/>
  <c r="AF49" i="4"/>
  <c r="AE49" i="4"/>
  <c r="AI49" i="4" s="1"/>
  <c r="AD49" i="4"/>
  <c r="AG49" i="4" s="1"/>
  <c r="AB49" i="4"/>
  <c r="Z49" i="4"/>
  <c r="Y49" i="4"/>
  <c r="AC49" i="4" s="1"/>
  <c r="X49" i="4"/>
  <c r="AA49" i="4" s="1"/>
  <c r="W49" i="4"/>
  <c r="T49" i="4"/>
  <c r="S49" i="4"/>
  <c r="V49" i="4" s="1"/>
  <c r="R49" i="4"/>
  <c r="U49" i="4" s="1"/>
  <c r="O49" i="4"/>
  <c r="L49" i="4"/>
  <c r="I49" i="4"/>
  <c r="Q49" i="4" s="1"/>
  <c r="H49" i="4"/>
  <c r="N49" i="4" s="1"/>
  <c r="G49" i="4"/>
  <c r="P49" i="4" s="1"/>
  <c r="F49" i="4"/>
  <c r="E49" i="4"/>
  <c r="AK48" i="4"/>
  <c r="AJ48" i="4"/>
  <c r="AL48" i="4" s="1"/>
  <c r="AH48" i="4"/>
  <c r="AF48" i="4"/>
  <c r="AE48" i="4"/>
  <c r="AI48" i="4" s="1"/>
  <c r="AD48" i="4"/>
  <c r="AG48" i="4" s="1"/>
  <c r="AB48" i="4"/>
  <c r="Z48" i="4"/>
  <c r="Y48" i="4"/>
  <c r="AC48" i="4" s="1"/>
  <c r="X48" i="4"/>
  <c r="AA48" i="4" s="1"/>
  <c r="W48" i="4"/>
  <c r="T48" i="4"/>
  <c r="S48" i="4"/>
  <c r="V48" i="4" s="1"/>
  <c r="R48" i="4"/>
  <c r="U48" i="4" s="1"/>
  <c r="O48" i="4"/>
  <c r="L48" i="4"/>
  <c r="I48" i="4"/>
  <c r="Q48" i="4" s="1"/>
  <c r="H48" i="4"/>
  <c r="N48" i="4" s="1"/>
  <c r="G48" i="4"/>
  <c r="P48" i="4" s="1"/>
  <c r="F48" i="4"/>
  <c r="E48" i="4"/>
  <c r="AK47" i="4"/>
  <c r="AJ47" i="4"/>
  <c r="AL47" i="4" s="1"/>
  <c r="AH47" i="4"/>
  <c r="AF47" i="4"/>
  <c r="AE47" i="4"/>
  <c r="AD47" i="4"/>
  <c r="AB47" i="4"/>
  <c r="Z47" i="4"/>
  <c r="Y47" i="4"/>
  <c r="AC47" i="4" s="1"/>
  <c r="X47" i="4"/>
  <c r="AA47" i="4" s="1"/>
  <c r="W47" i="4"/>
  <c r="T47" i="4"/>
  <c r="S47" i="4"/>
  <c r="V47" i="4" s="1"/>
  <c r="R47" i="4"/>
  <c r="U47" i="4" s="1"/>
  <c r="O47" i="4"/>
  <c r="L47" i="4"/>
  <c r="I47" i="4"/>
  <c r="Q47" i="4" s="1"/>
  <c r="H47" i="4"/>
  <c r="G47" i="4"/>
  <c r="P47" i="4" s="1"/>
  <c r="F47" i="4"/>
  <c r="E47" i="4"/>
  <c r="AK46" i="4"/>
  <c r="AJ46" i="4"/>
  <c r="AL46" i="4" s="1"/>
  <c r="AH46" i="4"/>
  <c r="AF46" i="4"/>
  <c r="AE46" i="4"/>
  <c r="AI46" i="4" s="1"/>
  <c r="AD46" i="4"/>
  <c r="AG46" i="4" s="1"/>
  <c r="AB46" i="4"/>
  <c r="Z46" i="4"/>
  <c r="Y46" i="4"/>
  <c r="AC46" i="4" s="1"/>
  <c r="X46" i="4"/>
  <c r="AA46" i="4" s="1"/>
  <c r="W46" i="4"/>
  <c r="T46" i="4"/>
  <c r="S46" i="4"/>
  <c r="V46" i="4" s="1"/>
  <c r="R46" i="4"/>
  <c r="U46" i="4" s="1"/>
  <c r="O46" i="4"/>
  <c r="L46" i="4"/>
  <c r="I46" i="4"/>
  <c r="Q46" i="4" s="1"/>
  <c r="H46" i="4"/>
  <c r="N46" i="4" s="1"/>
  <c r="G46" i="4"/>
  <c r="P46" i="4" s="1"/>
  <c r="F46" i="4"/>
  <c r="E46" i="4"/>
  <c r="AK45" i="4"/>
  <c r="AJ45" i="4"/>
  <c r="AL45" i="4" s="1"/>
  <c r="AH45" i="4"/>
  <c r="AF45" i="4"/>
  <c r="AE45" i="4"/>
  <c r="AD45" i="4"/>
  <c r="AB45" i="4"/>
  <c r="Z45" i="4"/>
  <c r="Y45" i="4"/>
  <c r="AC45" i="4" s="1"/>
  <c r="X45" i="4"/>
  <c r="AA45" i="4" s="1"/>
  <c r="W45" i="4"/>
  <c r="T45" i="4"/>
  <c r="S45" i="4"/>
  <c r="V45" i="4" s="1"/>
  <c r="R45" i="4"/>
  <c r="U45" i="4" s="1"/>
  <c r="O45" i="4"/>
  <c r="L45" i="4"/>
  <c r="I45" i="4"/>
  <c r="Q45" i="4" s="1"/>
  <c r="H45" i="4"/>
  <c r="G45" i="4"/>
  <c r="P45" i="4" s="1"/>
  <c r="F45" i="4"/>
  <c r="E45" i="4"/>
  <c r="AK44" i="4"/>
  <c r="AJ44" i="4"/>
  <c r="AL44" i="4" s="1"/>
  <c r="AH44" i="4"/>
  <c r="AF44" i="4"/>
  <c r="AE44" i="4"/>
  <c r="AI44" i="4" s="1"/>
  <c r="AD44" i="4"/>
  <c r="AG44" i="4" s="1"/>
  <c r="AB44" i="4"/>
  <c r="Z44" i="4"/>
  <c r="Y44" i="4"/>
  <c r="AC44" i="4" s="1"/>
  <c r="X44" i="4"/>
  <c r="AA44" i="4" s="1"/>
  <c r="W44" i="4"/>
  <c r="T44" i="4"/>
  <c r="S44" i="4"/>
  <c r="V44" i="4" s="1"/>
  <c r="R44" i="4"/>
  <c r="U44" i="4" s="1"/>
  <c r="O44" i="4"/>
  <c r="L44" i="4"/>
  <c r="I44" i="4"/>
  <c r="Q44" i="4" s="1"/>
  <c r="H44" i="4"/>
  <c r="N44" i="4" s="1"/>
  <c r="G44" i="4"/>
  <c r="P44" i="4" s="1"/>
  <c r="F44" i="4"/>
  <c r="E44" i="4"/>
  <c r="AK43" i="4"/>
  <c r="AJ43" i="4"/>
  <c r="AL43" i="4" s="1"/>
  <c r="AH43" i="4"/>
  <c r="AF43" i="4"/>
  <c r="AE43" i="4"/>
  <c r="AD43" i="4"/>
  <c r="AB43" i="4"/>
  <c r="Z43" i="4"/>
  <c r="Y43" i="4"/>
  <c r="AC43" i="4" s="1"/>
  <c r="X43" i="4"/>
  <c r="AA43" i="4" s="1"/>
  <c r="W43" i="4"/>
  <c r="T43" i="4"/>
  <c r="S43" i="4"/>
  <c r="V43" i="4" s="1"/>
  <c r="R43" i="4"/>
  <c r="U43" i="4" s="1"/>
  <c r="O43" i="4"/>
  <c r="L43" i="4"/>
  <c r="I43" i="4"/>
  <c r="Q43" i="4" s="1"/>
  <c r="H43" i="4"/>
  <c r="G43" i="4"/>
  <c r="P43" i="4" s="1"/>
  <c r="F43" i="4"/>
  <c r="E43" i="4"/>
  <c r="AK42" i="4"/>
  <c r="AJ42" i="4"/>
  <c r="AL42" i="4" s="1"/>
  <c r="AH42" i="4"/>
  <c r="AF42" i="4"/>
  <c r="AE42" i="4"/>
  <c r="AI42" i="4" s="1"/>
  <c r="AD42" i="4"/>
  <c r="AG42" i="4" s="1"/>
  <c r="AB42" i="4"/>
  <c r="Z42" i="4"/>
  <c r="Y42" i="4"/>
  <c r="AC42" i="4" s="1"/>
  <c r="X42" i="4"/>
  <c r="AA42" i="4" s="1"/>
  <c r="W42" i="4"/>
  <c r="T42" i="4"/>
  <c r="S42" i="4"/>
  <c r="V42" i="4" s="1"/>
  <c r="R42" i="4"/>
  <c r="U42" i="4" s="1"/>
  <c r="O42" i="4"/>
  <c r="L42" i="4"/>
  <c r="I42" i="4"/>
  <c r="Q42" i="4" s="1"/>
  <c r="H42" i="4"/>
  <c r="N42" i="4" s="1"/>
  <c r="G42" i="4"/>
  <c r="P42" i="4" s="1"/>
  <c r="F42" i="4"/>
  <c r="E42" i="4"/>
  <c r="AK41" i="4"/>
  <c r="AJ41" i="4"/>
  <c r="AL41" i="4" s="1"/>
  <c r="AH41" i="4"/>
  <c r="AF41" i="4"/>
  <c r="AE41" i="4"/>
  <c r="AD41" i="4"/>
  <c r="AB41" i="4"/>
  <c r="Z41" i="4"/>
  <c r="Y41" i="4"/>
  <c r="AC41" i="4" s="1"/>
  <c r="X41" i="4"/>
  <c r="AA41" i="4" s="1"/>
  <c r="W41" i="4"/>
  <c r="T41" i="4"/>
  <c r="S41" i="4"/>
  <c r="V41" i="4" s="1"/>
  <c r="R41" i="4"/>
  <c r="U41" i="4" s="1"/>
  <c r="O41" i="4"/>
  <c r="L41" i="4"/>
  <c r="I41" i="4"/>
  <c r="Q41" i="4" s="1"/>
  <c r="H41" i="4"/>
  <c r="G41" i="4"/>
  <c r="P41" i="4" s="1"/>
  <c r="F41" i="4"/>
  <c r="E41" i="4"/>
  <c r="AK40" i="4"/>
  <c r="AJ40" i="4"/>
  <c r="AL40" i="4" s="1"/>
  <c r="AH40" i="4"/>
  <c r="AF40" i="4"/>
  <c r="AE40" i="4"/>
  <c r="AD40" i="4"/>
  <c r="AB40" i="4"/>
  <c r="Z40" i="4"/>
  <c r="Y40" i="4"/>
  <c r="AC40" i="4" s="1"/>
  <c r="X40" i="4"/>
  <c r="W40" i="4"/>
  <c r="T40" i="4"/>
  <c r="S40" i="4"/>
  <c r="V40" i="4" s="1"/>
  <c r="R40" i="4"/>
  <c r="U40" i="4" s="1"/>
  <c r="O40" i="4"/>
  <c r="L40" i="4"/>
  <c r="I40" i="4"/>
  <c r="Q40" i="4" s="1"/>
  <c r="H40" i="4"/>
  <c r="G40" i="4"/>
  <c r="P40" i="4" s="1"/>
  <c r="F40" i="4"/>
  <c r="E40" i="4"/>
  <c r="AK39" i="4"/>
  <c r="AJ39" i="4"/>
  <c r="AL39" i="4" s="1"/>
  <c r="AH39" i="4"/>
  <c r="AF39" i="4"/>
  <c r="AE39" i="4"/>
  <c r="AD39" i="4"/>
  <c r="AB39" i="4"/>
  <c r="Z39" i="4"/>
  <c r="Y39" i="4"/>
  <c r="AC39" i="4" s="1"/>
  <c r="X39" i="4"/>
  <c r="AA39" i="4" s="1"/>
  <c r="W39" i="4"/>
  <c r="T39" i="4"/>
  <c r="S39" i="4"/>
  <c r="V39" i="4" s="1"/>
  <c r="R39" i="4"/>
  <c r="U39" i="4" s="1"/>
  <c r="O39" i="4"/>
  <c r="L39" i="4"/>
  <c r="I39" i="4"/>
  <c r="Q39" i="4" s="1"/>
  <c r="H39" i="4"/>
  <c r="G39" i="4"/>
  <c r="P39" i="4" s="1"/>
  <c r="F39" i="4"/>
  <c r="E39" i="4"/>
  <c r="AK38" i="4"/>
  <c r="AJ38" i="4"/>
  <c r="AL38" i="4" s="1"/>
  <c r="AH38" i="4"/>
  <c r="AF38" i="4"/>
  <c r="AE38" i="4"/>
  <c r="AI38" i="4" s="1"/>
  <c r="AD38" i="4"/>
  <c r="AG38" i="4" s="1"/>
  <c r="AB38" i="4"/>
  <c r="Z38" i="4"/>
  <c r="Y38" i="4"/>
  <c r="AC38" i="4" s="1"/>
  <c r="X38" i="4"/>
  <c r="AA38" i="4" s="1"/>
  <c r="W38" i="4"/>
  <c r="T38" i="4"/>
  <c r="S38" i="4"/>
  <c r="V38" i="4" s="1"/>
  <c r="R38" i="4"/>
  <c r="U38" i="4" s="1"/>
  <c r="O38" i="4"/>
  <c r="L38" i="4"/>
  <c r="I38" i="4"/>
  <c r="Q38" i="4" s="1"/>
  <c r="H38" i="4"/>
  <c r="N38" i="4" s="1"/>
  <c r="G38" i="4"/>
  <c r="P38" i="4" s="1"/>
  <c r="F38" i="4"/>
  <c r="E38" i="4"/>
  <c r="AK37" i="4"/>
  <c r="AJ37" i="4"/>
  <c r="AL37" i="4" s="1"/>
  <c r="AH37" i="4"/>
  <c r="AF37" i="4"/>
  <c r="AE37" i="4"/>
  <c r="AD37" i="4"/>
  <c r="AB37" i="4"/>
  <c r="Z37" i="4"/>
  <c r="Y37" i="4"/>
  <c r="AC37" i="4" s="1"/>
  <c r="X37" i="4"/>
  <c r="AA37" i="4" s="1"/>
  <c r="W37" i="4"/>
  <c r="T37" i="4"/>
  <c r="S37" i="4"/>
  <c r="V37" i="4" s="1"/>
  <c r="R37" i="4"/>
  <c r="U37" i="4" s="1"/>
  <c r="O37" i="4"/>
  <c r="L37" i="4"/>
  <c r="I37" i="4"/>
  <c r="Q37" i="4" s="1"/>
  <c r="H37" i="4"/>
  <c r="G37" i="4"/>
  <c r="P37" i="4" s="1"/>
  <c r="F37" i="4"/>
  <c r="E37" i="4"/>
  <c r="AK36" i="4"/>
  <c r="AJ36" i="4"/>
  <c r="AH36" i="4"/>
  <c r="AF36" i="4"/>
  <c r="AE36" i="4"/>
  <c r="AD36" i="4"/>
  <c r="AB36" i="4"/>
  <c r="Z36" i="4"/>
  <c r="Y36" i="4"/>
  <c r="X36" i="4"/>
  <c r="W36" i="4"/>
  <c r="T36" i="4"/>
  <c r="S36" i="4"/>
  <c r="V36" i="4" s="1"/>
  <c r="R36" i="4"/>
  <c r="U36" i="4" s="1"/>
  <c r="O36" i="4"/>
  <c r="L36" i="4"/>
  <c r="I36" i="4"/>
  <c r="Q36" i="4" s="1"/>
  <c r="H36" i="4"/>
  <c r="G36" i="4"/>
  <c r="P36" i="4" s="1"/>
  <c r="F36" i="4"/>
  <c r="E36" i="4"/>
  <c r="AK35" i="4"/>
  <c r="AJ35" i="4"/>
  <c r="AL35" i="4" s="1"/>
  <c r="AH35" i="4"/>
  <c r="AF35" i="4"/>
  <c r="AE35" i="4"/>
  <c r="AD35" i="4"/>
  <c r="AB35" i="4"/>
  <c r="Z35" i="4"/>
  <c r="Y35" i="4"/>
  <c r="AC35" i="4" s="1"/>
  <c r="X35" i="4"/>
  <c r="AA35" i="4" s="1"/>
  <c r="W35" i="4"/>
  <c r="T35" i="4"/>
  <c r="S35" i="4"/>
  <c r="R35" i="4"/>
  <c r="U35" i="4" s="1"/>
  <c r="O35" i="4"/>
  <c r="L35" i="4"/>
  <c r="I35" i="4"/>
  <c r="Q35" i="4" s="1"/>
  <c r="H35" i="4"/>
  <c r="G35" i="4"/>
  <c r="F35" i="4"/>
  <c r="E35" i="4"/>
  <c r="AK34" i="4"/>
  <c r="AJ34" i="4"/>
  <c r="AL34" i="4" s="1"/>
  <c r="AH34" i="4"/>
  <c r="AF34" i="4"/>
  <c r="AE34" i="4"/>
  <c r="AI34" i="4" s="1"/>
  <c r="AD34" i="4"/>
  <c r="AG34" i="4" s="1"/>
  <c r="AB34" i="4"/>
  <c r="Z34" i="4"/>
  <c r="Y34" i="4"/>
  <c r="AC34" i="4" s="1"/>
  <c r="X34" i="4"/>
  <c r="AA34" i="4" s="1"/>
  <c r="W34" i="4"/>
  <c r="T34" i="4"/>
  <c r="S34" i="4"/>
  <c r="V34" i="4" s="1"/>
  <c r="R34" i="4"/>
  <c r="U34" i="4" s="1"/>
  <c r="O34" i="4"/>
  <c r="L34" i="4"/>
  <c r="I34" i="4"/>
  <c r="Q34" i="4" s="1"/>
  <c r="H34" i="4"/>
  <c r="G34" i="4"/>
  <c r="P34" i="4" s="1"/>
  <c r="F34" i="4"/>
  <c r="E34" i="4"/>
  <c r="AK33" i="4"/>
  <c r="AJ33" i="4"/>
  <c r="AH33" i="4"/>
  <c r="AF33" i="4"/>
  <c r="AE33" i="4"/>
  <c r="AD33" i="4"/>
  <c r="AB33" i="4"/>
  <c r="Z33" i="4"/>
  <c r="Y33" i="4"/>
  <c r="AC33" i="4" s="1"/>
  <c r="X33" i="4"/>
  <c r="AA33" i="4" s="1"/>
  <c r="W33" i="4"/>
  <c r="T33" i="4"/>
  <c r="S33" i="4"/>
  <c r="V33" i="4" s="1"/>
  <c r="R33" i="4"/>
  <c r="U33" i="4" s="1"/>
  <c r="O33" i="4"/>
  <c r="L33" i="4"/>
  <c r="I33" i="4"/>
  <c r="H33" i="4"/>
  <c r="G33" i="4"/>
  <c r="P33" i="4" s="1"/>
  <c r="F33" i="4"/>
  <c r="E33" i="4"/>
  <c r="AK32" i="4"/>
  <c r="AJ32" i="4"/>
  <c r="AL32" i="4" s="1"/>
  <c r="AH32" i="4"/>
  <c r="AF32" i="4"/>
  <c r="AE32" i="4"/>
  <c r="AI32" i="4" s="1"/>
  <c r="AD32" i="4"/>
  <c r="AB32" i="4"/>
  <c r="Z32" i="4"/>
  <c r="Y32" i="4"/>
  <c r="AC32" i="4" s="1"/>
  <c r="X32" i="4"/>
  <c r="AA32" i="4" s="1"/>
  <c r="W32" i="4"/>
  <c r="T32" i="4"/>
  <c r="S32" i="4"/>
  <c r="V32" i="4" s="1"/>
  <c r="R32" i="4"/>
  <c r="U32" i="4" s="1"/>
  <c r="O32" i="4"/>
  <c r="L32" i="4"/>
  <c r="I32" i="4"/>
  <c r="Q32" i="4" s="1"/>
  <c r="H32" i="4"/>
  <c r="N32" i="4" s="1"/>
  <c r="G32" i="4"/>
  <c r="P32" i="4" s="1"/>
  <c r="F32" i="4"/>
  <c r="E32" i="4"/>
  <c r="AK30" i="4"/>
  <c r="AJ30" i="4"/>
  <c r="AH30" i="4"/>
  <c r="AF30" i="4"/>
  <c r="AE30" i="4"/>
  <c r="AD30" i="4"/>
  <c r="AB30" i="4"/>
  <c r="Z30" i="4"/>
  <c r="Y30" i="4"/>
  <c r="X30" i="4"/>
  <c r="W30" i="4"/>
  <c r="T30" i="4"/>
  <c r="S30" i="4"/>
  <c r="V30" i="4" s="1"/>
  <c r="R30" i="4"/>
  <c r="U30" i="4" s="1"/>
  <c r="O30" i="4"/>
  <c r="L30" i="4"/>
  <c r="I30" i="4"/>
  <c r="Q30" i="4" s="1"/>
  <c r="H30" i="4"/>
  <c r="G30" i="4"/>
  <c r="P30" i="4" s="1"/>
  <c r="F30" i="4"/>
  <c r="E30" i="4"/>
  <c r="AK29" i="4"/>
  <c r="AJ29" i="4"/>
  <c r="AH29" i="4"/>
  <c r="AF29" i="4"/>
  <c r="AE29" i="4"/>
  <c r="AD29" i="4"/>
  <c r="AB29" i="4"/>
  <c r="Z29" i="4"/>
  <c r="Y29" i="4"/>
  <c r="X29" i="4"/>
  <c r="W29" i="4"/>
  <c r="T29" i="4"/>
  <c r="S29" i="4"/>
  <c r="V29" i="4" s="1"/>
  <c r="R29" i="4"/>
  <c r="U29" i="4" s="1"/>
  <c r="O29" i="4"/>
  <c r="L29" i="4"/>
  <c r="I29" i="4"/>
  <c r="Q29" i="4" s="1"/>
  <c r="H29" i="4"/>
  <c r="G29" i="4"/>
  <c r="P29" i="4" s="1"/>
  <c r="F29" i="4"/>
  <c r="E29" i="4"/>
  <c r="AK28" i="4"/>
  <c r="AJ28" i="4"/>
  <c r="AL28" i="4" s="1"/>
  <c r="AH28" i="4"/>
  <c r="AF28" i="4"/>
  <c r="AE28" i="4"/>
  <c r="AI28" i="4" s="1"/>
  <c r="AD28" i="4"/>
  <c r="AG28" i="4" s="1"/>
  <c r="AB28" i="4"/>
  <c r="Z28" i="4"/>
  <c r="Y28" i="4"/>
  <c r="AC28" i="4" s="1"/>
  <c r="X28" i="4"/>
  <c r="AA28" i="4" s="1"/>
  <c r="W28" i="4"/>
  <c r="T28" i="4"/>
  <c r="S28" i="4"/>
  <c r="V28" i="4" s="1"/>
  <c r="R28" i="4"/>
  <c r="U28" i="4" s="1"/>
  <c r="O28" i="4"/>
  <c r="L28" i="4"/>
  <c r="I28" i="4"/>
  <c r="Q28" i="4" s="1"/>
  <c r="H28" i="4"/>
  <c r="N28" i="4" s="1"/>
  <c r="G28" i="4"/>
  <c r="P28" i="4" s="1"/>
  <c r="F28" i="4"/>
  <c r="E28" i="4"/>
  <c r="AK27" i="4"/>
  <c r="AJ27" i="4"/>
  <c r="AL27" i="4" s="1"/>
  <c r="AH27" i="4"/>
  <c r="AF27" i="4"/>
  <c r="AE27" i="4"/>
  <c r="AI27" i="4" s="1"/>
  <c r="AD27" i="4"/>
  <c r="AG27" i="4" s="1"/>
  <c r="AB27" i="4"/>
  <c r="Z27" i="4"/>
  <c r="Y27" i="4"/>
  <c r="AC27" i="4" s="1"/>
  <c r="X27" i="4"/>
  <c r="AA27" i="4" s="1"/>
  <c r="W27" i="4"/>
  <c r="T27" i="4"/>
  <c r="S27" i="4"/>
  <c r="V27" i="4" s="1"/>
  <c r="R27" i="4"/>
  <c r="U27" i="4" s="1"/>
  <c r="O27" i="4"/>
  <c r="L27" i="4"/>
  <c r="I27" i="4"/>
  <c r="Q27" i="4" s="1"/>
  <c r="H27" i="4"/>
  <c r="N27" i="4" s="1"/>
  <c r="G27" i="4"/>
  <c r="P27" i="4" s="1"/>
  <c r="F27" i="4"/>
  <c r="E27" i="4"/>
  <c r="AK26" i="4"/>
  <c r="AJ26" i="4"/>
  <c r="AH26" i="4"/>
  <c r="AF26" i="4"/>
  <c r="AE26" i="4"/>
  <c r="AD26" i="4"/>
  <c r="AB26" i="4"/>
  <c r="Z26" i="4"/>
  <c r="Y26" i="4"/>
  <c r="X26" i="4"/>
  <c r="W26" i="4"/>
  <c r="T26" i="4"/>
  <c r="S26" i="4"/>
  <c r="V26" i="4" s="1"/>
  <c r="R26" i="4"/>
  <c r="U26" i="4" s="1"/>
  <c r="O26" i="4"/>
  <c r="L26" i="4"/>
  <c r="I26" i="4"/>
  <c r="Q26" i="4" s="1"/>
  <c r="H26" i="4"/>
  <c r="G26" i="4"/>
  <c r="P26" i="4" s="1"/>
  <c r="F26" i="4"/>
  <c r="E26" i="4"/>
  <c r="AK25" i="4"/>
  <c r="AJ25" i="4"/>
  <c r="AL25" i="4" s="1"/>
  <c r="AH25" i="4"/>
  <c r="AF25" i="4"/>
  <c r="AE25" i="4"/>
  <c r="AI25" i="4" s="1"/>
  <c r="AD25" i="4"/>
  <c r="AG25" i="4" s="1"/>
  <c r="AB25" i="4"/>
  <c r="Z25" i="4"/>
  <c r="Y25" i="4"/>
  <c r="AC25" i="4" s="1"/>
  <c r="X25" i="4"/>
  <c r="AA25" i="4" s="1"/>
  <c r="W25" i="4"/>
  <c r="T25" i="4"/>
  <c r="S25" i="4"/>
  <c r="V25" i="4" s="1"/>
  <c r="R25" i="4"/>
  <c r="U25" i="4" s="1"/>
  <c r="O25" i="4"/>
  <c r="L25" i="4"/>
  <c r="I25" i="4"/>
  <c r="Q25" i="4" s="1"/>
  <c r="H25" i="4"/>
  <c r="N25" i="4" s="1"/>
  <c r="G25" i="4"/>
  <c r="P25" i="4" s="1"/>
  <c r="F25" i="4"/>
  <c r="E25" i="4"/>
  <c r="AK24" i="4"/>
  <c r="AJ24" i="4"/>
  <c r="AH24" i="4"/>
  <c r="AF24" i="4"/>
  <c r="AE24" i="4"/>
  <c r="AD24" i="4"/>
  <c r="AB24" i="4"/>
  <c r="Z24" i="4"/>
  <c r="Y24" i="4"/>
  <c r="X24" i="4"/>
  <c r="W24" i="4"/>
  <c r="T24" i="4"/>
  <c r="S24" i="4"/>
  <c r="V24" i="4" s="1"/>
  <c r="R24" i="4"/>
  <c r="U24" i="4" s="1"/>
  <c r="O24" i="4"/>
  <c r="L24" i="4"/>
  <c r="I24" i="4"/>
  <c r="Q24" i="4" s="1"/>
  <c r="H24" i="4"/>
  <c r="G24" i="4"/>
  <c r="P24" i="4" s="1"/>
  <c r="F24" i="4"/>
  <c r="E24" i="4"/>
  <c r="AK23" i="4"/>
  <c r="AJ23" i="4"/>
  <c r="AL23" i="4" s="1"/>
  <c r="AH23" i="4"/>
  <c r="AF23" i="4"/>
  <c r="AE23" i="4"/>
  <c r="AD23" i="4"/>
  <c r="AB23" i="4"/>
  <c r="Z23" i="4"/>
  <c r="Y23" i="4"/>
  <c r="AC23" i="4" s="1"/>
  <c r="X23" i="4"/>
  <c r="AA23" i="4" s="1"/>
  <c r="W23" i="4"/>
  <c r="T23" i="4"/>
  <c r="S23" i="4"/>
  <c r="V23" i="4" s="1"/>
  <c r="R23" i="4"/>
  <c r="U23" i="4" s="1"/>
  <c r="O23" i="4"/>
  <c r="L23" i="4"/>
  <c r="I23" i="4"/>
  <c r="Q23" i="4" s="1"/>
  <c r="H23" i="4"/>
  <c r="G23" i="4"/>
  <c r="P23" i="4" s="1"/>
  <c r="F23" i="4"/>
  <c r="E23" i="4"/>
  <c r="AK22" i="4"/>
  <c r="AJ22" i="4"/>
  <c r="AL22" i="4" s="1"/>
  <c r="AH22" i="4"/>
  <c r="AF22" i="4"/>
  <c r="AE22" i="4"/>
  <c r="AI22" i="4" s="1"/>
  <c r="AD22" i="4"/>
  <c r="AG22" i="4" s="1"/>
  <c r="AB22" i="4"/>
  <c r="Z22" i="4"/>
  <c r="Y22" i="4"/>
  <c r="AC22" i="4" s="1"/>
  <c r="X22" i="4"/>
  <c r="AA22" i="4" s="1"/>
  <c r="W22" i="4"/>
  <c r="T22" i="4"/>
  <c r="S22" i="4"/>
  <c r="V22" i="4" s="1"/>
  <c r="R22" i="4"/>
  <c r="U22" i="4" s="1"/>
  <c r="O22" i="4"/>
  <c r="L22" i="4"/>
  <c r="I22" i="4"/>
  <c r="Q22" i="4" s="1"/>
  <c r="H22" i="4"/>
  <c r="N22" i="4" s="1"/>
  <c r="G22" i="4"/>
  <c r="P22" i="4" s="1"/>
  <c r="F22" i="4"/>
  <c r="E22" i="4"/>
  <c r="AK21" i="4"/>
  <c r="AJ21" i="4"/>
  <c r="AL21" i="4" s="1"/>
  <c r="AH21" i="4"/>
  <c r="AF21" i="4"/>
  <c r="AE21" i="4"/>
  <c r="AI21" i="4" s="1"/>
  <c r="AD21" i="4"/>
  <c r="AG21" i="4" s="1"/>
  <c r="AB21" i="4"/>
  <c r="Z21" i="4"/>
  <c r="Y21" i="4"/>
  <c r="AC21" i="4" s="1"/>
  <c r="X21" i="4"/>
  <c r="AA21" i="4" s="1"/>
  <c r="W21" i="4"/>
  <c r="T21" i="4"/>
  <c r="S21" i="4"/>
  <c r="V21" i="4" s="1"/>
  <c r="R21" i="4"/>
  <c r="U21" i="4" s="1"/>
  <c r="O21" i="4"/>
  <c r="L21" i="4"/>
  <c r="I21" i="4"/>
  <c r="Q21" i="4" s="1"/>
  <c r="H21" i="4"/>
  <c r="N21" i="4" s="1"/>
  <c r="G21" i="4"/>
  <c r="P21" i="4" s="1"/>
  <c r="F21" i="4"/>
  <c r="E21" i="4"/>
  <c r="AK20" i="4"/>
  <c r="AJ20" i="4"/>
  <c r="AH20" i="4"/>
  <c r="AF20" i="4"/>
  <c r="AE20" i="4"/>
  <c r="AD20" i="4"/>
  <c r="AB20" i="4"/>
  <c r="Z20" i="4"/>
  <c r="Y20" i="4"/>
  <c r="X20" i="4"/>
  <c r="W20" i="4"/>
  <c r="T20" i="4"/>
  <c r="S20" i="4"/>
  <c r="V20" i="4" s="1"/>
  <c r="R20" i="4"/>
  <c r="U20" i="4" s="1"/>
  <c r="O20" i="4"/>
  <c r="L20" i="4"/>
  <c r="I20" i="4"/>
  <c r="Q20" i="4" s="1"/>
  <c r="H20" i="4"/>
  <c r="G20" i="4"/>
  <c r="P20" i="4" s="1"/>
  <c r="F20" i="4"/>
  <c r="E20" i="4"/>
  <c r="AK19" i="4"/>
  <c r="AJ19" i="4"/>
  <c r="AH19" i="4"/>
  <c r="AF19" i="4"/>
  <c r="AE19" i="4"/>
  <c r="AD19" i="4"/>
  <c r="AB19" i="4"/>
  <c r="Z19" i="4"/>
  <c r="Y19" i="4"/>
  <c r="X19" i="4"/>
  <c r="W19" i="4"/>
  <c r="T19" i="4"/>
  <c r="S19" i="4"/>
  <c r="V19" i="4" s="1"/>
  <c r="R19" i="4"/>
  <c r="U19" i="4" s="1"/>
  <c r="O19" i="4"/>
  <c r="L19" i="4"/>
  <c r="I19" i="4"/>
  <c r="Q19" i="4" s="1"/>
  <c r="H19" i="4"/>
  <c r="G19" i="4"/>
  <c r="P19" i="4" s="1"/>
  <c r="F19" i="4"/>
  <c r="E19" i="4"/>
  <c r="AK18" i="4"/>
  <c r="AJ18" i="4"/>
  <c r="AL18" i="4" s="1"/>
  <c r="AH18" i="4"/>
  <c r="AF18" i="4"/>
  <c r="AE18" i="4"/>
  <c r="AD18" i="4"/>
  <c r="AB18" i="4"/>
  <c r="Z18" i="4"/>
  <c r="Y18" i="4"/>
  <c r="AC18" i="4" s="1"/>
  <c r="X18" i="4"/>
  <c r="AA18" i="4" s="1"/>
  <c r="W18" i="4"/>
  <c r="T18" i="4"/>
  <c r="S18" i="4"/>
  <c r="V18" i="4" s="1"/>
  <c r="R18" i="4"/>
  <c r="U18" i="4" s="1"/>
  <c r="O18" i="4"/>
  <c r="L18" i="4"/>
  <c r="I18" i="4"/>
  <c r="Q18" i="4" s="1"/>
  <c r="H18" i="4"/>
  <c r="G18" i="4"/>
  <c r="P18" i="4" s="1"/>
  <c r="F18" i="4"/>
  <c r="E18" i="4"/>
  <c r="AK17" i="4"/>
  <c r="AJ17" i="4"/>
  <c r="AL17" i="4" s="1"/>
  <c r="AH17" i="4"/>
  <c r="AF17" i="4"/>
  <c r="AE17" i="4"/>
  <c r="AD17" i="4"/>
  <c r="AB17" i="4"/>
  <c r="Z17" i="4"/>
  <c r="Y17" i="4"/>
  <c r="AC17" i="4" s="1"/>
  <c r="X17" i="4"/>
  <c r="AA17" i="4" s="1"/>
  <c r="W17" i="4"/>
  <c r="T17" i="4"/>
  <c r="S17" i="4"/>
  <c r="R17" i="4"/>
  <c r="U17" i="4" s="1"/>
  <c r="O17" i="4"/>
  <c r="L17" i="4"/>
  <c r="I17" i="4"/>
  <c r="Q17" i="4" s="1"/>
  <c r="H17" i="4"/>
  <c r="G17" i="4"/>
  <c r="F17" i="4"/>
  <c r="E17" i="4"/>
  <c r="AK16" i="4"/>
  <c r="AJ16" i="4"/>
  <c r="AH16" i="4"/>
  <c r="AF16" i="4"/>
  <c r="AE16" i="4"/>
  <c r="AD16" i="4"/>
  <c r="AB16" i="4"/>
  <c r="Z16" i="4"/>
  <c r="Y16" i="4"/>
  <c r="X16" i="4"/>
  <c r="W16" i="4"/>
  <c r="T16" i="4"/>
  <c r="S16" i="4"/>
  <c r="V16" i="4" s="1"/>
  <c r="R16" i="4"/>
  <c r="U16" i="4" s="1"/>
  <c r="O16" i="4"/>
  <c r="L16" i="4"/>
  <c r="I16" i="4"/>
  <c r="Q16" i="4" s="1"/>
  <c r="H16" i="4"/>
  <c r="G16" i="4"/>
  <c r="P16" i="4" s="1"/>
  <c r="F16" i="4"/>
  <c r="E16" i="4"/>
  <c r="AK15" i="4"/>
  <c r="AJ15" i="4"/>
  <c r="AH15" i="4"/>
  <c r="AF15" i="4"/>
  <c r="AE15" i="4"/>
  <c r="AD15" i="4"/>
  <c r="AB15" i="4"/>
  <c r="Z15" i="4"/>
  <c r="Y15" i="4"/>
  <c r="X15" i="4"/>
  <c r="W15" i="4"/>
  <c r="T15" i="4"/>
  <c r="S15" i="4"/>
  <c r="V15" i="4" s="1"/>
  <c r="R15" i="4"/>
  <c r="U15" i="4" s="1"/>
  <c r="O15" i="4"/>
  <c r="L15" i="4"/>
  <c r="I15" i="4"/>
  <c r="H15" i="4"/>
  <c r="G15" i="4"/>
  <c r="P15" i="4" s="1"/>
  <c r="F15" i="4"/>
  <c r="E15" i="4"/>
  <c r="AK14" i="4"/>
  <c r="AJ14" i="4"/>
  <c r="AL14" i="4" s="1"/>
  <c r="AH14" i="4"/>
  <c r="AF14" i="4"/>
  <c r="AE14" i="4"/>
  <c r="AI14" i="4" s="1"/>
  <c r="AD14" i="4"/>
  <c r="AB14" i="4"/>
  <c r="Z14" i="4"/>
  <c r="Y14" i="4"/>
  <c r="AC14" i="4" s="1"/>
  <c r="X14" i="4"/>
  <c r="AA14" i="4" s="1"/>
  <c r="W14" i="4"/>
  <c r="T14" i="4"/>
  <c r="S14" i="4"/>
  <c r="V14" i="4" s="1"/>
  <c r="R14" i="4"/>
  <c r="U14" i="4" s="1"/>
  <c r="O14" i="4"/>
  <c r="L14" i="4"/>
  <c r="I14" i="4"/>
  <c r="Q14" i="4" s="1"/>
  <c r="H14" i="4"/>
  <c r="N14" i="4" s="1"/>
  <c r="G14" i="4"/>
  <c r="P14" i="4" s="1"/>
  <c r="F14" i="4"/>
  <c r="E14" i="4"/>
  <c r="T9" i="4"/>
  <c r="S9" i="4"/>
  <c r="V9" i="4" s="1"/>
  <c r="R9" i="4"/>
  <c r="U9" i="4" s="1"/>
  <c r="V106" i="3"/>
  <c r="U106" i="3"/>
  <c r="O106" i="3"/>
  <c r="L106" i="3"/>
  <c r="I106" i="3"/>
  <c r="Q106" i="3" s="1"/>
  <c r="H106" i="3"/>
  <c r="N106" i="3" s="1"/>
  <c r="G106" i="3"/>
  <c r="P106" i="3" s="1"/>
  <c r="F106" i="3"/>
  <c r="E106" i="3"/>
  <c r="V105" i="3"/>
  <c r="U105" i="3"/>
  <c r="O105" i="3"/>
  <c r="L105" i="3"/>
  <c r="I105" i="3"/>
  <c r="Q105" i="3" s="1"/>
  <c r="H105" i="3"/>
  <c r="N105" i="3" s="1"/>
  <c r="G105" i="3"/>
  <c r="P105" i="3" s="1"/>
  <c r="F105" i="3"/>
  <c r="E105" i="3"/>
  <c r="V104" i="3"/>
  <c r="U104" i="3"/>
  <c r="O104" i="3"/>
  <c r="L104" i="3"/>
  <c r="I104" i="3"/>
  <c r="Q104" i="3" s="1"/>
  <c r="H104" i="3"/>
  <c r="N104" i="3" s="1"/>
  <c r="G104" i="3"/>
  <c r="P104" i="3" s="1"/>
  <c r="F104" i="3"/>
  <c r="E104" i="3"/>
  <c r="V103" i="3"/>
  <c r="U103" i="3"/>
  <c r="O103" i="3"/>
  <c r="L103" i="3"/>
  <c r="I103" i="3"/>
  <c r="Q103" i="3" s="1"/>
  <c r="H103" i="3"/>
  <c r="N103" i="3" s="1"/>
  <c r="G103" i="3"/>
  <c r="P103" i="3" s="1"/>
  <c r="F103" i="3"/>
  <c r="E103" i="3"/>
  <c r="V102" i="3"/>
  <c r="U102" i="3"/>
  <c r="O102" i="3"/>
  <c r="L102" i="3"/>
  <c r="I102" i="3"/>
  <c r="Q102" i="3" s="1"/>
  <c r="H102" i="3"/>
  <c r="N102" i="3" s="1"/>
  <c r="G102" i="3"/>
  <c r="P102" i="3" s="1"/>
  <c r="F102" i="3"/>
  <c r="E102" i="3"/>
  <c r="V101" i="3"/>
  <c r="U101" i="3"/>
  <c r="O101" i="3"/>
  <c r="L101" i="3"/>
  <c r="I101" i="3"/>
  <c r="Q101" i="3" s="1"/>
  <c r="H101" i="3"/>
  <c r="N101" i="3" s="1"/>
  <c r="G101" i="3"/>
  <c r="P101" i="3" s="1"/>
  <c r="F101" i="3"/>
  <c r="E101" i="3"/>
  <c r="V100" i="3"/>
  <c r="U100" i="3"/>
  <c r="O100" i="3"/>
  <c r="L100" i="3"/>
  <c r="I100" i="3"/>
  <c r="Q100" i="3" s="1"/>
  <c r="H100" i="3"/>
  <c r="N100" i="3" s="1"/>
  <c r="G100" i="3"/>
  <c r="P100" i="3" s="1"/>
  <c r="F100" i="3"/>
  <c r="E100" i="3"/>
  <c r="V99" i="3"/>
  <c r="U99" i="3"/>
  <c r="O99" i="3"/>
  <c r="L99" i="3"/>
  <c r="I99" i="3"/>
  <c r="Q99" i="3" s="1"/>
  <c r="H99" i="3"/>
  <c r="N99" i="3" s="1"/>
  <c r="G99" i="3"/>
  <c r="P99" i="3" s="1"/>
  <c r="F99" i="3"/>
  <c r="E99" i="3"/>
  <c r="V98" i="3"/>
  <c r="U98" i="3"/>
  <c r="O98" i="3"/>
  <c r="L98" i="3"/>
  <c r="I98" i="3"/>
  <c r="Q98" i="3" s="1"/>
  <c r="H98" i="3"/>
  <c r="N98" i="3" s="1"/>
  <c r="G98" i="3"/>
  <c r="P98" i="3" s="1"/>
  <c r="F98" i="3"/>
  <c r="E98" i="3"/>
  <c r="V97" i="3"/>
  <c r="U97" i="3"/>
  <c r="O97" i="3"/>
  <c r="L97" i="3"/>
  <c r="I97" i="3"/>
  <c r="Q97" i="3" s="1"/>
  <c r="H97" i="3"/>
  <c r="N97" i="3" s="1"/>
  <c r="G97" i="3"/>
  <c r="P97" i="3" s="1"/>
  <c r="F97" i="3"/>
  <c r="E97" i="3"/>
  <c r="V96" i="3"/>
  <c r="U96" i="3"/>
  <c r="O96" i="3"/>
  <c r="L96" i="3"/>
  <c r="I96" i="3"/>
  <c r="Q96" i="3" s="1"/>
  <c r="H96" i="3"/>
  <c r="N96" i="3" s="1"/>
  <c r="G96" i="3"/>
  <c r="P96" i="3" s="1"/>
  <c r="F96" i="3"/>
  <c r="E96" i="3"/>
  <c r="V95" i="3"/>
  <c r="U95" i="3"/>
  <c r="O95" i="3"/>
  <c r="L95" i="3"/>
  <c r="I95" i="3"/>
  <c r="Q95" i="3" s="1"/>
  <c r="H95" i="3"/>
  <c r="N95" i="3" s="1"/>
  <c r="G95" i="3"/>
  <c r="P95" i="3" s="1"/>
  <c r="F95" i="3"/>
  <c r="E95" i="3"/>
  <c r="V94" i="3"/>
  <c r="U94" i="3"/>
  <c r="O94" i="3"/>
  <c r="L94" i="3"/>
  <c r="I94" i="3"/>
  <c r="Q94" i="3" s="1"/>
  <c r="H94" i="3"/>
  <c r="N94" i="3" s="1"/>
  <c r="G94" i="3"/>
  <c r="P94" i="3" s="1"/>
  <c r="F94" i="3"/>
  <c r="E94" i="3"/>
  <c r="V93" i="3"/>
  <c r="U93" i="3"/>
  <c r="O93" i="3"/>
  <c r="L93" i="3"/>
  <c r="I93" i="3"/>
  <c r="Q93" i="3" s="1"/>
  <c r="H93" i="3"/>
  <c r="N93" i="3" s="1"/>
  <c r="G93" i="3"/>
  <c r="P93" i="3" s="1"/>
  <c r="F93" i="3"/>
  <c r="E93" i="3"/>
  <c r="V92" i="3"/>
  <c r="U92" i="3"/>
  <c r="O92" i="3"/>
  <c r="L92" i="3"/>
  <c r="I92" i="3"/>
  <c r="Q92" i="3" s="1"/>
  <c r="H92" i="3"/>
  <c r="N92" i="3" s="1"/>
  <c r="G92" i="3"/>
  <c r="P92" i="3" s="1"/>
  <c r="F92" i="3"/>
  <c r="E92" i="3"/>
  <c r="V91" i="3"/>
  <c r="U91" i="3"/>
  <c r="O91" i="3"/>
  <c r="L91" i="3"/>
  <c r="I91" i="3"/>
  <c r="Q91" i="3" s="1"/>
  <c r="H91" i="3"/>
  <c r="N91" i="3" s="1"/>
  <c r="G91" i="3"/>
  <c r="F91" i="3"/>
  <c r="E91" i="3"/>
  <c r="V90" i="3"/>
  <c r="U90" i="3"/>
  <c r="O90" i="3"/>
  <c r="L90" i="3"/>
  <c r="I90" i="3"/>
  <c r="H90" i="3"/>
  <c r="G90" i="3"/>
  <c r="P90" i="3" s="1"/>
  <c r="F90" i="3"/>
  <c r="E90" i="3"/>
  <c r="T89" i="3"/>
  <c r="S89" i="3"/>
  <c r="V89" i="3" s="1"/>
  <c r="R89" i="3"/>
  <c r="U89" i="3" s="1"/>
  <c r="AD88" i="3"/>
  <c r="AB88" i="3"/>
  <c r="AA88" i="3"/>
  <c r="Z88" i="3"/>
  <c r="X88" i="3"/>
  <c r="W88" i="3"/>
  <c r="T88" i="3"/>
  <c r="S88" i="3"/>
  <c r="V88" i="3" s="1"/>
  <c r="R88" i="3"/>
  <c r="O88" i="3"/>
  <c r="L88" i="3"/>
  <c r="I88" i="3"/>
  <c r="Q88" i="3" s="1"/>
  <c r="H88" i="3"/>
  <c r="N88" i="3" s="1"/>
  <c r="G88" i="3"/>
  <c r="P88" i="3" s="1"/>
  <c r="F88" i="3"/>
  <c r="E88" i="3"/>
  <c r="AD87" i="3"/>
  <c r="AB87" i="3"/>
  <c r="AA87" i="3"/>
  <c r="Z87" i="3"/>
  <c r="X87" i="3"/>
  <c r="W87" i="3"/>
  <c r="T87" i="3"/>
  <c r="S87" i="3"/>
  <c r="V87" i="3" s="1"/>
  <c r="R87" i="3"/>
  <c r="O87" i="3"/>
  <c r="L87" i="3"/>
  <c r="I87" i="3"/>
  <c r="Q87" i="3" s="1"/>
  <c r="H87" i="3"/>
  <c r="N87" i="3" s="1"/>
  <c r="G87" i="3"/>
  <c r="P87" i="3" s="1"/>
  <c r="F87" i="3"/>
  <c r="E87" i="3"/>
  <c r="AD86" i="3"/>
  <c r="AB86" i="3"/>
  <c r="AA86" i="3"/>
  <c r="Z86" i="3"/>
  <c r="X86" i="3"/>
  <c r="W86" i="3"/>
  <c r="T86" i="3"/>
  <c r="S86" i="3"/>
  <c r="V86" i="3" s="1"/>
  <c r="R86" i="3"/>
  <c r="O86" i="3"/>
  <c r="L86" i="3"/>
  <c r="I86" i="3"/>
  <c r="Q86" i="3" s="1"/>
  <c r="H86" i="3"/>
  <c r="N86" i="3" s="1"/>
  <c r="G86" i="3"/>
  <c r="P86" i="3" s="1"/>
  <c r="F86" i="3"/>
  <c r="E86" i="3"/>
  <c r="AD85" i="3"/>
  <c r="AB85" i="3"/>
  <c r="AA85" i="3"/>
  <c r="Z85" i="3"/>
  <c r="X85" i="3"/>
  <c r="W85" i="3"/>
  <c r="T85" i="3"/>
  <c r="S85" i="3"/>
  <c r="V85" i="3" s="1"/>
  <c r="R85" i="3"/>
  <c r="O85" i="3"/>
  <c r="L85" i="3"/>
  <c r="I85" i="3"/>
  <c r="Q85" i="3" s="1"/>
  <c r="H85" i="3"/>
  <c r="N85" i="3" s="1"/>
  <c r="G85" i="3"/>
  <c r="P85" i="3" s="1"/>
  <c r="F85" i="3"/>
  <c r="E85" i="3"/>
  <c r="AD84" i="3"/>
  <c r="AB84" i="3"/>
  <c r="AA84" i="3"/>
  <c r="Z84" i="3"/>
  <c r="X84" i="3"/>
  <c r="W84" i="3"/>
  <c r="T84" i="3"/>
  <c r="S84" i="3"/>
  <c r="V84" i="3" s="1"/>
  <c r="R84" i="3"/>
  <c r="O84" i="3"/>
  <c r="L84" i="3"/>
  <c r="I84" i="3"/>
  <c r="Q84" i="3" s="1"/>
  <c r="H84" i="3"/>
  <c r="N84" i="3" s="1"/>
  <c r="G84" i="3"/>
  <c r="P84" i="3" s="1"/>
  <c r="F84" i="3"/>
  <c r="E84" i="3"/>
  <c r="AD83" i="3"/>
  <c r="AB83" i="3"/>
  <c r="AA83" i="3"/>
  <c r="Z83" i="3"/>
  <c r="X83" i="3"/>
  <c r="W83" i="3"/>
  <c r="T83" i="3"/>
  <c r="S83" i="3"/>
  <c r="V83" i="3" s="1"/>
  <c r="R83" i="3"/>
  <c r="O83" i="3"/>
  <c r="L83" i="3"/>
  <c r="I83" i="3"/>
  <c r="Q83" i="3" s="1"/>
  <c r="H83" i="3"/>
  <c r="N83" i="3" s="1"/>
  <c r="G83" i="3"/>
  <c r="P83" i="3" s="1"/>
  <c r="F83" i="3"/>
  <c r="E83" i="3"/>
  <c r="AD82" i="3"/>
  <c r="AB82" i="3"/>
  <c r="AA82" i="3"/>
  <c r="Z82" i="3"/>
  <c r="X82" i="3"/>
  <c r="W82" i="3"/>
  <c r="T82" i="3"/>
  <c r="S82" i="3"/>
  <c r="V82" i="3" s="1"/>
  <c r="R82" i="3"/>
  <c r="O82" i="3"/>
  <c r="L82" i="3"/>
  <c r="I82" i="3"/>
  <c r="Q82" i="3" s="1"/>
  <c r="H82" i="3"/>
  <c r="N82" i="3" s="1"/>
  <c r="G82" i="3"/>
  <c r="P82" i="3" s="1"/>
  <c r="F82" i="3"/>
  <c r="E82" i="3"/>
  <c r="AD81" i="3"/>
  <c r="AB81" i="3"/>
  <c r="AA81" i="3"/>
  <c r="Z81" i="3"/>
  <c r="X81" i="3"/>
  <c r="W81" i="3"/>
  <c r="T81" i="3"/>
  <c r="S81" i="3"/>
  <c r="V81" i="3" s="1"/>
  <c r="R81" i="3"/>
  <c r="O81" i="3"/>
  <c r="L81" i="3"/>
  <c r="I81" i="3"/>
  <c r="Q81" i="3" s="1"/>
  <c r="H81" i="3"/>
  <c r="N81" i="3" s="1"/>
  <c r="G81" i="3"/>
  <c r="F81" i="3"/>
  <c r="E81" i="3"/>
  <c r="AD80" i="3"/>
  <c r="AB80" i="3"/>
  <c r="AA80" i="3"/>
  <c r="Z80" i="3"/>
  <c r="X80" i="3"/>
  <c r="W80" i="3"/>
  <c r="T80" i="3"/>
  <c r="S80" i="3"/>
  <c r="V80" i="3" s="1"/>
  <c r="R80" i="3"/>
  <c r="O80" i="3"/>
  <c r="L80" i="3"/>
  <c r="I80" i="3"/>
  <c r="Q80" i="3" s="1"/>
  <c r="H80" i="3"/>
  <c r="N80" i="3" s="1"/>
  <c r="G80" i="3"/>
  <c r="P80" i="3" s="1"/>
  <c r="F80" i="3"/>
  <c r="E80" i="3"/>
  <c r="AD79" i="3"/>
  <c r="AB79" i="3"/>
  <c r="AA79" i="3"/>
  <c r="Z79" i="3"/>
  <c r="X79" i="3"/>
  <c r="W79" i="3"/>
  <c r="T79" i="3"/>
  <c r="S79" i="3"/>
  <c r="V79" i="3" s="1"/>
  <c r="R79" i="3"/>
  <c r="O79" i="3"/>
  <c r="L79" i="3"/>
  <c r="I79" i="3"/>
  <c r="Q79" i="3" s="1"/>
  <c r="H79" i="3"/>
  <c r="N79" i="3" s="1"/>
  <c r="G79" i="3"/>
  <c r="P79" i="3" s="1"/>
  <c r="F79" i="3"/>
  <c r="E79" i="3"/>
  <c r="AD78" i="3"/>
  <c r="AB78" i="3"/>
  <c r="AA78" i="3"/>
  <c r="Z78" i="3"/>
  <c r="X78" i="3"/>
  <c r="W78" i="3"/>
  <c r="T78" i="3"/>
  <c r="S78" i="3"/>
  <c r="V78" i="3" s="1"/>
  <c r="R78" i="3"/>
  <c r="O78" i="3"/>
  <c r="L78" i="3"/>
  <c r="I78" i="3"/>
  <c r="Q78" i="3" s="1"/>
  <c r="H78" i="3"/>
  <c r="G78" i="3"/>
  <c r="P78" i="3" s="1"/>
  <c r="F78" i="3"/>
  <c r="E78" i="3"/>
  <c r="AD77" i="3"/>
  <c r="AB77" i="3"/>
  <c r="AA77" i="3"/>
  <c r="Z77" i="3"/>
  <c r="X77" i="3"/>
  <c r="W77" i="3"/>
  <c r="T77" i="3"/>
  <c r="S77" i="3"/>
  <c r="V77" i="3" s="1"/>
  <c r="R77" i="3"/>
  <c r="O77" i="3"/>
  <c r="L77" i="3"/>
  <c r="I77" i="3"/>
  <c r="Q77" i="3" s="1"/>
  <c r="H77" i="3"/>
  <c r="N77" i="3" s="1"/>
  <c r="G77" i="3"/>
  <c r="P77" i="3" s="1"/>
  <c r="F77" i="3"/>
  <c r="E77" i="3"/>
  <c r="AD76" i="3"/>
  <c r="AB76" i="3"/>
  <c r="AA76" i="3"/>
  <c r="Z76" i="3"/>
  <c r="X76" i="3"/>
  <c r="W76" i="3"/>
  <c r="T76" i="3"/>
  <c r="S76" i="3"/>
  <c r="V76" i="3" s="1"/>
  <c r="R76" i="3"/>
  <c r="O76" i="3"/>
  <c r="L76" i="3"/>
  <c r="I76" i="3"/>
  <c r="Q76" i="3" s="1"/>
  <c r="H76" i="3"/>
  <c r="N76" i="3" s="1"/>
  <c r="G76" i="3"/>
  <c r="P76" i="3" s="1"/>
  <c r="F76" i="3"/>
  <c r="E76" i="3"/>
  <c r="AD75" i="3"/>
  <c r="AB75" i="3"/>
  <c r="AA75" i="3"/>
  <c r="Z75" i="3"/>
  <c r="X75" i="3"/>
  <c r="W75" i="3"/>
  <c r="T75" i="3"/>
  <c r="S75" i="3"/>
  <c r="R75" i="3"/>
  <c r="O75" i="3"/>
  <c r="L75" i="3"/>
  <c r="I75" i="3"/>
  <c r="Q75" i="3" s="1"/>
  <c r="H75" i="3"/>
  <c r="N75" i="3" s="1"/>
  <c r="G75" i="3"/>
  <c r="P75" i="3" s="1"/>
  <c r="F75" i="3"/>
  <c r="E75" i="3"/>
  <c r="AD73" i="3"/>
  <c r="AB73" i="3"/>
  <c r="AA73" i="3"/>
  <c r="AC73" i="3" s="1"/>
  <c r="Z73" i="3"/>
  <c r="X73" i="3"/>
  <c r="W73" i="3"/>
  <c r="Y73" i="3" s="1"/>
  <c r="T73" i="3"/>
  <c r="S73" i="3"/>
  <c r="V73" i="3" s="1"/>
  <c r="R73" i="3"/>
  <c r="U73" i="3" s="1"/>
  <c r="O73" i="3"/>
  <c r="L73" i="3"/>
  <c r="I73" i="3"/>
  <c r="Q73" i="3" s="1"/>
  <c r="H73" i="3"/>
  <c r="N73" i="3" s="1"/>
  <c r="G73" i="3"/>
  <c r="P73" i="3" s="1"/>
  <c r="F73" i="3"/>
  <c r="E73" i="3"/>
  <c r="AD72" i="3"/>
  <c r="AB72" i="3"/>
  <c r="AA72" i="3"/>
  <c r="Z72" i="3"/>
  <c r="X72" i="3"/>
  <c r="W72" i="3"/>
  <c r="T72" i="3"/>
  <c r="S72" i="3"/>
  <c r="V72" i="3" s="1"/>
  <c r="R72" i="3"/>
  <c r="O72" i="3"/>
  <c r="L72" i="3"/>
  <c r="I72" i="3"/>
  <c r="Q72" i="3" s="1"/>
  <c r="H72" i="3"/>
  <c r="N72" i="3" s="1"/>
  <c r="G72" i="3"/>
  <c r="P72" i="3" s="1"/>
  <c r="F72" i="3"/>
  <c r="E72" i="3"/>
  <c r="AD71" i="3"/>
  <c r="AB71" i="3"/>
  <c r="AA71" i="3"/>
  <c r="Z71" i="3"/>
  <c r="X71" i="3"/>
  <c r="W71" i="3"/>
  <c r="T71" i="3"/>
  <c r="S71" i="3"/>
  <c r="V71" i="3" s="1"/>
  <c r="R71" i="3"/>
  <c r="O71" i="3"/>
  <c r="L71" i="3"/>
  <c r="I71" i="3"/>
  <c r="Q71" i="3" s="1"/>
  <c r="H71" i="3"/>
  <c r="N71" i="3" s="1"/>
  <c r="G71" i="3"/>
  <c r="P71" i="3" s="1"/>
  <c r="F71" i="3"/>
  <c r="E71" i="3"/>
  <c r="AD70" i="3"/>
  <c r="AB70" i="3"/>
  <c r="AA70" i="3"/>
  <c r="Z70" i="3"/>
  <c r="X70" i="3"/>
  <c r="W70" i="3"/>
  <c r="T70" i="3"/>
  <c r="S70" i="3"/>
  <c r="V70" i="3" s="1"/>
  <c r="R70" i="3"/>
  <c r="O70" i="3"/>
  <c r="L70" i="3"/>
  <c r="I70" i="3"/>
  <c r="Q70" i="3" s="1"/>
  <c r="H70" i="3"/>
  <c r="N70" i="3" s="1"/>
  <c r="G70" i="3"/>
  <c r="P70" i="3" s="1"/>
  <c r="F70" i="3"/>
  <c r="E70" i="3"/>
  <c r="AD69" i="3"/>
  <c r="AB69" i="3"/>
  <c r="AA69" i="3"/>
  <c r="Z69" i="3"/>
  <c r="X69" i="3"/>
  <c r="W69" i="3"/>
  <c r="T69" i="3"/>
  <c r="S69" i="3"/>
  <c r="V69" i="3" s="1"/>
  <c r="R69" i="3"/>
  <c r="O69" i="3"/>
  <c r="L69" i="3"/>
  <c r="I69" i="3"/>
  <c r="Q69" i="3" s="1"/>
  <c r="H69" i="3"/>
  <c r="N69" i="3" s="1"/>
  <c r="G69" i="3"/>
  <c r="P69" i="3" s="1"/>
  <c r="F69" i="3"/>
  <c r="E69" i="3"/>
  <c r="AD68" i="3"/>
  <c r="AB68" i="3"/>
  <c r="AA68" i="3"/>
  <c r="Z68" i="3"/>
  <c r="X68" i="3"/>
  <c r="W68" i="3"/>
  <c r="T68" i="3"/>
  <c r="S68" i="3"/>
  <c r="V68" i="3" s="1"/>
  <c r="R68" i="3"/>
  <c r="O68" i="3"/>
  <c r="L68" i="3"/>
  <c r="I68" i="3"/>
  <c r="Q68" i="3" s="1"/>
  <c r="H68" i="3"/>
  <c r="N68" i="3" s="1"/>
  <c r="G68" i="3"/>
  <c r="P68" i="3" s="1"/>
  <c r="F68" i="3"/>
  <c r="E68" i="3"/>
  <c r="AD67" i="3"/>
  <c r="AB67" i="3"/>
  <c r="AA67" i="3"/>
  <c r="Z67" i="3"/>
  <c r="X67" i="3"/>
  <c r="W67" i="3"/>
  <c r="T67" i="3"/>
  <c r="S67" i="3"/>
  <c r="V67" i="3" s="1"/>
  <c r="R67" i="3"/>
  <c r="O67" i="3"/>
  <c r="L67" i="3"/>
  <c r="I67" i="3"/>
  <c r="Q67" i="3" s="1"/>
  <c r="H67" i="3"/>
  <c r="N67" i="3" s="1"/>
  <c r="G67" i="3"/>
  <c r="P67" i="3" s="1"/>
  <c r="F67" i="3"/>
  <c r="E67" i="3"/>
  <c r="AD66" i="3"/>
  <c r="AB66" i="3"/>
  <c r="AA66" i="3"/>
  <c r="Z66" i="3"/>
  <c r="X66" i="3"/>
  <c r="W66" i="3"/>
  <c r="T66" i="3"/>
  <c r="S66" i="3"/>
  <c r="V66" i="3" s="1"/>
  <c r="R66" i="3"/>
  <c r="O66" i="3"/>
  <c r="L66" i="3"/>
  <c r="I66" i="3"/>
  <c r="Q66" i="3" s="1"/>
  <c r="H66" i="3"/>
  <c r="N66" i="3" s="1"/>
  <c r="G66" i="3"/>
  <c r="P66" i="3" s="1"/>
  <c r="F66" i="3"/>
  <c r="E66" i="3"/>
  <c r="AD65" i="3"/>
  <c r="AB65" i="3"/>
  <c r="AA65" i="3"/>
  <c r="Z65" i="3"/>
  <c r="X65" i="3"/>
  <c r="W65" i="3"/>
  <c r="T65" i="3"/>
  <c r="S65" i="3"/>
  <c r="V65" i="3" s="1"/>
  <c r="R65" i="3"/>
  <c r="O65" i="3"/>
  <c r="L65" i="3"/>
  <c r="I65" i="3"/>
  <c r="Q65" i="3" s="1"/>
  <c r="H65" i="3"/>
  <c r="N65" i="3" s="1"/>
  <c r="G65" i="3"/>
  <c r="P65" i="3" s="1"/>
  <c r="F65" i="3"/>
  <c r="E65" i="3"/>
  <c r="AD64" i="3"/>
  <c r="AB64" i="3"/>
  <c r="AA64" i="3"/>
  <c r="Z64" i="3"/>
  <c r="X64" i="3"/>
  <c r="W64" i="3"/>
  <c r="T64" i="3"/>
  <c r="S64" i="3"/>
  <c r="V64" i="3" s="1"/>
  <c r="R64" i="3"/>
  <c r="O64" i="3"/>
  <c r="L64" i="3"/>
  <c r="I64" i="3"/>
  <c r="Q64" i="3" s="1"/>
  <c r="H64" i="3"/>
  <c r="N64" i="3" s="1"/>
  <c r="G64" i="3"/>
  <c r="P64" i="3" s="1"/>
  <c r="F64" i="3"/>
  <c r="E64" i="3"/>
  <c r="AD63" i="3"/>
  <c r="AB63" i="3"/>
  <c r="AA63" i="3"/>
  <c r="Z63" i="3"/>
  <c r="X63" i="3"/>
  <c r="W63" i="3"/>
  <c r="T63" i="3"/>
  <c r="S63" i="3"/>
  <c r="V63" i="3" s="1"/>
  <c r="R63" i="3"/>
  <c r="O63" i="3"/>
  <c r="L63" i="3"/>
  <c r="I63" i="3"/>
  <c r="Q63" i="3" s="1"/>
  <c r="H63" i="3"/>
  <c r="N63" i="3" s="1"/>
  <c r="G63" i="3"/>
  <c r="P63" i="3" s="1"/>
  <c r="F63" i="3"/>
  <c r="E63" i="3"/>
  <c r="AD62" i="3"/>
  <c r="AB62" i="3"/>
  <c r="AA62" i="3"/>
  <c r="Z62" i="3"/>
  <c r="X62" i="3"/>
  <c r="W62" i="3"/>
  <c r="T62" i="3"/>
  <c r="S62" i="3"/>
  <c r="V62" i="3" s="1"/>
  <c r="R62" i="3"/>
  <c r="O62" i="3"/>
  <c r="L62" i="3"/>
  <c r="I62" i="3"/>
  <c r="Q62" i="3" s="1"/>
  <c r="H62" i="3"/>
  <c r="N62" i="3" s="1"/>
  <c r="G62" i="3"/>
  <c r="P62" i="3" s="1"/>
  <c r="F62" i="3"/>
  <c r="E62" i="3"/>
  <c r="AD61" i="3"/>
  <c r="AB61" i="3"/>
  <c r="AA61" i="3"/>
  <c r="Z61" i="3"/>
  <c r="X61" i="3"/>
  <c r="W61" i="3"/>
  <c r="T61" i="3"/>
  <c r="S61" i="3"/>
  <c r="V61" i="3" s="1"/>
  <c r="R61" i="3"/>
  <c r="O61" i="3"/>
  <c r="L61" i="3"/>
  <c r="I61" i="3"/>
  <c r="Q61" i="3" s="1"/>
  <c r="H61" i="3"/>
  <c r="N61" i="3" s="1"/>
  <c r="G61" i="3"/>
  <c r="P61" i="3" s="1"/>
  <c r="F61" i="3"/>
  <c r="E61" i="3"/>
  <c r="AD60" i="3"/>
  <c r="AB60" i="3"/>
  <c r="AA60" i="3"/>
  <c r="Z60" i="3"/>
  <c r="X60" i="3"/>
  <c r="W60" i="3"/>
  <c r="T60" i="3"/>
  <c r="S60" i="3"/>
  <c r="V60" i="3" s="1"/>
  <c r="R60" i="3"/>
  <c r="O60" i="3"/>
  <c r="L60" i="3"/>
  <c r="I60" i="3"/>
  <c r="Q60" i="3" s="1"/>
  <c r="H60" i="3"/>
  <c r="N60" i="3" s="1"/>
  <c r="G60" i="3"/>
  <c r="P60" i="3" s="1"/>
  <c r="F60" i="3"/>
  <c r="E60" i="3"/>
  <c r="AD59" i="3"/>
  <c r="AB59" i="3"/>
  <c r="AA59" i="3"/>
  <c r="Z59" i="3"/>
  <c r="X59" i="3"/>
  <c r="W59" i="3"/>
  <c r="T59" i="3"/>
  <c r="S59" i="3"/>
  <c r="V59" i="3" s="1"/>
  <c r="R59" i="3"/>
  <c r="O59" i="3"/>
  <c r="L59" i="3"/>
  <c r="I59" i="3"/>
  <c r="Q59" i="3" s="1"/>
  <c r="H59" i="3"/>
  <c r="N59" i="3" s="1"/>
  <c r="G59" i="3"/>
  <c r="P59" i="3" s="1"/>
  <c r="F59" i="3"/>
  <c r="E59" i="3"/>
  <c r="AD58" i="3"/>
  <c r="AB58" i="3"/>
  <c r="AA58" i="3"/>
  <c r="Z58" i="3"/>
  <c r="X58" i="3"/>
  <c r="W58" i="3"/>
  <c r="T58" i="3"/>
  <c r="S58" i="3"/>
  <c r="V58" i="3" s="1"/>
  <c r="R58" i="3"/>
  <c r="O58" i="3"/>
  <c r="L58" i="3"/>
  <c r="I58" i="3"/>
  <c r="Q58" i="3" s="1"/>
  <c r="H58" i="3"/>
  <c r="N58" i="3" s="1"/>
  <c r="G58" i="3"/>
  <c r="P58" i="3" s="1"/>
  <c r="F58" i="3"/>
  <c r="E58" i="3"/>
  <c r="AD57" i="3"/>
  <c r="AB57" i="3"/>
  <c r="AA57" i="3"/>
  <c r="Z57" i="3"/>
  <c r="X57" i="3"/>
  <c r="W57" i="3"/>
  <c r="T57" i="3"/>
  <c r="S57" i="3"/>
  <c r="V57" i="3" s="1"/>
  <c r="R57" i="3"/>
  <c r="O57" i="3"/>
  <c r="L57" i="3"/>
  <c r="I57" i="3"/>
  <c r="Q57" i="3" s="1"/>
  <c r="H57" i="3"/>
  <c r="N57" i="3" s="1"/>
  <c r="G57" i="3"/>
  <c r="P57" i="3" s="1"/>
  <c r="F57" i="3"/>
  <c r="E57" i="3"/>
  <c r="AD56" i="3"/>
  <c r="AB56" i="3"/>
  <c r="AA56" i="3"/>
  <c r="Z56" i="3"/>
  <c r="X56" i="3"/>
  <c r="W56" i="3"/>
  <c r="T56" i="3"/>
  <c r="S56" i="3"/>
  <c r="V56" i="3" s="1"/>
  <c r="R56" i="3"/>
  <c r="O56" i="3"/>
  <c r="L56" i="3"/>
  <c r="I56" i="3"/>
  <c r="Q56" i="3" s="1"/>
  <c r="H56" i="3"/>
  <c r="N56" i="3" s="1"/>
  <c r="G56" i="3"/>
  <c r="P56" i="3" s="1"/>
  <c r="F56" i="3"/>
  <c r="E56" i="3"/>
  <c r="AD55" i="3"/>
  <c r="AB55" i="3"/>
  <c r="AA55" i="3"/>
  <c r="Z55" i="3"/>
  <c r="X55" i="3"/>
  <c r="W55" i="3"/>
  <c r="T55" i="3"/>
  <c r="S55" i="3"/>
  <c r="V55" i="3" s="1"/>
  <c r="R55" i="3"/>
  <c r="O55" i="3"/>
  <c r="L55" i="3"/>
  <c r="I55" i="3"/>
  <c r="Q55" i="3" s="1"/>
  <c r="H55" i="3"/>
  <c r="N55" i="3" s="1"/>
  <c r="G55" i="3"/>
  <c r="P55" i="3" s="1"/>
  <c r="F55" i="3"/>
  <c r="E55" i="3"/>
  <c r="AD54" i="3"/>
  <c r="AB54" i="3"/>
  <c r="AA54" i="3"/>
  <c r="Z54" i="3"/>
  <c r="X54" i="3"/>
  <c r="W54" i="3"/>
  <c r="T54" i="3"/>
  <c r="S54" i="3"/>
  <c r="V54" i="3" s="1"/>
  <c r="R54" i="3"/>
  <c r="O54" i="3"/>
  <c r="L54" i="3"/>
  <c r="I54" i="3"/>
  <c r="H54" i="3"/>
  <c r="N54" i="3" s="1"/>
  <c r="G54" i="3"/>
  <c r="P54" i="3" s="1"/>
  <c r="F54" i="3"/>
  <c r="E54" i="3"/>
  <c r="AD53" i="3"/>
  <c r="AB53" i="3"/>
  <c r="AA53" i="3"/>
  <c r="Z53" i="3"/>
  <c r="X53" i="3"/>
  <c r="W53" i="3"/>
  <c r="T53" i="3"/>
  <c r="S53" i="3"/>
  <c r="V53" i="3" s="1"/>
  <c r="R53" i="3"/>
  <c r="O53" i="3"/>
  <c r="L53" i="3"/>
  <c r="I53" i="3"/>
  <c r="Q53" i="3" s="1"/>
  <c r="H53" i="3"/>
  <c r="G53" i="3"/>
  <c r="P53" i="3" s="1"/>
  <c r="F53" i="3"/>
  <c r="E53" i="3"/>
  <c r="AD51" i="3"/>
  <c r="AB51" i="3"/>
  <c r="AA51" i="3"/>
  <c r="Z51" i="3"/>
  <c r="X51" i="3"/>
  <c r="W51" i="3"/>
  <c r="T51" i="3"/>
  <c r="S51" i="3"/>
  <c r="V51" i="3" s="1"/>
  <c r="R51" i="3"/>
  <c r="O51" i="3"/>
  <c r="L51" i="3"/>
  <c r="I51" i="3"/>
  <c r="Q51" i="3" s="1"/>
  <c r="H51" i="3"/>
  <c r="N51" i="3" s="1"/>
  <c r="G51" i="3"/>
  <c r="P51" i="3" s="1"/>
  <c r="F51" i="3"/>
  <c r="E51" i="3"/>
  <c r="AD50" i="3"/>
  <c r="AB50" i="3"/>
  <c r="AA50" i="3"/>
  <c r="Z50" i="3"/>
  <c r="X50" i="3"/>
  <c r="W50" i="3"/>
  <c r="T50" i="3"/>
  <c r="S50" i="3"/>
  <c r="V50" i="3" s="1"/>
  <c r="R50" i="3"/>
  <c r="O50" i="3"/>
  <c r="L50" i="3"/>
  <c r="I50" i="3"/>
  <c r="Q50" i="3" s="1"/>
  <c r="H50" i="3"/>
  <c r="N50" i="3" s="1"/>
  <c r="G50" i="3"/>
  <c r="P50" i="3" s="1"/>
  <c r="F50" i="3"/>
  <c r="E50" i="3"/>
  <c r="AD49" i="3"/>
  <c r="AB49" i="3"/>
  <c r="AA49" i="3"/>
  <c r="Z49" i="3"/>
  <c r="X49" i="3"/>
  <c r="W49" i="3"/>
  <c r="T49" i="3"/>
  <c r="S49" i="3"/>
  <c r="V49" i="3" s="1"/>
  <c r="R49" i="3"/>
  <c r="O49" i="3"/>
  <c r="L49" i="3"/>
  <c r="I49" i="3"/>
  <c r="Q49" i="3" s="1"/>
  <c r="H49" i="3"/>
  <c r="N49" i="3" s="1"/>
  <c r="G49" i="3"/>
  <c r="P49" i="3" s="1"/>
  <c r="F49" i="3"/>
  <c r="E49" i="3"/>
  <c r="AD48" i="3"/>
  <c r="AB48" i="3"/>
  <c r="AA48" i="3"/>
  <c r="Z48" i="3"/>
  <c r="X48" i="3"/>
  <c r="W48" i="3"/>
  <c r="T48" i="3"/>
  <c r="S48" i="3"/>
  <c r="V48" i="3" s="1"/>
  <c r="R48" i="3"/>
  <c r="O48" i="3"/>
  <c r="L48" i="3"/>
  <c r="I48" i="3"/>
  <c r="Q48" i="3" s="1"/>
  <c r="H48" i="3"/>
  <c r="N48" i="3" s="1"/>
  <c r="G48" i="3"/>
  <c r="P48" i="3" s="1"/>
  <c r="F48" i="3"/>
  <c r="E48" i="3"/>
  <c r="AD47" i="3"/>
  <c r="AB47" i="3"/>
  <c r="AA47" i="3"/>
  <c r="Z47" i="3"/>
  <c r="X47" i="3"/>
  <c r="W47" i="3"/>
  <c r="T47" i="3"/>
  <c r="S47" i="3"/>
  <c r="V47" i="3" s="1"/>
  <c r="R47" i="3"/>
  <c r="O47" i="3"/>
  <c r="L47" i="3"/>
  <c r="I47" i="3"/>
  <c r="Q47" i="3" s="1"/>
  <c r="H47" i="3"/>
  <c r="N47" i="3" s="1"/>
  <c r="G47" i="3"/>
  <c r="P47" i="3" s="1"/>
  <c r="F47" i="3"/>
  <c r="E47" i="3"/>
  <c r="AD46" i="3"/>
  <c r="AB46" i="3"/>
  <c r="AA46" i="3"/>
  <c r="Z46" i="3"/>
  <c r="X46" i="3"/>
  <c r="W46" i="3"/>
  <c r="T46" i="3"/>
  <c r="S46" i="3"/>
  <c r="V46" i="3" s="1"/>
  <c r="R46" i="3"/>
  <c r="O46" i="3"/>
  <c r="L46" i="3"/>
  <c r="I46" i="3"/>
  <c r="Q46" i="3" s="1"/>
  <c r="H46" i="3"/>
  <c r="N46" i="3" s="1"/>
  <c r="G46" i="3"/>
  <c r="P46" i="3" s="1"/>
  <c r="F46" i="3"/>
  <c r="E46" i="3"/>
  <c r="AD45" i="3"/>
  <c r="AB45" i="3"/>
  <c r="AA45" i="3"/>
  <c r="Z45" i="3"/>
  <c r="X45" i="3"/>
  <c r="W45" i="3"/>
  <c r="T45" i="3"/>
  <c r="S45" i="3"/>
  <c r="V45" i="3" s="1"/>
  <c r="R45" i="3"/>
  <c r="O45" i="3"/>
  <c r="L45" i="3"/>
  <c r="I45" i="3"/>
  <c r="Q45" i="3" s="1"/>
  <c r="H45" i="3"/>
  <c r="N45" i="3" s="1"/>
  <c r="G45" i="3"/>
  <c r="P45" i="3" s="1"/>
  <c r="F45" i="3"/>
  <c r="E45" i="3"/>
  <c r="AD44" i="3"/>
  <c r="AB44" i="3"/>
  <c r="AA44" i="3"/>
  <c r="Z44" i="3"/>
  <c r="X44" i="3"/>
  <c r="W44" i="3"/>
  <c r="T44" i="3"/>
  <c r="S44" i="3"/>
  <c r="V44" i="3" s="1"/>
  <c r="R44" i="3"/>
  <c r="O44" i="3"/>
  <c r="L44" i="3"/>
  <c r="I44" i="3"/>
  <c r="Q44" i="3" s="1"/>
  <c r="H44" i="3"/>
  <c r="N44" i="3" s="1"/>
  <c r="G44" i="3"/>
  <c r="P44" i="3" s="1"/>
  <c r="F44" i="3"/>
  <c r="E44" i="3"/>
  <c r="AD43" i="3"/>
  <c r="AB43" i="3"/>
  <c r="AA43" i="3"/>
  <c r="Z43" i="3"/>
  <c r="X43" i="3"/>
  <c r="W43" i="3"/>
  <c r="T43" i="3"/>
  <c r="S43" i="3"/>
  <c r="V43" i="3" s="1"/>
  <c r="R43" i="3"/>
  <c r="O43" i="3"/>
  <c r="L43" i="3"/>
  <c r="I43" i="3"/>
  <c r="Q43" i="3" s="1"/>
  <c r="H43" i="3"/>
  <c r="N43" i="3" s="1"/>
  <c r="G43" i="3"/>
  <c r="P43" i="3" s="1"/>
  <c r="F43" i="3"/>
  <c r="E43" i="3"/>
  <c r="AD42" i="3"/>
  <c r="AB42" i="3"/>
  <c r="AA42" i="3"/>
  <c r="Z42" i="3"/>
  <c r="X42" i="3"/>
  <c r="W42" i="3"/>
  <c r="T42" i="3"/>
  <c r="S42" i="3"/>
  <c r="V42" i="3" s="1"/>
  <c r="R42" i="3"/>
  <c r="O42" i="3"/>
  <c r="L42" i="3"/>
  <c r="I42" i="3"/>
  <c r="Q42" i="3" s="1"/>
  <c r="H42" i="3"/>
  <c r="N42" i="3" s="1"/>
  <c r="G42" i="3"/>
  <c r="P42" i="3" s="1"/>
  <c r="F42" i="3"/>
  <c r="E42" i="3"/>
  <c r="AD41" i="3"/>
  <c r="AB41" i="3"/>
  <c r="AA41" i="3"/>
  <c r="Z41" i="3"/>
  <c r="X41" i="3"/>
  <c r="W41" i="3"/>
  <c r="T41" i="3"/>
  <c r="S41" i="3"/>
  <c r="V41" i="3" s="1"/>
  <c r="R41" i="3"/>
  <c r="O41" i="3"/>
  <c r="L41" i="3"/>
  <c r="I41" i="3"/>
  <c r="Q41" i="3" s="1"/>
  <c r="H41" i="3"/>
  <c r="N41" i="3" s="1"/>
  <c r="G41" i="3"/>
  <c r="P41" i="3" s="1"/>
  <c r="F41" i="3"/>
  <c r="E41" i="3"/>
  <c r="AD40" i="3"/>
  <c r="AB40" i="3"/>
  <c r="AA40" i="3"/>
  <c r="Z40" i="3"/>
  <c r="X40" i="3"/>
  <c r="W40" i="3"/>
  <c r="T40" i="3"/>
  <c r="S40" i="3"/>
  <c r="V40" i="3" s="1"/>
  <c r="R40" i="3"/>
  <c r="O40" i="3"/>
  <c r="L40" i="3"/>
  <c r="I40" i="3"/>
  <c r="Q40" i="3" s="1"/>
  <c r="H40" i="3"/>
  <c r="N40" i="3" s="1"/>
  <c r="G40" i="3"/>
  <c r="P40" i="3" s="1"/>
  <c r="F40" i="3"/>
  <c r="E40" i="3"/>
  <c r="AD39" i="3"/>
  <c r="AB39" i="3"/>
  <c r="AA39" i="3"/>
  <c r="Z39" i="3"/>
  <c r="X39" i="3"/>
  <c r="W39" i="3"/>
  <c r="T39" i="3"/>
  <c r="S39" i="3"/>
  <c r="V39" i="3" s="1"/>
  <c r="R39" i="3"/>
  <c r="O39" i="3"/>
  <c r="L39" i="3"/>
  <c r="I39" i="3"/>
  <c r="Q39" i="3" s="1"/>
  <c r="H39" i="3"/>
  <c r="N39" i="3" s="1"/>
  <c r="G39" i="3"/>
  <c r="P39" i="3" s="1"/>
  <c r="F39" i="3"/>
  <c r="E39" i="3"/>
  <c r="AD38" i="3"/>
  <c r="AB38" i="3"/>
  <c r="AA38" i="3"/>
  <c r="Z38" i="3"/>
  <c r="X38" i="3"/>
  <c r="W38" i="3"/>
  <c r="T38" i="3"/>
  <c r="S38" i="3"/>
  <c r="V38" i="3" s="1"/>
  <c r="R38" i="3"/>
  <c r="O38" i="3"/>
  <c r="L38" i="3"/>
  <c r="I38" i="3"/>
  <c r="Q38" i="3" s="1"/>
  <c r="H38" i="3"/>
  <c r="N38" i="3" s="1"/>
  <c r="G38" i="3"/>
  <c r="P38" i="3" s="1"/>
  <c r="F38" i="3"/>
  <c r="E38" i="3"/>
  <c r="AD37" i="3"/>
  <c r="AB37" i="3"/>
  <c r="AA37" i="3"/>
  <c r="Z37" i="3"/>
  <c r="X37" i="3"/>
  <c r="W37" i="3"/>
  <c r="T37" i="3"/>
  <c r="S37" i="3"/>
  <c r="V37" i="3" s="1"/>
  <c r="R37" i="3"/>
  <c r="O37" i="3"/>
  <c r="L37" i="3"/>
  <c r="I37" i="3"/>
  <c r="Q37" i="3" s="1"/>
  <c r="H37" i="3"/>
  <c r="N37" i="3" s="1"/>
  <c r="G37" i="3"/>
  <c r="P37" i="3" s="1"/>
  <c r="F37" i="3"/>
  <c r="E37" i="3"/>
  <c r="AD36" i="3"/>
  <c r="AB36" i="3"/>
  <c r="AA36" i="3"/>
  <c r="Z36" i="3"/>
  <c r="X36" i="3"/>
  <c r="W36" i="3"/>
  <c r="T36" i="3"/>
  <c r="S36" i="3"/>
  <c r="V36" i="3" s="1"/>
  <c r="R36" i="3"/>
  <c r="O36" i="3"/>
  <c r="L36" i="3"/>
  <c r="I36" i="3"/>
  <c r="Q36" i="3" s="1"/>
  <c r="H36" i="3"/>
  <c r="N36" i="3" s="1"/>
  <c r="G36" i="3"/>
  <c r="P36" i="3" s="1"/>
  <c r="F36" i="3"/>
  <c r="E36" i="3"/>
  <c r="AD35" i="3"/>
  <c r="AB35" i="3"/>
  <c r="AA35" i="3"/>
  <c r="Z35" i="3"/>
  <c r="X35" i="3"/>
  <c r="W35" i="3"/>
  <c r="T35" i="3"/>
  <c r="S35" i="3"/>
  <c r="V35" i="3" s="1"/>
  <c r="R35" i="3"/>
  <c r="O35" i="3"/>
  <c r="L35" i="3"/>
  <c r="I35" i="3"/>
  <c r="Q35" i="3" s="1"/>
  <c r="H35" i="3"/>
  <c r="N35" i="3" s="1"/>
  <c r="G35" i="3"/>
  <c r="P35" i="3" s="1"/>
  <c r="F35" i="3"/>
  <c r="E35" i="3"/>
  <c r="AD34" i="3"/>
  <c r="AB34" i="3"/>
  <c r="AA34" i="3"/>
  <c r="Z34" i="3"/>
  <c r="X34" i="3"/>
  <c r="W34" i="3"/>
  <c r="T34" i="3"/>
  <c r="S34" i="3"/>
  <c r="V34" i="3" s="1"/>
  <c r="R34" i="3"/>
  <c r="O34" i="3"/>
  <c r="L34" i="3"/>
  <c r="I34" i="3"/>
  <c r="Q34" i="3" s="1"/>
  <c r="H34" i="3"/>
  <c r="N34" i="3" s="1"/>
  <c r="G34" i="3"/>
  <c r="P34" i="3" s="1"/>
  <c r="F34" i="3"/>
  <c r="E34" i="3"/>
  <c r="AD33" i="3"/>
  <c r="AB33" i="3"/>
  <c r="AA33" i="3"/>
  <c r="Z33" i="3"/>
  <c r="X33" i="3"/>
  <c r="W33" i="3"/>
  <c r="T33" i="3"/>
  <c r="S33" i="3"/>
  <c r="V33" i="3" s="1"/>
  <c r="R33" i="3"/>
  <c r="O33" i="3"/>
  <c r="L33" i="3"/>
  <c r="I33" i="3"/>
  <c r="Q33" i="3" s="1"/>
  <c r="H33" i="3"/>
  <c r="N33" i="3" s="1"/>
  <c r="G33" i="3"/>
  <c r="P33" i="3" s="1"/>
  <c r="F33" i="3"/>
  <c r="E33" i="3"/>
  <c r="AD32" i="3"/>
  <c r="AB32" i="3"/>
  <c r="AA32" i="3"/>
  <c r="Z32" i="3"/>
  <c r="X32" i="3"/>
  <c r="W32" i="3"/>
  <c r="T32" i="3"/>
  <c r="S32" i="3"/>
  <c r="V32" i="3" s="1"/>
  <c r="R32" i="3"/>
  <c r="O32" i="3"/>
  <c r="L32" i="3"/>
  <c r="I32" i="3"/>
  <c r="H32" i="3"/>
  <c r="G32" i="3"/>
  <c r="P32" i="3" s="1"/>
  <c r="F32" i="3"/>
  <c r="E32" i="3"/>
  <c r="AD30" i="3"/>
  <c r="AB30" i="3"/>
  <c r="AA30" i="3"/>
  <c r="Z30" i="3"/>
  <c r="X30" i="3"/>
  <c r="W30" i="3"/>
  <c r="T30" i="3"/>
  <c r="S30" i="3"/>
  <c r="V30" i="3" s="1"/>
  <c r="R30" i="3"/>
  <c r="O30" i="3"/>
  <c r="L30" i="3"/>
  <c r="I30" i="3"/>
  <c r="Q30" i="3" s="1"/>
  <c r="H30" i="3"/>
  <c r="N30" i="3" s="1"/>
  <c r="G30" i="3"/>
  <c r="P30" i="3" s="1"/>
  <c r="F30" i="3"/>
  <c r="E30" i="3"/>
  <c r="AD29" i="3"/>
  <c r="AB29" i="3"/>
  <c r="AA29" i="3"/>
  <c r="Z29" i="3"/>
  <c r="X29" i="3"/>
  <c r="W29" i="3"/>
  <c r="T29" i="3"/>
  <c r="S29" i="3"/>
  <c r="V29" i="3" s="1"/>
  <c r="R29" i="3"/>
  <c r="O29" i="3"/>
  <c r="L29" i="3"/>
  <c r="I29" i="3"/>
  <c r="Q29" i="3" s="1"/>
  <c r="H29" i="3"/>
  <c r="N29" i="3" s="1"/>
  <c r="G29" i="3"/>
  <c r="P29" i="3" s="1"/>
  <c r="F29" i="3"/>
  <c r="E29" i="3"/>
  <c r="AD28" i="3"/>
  <c r="AB28" i="3"/>
  <c r="AA28" i="3"/>
  <c r="Z28" i="3"/>
  <c r="X28" i="3"/>
  <c r="W28" i="3"/>
  <c r="T28" i="3"/>
  <c r="S28" i="3"/>
  <c r="V28" i="3" s="1"/>
  <c r="R28" i="3"/>
  <c r="O28" i="3"/>
  <c r="L28" i="3"/>
  <c r="I28" i="3"/>
  <c r="Q28" i="3" s="1"/>
  <c r="H28" i="3"/>
  <c r="N28" i="3" s="1"/>
  <c r="G28" i="3"/>
  <c r="P28" i="3" s="1"/>
  <c r="F28" i="3"/>
  <c r="E28" i="3"/>
  <c r="AD27" i="3"/>
  <c r="AB27" i="3"/>
  <c r="AA27" i="3"/>
  <c r="Z27" i="3"/>
  <c r="X27" i="3"/>
  <c r="W27" i="3"/>
  <c r="T27" i="3"/>
  <c r="S27" i="3"/>
  <c r="V27" i="3" s="1"/>
  <c r="R27" i="3"/>
  <c r="O27" i="3"/>
  <c r="L27" i="3"/>
  <c r="I27" i="3"/>
  <c r="Q27" i="3" s="1"/>
  <c r="H27" i="3"/>
  <c r="N27" i="3" s="1"/>
  <c r="G27" i="3"/>
  <c r="P27" i="3" s="1"/>
  <c r="F27" i="3"/>
  <c r="E27" i="3"/>
  <c r="AD26" i="3"/>
  <c r="AB26" i="3"/>
  <c r="AA26" i="3"/>
  <c r="Z26" i="3"/>
  <c r="X26" i="3"/>
  <c r="W26" i="3"/>
  <c r="T26" i="3"/>
  <c r="S26" i="3"/>
  <c r="V26" i="3" s="1"/>
  <c r="R26" i="3"/>
  <c r="O26" i="3"/>
  <c r="L26" i="3"/>
  <c r="I26" i="3"/>
  <c r="Q26" i="3" s="1"/>
  <c r="H26" i="3"/>
  <c r="N26" i="3" s="1"/>
  <c r="G26" i="3"/>
  <c r="P26" i="3" s="1"/>
  <c r="F26" i="3"/>
  <c r="E26" i="3"/>
  <c r="AD25" i="3"/>
  <c r="AB25" i="3"/>
  <c r="AA25" i="3"/>
  <c r="Z25" i="3"/>
  <c r="X25" i="3"/>
  <c r="W25" i="3"/>
  <c r="T25" i="3"/>
  <c r="S25" i="3"/>
  <c r="V25" i="3" s="1"/>
  <c r="R25" i="3"/>
  <c r="O25" i="3"/>
  <c r="L25" i="3"/>
  <c r="I25" i="3"/>
  <c r="Q25" i="3" s="1"/>
  <c r="H25" i="3"/>
  <c r="N25" i="3" s="1"/>
  <c r="G25" i="3"/>
  <c r="P25" i="3" s="1"/>
  <c r="F25" i="3"/>
  <c r="E25" i="3"/>
  <c r="AD24" i="3"/>
  <c r="AB24" i="3"/>
  <c r="AA24" i="3"/>
  <c r="Z24" i="3"/>
  <c r="X24" i="3"/>
  <c r="W24" i="3"/>
  <c r="T24" i="3"/>
  <c r="S24" i="3"/>
  <c r="V24" i="3" s="1"/>
  <c r="R24" i="3"/>
  <c r="O24" i="3"/>
  <c r="L24" i="3"/>
  <c r="I24" i="3"/>
  <c r="Q24" i="3" s="1"/>
  <c r="H24" i="3"/>
  <c r="N24" i="3" s="1"/>
  <c r="G24" i="3"/>
  <c r="P24" i="3" s="1"/>
  <c r="F24" i="3"/>
  <c r="E24" i="3"/>
  <c r="AD23" i="3"/>
  <c r="AB23" i="3"/>
  <c r="AA23" i="3"/>
  <c r="Z23" i="3"/>
  <c r="X23" i="3"/>
  <c r="W23" i="3"/>
  <c r="T23" i="3"/>
  <c r="S23" i="3"/>
  <c r="V23" i="3" s="1"/>
  <c r="R23" i="3"/>
  <c r="O23" i="3"/>
  <c r="L23" i="3"/>
  <c r="I23" i="3"/>
  <c r="Q23" i="3" s="1"/>
  <c r="H23" i="3"/>
  <c r="N23" i="3" s="1"/>
  <c r="G23" i="3"/>
  <c r="P23" i="3" s="1"/>
  <c r="F23" i="3"/>
  <c r="E23" i="3"/>
  <c r="AD22" i="3"/>
  <c r="AB22" i="3"/>
  <c r="AA22" i="3"/>
  <c r="Z22" i="3"/>
  <c r="X22" i="3"/>
  <c r="W22" i="3"/>
  <c r="T22" i="3"/>
  <c r="S22" i="3"/>
  <c r="V22" i="3" s="1"/>
  <c r="R22" i="3"/>
  <c r="O22" i="3"/>
  <c r="L22" i="3"/>
  <c r="I22" i="3"/>
  <c r="Q22" i="3" s="1"/>
  <c r="H22" i="3"/>
  <c r="N22" i="3" s="1"/>
  <c r="G22" i="3"/>
  <c r="P22" i="3" s="1"/>
  <c r="F22" i="3"/>
  <c r="E22" i="3"/>
  <c r="AD21" i="3"/>
  <c r="AB21" i="3"/>
  <c r="AA21" i="3"/>
  <c r="Z21" i="3"/>
  <c r="X21" i="3"/>
  <c r="W21" i="3"/>
  <c r="T21" i="3"/>
  <c r="S21" i="3"/>
  <c r="V21" i="3" s="1"/>
  <c r="R21" i="3"/>
  <c r="O21" i="3"/>
  <c r="L21" i="3"/>
  <c r="I21" i="3"/>
  <c r="Q21" i="3" s="1"/>
  <c r="H21" i="3"/>
  <c r="N21" i="3" s="1"/>
  <c r="G21" i="3"/>
  <c r="P21" i="3" s="1"/>
  <c r="F21" i="3"/>
  <c r="E21" i="3"/>
  <c r="AD20" i="3"/>
  <c r="AB20" i="3"/>
  <c r="AA20" i="3"/>
  <c r="Z20" i="3"/>
  <c r="X20" i="3"/>
  <c r="W20" i="3"/>
  <c r="T20" i="3"/>
  <c r="S20" i="3"/>
  <c r="V20" i="3" s="1"/>
  <c r="R20" i="3"/>
  <c r="O20" i="3"/>
  <c r="L20" i="3"/>
  <c r="I20" i="3"/>
  <c r="Q20" i="3" s="1"/>
  <c r="H20" i="3"/>
  <c r="N20" i="3" s="1"/>
  <c r="G20" i="3"/>
  <c r="P20" i="3" s="1"/>
  <c r="F20" i="3"/>
  <c r="E20" i="3"/>
  <c r="AD19" i="3"/>
  <c r="AB19" i="3"/>
  <c r="AA19" i="3"/>
  <c r="Z19" i="3"/>
  <c r="X19" i="3"/>
  <c r="W19" i="3"/>
  <c r="T19" i="3"/>
  <c r="S19" i="3"/>
  <c r="V19" i="3" s="1"/>
  <c r="R19" i="3"/>
  <c r="O19" i="3"/>
  <c r="L19" i="3"/>
  <c r="I19" i="3"/>
  <c r="Q19" i="3" s="1"/>
  <c r="H19" i="3"/>
  <c r="N19" i="3" s="1"/>
  <c r="G19" i="3"/>
  <c r="P19" i="3" s="1"/>
  <c r="F19" i="3"/>
  <c r="E19" i="3"/>
  <c r="AD18" i="3"/>
  <c r="AB18" i="3"/>
  <c r="AA18" i="3"/>
  <c r="Z18" i="3"/>
  <c r="X18" i="3"/>
  <c r="W18" i="3"/>
  <c r="T18" i="3"/>
  <c r="S18" i="3"/>
  <c r="V18" i="3" s="1"/>
  <c r="R18" i="3"/>
  <c r="O18" i="3"/>
  <c r="L18" i="3"/>
  <c r="I18" i="3"/>
  <c r="Q18" i="3" s="1"/>
  <c r="H18" i="3"/>
  <c r="N18" i="3" s="1"/>
  <c r="G18" i="3"/>
  <c r="P18" i="3" s="1"/>
  <c r="F18" i="3"/>
  <c r="E18" i="3"/>
  <c r="AD17" i="3"/>
  <c r="AB17" i="3"/>
  <c r="AA17" i="3"/>
  <c r="Z17" i="3"/>
  <c r="X17" i="3"/>
  <c r="W17" i="3"/>
  <c r="T17" i="3"/>
  <c r="S17" i="3"/>
  <c r="V17" i="3" s="1"/>
  <c r="R17" i="3"/>
  <c r="O17" i="3"/>
  <c r="L17" i="3"/>
  <c r="I17" i="3"/>
  <c r="Q17" i="3" s="1"/>
  <c r="H17" i="3"/>
  <c r="N17" i="3" s="1"/>
  <c r="G17" i="3"/>
  <c r="P17" i="3" s="1"/>
  <c r="F17" i="3"/>
  <c r="E17" i="3"/>
  <c r="AD16" i="3"/>
  <c r="AB16" i="3"/>
  <c r="AA16" i="3"/>
  <c r="Z16" i="3"/>
  <c r="X16" i="3"/>
  <c r="W16" i="3"/>
  <c r="T16" i="3"/>
  <c r="S16" i="3"/>
  <c r="V16" i="3" s="1"/>
  <c r="R16" i="3"/>
  <c r="O16" i="3"/>
  <c r="L16" i="3"/>
  <c r="I16" i="3"/>
  <c r="Q16" i="3" s="1"/>
  <c r="H16" i="3"/>
  <c r="N16" i="3" s="1"/>
  <c r="G16" i="3"/>
  <c r="P16" i="3" s="1"/>
  <c r="F16" i="3"/>
  <c r="E16" i="3"/>
  <c r="AD15" i="3"/>
  <c r="AB15" i="3"/>
  <c r="AA15" i="3"/>
  <c r="Z15" i="3"/>
  <c r="X15" i="3"/>
  <c r="W15" i="3"/>
  <c r="T15" i="3"/>
  <c r="S15" i="3"/>
  <c r="V15" i="3" s="1"/>
  <c r="R15" i="3"/>
  <c r="O15" i="3"/>
  <c r="L15" i="3"/>
  <c r="I15" i="3"/>
  <c r="Q15" i="3" s="1"/>
  <c r="H15" i="3"/>
  <c r="N15" i="3" s="1"/>
  <c r="G15" i="3"/>
  <c r="P15" i="3" s="1"/>
  <c r="F15" i="3"/>
  <c r="E15" i="3"/>
  <c r="AD14" i="3"/>
  <c r="AB14" i="3"/>
  <c r="AA14" i="3"/>
  <c r="Z14" i="3"/>
  <c r="X14" i="3"/>
  <c r="W14" i="3"/>
  <c r="T14" i="3"/>
  <c r="S14" i="3"/>
  <c r="R14" i="3"/>
  <c r="O14" i="3"/>
  <c r="L14" i="3"/>
  <c r="I14" i="3"/>
  <c r="Q14" i="3" s="1"/>
  <c r="H14" i="3"/>
  <c r="G14" i="3"/>
  <c r="F14" i="3"/>
  <c r="E14" i="3"/>
  <c r="AF9" i="3"/>
  <c r="AE9" i="3"/>
  <c r="AG9" i="3" s="1"/>
  <c r="T9" i="3"/>
  <c r="S9" i="3"/>
  <c r="V9" i="3" s="1"/>
  <c r="R9" i="3"/>
  <c r="AG8" i="3"/>
  <c r="AF8" i="3"/>
  <c r="AF7" i="3" s="1"/>
  <c r="AE8" i="3"/>
  <c r="AE7" i="3"/>
  <c r="AG7" i="3" s="1"/>
  <c r="V106" i="2"/>
  <c r="U106" i="2"/>
  <c r="O106" i="2"/>
  <c r="L106" i="2"/>
  <c r="I106" i="2"/>
  <c r="Q106" i="2" s="1"/>
  <c r="H106" i="2"/>
  <c r="N106" i="2" s="1"/>
  <c r="F106" i="2"/>
  <c r="E106" i="2"/>
  <c r="V105" i="2"/>
  <c r="U105" i="2"/>
  <c r="O105" i="2"/>
  <c r="L105" i="2"/>
  <c r="I105" i="2"/>
  <c r="Q105" i="2" s="1"/>
  <c r="H105" i="2"/>
  <c r="N105" i="2" s="1"/>
  <c r="F105" i="2"/>
  <c r="E105" i="2"/>
  <c r="V104" i="2"/>
  <c r="U104" i="2"/>
  <c r="O104" i="2"/>
  <c r="L104" i="2"/>
  <c r="I104" i="2"/>
  <c r="Q104" i="2" s="1"/>
  <c r="H104" i="2"/>
  <c r="G104" i="2"/>
  <c r="P104" i="2" s="1"/>
  <c r="F104" i="2"/>
  <c r="E104" i="2"/>
  <c r="V103" i="2"/>
  <c r="U103" i="2"/>
  <c r="O103" i="2"/>
  <c r="L103" i="2"/>
  <c r="I103" i="2"/>
  <c r="Q103" i="2" s="1"/>
  <c r="H103" i="2"/>
  <c r="N103" i="2" s="1"/>
  <c r="G103" i="2"/>
  <c r="P103" i="2" s="1"/>
  <c r="F103" i="2"/>
  <c r="E103" i="2"/>
  <c r="V102" i="2"/>
  <c r="U102" i="2"/>
  <c r="O102" i="2"/>
  <c r="L102" i="2"/>
  <c r="I102" i="2"/>
  <c r="Q102" i="2" s="1"/>
  <c r="H102" i="2"/>
  <c r="N102" i="2" s="1"/>
  <c r="G102" i="2"/>
  <c r="P102" i="2" s="1"/>
  <c r="F102" i="2"/>
  <c r="E102" i="2"/>
  <c r="V101" i="2"/>
  <c r="U101" i="2"/>
  <c r="O101" i="2"/>
  <c r="L101" i="2"/>
  <c r="I101" i="2"/>
  <c r="Q101" i="2" s="1"/>
  <c r="H101" i="2"/>
  <c r="G101" i="2"/>
  <c r="P101" i="2" s="1"/>
  <c r="F101" i="2"/>
  <c r="E101" i="2"/>
  <c r="V100" i="2"/>
  <c r="U100" i="2"/>
  <c r="O100" i="2"/>
  <c r="L100" i="2"/>
  <c r="I100" i="2"/>
  <c r="Q100" i="2" s="1"/>
  <c r="H100" i="2"/>
  <c r="N100" i="2" s="1"/>
  <c r="G100" i="2"/>
  <c r="P100" i="2" s="1"/>
  <c r="F100" i="2"/>
  <c r="E100" i="2"/>
  <c r="V99" i="2"/>
  <c r="U99" i="2"/>
  <c r="O99" i="2"/>
  <c r="L99" i="2"/>
  <c r="I99" i="2"/>
  <c r="Q99" i="2" s="1"/>
  <c r="H99" i="2"/>
  <c r="N99" i="2" s="1"/>
  <c r="G99" i="2"/>
  <c r="P99" i="2" s="1"/>
  <c r="F99" i="2"/>
  <c r="E99" i="2"/>
  <c r="V98" i="2"/>
  <c r="U98" i="2"/>
  <c r="O98" i="2"/>
  <c r="L98" i="2"/>
  <c r="I98" i="2"/>
  <c r="Q98" i="2" s="1"/>
  <c r="H98" i="2"/>
  <c r="N98" i="2" s="1"/>
  <c r="G98" i="2"/>
  <c r="P98" i="2" s="1"/>
  <c r="F98" i="2"/>
  <c r="E98" i="2"/>
  <c r="V97" i="2"/>
  <c r="U97" i="2"/>
  <c r="O97" i="2"/>
  <c r="L97" i="2"/>
  <c r="I97" i="2"/>
  <c r="Q97" i="2" s="1"/>
  <c r="H97" i="2"/>
  <c r="N97" i="2" s="1"/>
  <c r="G97" i="2"/>
  <c r="P97" i="2" s="1"/>
  <c r="F97" i="2"/>
  <c r="E97" i="2"/>
  <c r="V96" i="2"/>
  <c r="U96" i="2"/>
  <c r="O96" i="2"/>
  <c r="L96" i="2"/>
  <c r="I96" i="2"/>
  <c r="Q96" i="2" s="1"/>
  <c r="H96" i="2"/>
  <c r="N96" i="2" s="1"/>
  <c r="G96" i="2"/>
  <c r="P96" i="2" s="1"/>
  <c r="F96" i="2"/>
  <c r="E96" i="2"/>
  <c r="V95" i="2"/>
  <c r="U95" i="2"/>
  <c r="O95" i="2"/>
  <c r="L95" i="2"/>
  <c r="I95" i="2"/>
  <c r="Q95" i="2" s="1"/>
  <c r="H95" i="2"/>
  <c r="N95" i="2" s="1"/>
  <c r="G95" i="2"/>
  <c r="P95" i="2" s="1"/>
  <c r="F95" i="2"/>
  <c r="E95" i="2"/>
  <c r="V94" i="2"/>
  <c r="U94" i="2"/>
  <c r="O94" i="2"/>
  <c r="L94" i="2"/>
  <c r="I94" i="2"/>
  <c r="Q94" i="2" s="1"/>
  <c r="H94" i="2"/>
  <c r="N94" i="2" s="1"/>
  <c r="G94" i="2"/>
  <c r="P94" i="2" s="1"/>
  <c r="F94" i="2"/>
  <c r="E94" i="2"/>
  <c r="V93" i="2"/>
  <c r="U93" i="2"/>
  <c r="O93" i="2"/>
  <c r="L93" i="2"/>
  <c r="I93" i="2"/>
  <c r="Q93" i="2" s="1"/>
  <c r="H93" i="2"/>
  <c r="G93" i="2"/>
  <c r="P93" i="2" s="1"/>
  <c r="F93" i="2"/>
  <c r="E93" i="2"/>
  <c r="V92" i="2"/>
  <c r="U92" i="2"/>
  <c r="O92" i="2"/>
  <c r="L92" i="2"/>
  <c r="I92" i="2"/>
  <c r="Q92" i="2" s="1"/>
  <c r="H92" i="2"/>
  <c r="N92" i="2" s="1"/>
  <c r="G92" i="2"/>
  <c r="P92" i="2" s="1"/>
  <c r="F92" i="2"/>
  <c r="E92" i="2"/>
  <c r="V91" i="2"/>
  <c r="U91" i="2"/>
  <c r="O91" i="2"/>
  <c r="L91" i="2"/>
  <c r="I91" i="2"/>
  <c r="H91" i="2"/>
  <c r="N91" i="2" s="1"/>
  <c r="G91" i="2"/>
  <c r="P91" i="2" s="1"/>
  <c r="F91" i="2"/>
  <c r="E91" i="2"/>
  <c r="V90" i="2"/>
  <c r="U90" i="2"/>
  <c r="O90" i="2"/>
  <c r="L90" i="2"/>
  <c r="I90" i="2"/>
  <c r="Q90" i="2" s="1"/>
  <c r="H90" i="2"/>
  <c r="G90" i="2"/>
  <c r="P90" i="2" s="1"/>
  <c r="F90" i="2"/>
  <c r="E90" i="2"/>
  <c r="V89" i="2"/>
  <c r="T89" i="2"/>
  <c r="S89" i="2"/>
  <c r="R89" i="2"/>
  <c r="U89" i="2" s="1"/>
  <c r="AE88" i="2"/>
  <c r="AA88" i="2"/>
  <c r="Z88" i="2"/>
  <c r="X88" i="2"/>
  <c r="W88" i="2"/>
  <c r="T88" i="2"/>
  <c r="S88" i="2"/>
  <c r="V88" i="2" s="1"/>
  <c r="R88" i="2"/>
  <c r="O88" i="2"/>
  <c r="L88" i="2"/>
  <c r="I88" i="2"/>
  <c r="Q88" i="2" s="1"/>
  <c r="H88" i="2"/>
  <c r="N88" i="2" s="1"/>
  <c r="G88" i="2"/>
  <c r="P88" i="2" s="1"/>
  <c r="F88" i="2"/>
  <c r="E88" i="2"/>
  <c r="AA87" i="2"/>
  <c r="Z87" i="2"/>
  <c r="X87" i="2"/>
  <c r="W87" i="2"/>
  <c r="T87" i="2"/>
  <c r="S87" i="2"/>
  <c r="V87" i="2" s="1"/>
  <c r="R87" i="2"/>
  <c r="O87" i="2"/>
  <c r="L87" i="2"/>
  <c r="I87" i="2"/>
  <c r="Q87" i="2" s="1"/>
  <c r="H87" i="2"/>
  <c r="N87" i="2" s="1"/>
  <c r="G87" i="2"/>
  <c r="P87" i="2" s="1"/>
  <c r="F87" i="2"/>
  <c r="E87" i="2"/>
  <c r="AE86" i="2"/>
  <c r="AA86" i="2"/>
  <c r="Z86" i="2"/>
  <c r="X86" i="2"/>
  <c r="W86" i="2"/>
  <c r="T86" i="2"/>
  <c r="S86" i="2"/>
  <c r="V86" i="2" s="1"/>
  <c r="R86" i="2"/>
  <c r="O86" i="2"/>
  <c r="L86" i="2"/>
  <c r="I86" i="2"/>
  <c r="Q86" i="2" s="1"/>
  <c r="H86" i="2"/>
  <c r="N86" i="2" s="1"/>
  <c r="G86" i="2"/>
  <c r="P86" i="2" s="1"/>
  <c r="F86" i="2"/>
  <c r="E86" i="2"/>
  <c r="AA85" i="2"/>
  <c r="Z85" i="2"/>
  <c r="AB85" i="2" s="1"/>
  <c r="X85" i="2"/>
  <c r="W85" i="2"/>
  <c r="Y85" i="2" s="1"/>
  <c r="T85" i="2"/>
  <c r="S85" i="2"/>
  <c r="V85" i="2" s="1"/>
  <c r="R85" i="2"/>
  <c r="U85" i="2" s="1"/>
  <c r="O85" i="2"/>
  <c r="L85" i="2"/>
  <c r="I85" i="2"/>
  <c r="Q85" i="2" s="1"/>
  <c r="H85" i="2"/>
  <c r="N85" i="2" s="1"/>
  <c r="G85" i="2"/>
  <c r="P85" i="2" s="1"/>
  <c r="F85" i="2"/>
  <c r="E85" i="2"/>
  <c r="AA84" i="2"/>
  <c r="Z84" i="2"/>
  <c r="AB84" i="2" s="1"/>
  <c r="X84" i="2"/>
  <c r="W84" i="2"/>
  <c r="Y84" i="2" s="1"/>
  <c r="T84" i="2"/>
  <c r="S84" i="2"/>
  <c r="V84" i="2" s="1"/>
  <c r="R84" i="2"/>
  <c r="U84" i="2" s="1"/>
  <c r="O84" i="2"/>
  <c r="L84" i="2"/>
  <c r="I84" i="2"/>
  <c r="Q84" i="2" s="1"/>
  <c r="H84" i="2"/>
  <c r="N84" i="2" s="1"/>
  <c r="G84" i="2"/>
  <c r="P84" i="2" s="1"/>
  <c r="F84" i="2"/>
  <c r="E84" i="2"/>
  <c r="AA83" i="2"/>
  <c r="Z83" i="2"/>
  <c r="AB83" i="2" s="1"/>
  <c r="X83" i="2"/>
  <c r="W83" i="2"/>
  <c r="Y83" i="2" s="1"/>
  <c r="T83" i="2"/>
  <c r="S83" i="2"/>
  <c r="V83" i="2" s="1"/>
  <c r="R83" i="2"/>
  <c r="U83" i="2" s="1"/>
  <c r="O83" i="2"/>
  <c r="L83" i="2"/>
  <c r="I83" i="2"/>
  <c r="Q83" i="2" s="1"/>
  <c r="H83" i="2"/>
  <c r="N83" i="2" s="1"/>
  <c r="G83" i="2"/>
  <c r="P83" i="2" s="1"/>
  <c r="F83" i="2"/>
  <c r="E83" i="2"/>
  <c r="AA82" i="2"/>
  <c r="Z82" i="2"/>
  <c r="X82" i="2"/>
  <c r="W82" i="2"/>
  <c r="T82" i="2"/>
  <c r="S82" i="2"/>
  <c r="V82" i="2" s="1"/>
  <c r="R82" i="2"/>
  <c r="O82" i="2"/>
  <c r="L82" i="2"/>
  <c r="I82" i="2"/>
  <c r="Q82" i="2" s="1"/>
  <c r="H82" i="2"/>
  <c r="N82" i="2" s="1"/>
  <c r="G82" i="2"/>
  <c r="P82" i="2" s="1"/>
  <c r="F82" i="2"/>
  <c r="E82" i="2"/>
  <c r="AA81" i="2"/>
  <c r="Z81" i="2"/>
  <c r="X81" i="2"/>
  <c r="W81" i="2"/>
  <c r="T81" i="2"/>
  <c r="S81" i="2"/>
  <c r="V81" i="2" s="1"/>
  <c r="R81" i="2"/>
  <c r="O81" i="2"/>
  <c r="L81" i="2"/>
  <c r="I81" i="2"/>
  <c r="Q81" i="2" s="1"/>
  <c r="H81" i="2"/>
  <c r="N81" i="2" s="1"/>
  <c r="G81" i="2"/>
  <c r="P81" i="2" s="1"/>
  <c r="F81" i="2"/>
  <c r="E81" i="2"/>
  <c r="AA80" i="2"/>
  <c r="Z80" i="2"/>
  <c r="AB80" i="2" s="1"/>
  <c r="X80" i="2"/>
  <c r="W80" i="2"/>
  <c r="Y80" i="2" s="1"/>
  <c r="T80" i="2"/>
  <c r="S80" i="2"/>
  <c r="V80" i="2" s="1"/>
  <c r="R80" i="2"/>
  <c r="U80" i="2" s="1"/>
  <c r="O80" i="2"/>
  <c r="L80" i="2"/>
  <c r="I80" i="2"/>
  <c r="Q80" i="2" s="1"/>
  <c r="H80" i="2"/>
  <c r="N80" i="2" s="1"/>
  <c r="G80" i="2"/>
  <c r="P80" i="2" s="1"/>
  <c r="F80" i="2"/>
  <c r="E80" i="2"/>
  <c r="AA79" i="2"/>
  <c r="Z79" i="2"/>
  <c r="X79" i="2"/>
  <c r="W79" i="2"/>
  <c r="T79" i="2"/>
  <c r="S79" i="2"/>
  <c r="V79" i="2" s="1"/>
  <c r="R79" i="2"/>
  <c r="O79" i="2"/>
  <c r="L79" i="2"/>
  <c r="I79" i="2"/>
  <c r="Q79" i="2" s="1"/>
  <c r="H79" i="2"/>
  <c r="N79" i="2" s="1"/>
  <c r="G79" i="2"/>
  <c r="P79" i="2" s="1"/>
  <c r="F79" i="2"/>
  <c r="E79" i="2"/>
  <c r="AA78" i="2"/>
  <c r="Z78" i="2"/>
  <c r="AB78" i="2" s="1"/>
  <c r="X78" i="2"/>
  <c r="W78" i="2"/>
  <c r="Y78" i="2" s="1"/>
  <c r="T78" i="2"/>
  <c r="S78" i="2"/>
  <c r="V78" i="2" s="1"/>
  <c r="R78" i="2"/>
  <c r="U78" i="2" s="1"/>
  <c r="O78" i="2"/>
  <c r="L78" i="2"/>
  <c r="I78" i="2"/>
  <c r="Q78" i="2" s="1"/>
  <c r="H78" i="2"/>
  <c r="N78" i="2" s="1"/>
  <c r="G78" i="2"/>
  <c r="F78" i="2"/>
  <c r="E78" i="2"/>
  <c r="AA77" i="2"/>
  <c r="Z77" i="2"/>
  <c r="AB77" i="2" s="1"/>
  <c r="X77" i="2"/>
  <c r="W77" i="2"/>
  <c r="Y77" i="2" s="1"/>
  <c r="T77" i="2"/>
  <c r="S77" i="2"/>
  <c r="V77" i="2" s="1"/>
  <c r="R77" i="2"/>
  <c r="U77" i="2" s="1"/>
  <c r="O77" i="2"/>
  <c r="L77" i="2"/>
  <c r="I77" i="2"/>
  <c r="Q77" i="2" s="1"/>
  <c r="H77" i="2"/>
  <c r="N77" i="2" s="1"/>
  <c r="G77" i="2"/>
  <c r="P77" i="2" s="1"/>
  <c r="F77" i="2"/>
  <c r="E77" i="2"/>
  <c r="AA76" i="2"/>
  <c r="Z76" i="2"/>
  <c r="X76" i="2"/>
  <c r="W76" i="2"/>
  <c r="T76" i="2"/>
  <c r="S76" i="2"/>
  <c r="V76" i="2" s="1"/>
  <c r="R76" i="2"/>
  <c r="O76" i="2"/>
  <c r="L76" i="2"/>
  <c r="I76" i="2"/>
  <c r="H76" i="2"/>
  <c r="N76" i="2" s="1"/>
  <c r="G76" i="2"/>
  <c r="P76" i="2" s="1"/>
  <c r="F76" i="2"/>
  <c r="E76" i="2"/>
  <c r="AA75" i="2"/>
  <c r="Z75" i="2"/>
  <c r="X75" i="2"/>
  <c r="W75" i="2"/>
  <c r="Y75" i="2" s="1"/>
  <c r="T75" i="2"/>
  <c r="S75" i="2"/>
  <c r="V75" i="2" s="1"/>
  <c r="R75" i="2"/>
  <c r="U75" i="2" s="1"/>
  <c r="O75" i="2"/>
  <c r="L75" i="2"/>
  <c r="I75" i="2"/>
  <c r="Q75" i="2" s="1"/>
  <c r="H75" i="2"/>
  <c r="G75" i="2"/>
  <c r="P75" i="2" s="1"/>
  <c r="F75" i="2"/>
  <c r="E75" i="2"/>
  <c r="AA73" i="2"/>
  <c r="Z73" i="2"/>
  <c r="AB73" i="2" s="1"/>
  <c r="X73" i="2"/>
  <c r="W73" i="2"/>
  <c r="Y73" i="2" s="1"/>
  <c r="T73" i="2"/>
  <c r="S73" i="2"/>
  <c r="V73" i="2" s="1"/>
  <c r="R73" i="2"/>
  <c r="U73" i="2" s="1"/>
  <c r="O73" i="2"/>
  <c r="L73" i="2"/>
  <c r="I73" i="2"/>
  <c r="Q73" i="2" s="1"/>
  <c r="H73" i="2"/>
  <c r="N73" i="2" s="1"/>
  <c r="G73" i="2"/>
  <c r="P73" i="2" s="1"/>
  <c r="F73" i="2"/>
  <c r="E73" i="2"/>
  <c r="AA72" i="2"/>
  <c r="Z72" i="2"/>
  <c r="AB72" i="2" s="1"/>
  <c r="X72" i="2"/>
  <c r="W72" i="2"/>
  <c r="Y72" i="2" s="1"/>
  <c r="T72" i="2"/>
  <c r="S72" i="2"/>
  <c r="V72" i="2" s="1"/>
  <c r="R72" i="2"/>
  <c r="U72" i="2" s="1"/>
  <c r="O72" i="2"/>
  <c r="L72" i="2"/>
  <c r="I72" i="2"/>
  <c r="Q72" i="2" s="1"/>
  <c r="H72" i="2"/>
  <c r="N72" i="2" s="1"/>
  <c r="G72" i="2"/>
  <c r="P72" i="2" s="1"/>
  <c r="F72" i="2"/>
  <c r="E72" i="2"/>
  <c r="AA71" i="2"/>
  <c r="Z71" i="2"/>
  <c r="AB71" i="2" s="1"/>
  <c r="X71" i="2"/>
  <c r="W71" i="2"/>
  <c r="Y71" i="2" s="1"/>
  <c r="T71" i="2"/>
  <c r="S71" i="2"/>
  <c r="V71" i="2" s="1"/>
  <c r="R71" i="2"/>
  <c r="U71" i="2" s="1"/>
  <c r="O71" i="2"/>
  <c r="L71" i="2"/>
  <c r="I71" i="2"/>
  <c r="Q71" i="2" s="1"/>
  <c r="H71" i="2"/>
  <c r="N71" i="2" s="1"/>
  <c r="G71" i="2"/>
  <c r="P71" i="2" s="1"/>
  <c r="F71" i="2"/>
  <c r="E71" i="2"/>
  <c r="AA70" i="2"/>
  <c r="Z70" i="2"/>
  <c r="AB70" i="2" s="1"/>
  <c r="X70" i="2"/>
  <c r="W70" i="2"/>
  <c r="Y70" i="2" s="1"/>
  <c r="T70" i="2"/>
  <c r="S70" i="2"/>
  <c r="V70" i="2" s="1"/>
  <c r="R70" i="2"/>
  <c r="U70" i="2" s="1"/>
  <c r="O70" i="2"/>
  <c r="L70" i="2"/>
  <c r="I70" i="2"/>
  <c r="Q70" i="2" s="1"/>
  <c r="H70" i="2"/>
  <c r="N70" i="2" s="1"/>
  <c r="G70" i="2"/>
  <c r="P70" i="2" s="1"/>
  <c r="F70" i="2"/>
  <c r="E70" i="2"/>
  <c r="AA69" i="2"/>
  <c r="Z69" i="2"/>
  <c r="AB69" i="2" s="1"/>
  <c r="X69" i="2"/>
  <c r="W69" i="2"/>
  <c r="Y69" i="2" s="1"/>
  <c r="T69" i="2"/>
  <c r="S69" i="2"/>
  <c r="V69" i="2" s="1"/>
  <c r="R69" i="2"/>
  <c r="U69" i="2" s="1"/>
  <c r="O69" i="2"/>
  <c r="L69" i="2"/>
  <c r="I69" i="2"/>
  <c r="Q69" i="2" s="1"/>
  <c r="H69" i="2"/>
  <c r="N69" i="2" s="1"/>
  <c r="G69" i="2"/>
  <c r="P69" i="2" s="1"/>
  <c r="F69" i="2"/>
  <c r="E69" i="2"/>
  <c r="AA68" i="2"/>
  <c r="Z68" i="2"/>
  <c r="X68" i="2"/>
  <c r="W68" i="2"/>
  <c r="T68" i="2"/>
  <c r="S68" i="2"/>
  <c r="V68" i="2" s="1"/>
  <c r="R68" i="2"/>
  <c r="O68" i="2"/>
  <c r="L68" i="2"/>
  <c r="I68" i="2"/>
  <c r="Q68" i="2" s="1"/>
  <c r="H68" i="2"/>
  <c r="N68" i="2" s="1"/>
  <c r="G68" i="2"/>
  <c r="P68" i="2" s="1"/>
  <c r="F68" i="2"/>
  <c r="E68" i="2"/>
  <c r="AA67" i="2"/>
  <c r="Z67" i="2"/>
  <c r="X67" i="2"/>
  <c r="W67" i="2"/>
  <c r="T67" i="2"/>
  <c r="S67" i="2"/>
  <c r="V67" i="2" s="1"/>
  <c r="R67" i="2"/>
  <c r="O67" i="2"/>
  <c r="L67" i="2"/>
  <c r="I67" i="2"/>
  <c r="Q67" i="2" s="1"/>
  <c r="H67" i="2"/>
  <c r="N67" i="2" s="1"/>
  <c r="G67" i="2"/>
  <c r="P67" i="2" s="1"/>
  <c r="F67" i="2"/>
  <c r="E67" i="2"/>
  <c r="AA66" i="2"/>
  <c r="Z66" i="2"/>
  <c r="AB66" i="2" s="1"/>
  <c r="X66" i="2"/>
  <c r="W66" i="2"/>
  <c r="Y66" i="2" s="1"/>
  <c r="T66" i="2"/>
  <c r="S66" i="2"/>
  <c r="V66" i="2" s="1"/>
  <c r="R66" i="2"/>
  <c r="U66" i="2" s="1"/>
  <c r="O66" i="2"/>
  <c r="L66" i="2"/>
  <c r="I66" i="2"/>
  <c r="Q66" i="2" s="1"/>
  <c r="H66" i="2"/>
  <c r="N66" i="2" s="1"/>
  <c r="G66" i="2"/>
  <c r="P66" i="2" s="1"/>
  <c r="F66" i="2"/>
  <c r="E66" i="2"/>
  <c r="AA65" i="2"/>
  <c r="Z65" i="2"/>
  <c r="X65" i="2"/>
  <c r="W65" i="2"/>
  <c r="T65" i="2"/>
  <c r="S65" i="2"/>
  <c r="V65" i="2" s="1"/>
  <c r="R65" i="2"/>
  <c r="O65" i="2"/>
  <c r="L65" i="2"/>
  <c r="I65" i="2"/>
  <c r="Q65" i="2" s="1"/>
  <c r="H65" i="2"/>
  <c r="N65" i="2" s="1"/>
  <c r="G65" i="2"/>
  <c r="P65" i="2" s="1"/>
  <c r="F65" i="2"/>
  <c r="E65" i="2"/>
  <c r="AA64" i="2"/>
  <c r="Z64" i="2"/>
  <c r="AB64" i="2" s="1"/>
  <c r="X64" i="2"/>
  <c r="W64" i="2"/>
  <c r="Y64" i="2" s="1"/>
  <c r="T64" i="2"/>
  <c r="S64" i="2"/>
  <c r="V64" i="2" s="1"/>
  <c r="R64" i="2"/>
  <c r="U64" i="2" s="1"/>
  <c r="O64" i="2"/>
  <c r="L64" i="2"/>
  <c r="I64" i="2"/>
  <c r="Q64" i="2" s="1"/>
  <c r="H64" i="2"/>
  <c r="N64" i="2" s="1"/>
  <c r="G64" i="2"/>
  <c r="P64" i="2" s="1"/>
  <c r="F64" i="2"/>
  <c r="E64" i="2"/>
  <c r="AA63" i="2"/>
  <c r="Z63" i="2"/>
  <c r="X63" i="2"/>
  <c r="W63" i="2"/>
  <c r="T63" i="2"/>
  <c r="S63" i="2"/>
  <c r="V63" i="2" s="1"/>
  <c r="R63" i="2"/>
  <c r="O63" i="2"/>
  <c r="L63" i="2"/>
  <c r="I63" i="2"/>
  <c r="Q63" i="2" s="1"/>
  <c r="H63" i="2"/>
  <c r="G63" i="2"/>
  <c r="P63" i="2" s="1"/>
  <c r="F63" i="2"/>
  <c r="E63" i="2"/>
  <c r="AA62" i="2"/>
  <c r="Z62" i="2"/>
  <c r="X62" i="2"/>
  <c r="W62" i="2"/>
  <c r="T62" i="2"/>
  <c r="S62" i="2"/>
  <c r="V62" i="2" s="1"/>
  <c r="R62" i="2"/>
  <c r="O62" i="2"/>
  <c r="L62" i="2"/>
  <c r="I62" i="2"/>
  <c r="Q62" i="2" s="1"/>
  <c r="H62" i="2"/>
  <c r="N62" i="2" s="1"/>
  <c r="G62" i="2"/>
  <c r="P62" i="2" s="1"/>
  <c r="F62" i="2"/>
  <c r="E62" i="2"/>
  <c r="Z61" i="2"/>
  <c r="W61" i="2"/>
  <c r="T61" i="2"/>
  <c r="S61" i="2"/>
  <c r="V61" i="2" s="1"/>
  <c r="R61" i="2"/>
  <c r="O61" i="2"/>
  <c r="L61" i="2"/>
  <c r="I61" i="2"/>
  <c r="Q61" i="2" s="1"/>
  <c r="H61" i="2"/>
  <c r="N61" i="2" s="1"/>
  <c r="G61" i="2"/>
  <c r="P61" i="2" s="1"/>
  <c r="F61" i="2"/>
  <c r="E61" i="2"/>
  <c r="AA60" i="2"/>
  <c r="Z60" i="2"/>
  <c r="AB60" i="2" s="1"/>
  <c r="X60" i="2"/>
  <c r="W60" i="2"/>
  <c r="Y60" i="2" s="1"/>
  <c r="T60" i="2"/>
  <c r="S60" i="2"/>
  <c r="V60" i="2" s="1"/>
  <c r="R60" i="2"/>
  <c r="U60" i="2" s="1"/>
  <c r="O60" i="2"/>
  <c r="L60" i="2"/>
  <c r="I60" i="2"/>
  <c r="Q60" i="2" s="1"/>
  <c r="H60" i="2"/>
  <c r="N60" i="2" s="1"/>
  <c r="G60" i="2"/>
  <c r="P60" i="2" s="1"/>
  <c r="F60" i="2"/>
  <c r="E60" i="2"/>
  <c r="AA59" i="2"/>
  <c r="Z59" i="2"/>
  <c r="AB59" i="2" s="1"/>
  <c r="X59" i="2"/>
  <c r="W59" i="2"/>
  <c r="Y59" i="2" s="1"/>
  <c r="T59" i="2"/>
  <c r="S59" i="2"/>
  <c r="V59" i="2" s="1"/>
  <c r="R59" i="2"/>
  <c r="U59" i="2" s="1"/>
  <c r="O59" i="2"/>
  <c r="L59" i="2"/>
  <c r="I59" i="2"/>
  <c r="Q59" i="2" s="1"/>
  <c r="H59" i="2"/>
  <c r="N59" i="2" s="1"/>
  <c r="G59" i="2"/>
  <c r="P59" i="2" s="1"/>
  <c r="F59" i="2"/>
  <c r="E59" i="2"/>
  <c r="AA58" i="2"/>
  <c r="Z58" i="2"/>
  <c r="AB58" i="2" s="1"/>
  <c r="X58" i="2"/>
  <c r="W58" i="2"/>
  <c r="Y58" i="2" s="1"/>
  <c r="T58" i="2"/>
  <c r="S58" i="2"/>
  <c r="V58" i="2" s="1"/>
  <c r="R58" i="2"/>
  <c r="U58" i="2" s="1"/>
  <c r="O58" i="2"/>
  <c r="L58" i="2"/>
  <c r="I58" i="2"/>
  <c r="Q58" i="2" s="1"/>
  <c r="H58" i="2"/>
  <c r="N58" i="2" s="1"/>
  <c r="G58" i="2"/>
  <c r="P58" i="2" s="1"/>
  <c r="F58" i="2"/>
  <c r="E58" i="2"/>
  <c r="AA57" i="2"/>
  <c r="Z57" i="2"/>
  <c r="X57" i="2"/>
  <c r="W57" i="2"/>
  <c r="T57" i="2"/>
  <c r="S57" i="2"/>
  <c r="R57" i="2"/>
  <c r="O57" i="2"/>
  <c r="L57" i="2"/>
  <c r="I57" i="2"/>
  <c r="Q57" i="2" s="1"/>
  <c r="H57" i="2"/>
  <c r="N57" i="2" s="1"/>
  <c r="G57" i="2"/>
  <c r="F57" i="2"/>
  <c r="E57" i="2"/>
  <c r="AA56" i="2"/>
  <c r="Z56" i="2"/>
  <c r="AB56" i="2" s="1"/>
  <c r="X56" i="2"/>
  <c r="W56" i="2"/>
  <c r="Y56" i="2" s="1"/>
  <c r="T56" i="2"/>
  <c r="S56" i="2"/>
  <c r="V56" i="2" s="1"/>
  <c r="R56" i="2"/>
  <c r="O56" i="2"/>
  <c r="L56" i="2"/>
  <c r="I56" i="2"/>
  <c r="Q56" i="2" s="1"/>
  <c r="H56" i="2"/>
  <c r="N56" i="2" s="1"/>
  <c r="G56" i="2"/>
  <c r="P56" i="2" s="1"/>
  <c r="F56" i="2"/>
  <c r="E56" i="2"/>
  <c r="AA55" i="2"/>
  <c r="Z55" i="2"/>
  <c r="AB55" i="2" s="1"/>
  <c r="X55" i="2"/>
  <c r="W55" i="2"/>
  <c r="Y55" i="2" s="1"/>
  <c r="T55" i="2"/>
  <c r="S55" i="2"/>
  <c r="V55" i="2" s="1"/>
  <c r="R55" i="2"/>
  <c r="U55" i="2" s="1"/>
  <c r="O55" i="2"/>
  <c r="L55" i="2"/>
  <c r="I55" i="2"/>
  <c r="Q55" i="2" s="1"/>
  <c r="H55" i="2"/>
  <c r="N55" i="2" s="1"/>
  <c r="G55" i="2"/>
  <c r="P55" i="2" s="1"/>
  <c r="F55" i="2"/>
  <c r="E55" i="2"/>
  <c r="AA54" i="2"/>
  <c r="Z54" i="2"/>
  <c r="X54" i="2"/>
  <c r="W54" i="2"/>
  <c r="T54" i="2"/>
  <c r="S54" i="2"/>
  <c r="V54" i="2" s="1"/>
  <c r="R54" i="2"/>
  <c r="O54" i="2"/>
  <c r="L54" i="2"/>
  <c r="I54" i="2"/>
  <c r="Q54" i="2" s="1"/>
  <c r="H54" i="2"/>
  <c r="N54" i="2" s="1"/>
  <c r="G54" i="2"/>
  <c r="P54" i="2" s="1"/>
  <c r="F54" i="2"/>
  <c r="E54" i="2"/>
  <c r="AA53" i="2"/>
  <c r="Z53" i="2"/>
  <c r="X53" i="2"/>
  <c r="W53" i="2"/>
  <c r="T53" i="2"/>
  <c r="S53" i="2"/>
  <c r="V53" i="2" s="1"/>
  <c r="R53" i="2"/>
  <c r="O53" i="2"/>
  <c r="L53" i="2"/>
  <c r="I53" i="2"/>
  <c r="Q53" i="2" s="1"/>
  <c r="H53" i="2"/>
  <c r="G53" i="2"/>
  <c r="P53" i="2" s="1"/>
  <c r="F53" i="2"/>
  <c r="E53" i="2"/>
  <c r="AA51" i="2"/>
  <c r="Z51" i="2"/>
  <c r="AB51" i="2" s="1"/>
  <c r="X51" i="2"/>
  <c r="W51" i="2"/>
  <c r="Y51" i="2" s="1"/>
  <c r="T51" i="2"/>
  <c r="S51" i="2"/>
  <c r="V51" i="2" s="1"/>
  <c r="R51" i="2"/>
  <c r="U51" i="2" s="1"/>
  <c r="O51" i="2"/>
  <c r="L51" i="2"/>
  <c r="I51" i="2"/>
  <c r="Q51" i="2" s="1"/>
  <c r="H51" i="2"/>
  <c r="N51" i="2" s="1"/>
  <c r="G51" i="2"/>
  <c r="P51" i="2" s="1"/>
  <c r="F51" i="2"/>
  <c r="E51" i="2"/>
  <c r="AA50" i="2"/>
  <c r="Z50" i="2"/>
  <c r="AB50" i="2" s="1"/>
  <c r="X50" i="2"/>
  <c r="W50" i="2"/>
  <c r="Y50" i="2" s="1"/>
  <c r="T50" i="2"/>
  <c r="S50" i="2"/>
  <c r="V50" i="2" s="1"/>
  <c r="R50" i="2"/>
  <c r="U50" i="2" s="1"/>
  <c r="O50" i="2"/>
  <c r="L50" i="2"/>
  <c r="I50" i="2"/>
  <c r="Q50" i="2" s="1"/>
  <c r="H50" i="2"/>
  <c r="N50" i="2" s="1"/>
  <c r="G50" i="2"/>
  <c r="P50" i="2" s="1"/>
  <c r="F50" i="2"/>
  <c r="E50" i="2"/>
  <c r="AA49" i="2"/>
  <c r="Z49" i="2"/>
  <c r="X49" i="2"/>
  <c r="W49" i="2"/>
  <c r="T49" i="2"/>
  <c r="S49" i="2"/>
  <c r="V49" i="2" s="1"/>
  <c r="R49" i="2"/>
  <c r="O49" i="2"/>
  <c r="L49" i="2"/>
  <c r="I49" i="2"/>
  <c r="Q49" i="2" s="1"/>
  <c r="H49" i="2"/>
  <c r="G49" i="2"/>
  <c r="P49" i="2" s="1"/>
  <c r="F49" i="2"/>
  <c r="E49" i="2"/>
  <c r="AA48" i="2"/>
  <c r="Z48" i="2"/>
  <c r="X48" i="2"/>
  <c r="W48" i="2"/>
  <c r="T48" i="2"/>
  <c r="S48" i="2"/>
  <c r="V48" i="2" s="1"/>
  <c r="R48" i="2"/>
  <c r="O48" i="2"/>
  <c r="L48" i="2"/>
  <c r="I48" i="2"/>
  <c r="Q48" i="2" s="1"/>
  <c r="H48" i="2"/>
  <c r="G48" i="2"/>
  <c r="P48" i="2" s="1"/>
  <c r="F48" i="2"/>
  <c r="E48" i="2"/>
  <c r="AA47" i="2"/>
  <c r="Z47" i="2"/>
  <c r="AB47" i="2" s="1"/>
  <c r="X47" i="2"/>
  <c r="W47" i="2"/>
  <c r="Y47" i="2" s="1"/>
  <c r="T47" i="2"/>
  <c r="S47" i="2"/>
  <c r="V47" i="2" s="1"/>
  <c r="R47" i="2"/>
  <c r="U47" i="2" s="1"/>
  <c r="O47" i="2"/>
  <c r="L47" i="2"/>
  <c r="I47" i="2"/>
  <c r="Q47" i="2" s="1"/>
  <c r="H47" i="2"/>
  <c r="N47" i="2" s="1"/>
  <c r="G47" i="2"/>
  <c r="P47" i="2" s="1"/>
  <c r="F47" i="2"/>
  <c r="E47" i="2"/>
  <c r="AA46" i="2"/>
  <c r="Z46" i="2"/>
  <c r="AB46" i="2" s="1"/>
  <c r="X46" i="2"/>
  <c r="W46" i="2"/>
  <c r="Y46" i="2" s="1"/>
  <c r="T46" i="2"/>
  <c r="S46" i="2"/>
  <c r="V46" i="2" s="1"/>
  <c r="R46" i="2"/>
  <c r="U46" i="2" s="1"/>
  <c r="O46" i="2"/>
  <c r="L46" i="2"/>
  <c r="I46" i="2"/>
  <c r="Q46" i="2" s="1"/>
  <c r="H46" i="2"/>
  <c r="N46" i="2" s="1"/>
  <c r="G46" i="2"/>
  <c r="P46" i="2" s="1"/>
  <c r="F46" i="2"/>
  <c r="E46" i="2"/>
  <c r="AA45" i="2"/>
  <c r="Z45" i="2"/>
  <c r="AB45" i="2" s="1"/>
  <c r="X45" i="2"/>
  <c r="W45" i="2"/>
  <c r="Y45" i="2" s="1"/>
  <c r="T45" i="2"/>
  <c r="S45" i="2"/>
  <c r="V45" i="2" s="1"/>
  <c r="R45" i="2"/>
  <c r="U45" i="2" s="1"/>
  <c r="O45" i="2"/>
  <c r="L45" i="2"/>
  <c r="I45" i="2"/>
  <c r="Q45" i="2" s="1"/>
  <c r="H45" i="2"/>
  <c r="N45" i="2" s="1"/>
  <c r="G45" i="2"/>
  <c r="P45" i="2" s="1"/>
  <c r="F45" i="2"/>
  <c r="E45" i="2"/>
  <c r="AA44" i="2"/>
  <c r="Z44" i="2"/>
  <c r="AB44" i="2" s="1"/>
  <c r="X44" i="2"/>
  <c r="W44" i="2"/>
  <c r="Y44" i="2" s="1"/>
  <c r="T44" i="2"/>
  <c r="S44" i="2"/>
  <c r="V44" i="2" s="1"/>
  <c r="R44" i="2"/>
  <c r="U44" i="2" s="1"/>
  <c r="O44" i="2"/>
  <c r="L44" i="2"/>
  <c r="I44" i="2"/>
  <c r="Q44" i="2" s="1"/>
  <c r="H44" i="2"/>
  <c r="N44" i="2" s="1"/>
  <c r="G44" i="2"/>
  <c r="P44" i="2" s="1"/>
  <c r="F44" i="2"/>
  <c r="E44" i="2"/>
  <c r="AA43" i="2"/>
  <c r="Z43" i="2"/>
  <c r="AB43" i="2" s="1"/>
  <c r="X43" i="2"/>
  <c r="W43" i="2"/>
  <c r="Y43" i="2" s="1"/>
  <c r="T43" i="2"/>
  <c r="S43" i="2"/>
  <c r="V43" i="2" s="1"/>
  <c r="R43" i="2"/>
  <c r="U43" i="2" s="1"/>
  <c r="O43" i="2"/>
  <c r="L43" i="2"/>
  <c r="I43" i="2"/>
  <c r="Q43" i="2" s="1"/>
  <c r="H43" i="2"/>
  <c r="N43" i="2" s="1"/>
  <c r="G43" i="2"/>
  <c r="P43" i="2" s="1"/>
  <c r="F43" i="2"/>
  <c r="E43" i="2"/>
  <c r="AA42" i="2"/>
  <c r="Z42" i="2"/>
  <c r="AB42" i="2" s="1"/>
  <c r="X42" i="2"/>
  <c r="W42" i="2"/>
  <c r="T42" i="2"/>
  <c r="S42" i="2"/>
  <c r="V42" i="2" s="1"/>
  <c r="R42" i="2"/>
  <c r="U42" i="2" s="1"/>
  <c r="O42" i="2"/>
  <c r="L42" i="2"/>
  <c r="I42" i="2"/>
  <c r="Q42" i="2" s="1"/>
  <c r="H42" i="2"/>
  <c r="N42" i="2" s="1"/>
  <c r="G42" i="2"/>
  <c r="P42" i="2" s="1"/>
  <c r="F42" i="2"/>
  <c r="E42" i="2"/>
  <c r="AA41" i="2"/>
  <c r="Z41" i="2"/>
  <c r="X41" i="2"/>
  <c r="W41" i="2"/>
  <c r="T41" i="2"/>
  <c r="S41" i="2"/>
  <c r="V41" i="2" s="1"/>
  <c r="R41" i="2"/>
  <c r="O41" i="2"/>
  <c r="L41" i="2"/>
  <c r="I41" i="2"/>
  <c r="Q41" i="2" s="1"/>
  <c r="H41" i="2"/>
  <c r="G41" i="2"/>
  <c r="P41" i="2" s="1"/>
  <c r="F41" i="2"/>
  <c r="E41" i="2"/>
  <c r="AA40" i="2"/>
  <c r="Z40" i="2"/>
  <c r="X40" i="2"/>
  <c r="W40" i="2"/>
  <c r="T40" i="2"/>
  <c r="S40" i="2"/>
  <c r="V40" i="2" s="1"/>
  <c r="R40" i="2"/>
  <c r="O40" i="2"/>
  <c r="L40" i="2"/>
  <c r="I40" i="2"/>
  <c r="Q40" i="2" s="1"/>
  <c r="H40" i="2"/>
  <c r="G40" i="2"/>
  <c r="P40" i="2" s="1"/>
  <c r="F40" i="2"/>
  <c r="E40" i="2"/>
  <c r="AA39" i="2"/>
  <c r="Z39" i="2"/>
  <c r="X39" i="2"/>
  <c r="W39" i="2"/>
  <c r="T39" i="2"/>
  <c r="S39" i="2"/>
  <c r="V39" i="2" s="1"/>
  <c r="R39" i="2"/>
  <c r="O39" i="2"/>
  <c r="L39" i="2"/>
  <c r="I39" i="2"/>
  <c r="Q39" i="2" s="1"/>
  <c r="H39" i="2"/>
  <c r="G39" i="2"/>
  <c r="P39" i="2" s="1"/>
  <c r="F39" i="2"/>
  <c r="E39" i="2"/>
  <c r="AA38" i="2"/>
  <c r="Z38" i="2"/>
  <c r="X38" i="2"/>
  <c r="W38" i="2"/>
  <c r="T38" i="2"/>
  <c r="S38" i="2"/>
  <c r="V38" i="2" s="1"/>
  <c r="R38" i="2"/>
  <c r="O38" i="2"/>
  <c r="L38" i="2"/>
  <c r="I38" i="2"/>
  <c r="Q38" i="2" s="1"/>
  <c r="H38" i="2"/>
  <c r="G38" i="2"/>
  <c r="P38" i="2" s="1"/>
  <c r="F38" i="2"/>
  <c r="E38" i="2"/>
  <c r="AA37" i="2"/>
  <c r="Z37" i="2"/>
  <c r="X37" i="2"/>
  <c r="W37" i="2"/>
  <c r="T37" i="2"/>
  <c r="S37" i="2"/>
  <c r="V37" i="2" s="1"/>
  <c r="R37" i="2"/>
  <c r="O37" i="2"/>
  <c r="L37" i="2"/>
  <c r="I37" i="2"/>
  <c r="Q37" i="2" s="1"/>
  <c r="H37" i="2"/>
  <c r="G37" i="2"/>
  <c r="P37" i="2" s="1"/>
  <c r="F37" i="2"/>
  <c r="E37" i="2"/>
  <c r="AA36" i="2"/>
  <c r="Z36" i="2"/>
  <c r="X36" i="2"/>
  <c r="W36" i="2"/>
  <c r="T36" i="2"/>
  <c r="S36" i="2"/>
  <c r="V36" i="2" s="1"/>
  <c r="R36" i="2"/>
  <c r="O36" i="2"/>
  <c r="L36" i="2"/>
  <c r="I36" i="2"/>
  <c r="Q36" i="2" s="1"/>
  <c r="H36" i="2"/>
  <c r="G36" i="2"/>
  <c r="P36" i="2" s="1"/>
  <c r="F36" i="2"/>
  <c r="E36" i="2"/>
  <c r="AA35" i="2"/>
  <c r="Z35" i="2"/>
  <c r="X35" i="2"/>
  <c r="W35" i="2"/>
  <c r="T35" i="2"/>
  <c r="S35" i="2"/>
  <c r="V35" i="2" s="1"/>
  <c r="R35" i="2"/>
  <c r="O35" i="2"/>
  <c r="L35" i="2"/>
  <c r="I35" i="2"/>
  <c r="H35" i="2"/>
  <c r="G35" i="2"/>
  <c r="P35" i="2" s="1"/>
  <c r="F35" i="2"/>
  <c r="E35" i="2"/>
  <c r="AA34" i="2"/>
  <c r="Z34" i="2"/>
  <c r="X34" i="2"/>
  <c r="W34" i="2"/>
  <c r="Y34" i="2" s="1"/>
  <c r="T34" i="2"/>
  <c r="S34" i="2"/>
  <c r="V34" i="2" s="1"/>
  <c r="R34" i="2"/>
  <c r="U34" i="2" s="1"/>
  <c r="O34" i="2"/>
  <c r="L34" i="2"/>
  <c r="I34" i="2"/>
  <c r="Q34" i="2" s="1"/>
  <c r="H34" i="2"/>
  <c r="G34" i="2"/>
  <c r="P34" i="2" s="1"/>
  <c r="F34" i="2"/>
  <c r="E34" i="2"/>
  <c r="AA33" i="2"/>
  <c r="Z33" i="2"/>
  <c r="X33" i="2"/>
  <c r="W33" i="2"/>
  <c r="T33" i="2"/>
  <c r="S33" i="2"/>
  <c r="V33" i="2" s="1"/>
  <c r="R33" i="2"/>
  <c r="O33" i="2"/>
  <c r="L33" i="2"/>
  <c r="I33" i="2"/>
  <c r="Q33" i="2" s="1"/>
  <c r="H33" i="2"/>
  <c r="G33" i="2"/>
  <c r="P33" i="2" s="1"/>
  <c r="F33" i="2"/>
  <c r="E33" i="2"/>
  <c r="AA32" i="2"/>
  <c r="Z32" i="2"/>
  <c r="AB32" i="2" s="1"/>
  <c r="X32" i="2"/>
  <c r="W32" i="2"/>
  <c r="Y32" i="2" s="1"/>
  <c r="T32" i="2"/>
  <c r="S32" i="2"/>
  <c r="V32" i="2" s="1"/>
  <c r="R32" i="2"/>
  <c r="U32" i="2" s="1"/>
  <c r="O32" i="2"/>
  <c r="L32" i="2"/>
  <c r="I32" i="2"/>
  <c r="Q32" i="2" s="1"/>
  <c r="H32" i="2"/>
  <c r="N32" i="2" s="1"/>
  <c r="G32" i="2"/>
  <c r="P32" i="2" s="1"/>
  <c r="F32" i="2"/>
  <c r="E32" i="2"/>
  <c r="AE30" i="2"/>
  <c r="AA30" i="2"/>
  <c r="Z30" i="2"/>
  <c r="AB30" i="2" s="1"/>
  <c r="X30" i="2"/>
  <c r="W30" i="2"/>
  <c r="Y30" i="2" s="1"/>
  <c r="T30" i="2"/>
  <c r="S30" i="2"/>
  <c r="V30" i="2" s="1"/>
  <c r="R30" i="2"/>
  <c r="U30" i="2" s="1"/>
  <c r="O30" i="2"/>
  <c r="L30" i="2"/>
  <c r="I30" i="2"/>
  <c r="Q30" i="2" s="1"/>
  <c r="H30" i="2"/>
  <c r="N30" i="2" s="1"/>
  <c r="G30" i="2"/>
  <c r="P30" i="2" s="1"/>
  <c r="F30" i="2"/>
  <c r="E30" i="2"/>
  <c r="AA29" i="2"/>
  <c r="Z29" i="2"/>
  <c r="AB29" i="2" s="1"/>
  <c r="X29" i="2"/>
  <c r="W29" i="2"/>
  <c r="Y29" i="2" s="1"/>
  <c r="T29" i="2"/>
  <c r="S29" i="2"/>
  <c r="V29" i="2" s="1"/>
  <c r="R29" i="2"/>
  <c r="U29" i="2" s="1"/>
  <c r="O29" i="2"/>
  <c r="L29" i="2"/>
  <c r="I29" i="2"/>
  <c r="Q29" i="2" s="1"/>
  <c r="H29" i="2"/>
  <c r="N29" i="2" s="1"/>
  <c r="G29" i="2"/>
  <c r="P29" i="2" s="1"/>
  <c r="F29" i="2"/>
  <c r="E29" i="2"/>
  <c r="AA28" i="2"/>
  <c r="Z28" i="2"/>
  <c r="AB28" i="2" s="1"/>
  <c r="X28" i="2"/>
  <c r="W28" i="2"/>
  <c r="Y28" i="2" s="1"/>
  <c r="T28" i="2"/>
  <c r="S28" i="2"/>
  <c r="V28" i="2" s="1"/>
  <c r="R28" i="2"/>
  <c r="U28" i="2" s="1"/>
  <c r="O28" i="2"/>
  <c r="L28" i="2"/>
  <c r="I28" i="2"/>
  <c r="Q28" i="2" s="1"/>
  <c r="H28" i="2"/>
  <c r="N28" i="2" s="1"/>
  <c r="G28" i="2"/>
  <c r="P28" i="2" s="1"/>
  <c r="F28" i="2"/>
  <c r="E28" i="2"/>
  <c r="AA27" i="2"/>
  <c r="Z27" i="2"/>
  <c r="X27" i="2"/>
  <c r="W27" i="2"/>
  <c r="T27" i="2"/>
  <c r="S27" i="2"/>
  <c r="V27" i="2" s="1"/>
  <c r="R27" i="2"/>
  <c r="O27" i="2"/>
  <c r="L27" i="2"/>
  <c r="I27" i="2"/>
  <c r="Q27" i="2" s="1"/>
  <c r="H27" i="2"/>
  <c r="G27" i="2"/>
  <c r="P27" i="2" s="1"/>
  <c r="F27" i="2"/>
  <c r="E27" i="2"/>
  <c r="AA26" i="2"/>
  <c r="Z26" i="2"/>
  <c r="X26" i="2"/>
  <c r="W26" i="2"/>
  <c r="T26" i="2"/>
  <c r="S26" i="2"/>
  <c r="V26" i="2" s="1"/>
  <c r="R26" i="2"/>
  <c r="O26" i="2"/>
  <c r="L26" i="2"/>
  <c r="I26" i="2"/>
  <c r="Q26" i="2" s="1"/>
  <c r="H26" i="2"/>
  <c r="N26" i="2" s="1"/>
  <c r="G26" i="2"/>
  <c r="P26" i="2" s="1"/>
  <c r="F26" i="2"/>
  <c r="E26" i="2"/>
  <c r="AA25" i="2"/>
  <c r="Z25" i="2"/>
  <c r="X25" i="2"/>
  <c r="W25" i="2"/>
  <c r="T25" i="2"/>
  <c r="S25" i="2"/>
  <c r="V25" i="2" s="1"/>
  <c r="R25" i="2"/>
  <c r="O25" i="2"/>
  <c r="L25" i="2"/>
  <c r="I25" i="2"/>
  <c r="Q25" i="2" s="1"/>
  <c r="H25" i="2"/>
  <c r="N25" i="2" s="1"/>
  <c r="G25" i="2"/>
  <c r="P25" i="2" s="1"/>
  <c r="F25" i="2"/>
  <c r="E25" i="2"/>
  <c r="AA24" i="2"/>
  <c r="Z24" i="2"/>
  <c r="AB24" i="2" s="1"/>
  <c r="X24" i="2"/>
  <c r="W24" i="2"/>
  <c r="Y24" i="2" s="1"/>
  <c r="T24" i="2"/>
  <c r="S24" i="2"/>
  <c r="V24" i="2" s="1"/>
  <c r="R24" i="2"/>
  <c r="U24" i="2" s="1"/>
  <c r="O24" i="2"/>
  <c r="L24" i="2"/>
  <c r="I24" i="2"/>
  <c r="Q24" i="2" s="1"/>
  <c r="H24" i="2"/>
  <c r="N24" i="2" s="1"/>
  <c r="G24" i="2"/>
  <c r="P24" i="2" s="1"/>
  <c r="F24" i="2"/>
  <c r="E24" i="2"/>
  <c r="AA23" i="2"/>
  <c r="Z23" i="2"/>
  <c r="X23" i="2"/>
  <c r="W23" i="2"/>
  <c r="T23" i="2"/>
  <c r="S23" i="2"/>
  <c r="V23" i="2" s="1"/>
  <c r="R23" i="2"/>
  <c r="O23" i="2"/>
  <c r="L23" i="2"/>
  <c r="I23" i="2"/>
  <c r="Q23" i="2" s="1"/>
  <c r="H23" i="2"/>
  <c r="G23" i="2"/>
  <c r="P23" i="2" s="1"/>
  <c r="F23" i="2"/>
  <c r="E23" i="2"/>
  <c r="AA22" i="2"/>
  <c r="Z22" i="2"/>
  <c r="X22" i="2"/>
  <c r="W22" i="2"/>
  <c r="T22" i="2"/>
  <c r="S22" i="2"/>
  <c r="V22" i="2" s="1"/>
  <c r="R22" i="2"/>
  <c r="O22" i="2"/>
  <c r="L22" i="2"/>
  <c r="I22" i="2"/>
  <c r="Q22" i="2" s="1"/>
  <c r="H22" i="2"/>
  <c r="G22" i="2"/>
  <c r="P22" i="2" s="1"/>
  <c r="F22" i="2"/>
  <c r="E22" i="2"/>
  <c r="AA21" i="2"/>
  <c r="Z21" i="2"/>
  <c r="X21" i="2"/>
  <c r="W21" i="2"/>
  <c r="T21" i="2"/>
  <c r="S21" i="2"/>
  <c r="V21" i="2" s="1"/>
  <c r="R21" i="2"/>
  <c r="O21" i="2"/>
  <c r="L21" i="2"/>
  <c r="I21" i="2"/>
  <c r="Q21" i="2" s="1"/>
  <c r="H21" i="2"/>
  <c r="N21" i="2" s="1"/>
  <c r="G21" i="2"/>
  <c r="P21" i="2" s="1"/>
  <c r="F21" i="2"/>
  <c r="E21" i="2"/>
  <c r="AE20" i="2"/>
  <c r="AA20" i="2"/>
  <c r="Z20" i="2"/>
  <c r="AB20" i="2" s="1"/>
  <c r="X20" i="2"/>
  <c r="W20" i="2"/>
  <c r="Y20" i="2" s="1"/>
  <c r="T20" i="2"/>
  <c r="S20" i="2"/>
  <c r="V20" i="2" s="1"/>
  <c r="R20" i="2"/>
  <c r="U20" i="2" s="1"/>
  <c r="O20" i="2"/>
  <c r="L20" i="2"/>
  <c r="I20" i="2"/>
  <c r="Q20" i="2" s="1"/>
  <c r="H20" i="2"/>
  <c r="N20" i="2" s="1"/>
  <c r="G20" i="2"/>
  <c r="P20" i="2" s="1"/>
  <c r="F20" i="2"/>
  <c r="E20" i="2"/>
  <c r="AA19" i="2"/>
  <c r="Z19" i="2"/>
  <c r="X19" i="2"/>
  <c r="W19" i="2"/>
  <c r="T19" i="2"/>
  <c r="S19" i="2"/>
  <c r="V19" i="2" s="1"/>
  <c r="R19" i="2"/>
  <c r="O19" i="2"/>
  <c r="L19" i="2"/>
  <c r="I19" i="2"/>
  <c r="Q19" i="2" s="1"/>
  <c r="H19" i="2"/>
  <c r="G19" i="2"/>
  <c r="P19" i="2" s="1"/>
  <c r="F19" i="2"/>
  <c r="E19" i="2"/>
  <c r="AA18" i="2"/>
  <c r="Z18" i="2"/>
  <c r="X18" i="2"/>
  <c r="W18" i="2"/>
  <c r="T18" i="2"/>
  <c r="S18" i="2"/>
  <c r="V18" i="2" s="1"/>
  <c r="R18" i="2"/>
  <c r="O18" i="2"/>
  <c r="L18" i="2"/>
  <c r="I18" i="2"/>
  <c r="Q18" i="2" s="1"/>
  <c r="H18" i="2"/>
  <c r="G18" i="2"/>
  <c r="P18" i="2" s="1"/>
  <c r="F18" i="2"/>
  <c r="E18" i="2"/>
  <c r="AE17" i="2"/>
  <c r="AA17" i="2"/>
  <c r="Z17" i="2"/>
  <c r="AB17" i="2" s="1"/>
  <c r="X17" i="2"/>
  <c r="W17" i="2"/>
  <c r="Y17" i="2" s="1"/>
  <c r="T17" i="2"/>
  <c r="S17" i="2"/>
  <c r="V17" i="2" s="1"/>
  <c r="R17" i="2"/>
  <c r="U17" i="2" s="1"/>
  <c r="O17" i="2"/>
  <c r="L17" i="2"/>
  <c r="I17" i="2"/>
  <c r="H17" i="2"/>
  <c r="N17" i="2" s="1"/>
  <c r="G17" i="2"/>
  <c r="P17" i="2" s="1"/>
  <c r="F17" i="2"/>
  <c r="E17" i="2"/>
  <c r="AA16" i="2"/>
  <c r="Z16" i="2"/>
  <c r="X16" i="2"/>
  <c r="W16" i="2"/>
  <c r="T16" i="2"/>
  <c r="S16" i="2"/>
  <c r="V16" i="2" s="1"/>
  <c r="R16" i="2"/>
  <c r="O16" i="2"/>
  <c r="L16" i="2"/>
  <c r="I16" i="2"/>
  <c r="Q16" i="2" s="1"/>
  <c r="H16" i="2"/>
  <c r="G16" i="2"/>
  <c r="P16" i="2" s="1"/>
  <c r="F16" i="2"/>
  <c r="E16" i="2"/>
  <c r="AA15" i="2"/>
  <c r="Z15" i="2"/>
  <c r="AB15" i="2" s="1"/>
  <c r="X15" i="2"/>
  <c r="W15" i="2"/>
  <c r="Y15" i="2" s="1"/>
  <c r="T15" i="2"/>
  <c r="S15" i="2"/>
  <c r="V15" i="2" s="1"/>
  <c r="R15" i="2"/>
  <c r="U15" i="2" s="1"/>
  <c r="O15" i="2"/>
  <c r="L15" i="2"/>
  <c r="I15" i="2"/>
  <c r="Q15" i="2" s="1"/>
  <c r="H15" i="2"/>
  <c r="G15" i="2"/>
  <c r="P15" i="2" s="1"/>
  <c r="F15" i="2"/>
  <c r="E15" i="2"/>
  <c r="AE14" i="2"/>
  <c r="AA14" i="2"/>
  <c r="Z14" i="2"/>
  <c r="AB14" i="2" s="1"/>
  <c r="X14" i="2"/>
  <c r="W14" i="2"/>
  <c r="Y14" i="2" s="1"/>
  <c r="T14" i="2"/>
  <c r="S14" i="2"/>
  <c r="V14" i="2" s="1"/>
  <c r="R14" i="2"/>
  <c r="U14" i="2" s="1"/>
  <c r="O14" i="2"/>
  <c r="L14" i="2"/>
  <c r="I14" i="2"/>
  <c r="Q14" i="2" s="1"/>
  <c r="H14" i="2"/>
  <c r="N14" i="2" s="1"/>
  <c r="G14" i="2"/>
  <c r="P14" i="2" s="1"/>
  <c r="F14" i="2"/>
  <c r="E14" i="2"/>
  <c r="T9" i="2"/>
  <c r="S9" i="2"/>
  <c r="V9" i="2" s="1"/>
  <c r="R9" i="2"/>
  <c r="V106" i="1"/>
  <c r="U106" i="1"/>
  <c r="O106" i="1"/>
  <c r="L106" i="1"/>
  <c r="I106" i="1"/>
  <c r="Q106" i="1" s="1"/>
  <c r="H106" i="1"/>
  <c r="N106" i="1" s="1"/>
  <c r="P106" i="1"/>
  <c r="F106" i="1"/>
  <c r="E106" i="1"/>
  <c r="V105" i="1"/>
  <c r="U105" i="1"/>
  <c r="O105" i="1"/>
  <c r="L105" i="1"/>
  <c r="I105" i="1"/>
  <c r="Q105" i="1" s="1"/>
  <c r="H105" i="1"/>
  <c r="N105" i="1" s="1"/>
  <c r="F105" i="1"/>
  <c r="E105" i="1"/>
  <c r="V104" i="1"/>
  <c r="U104" i="1"/>
  <c r="O104" i="1"/>
  <c r="L104" i="1"/>
  <c r="I104" i="1"/>
  <c r="Q104" i="1" s="1"/>
  <c r="H104" i="1"/>
  <c r="G104" i="1"/>
  <c r="P104" i="1" s="1"/>
  <c r="F104" i="1"/>
  <c r="E104" i="1"/>
  <c r="V103" i="1"/>
  <c r="U103" i="1"/>
  <c r="O103" i="1"/>
  <c r="L103" i="1"/>
  <c r="I103" i="1"/>
  <c r="Q103" i="1" s="1"/>
  <c r="H103" i="1"/>
  <c r="N103" i="1" s="1"/>
  <c r="G103" i="1"/>
  <c r="P103" i="1" s="1"/>
  <c r="F103" i="1"/>
  <c r="E103" i="1"/>
  <c r="V102" i="1"/>
  <c r="U102" i="1"/>
  <c r="O102" i="1"/>
  <c r="L102" i="1"/>
  <c r="I102" i="1"/>
  <c r="Q102" i="1" s="1"/>
  <c r="H102" i="1"/>
  <c r="N102" i="1" s="1"/>
  <c r="G102" i="1"/>
  <c r="P102" i="1" s="1"/>
  <c r="F102" i="1"/>
  <c r="E102" i="1"/>
  <c r="V101" i="1"/>
  <c r="U101" i="1"/>
  <c r="O101" i="1"/>
  <c r="L101" i="1"/>
  <c r="I101" i="1"/>
  <c r="Q101" i="1" s="1"/>
  <c r="H101" i="1"/>
  <c r="G101" i="1"/>
  <c r="P101" i="1" s="1"/>
  <c r="F101" i="1"/>
  <c r="E101" i="1"/>
  <c r="V100" i="1"/>
  <c r="U100" i="1"/>
  <c r="O100" i="1"/>
  <c r="L100" i="1"/>
  <c r="I100" i="1"/>
  <c r="Q100" i="1" s="1"/>
  <c r="H100" i="1"/>
  <c r="N100" i="1" s="1"/>
  <c r="G100" i="1"/>
  <c r="P100" i="1" s="1"/>
  <c r="F100" i="1"/>
  <c r="E100" i="1"/>
  <c r="V99" i="1"/>
  <c r="U99" i="1"/>
  <c r="O99" i="1"/>
  <c r="L99" i="1"/>
  <c r="I99" i="1"/>
  <c r="Q99" i="1" s="1"/>
  <c r="H99" i="1"/>
  <c r="N99" i="1" s="1"/>
  <c r="G99" i="1"/>
  <c r="P99" i="1" s="1"/>
  <c r="F99" i="1"/>
  <c r="E99" i="1"/>
  <c r="V98" i="1"/>
  <c r="U98" i="1"/>
  <c r="O98" i="1"/>
  <c r="L98" i="1"/>
  <c r="I98" i="1"/>
  <c r="Q98" i="1" s="1"/>
  <c r="H98" i="1"/>
  <c r="N98" i="1" s="1"/>
  <c r="G98" i="1"/>
  <c r="P98" i="1" s="1"/>
  <c r="F98" i="1"/>
  <c r="E98" i="1"/>
  <c r="V97" i="1"/>
  <c r="U97" i="1"/>
  <c r="O97" i="1"/>
  <c r="L97" i="1"/>
  <c r="I97" i="1"/>
  <c r="Q97" i="1" s="1"/>
  <c r="H97" i="1"/>
  <c r="N97" i="1" s="1"/>
  <c r="G97" i="1"/>
  <c r="P97" i="1" s="1"/>
  <c r="F97" i="1"/>
  <c r="E97" i="1"/>
  <c r="V96" i="1"/>
  <c r="U96" i="1"/>
  <c r="O96" i="1"/>
  <c r="L96" i="1"/>
  <c r="I96" i="1"/>
  <c r="Q96" i="1" s="1"/>
  <c r="H96" i="1"/>
  <c r="N96" i="1" s="1"/>
  <c r="G96" i="1"/>
  <c r="P96" i="1" s="1"/>
  <c r="F96" i="1"/>
  <c r="E96" i="1"/>
  <c r="V95" i="1"/>
  <c r="U95" i="1"/>
  <c r="O95" i="1"/>
  <c r="L95" i="1"/>
  <c r="I95" i="1"/>
  <c r="Q95" i="1" s="1"/>
  <c r="H95" i="1"/>
  <c r="N95" i="1" s="1"/>
  <c r="G95" i="1"/>
  <c r="P95" i="1" s="1"/>
  <c r="F95" i="1"/>
  <c r="E95" i="1"/>
  <c r="V94" i="1"/>
  <c r="U94" i="1"/>
  <c r="O94" i="1"/>
  <c r="L94" i="1"/>
  <c r="I94" i="1"/>
  <c r="Q94" i="1" s="1"/>
  <c r="H94" i="1"/>
  <c r="N94" i="1" s="1"/>
  <c r="G94" i="1"/>
  <c r="P94" i="1" s="1"/>
  <c r="F94" i="1"/>
  <c r="E94" i="1"/>
  <c r="V93" i="1"/>
  <c r="U93" i="1"/>
  <c r="O93" i="1"/>
  <c r="L93" i="1"/>
  <c r="I93" i="1"/>
  <c r="Q93" i="1" s="1"/>
  <c r="H93" i="1"/>
  <c r="G93" i="1"/>
  <c r="P93" i="1" s="1"/>
  <c r="F93" i="1"/>
  <c r="E93" i="1"/>
  <c r="V92" i="1"/>
  <c r="U92" i="1"/>
  <c r="O92" i="1"/>
  <c r="L92" i="1"/>
  <c r="I92" i="1"/>
  <c r="Q92" i="1" s="1"/>
  <c r="H92" i="1"/>
  <c r="N92" i="1" s="1"/>
  <c r="G92" i="1"/>
  <c r="P92" i="1" s="1"/>
  <c r="F92" i="1"/>
  <c r="E92" i="1"/>
  <c r="V91" i="1"/>
  <c r="U91" i="1"/>
  <c r="O91" i="1"/>
  <c r="L91" i="1"/>
  <c r="I91" i="1"/>
  <c r="Q91" i="1" s="1"/>
  <c r="H91" i="1"/>
  <c r="N91" i="1" s="1"/>
  <c r="G91" i="1"/>
  <c r="F91" i="1"/>
  <c r="E91" i="1"/>
  <c r="V90" i="1"/>
  <c r="U90" i="1"/>
  <c r="O90" i="1"/>
  <c r="L90" i="1"/>
  <c r="I90" i="1"/>
  <c r="Q90" i="1" s="1"/>
  <c r="H90" i="1"/>
  <c r="N90" i="1" s="1"/>
  <c r="G90" i="1"/>
  <c r="P90" i="1" s="1"/>
  <c r="F90" i="1"/>
  <c r="E90" i="1"/>
  <c r="T89" i="1"/>
  <c r="S89" i="1"/>
  <c r="V89" i="1" s="1"/>
  <c r="R89" i="1"/>
  <c r="U89" i="1" s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T88" i="1"/>
  <c r="S88" i="1"/>
  <c r="V88" i="1" s="1"/>
  <c r="R88" i="1"/>
  <c r="O88" i="1"/>
  <c r="L88" i="1"/>
  <c r="I88" i="1"/>
  <c r="Q88" i="1" s="1"/>
  <c r="H88" i="1"/>
  <c r="N88" i="1" s="1"/>
  <c r="G88" i="1"/>
  <c r="P88" i="1" s="1"/>
  <c r="F88" i="1"/>
  <c r="E88" i="1"/>
  <c r="AP87" i="1"/>
  <c r="AO87" i="1"/>
  <c r="AQ87" i="1" s="1"/>
  <c r="AN87" i="1"/>
  <c r="AM87" i="1"/>
  <c r="AL87" i="1"/>
  <c r="AK87" i="1"/>
  <c r="AJ87" i="1"/>
  <c r="AI87" i="1"/>
  <c r="AH87" i="1"/>
  <c r="AG87" i="1"/>
  <c r="AF87" i="1"/>
  <c r="AE87" i="1"/>
  <c r="AD87" i="1"/>
  <c r="AC87" i="1"/>
  <c r="T87" i="1"/>
  <c r="S87" i="1"/>
  <c r="V87" i="1" s="1"/>
  <c r="R87" i="1"/>
  <c r="U87" i="1" s="1"/>
  <c r="O87" i="1"/>
  <c r="L87" i="1"/>
  <c r="I87" i="1"/>
  <c r="Q87" i="1" s="1"/>
  <c r="H87" i="1"/>
  <c r="N87" i="1" s="1"/>
  <c r="G87" i="1"/>
  <c r="P87" i="1" s="1"/>
  <c r="F87" i="1"/>
  <c r="E87" i="1"/>
  <c r="AP86" i="1"/>
  <c r="AO86" i="1"/>
  <c r="AQ86" i="1" s="1"/>
  <c r="AN86" i="1"/>
  <c r="AM86" i="1"/>
  <c r="AL86" i="1"/>
  <c r="AK86" i="1"/>
  <c r="AJ86" i="1"/>
  <c r="AI86" i="1"/>
  <c r="AH86" i="1"/>
  <c r="AG86" i="1"/>
  <c r="AF86" i="1"/>
  <c r="AE86" i="1"/>
  <c r="AD86" i="1"/>
  <c r="AC86" i="1"/>
  <c r="T86" i="1"/>
  <c r="S86" i="1"/>
  <c r="V86" i="1" s="1"/>
  <c r="R86" i="1"/>
  <c r="U86" i="1" s="1"/>
  <c r="O86" i="1"/>
  <c r="L86" i="1"/>
  <c r="I86" i="1"/>
  <c r="Q86" i="1" s="1"/>
  <c r="H86" i="1"/>
  <c r="N86" i="1" s="1"/>
  <c r="G86" i="1"/>
  <c r="P86" i="1" s="1"/>
  <c r="F86" i="1"/>
  <c r="E86" i="1"/>
  <c r="AP85" i="1"/>
  <c r="AO85" i="1"/>
  <c r="AQ85" i="1" s="1"/>
  <c r="AN85" i="1"/>
  <c r="AM85" i="1"/>
  <c r="AL85" i="1"/>
  <c r="AK85" i="1"/>
  <c r="AJ85" i="1"/>
  <c r="AI85" i="1"/>
  <c r="AH85" i="1"/>
  <c r="AG85" i="1"/>
  <c r="AF85" i="1"/>
  <c r="AE85" i="1"/>
  <c r="AD85" i="1"/>
  <c r="AC85" i="1"/>
  <c r="T85" i="1"/>
  <c r="S85" i="1"/>
  <c r="V85" i="1" s="1"/>
  <c r="R85" i="1"/>
  <c r="U85" i="1" s="1"/>
  <c r="O85" i="1"/>
  <c r="L85" i="1"/>
  <c r="I85" i="1"/>
  <c r="Q85" i="1" s="1"/>
  <c r="H85" i="1"/>
  <c r="N85" i="1" s="1"/>
  <c r="G85" i="1"/>
  <c r="P85" i="1" s="1"/>
  <c r="F85" i="1"/>
  <c r="E85" i="1"/>
  <c r="AP84" i="1"/>
  <c r="AO84" i="1"/>
  <c r="AQ84" i="1" s="1"/>
  <c r="AN84" i="1"/>
  <c r="AM84" i="1"/>
  <c r="AL84" i="1"/>
  <c r="AK84" i="1"/>
  <c r="AJ84" i="1"/>
  <c r="AI84" i="1"/>
  <c r="AH84" i="1"/>
  <c r="AG84" i="1"/>
  <c r="AF84" i="1"/>
  <c r="AE84" i="1"/>
  <c r="AD84" i="1"/>
  <c r="AC84" i="1"/>
  <c r="T84" i="1"/>
  <c r="S84" i="1"/>
  <c r="V84" i="1" s="1"/>
  <c r="R84" i="1"/>
  <c r="U84" i="1" s="1"/>
  <c r="O84" i="1"/>
  <c r="L84" i="1"/>
  <c r="I84" i="1"/>
  <c r="Q84" i="1" s="1"/>
  <c r="H84" i="1"/>
  <c r="N84" i="1" s="1"/>
  <c r="G84" i="1"/>
  <c r="P84" i="1" s="1"/>
  <c r="F84" i="1"/>
  <c r="E84" i="1"/>
  <c r="AP83" i="1"/>
  <c r="AO83" i="1"/>
  <c r="AQ83" i="1" s="1"/>
  <c r="AN83" i="1"/>
  <c r="AM83" i="1"/>
  <c r="AL83" i="1"/>
  <c r="AK83" i="1"/>
  <c r="AJ83" i="1"/>
  <c r="AI83" i="1"/>
  <c r="AH83" i="1"/>
  <c r="AG83" i="1"/>
  <c r="AF83" i="1"/>
  <c r="AE83" i="1"/>
  <c r="AD83" i="1"/>
  <c r="AC83" i="1"/>
  <c r="T83" i="1"/>
  <c r="S83" i="1"/>
  <c r="V83" i="1" s="1"/>
  <c r="R83" i="1"/>
  <c r="U83" i="1" s="1"/>
  <c r="O83" i="1"/>
  <c r="L83" i="1"/>
  <c r="I83" i="1"/>
  <c r="Q83" i="1" s="1"/>
  <c r="H83" i="1"/>
  <c r="N83" i="1" s="1"/>
  <c r="G83" i="1"/>
  <c r="P83" i="1" s="1"/>
  <c r="F83" i="1"/>
  <c r="E83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T82" i="1"/>
  <c r="S82" i="1"/>
  <c r="V82" i="1" s="1"/>
  <c r="R82" i="1"/>
  <c r="O82" i="1"/>
  <c r="L82" i="1"/>
  <c r="I82" i="1"/>
  <c r="Q82" i="1" s="1"/>
  <c r="H82" i="1"/>
  <c r="G82" i="1"/>
  <c r="P82" i="1" s="1"/>
  <c r="F82" i="1"/>
  <c r="E82" i="1"/>
  <c r="AP81" i="1"/>
  <c r="AO81" i="1"/>
  <c r="AQ81" i="1" s="1"/>
  <c r="AN81" i="1"/>
  <c r="AM81" i="1"/>
  <c r="AL81" i="1"/>
  <c r="AK81" i="1"/>
  <c r="AJ81" i="1"/>
  <c r="AI81" i="1"/>
  <c r="AH81" i="1"/>
  <c r="AG81" i="1"/>
  <c r="AF81" i="1"/>
  <c r="AE81" i="1"/>
  <c r="AD81" i="1"/>
  <c r="AC81" i="1"/>
  <c r="T81" i="1"/>
  <c r="S81" i="1"/>
  <c r="V81" i="1" s="1"/>
  <c r="R81" i="1"/>
  <c r="U81" i="1" s="1"/>
  <c r="O81" i="1"/>
  <c r="L81" i="1"/>
  <c r="I81" i="1"/>
  <c r="Q81" i="1" s="1"/>
  <c r="H81" i="1"/>
  <c r="N81" i="1" s="1"/>
  <c r="G81" i="1"/>
  <c r="P81" i="1" s="1"/>
  <c r="F81" i="1"/>
  <c r="E81" i="1"/>
  <c r="AP80" i="1"/>
  <c r="AO80" i="1"/>
  <c r="AQ80" i="1" s="1"/>
  <c r="AN80" i="1"/>
  <c r="AM80" i="1"/>
  <c r="AL80" i="1"/>
  <c r="AK80" i="1"/>
  <c r="AJ80" i="1"/>
  <c r="AI80" i="1"/>
  <c r="AH80" i="1"/>
  <c r="AG80" i="1"/>
  <c r="AF80" i="1"/>
  <c r="AE80" i="1"/>
  <c r="AD80" i="1"/>
  <c r="AC80" i="1"/>
  <c r="T80" i="1"/>
  <c r="S80" i="1"/>
  <c r="V80" i="1" s="1"/>
  <c r="R80" i="1"/>
  <c r="U80" i="1" s="1"/>
  <c r="O80" i="1"/>
  <c r="L80" i="1"/>
  <c r="I80" i="1"/>
  <c r="Q80" i="1" s="1"/>
  <c r="H80" i="1"/>
  <c r="N80" i="1" s="1"/>
  <c r="G80" i="1"/>
  <c r="P80" i="1" s="1"/>
  <c r="F80" i="1"/>
  <c r="E80" i="1"/>
  <c r="AP79" i="1"/>
  <c r="AO79" i="1"/>
  <c r="AQ79" i="1" s="1"/>
  <c r="AN79" i="1"/>
  <c r="AM79" i="1"/>
  <c r="AL79" i="1"/>
  <c r="AK79" i="1"/>
  <c r="AJ79" i="1"/>
  <c r="AI79" i="1"/>
  <c r="AH79" i="1"/>
  <c r="AG79" i="1"/>
  <c r="AF79" i="1"/>
  <c r="AE79" i="1"/>
  <c r="AD79" i="1"/>
  <c r="AC79" i="1"/>
  <c r="T79" i="1"/>
  <c r="S79" i="1"/>
  <c r="V79" i="1" s="1"/>
  <c r="R79" i="1"/>
  <c r="U79" i="1" s="1"/>
  <c r="O79" i="1"/>
  <c r="L79" i="1"/>
  <c r="I79" i="1"/>
  <c r="Q79" i="1" s="1"/>
  <c r="H79" i="1"/>
  <c r="N79" i="1" s="1"/>
  <c r="G79" i="1"/>
  <c r="P79" i="1" s="1"/>
  <c r="F79" i="1"/>
  <c r="E79" i="1"/>
  <c r="AP78" i="1"/>
  <c r="AO78" i="1"/>
  <c r="AQ78" i="1" s="1"/>
  <c r="AN78" i="1"/>
  <c r="AM78" i="1"/>
  <c r="AL78" i="1"/>
  <c r="AK78" i="1"/>
  <c r="AJ78" i="1"/>
  <c r="AI78" i="1"/>
  <c r="AH78" i="1"/>
  <c r="AG78" i="1"/>
  <c r="AF78" i="1"/>
  <c r="AE78" i="1"/>
  <c r="AD78" i="1"/>
  <c r="AC78" i="1"/>
  <c r="T78" i="1"/>
  <c r="S78" i="1"/>
  <c r="V78" i="1" s="1"/>
  <c r="R78" i="1"/>
  <c r="U78" i="1" s="1"/>
  <c r="O78" i="1"/>
  <c r="L78" i="1"/>
  <c r="I78" i="1"/>
  <c r="H78" i="1"/>
  <c r="N78" i="1" s="1"/>
  <c r="G78" i="1"/>
  <c r="P78" i="1" s="1"/>
  <c r="F78" i="1"/>
  <c r="E78" i="1"/>
  <c r="AP77" i="1"/>
  <c r="AO77" i="1"/>
  <c r="AQ77" i="1" s="1"/>
  <c r="AN77" i="1"/>
  <c r="AM77" i="1"/>
  <c r="AL77" i="1"/>
  <c r="AK77" i="1"/>
  <c r="AJ77" i="1"/>
  <c r="AI77" i="1"/>
  <c r="AH77" i="1"/>
  <c r="AG77" i="1"/>
  <c r="AF77" i="1"/>
  <c r="AE77" i="1"/>
  <c r="AD77" i="1"/>
  <c r="AC77" i="1"/>
  <c r="T77" i="1"/>
  <c r="S77" i="1"/>
  <c r="V77" i="1" s="1"/>
  <c r="R77" i="1"/>
  <c r="U77" i="1" s="1"/>
  <c r="O77" i="1"/>
  <c r="L77" i="1"/>
  <c r="I77" i="1"/>
  <c r="Q77" i="1" s="1"/>
  <c r="H77" i="1"/>
  <c r="N77" i="1" s="1"/>
  <c r="G77" i="1"/>
  <c r="P77" i="1" s="1"/>
  <c r="F77" i="1"/>
  <c r="E77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T76" i="1"/>
  <c r="S76" i="1"/>
  <c r="V76" i="1" s="1"/>
  <c r="R76" i="1"/>
  <c r="O76" i="1"/>
  <c r="L76" i="1"/>
  <c r="I76" i="1"/>
  <c r="Q76" i="1" s="1"/>
  <c r="H76" i="1"/>
  <c r="N76" i="1" s="1"/>
  <c r="G76" i="1"/>
  <c r="P76" i="1" s="1"/>
  <c r="F76" i="1"/>
  <c r="E76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T75" i="1"/>
  <c r="S75" i="1"/>
  <c r="V75" i="1" s="1"/>
  <c r="R75" i="1"/>
  <c r="U75" i="1" s="1"/>
  <c r="O75" i="1"/>
  <c r="L75" i="1"/>
  <c r="I75" i="1"/>
  <c r="Q75" i="1" s="1"/>
  <c r="H75" i="1"/>
  <c r="G75" i="1"/>
  <c r="P75" i="1" s="1"/>
  <c r="F75" i="1"/>
  <c r="E75" i="1"/>
  <c r="AP73" i="1"/>
  <c r="AO73" i="1"/>
  <c r="AQ73" i="1" s="1"/>
  <c r="AN73" i="1"/>
  <c r="AM73" i="1"/>
  <c r="AL73" i="1"/>
  <c r="AK73" i="1"/>
  <c r="AJ73" i="1"/>
  <c r="AI73" i="1"/>
  <c r="AH73" i="1"/>
  <c r="AG73" i="1"/>
  <c r="AF73" i="1"/>
  <c r="AE73" i="1"/>
  <c r="AD73" i="1"/>
  <c r="AC73" i="1"/>
  <c r="T73" i="1"/>
  <c r="S73" i="1"/>
  <c r="V73" i="1" s="1"/>
  <c r="R73" i="1"/>
  <c r="U73" i="1" s="1"/>
  <c r="O73" i="1"/>
  <c r="L73" i="1"/>
  <c r="I73" i="1"/>
  <c r="Q73" i="1" s="1"/>
  <c r="H73" i="1"/>
  <c r="N73" i="1" s="1"/>
  <c r="G73" i="1"/>
  <c r="P73" i="1" s="1"/>
  <c r="F73" i="1"/>
  <c r="E73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T72" i="1"/>
  <c r="S72" i="1"/>
  <c r="V72" i="1" s="1"/>
  <c r="R72" i="1"/>
  <c r="O72" i="1"/>
  <c r="L72" i="1"/>
  <c r="I72" i="1"/>
  <c r="Q72" i="1" s="1"/>
  <c r="H72" i="1"/>
  <c r="N72" i="1" s="1"/>
  <c r="G72" i="1"/>
  <c r="P72" i="1" s="1"/>
  <c r="F72" i="1"/>
  <c r="E72" i="1"/>
  <c r="AP71" i="1"/>
  <c r="AO71" i="1"/>
  <c r="AQ71" i="1" s="1"/>
  <c r="AN71" i="1"/>
  <c r="AM71" i="1"/>
  <c r="AL71" i="1"/>
  <c r="AK71" i="1"/>
  <c r="AJ71" i="1"/>
  <c r="AI71" i="1"/>
  <c r="AH71" i="1"/>
  <c r="AG71" i="1"/>
  <c r="AF71" i="1"/>
  <c r="AE71" i="1"/>
  <c r="AD71" i="1"/>
  <c r="AC71" i="1"/>
  <c r="T71" i="1"/>
  <c r="S71" i="1"/>
  <c r="V71" i="1" s="1"/>
  <c r="R71" i="1"/>
  <c r="U71" i="1" s="1"/>
  <c r="O71" i="1"/>
  <c r="L71" i="1"/>
  <c r="I71" i="1"/>
  <c r="Q71" i="1" s="1"/>
  <c r="H71" i="1"/>
  <c r="N71" i="1" s="1"/>
  <c r="G71" i="1"/>
  <c r="P71" i="1" s="1"/>
  <c r="F71" i="1"/>
  <c r="E71" i="1"/>
  <c r="AP70" i="1"/>
  <c r="AO70" i="1"/>
  <c r="AQ70" i="1" s="1"/>
  <c r="AN70" i="1"/>
  <c r="AM70" i="1"/>
  <c r="AL70" i="1"/>
  <c r="AK70" i="1"/>
  <c r="AJ70" i="1"/>
  <c r="AI70" i="1"/>
  <c r="AH70" i="1"/>
  <c r="AG70" i="1"/>
  <c r="AF70" i="1"/>
  <c r="AE70" i="1"/>
  <c r="AD70" i="1"/>
  <c r="AC70" i="1"/>
  <c r="T70" i="1"/>
  <c r="S70" i="1"/>
  <c r="V70" i="1" s="1"/>
  <c r="R70" i="1"/>
  <c r="U70" i="1" s="1"/>
  <c r="O70" i="1"/>
  <c r="L70" i="1"/>
  <c r="I70" i="1"/>
  <c r="Q70" i="1" s="1"/>
  <c r="H70" i="1"/>
  <c r="N70" i="1" s="1"/>
  <c r="G70" i="1"/>
  <c r="P70" i="1" s="1"/>
  <c r="F70" i="1"/>
  <c r="E70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T69" i="1"/>
  <c r="S69" i="1"/>
  <c r="V69" i="1" s="1"/>
  <c r="R69" i="1"/>
  <c r="O69" i="1"/>
  <c r="L69" i="1"/>
  <c r="I69" i="1"/>
  <c r="Q69" i="1" s="1"/>
  <c r="H69" i="1"/>
  <c r="G69" i="1"/>
  <c r="P69" i="1" s="1"/>
  <c r="F69" i="1"/>
  <c r="E69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T68" i="1"/>
  <c r="S68" i="1"/>
  <c r="V68" i="1" s="1"/>
  <c r="R68" i="1"/>
  <c r="O68" i="1"/>
  <c r="L68" i="1"/>
  <c r="I68" i="1"/>
  <c r="Q68" i="1" s="1"/>
  <c r="H68" i="1"/>
  <c r="G68" i="1"/>
  <c r="P68" i="1" s="1"/>
  <c r="F68" i="1"/>
  <c r="E68" i="1"/>
  <c r="AP67" i="1"/>
  <c r="AO67" i="1"/>
  <c r="AQ67" i="1" s="1"/>
  <c r="AN67" i="1"/>
  <c r="AM67" i="1"/>
  <c r="AL67" i="1"/>
  <c r="AK67" i="1"/>
  <c r="AJ67" i="1"/>
  <c r="AI67" i="1"/>
  <c r="AH67" i="1"/>
  <c r="AG67" i="1"/>
  <c r="AF67" i="1"/>
  <c r="AE67" i="1"/>
  <c r="AD67" i="1"/>
  <c r="AC67" i="1"/>
  <c r="T67" i="1"/>
  <c r="S67" i="1"/>
  <c r="V67" i="1" s="1"/>
  <c r="R67" i="1"/>
  <c r="U67" i="1" s="1"/>
  <c r="O67" i="1"/>
  <c r="L67" i="1"/>
  <c r="I67" i="1"/>
  <c r="Q67" i="1" s="1"/>
  <c r="H67" i="1"/>
  <c r="N67" i="1" s="1"/>
  <c r="G67" i="1"/>
  <c r="P67" i="1" s="1"/>
  <c r="F67" i="1"/>
  <c r="E67" i="1"/>
  <c r="AP66" i="1"/>
  <c r="AO66" i="1"/>
  <c r="AQ66" i="1" s="1"/>
  <c r="AN66" i="1"/>
  <c r="AM66" i="1"/>
  <c r="AL66" i="1"/>
  <c r="AK66" i="1"/>
  <c r="AJ66" i="1"/>
  <c r="AI66" i="1"/>
  <c r="AH66" i="1"/>
  <c r="AG66" i="1"/>
  <c r="AF66" i="1"/>
  <c r="AE66" i="1"/>
  <c r="AD66" i="1"/>
  <c r="AC66" i="1"/>
  <c r="T66" i="1"/>
  <c r="S66" i="1"/>
  <c r="V66" i="1" s="1"/>
  <c r="R66" i="1"/>
  <c r="U66" i="1" s="1"/>
  <c r="O66" i="1"/>
  <c r="L66" i="1"/>
  <c r="I66" i="1"/>
  <c r="Q66" i="1" s="1"/>
  <c r="H66" i="1"/>
  <c r="N66" i="1" s="1"/>
  <c r="G66" i="1"/>
  <c r="P66" i="1" s="1"/>
  <c r="F66" i="1"/>
  <c r="E66" i="1"/>
  <c r="AP65" i="1"/>
  <c r="AO65" i="1"/>
  <c r="AQ65" i="1" s="1"/>
  <c r="AN65" i="1"/>
  <c r="AM65" i="1"/>
  <c r="AL65" i="1"/>
  <c r="AK65" i="1"/>
  <c r="AJ65" i="1"/>
  <c r="AI65" i="1"/>
  <c r="AH65" i="1"/>
  <c r="AG65" i="1"/>
  <c r="AF65" i="1"/>
  <c r="AE65" i="1"/>
  <c r="AD65" i="1"/>
  <c r="AC65" i="1"/>
  <c r="T65" i="1"/>
  <c r="S65" i="1"/>
  <c r="V65" i="1" s="1"/>
  <c r="R65" i="1"/>
  <c r="U65" i="1" s="1"/>
  <c r="O65" i="1"/>
  <c r="L65" i="1"/>
  <c r="I65" i="1"/>
  <c r="Q65" i="1" s="1"/>
  <c r="H65" i="1"/>
  <c r="N65" i="1" s="1"/>
  <c r="G65" i="1"/>
  <c r="P65" i="1" s="1"/>
  <c r="F65" i="1"/>
  <c r="E65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T64" i="1"/>
  <c r="S64" i="1"/>
  <c r="V64" i="1" s="1"/>
  <c r="R64" i="1"/>
  <c r="O64" i="1"/>
  <c r="L64" i="1"/>
  <c r="I64" i="1"/>
  <c r="Q64" i="1" s="1"/>
  <c r="H64" i="1"/>
  <c r="N64" i="1" s="1"/>
  <c r="G64" i="1"/>
  <c r="P64" i="1" s="1"/>
  <c r="F64" i="1"/>
  <c r="E64" i="1"/>
  <c r="AP63" i="1"/>
  <c r="AO63" i="1"/>
  <c r="AQ63" i="1" s="1"/>
  <c r="AN63" i="1"/>
  <c r="AM63" i="1"/>
  <c r="AL63" i="1"/>
  <c r="AK63" i="1"/>
  <c r="AJ63" i="1"/>
  <c r="AI63" i="1"/>
  <c r="AH63" i="1"/>
  <c r="AG63" i="1"/>
  <c r="AF63" i="1"/>
  <c r="AE63" i="1"/>
  <c r="AD63" i="1"/>
  <c r="AC63" i="1"/>
  <c r="T63" i="1"/>
  <c r="S63" i="1"/>
  <c r="V63" i="1" s="1"/>
  <c r="R63" i="1"/>
  <c r="U63" i="1" s="1"/>
  <c r="O63" i="1"/>
  <c r="L63" i="1"/>
  <c r="I63" i="1"/>
  <c r="Q63" i="1" s="1"/>
  <c r="H63" i="1"/>
  <c r="N63" i="1" s="1"/>
  <c r="G63" i="1"/>
  <c r="P63" i="1" s="1"/>
  <c r="F63" i="1"/>
  <c r="E63" i="1"/>
  <c r="AP62" i="1"/>
  <c r="AO62" i="1"/>
  <c r="AQ62" i="1" s="1"/>
  <c r="AN62" i="1"/>
  <c r="AM62" i="1"/>
  <c r="AL62" i="1"/>
  <c r="AK62" i="1"/>
  <c r="AJ62" i="1"/>
  <c r="AI62" i="1"/>
  <c r="AH62" i="1"/>
  <c r="AG62" i="1"/>
  <c r="AF62" i="1"/>
  <c r="AE62" i="1"/>
  <c r="AD62" i="1"/>
  <c r="AC62" i="1"/>
  <c r="T62" i="1"/>
  <c r="S62" i="1"/>
  <c r="V62" i="1" s="1"/>
  <c r="R62" i="1"/>
  <c r="U62" i="1" s="1"/>
  <c r="O62" i="1"/>
  <c r="L62" i="1"/>
  <c r="I62" i="1"/>
  <c r="Q62" i="1" s="1"/>
  <c r="H62" i="1"/>
  <c r="N62" i="1" s="1"/>
  <c r="G62" i="1"/>
  <c r="P62" i="1" s="1"/>
  <c r="F62" i="1"/>
  <c r="E62" i="1"/>
  <c r="AP61" i="1"/>
  <c r="AO61" i="1"/>
  <c r="AQ61" i="1" s="1"/>
  <c r="AN61" i="1"/>
  <c r="AM61" i="1"/>
  <c r="AL61" i="1"/>
  <c r="AK61" i="1"/>
  <c r="AJ61" i="1"/>
  <c r="AI61" i="1"/>
  <c r="AH61" i="1"/>
  <c r="AG61" i="1"/>
  <c r="AF61" i="1"/>
  <c r="AE61" i="1"/>
  <c r="AD61" i="1"/>
  <c r="AC61" i="1"/>
  <c r="T61" i="1"/>
  <c r="S61" i="1"/>
  <c r="V61" i="1" s="1"/>
  <c r="R61" i="1"/>
  <c r="U61" i="1" s="1"/>
  <c r="O61" i="1"/>
  <c r="L61" i="1"/>
  <c r="I61" i="1"/>
  <c r="Q61" i="1" s="1"/>
  <c r="H61" i="1"/>
  <c r="N61" i="1" s="1"/>
  <c r="G61" i="1"/>
  <c r="P61" i="1" s="1"/>
  <c r="F61" i="1"/>
  <c r="E61" i="1"/>
  <c r="AP60" i="1"/>
  <c r="AO60" i="1"/>
  <c r="AQ60" i="1" s="1"/>
  <c r="AN60" i="1"/>
  <c r="AM60" i="1"/>
  <c r="AL60" i="1"/>
  <c r="AK60" i="1"/>
  <c r="AJ60" i="1"/>
  <c r="AI60" i="1"/>
  <c r="AH60" i="1"/>
  <c r="AG60" i="1"/>
  <c r="AF60" i="1"/>
  <c r="AE60" i="1"/>
  <c r="AD60" i="1"/>
  <c r="AC60" i="1"/>
  <c r="T60" i="1"/>
  <c r="S60" i="1"/>
  <c r="V60" i="1" s="1"/>
  <c r="R60" i="1"/>
  <c r="U60" i="1" s="1"/>
  <c r="O60" i="1"/>
  <c r="L60" i="1"/>
  <c r="I60" i="1"/>
  <c r="Q60" i="1" s="1"/>
  <c r="H60" i="1"/>
  <c r="N60" i="1" s="1"/>
  <c r="G60" i="1"/>
  <c r="P60" i="1" s="1"/>
  <c r="F60" i="1"/>
  <c r="E60" i="1"/>
  <c r="AP59" i="1"/>
  <c r="AO59" i="1"/>
  <c r="AQ59" i="1" s="1"/>
  <c r="AN59" i="1"/>
  <c r="AM59" i="1"/>
  <c r="AL59" i="1"/>
  <c r="AK59" i="1"/>
  <c r="AJ59" i="1"/>
  <c r="AI59" i="1"/>
  <c r="AH59" i="1"/>
  <c r="AG59" i="1"/>
  <c r="AF59" i="1"/>
  <c r="AE59" i="1"/>
  <c r="AD59" i="1"/>
  <c r="AC59" i="1"/>
  <c r="T59" i="1"/>
  <c r="S59" i="1"/>
  <c r="V59" i="1" s="1"/>
  <c r="R59" i="1"/>
  <c r="U59" i="1" s="1"/>
  <c r="O59" i="1"/>
  <c r="L59" i="1"/>
  <c r="I59" i="1"/>
  <c r="Q59" i="1" s="1"/>
  <c r="H59" i="1"/>
  <c r="N59" i="1" s="1"/>
  <c r="G59" i="1"/>
  <c r="P59" i="1" s="1"/>
  <c r="F59" i="1"/>
  <c r="E59" i="1"/>
  <c r="AP58" i="1"/>
  <c r="AO58" i="1"/>
  <c r="AQ58" i="1" s="1"/>
  <c r="AN58" i="1"/>
  <c r="AM58" i="1"/>
  <c r="AL58" i="1"/>
  <c r="AK58" i="1"/>
  <c r="AJ58" i="1"/>
  <c r="AI58" i="1"/>
  <c r="AH58" i="1"/>
  <c r="AG58" i="1"/>
  <c r="AF58" i="1"/>
  <c r="AE58" i="1"/>
  <c r="AD58" i="1"/>
  <c r="AC58" i="1"/>
  <c r="T58" i="1"/>
  <c r="S58" i="1"/>
  <c r="V58" i="1" s="1"/>
  <c r="R58" i="1"/>
  <c r="U58" i="1" s="1"/>
  <c r="O58" i="1"/>
  <c r="L58" i="1"/>
  <c r="I58" i="1"/>
  <c r="Q58" i="1" s="1"/>
  <c r="H58" i="1"/>
  <c r="N58" i="1" s="1"/>
  <c r="G58" i="1"/>
  <c r="P58" i="1" s="1"/>
  <c r="F58" i="1"/>
  <c r="E58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T57" i="1"/>
  <c r="S57" i="1"/>
  <c r="V57" i="1" s="1"/>
  <c r="R57" i="1"/>
  <c r="O57" i="1"/>
  <c r="L57" i="1"/>
  <c r="I57" i="1"/>
  <c r="Q57" i="1" s="1"/>
  <c r="H57" i="1"/>
  <c r="N57" i="1" s="1"/>
  <c r="G57" i="1"/>
  <c r="P57" i="1" s="1"/>
  <c r="F57" i="1"/>
  <c r="E57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T56" i="1"/>
  <c r="S56" i="1"/>
  <c r="V56" i="1" s="1"/>
  <c r="R56" i="1"/>
  <c r="U56" i="1" s="1"/>
  <c r="O56" i="1"/>
  <c r="L56" i="1"/>
  <c r="I56" i="1"/>
  <c r="Q56" i="1" s="1"/>
  <c r="H56" i="1"/>
  <c r="N56" i="1" s="1"/>
  <c r="G56" i="1"/>
  <c r="P56" i="1" s="1"/>
  <c r="F56" i="1"/>
  <c r="E56" i="1"/>
  <c r="AP55" i="1"/>
  <c r="AO55" i="1"/>
  <c r="AQ55" i="1" s="1"/>
  <c r="AN55" i="1"/>
  <c r="AM55" i="1"/>
  <c r="AL55" i="1"/>
  <c r="AK55" i="1"/>
  <c r="AJ55" i="1"/>
  <c r="AI55" i="1"/>
  <c r="AH55" i="1"/>
  <c r="AG55" i="1"/>
  <c r="AF55" i="1"/>
  <c r="AE55" i="1"/>
  <c r="AD55" i="1"/>
  <c r="AC55" i="1"/>
  <c r="T55" i="1"/>
  <c r="S55" i="1"/>
  <c r="V55" i="1" s="1"/>
  <c r="R55" i="1"/>
  <c r="U55" i="1" s="1"/>
  <c r="O55" i="1"/>
  <c r="L55" i="1"/>
  <c r="I55" i="1"/>
  <c r="Q55" i="1" s="1"/>
  <c r="H55" i="1"/>
  <c r="N55" i="1" s="1"/>
  <c r="G55" i="1"/>
  <c r="P55" i="1" s="1"/>
  <c r="F55" i="1"/>
  <c r="E55" i="1"/>
  <c r="AP54" i="1"/>
  <c r="AO54" i="1"/>
  <c r="AQ54" i="1" s="1"/>
  <c r="AN54" i="1"/>
  <c r="AM54" i="1"/>
  <c r="AL54" i="1"/>
  <c r="AK54" i="1"/>
  <c r="AJ54" i="1"/>
  <c r="AI54" i="1"/>
  <c r="AH54" i="1"/>
  <c r="AG54" i="1"/>
  <c r="AF54" i="1"/>
  <c r="AE54" i="1"/>
  <c r="AD54" i="1"/>
  <c r="AC54" i="1"/>
  <c r="T54" i="1"/>
  <c r="S54" i="1"/>
  <c r="V54" i="1" s="1"/>
  <c r="R54" i="1"/>
  <c r="U54" i="1" s="1"/>
  <c r="O54" i="1"/>
  <c r="L54" i="1"/>
  <c r="I54" i="1"/>
  <c r="Q54" i="1" s="1"/>
  <c r="H54" i="1"/>
  <c r="N54" i="1" s="1"/>
  <c r="G54" i="1"/>
  <c r="P54" i="1" s="1"/>
  <c r="F54" i="1"/>
  <c r="E54" i="1"/>
  <c r="AP53" i="1"/>
  <c r="AO53" i="1"/>
  <c r="AQ53" i="1" s="1"/>
  <c r="AN53" i="1"/>
  <c r="AM53" i="1"/>
  <c r="AL53" i="1"/>
  <c r="AK53" i="1"/>
  <c r="AJ53" i="1"/>
  <c r="AI53" i="1"/>
  <c r="AH53" i="1"/>
  <c r="AG53" i="1"/>
  <c r="AF53" i="1"/>
  <c r="AE53" i="1"/>
  <c r="AD53" i="1"/>
  <c r="AC53" i="1"/>
  <c r="T53" i="1"/>
  <c r="S53" i="1"/>
  <c r="V53" i="1" s="1"/>
  <c r="R53" i="1"/>
  <c r="U53" i="1" s="1"/>
  <c r="O53" i="1"/>
  <c r="L53" i="1"/>
  <c r="I53" i="1"/>
  <c r="Q53" i="1" s="1"/>
  <c r="H53" i="1"/>
  <c r="N53" i="1" s="1"/>
  <c r="G53" i="1"/>
  <c r="P53" i="1" s="1"/>
  <c r="F53" i="1"/>
  <c r="E53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T51" i="1"/>
  <c r="S51" i="1"/>
  <c r="V51" i="1" s="1"/>
  <c r="R51" i="1"/>
  <c r="O51" i="1"/>
  <c r="L51" i="1"/>
  <c r="I51" i="1"/>
  <c r="Q51" i="1" s="1"/>
  <c r="H51" i="1"/>
  <c r="N51" i="1" s="1"/>
  <c r="G51" i="1"/>
  <c r="P51" i="1" s="1"/>
  <c r="F51" i="1"/>
  <c r="E51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T50" i="1"/>
  <c r="S50" i="1"/>
  <c r="V50" i="1" s="1"/>
  <c r="R50" i="1"/>
  <c r="O50" i="1"/>
  <c r="L50" i="1"/>
  <c r="I50" i="1"/>
  <c r="Q50" i="1" s="1"/>
  <c r="H50" i="1"/>
  <c r="G50" i="1"/>
  <c r="P50" i="1" s="1"/>
  <c r="F50" i="1"/>
  <c r="E50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T49" i="1"/>
  <c r="S49" i="1"/>
  <c r="V49" i="1" s="1"/>
  <c r="R49" i="1"/>
  <c r="O49" i="1"/>
  <c r="L49" i="1"/>
  <c r="I49" i="1"/>
  <c r="Q49" i="1" s="1"/>
  <c r="H49" i="1"/>
  <c r="N49" i="1" s="1"/>
  <c r="G49" i="1"/>
  <c r="P49" i="1" s="1"/>
  <c r="F49" i="1"/>
  <c r="E49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T48" i="1"/>
  <c r="S48" i="1"/>
  <c r="V48" i="1" s="1"/>
  <c r="R48" i="1"/>
  <c r="O48" i="1"/>
  <c r="L48" i="1"/>
  <c r="I48" i="1"/>
  <c r="Q48" i="1" s="1"/>
  <c r="H48" i="1"/>
  <c r="G48" i="1"/>
  <c r="P48" i="1" s="1"/>
  <c r="F48" i="1"/>
  <c r="E48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T47" i="1"/>
  <c r="S47" i="1"/>
  <c r="V47" i="1" s="1"/>
  <c r="R47" i="1"/>
  <c r="O47" i="1"/>
  <c r="L47" i="1"/>
  <c r="I47" i="1"/>
  <c r="Q47" i="1" s="1"/>
  <c r="H47" i="1"/>
  <c r="N47" i="1" s="1"/>
  <c r="G47" i="1"/>
  <c r="P47" i="1" s="1"/>
  <c r="F47" i="1"/>
  <c r="E47" i="1"/>
  <c r="AP46" i="1"/>
  <c r="AO46" i="1"/>
  <c r="AQ46" i="1" s="1"/>
  <c r="AN46" i="1"/>
  <c r="AM46" i="1"/>
  <c r="AL46" i="1"/>
  <c r="AK46" i="1"/>
  <c r="AJ46" i="1"/>
  <c r="AI46" i="1"/>
  <c r="AH46" i="1"/>
  <c r="AG46" i="1"/>
  <c r="AF46" i="1"/>
  <c r="AE46" i="1"/>
  <c r="AD46" i="1"/>
  <c r="AC46" i="1"/>
  <c r="T46" i="1"/>
  <c r="S46" i="1"/>
  <c r="V46" i="1" s="1"/>
  <c r="R46" i="1"/>
  <c r="U46" i="1" s="1"/>
  <c r="O46" i="1"/>
  <c r="L46" i="1"/>
  <c r="I46" i="1"/>
  <c r="Q46" i="1" s="1"/>
  <c r="H46" i="1"/>
  <c r="N46" i="1" s="1"/>
  <c r="G46" i="1"/>
  <c r="P46" i="1" s="1"/>
  <c r="F46" i="1"/>
  <c r="E46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T45" i="1"/>
  <c r="S45" i="1"/>
  <c r="V45" i="1" s="1"/>
  <c r="R45" i="1"/>
  <c r="O45" i="1"/>
  <c r="L45" i="1"/>
  <c r="I45" i="1"/>
  <c r="Q45" i="1" s="1"/>
  <c r="H45" i="1"/>
  <c r="N45" i="1" s="1"/>
  <c r="G45" i="1"/>
  <c r="P45" i="1" s="1"/>
  <c r="F45" i="1"/>
  <c r="E45" i="1"/>
  <c r="AP44" i="1"/>
  <c r="AO44" i="1"/>
  <c r="AQ44" i="1" s="1"/>
  <c r="AN44" i="1"/>
  <c r="AM44" i="1"/>
  <c r="AL44" i="1"/>
  <c r="AK44" i="1"/>
  <c r="AJ44" i="1"/>
  <c r="AI44" i="1"/>
  <c r="AH44" i="1"/>
  <c r="AG44" i="1"/>
  <c r="AF44" i="1"/>
  <c r="AE44" i="1"/>
  <c r="AD44" i="1"/>
  <c r="AC44" i="1"/>
  <c r="T44" i="1"/>
  <c r="S44" i="1"/>
  <c r="V44" i="1" s="1"/>
  <c r="R44" i="1"/>
  <c r="U44" i="1" s="1"/>
  <c r="O44" i="1"/>
  <c r="L44" i="1"/>
  <c r="I44" i="1"/>
  <c r="Q44" i="1" s="1"/>
  <c r="H44" i="1"/>
  <c r="N44" i="1" s="1"/>
  <c r="G44" i="1"/>
  <c r="P44" i="1" s="1"/>
  <c r="F44" i="1"/>
  <c r="E44" i="1"/>
  <c r="AP43" i="1"/>
  <c r="AO43" i="1"/>
  <c r="AQ43" i="1" s="1"/>
  <c r="AN43" i="1"/>
  <c r="AM43" i="1"/>
  <c r="AL43" i="1"/>
  <c r="AK43" i="1"/>
  <c r="AJ43" i="1"/>
  <c r="AI43" i="1"/>
  <c r="AH43" i="1"/>
  <c r="AG43" i="1"/>
  <c r="AF43" i="1"/>
  <c r="AE43" i="1"/>
  <c r="AD43" i="1"/>
  <c r="AC43" i="1"/>
  <c r="T43" i="1"/>
  <c r="S43" i="1"/>
  <c r="V43" i="1" s="1"/>
  <c r="R43" i="1"/>
  <c r="U43" i="1" s="1"/>
  <c r="O43" i="1"/>
  <c r="L43" i="1"/>
  <c r="I43" i="1"/>
  <c r="Q43" i="1" s="1"/>
  <c r="H43" i="1"/>
  <c r="N43" i="1" s="1"/>
  <c r="G43" i="1"/>
  <c r="P43" i="1" s="1"/>
  <c r="F43" i="1"/>
  <c r="E43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T42" i="1"/>
  <c r="S42" i="1"/>
  <c r="V42" i="1" s="1"/>
  <c r="R42" i="1"/>
  <c r="O42" i="1"/>
  <c r="L42" i="1"/>
  <c r="I42" i="1"/>
  <c r="Q42" i="1" s="1"/>
  <c r="H42" i="1"/>
  <c r="N42" i="1" s="1"/>
  <c r="G42" i="1"/>
  <c r="P42" i="1" s="1"/>
  <c r="F42" i="1"/>
  <c r="E42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T41" i="1"/>
  <c r="S41" i="1"/>
  <c r="V41" i="1" s="1"/>
  <c r="R41" i="1"/>
  <c r="O41" i="1"/>
  <c r="L41" i="1"/>
  <c r="I41" i="1"/>
  <c r="Q41" i="1" s="1"/>
  <c r="H41" i="1"/>
  <c r="G41" i="1"/>
  <c r="P41" i="1" s="1"/>
  <c r="F41" i="1"/>
  <c r="E41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T40" i="1"/>
  <c r="S40" i="1"/>
  <c r="V40" i="1" s="1"/>
  <c r="R40" i="1"/>
  <c r="O40" i="1"/>
  <c r="L40" i="1"/>
  <c r="I40" i="1"/>
  <c r="Q40" i="1" s="1"/>
  <c r="H40" i="1"/>
  <c r="N40" i="1" s="1"/>
  <c r="G40" i="1"/>
  <c r="P40" i="1" s="1"/>
  <c r="F40" i="1"/>
  <c r="E40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T39" i="1"/>
  <c r="S39" i="1"/>
  <c r="V39" i="1" s="1"/>
  <c r="R39" i="1"/>
  <c r="O39" i="1"/>
  <c r="L39" i="1"/>
  <c r="I39" i="1"/>
  <c r="Q39" i="1" s="1"/>
  <c r="H39" i="1"/>
  <c r="G39" i="1"/>
  <c r="P39" i="1" s="1"/>
  <c r="F39" i="1"/>
  <c r="E39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T38" i="1"/>
  <c r="S38" i="1"/>
  <c r="V38" i="1" s="1"/>
  <c r="R38" i="1"/>
  <c r="O38" i="1"/>
  <c r="L38" i="1"/>
  <c r="I38" i="1"/>
  <c r="Q38" i="1" s="1"/>
  <c r="H38" i="1"/>
  <c r="G38" i="1"/>
  <c r="P38" i="1" s="1"/>
  <c r="F38" i="1"/>
  <c r="E38" i="1"/>
  <c r="AP37" i="1"/>
  <c r="AO37" i="1"/>
  <c r="AQ37" i="1" s="1"/>
  <c r="AN37" i="1"/>
  <c r="AM37" i="1"/>
  <c r="AL37" i="1"/>
  <c r="AK37" i="1"/>
  <c r="AJ37" i="1"/>
  <c r="AI37" i="1"/>
  <c r="AH37" i="1"/>
  <c r="AG37" i="1"/>
  <c r="AF37" i="1"/>
  <c r="AE37" i="1"/>
  <c r="AD37" i="1"/>
  <c r="AC37" i="1"/>
  <c r="T37" i="1"/>
  <c r="S37" i="1"/>
  <c r="V37" i="1" s="1"/>
  <c r="R37" i="1"/>
  <c r="U37" i="1" s="1"/>
  <c r="O37" i="1"/>
  <c r="L37" i="1"/>
  <c r="I37" i="1"/>
  <c r="Q37" i="1" s="1"/>
  <c r="H37" i="1"/>
  <c r="N37" i="1" s="1"/>
  <c r="G37" i="1"/>
  <c r="P37" i="1" s="1"/>
  <c r="F37" i="1"/>
  <c r="E37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T36" i="1"/>
  <c r="S36" i="1"/>
  <c r="V36" i="1" s="1"/>
  <c r="R36" i="1"/>
  <c r="O36" i="1"/>
  <c r="L36" i="1"/>
  <c r="I36" i="1"/>
  <c r="H36" i="1"/>
  <c r="N36" i="1" s="1"/>
  <c r="G36" i="1"/>
  <c r="P36" i="1" s="1"/>
  <c r="F36" i="1"/>
  <c r="E36" i="1"/>
  <c r="AP35" i="1"/>
  <c r="AO35" i="1"/>
  <c r="AQ35" i="1" s="1"/>
  <c r="AN35" i="1"/>
  <c r="AM35" i="1"/>
  <c r="AL35" i="1"/>
  <c r="AK35" i="1"/>
  <c r="AJ35" i="1"/>
  <c r="AI35" i="1"/>
  <c r="AH35" i="1"/>
  <c r="AG35" i="1"/>
  <c r="AF35" i="1"/>
  <c r="AE35" i="1"/>
  <c r="AD35" i="1"/>
  <c r="AC35" i="1"/>
  <c r="T35" i="1"/>
  <c r="S35" i="1"/>
  <c r="V35" i="1" s="1"/>
  <c r="R35" i="1"/>
  <c r="U35" i="1" s="1"/>
  <c r="O35" i="1"/>
  <c r="L35" i="1"/>
  <c r="I35" i="1"/>
  <c r="Q35" i="1" s="1"/>
  <c r="H35" i="1"/>
  <c r="G35" i="1"/>
  <c r="P35" i="1" s="1"/>
  <c r="F35" i="1"/>
  <c r="E35" i="1"/>
  <c r="AP34" i="1"/>
  <c r="AO34" i="1"/>
  <c r="AQ34" i="1" s="1"/>
  <c r="AN34" i="1"/>
  <c r="AM34" i="1"/>
  <c r="AL34" i="1"/>
  <c r="AK34" i="1"/>
  <c r="AJ34" i="1"/>
  <c r="AI34" i="1"/>
  <c r="AH34" i="1"/>
  <c r="AG34" i="1"/>
  <c r="AF34" i="1"/>
  <c r="AE34" i="1"/>
  <c r="AD34" i="1"/>
  <c r="AC34" i="1"/>
  <c r="T34" i="1"/>
  <c r="S34" i="1"/>
  <c r="V34" i="1" s="1"/>
  <c r="R34" i="1"/>
  <c r="U34" i="1" s="1"/>
  <c r="O34" i="1"/>
  <c r="L34" i="1"/>
  <c r="I34" i="1"/>
  <c r="Q34" i="1" s="1"/>
  <c r="H34" i="1"/>
  <c r="N34" i="1" s="1"/>
  <c r="G34" i="1"/>
  <c r="P34" i="1" s="1"/>
  <c r="F34" i="1"/>
  <c r="E34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T33" i="1"/>
  <c r="S33" i="1"/>
  <c r="V33" i="1" s="1"/>
  <c r="R33" i="1"/>
  <c r="O33" i="1"/>
  <c r="L33" i="1"/>
  <c r="I33" i="1"/>
  <c r="Q33" i="1" s="1"/>
  <c r="H33" i="1"/>
  <c r="G33" i="1"/>
  <c r="P33" i="1" s="1"/>
  <c r="F33" i="1"/>
  <c r="E33" i="1"/>
  <c r="AP32" i="1"/>
  <c r="AO32" i="1"/>
  <c r="AQ32" i="1" s="1"/>
  <c r="AN32" i="1"/>
  <c r="AM32" i="1"/>
  <c r="AL32" i="1"/>
  <c r="AK32" i="1"/>
  <c r="AJ32" i="1"/>
  <c r="AI32" i="1"/>
  <c r="AH32" i="1"/>
  <c r="AG32" i="1"/>
  <c r="AF32" i="1"/>
  <c r="AE32" i="1"/>
  <c r="AD32" i="1"/>
  <c r="AC32" i="1"/>
  <c r="T32" i="1"/>
  <c r="S32" i="1"/>
  <c r="V32" i="1" s="1"/>
  <c r="R32" i="1"/>
  <c r="U32" i="1" s="1"/>
  <c r="O32" i="1"/>
  <c r="L32" i="1"/>
  <c r="I32" i="1"/>
  <c r="Q32" i="1" s="1"/>
  <c r="H32" i="1"/>
  <c r="N32" i="1" s="1"/>
  <c r="G32" i="1"/>
  <c r="P32" i="1" s="1"/>
  <c r="F32" i="1"/>
  <c r="E32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T30" i="1"/>
  <c r="S30" i="1"/>
  <c r="V30" i="1" s="1"/>
  <c r="R30" i="1"/>
  <c r="O30" i="1"/>
  <c r="L30" i="1"/>
  <c r="I30" i="1"/>
  <c r="Q30" i="1" s="1"/>
  <c r="H30" i="1"/>
  <c r="G30" i="1"/>
  <c r="P30" i="1" s="1"/>
  <c r="F30" i="1"/>
  <c r="E30" i="1"/>
  <c r="AP29" i="1"/>
  <c r="AO29" i="1"/>
  <c r="AQ29" i="1" s="1"/>
  <c r="AN29" i="1"/>
  <c r="AM29" i="1"/>
  <c r="AL29" i="1"/>
  <c r="AK29" i="1"/>
  <c r="AJ29" i="1"/>
  <c r="AI29" i="1"/>
  <c r="AH29" i="1"/>
  <c r="AG29" i="1"/>
  <c r="AF29" i="1"/>
  <c r="AE29" i="1"/>
  <c r="AD29" i="1"/>
  <c r="AC29" i="1"/>
  <c r="T29" i="1"/>
  <c r="S29" i="1"/>
  <c r="V29" i="1" s="1"/>
  <c r="R29" i="1"/>
  <c r="U29" i="1" s="1"/>
  <c r="O29" i="1"/>
  <c r="L29" i="1"/>
  <c r="I29" i="1"/>
  <c r="Q29" i="1" s="1"/>
  <c r="H29" i="1"/>
  <c r="N29" i="1" s="1"/>
  <c r="G29" i="1"/>
  <c r="P29" i="1" s="1"/>
  <c r="F29" i="1"/>
  <c r="E29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T28" i="1"/>
  <c r="S28" i="1"/>
  <c r="V28" i="1" s="1"/>
  <c r="R28" i="1"/>
  <c r="O28" i="1"/>
  <c r="L28" i="1"/>
  <c r="I28" i="1"/>
  <c r="Q28" i="1" s="1"/>
  <c r="H28" i="1"/>
  <c r="N28" i="1" s="1"/>
  <c r="G28" i="1"/>
  <c r="P28" i="1" s="1"/>
  <c r="F28" i="1"/>
  <c r="E28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T27" i="1"/>
  <c r="S27" i="1"/>
  <c r="V27" i="1" s="1"/>
  <c r="R27" i="1"/>
  <c r="O27" i="1"/>
  <c r="L27" i="1"/>
  <c r="I27" i="1"/>
  <c r="Q27" i="1" s="1"/>
  <c r="H27" i="1"/>
  <c r="G27" i="1"/>
  <c r="P27" i="1" s="1"/>
  <c r="F27" i="1"/>
  <c r="E27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T26" i="1"/>
  <c r="S26" i="1"/>
  <c r="V26" i="1" s="1"/>
  <c r="R26" i="1"/>
  <c r="O26" i="1"/>
  <c r="L26" i="1"/>
  <c r="I26" i="1"/>
  <c r="Q26" i="1" s="1"/>
  <c r="H26" i="1"/>
  <c r="N26" i="1" s="1"/>
  <c r="G26" i="1"/>
  <c r="P26" i="1" s="1"/>
  <c r="F26" i="1"/>
  <c r="E26" i="1"/>
  <c r="AP25" i="1"/>
  <c r="AO25" i="1"/>
  <c r="AQ25" i="1" s="1"/>
  <c r="AN25" i="1"/>
  <c r="AM25" i="1"/>
  <c r="AL25" i="1"/>
  <c r="AK25" i="1"/>
  <c r="AJ25" i="1"/>
  <c r="AI25" i="1"/>
  <c r="AH25" i="1"/>
  <c r="AG25" i="1"/>
  <c r="AF25" i="1"/>
  <c r="AE25" i="1"/>
  <c r="AD25" i="1"/>
  <c r="AC25" i="1"/>
  <c r="T25" i="1"/>
  <c r="S25" i="1"/>
  <c r="V25" i="1" s="1"/>
  <c r="R25" i="1"/>
  <c r="U25" i="1" s="1"/>
  <c r="O25" i="1"/>
  <c r="L25" i="1"/>
  <c r="I25" i="1"/>
  <c r="Q25" i="1" s="1"/>
  <c r="H25" i="1"/>
  <c r="N25" i="1" s="1"/>
  <c r="G25" i="1"/>
  <c r="P25" i="1" s="1"/>
  <c r="F25" i="1"/>
  <c r="E25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T24" i="1"/>
  <c r="S24" i="1"/>
  <c r="V24" i="1" s="1"/>
  <c r="R24" i="1"/>
  <c r="O24" i="1"/>
  <c r="L24" i="1"/>
  <c r="I24" i="1"/>
  <c r="Q24" i="1" s="1"/>
  <c r="H24" i="1"/>
  <c r="N24" i="1" s="1"/>
  <c r="G24" i="1"/>
  <c r="P24" i="1" s="1"/>
  <c r="F24" i="1"/>
  <c r="E24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T23" i="1"/>
  <c r="S23" i="1"/>
  <c r="V23" i="1" s="1"/>
  <c r="R23" i="1"/>
  <c r="O23" i="1"/>
  <c r="L23" i="1"/>
  <c r="I23" i="1"/>
  <c r="Q23" i="1" s="1"/>
  <c r="H23" i="1"/>
  <c r="N23" i="1" s="1"/>
  <c r="G23" i="1"/>
  <c r="P23" i="1" s="1"/>
  <c r="F23" i="1"/>
  <c r="E23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T22" i="1"/>
  <c r="S22" i="1"/>
  <c r="V22" i="1" s="1"/>
  <c r="R22" i="1"/>
  <c r="O22" i="1"/>
  <c r="L22" i="1"/>
  <c r="I22" i="1"/>
  <c r="Q22" i="1" s="1"/>
  <c r="H22" i="1"/>
  <c r="N22" i="1" s="1"/>
  <c r="G22" i="1"/>
  <c r="P22" i="1" s="1"/>
  <c r="F22" i="1"/>
  <c r="E22" i="1"/>
  <c r="AP21" i="1"/>
  <c r="AO21" i="1"/>
  <c r="AQ21" i="1" s="1"/>
  <c r="AN21" i="1"/>
  <c r="AM21" i="1"/>
  <c r="AL21" i="1"/>
  <c r="AK21" i="1"/>
  <c r="AJ21" i="1"/>
  <c r="AI21" i="1"/>
  <c r="AH21" i="1"/>
  <c r="AG21" i="1"/>
  <c r="AF21" i="1"/>
  <c r="AE21" i="1"/>
  <c r="AD21" i="1"/>
  <c r="AC21" i="1"/>
  <c r="T21" i="1"/>
  <c r="S21" i="1"/>
  <c r="V21" i="1" s="1"/>
  <c r="R21" i="1"/>
  <c r="U21" i="1" s="1"/>
  <c r="O21" i="1"/>
  <c r="L21" i="1"/>
  <c r="I21" i="1"/>
  <c r="Q21" i="1" s="1"/>
  <c r="H21" i="1"/>
  <c r="N21" i="1" s="1"/>
  <c r="G21" i="1"/>
  <c r="P21" i="1" s="1"/>
  <c r="F21" i="1"/>
  <c r="E21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T20" i="1"/>
  <c r="S20" i="1"/>
  <c r="V20" i="1" s="1"/>
  <c r="R20" i="1"/>
  <c r="O20" i="1"/>
  <c r="L20" i="1"/>
  <c r="I20" i="1"/>
  <c r="Q20" i="1" s="1"/>
  <c r="H20" i="1"/>
  <c r="G20" i="1"/>
  <c r="P20" i="1" s="1"/>
  <c r="F20" i="1"/>
  <c r="E20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T19" i="1"/>
  <c r="S19" i="1"/>
  <c r="V19" i="1" s="1"/>
  <c r="R19" i="1"/>
  <c r="O19" i="1"/>
  <c r="L19" i="1"/>
  <c r="I19" i="1"/>
  <c r="Q19" i="1" s="1"/>
  <c r="H19" i="1"/>
  <c r="N19" i="1" s="1"/>
  <c r="G19" i="1"/>
  <c r="P19" i="1" s="1"/>
  <c r="F19" i="1"/>
  <c r="E19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T18" i="1"/>
  <c r="S18" i="1"/>
  <c r="V18" i="1" s="1"/>
  <c r="R18" i="1"/>
  <c r="O18" i="1"/>
  <c r="L18" i="1"/>
  <c r="I18" i="1"/>
  <c r="H18" i="1"/>
  <c r="N18" i="1" s="1"/>
  <c r="G18" i="1"/>
  <c r="P18" i="1" s="1"/>
  <c r="F18" i="1"/>
  <c r="E18" i="1"/>
  <c r="AP17" i="1"/>
  <c r="AO17" i="1"/>
  <c r="AQ17" i="1" s="1"/>
  <c r="AN17" i="1"/>
  <c r="AM17" i="1"/>
  <c r="AL17" i="1"/>
  <c r="AK17" i="1"/>
  <c r="AJ17" i="1"/>
  <c r="AI17" i="1"/>
  <c r="AH17" i="1"/>
  <c r="AG17" i="1"/>
  <c r="AF17" i="1"/>
  <c r="AE17" i="1"/>
  <c r="AD17" i="1"/>
  <c r="AC17" i="1"/>
  <c r="T17" i="1"/>
  <c r="S17" i="1"/>
  <c r="V17" i="1" s="1"/>
  <c r="R17" i="1"/>
  <c r="U17" i="1" s="1"/>
  <c r="O17" i="1"/>
  <c r="L17" i="1"/>
  <c r="I17" i="1"/>
  <c r="Q17" i="1" s="1"/>
  <c r="H17" i="1"/>
  <c r="N17" i="1" s="1"/>
  <c r="G17" i="1"/>
  <c r="P17" i="1" s="1"/>
  <c r="F17" i="1"/>
  <c r="E17" i="1"/>
  <c r="AP16" i="1"/>
  <c r="AO16" i="1"/>
  <c r="AQ16" i="1" s="1"/>
  <c r="AN16" i="1"/>
  <c r="AM16" i="1"/>
  <c r="AL16" i="1"/>
  <c r="AK16" i="1"/>
  <c r="AJ16" i="1"/>
  <c r="AI16" i="1"/>
  <c r="AH16" i="1"/>
  <c r="AG16" i="1"/>
  <c r="AF16" i="1"/>
  <c r="AE16" i="1"/>
  <c r="AD16" i="1"/>
  <c r="AC16" i="1"/>
  <c r="T16" i="1"/>
  <c r="S16" i="1"/>
  <c r="V16" i="1" s="1"/>
  <c r="R16" i="1"/>
  <c r="U16" i="1" s="1"/>
  <c r="O16" i="1"/>
  <c r="L16" i="1"/>
  <c r="I16" i="1"/>
  <c r="Q16" i="1" s="1"/>
  <c r="H16" i="1"/>
  <c r="G16" i="1"/>
  <c r="P16" i="1" s="1"/>
  <c r="F16" i="1"/>
  <c r="E16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T15" i="1"/>
  <c r="S15" i="1"/>
  <c r="V15" i="1" s="1"/>
  <c r="R15" i="1"/>
  <c r="O15" i="1"/>
  <c r="L15" i="1"/>
  <c r="I15" i="1"/>
  <c r="Q15" i="1" s="1"/>
  <c r="H15" i="1"/>
  <c r="G15" i="1"/>
  <c r="P15" i="1" s="1"/>
  <c r="F15" i="1"/>
  <c r="E15" i="1"/>
  <c r="AP14" i="1"/>
  <c r="AO14" i="1"/>
  <c r="AQ14" i="1" s="1"/>
  <c r="AN14" i="1"/>
  <c r="AM14" i="1"/>
  <c r="AL14" i="1"/>
  <c r="AK14" i="1"/>
  <c r="AJ14" i="1"/>
  <c r="AI14" i="1"/>
  <c r="AH14" i="1"/>
  <c r="AG14" i="1"/>
  <c r="AF14" i="1"/>
  <c r="AE14" i="1"/>
  <c r="AD14" i="1"/>
  <c r="AC14" i="1"/>
  <c r="T14" i="1"/>
  <c r="S14" i="1"/>
  <c r="V14" i="1" s="1"/>
  <c r="R14" i="1"/>
  <c r="U14" i="1" s="1"/>
  <c r="O14" i="1"/>
  <c r="L14" i="1"/>
  <c r="I14" i="1"/>
  <c r="Q14" i="1" s="1"/>
  <c r="H14" i="1"/>
  <c r="N14" i="1" s="1"/>
  <c r="G14" i="1"/>
  <c r="P14" i="1" s="1"/>
  <c r="F14" i="1"/>
  <c r="E14" i="1"/>
  <c r="T9" i="1"/>
  <c r="S9" i="1"/>
  <c r="V9" i="1" s="1"/>
  <c r="R9" i="1"/>
  <c r="P13" i="19" l="1"/>
  <c r="Q8" i="19"/>
  <c r="M61" i="19"/>
  <c r="C83" i="19"/>
  <c r="K83" i="19" s="1"/>
  <c r="M25" i="19"/>
  <c r="C26" i="19"/>
  <c r="K26" i="19" s="1"/>
  <c r="J31" i="19"/>
  <c r="M66" i="19"/>
  <c r="M71" i="19"/>
  <c r="J8" i="19"/>
  <c r="D13" i="19"/>
  <c r="M36" i="19"/>
  <c r="M39" i="19"/>
  <c r="M51" i="19"/>
  <c r="J7" i="19"/>
  <c r="G7" i="19"/>
  <c r="P7" i="19" s="1"/>
  <c r="M34" i="19"/>
  <c r="M37" i="19"/>
  <c r="M40" i="19"/>
  <c r="M44" i="19"/>
  <c r="M60" i="19"/>
  <c r="M73" i="19"/>
  <c r="I8" i="18"/>
  <c r="M15" i="18"/>
  <c r="M24" i="18"/>
  <c r="M26" i="18"/>
  <c r="M52" i="18"/>
  <c r="H8" i="18"/>
  <c r="M22" i="18"/>
  <c r="M34" i="18"/>
  <c r="M36" i="18"/>
  <c r="M38" i="18"/>
  <c r="M40" i="18"/>
  <c r="M42" i="18"/>
  <c r="M44" i="18"/>
  <c r="M46" i="18"/>
  <c r="M48" i="18"/>
  <c r="M50" i="18"/>
  <c r="M53" i="18"/>
  <c r="M56" i="18"/>
  <c r="M59" i="18"/>
  <c r="M62" i="18"/>
  <c r="M65" i="18"/>
  <c r="M68" i="18"/>
  <c r="M71" i="18"/>
  <c r="M73" i="18"/>
  <c r="D74" i="18"/>
  <c r="J74" i="18"/>
  <c r="M76" i="18"/>
  <c r="M79" i="18"/>
  <c r="M82" i="18"/>
  <c r="M85" i="18"/>
  <c r="M88" i="18"/>
  <c r="M18" i="18"/>
  <c r="M20" i="18"/>
  <c r="M27" i="18"/>
  <c r="M29" i="18"/>
  <c r="J52" i="18"/>
  <c r="C9" i="18"/>
  <c r="K9" i="18" s="1"/>
  <c r="J13" i="18"/>
  <c r="M16" i="18"/>
  <c r="M25" i="18"/>
  <c r="J31" i="18"/>
  <c r="AG24" i="16"/>
  <c r="C9" i="17"/>
  <c r="K9" i="17" s="1"/>
  <c r="E7" i="17"/>
  <c r="O7" i="17"/>
  <c r="I8" i="17"/>
  <c r="M23" i="17"/>
  <c r="C24" i="17"/>
  <c r="K24" i="17" s="1"/>
  <c r="M25" i="17"/>
  <c r="C26" i="17"/>
  <c r="K26" i="17" s="1"/>
  <c r="M27" i="17"/>
  <c r="C28" i="17"/>
  <c r="K28" i="17" s="1"/>
  <c r="C30" i="17"/>
  <c r="K30" i="17" s="1"/>
  <c r="C34" i="17"/>
  <c r="K34" i="17" s="1"/>
  <c r="C36" i="17"/>
  <c r="K36" i="17" s="1"/>
  <c r="C38" i="17"/>
  <c r="K38" i="17" s="1"/>
  <c r="M84" i="17"/>
  <c r="J8" i="17"/>
  <c r="J9" i="17"/>
  <c r="D13" i="17"/>
  <c r="M13" i="17" s="1"/>
  <c r="M58" i="17"/>
  <c r="M76" i="17"/>
  <c r="M88" i="17"/>
  <c r="J7" i="17"/>
  <c r="D31" i="17"/>
  <c r="J31" i="17"/>
  <c r="M56" i="17"/>
  <c r="M82" i="17"/>
  <c r="C33" i="17"/>
  <c r="K33" i="17" s="1"/>
  <c r="C35" i="17"/>
  <c r="K35" i="17" s="1"/>
  <c r="C37" i="17"/>
  <c r="K37" i="17" s="1"/>
  <c r="C39" i="17"/>
  <c r="K39" i="17" s="1"/>
  <c r="C41" i="17"/>
  <c r="K41" i="17" s="1"/>
  <c r="C43" i="17"/>
  <c r="K43" i="17" s="1"/>
  <c r="C45" i="17"/>
  <c r="K45" i="17" s="1"/>
  <c r="C47" i="17"/>
  <c r="K47" i="17" s="1"/>
  <c r="C49" i="17"/>
  <c r="K49" i="17" s="1"/>
  <c r="C51" i="17"/>
  <c r="K51" i="17" s="1"/>
  <c r="M54" i="17"/>
  <c r="H7" i="17"/>
  <c r="N7" i="17" s="1"/>
  <c r="G8" i="17"/>
  <c r="J52" i="17"/>
  <c r="M80" i="17"/>
  <c r="M86" i="17"/>
  <c r="O7" i="16"/>
  <c r="E7" i="16"/>
  <c r="J56" i="8"/>
  <c r="AE42" i="19"/>
  <c r="J48" i="2"/>
  <c r="BA43" i="19"/>
  <c r="J41" i="5"/>
  <c r="J42" i="5"/>
  <c r="J105" i="13"/>
  <c r="AW41" i="19"/>
  <c r="Y50" i="5"/>
  <c r="Y70" i="5"/>
  <c r="Y72" i="5"/>
  <c r="J43" i="5"/>
  <c r="AI77" i="4"/>
  <c r="U68" i="7"/>
  <c r="Y68" i="3"/>
  <c r="D69" i="3"/>
  <c r="C69" i="3" s="1"/>
  <c r="K69" i="3" s="1"/>
  <c r="BN88" i="7"/>
  <c r="D85" i="4"/>
  <c r="M85" i="4" s="1"/>
  <c r="U51" i="18"/>
  <c r="N29" i="9"/>
  <c r="AB48" i="2"/>
  <c r="J62" i="8"/>
  <c r="J70" i="8"/>
  <c r="J71" i="8"/>
  <c r="AG41" i="16"/>
  <c r="D83" i="1"/>
  <c r="M83" i="1" s="1"/>
  <c r="U20" i="13"/>
  <c r="AC86" i="3"/>
  <c r="W87" i="12"/>
  <c r="J88" i="12"/>
  <c r="D19" i="13"/>
  <c r="C19" i="13" s="1"/>
  <c r="D22" i="13"/>
  <c r="M22" i="13" s="1"/>
  <c r="D50" i="13"/>
  <c r="M50" i="13" s="1"/>
  <c r="D82" i="13"/>
  <c r="M82" i="13" s="1"/>
  <c r="D60" i="1"/>
  <c r="C60" i="1" s="1"/>
  <c r="K60" i="1" s="1"/>
  <c r="AC50" i="13"/>
  <c r="D92" i="4"/>
  <c r="C92" i="4" s="1"/>
  <c r="K92" i="4" s="1"/>
  <c r="J45" i="5"/>
  <c r="J81" i="5"/>
  <c r="AL28" i="19"/>
  <c r="D57" i="5"/>
  <c r="C57" i="5" s="1"/>
  <c r="J106" i="1"/>
  <c r="U77" i="13"/>
  <c r="Z41" i="19"/>
  <c r="Z49" i="19"/>
  <c r="J60" i="8"/>
  <c r="D19" i="9"/>
  <c r="C19" i="9" s="1"/>
  <c r="U19" i="1"/>
  <c r="AE61" i="20"/>
  <c r="D87" i="1"/>
  <c r="M87" i="1" s="1"/>
  <c r="AB40" i="7"/>
  <c r="Y37" i="3"/>
  <c r="BQ81" i="7"/>
  <c r="J104" i="13"/>
  <c r="AA86" i="1"/>
  <c r="AA88" i="1"/>
  <c r="AB21" i="2"/>
  <c r="N68" i="1"/>
  <c r="AQ84" i="7"/>
  <c r="BQ84" i="7"/>
  <c r="J20" i="1"/>
  <c r="AQ64" i="1"/>
  <c r="Y26" i="2"/>
  <c r="J86" i="2"/>
  <c r="D63" i="3"/>
  <c r="M63" i="3" s="1"/>
  <c r="W78" i="12"/>
  <c r="AE63" i="20"/>
  <c r="U68" i="3"/>
  <c r="U71" i="3"/>
  <c r="AA15" i="4"/>
  <c r="AG17" i="4"/>
  <c r="AA29" i="4"/>
  <c r="D106" i="12"/>
  <c r="M106" i="12" s="1"/>
  <c r="J66" i="3"/>
  <c r="D91" i="3"/>
  <c r="C91" i="3" s="1"/>
  <c r="K91" i="3" s="1"/>
  <c r="D86" i="4"/>
  <c r="M86" i="4" s="1"/>
  <c r="J106" i="4"/>
  <c r="J19" i="6"/>
  <c r="J20" i="6"/>
  <c r="J25" i="6"/>
  <c r="J27" i="6"/>
  <c r="J73" i="6"/>
  <c r="J79" i="6"/>
  <c r="D94" i="6"/>
  <c r="C94" i="6" s="1"/>
  <c r="K94" i="6" s="1"/>
  <c r="D98" i="6"/>
  <c r="M98" i="6" s="1"/>
  <c r="BN36" i="7"/>
  <c r="J37" i="9"/>
  <c r="J40" i="9"/>
  <c r="D40" i="4"/>
  <c r="C40" i="4" s="1"/>
  <c r="D73" i="4"/>
  <c r="M73" i="4" s="1"/>
  <c r="J92" i="4"/>
  <c r="J105" i="7"/>
  <c r="D62" i="10"/>
  <c r="C62" i="10" s="1"/>
  <c r="K62" i="10" s="1"/>
  <c r="U15" i="8"/>
  <c r="N53" i="13"/>
  <c r="J19" i="1"/>
  <c r="N33" i="7"/>
  <c r="AF70" i="10"/>
  <c r="D66" i="11"/>
  <c r="M66" i="11" s="1"/>
  <c r="D76" i="13"/>
  <c r="M76" i="13" s="1"/>
  <c r="BA84" i="17"/>
  <c r="AI29" i="4"/>
  <c r="AI76" i="4"/>
  <c r="N104" i="5"/>
  <c r="N21" i="6"/>
  <c r="N26" i="6"/>
  <c r="N27" i="6"/>
  <c r="N32" i="6"/>
  <c r="N33" i="6"/>
  <c r="N38" i="6"/>
  <c r="N40" i="6"/>
  <c r="N41" i="6"/>
  <c r="N48" i="6"/>
  <c r="N65" i="6"/>
  <c r="AK23" i="7"/>
  <c r="N103" i="7"/>
  <c r="U76" i="16"/>
  <c r="U77" i="16"/>
  <c r="U85" i="16"/>
  <c r="U86" i="16"/>
  <c r="J86" i="1"/>
  <c r="Y25" i="3"/>
  <c r="D36" i="3"/>
  <c r="C36" i="3" s="1"/>
  <c r="K36" i="3" s="1"/>
  <c r="D42" i="3"/>
  <c r="M42" i="3" s="1"/>
  <c r="J29" i="4"/>
  <c r="J40" i="4"/>
  <c r="Y15" i="5"/>
  <c r="Y17" i="5"/>
  <c r="Y18" i="5"/>
  <c r="Y20" i="5"/>
  <c r="Y30" i="6"/>
  <c r="Y32" i="6"/>
  <c r="Y37" i="6"/>
  <c r="Y40" i="6"/>
  <c r="Y48" i="6"/>
  <c r="Y64" i="6"/>
  <c r="BB47" i="7"/>
  <c r="D19" i="8"/>
  <c r="M19" i="8" s="1"/>
  <c r="D20" i="8"/>
  <c r="C20" i="8" s="1"/>
  <c r="K20" i="8" s="1"/>
  <c r="J77" i="9"/>
  <c r="J83" i="9"/>
  <c r="D30" i="13"/>
  <c r="M30" i="13" s="1"/>
  <c r="Y33" i="13"/>
  <c r="Y39" i="13"/>
  <c r="D49" i="13"/>
  <c r="M49" i="13" s="1"/>
  <c r="Y51" i="13"/>
  <c r="D53" i="13"/>
  <c r="M53" i="13" s="1"/>
  <c r="Y58" i="13"/>
  <c r="D59" i="13"/>
  <c r="C59" i="13" s="1"/>
  <c r="AE17" i="16"/>
  <c r="BE64" i="17"/>
  <c r="AB27" i="2"/>
  <c r="D54" i="9"/>
  <c r="C54" i="9" s="1"/>
  <c r="K54" i="9" s="1"/>
  <c r="J41" i="12"/>
  <c r="J44" i="12"/>
  <c r="W62" i="12"/>
  <c r="U84" i="7"/>
  <c r="AE38" i="17"/>
  <c r="BA80" i="19"/>
  <c r="AI81" i="19"/>
  <c r="AP84" i="19"/>
  <c r="J104" i="5"/>
  <c r="AF43" i="10"/>
  <c r="AI71" i="10"/>
  <c r="D55" i="6"/>
  <c r="M55" i="6" s="1"/>
  <c r="AF75" i="10"/>
  <c r="N25" i="12"/>
  <c r="N57" i="12"/>
  <c r="N66" i="12"/>
  <c r="W66" i="14"/>
  <c r="W67" i="14"/>
  <c r="Y67" i="14" s="1"/>
  <c r="AK42" i="16"/>
  <c r="J61" i="2"/>
  <c r="AB22" i="9"/>
  <c r="J54" i="9"/>
  <c r="D93" i="9"/>
  <c r="M93" i="9" s="1"/>
  <c r="D71" i="10"/>
  <c r="M71" i="10" s="1"/>
  <c r="J85" i="11"/>
  <c r="D23" i="12"/>
  <c r="C23" i="12" s="1"/>
  <c r="D39" i="12"/>
  <c r="C39" i="12" s="1"/>
  <c r="J91" i="12"/>
  <c r="Y16" i="13"/>
  <c r="D36" i="13"/>
  <c r="M36" i="13" s="1"/>
  <c r="D39" i="13"/>
  <c r="M39" i="13" s="1"/>
  <c r="D42" i="13"/>
  <c r="M42" i="13" s="1"/>
  <c r="U30" i="14"/>
  <c r="AG51" i="18"/>
  <c r="AK56" i="18"/>
  <c r="AC76" i="18"/>
  <c r="AK85" i="18"/>
  <c r="AK88" i="18"/>
  <c r="AP28" i="19"/>
  <c r="AG63" i="4"/>
  <c r="J45" i="8"/>
  <c r="J47" i="8"/>
  <c r="J48" i="8"/>
  <c r="J80" i="8"/>
  <c r="Z16" i="9"/>
  <c r="J17" i="10"/>
  <c r="U53" i="10"/>
  <c r="U77" i="10"/>
  <c r="AN43" i="17"/>
  <c r="AC32" i="18"/>
  <c r="AK32" i="18"/>
  <c r="BA85" i="19"/>
  <c r="AA13" i="3"/>
  <c r="D105" i="3"/>
  <c r="C105" i="3" s="1"/>
  <c r="K105" i="3" s="1"/>
  <c r="Y46" i="16"/>
  <c r="U63" i="20"/>
  <c r="J43" i="1"/>
  <c r="AS33" i="18"/>
  <c r="U16" i="3"/>
  <c r="U44" i="3"/>
  <c r="J86" i="5"/>
  <c r="D44" i="10"/>
  <c r="M44" i="10" s="1"/>
  <c r="J106" i="13"/>
  <c r="AE83" i="16"/>
  <c r="D27" i="3"/>
  <c r="C27" i="3" s="1"/>
  <c r="K27" i="3" s="1"/>
  <c r="AN33" i="7"/>
  <c r="D36" i="7"/>
  <c r="M36" i="7" s="1"/>
  <c r="AK68" i="7"/>
  <c r="U87" i="7"/>
  <c r="J104" i="7"/>
  <c r="J14" i="8"/>
  <c r="Y18" i="8"/>
  <c r="Y20" i="8"/>
  <c r="Y21" i="8"/>
  <c r="Y23" i="8"/>
  <c r="Y27" i="8"/>
  <c r="Y35" i="8"/>
  <c r="Y38" i="8"/>
  <c r="Y40" i="8"/>
  <c r="Y80" i="8"/>
  <c r="D34" i="9"/>
  <c r="C34" i="9" s="1"/>
  <c r="AK76" i="18"/>
  <c r="J96" i="1"/>
  <c r="AL16" i="4"/>
  <c r="J17" i="4"/>
  <c r="AB23" i="7"/>
  <c r="N72" i="12"/>
  <c r="N76" i="12"/>
  <c r="W39" i="14"/>
  <c r="Y39" i="14" s="1"/>
  <c r="W48" i="14"/>
  <c r="Y48" i="14" s="1"/>
  <c r="AG46" i="18"/>
  <c r="Z65" i="19"/>
  <c r="AL68" i="19"/>
  <c r="AL83" i="19"/>
  <c r="D23" i="4"/>
  <c r="M23" i="4" s="1"/>
  <c r="J67" i="6"/>
  <c r="D78" i="8"/>
  <c r="M78" i="8" s="1"/>
  <c r="D80" i="8"/>
  <c r="C80" i="8" s="1"/>
  <c r="K80" i="8" s="1"/>
  <c r="J88" i="8"/>
  <c r="U49" i="10"/>
  <c r="U56" i="10"/>
  <c r="AE61" i="17"/>
  <c r="AI50" i="19"/>
  <c r="AB62" i="19"/>
  <c r="J101" i="2"/>
  <c r="AC50" i="3"/>
  <c r="J65" i="3"/>
  <c r="BQ25" i="7"/>
  <c r="CC27" i="7"/>
  <c r="AQ44" i="7"/>
  <c r="D45" i="7"/>
  <c r="M45" i="7" s="1"/>
  <c r="J54" i="13"/>
  <c r="AC55" i="13"/>
  <c r="W29" i="14"/>
  <c r="Y29" i="14" s="1"/>
  <c r="AK38" i="18"/>
  <c r="AK40" i="18"/>
  <c r="AG41" i="18"/>
  <c r="U27" i="19"/>
  <c r="U82" i="19"/>
  <c r="AL82" i="19"/>
  <c r="Z83" i="19"/>
  <c r="AE20" i="20"/>
  <c r="AK23" i="20"/>
  <c r="AB29" i="20"/>
  <c r="AB50" i="20"/>
  <c r="U72" i="3"/>
  <c r="U88" i="3"/>
  <c r="AA24" i="4"/>
  <c r="U70" i="7"/>
  <c r="N14" i="13"/>
  <c r="AI48" i="16"/>
  <c r="U63" i="16"/>
  <c r="U14" i="17"/>
  <c r="BG14" i="17"/>
  <c r="BE23" i="17"/>
  <c r="U32" i="17"/>
  <c r="BA48" i="17"/>
  <c r="BA59" i="17"/>
  <c r="U34" i="18"/>
  <c r="U46" i="18"/>
  <c r="U48" i="18"/>
  <c r="AP24" i="19"/>
  <c r="Z34" i="19"/>
  <c r="Z40" i="19"/>
  <c r="AE46" i="19"/>
  <c r="AP48" i="19"/>
  <c r="AW86" i="19"/>
  <c r="J93" i="1"/>
  <c r="Y21" i="2"/>
  <c r="AE66" i="2"/>
  <c r="Y67" i="2"/>
  <c r="D68" i="2"/>
  <c r="C68" i="2" s="1"/>
  <c r="K68" i="2" s="1"/>
  <c r="AE76" i="2"/>
  <c r="Y70" i="3"/>
  <c r="D81" i="3"/>
  <c r="C81" i="3" s="1"/>
  <c r="K81" i="3" s="1"/>
  <c r="Y83" i="3"/>
  <c r="D92" i="3"/>
  <c r="M92" i="3" s="1"/>
  <c r="D94" i="3"/>
  <c r="C94" i="3" s="1"/>
  <c r="K94" i="3" s="1"/>
  <c r="D98" i="3"/>
  <c r="C98" i="3" s="1"/>
  <c r="K98" i="3" s="1"/>
  <c r="D97" i="6"/>
  <c r="C97" i="6" s="1"/>
  <c r="K97" i="6" s="1"/>
  <c r="D103" i="6"/>
  <c r="M103" i="6" s="1"/>
  <c r="BN14" i="7"/>
  <c r="J36" i="7"/>
  <c r="AN47" i="7"/>
  <c r="AL52" i="7"/>
  <c r="U69" i="7"/>
  <c r="J61" i="11"/>
  <c r="J65" i="11"/>
  <c r="J82" i="11"/>
  <c r="J86" i="11"/>
  <c r="AI71" i="16"/>
  <c r="U38" i="17"/>
  <c r="BE59" i="17"/>
  <c r="AO24" i="18"/>
  <c r="AC25" i="18"/>
  <c r="AS64" i="18"/>
  <c r="AK70" i="18"/>
  <c r="AS70" i="18"/>
  <c r="AL51" i="19"/>
  <c r="AT51" i="19"/>
  <c r="AP56" i="19"/>
  <c r="U49" i="2"/>
  <c r="N101" i="2"/>
  <c r="N55" i="4"/>
  <c r="D83" i="6"/>
  <c r="C83" i="6" s="1"/>
  <c r="K83" i="6" s="1"/>
  <c r="N85" i="7"/>
  <c r="D64" i="8"/>
  <c r="C64" i="8" s="1"/>
  <c r="K64" i="8" s="1"/>
  <c r="D67" i="8"/>
  <c r="C67" i="8" s="1"/>
  <c r="K67" i="8" s="1"/>
  <c r="J101" i="8"/>
  <c r="U59" i="10"/>
  <c r="D102" i="13"/>
  <c r="M102" i="13" s="1"/>
  <c r="AS34" i="18"/>
  <c r="BA42" i="19"/>
  <c r="J21" i="1"/>
  <c r="D76" i="2"/>
  <c r="M76" i="2" s="1"/>
  <c r="J76" i="3"/>
  <c r="N49" i="6"/>
  <c r="W68" i="12"/>
  <c r="D92" i="13"/>
  <c r="C92" i="13" s="1"/>
  <c r="Y22" i="1"/>
  <c r="D29" i="1"/>
  <c r="M29" i="1" s="1"/>
  <c r="Y35" i="1"/>
  <c r="D54" i="1"/>
  <c r="M54" i="1" s="1"/>
  <c r="D55" i="1"/>
  <c r="C55" i="1" s="1"/>
  <c r="K55" i="1" s="1"/>
  <c r="D57" i="1"/>
  <c r="M57" i="1" s="1"/>
  <c r="D58" i="1"/>
  <c r="M58" i="1" s="1"/>
  <c r="J64" i="1"/>
  <c r="D16" i="3"/>
  <c r="C16" i="3" s="1"/>
  <c r="K16" i="3" s="1"/>
  <c r="AC16" i="3"/>
  <c r="AC22" i="3"/>
  <c r="J90" i="3"/>
  <c r="AA67" i="4"/>
  <c r="J73" i="4"/>
  <c r="AF36" i="10"/>
  <c r="AC38" i="10"/>
  <c r="L13" i="11"/>
  <c r="D104" i="11"/>
  <c r="C104" i="11" s="1"/>
  <c r="J105" i="11"/>
  <c r="W76" i="14"/>
  <c r="Y76" i="14" s="1"/>
  <c r="W86" i="14"/>
  <c r="Y86" i="14" s="1"/>
  <c r="BA62" i="17"/>
  <c r="AB80" i="20"/>
  <c r="U23" i="1"/>
  <c r="N101" i="8"/>
  <c r="W57" i="14"/>
  <c r="Y57" i="14" s="1"/>
  <c r="AK76" i="16"/>
  <c r="U78" i="16"/>
  <c r="BA43" i="17"/>
  <c r="BE63" i="17"/>
  <c r="U76" i="1"/>
  <c r="AC65" i="3"/>
  <c r="AI85" i="4"/>
  <c r="J64" i="8"/>
  <c r="Y83" i="8"/>
  <c r="J77" i="10"/>
  <c r="D106" i="11"/>
  <c r="C106" i="11" s="1"/>
  <c r="K106" i="11" s="1"/>
  <c r="J80" i="12"/>
  <c r="T81" i="12"/>
  <c r="J83" i="12"/>
  <c r="U68" i="13"/>
  <c r="U17" i="14"/>
  <c r="U36" i="14"/>
  <c r="U47" i="14"/>
  <c r="W53" i="14"/>
  <c r="Y53" i="14" s="1"/>
  <c r="W60" i="14"/>
  <c r="Y60" i="14" s="1"/>
  <c r="W70" i="14"/>
  <c r="Y70" i="14" s="1"/>
  <c r="U77" i="14"/>
  <c r="U9" i="16"/>
  <c r="Y48" i="16"/>
  <c r="AB66" i="16"/>
  <c r="U42" i="17"/>
  <c r="BG42" i="17"/>
  <c r="BE55" i="17"/>
  <c r="AS17" i="18"/>
  <c r="AK77" i="18"/>
  <c r="AK86" i="18"/>
  <c r="J53" i="2"/>
  <c r="Y63" i="2"/>
  <c r="U42" i="3"/>
  <c r="J56" i="3"/>
  <c r="BQ17" i="7"/>
  <c r="J81" i="8"/>
  <c r="J93" i="8"/>
  <c r="W26" i="9"/>
  <c r="D88" i="10"/>
  <c r="C88" i="10" s="1"/>
  <c r="Y57" i="13"/>
  <c r="D58" i="13"/>
  <c r="C58" i="13" s="1"/>
  <c r="U32" i="14"/>
  <c r="U45" i="14"/>
  <c r="U35" i="17"/>
  <c r="BE53" i="17"/>
  <c r="U55" i="17"/>
  <c r="BE57" i="17"/>
  <c r="BE60" i="17"/>
  <c r="Z66" i="19"/>
  <c r="U81" i="19"/>
  <c r="AI59" i="20"/>
  <c r="J24" i="3"/>
  <c r="AG47" i="4"/>
  <c r="J92" i="12"/>
  <c r="D45" i="13"/>
  <c r="M45" i="13" s="1"/>
  <c r="D80" i="13"/>
  <c r="M80" i="13" s="1"/>
  <c r="U83" i="13"/>
  <c r="J85" i="13"/>
  <c r="U41" i="14"/>
  <c r="U50" i="17"/>
  <c r="U72" i="18"/>
  <c r="AE26" i="19"/>
  <c r="BA70" i="19"/>
  <c r="AE15" i="20"/>
  <c r="AI35" i="20"/>
  <c r="AI42" i="20"/>
  <c r="AA16" i="4"/>
  <c r="J80" i="7"/>
  <c r="AQ80" i="7"/>
  <c r="BQ80" i="7"/>
  <c r="Y85" i="7"/>
  <c r="U88" i="8"/>
  <c r="AI39" i="10"/>
  <c r="AK43" i="16"/>
  <c r="U45" i="16"/>
  <c r="AS40" i="18"/>
  <c r="AI33" i="19"/>
  <c r="AA18" i="1"/>
  <c r="J50" i="1"/>
  <c r="AQ88" i="1"/>
  <c r="U39" i="2"/>
  <c r="N40" i="2"/>
  <c r="N49" i="2"/>
  <c r="J67" i="3"/>
  <c r="J60" i="4"/>
  <c r="J16" i="5"/>
  <c r="D90" i="5"/>
  <c r="C90" i="5" s="1"/>
  <c r="K90" i="5" s="1"/>
  <c r="J94" i="5"/>
  <c r="BK17" i="7"/>
  <c r="T16" i="9"/>
  <c r="J30" i="12"/>
  <c r="D79" i="12"/>
  <c r="C79" i="12" s="1"/>
  <c r="D88" i="12"/>
  <c r="M88" i="12" s="1"/>
  <c r="D93" i="12"/>
  <c r="M93" i="12" s="1"/>
  <c r="J100" i="12"/>
  <c r="AC32" i="13"/>
  <c r="J75" i="13"/>
  <c r="J87" i="13"/>
  <c r="BE21" i="17"/>
  <c r="AN27" i="17"/>
  <c r="U72" i="17"/>
  <c r="BE73" i="17"/>
  <c r="AE82" i="19"/>
  <c r="D41" i="2"/>
  <c r="M41" i="2" s="1"/>
  <c r="Y49" i="2"/>
  <c r="AE51" i="2"/>
  <c r="AB54" i="2"/>
  <c r="AE58" i="2"/>
  <c r="U86" i="2"/>
  <c r="N36" i="4"/>
  <c r="AB27" i="7"/>
  <c r="AK87" i="7"/>
  <c r="T29" i="9"/>
  <c r="N35" i="10"/>
  <c r="AE46" i="17"/>
  <c r="AB64" i="17"/>
  <c r="AL62" i="19"/>
  <c r="AK77" i="20"/>
  <c r="U47" i="1"/>
  <c r="U48" i="1"/>
  <c r="D91" i="2"/>
  <c r="C91" i="2" s="1"/>
  <c r="K91" i="2" s="1"/>
  <c r="D95" i="2"/>
  <c r="C95" i="2" s="1"/>
  <c r="K95" i="2" s="1"/>
  <c r="D60" i="4"/>
  <c r="M60" i="4" s="1"/>
  <c r="J38" i="7"/>
  <c r="AB38" i="7"/>
  <c r="Y86" i="8"/>
  <c r="N95" i="9"/>
  <c r="U63" i="10"/>
  <c r="F13" i="11"/>
  <c r="N82" i="12"/>
  <c r="T87" i="12"/>
  <c r="W88" i="12"/>
  <c r="J90" i="12"/>
  <c r="N16" i="13"/>
  <c r="AC46" i="13"/>
  <c r="AC84" i="13"/>
  <c r="N104" i="13"/>
  <c r="W23" i="14"/>
  <c r="Y23" i="14" s="1"/>
  <c r="W24" i="14"/>
  <c r="Y24" i="14" s="1"/>
  <c r="W30" i="14"/>
  <c r="Y30" i="14" s="1"/>
  <c r="AI25" i="16"/>
  <c r="AE61" i="16"/>
  <c r="BA61" i="17"/>
  <c r="AI16" i="19"/>
  <c r="AP16" i="19"/>
  <c r="AI45" i="19"/>
  <c r="BA48" i="19"/>
  <c r="AP57" i="19"/>
  <c r="AW82" i="19"/>
  <c r="AB51" i="20"/>
  <c r="AB83" i="20"/>
  <c r="U22" i="1"/>
  <c r="AE57" i="2"/>
  <c r="U26" i="3"/>
  <c r="U30" i="3"/>
  <c r="AG40" i="4"/>
  <c r="J72" i="4"/>
  <c r="J98" i="6"/>
  <c r="N20" i="7"/>
  <c r="BN20" i="7"/>
  <c r="U24" i="7"/>
  <c r="AK33" i="7"/>
  <c r="D102" i="8"/>
  <c r="C102" i="8" s="1"/>
  <c r="K102" i="8" s="1"/>
  <c r="AB15" i="9"/>
  <c r="N16" i="9"/>
  <c r="T17" i="9"/>
  <c r="J18" i="9"/>
  <c r="J30" i="9"/>
  <c r="AF17" i="10"/>
  <c r="J78" i="11"/>
  <c r="W20" i="12"/>
  <c r="W26" i="12"/>
  <c r="J105" i="12"/>
  <c r="J18" i="13"/>
  <c r="Y27" i="13"/>
  <c r="D28" i="13"/>
  <c r="M28" i="13" s="1"/>
  <c r="N33" i="13"/>
  <c r="Y69" i="13"/>
  <c r="W75" i="14"/>
  <c r="Y75" i="14" s="1"/>
  <c r="Y69" i="16"/>
  <c r="AK25" i="18"/>
  <c r="AG54" i="18"/>
  <c r="AG57" i="18"/>
  <c r="AO57" i="18"/>
  <c r="Z44" i="19"/>
  <c r="AE54" i="19"/>
  <c r="AB27" i="20"/>
  <c r="AB28" i="20"/>
  <c r="U65" i="2"/>
  <c r="U19" i="3"/>
  <c r="U22" i="3"/>
  <c r="CI27" i="7"/>
  <c r="BE86" i="7"/>
  <c r="AC45" i="10"/>
  <c r="J23" i="12"/>
  <c r="T24" i="12"/>
  <c r="J45" i="12"/>
  <c r="D59" i="12"/>
  <c r="C59" i="12" s="1"/>
  <c r="W60" i="12"/>
  <c r="N69" i="12"/>
  <c r="AC86" i="13"/>
  <c r="U70" i="14"/>
  <c r="AT21" i="19"/>
  <c r="AW22" i="19"/>
  <c r="U23" i="19"/>
  <c r="AT33" i="19"/>
  <c r="U57" i="19"/>
  <c r="AE78" i="2"/>
  <c r="Y79" i="2"/>
  <c r="D21" i="3"/>
  <c r="C21" i="3" s="1"/>
  <c r="K21" i="3" s="1"/>
  <c r="AC44" i="3"/>
  <c r="U77" i="3"/>
  <c r="D86" i="5"/>
  <c r="C86" i="5" s="1"/>
  <c r="K86" i="5" s="1"/>
  <c r="D104" i="5"/>
  <c r="C104" i="5" s="1"/>
  <c r="D24" i="6"/>
  <c r="C24" i="6" s="1"/>
  <c r="D43" i="6"/>
  <c r="M43" i="6" s="1"/>
  <c r="D44" i="6"/>
  <c r="M44" i="6" s="1"/>
  <c r="D46" i="6"/>
  <c r="C46" i="6" s="1"/>
  <c r="D50" i="6"/>
  <c r="M50" i="6" s="1"/>
  <c r="D67" i="6"/>
  <c r="M67" i="6" s="1"/>
  <c r="BB29" i="7"/>
  <c r="BK29" i="7"/>
  <c r="AN32" i="7"/>
  <c r="AK37" i="7"/>
  <c r="U64" i="8"/>
  <c r="U66" i="8"/>
  <c r="J86" i="8"/>
  <c r="W29" i="9"/>
  <c r="N101" i="9"/>
  <c r="D14" i="10"/>
  <c r="C14" i="10" s="1"/>
  <c r="AF25" i="10"/>
  <c r="AI70" i="10"/>
  <c r="AF71" i="10"/>
  <c r="AI75" i="10"/>
  <c r="AI87" i="10"/>
  <c r="J101" i="12"/>
  <c r="N22" i="13"/>
  <c r="Y53" i="13"/>
  <c r="D85" i="13"/>
  <c r="C85" i="13" s="1"/>
  <c r="J93" i="13"/>
  <c r="AE29" i="20"/>
  <c r="AK36" i="20"/>
  <c r="AE38" i="20"/>
  <c r="AB39" i="20"/>
  <c r="AK63" i="20"/>
  <c r="U68" i="20"/>
  <c r="AI72" i="20"/>
  <c r="J30" i="2"/>
  <c r="D92" i="2"/>
  <c r="C92" i="2" s="1"/>
  <c r="K92" i="2" s="1"/>
  <c r="AG88" i="4"/>
  <c r="N37" i="7"/>
  <c r="U48" i="7"/>
  <c r="N83" i="7"/>
  <c r="U26" i="10"/>
  <c r="N30" i="10"/>
  <c r="N32" i="11"/>
  <c r="N36" i="11"/>
  <c r="D102" i="11"/>
  <c r="M102" i="11" s="1"/>
  <c r="N71" i="12"/>
  <c r="J79" i="12"/>
  <c r="D17" i="13"/>
  <c r="M17" i="13" s="1"/>
  <c r="AC85" i="13"/>
  <c r="D104" i="13"/>
  <c r="M104" i="13" s="1"/>
  <c r="U16" i="14"/>
  <c r="AK26" i="16"/>
  <c r="U34" i="17"/>
  <c r="U59" i="17"/>
  <c r="AP25" i="19"/>
  <c r="Z82" i="19"/>
  <c r="AB86" i="19"/>
  <c r="U18" i="20"/>
  <c r="U24" i="20"/>
  <c r="AK26" i="20"/>
  <c r="AI28" i="20"/>
  <c r="AB44" i="20"/>
  <c r="U56" i="20"/>
  <c r="AI66" i="20"/>
  <c r="J41" i="1"/>
  <c r="J87" i="3"/>
  <c r="AC88" i="3"/>
  <c r="BQ85" i="7"/>
  <c r="U88" i="7"/>
  <c r="J92" i="8"/>
  <c r="T25" i="9"/>
  <c r="D54" i="10"/>
  <c r="M54" i="10" s="1"/>
  <c r="D58" i="10"/>
  <c r="M58" i="10" s="1"/>
  <c r="J70" i="10"/>
  <c r="D35" i="12"/>
  <c r="C35" i="12" s="1"/>
  <c r="D38" i="12"/>
  <c r="C38" i="12" s="1"/>
  <c r="D47" i="12"/>
  <c r="C47" i="12" s="1"/>
  <c r="D50" i="12"/>
  <c r="C50" i="12" s="1"/>
  <c r="D72" i="12"/>
  <c r="M72" i="12" s="1"/>
  <c r="D92" i="12"/>
  <c r="C92" i="12" s="1"/>
  <c r="K92" i="12" s="1"/>
  <c r="J93" i="12"/>
  <c r="J22" i="13"/>
  <c r="J70" i="13"/>
  <c r="J77" i="13"/>
  <c r="J95" i="13"/>
  <c r="AK46" i="16"/>
  <c r="AI60" i="16"/>
  <c r="AE34" i="17"/>
  <c r="AN64" i="17"/>
  <c r="AK54" i="18"/>
  <c r="U70" i="18"/>
  <c r="AT18" i="19"/>
  <c r="AB19" i="19"/>
  <c r="U20" i="19"/>
  <c r="BA35" i="19"/>
  <c r="BA38" i="19"/>
  <c r="Z55" i="19"/>
  <c r="AP63" i="19"/>
  <c r="AI65" i="19"/>
  <c r="BA76" i="19"/>
  <c r="BA78" i="19"/>
  <c r="AE80" i="19"/>
  <c r="AL81" i="19"/>
  <c r="AT81" i="19"/>
  <c r="BA84" i="19"/>
  <c r="AW85" i="19"/>
  <c r="BA86" i="19"/>
  <c r="AW87" i="19"/>
  <c r="AT88" i="19"/>
  <c r="AE24" i="20"/>
  <c r="AE25" i="20"/>
  <c r="AB26" i="20"/>
  <c r="D26" i="1"/>
  <c r="C26" i="1" s="1"/>
  <c r="K26" i="1" s="1"/>
  <c r="D37" i="1"/>
  <c r="C37" i="1" s="1"/>
  <c r="K37" i="1" s="1"/>
  <c r="AC59" i="3"/>
  <c r="D67" i="9"/>
  <c r="C67" i="9" s="1"/>
  <c r="K67" i="9" s="1"/>
  <c r="U39" i="1"/>
  <c r="U49" i="1"/>
  <c r="U50" i="1"/>
  <c r="Y58" i="1"/>
  <c r="Y59" i="1"/>
  <c r="AE23" i="2"/>
  <c r="AB36" i="2"/>
  <c r="W42" i="1"/>
  <c r="X68" i="1"/>
  <c r="J14" i="2"/>
  <c r="AB19" i="2"/>
  <c r="X18" i="1"/>
  <c r="N39" i="1"/>
  <c r="W57" i="1"/>
  <c r="D67" i="1"/>
  <c r="C67" i="1" s="1"/>
  <c r="K67" i="1" s="1"/>
  <c r="W67" i="1"/>
  <c r="Z67" i="1" s="1"/>
  <c r="D68" i="1"/>
  <c r="C68" i="1" s="1"/>
  <c r="D72" i="1"/>
  <c r="M72" i="1" s="1"/>
  <c r="X82" i="1"/>
  <c r="D35" i="2"/>
  <c r="M35" i="2" s="1"/>
  <c r="J17" i="1"/>
  <c r="AQ23" i="1"/>
  <c r="AQ24" i="1"/>
  <c r="W39" i="1"/>
  <c r="Y39" i="1"/>
  <c r="W51" i="1"/>
  <c r="AQ51" i="1"/>
  <c r="Y55" i="1"/>
  <c r="X57" i="1"/>
  <c r="U68" i="1"/>
  <c r="U72" i="1"/>
  <c r="D80" i="1"/>
  <c r="M80" i="1" s="1"/>
  <c r="AE24" i="2"/>
  <c r="J91" i="2"/>
  <c r="J93" i="2"/>
  <c r="J16" i="3"/>
  <c r="D68" i="3"/>
  <c r="M68" i="3" s="1"/>
  <c r="AG24" i="4"/>
  <c r="J34" i="4"/>
  <c r="J49" i="6"/>
  <c r="BQ88" i="7"/>
  <c r="D22" i="8"/>
  <c r="C22" i="8" s="1"/>
  <c r="K22" i="8" s="1"/>
  <c r="U24" i="8"/>
  <c r="U28" i="8"/>
  <c r="U29" i="8"/>
  <c r="J55" i="9"/>
  <c r="N82" i="10"/>
  <c r="U84" i="10"/>
  <c r="D30" i="11"/>
  <c r="C30" i="11" s="1"/>
  <c r="D43" i="11"/>
  <c r="C43" i="11" s="1"/>
  <c r="K43" i="11" s="1"/>
  <c r="T88" i="11"/>
  <c r="J101" i="11"/>
  <c r="J102" i="11"/>
  <c r="W35" i="12"/>
  <c r="W50" i="12"/>
  <c r="T62" i="12"/>
  <c r="D86" i="12"/>
  <c r="C86" i="12" s="1"/>
  <c r="J94" i="12"/>
  <c r="Y25" i="13"/>
  <c r="D98" i="13"/>
  <c r="M98" i="13" s="1"/>
  <c r="W36" i="14"/>
  <c r="Y36" i="14" s="1"/>
  <c r="U18" i="16"/>
  <c r="AB37" i="16"/>
  <c r="AB39" i="16"/>
  <c r="AK48" i="16"/>
  <c r="U53" i="16"/>
  <c r="AK18" i="18"/>
  <c r="AK20" i="18"/>
  <c r="AG45" i="18"/>
  <c r="AB23" i="20"/>
  <c r="U41" i="20"/>
  <c r="AK42" i="20"/>
  <c r="U49" i="20"/>
  <c r="AE72" i="20"/>
  <c r="D38" i="2"/>
  <c r="C38" i="2" s="1"/>
  <c r="AE39" i="2"/>
  <c r="Y40" i="2"/>
  <c r="Y32" i="3"/>
  <c r="U75" i="3"/>
  <c r="N37" i="4"/>
  <c r="AG37" i="4"/>
  <c r="N39" i="4"/>
  <c r="AG39" i="4"/>
  <c r="N43" i="4"/>
  <c r="AG43" i="4"/>
  <c r="Y38" i="5"/>
  <c r="D35" i="6"/>
  <c r="C35" i="6" s="1"/>
  <c r="Y70" i="6"/>
  <c r="BZ16" i="7"/>
  <c r="CI16" i="7"/>
  <c r="BK19" i="7"/>
  <c r="CC19" i="7"/>
  <c r="AH25" i="7"/>
  <c r="BT35" i="7"/>
  <c r="U48" i="8"/>
  <c r="U50" i="8"/>
  <c r="U61" i="8"/>
  <c r="U67" i="8"/>
  <c r="U70" i="8"/>
  <c r="U71" i="8"/>
  <c r="U72" i="8"/>
  <c r="U73" i="8"/>
  <c r="D77" i="8"/>
  <c r="M77" i="8" s="1"/>
  <c r="D87" i="8"/>
  <c r="C87" i="8" s="1"/>
  <c r="K87" i="8" s="1"/>
  <c r="W14" i="9"/>
  <c r="W23" i="9"/>
  <c r="W15" i="12"/>
  <c r="J16" i="12"/>
  <c r="T20" i="12"/>
  <c r="W21" i="12"/>
  <c r="J22" i="12"/>
  <c r="N27" i="12"/>
  <c r="W27" i="12"/>
  <c r="J28" i="12"/>
  <c r="T29" i="12"/>
  <c r="N30" i="12"/>
  <c r="T48" i="12"/>
  <c r="J50" i="12"/>
  <c r="T51" i="12"/>
  <c r="J60" i="12"/>
  <c r="D91" i="12"/>
  <c r="C91" i="12" s="1"/>
  <c r="K91" i="12" s="1"/>
  <c r="D35" i="13"/>
  <c r="M35" i="13" s="1"/>
  <c r="Y37" i="13"/>
  <c r="D41" i="13"/>
  <c r="M41" i="13" s="1"/>
  <c r="Y43" i="13"/>
  <c r="D51" i="13"/>
  <c r="M51" i="13" s="1"/>
  <c r="AC68" i="13"/>
  <c r="Y77" i="13"/>
  <c r="AE77" i="16"/>
  <c r="AB43" i="17"/>
  <c r="BE43" i="17"/>
  <c r="U63" i="17"/>
  <c r="AK21" i="18"/>
  <c r="AP23" i="19"/>
  <c r="U29" i="19"/>
  <c r="Z30" i="19"/>
  <c r="AP30" i="19"/>
  <c r="BA32" i="19"/>
  <c r="AL34" i="19"/>
  <c r="AI42" i="19"/>
  <c r="BA45" i="19"/>
  <c r="AL48" i="19"/>
  <c r="U72" i="19"/>
  <c r="AK38" i="20"/>
  <c r="AK39" i="20"/>
  <c r="U81" i="20"/>
  <c r="AI85" i="20"/>
  <c r="D57" i="3"/>
  <c r="C57" i="3" s="1"/>
  <c r="K57" i="3" s="1"/>
  <c r="D73" i="3"/>
  <c r="C73" i="3" s="1"/>
  <c r="K73" i="3" s="1"/>
  <c r="D48" i="4"/>
  <c r="M48" i="4" s="1"/>
  <c r="D70" i="4"/>
  <c r="M70" i="4" s="1"/>
  <c r="J79" i="4"/>
  <c r="AG82" i="4"/>
  <c r="AG86" i="4"/>
  <c r="D27" i="5"/>
  <c r="M27" i="5" s="1"/>
  <c r="J96" i="5"/>
  <c r="N18" i="6"/>
  <c r="J94" i="6"/>
  <c r="AY23" i="7"/>
  <c r="D86" i="7"/>
  <c r="M86" i="7" s="1"/>
  <c r="AQ87" i="7"/>
  <c r="J35" i="9"/>
  <c r="Z40" i="9"/>
  <c r="D95" i="9"/>
  <c r="M95" i="9" s="1"/>
  <c r="AI25" i="10"/>
  <c r="AF49" i="10"/>
  <c r="N20" i="13"/>
  <c r="J34" i="13"/>
  <c r="AC38" i="13"/>
  <c r="D61" i="13"/>
  <c r="M61" i="13" s="1"/>
  <c r="Y83" i="13"/>
  <c r="W88" i="14"/>
  <c r="Y88" i="14" s="1"/>
  <c r="U9" i="15"/>
  <c r="U14" i="16"/>
  <c r="AK33" i="16"/>
  <c r="AE39" i="16"/>
  <c r="Y49" i="16"/>
  <c r="U9" i="17"/>
  <c r="BA28" i="17"/>
  <c r="AE29" i="17"/>
  <c r="BA34" i="17"/>
  <c r="BT64" i="17"/>
  <c r="AK35" i="18"/>
  <c r="AS35" i="18"/>
  <c r="U40" i="18"/>
  <c r="AK41" i="18"/>
  <c r="AL74" i="18"/>
  <c r="Z28" i="19"/>
  <c r="AE40" i="19"/>
  <c r="AL56" i="19"/>
  <c r="AB37" i="2"/>
  <c r="N48" i="2"/>
  <c r="U54" i="2"/>
  <c r="J27" i="3"/>
  <c r="U83" i="3"/>
  <c r="AG19" i="4"/>
  <c r="AC20" i="4"/>
  <c r="D22" i="4"/>
  <c r="M22" i="4" s="1"/>
  <c r="J93" i="4"/>
  <c r="J51" i="5"/>
  <c r="Y20" i="6"/>
  <c r="D106" i="6"/>
  <c r="C106" i="6" s="1"/>
  <c r="K106" i="6" s="1"/>
  <c r="BT36" i="7"/>
  <c r="Y39" i="7"/>
  <c r="AN44" i="7"/>
  <c r="Y45" i="7"/>
  <c r="J46" i="7"/>
  <c r="Y39" i="8"/>
  <c r="J96" i="8"/>
  <c r="N14" i="10"/>
  <c r="D16" i="12"/>
  <c r="C16" i="12" s="1"/>
  <c r="D19" i="12"/>
  <c r="M19" i="12" s="1"/>
  <c r="T19" i="12"/>
  <c r="N33" i="12"/>
  <c r="N36" i="12"/>
  <c r="N42" i="12"/>
  <c r="D44" i="12"/>
  <c r="C44" i="12" s="1"/>
  <c r="J62" i="12"/>
  <c r="W64" i="12"/>
  <c r="J65" i="12"/>
  <c r="N83" i="12"/>
  <c r="J50" i="13"/>
  <c r="N59" i="13"/>
  <c r="N65" i="13"/>
  <c r="N68" i="13"/>
  <c r="N71" i="13"/>
  <c r="Y76" i="13"/>
  <c r="U87" i="13"/>
  <c r="N88" i="13"/>
  <c r="U44" i="14"/>
  <c r="W63" i="14"/>
  <c r="Y63" i="14" s="1"/>
  <c r="W64" i="14"/>
  <c r="Y64" i="14" s="1"/>
  <c r="W65" i="14"/>
  <c r="Y65" i="14" s="1"/>
  <c r="U66" i="14"/>
  <c r="AK53" i="16"/>
  <c r="BE14" i="17"/>
  <c r="U18" i="17"/>
  <c r="BG18" i="17"/>
  <c r="U21" i="17"/>
  <c r="BE54" i="17"/>
  <c r="BG65" i="17"/>
  <c r="BA69" i="17"/>
  <c r="Y18" i="18"/>
  <c r="Y20" i="18"/>
  <c r="AG62" i="18"/>
  <c r="X74" i="18"/>
  <c r="AF74" i="18"/>
  <c r="U15" i="19"/>
  <c r="Z24" i="19"/>
  <c r="AB53" i="19"/>
  <c r="BA65" i="19"/>
  <c r="J104" i="2"/>
  <c r="AC38" i="3"/>
  <c r="Y71" i="3"/>
  <c r="Y75" i="3"/>
  <c r="D75" i="5"/>
  <c r="C75" i="5" s="1"/>
  <c r="K75" i="5" s="1"/>
  <c r="D85" i="6"/>
  <c r="C85" i="6" s="1"/>
  <c r="AH21" i="7"/>
  <c r="AN28" i="7"/>
  <c r="D90" i="7"/>
  <c r="C90" i="7" s="1"/>
  <c r="D106" i="7"/>
  <c r="M106" i="7" s="1"/>
  <c r="J18" i="8"/>
  <c r="J39" i="8"/>
  <c r="J40" i="8"/>
  <c r="J90" i="8"/>
  <c r="J36" i="9"/>
  <c r="U29" i="10"/>
  <c r="N45" i="10"/>
  <c r="AI49" i="10"/>
  <c r="U51" i="10"/>
  <c r="U57" i="10"/>
  <c r="U61" i="10"/>
  <c r="AI63" i="10"/>
  <c r="J84" i="10"/>
  <c r="J93" i="10"/>
  <c r="J105" i="10"/>
  <c r="D71" i="11"/>
  <c r="M71" i="11" s="1"/>
  <c r="D73" i="11"/>
  <c r="C73" i="11" s="1"/>
  <c r="K73" i="11" s="1"/>
  <c r="D86" i="11"/>
  <c r="M86" i="11" s="1"/>
  <c r="D99" i="11"/>
  <c r="M99" i="11" s="1"/>
  <c r="D15" i="12"/>
  <c r="C15" i="12" s="1"/>
  <c r="D30" i="12"/>
  <c r="C30" i="12" s="1"/>
  <c r="J103" i="12"/>
  <c r="AC24" i="13"/>
  <c r="AC30" i="13"/>
  <c r="N32" i="13"/>
  <c r="D40" i="13"/>
  <c r="M40" i="13" s="1"/>
  <c r="J42" i="13"/>
  <c r="D43" i="13"/>
  <c r="M43" i="13" s="1"/>
  <c r="AC43" i="13"/>
  <c r="D57" i="13"/>
  <c r="M57" i="13" s="1"/>
  <c r="D63" i="13"/>
  <c r="C63" i="13" s="1"/>
  <c r="D66" i="13"/>
  <c r="M66" i="13" s="1"/>
  <c r="J79" i="13"/>
  <c r="Y79" i="13"/>
  <c r="W33" i="14"/>
  <c r="Y33" i="14" s="1"/>
  <c r="W85" i="14"/>
  <c r="Y85" i="14" s="1"/>
  <c r="Y68" i="16"/>
  <c r="U73" i="16"/>
  <c r="BT18" i="17"/>
  <c r="AB20" i="17"/>
  <c r="U51" i="17"/>
  <c r="U54" i="17"/>
  <c r="BE68" i="17"/>
  <c r="AK63" i="18"/>
  <c r="AS63" i="18"/>
  <c r="AK66" i="18"/>
  <c r="AK78" i="18"/>
  <c r="AP18" i="19"/>
  <c r="AP20" i="19"/>
  <c r="AE21" i="19"/>
  <c r="AB21" i="20"/>
  <c r="AE55" i="20"/>
  <c r="U88" i="20"/>
  <c r="J68" i="2"/>
  <c r="J71" i="2"/>
  <c r="AE80" i="2"/>
  <c r="U24" i="3"/>
  <c r="AC30" i="3"/>
  <c r="J36" i="3"/>
  <c r="U69" i="3"/>
  <c r="J75" i="3"/>
  <c r="AC76" i="3"/>
  <c r="AC79" i="3"/>
  <c r="J81" i="3"/>
  <c r="D97" i="3"/>
  <c r="C97" i="3" s="1"/>
  <c r="K97" i="3" s="1"/>
  <c r="D99" i="3"/>
  <c r="M99" i="3" s="1"/>
  <c r="D103" i="3"/>
  <c r="C103" i="3" s="1"/>
  <c r="K103" i="3" s="1"/>
  <c r="AG77" i="4"/>
  <c r="AG85" i="4"/>
  <c r="J99" i="5"/>
  <c r="BE16" i="7"/>
  <c r="AN17" i="7"/>
  <c r="CI19" i="7"/>
  <c r="AN25" i="7"/>
  <c r="J28" i="7"/>
  <c r="BN33" i="7"/>
  <c r="Y36" i="7"/>
  <c r="Y37" i="7"/>
  <c r="AP29" i="19"/>
  <c r="U38" i="19"/>
  <c r="AT39" i="19"/>
  <c r="AE65" i="19"/>
  <c r="BA66" i="19"/>
  <c r="X16" i="1"/>
  <c r="AB16" i="1" s="1"/>
  <c r="U38" i="1"/>
  <c r="J79" i="1"/>
  <c r="AQ82" i="1"/>
  <c r="AA84" i="1"/>
  <c r="N16" i="2"/>
  <c r="D18" i="2"/>
  <c r="M18" i="2" s="1"/>
  <c r="AB18" i="2"/>
  <c r="D96" i="2"/>
  <c r="M96" i="2" s="1"/>
  <c r="AC17" i="3"/>
  <c r="U23" i="3"/>
  <c r="Y36" i="3"/>
  <c r="D37" i="3"/>
  <c r="C37" i="3" s="1"/>
  <c r="K37" i="3" s="1"/>
  <c r="J39" i="3"/>
  <c r="D54" i="3"/>
  <c r="C54" i="3" s="1"/>
  <c r="K54" i="3" s="1"/>
  <c r="J63" i="3"/>
  <c r="AC70" i="3"/>
  <c r="J72" i="3"/>
  <c r="D106" i="3"/>
  <c r="M106" i="3" s="1"/>
  <c r="AG26" i="4"/>
  <c r="N30" i="4"/>
  <c r="N33" i="4"/>
  <c r="AG33" i="4"/>
  <c r="AA36" i="4"/>
  <c r="J42" i="4"/>
  <c r="J44" i="4"/>
  <c r="E74" i="4"/>
  <c r="W37" i="1"/>
  <c r="Z37" i="1" s="1"/>
  <c r="D78" i="1"/>
  <c r="M78" i="1" s="1"/>
  <c r="Y19" i="2"/>
  <c r="U25" i="2"/>
  <c r="D36" i="2"/>
  <c r="C36" i="2" s="1"/>
  <c r="K36" i="2" s="1"/>
  <c r="J60" i="2"/>
  <c r="U61" i="2"/>
  <c r="J81" i="2"/>
  <c r="Y15" i="3"/>
  <c r="J42" i="3"/>
  <c r="Y87" i="3"/>
  <c r="D88" i="3"/>
  <c r="M88" i="3" s="1"/>
  <c r="J95" i="3"/>
  <c r="J20" i="4"/>
  <c r="J24" i="4"/>
  <c r="AL29" i="4"/>
  <c r="AG35" i="4"/>
  <c r="D64" i="4"/>
  <c r="C64" i="4" s="1"/>
  <c r="K64" i="4" s="1"/>
  <c r="N75" i="6"/>
  <c r="N77" i="6"/>
  <c r="N80" i="6"/>
  <c r="BI52" i="7"/>
  <c r="D40" i="2"/>
  <c r="M40" i="2" s="1"/>
  <c r="D54" i="2"/>
  <c r="C54" i="2" s="1"/>
  <c r="K54" i="2" s="1"/>
  <c r="AE71" i="2"/>
  <c r="U76" i="2"/>
  <c r="U25" i="3"/>
  <c r="Y38" i="3"/>
  <c r="AC39" i="3"/>
  <c r="J71" i="3"/>
  <c r="AC72" i="3"/>
  <c r="AB9" i="6"/>
  <c r="AA7" i="6"/>
  <c r="AB7" i="6" s="1"/>
  <c r="U9" i="1"/>
  <c r="D19" i="1"/>
  <c r="M19" i="1" s="1"/>
  <c r="Y29" i="1"/>
  <c r="X73" i="1"/>
  <c r="AB73" i="1" s="1"/>
  <c r="W81" i="1"/>
  <c r="Z81" i="1" s="1"/>
  <c r="N104" i="1"/>
  <c r="U41" i="2"/>
  <c r="D59" i="2"/>
  <c r="C59" i="2" s="1"/>
  <c r="K59" i="2" s="1"/>
  <c r="J97" i="2"/>
  <c r="D104" i="2"/>
  <c r="M104" i="2" s="1"/>
  <c r="U18" i="3"/>
  <c r="U21" i="3"/>
  <c r="Y23" i="3"/>
  <c r="Y26" i="3"/>
  <c r="D45" i="3"/>
  <c r="C45" i="3" s="1"/>
  <c r="K45" i="3" s="1"/>
  <c r="AC53" i="3"/>
  <c r="J84" i="3"/>
  <c r="Y86" i="3"/>
  <c r="N18" i="4"/>
  <c r="AI19" i="4"/>
  <c r="AL20" i="4"/>
  <c r="AC30" i="4"/>
  <c r="N51" i="4"/>
  <c r="AC67" i="4"/>
  <c r="J69" i="4"/>
  <c r="N70" i="4"/>
  <c r="AG70" i="4"/>
  <c r="J24" i="1"/>
  <c r="J32" i="1"/>
  <c r="J37" i="1"/>
  <c r="AA68" i="1"/>
  <c r="AB68" i="1" s="1"/>
  <c r="J73" i="1"/>
  <c r="D92" i="1"/>
  <c r="M92" i="1" s="1"/>
  <c r="D94" i="1"/>
  <c r="C94" i="1" s="1"/>
  <c r="K94" i="1" s="1"/>
  <c r="U36" i="2"/>
  <c r="D42" i="2"/>
  <c r="C42" i="2" s="1"/>
  <c r="K42" i="2" s="1"/>
  <c r="U53" i="2"/>
  <c r="AB62" i="2"/>
  <c r="AE63" i="2"/>
  <c r="AE70" i="2"/>
  <c r="J72" i="2"/>
  <c r="D83" i="2"/>
  <c r="C83" i="2" s="1"/>
  <c r="K83" i="2" s="1"/>
  <c r="D84" i="2"/>
  <c r="C84" i="2" s="1"/>
  <c r="K84" i="2" s="1"/>
  <c r="Y19" i="3"/>
  <c r="J47" i="3"/>
  <c r="J50" i="3"/>
  <c r="J54" i="3"/>
  <c r="J57" i="3"/>
  <c r="Y60" i="3"/>
  <c r="Y63" i="3"/>
  <c r="AD74" i="3"/>
  <c r="J77" i="3"/>
  <c r="AC78" i="3"/>
  <c r="J86" i="3"/>
  <c r="U87" i="3"/>
  <c r="AA26" i="4"/>
  <c r="J77" i="4"/>
  <c r="AA77" i="4"/>
  <c r="D93" i="4"/>
  <c r="C93" i="4" s="1"/>
  <c r="K93" i="4" s="1"/>
  <c r="D95" i="4"/>
  <c r="C95" i="4" s="1"/>
  <c r="K95" i="4" s="1"/>
  <c r="D99" i="4"/>
  <c r="M99" i="4" s="1"/>
  <c r="D101" i="4"/>
  <c r="C101" i="4" s="1"/>
  <c r="D103" i="4"/>
  <c r="M103" i="4" s="1"/>
  <c r="J105" i="4"/>
  <c r="J29" i="5"/>
  <c r="J30" i="5"/>
  <c r="D56" i="5"/>
  <c r="M56" i="5" s="1"/>
  <c r="J57" i="5"/>
  <c r="J58" i="5"/>
  <c r="D62" i="5"/>
  <c r="M62" i="5" s="1"/>
  <c r="D64" i="5"/>
  <c r="C64" i="5" s="1"/>
  <c r="J66" i="5"/>
  <c r="J68" i="5"/>
  <c r="J69" i="5"/>
  <c r="J75" i="5"/>
  <c r="J77" i="5"/>
  <c r="D99" i="5"/>
  <c r="C99" i="5" s="1"/>
  <c r="K99" i="5" s="1"/>
  <c r="Y55" i="6"/>
  <c r="Y58" i="6"/>
  <c r="Y73" i="6"/>
  <c r="Y79" i="6"/>
  <c r="D19" i="7"/>
  <c r="C19" i="7" s="1"/>
  <c r="BZ19" i="7"/>
  <c r="BQ21" i="7"/>
  <c r="AH24" i="7"/>
  <c r="AK25" i="7"/>
  <c r="AB26" i="7"/>
  <c r="BT26" i="7"/>
  <c r="CL27" i="7"/>
  <c r="N30" i="7"/>
  <c r="BN30" i="7"/>
  <c r="AV37" i="7"/>
  <c r="AB39" i="7"/>
  <c r="BQ39" i="7"/>
  <c r="AH40" i="7"/>
  <c r="J45" i="7"/>
  <c r="AK48" i="7"/>
  <c r="BB48" i="7"/>
  <c r="BK48" i="7"/>
  <c r="H52" i="7"/>
  <c r="T52" i="7"/>
  <c r="AD52" i="7"/>
  <c r="AT52" i="7"/>
  <c r="BC52" i="7"/>
  <c r="BL52" i="7"/>
  <c r="CD52" i="7"/>
  <c r="CM52" i="7"/>
  <c r="X52" i="7"/>
  <c r="AO52" i="7"/>
  <c r="AW52" i="7"/>
  <c r="BF52" i="7"/>
  <c r="BO52" i="7"/>
  <c r="BX52" i="7"/>
  <c r="CG52" i="7"/>
  <c r="E52" i="7"/>
  <c r="Z52" i="7"/>
  <c r="AG52" i="7"/>
  <c r="AP52" i="7"/>
  <c r="BG52" i="7"/>
  <c r="BP52" i="7"/>
  <c r="BY52" i="7"/>
  <c r="CH52" i="7"/>
  <c r="F52" i="7"/>
  <c r="AK57" i="7"/>
  <c r="AR52" i="7"/>
  <c r="AJ52" i="7"/>
  <c r="AS52" i="7"/>
  <c r="BS52" i="7"/>
  <c r="AH61" i="7"/>
  <c r="AK63" i="7"/>
  <c r="AH67" i="7"/>
  <c r="AK69" i="7"/>
  <c r="J76" i="7"/>
  <c r="AH77" i="7"/>
  <c r="N81" i="7"/>
  <c r="AK77" i="7"/>
  <c r="Y81" i="7"/>
  <c r="AQ86" i="7"/>
  <c r="AB86" i="9"/>
  <c r="Z86" i="9"/>
  <c r="D71" i="5"/>
  <c r="C71" i="5" s="1"/>
  <c r="K71" i="5" s="1"/>
  <c r="D83" i="5"/>
  <c r="C83" i="5" s="1"/>
  <c r="K83" i="5" s="1"/>
  <c r="J87" i="5"/>
  <c r="J98" i="5"/>
  <c r="J18" i="6"/>
  <c r="D19" i="6"/>
  <c r="C19" i="6" s="1"/>
  <c r="D54" i="6"/>
  <c r="M54" i="6" s="1"/>
  <c r="J55" i="6"/>
  <c r="J59" i="6"/>
  <c r="D77" i="6"/>
  <c r="C77" i="6" s="1"/>
  <c r="D78" i="6"/>
  <c r="C78" i="6" s="1"/>
  <c r="N93" i="6"/>
  <c r="N101" i="6"/>
  <c r="BY13" i="7"/>
  <c r="AH20" i="7"/>
  <c r="N26" i="7"/>
  <c r="AN29" i="7"/>
  <c r="D32" i="7"/>
  <c r="C32" i="7" s="1"/>
  <c r="AK34" i="7"/>
  <c r="BK34" i="7"/>
  <c r="AK38" i="7"/>
  <c r="AK45" i="7"/>
  <c r="AH65" i="7"/>
  <c r="AK67" i="7"/>
  <c r="N101" i="4"/>
  <c r="D98" i="5"/>
  <c r="C98" i="5" s="1"/>
  <c r="K98" i="5" s="1"/>
  <c r="N101" i="5"/>
  <c r="N14" i="6"/>
  <c r="D17" i="6"/>
  <c r="C17" i="6" s="1"/>
  <c r="D22" i="6"/>
  <c r="C22" i="6" s="1"/>
  <c r="D23" i="6"/>
  <c r="C23" i="6" s="1"/>
  <c r="Y28" i="6"/>
  <c r="J29" i="6"/>
  <c r="D60" i="6"/>
  <c r="C60" i="6" s="1"/>
  <c r="J61" i="6"/>
  <c r="D62" i="6"/>
  <c r="C62" i="6" s="1"/>
  <c r="N68" i="6"/>
  <c r="BT14" i="7"/>
  <c r="BK15" i="7"/>
  <c r="CC16" i="7"/>
  <c r="CL16" i="7"/>
  <c r="BK18" i="7"/>
  <c r="CC20" i="7"/>
  <c r="Y25" i="7"/>
  <c r="AY29" i="7"/>
  <c r="BQ29" i="7"/>
  <c r="U37" i="7"/>
  <c r="BT37" i="7"/>
  <c r="N39" i="7"/>
  <c r="AN40" i="7"/>
  <c r="AV40" i="7"/>
  <c r="BN40" i="7"/>
  <c r="AQ42" i="7"/>
  <c r="U51" i="7"/>
  <c r="AH58" i="7"/>
  <c r="AH70" i="7"/>
  <c r="U72" i="7"/>
  <c r="AK72" i="7"/>
  <c r="N75" i="7"/>
  <c r="AN76" i="7"/>
  <c r="U82" i="7"/>
  <c r="AK82" i="7"/>
  <c r="D80" i="4"/>
  <c r="C80" i="4" s="1"/>
  <c r="K80" i="4" s="1"/>
  <c r="D14" i="5"/>
  <c r="M14" i="5" s="1"/>
  <c r="D15" i="5"/>
  <c r="M15" i="5" s="1"/>
  <c r="D16" i="5"/>
  <c r="C16" i="5" s="1"/>
  <c r="K16" i="5" s="1"/>
  <c r="D17" i="5"/>
  <c r="C17" i="5" s="1"/>
  <c r="D18" i="5"/>
  <c r="C18" i="5" s="1"/>
  <c r="J19" i="5"/>
  <c r="D21" i="5"/>
  <c r="C21" i="5" s="1"/>
  <c r="K21" i="5" s="1"/>
  <c r="J22" i="5"/>
  <c r="J47" i="5"/>
  <c r="Y53" i="5"/>
  <c r="D26" i="6"/>
  <c r="M26" i="6" s="1"/>
  <c r="D30" i="6"/>
  <c r="C30" i="6" s="1"/>
  <c r="J42" i="6"/>
  <c r="J65" i="6"/>
  <c r="Y24" i="7"/>
  <c r="AQ26" i="7"/>
  <c r="BQ26" i="7"/>
  <c r="AQ28" i="7"/>
  <c r="BQ28" i="7"/>
  <c r="BN34" i="7"/>
  <c r="AN36" i="7"/>
  <c r="AN38" i="7"/>
  <c r="AV38" i="7"/>
  <c r="AK43" i="7"/>
  <c r="J47" i="7"/>
  <c r="AH48" i="7"/>
  <c r="AK50" i="7"/>
  <c r="BB50" i="7"/>
  <c r="BK50" i="7"/>
  <c r="BT50" i="7"/>
  <c r="AK59" i="7"/>
  <c r="AH63" i="7"/>
  <c r="AK65" i="7"/>
  <c r="J78" i="7"/>
  <c r="BT80" i="7"/>
  <c r="BK84" i="7"/>
  <c r="AC74" i="7"/>
  <c r="Y42" i="8"/>
  <c r="Y43" i="8"/>
  <c r="AB64" i="9"/>
  <c r="Z33" i="10"/>
  <c r="AI36" i="10"/>
  <c r="AF48" i="10"/>
  <c r="U67" i="10"/>
  <c r="D78" i="10"/>
  <c r="C78" i="10" s="1"/>
  <c r="K78" i="10" s="1"/>
  <c r="J67" i="11"/>
  <c r="J103" i="11"/>
  <c r="N50" i="12"/>
  <c r="Y23" i="13"/>
  <c r="AC28" i="13"/>
  <c r="N39" i="13"/>
  <c r="J60" i="13"/>
  <c r="J84" i="13"/>
  <c r="D96" i="13"/>
  <c r="M96" i="13" s="1"/>
  <c r="D103" i="13"/>
  <c r="C103" i="13" s="1"/>
  <c r="K103" i="13" s="1"/>
  <c r="W15" i="14"/>
  <c r="Y15" i="14" s="1"/>
  <c r="U42" i="14"/>
  <c r="AE58" i="16"/>
  <c r="BE42" i="17"/>
  <c r="Y67" i="17"/>
  <c r="BA80" i="17"/>
  <c r="AO22" i="18"/>
  <c r="U49" i="18"/>
  <c r="AK67" i="18"/>
  <c r="AG72" i="18"/>
  <c r="U17" i="19"/>
  <c r="U68" i="19"/>
  <c r="AK29" i="20"/>
  <c r="AK68" i="20"/>
  <c r="AK73" i="20"/>
  <c r="AB75" i="20"/>
  <c r="D23" i="8"/>
  <c r="C23" i="8" s="1"/>
  <c r="K23" i="8" s="1"/>
  <c r="D24" i="8"/>
  <c r="M24" i="8" s="1"/>
  <c r="J30" i="8"/>
  <c r="Y47" i="8"/>
  <c r="T45" i="9"/>
  <c r="J46" i="9"/>
  <c r="Z46" i="9"/>
  <c r="Z47" i="9"/>
  <c r="D65" i="9"/>
  <c r="M65" i="9" s="1"/>
  <c r="U15" i="10"/>
  <c r="J29" i="10"/>
  <c r="AF39" i="10"/>
  <c r="U45" i="10"/>
  <c r="AF45" i="10"/>
  <c r="D99" i="10"/>
  <c r="C99" i="10" s="1"/>
  <c r="K99" i="10" s="1"/>
  <c r="T75" i="11"/>
  <c r="D36" i="12"/>
  <c r="M36" i="12" s="1"/>
  <c r="D71" i="12"/>
  <c r="M71" i="12" s="1"/>
  <c r="T75" i="12"/>
  <c r="J40" i="13"/>
  <c r="J66" i="13"/>
  <c r="AC67" i="13"/>
  <c r="AC70" i="13"/>
  <c r="D84" i="13"/>
  <c r="M84" i="13" s="1"/>
  <c r="J99" i="13"/>
  <c r="U23" i="16"/>
  <c r="U39" i="16"/>
  <c r="U47" i="16"/>
  <c r="AE32" i="17"/>
  <c r="AE65" i="17"/>
  <c r="AG18" i="18"/>
  <c r="AL69" i="19"/>
  <c r="U42" i="20"/>
  <c r="AB43" i="20"/>
  <c r="AE45" i="20"/>
  <c r="AE46" i="20"/>
  <c r="AE47" i="20"/>
  <c r="AI61" i="20"/>
  <c r="AY86" i="7"/>
  <c r="BQ86" i="7"/>
  <c r="D103" i="7"/>
  <c r="M103" i="7" s="1"/>
  <c r="U26" i="8"/>
  <c r="D37" i="8"/>
  <c r="M37" i="8" s="1"/>
  <c r="D38" i="8"/>
  <c r="M38" i="8" s="1"/>
  <c r="D42" i="8"/>
  <c r="M42" i="8" s="1"/>
  <c r="D43" i="8"/>
  <c r="M43" i="8" s="1"/>
  <c r="J44" i="8"/>
  <c r="D45" i="8"/>
  <c r="M45" i="8" s="1"/>
  <c r="D47" i="8"/>
  <c r="M47" i="8" s="1"/>
  <c r="J50" i="8"/>
  <c r="Y53" i="8"/>
  <c r="Y54" i="8"/>
  <c r="Y65" i="8"/>
  <c r="Y67" i="8"/>
  <c r="Y72" i="8"/>
  <c r="Y73" i="8"/>
  <c r="Y76" i="8"/>
  <c r="Y77" i="8"/>
  <c r="Y78" i="8"/>
  <c r="Y79" i="8"/>
  <c r="J104" i="8"/>
  <c r="D38" i="9"/>
  <c r="M38" i="9" s="1"/>
  <c r="J58" i="9"/>
  <c r="U22" i="10"/>
  <c r="U34" i="10"/>
  <c r="AI38" i="10"/>
  <c r="AC39" i="10"/>
  <c r="J42" i="10"/>
  <c r="Z42" i="10"/>
  <c r="AC46" i="10"/>
  <c r="AI62" i="10"/>
  <c r="AF63" i="10"/>
  <c r="AF79" i="10"/>
  <c r="D82" i="11"/>
  <c r="M82" i="11" s="1"/>
  <c r="D61" i="12"/>
  <c r="C61" i="12" s="1"/>
  <c r="D77" i="12"/>
  <c r="C77" i="12" s="1"/>
  <c r="D80" i="12"/>
  <c r="C80" i="12" s="1"/>
  <c r="J86" i="12"/>
  <c r="Y15" i="13"/>
  <c r="Y18" i="13"/>
  <c r="Y19" i="13"/>
  <c r="AC47" i="13"/>
  <c r="AC56" i="13"/>
  <c r="J72" i="13"/>
  <c r="U81" i="13"/>
  <c r="AC81" i="13"/>
  <c r="N82" i="13"/>
  <c r="U54" i="14"/>
  <c r="AB77" i="16"/>
  <c r="AG83" i="16"/>
  <c r="BA57" i="17"/>
  <c r="AC28" i="18"/>
  <c r="AK28" i="18"/>
  <c r="AS28" i="18"/>
  <c r="AS54" i="18"/>
  <c r="U55" i="18"/>
  <c r="AG55" i="18"/>
  <c r="AE14" i="19"/>
  <c r="AB15" i="19"/>
  <c r="Z72" i="19"/>
  <c r="AI20" i="20"/>
  <c r="U45" i="20"/>
  <c r="U64" i="10"/>
  <c r="U70" i="10"/>
  <c r="J102" i="10"/>
  <c r="N21" i="12"/>
  <c r="D32" i="12"/>
  <c r="C32" i="12" s="1"/>
  <c r="D79" i="13"/>
  <c r="C79" i="13" s="1"/>
  <c r="K79" i="13" s="1"/>
  <c r="J94" i="13"/>
  <c r="J100" i="13"/>
  <c r="AG30" i="16"/>
  <c r="AM53" i="16"/>
  <c r="R74" i="18"/>
  <c r="AE16" i="19"/>
  <c r="AI21" i="19"/>
  <c r="U54" i="19"/>
  <c r="AL70" i="19"/>
  <c r="BK87" i="7"/>
  <c r="BT87" i="7"/>
  <c r="AK88" i="7"/>
  <c r="J92" i="7"/>
  <c r="D56" i="8"/>
  <c r="C56" i="8" s="1"/>
  <c r="K56" i="8" s="1"/>
  <c r="D106" i="8"/>
  <c r="M106" i="8" s="1"/>
  <c r="T23" i="9"/>
  <c r="J34" i="9"/>
  <c r="D41" i="9"/>
  <c r="C41" i="9" s="1"/>
  <c r="K41" i="9" s="1"/>
  <c r="T46" i="9"/>
  <c r="D47" i="9"/>
  <c r="M47" i="9" s="1"/>
  <c r="J49" i="9"/>
  <c r="J53" i="9"/>
  <c r="J62" i="9"/>
  <c r="J67" i="9"/>
  <c r="J70" i="9"/>
  <c r="Z88" i="9"/>
  <c r="T56" i="11"/>
  <c r="J59" i="11"/>
  <c r="T69" i="11"/>
  <c r="D28" i="12"/>
  <c r="C28" i="12" s="1"/>
  <c r="J53" i="12"/>
  <c r="J65" i="13"/>
  <c r="J71" i="13"/>
  <c r="AC83" i="13"/>
  <c r="D95" i="13"/>
  <c r="C95" i="13" s="1"/>
  <c r="U48" i="16"/>
  <c r="BE32" i="17"/>
  <c r="AB73" i="17"/>
  <c r="AS41" i="18"/>
  <c r="U44" i="18"/>
  <c r="AS56" i="18"/>
  <c r="AO63" i="18"/>
  <c r="AK84" i="18"/>
  <c r="AK87" i="18"/>
  <c r="AW20" i="19"/>
  <c r="AL63" i="19"/>
  <c r="AL66" i="19"/>
  <c r="BA72" i="19"/>
  <c r="BK86" i="7"/>
  <c r="Y29" i="8"/>
  <c r="Y34" i="8"/>
  <c r="U45" i="8"/>
  <c r="U51" i="8"/>
  <c r="U53" i="8"/>
  <c r="U59" i="8"/>
  <c r="U63" i="8"/>
  <c r="U77" i="8"/>
  <c r="Z34" i="9"/>
  <c r="D36" i="9"/>
  <c r="M36" i="9" s="1"/>
  <c r="D39" i="9"/>
  <c r="M39" i="9" s="1"/>
  <c r="AB88" i="9"/>
  <c r="W25" i="12"/>
  <c r="J26" i="12"/>
  <c r="W29" i="12"/>
  <c r="J44" i="13"/>
  <c r="U69" i="13"/>
  <c r="D78" i="13"/>
  <c r="M78" i="13" s="1"/>
  <c r="W28" i="14"/>
  <c r="Y28" i="14" s="1"/>
  <c r="U29" i="14"/>
  <c r="U50" i="14"/>
  <c r="U34" i="16"/>
  <c r="AE45" i="16"/>
  <c r="AE62" i="16"/>
  <c r="Y66" i="16"/>
  <c r="U27" i="17"/>
  <c r="AE47" i="17"/>
  <c r="AC27" i="18"/>
  <c r="AK27" i="18"/>
  <c r="U45" i="18"/>
  <c r="AK55" i="18"/>
  <c r="AL42" i="19"/>
  <c r="Z48" i="19"/>
  <c r="AL72" i="19"/>
  <c r="AI83" i="19"/>
  <c r="AI21" i="20"/>
  <c r="AK82" i="20"/>
  <c r="U15" i="1"/>
  <c r="D17" i="1"/>
  <c r="M17" i="1" s="1"/>
  <c r="U28" i="1"/>
  <c r="AA28" i="1"/>
  <c r="D30" i="1"/>
  <c r="M30" i="1" s="1"/>
  <c r="D33" i="1"/>
  <c r="M33" i="1" s="1"/>
  <c r="N38" i="1"/>
  <c r="D40" i="1"/>
  <c r="M40" i="1" s="1"/>
  <c r="D43" i="1"/>
  <c r="C43" i="1" s="1"/>
  <c r="K43" i="1" s="1"/>
  <c r="J44" i="1"/>
  <c r="D45" i="1"/>
  <c r="C45" i="1" s="1"/>
  <c r="K45" i="1" s="1"/>
  <c r="D48" i="1"/>
  <c r="M48" i="1" s="1"/>
  <c r="D51" i="1"/>
  <c r="C51" i="1" s="1"/>
  <c r="K51" i="1" s="1"/>
  <c r="U69" i="1"/>
  <c r="J92" i="1"/>
  <c r="J94" i="1"/>
  <c r="D105" i="1"/>
  <c r="M105" i="1" s="1"/>
  <c r="J105" i="1"/>
  <c r="U18" i="2"/>
  <c r="D27" i="2"/>
  <c r="C27" i="2" s="1"/>
  <c r="AE35" i="2"/>
  <c r="AE45" i="2"/>
  <c r="D58" i="2"/>
  <c r="M58" i="2" s="1"/>
  <c r="AB61" i="2"/>
  <c r="D66" i="2"/>
  <c r="C66" i="2" s="1"/>
  <c r="K66" i="2" s="1"/>
  <c r="D80" i="2"/>
  <c r="C80" i="2" s="1"/>
  <c r="K80" i="2" s="1"/>
  <c r="D81" i="2"/>
  <c r="C81" i="2" s="1"/>
  <c r="K81" i="2" s="1"/>
  <c r="D86" i="2"/>
  <c r="M86" i="2" s="1"/>
  <c r="D94" i="2"/>
  <c r="M94" i="2" s="1"/>
  <c r="J98" i="2"/>
  <c r="J30" i="3"/>
  <c r="H52" i="3"/>
  <c r="N52" i="3" s="1"/>
  <c r="Y54" i="3"/>
  <c r="Y61" i="3"/>
  <c r="Y84" i="3"/>
  <c r="AC85" i="3"/>
  <c r="Y88" i="3"/>
  <c r="D104" i="3"/>
  <c r="M104" i="3" s="1"/>
  <c r="J106" i="3"/>
  <c r="D15" i="4"/>
  <c r="C15" i="4" s="1"/>
  <c r="J22" i="4"/>
  <c r="AL30" i="4"/>
  <c r="AL36" i="4"/>
  <c r="AG53" i="4"/>
  <c r="AG55" i="4"/>
  <c r="D71" i="4"/>
  <c r="C71" i="4" s="1"/>
  <c r="K71" i="4" s="1"/>
  <c r="AH74" i="4"/>
  <c r="D98" i="4"/>
  <c r="M98" i="4" s="1"/>
  <c r="J98" i="4"/>
  <c r="D100" i="4"/>
  <c r="M100" i="4" s="1"/>
  <c r="D40" i="5"/>
  <c r="C40" i="5" s="1"/>
  <c r="K40" i="5" s="1"/>
  <c r="Y64" i="5"/>
  <c r="D76" i="5"/>
  <c r="C76" i="5" s="1"/>
  <c r="D78" i="5"/>
  <c r="D80" i="5"/>
  <c r="C80" i="5" s="1"/>
  <c r="K80" i="5" s="1"/>
  <c r="D81" i="5"/>
  <c r="C81" i="5" s="1"/>
  <c r="K81" i="5" s="1"/>
  <c r="J83" i="5"/>
  <c r="J84" i="5"/>
  <c r="J90" i="5"/>
  <c r="J92" i="5"/>
  <c r="J97" i="5"/>
  <c r="D100" i="5"/>
  <c r="M100" i="5" s="1"/>
  <c r="Y21" i="6"/>
  <c r="J22" i="6"/>
  <c r="J23" i="6"/>
  <c r="Y24" i="6"/>
  <c r="J51" i="6"/>
  <c r="D61" i="6"/>
  <c r="C61" i="6" s="1"/>
  <c r="CK13" i="7"/>
  <c r="AR31" i="7"/>
  <c r="AC52" i="7"/>
  <c r="BA52" i="7"/>
  <c r="BJ52" i="7"/>
  <c r="CB52" i="7"/>
  <c r="CK52" i="7"/>
  <c r="W16" i="1"/>
  <c r="Z16" i="1" s="1"/>
  <c r="U18" i="1"/>
  <c r="AA46" i="1"/>
  <c r="AK52" i="1"/>
  <c r="D56" i="1"/>
  <c r="C56" i="1" s="1"/>
  <c r="K56" i="1" s="1"/>
  <c r="AA80" i="1"/>
  <c r="Y18" i="2"/>
  <c r="D19" i="2"/>
  <c r="C19" i="2" s="1"/>
  <c r="K19" i="2" s="1"/>
  <c r="J26" i="2"/>
  <c r="D46" i="2"/>
  <c r="M46" i="2" s="1"/>
  <c r="U82" i="2"/>
  <c r="J84" i="2"/>
  <c r="D85" i="2"/>
  <c r="C85" i="2" s="1"/>
  <c r="K85" i="2" s="1"/>
  <c r="P105" i="2"/>
  <c r="U43" i="3"/>
  <c r="AC77" i="3"/>
  <c r="AG29" i="4"/>
  <c r="X31" i="4"/>
  <c r="AH52" i="4"/>
  <c r="AH55" i="7"/>
  <c r="AF52" i="7"/>
  <c r="U57" i="7"/>
  <c r="R52" i="7"/>
  <c r="V58" i="7"/>
  <c r="S52" i="7"/>
  <c r="V52" i="7" s="1"/>
  <c r="AB83" i="9"/>
  <c r="Z83" i="9"/>
  <c r="BA13" i="7"/>
  <c r="X25" i="1"/>
  <c r="AB25" i="1" s="1"/>
  <c r="AA25" i="1"/>
  <c r="N27" i="1"/>
  <c r="J60" i="1"/>
  <c r="W63" i="1"/>
  <c r="Z63" i="1" s="1"/>
  <c r="AA75" i="1"/>
  <c r="J80" i="1"/>
  <c r="J98" i="1"/>
  <c r="J100" i="1"/>
  <c r="D37" i="2"/>
  <c r="C37" i="2" s="1"/>
  <c r="U48" i="2"/>
  <c r="J55" i="2"/>
  <c r="AE61" i="2"/>
  <c r="J63" i="2"/>
  <c r="Y29" i="3"/>
  <c r="J33" i="3"/>
  <c r="AC62" i="3"/>
  <c r="D79" i="3"/>
  <c r="M79" i="3" s="1"/>
  <c r="J101" i="3"/>
  <c r="J103" i="3"/>
  <c r="D19" i="4"/>
  <c r="AA19" i="4"/>
  <c r="AG23" i="4"/>
  <c r="AC24" i="4"/>
  <c r="AG41" i="4"/>
  <c r="AG65" i="4"/>
  <c r="J70" i="4"/>
  <c r="D79" i="4"/>
  <c r="M79" i="4" s="1"/>
  <c r="J87" i="4"/>
  <c r="N88" i="4"/>
  <c r="J94" i="4"/>
  <c r="J99" i="4"/>
  <c r="Y32" i="5"/>
  <c r="Y67" i="5"/>
  <c r="Y68" i="5"/>
  <c r="J103" i="5"/>
  <c r="N43" i="6"/>
  <c r="N45" i="6"/>
  <c r="N46" i="6"/>
  <c r="D49" i="6"/>
  <c r="C49" i="6" s="1"/>
  <c r="N62" i="6"/>
  <c r="BU52" i="7"/>
  <c r="BW52" i="7" s="1"/>
  <c r="D14" i="1"/>
  <c r="C14" i="1" s="1"/>
  <c r="K14" i="1" s="1"/>
  <c r="W14" i="1"/>
  <c r="Z14" i="1" s="1"/>
  <c r="W15" i="1"/>
  <c r="D20" i="1"/>
  <c r="C20" i="1" s="1"/>
  <c r="X22" i="1"/>
  <c r="AA22" i="1"/>
  <c r="AQ22" i="1"/>
  <c r="Y25" i="1"/>
  <c r="AQ28" i="1"/>
  <c r="N30" i="1"/>
  <c r="W33" i="1"/>
  <c r="AA36" i="1"/>
  <c r="J39" i="1"/>
  <c r="U42" i="1"/>
  <c r="X44" i="1"/>
  <c r="AB44" i="1" s="1"/>
  <c r="AA44" i="1"/>
  <c r="N48" i="1"/>
  <c r="AA58" i="1"/>
  <c r="X58" i="1"/>
  <c r="AB58" i="1" s="1"/>
  <c r="J61" i="1"/>
  <c r="W69" i="1"/>
  <c r="AA77" i="1"/>
  <c r="AA78" i="1"/>
  <c r="D82" i="1"/>
  <c r="M82" i="1" s="1"/>
  <c r="D85" i="1"/>
  <c r="C85" i="1" s="1"/>
  <c r="K85" i="1" s="1"/>
  <c r="J95" i="1"/>
  <c r="D106" i="1"/>
  <c r="C106" i="1" s="1"/>
  <c r="K106" i="1" s="1"/>
  <c r="D15" i="2"/>
  <c r="C15" i="2" s="1"/>
  <c r="K15" i="2" s="1"/>
  <c r="J18" i="2"/>
  <c r="AE19" i="2"/>
  <c r="D25" i="2"/>
  <c r="C25" i="2" s="1"/>
  <c r="K25" i="2" s="1"/>
  <c r="J25" i="2"/>
  <c r="D26" i="2"/>
  <c r="C26" i="2" s="1"/>
  <c r="K26" i="2" s="1"/>
  <c r="J59" i="2"/>
  <c r="D14" i="3"/>
  <c r="M14" i="3" s="1"/>
  <c r="Y17" i="3"/>
  <c r="U36" i="3"/>
  <c r="J37" i="3"/>
  <c r="AC43" i="3"/>
  <c r="J45" i="3"/>
  <c r="Y51" i="3"/>
  <c r="J60" i="3"/>
  <c r="J70" i="3"/>
  <c r="J78" i="3"/>
  <c r="U81" i="3"/>
  <c r="Z74" i="3"/>
  <c r="O13" i="4"/>
  <c r="AC16" i="4"/>
  <c r="AI23" i="4"/>
  <c r="AL24" i="4"/>
  <c r="AC26" i="4"/>
  <c r="D32" i="4"/>
  <c r="M32" i="4" s="1"/>
  <c r="AI33" i="4"/>
  <c r="AI39" i="4"/>
  <c r="D42" i="4"/>
  <c r="AI43" i="4"/>
  <c r="D44" i="4"/>
  <c r="M44" i="4" s="1"/>
  <c r="AI45" i="4"/>
  <c r="J48" i="4"/>
  <c r="AG51" i="4"/>
  <c r="J54" i="4"/>
  <c r="T74" i="4"/>
  <c r="J81" i="4"/>
  <c r="N82" i="4"/>
  <c r="AI86" i="4"/>
  <c r="D33" i="5"/>
  <c r="J33" i="5"/>
  <c r="Y36" i="5"/>
  <c r="Y37" i="5"/>
  <c r="D46" i="5"/>
  <c r="M46" i="5" s="1"/>
  <c r="J59" i="5"/>
  <c r="J60" i="5"/>
  <c r="Y62" i="5"/>
  <c r="D66" i="5"/>
  <c r="M66" i="5" s="1"/>
  <c r="D69" i="5"/>
  <c r="C69" i="5" s="1"/>
  <c r="K69" i="5" s="1"/>
  <c r="D70" i="5"/>
  <c r="C70" i="5" s="1"/>
  <c r="D96" i="5"/>
  <c r="C96" i="5" s="1"/>
  <c r="K96" i="5" s="1"/>
  <c r="J105" i="5"/>
  <c r="N20" i="6"/>
  <c r="D29" i="6"/>
  <c r="C29" i="6" s="1"/>
  <c r="Y34" i="6"/>
  <c r="Y35" i="6"/>
  <c r="J37" i="6"/>
  <c r="Y39" i="6"/>
  <c r="J41" i="6"/>
  <c r="Y42" i="6"/>
  <c r="Y43" i="6"/>
  <c r="Y44" i="6"/>
  <c r="J58" i="6"/>
  <c r="Y61" i="6"/>
  <c r="AP13" i="7"/>
  <c r="I52" i="7"/>
  <c r="Q52" i="7" s="1"/>
  <c r="V15" i="7"/>
  <c r="S13" i="7"/>
  <c r="V13" i="7" s="1"/>
  <c r="J15" i="1"/>
  <c r="J16" i="1"/>
  <c r="D22" i="1"/>
  <c r="C22" i="1" s="1"/>
  <c r="K22" i="1" s="1"/>
  <c r="D23" i="1"/>
  <c r="M23" i="1" s="1"/>
  <c r="D24" i="1"/>
  <c r="C24" i="1" s="1"/>
  <c r="K24" i="1" s="1"/>
  <c r="D25" i="1"/>
  <c r="C25" i="1" s="1"/>
  <c r="K25" i="1" s="1"/>
  <c r="J26" i="1"/>
  <c r="J28" i="1"/>
  <c r="J29" i="1"/>
  <c r="AQ30" i="1"/>
  <c r="AN31" i="1"/>
  <c r="AQ39" i="1"/>
  <c r="AQ40" i="1"/>
  <c r="AQ45" i="1"/>
  <c r="T52" i="1"/>
  <c r="AA60" i="1"/>
  <c r="J67" i="1"/>
  <c r="J69" i="1"/>
  <c r="AA73" i="1"/>
  <c r="W87" i="1"/>
  <c r="Z87" i="1" s="1"/>
  <c r="D91" i="1"/>
  <c r="C91" i="1" s="1"/>
  <c r="K91" i="1" s="1"/>
  <c r="D93" i="1"/>
  <c r="C93" i="1" s="1"/>
  <c r="K93" i="1" s="1"/>
  <c r="D95" i="1"/>
  <c r="C95" i="1" s="1"/>
  <c r="K95" i="1" s="1"/>
  <c r="J97" i="1"/>
  <c r="J24" i="2"/>
  <c r="Y27" i="2"/>
  <c r="Y33" i="2"/>
  <c r="D49" i="2"/>
  <c r="C49" i="2" s="1"/>
  <c r="Y61" i="2"/>
  <c r="AE64" i="2"/>
  <c r="AB67" i="2"/>
  <c r="J69" i="2"/>
  <c r="J77" i="2"/>
  <c r="J78" i="2"/>
  <c r="Y81" i="2"/>
  <c r="Y86" i="2"/>
  <c r="D87" i="2"/>
  <c r="J92" i="2"/>
  <c r="J94" i="2"/>
  <c r="J96" i="2"/>
  <c r="J17" i="3"/>
  <c r="J23" i="3"/>
  <c r="AC33" i="3"/>
  <c r="J44" i="3"/>
  <c r="AC45" i="3"/>
  <c r="D48" i="3"/>
  <c r="C48" i="3" s="1"/>
  <c r="K48" i="3" s="1"/>
  <c r="J51" i="3"/>
  <c r="J69" i="3"/>
  <c r="Y69" i="3"/>
  <c r="AC71" i="3"/>
  <c r="Y77" i="3"/>
  <c r="Y80" i="3"/>
  <c r="Y81" i="3"/>
  <c r="AC83" i="3"/>
  <c r="AC87" i="3"/>
  <c r="J96" i="3"/>
  <c r="J98" i="3"/>
  <c r="J100" i="3"/>
  <c r="J102" i="3"/>
  <c r="AI15" i="4"/>
  <c r="AI17" i="4"/>
  <c r="AL19" i="4"/>
  <c r="J23" i="4"/>
  <c r="AL26" i="4"/>
  <c r="AA30" i="4"/>
  <c r="AI35" i="4"/>
  <c r="AC36" i="4"/>
  <c r="AG45" i="4"/>
  <c r="AL55" i="4"/>
  <c r="G74" i="4"/>
  <c r="P74" i="4" s="1"/>
  <c r="AF74" i="4"/>
  <c r="D76" i="4"/>
  <c r="D83" i="4"/>
  <c r="M83" i="4" s="1"/>
  <c r="D91" i="4"/>
  <c r="M91" i="4" s="1"/>
  <c r="D105" i="4"/>
  <c r="C105" i="4" s="1"/>
  <c r="K105" i="4" s="1"/>
  <c r="D23" i="5"/>
  <c r="C23" i="5" s="1"/>
  <c r="D26" i="5"/>
  <c r="M26" i="5" s="1"/>
  <c r="D34" i="5"/>
  <c r="M34" i="5" s="1"/>
  <c r="J39" i="5"/>
  <c r="Y42" i="5"/>
  <c r="D48" i="5"/>
  <c r="C48" i="5" s="1"/>
  <c r="K48" i="5" s="1"/>
  <c r="D51" i="5"/>
  <c r="M51" i="5" s="1"/>
  <c r="D59" i="5"/>
  <c r="J62" i="5"/>
  <c r="D72" i="5"/>
  <c r="M72" i="5" s="1"/>
  <c r="Y76" i="5"/>
  <c r="J102" i="5"/>
  <c r="Y19" i="6"/>
  <c r="D34" i="6"/>
  <c r="C34" i="6" s="1"/>
  <c r="D36" i="6"/>
  <c r="C36" i="6" s="1"/>
  <c r="D41" i="6"/>
  <c r="C41" i="6" s="1"/>
  <c r="D42" i="6"/>
  <c r="C42" i="6" s="1"/>
  <c r="J43" i="6"/>
  <c r="J44" i="6"/>
  <c r="O52" i="7"/>
  <c r="AX52" i="7"/>
  <c r="D87" i="6"/>
  <c r="M87" i="6" s="1"/>
  <c r="D90" i="6"/>
  <c r="C90" i="6" s="1"/>
  <c r="Z13" i="7"/>
  <c r="AG13" i="7"/>
  <c r="AX13" i="7"/>
  <c r="AB17" i="7"/>
  <c r="AK17" i="7"/>
  <c r="AD13" i="7"/>
  <c r="AL13" i="7"/>
  <c r="AB21" i="7"/>
  <c r="AK21" i="7"/>
  <c r="U22" i="7"/>
  <c r="AH23" i="7"/>
  <c r="BH23" i="7"/>
  <c r="BQ23" i="7"/>
  <c r="BQ24" i="7"/>
  <c r="AH29" i="7"/>
  <c r="D38" i="7"/>
  <c r="C38" i="7" s="1"/>
  <c r="BH38" i="7"/>
  <c r="D40" i="7"/>
  <c r="C40" i="7" s="1"/>
  <c r="D42" i="7"/>
  <c r="M42" i="7" s="1"/>
  <c r="J43" i="7"/>
  <c r="AQ43" i="7"/>
  <c r="AH45" i="7"/>
  <c r="D46" i="7"/>
  <c r="M46" i="7" s="1"/>
  <c r="AH46" i="7"/>
  <c r="D47" i="7"/>
  <c r="M47" i="7" s="1"/>
  <c r="D48" i="7"/>
  <c r="C48" i="7" s="1"/>
  <c r="AK49" i="7"/>
  <c r="BK49" i="7"/>
  <c r="AH54" i="7"/>
  <c r="U56" i="7"/>
  <c r="AK56" i="7"/>
  <c r="U62" i="7"/>
  <c r="AK62" i="7"/>
  <c r="AH66" i="7"/>
  <c r="AH72" i="7"/>
  <c r="AH75" i="7"/>
  <c r="BG74" i="7"/>
  <c r="AB76" i="7"/>
  <c r="AB77" i="7"/>
  <c r="AH78" i="7"/>
  <c r="N86" i="7"/>
  <c r="J102" i="7"/>
  <c r="U23" i="8"/>
  <c r="Y32" i="8"/>
  <c r="Y44" i="8"/>
  <c r="Y45" i="8"/>
  <c r="U49" i="8"/>
  <c r="D62" i="8"/>
  <c r="C62" i="8" s="1"/>
  <c r="K62" i="8" s="1"/>
  <c r="D63" i="8"/>
  <c r="J66" i="8"/>
  <c r="J72" i="8"/>
  <c r="D98" i="8"/>
  <c r="C98" i="8" s="1"/>
  <c r="K98" i="8" s="1"/>
  <c r="T22" i="9"/>
  <c r="Z22" i="9"/>
  <c r="J25" i="9"/>
  <c r="J28" i="9"/>
  <c r="Y13" i="9"/>
  <c r="AB73" i="9"/>
  <c r="D85" i="9"/>
  <c r="C85" i="9" s="1"/>
  <c r="K85" i="9" s="1"/>
  <c r="D106" i="9"/>
  <c r="C106" i="9" s="1"/>
  <c r="K106" i="9" s="1"/>
  <c r="P106" i="9"/>
  <c r="U14" i="10"/>
  <c r="U18" i="10"/>
  <c r="AI21" i="10"/>
  <c r="Z30" i="10"/>
  <c r="U33" i="10"/>
  <c r="AF33" i="10"/>
  <c r="N40" i="10"/>
  <c r="U54" i="10"/>
  <c r="J56" i="10"/>
  <c r="U80" i="10"/>
  <c r="AC82" i="10"/>
  <c r="U86" i="10"/>
  <c r="D87" i="10"/>
  <c r="M87" i="10" s="1"/>
  <c r="D73" i="6"/>
  <c r="C73" i="6" s="1"/>
  <c r="Y75" i="6"/>
  <c r="H13" i="7"/>
  <c r="CM13" i="7"/>
  <c r="AN15" i="7"/>
  <c r="Y18" i="7"/>
  <c r="BD13" i="7"/>
  <c r="Y27" i="7"/>
  <c r="AN27" i="7"/>
  <c r="BK28" i="7"/>
  <c r="AB29" i="7"/>
  <c r="AK29" i="7"/>
  <c r="Y30" i="7"/>
  <c r="J32" i="7"/>
  <c r="AB46" i="7"/>
  <c r="BT48" i="7"/>
  <c r="Y51" i="7"/>
  <c r="AH53" i="7"/>
  <c r="U55" i="7"/>
  <c r="AK55" i="7"/>
  <c r="AH59" i="7"/>
  <c r="AK61" i="7"/>
  <c r="N78" i="7"/>
  <c r="AK78" i="7"/>
  <c r="U80" i="7"/>
  <c r="N84" i="7"/>
  <c r="AV86" i="7"/>
  <c r="J17" i="8"/>
  <c r="D27" i="8"/>
  <c r="D32" i="8"/>
  <c r="C32" i="8" s="1"/>
  <c r="K32" i="8" s="1"/>
  <c r="J33" i="8"/>
  <c r="D36" i="8"/>
  <c r="M36" i="8" s="1"/>
  <c r="J38" i="8"/>
  <c r="J42" i="8"/>
  <c r="J68" i="8"/>
  <c r="J95" i="8"/>
  <c r="AB28" i="9"/>
  <c r="J44" i="9"/>
  <c r="J60" i="9"/>
  <c r="J72" i="9"/>
  <c r="J86" i="9"/>
  <c r="J91" i="9"/>
  <c r="P105" i="9"/>
  <c r="P89" i="9" s="1"/>
  <c r="J21" i="10"/>
  <c r="D30" i="10"/>
  <c r="M30" i="10" s="1"/>
  <c r="J35" i="10"/>
  <c r="D96" i="10"/>
  <c r="J98" i="10"/>
  <c r="BO13" i="17"/>
  <c r="D76" i="6"/>
  <c r="C76" i="6" s="1"/>
  <c r="K76" i="6" s="1"/>
  <c r="J93" i="6"/>
  <c r="BV13" i="7"/>
  <c r="BK16" i="7"/>
  <c r="AB25" i="7"/>
  <c r="D33" i="7"/>
  <c r="M33" i="7" s="1"/>
  <c r="AB33" i="7"/>
  <c r="AB34" i="7"/>
  <c r="BY31" i="7"/>
  <c r="AN37" i="7"/>
  <c r="N38" i="7"/>
  <c r="U41" i="7"/>
  <c r="N45" i="7"/>
  <c r="BK47" i="7"/>
  <c r="Y50" i="7"/>
  <c r="AH51" i="7"/>
  <c r="U54" i="7"/>
  <c r="AK54" i="7"/>
  <c r="AH64" i="7"/>
  <c r="U66" i="7"/>
  <c r="AK66" i="7"/>
  <c r="N76" i="7"/>
  <c r="BN84" i="7"/>
  <c r="BN86" i="7"/>
  <c r="J93" i="7"/>
  <c r="D18" i="8"/>
  <c r="J94" i="8"/>
  <c r="D15" i="9"/>
  <c r="C15" i="9" s="1"/>
  <c r="N19" i="9"/>
  <c r="N22" i="9"/>
  <c r="AI22" i="10"/>
  <c r="AI33" i="10"/>
  <c r="AF42" i="10"/>
  <c r="AI66" i="10"/>
  <c r="AF67" i="10"/>
  <c r="AI86" i="10"/>
  <c r="O13" i="11"/>
  <c r="Y84" i="6"/>
  <c r="J100" i="6"/>
  <c r="X13" i="7"/>
  <c r="AF13" i="7"/>
  <c r="BS13" i="7"/>
  <c r="U19" i="7"/>
  <c r="AH19" i="7"/>
  <c r="Y20" i="7"/>
  <c r="Y21" i="7"/>
  <c r="BN22" i="7"/>
  <c r="BQ27" i="7"/>
  <c r="BN38" i="7"/>
  <c r="AN39" i="7"/>
  <c r="N42" i="7"/>
  <c r="N43" i="7"/>
  <c r="Y49" i="7"/>
  <c r="AH50" i="7"/>
  <c r="AK53" i="7"/>
  <c r="AH57" i="7"/>
  <c r="U65" i="7"/>
  <c r="AH69" i="7"/>
  <c r="AN75" i="7"/>
  <c r="AN78" i="7"/>
  <c r="BN82" i="7"/>
  <c r="BH86" i="7"/>
  <c r="U18" i="8"/>
  <c r="U39" i="8"/>
  <c r="U40" i="8"/>
  <c r="U41" i="8"/>
  <c r="U42" i="8"/>
  <c r="D49" i="8"/>
  <c r="M49" i="8" s="1"/>
  <c r="D50" i="8"/>
  <c r="C50" i="8" s="1"/>
  <c r="K50" i="8" s="1"/>
  <c r="U62" i="8"/>
  <c r="N14" i="9"/>
  <c r="D18" i="9"/>
  <c r="M18" i="9" s="1"/>
  <c r="D21" i="9"/>
  <c r="N28" i="9"/>
  <c r="AB34" i="9"/>
  <c r="D58" i="9"/>
  <c r="C58" i="9" s="1"/>
  <c r="K58" i="9" s="1"/>
  <c r="D60" i="9"/>
  <c r="C60" i="9" s="1"/>
  <c r="K60" i="9" s="1"/>
  <c r="J61" i="9"/>
  <c r="D72" i="9"/>
  <c r="Z80" i="9"/>
  <c r="D21" i="10"/>
  <c r="C21" i="10" s="1"/>
  <c r="K21" i="10" s="1"/>
  <c r="U35" i="10"/>
  <c r="N38" i="10"/>
  <c r="N46" i="10"/>
  <c r="U50" i="10"/>
  <c r="U68" i="10"/>
  <c r="U87" i="10"/>
  <c r="D91" i="10"/>
  <c r="M91" i="10" s="1"/>
  <c r="J97" i="10"/>
  <c r="N101" i="10"/>
  <c r="BV13" i="17"/>
  <c r="J64" i="6"/>
  <c r="Y66" i="6"/>
  <c r="J70" i="6"/>
  <c r="J71" i="6"/>
  <c r="D80" i="6"/>
  <c r="D84" i="6"/>
  <c r="M84" i="6" s="1"/>
  <c r="J86" i="6"/>
  <c r="J90" i="6"/>
  <c r="J92" i="6"/>
  <c r="D104" i="6"/>
  <c r="C104" i="6" s="1"/>
  <c r="J106" i="6"/>
  <c r="R13" i="7"/>
  <c r="BQ15" i="7"/>
  <c r="BQ20" i="7"/>
  <c r="Y23" i="7"/>
  <c r="BE23" i="7"/>
  <c r="BN24" i="7"/>
  <c r="BK26" i="7"/>
  <c r="AK27" i="7"/>
  <c r="Y29" i="7"/>
  <c r="BE29" i="7"/>
  <c r="AN35" i="7"/>
  <c r="AV35" i="7"/>
  <c r="BE35" i="7"/>
  <c r="G31" i="7"/>
  <c r="P31" i="7" s="1"/>
  <c r="AB36" i="7"/>
  <c r="D37" i="7"/>
  <c r="C37" i="7" s="1"/>
  <c r="AH37" i="7"/>
  <c r="BM31" i="7"/>
  <c r="Y40" i="7"/>
  <c r="BE41" i="7"/>
  <c r="BN41" i="7"/>
  <c r="Y42" i="7"/>
  <c r="J44" i="7"/>
  <c r="BN45" i="7"/>
  <c r="CF45" i="7"/>
  <c r="Y48" i="7"/>
  <c r="AH49" i="7"/>
  <c r="AK51" i="7"/>
  <c r="BB51" i="7"/>
  <c r="BK51" i="7"/>
  <c r="BT51" i="7"/>
  <c r="CC51" i="7"/>
  <c r="CL51" i="7"/>
  <c r="W52" i="7"/>
  <c r="AE52" i="7"/>
  <c r="AM52" i="7"/>
  <c r="AU52" i="7"/>
  <c r="BD52" i="7"/>
  <c r="BM52" i="7"/>
  <c r="BV52" i="7"/>
  <c r="CE52" i="7"/>
  <c r="CN52" i="7"/>
  <c r="L52" i="7"/>
  <c r="AH56" i="7"/>
  <c r="AA52" i="7"/>
  <c r="AK58" i="7"/>
  <c r="AZ52" i="7"/>
  <c r="BR52" i="7"/>
  <c r="AH62" i="7"/>
  <c r="AK64" i="7"/>
  <c r="AH68" i="7"/>
  <c r="AK70" i="7"/>
  <c r="AQ76" i="7"/>
  <c r="AY76" i="7"/>
  <c r="BH76" i="7"/>
  <c r="BQ76" i="7"/>
  <c r="D77" i="7"/>
  <c r="M77" i="7" s="1"/>
  <c r="D83" i="7"/>
  <c r="M83" i="7" s="1"/>
  <c r="D84" i="7"/>
  <c r="M84" i="7" s="1"/>
  <c r="D105" i="7"/>
  <c r="C105" i="7" s="1"/>
  <c r="K105" i="7" s="1"/>
  <c r="J23" i="8"/>
  <c r="Y24" i="8"/>
  <c r="D54" i="8"/>
  <c r="M54" i="8" s="1"/>
  <c r="Y56" i="8"/>
  <c r="Y61" i="8"/>
  <c r="Y63" i="8"/>
  <c r="Y64" i="8"/>
  <c r="D82" i="8"/>
  <c r="C82" i="8" s="1"/>
  <c r="K82" i="8" s="1"/>
  <c r="D84" i="8"/>
  <c r="M84" i="8" s="1"/>
  <c r="D94" i="8"/>
  <c r="M94" i="8" s="1"/>
  <c r="D96" i="8"/>
  <c r="C96" i="8" s="1"/>
  <c r="K96" i="8" s="1"/>
  <c r="D101" i="8"/>
  <c r="W17" i="9"/>
  <c r="Z19" i="9"/>
  <c r="T21" i="9"/>
  <c r="J22" i="9"/>
  <c r="D24" i="9"/>
  <c r="M24" i="9" s="1"/>
  <c r="N32" i="9"/>
  <c r="D33" i="9"/>
  <c r="M33" i="9" s="1"/>
  <c r="D40" i="9"/>
  <c r="M40" i="9" s="1"/>
  <c r="D45" i="9"/>
  <c r="M45" i="9" s="1"/>
  <c r="AB55" i="9"/>
  <c r="J59" i="9"/>
  <c r="J71" i="9"/>
  <c r="J73" i="9"/>
  <c r="Z77" i="9"/>
  <c r="J80" i="9"/>
  <c r="D101" i="9"/>
  <c r="M101" i="9" s="1"/>
  <c r="J105" i="9"/>
  <c r="Z14" i="10"/>
  <c r="D17" i="10"/>
  <c r="C17" i="10" s="1"/>
  <c r="AF21" i="10"/>
  <c r="D22" i="10"/>
  <c r="M22" i="10" s="1"/>
  <c r="Z22" i="10"/>
  <c r="AF26" i="10"/>
  <c r="D27" i="10"/>
  <c r="U30" i="10"/>
  <c r="AI30" i="10"/>
  <c r="Z32" i="10"/>
  <c r="AC33" i="10"/>
  <c r="AI42" i="10"/>
  <c r="D48" i="10"/>
  <c r="M48" i="10" s="1"/>
  <c r="AI59" i="10"/>
  <c r="AI67" i="10"/>
  <c r="J86" i="10"/>
  <c r="AC86" i="10"/>
  <c r="J99" i="10"/>
  <c r="S13" i="11"/>
  <c r="J15" i="11"/>
  <c r="J17" i="11"/>
  <c r="J19" i="11"/>
  <c r="J21" i="11"/>
  <c r="J23" i="11"/>
  <c r="J25" i="11"/>
  <c r="J27" i="11"/>
  <c r="J29" i="11"/>
  <c r="F74" i="11"/>
  <c r="J81" i="11"/>
  <c r="J88" i="11"/>
  <c r="J24" i="12"/>
  <c r="T33" i="12"/>
  <c r="J35" i="12"/>
  <c r="T42" i="12"/>
  <c r="W55" i="12"/>
  <c r="J56" i="12"/>
  <c r="T57" i="12"/>
  <c r="W59" i="12"/>
  <c r="D60" i="12"/>
  <c r="C60" i="12" s="1"/>
  <c r="N62" i="12"/>
  <c r="T64" i="12"/>
  <c r="D67" i="12"/>
  <c r="C67" i="12" s="1"/>
  <c r="J81" i="12"/>
  <c r="W83" i="12"/>
  <c r="D102" i="12"/>
  <c r="C102" i="12" s="1"/>
  <c r="K102" i="12" s="1"/>
  <c r="J102" i="12"/>
  <c r="J106" i="12"/>
  <c r="AB13" i="13"/>
  <c r="J15" i="13"/>
  <c r="N21" i="13"/>
  <c r="D55" i="13"/>
  <c r="M55" i="13" s="1"/>
  <c r="J55" i="13"/>
  <c r="N57" i="13"/>
  <c r="N69" i="13"/>
  <c r="N72" i="13"/>
  <c r="J73" i="13"/>
  <c r="AC79" i="13"/>
  <c r="AC88" i="13"/>
  <c r="N90" i="13"/>
  <c r="D99" i="13"/>
  <c r="C99" i="13" s="1"/>
  <c r="U35" i="14"/>
  <c r="W73" i="14"/>
  <c r="Y73" i="14" s="1"/>
  <c r="U85" i="14"/>
  <c r="AA52" i="15"/>
  <c r="Y69" i="15"/>
  <c r="AK17" i="16"/>
  <c r="U24" i="16"/>
  <c r="U27" i="16"/>
  <c r="AK29" i="16"/>
  <c r="AG29" i="16"/>
  <c r="U37" i="16"/>
  <c r="AE37" i="16"/>
  <c r="U41" i="16"/>
  <c r="AD52" i="16"/>
  <c r="U57" i="16"/>
  <c r="U58" i="16"/>
  <c r="U60" i="16"/>
  <c r="AE66" i="16"/>
  <c r="AM69" i="16"/>
  <c r="U72" i="16"/>
  <c r="U81" i="16"/>
  <c r="AN74" i="16"/>
  <c r="X13" i="17"/>
  <c r="U23" i="17"/>
  <c r="BG23" i="17"/>
  <c r="BE38" i="17"/>
  <c r="J73" i="11"/>
  <c r="J94" i="11"/>
  <c r="T45" i="12"/>
  <c r="W46" i="12"/>
  <c r="J47" i="12"/>
  <c r="D51" i="12"/>
  <c r="C51" i="12" s="1"/>
  <c r="D69" i="12"/>
  <c r="M69" i="12" s="1"/>
  <c r="D18" i="13"/>
  <c r="M18" i="13" s="1"/>
  <c r="Y21" i="13"/>
  <c r="U43" i="13"/>
  <c r="Y45" i="13"/>
  <c r="N47" i="13"/>
  <c r="Y63" i="13"/>
  <c r="D73" i="13"/>
  <c r="C73" i="13" s="1"/>
  <c r="J78" i="13"/>
  <c r="Y80" i="13"/>
  <c r="U22" i="14"/>
  <c r="AD30" i="14"/>
  <c r="W42" i="14"/>
  <c r="Y42" i="14" s="1"/>
  <c r="W43" i="14"/>
  <c r="Y43" i="14" s="1"/>
  <c r="U75" i="14"/>
  <c r="Y32" i="15"/>
  <c r="AB23" i="16"/>
  <c r="AG43" i="16"/>
  <c r="AI61" i="16"/>
  <c r="AI73" i="16"/>
  <c r="U87" i="16"/>
  <c r="BF13" i="17"/>
  <c r="BS13" i="17"/>
  <c r="J80" i="11"/>
  <c r="J90" i="11"/>
  <c r="J96" i="11"/>
  <c r="W71" i="12"/>
  <c r="T73" i="12"/>
  <c r="W75" i="12"/>
  <c r="D83" i="12"/>
  <c r="C83" i="12" s="1"/>
  <c r="D87" i="12"/>
  <c r="M87" i="12" s="1"/>
  <c r="D98" i="12"/>
  <c r="M98" i="12" s="1"/>
  <c r="N29" i="13"/>
  <c r="D44" i="13"/>
  <c r="M44" i="13" s="1"/>
  <c r="Y47" i="13"/>
  <c r="J48" i="13"/>
  <c r="D54" i="13"/>
  <c r="M54" i="13" s="1"/>
  <c r="N92" i="13"/>
  <c r="W17" i="14"/>
  <c r="Y17" i="14" s="1"/>
  <c r="W19" i="14"/>
  <c r="Y19" i="14" s="1"/>
  <c r="W58" i="14"/>
  <c r="Y58" i="14" s="1"/>
  <c r="W72" i="14"/>
  <c r="Y72" i="14" s="1"/>
  <c r="W78" i="14"/>
  <c r="Y78" i="14" s="1"/>
  <c r="N88" i="11"/>
  <c r="D22" i="12"/>
  <c r="T41" i="12"/>
  <c r="N60" i="12"/>
  <c r="T69" i="12"/>
  <c r="N81" i="12"/>
  <c r="N84" i="12"/>
  <c r="J21" i="13"/>
  <c r="J25" i="13"/>
  <c r="U27" i="13"/>
  <c r="D34" i="13"/>
  <c r="M34" i="13" s="1"/>
  <c r="N42" i="13"/>
  <c r="N43" i="13"/>
  <c r="N46" i="13"/>
  <c r="U54" i="13"/>
  <c r="AC58" i="13"/>
  <c r="N85" i="13"/>
  <c r="D86" i="13"/>
  <c r="M86" i="13" s="1"/>
  <c r="U38" i="14"/>
  <c r="W40" i="14"/>
  <c r="Y40" i="14" s="1"/>
  <c r="W45" i="14"/>
  <c r="Y45" i="14" s="1"/>
  <c r="W46" i="14"/>
  <c r="Y46" i="14" s="1"/>
  <c r="W51" i="14"/>
  <c r="Y51" i="14" s="1"/>
  <c r="W54" i="14"/>
  <c r="Y54" i="14" s="1"/>
  <c r="W55" i="14"/>
  <c r="Y55" i="14" s="1"/>
  <c r="AG17" i="16"/>
  <c r="AM29" i="16"/>
  <c r="AM30" i="16"/>
  <c r="AE33" i="16"/>
  <c r="U44" i="16"/>
  <c r="AM46" i="16"/>
  <c r="U55" i="16"/>
  <c r="U59" i="16"/>
  <c r="U62" i="16"/>
  <c r="AB62" i="16"/>
  <c r="U83" i="16"/>
  <c r="AE85" i="16"/>
  <c r="BA14" i="17"/>
  <c r="BA21" i="17"/>
  <c r="BT30" i="17"/>
  <c r="T32" i="11"/>
  <c r="T36" i="11"/>
  <c r="J55" i="11"/>
  <c r="D60" i="11"/>
  <c r="M60" i="11" s="1"/>
  <c r="T76" i="11"/>
  <c r="J84" i="11"/>
  <c r="D91" i="11"/>
  <c r="M91" i="11" s="1"/>
  <c r="D97" i="11"/>
  <c r="M97" i="11" s="1"/>
  <c r="D14" i="12"/>
  <c r="C14" i="12" s="1"/>
  <c r="T18" i="12"/>
  <c r="D20" i="12"/>
  <c r="C20" i="12" s="1"/>
  <c r="N23" i="12"/>
  <c r="T27" i="12"/>
  <c r="D37" i="12"/>
  <c r="C37" i="12" s="1"/>
  <c r="T37" i="12"/>
  <c r="N41" i="12"/>
  <c r="N51" i="12"/>
  <c r="J54" i="12"/>
  <c r="T55" i="12"/>
  <c r="N63" i="12"/>
  <c r="W66" i="12"/>
  <c r="J71" i="12"/>
  <c r="W73" i="12"/>
  <c r="J78" i="12"/>
  <c r="W84" i="12"/>
  <c r="J85" i="12"/>
  <c r="J104" i="12"/>
  <c r="N15" i="13"/>
  <c r="U17" i="13"/>
  <c r="N18" i="13"/>
  <c r="U22" i="13"/>
  <c r="AC22" i="13"/>
  <c r="J24" i="13"/>
  <c r="D29" i="13"/>
  <c r="M29" i="13" s="1"/>
  <c r="AC29" i="13"/>
  <c r="J32" i="13"/>
  <c r="J36" i="13"/>
  <c r="D37" i="13"/>
  <c r="U37" i="13"/>
  <c r="N38" i="13"/>
  <c r="J43" i="13"/>
  <c r="AC44" i="13"/>
  <c r="J47" i="13"/>
  <c r="U49" i="13"/>
  <c r="N58" i="13"/>
  <c r="J62" i="13"/>
  <c r="N64" i="13"/>
  <c r="AC78" i="13"/>
  <c r="D91" i="13"/>
  <c r="M91" i="13" s="1"/>
  <c r="J92" i="13"/>
  <c r="D97" i="13"/>
  <c r="M97" i="13" s="1"/>
  <c r="U67" i="14"/>
  <c r="U72" i="14"/>
  <c r="AI35" i="16"/>
  <c r="AM43" i="16"/>
  <c r="AG46" i="16"/>
  <c r="AG53" i="16"/>
  <c r="AB16" i="17"/>
  <c r="BA24" i="17"/>
  <c r="BE27" i="17"/>
  <c r="BJ31" i="17"/>
  <c r="AE51" i="20"/>
  <c r="U46" i="17"/>
  <c r="AN59" i="17"/>
  <c r="AN73" i="17"/>
  <c r="BH74" i="17"/>
  <c r="BN74" i="17"/>
  <c r="AQ74" i="17"/>
  <c r="BZ74" i="17"/>
  <c r="AP31" i="18"/>
  <c r="AE31" i="18"/>
  <c r="AG34" i="18"/>
  <c r="AS36" i="18"/>
  <c r="AG37" i="18"/>
  <c r="AO37" i="18"/>
  <c r="AG42" i="18"/>
  <c r="AK64" i="18"/>
  <c r="AS67" i="18"/>
  <c r="AK69" i="18"/>
  <c r="AS69" i="18"/>
  <c r="AG70" i="18"/>
  <c r="U77" i="18"/>
  <c r="AG78" i="18"/>
  <c r="AW17" i="19"/>
  <c r="BA21" i="19"/>
  <c r="AE22" i="19"/>
  <c r="AT24" i="19"/>
  <c r="AW25" i="19"/>
  <c r="BA34" i="19"/>
  <c r="Z37" i="19"/>
  <c r="AI37" i="19"/>
  <c r="BA37" i="19"/>
  <c r="Z38" i="19"/>
  <c r="BA40" i="19"/>
  <c r="AL43" i="19"/>
  <c r="AB44" i="19"/>
  <c r="Z45" i="19"/>
  <c r="AB47" i="19"/>
  <c r="AT47" i="19"/>
  <c r="AT54" i="19"/>
  <c r="AB55" i="19"/>
  <c r="AI55" i="19"/>
  <c r="BA57" i="19"/>
  <c r="AP58" i="19"/>
  <c r="AL65" i="19"/>
  <c r="AW68" i="19"/>
  <c r="U76" i="19"/>
  <c r="AL76" i="19"/>
  <c r="Z77" i="19"/>
  <c r="Z79" i="19"/>
  <c r="AW80" i="19"/>
  <c r="AW83" i="19"/>
  <c r="AL84" i="19"/>
  <c r="Z85" i="19"/>
  <c r="AP85" i="19"/>
  <c r="AT86" i="19"/>
  <c r="AB15" i="20"/>
  <c r="AB16" i="20"/>
  <c r="AK16" i="20"/>
  <c r="AB20" i="20"/>
  <c r="AK20" i="20"/>
  <c r="AI24" i="20"/>
  <c r="AI26" i="20"/>
  <c r="AB37" i="20"/>
  <c r="U46" i="20"/>
  <c r="AI48" i="20"/>
  <c r="U53" i="20"/>
  <c r="AJ52" i="20"/>
  <c r="U55" i="20"/>
  <c r="AB63" i="20"/>
  <c r="AI63" i="20"/>
  <c r="AI68" i="20"/>
  <c r="U73" i="20"/>
  <c r="AB81" i="20"/>
  <c r="AE85" i="20"/>
  <c r="AM52" i="17"/>
  <c r="AW52" i="17"/>
  <c r="BA52" i="17" s="1"/>
  <c r="BE65" i="17"/>
  <c r="BA81" i="17"/>
  <c r="AC19" i="18"/>
  <c r="AO20" i="18"/>
  <c r="AS38" i="18"/>
  <c r="U50" i="18"/>
  <c r="U57" i="18"/>
  <c r="U69" i="18"/>
  <c r="AM74" i="18"/>
  <c r="AP74" i="18"/>
  <c r="AB74" i="18"/>
  <c r="AJ74" i="18"/>
  <c r="AP14" i="19"/>
  <c r="BA18" i="19"/>
  <c r="Z20" i="19"/>
  <c r="AE24" i="19"/>
  <c r="Z25" i="19"/>
  <c r="AI35" i="19"/>
  <c r="AT37" i="19"/>
  <c r="AI38" i="19"/>
  <c r="AL40" i="19"/>
  <c r="AB51" i="19"/>
  <c r="AK25" i="20"/>
  <c r="AI43" i="20"/>
  <c r="AE80" i="20"/>
  <c r="BA45" i="17"/>
  <c r="BA46" i="17"/>
  <c r="AB59" i="17"/>
  <c r="BA60" i="17"/>
  <c r="BA70" i="17"/>
  <c r="BA78" i="17"/>
  <c r="U53" i="18"/>
  <c r="AN74" i="18"/>
  <c r="AA74" i="18"/>
  <c r="AI74" i="18"/>
  <c r="AG84" i="18"/>
  <c r="AE74" i="18"/>
  <c r="AW28" i="19"/>
  <c r="U41" i="19"/>
  <c r="AB42" i="19"/>
  <c r="AB46" i="19"/>
  <c r="AT53" i="19"/>
  <c r="AW54" i="19"/>
  <c r="U55" i="19"/>
  <c r="U63" i="19"/>
  <c r="AP68" i="19"/>
  <c r="AP80" i="19"/>
  <c r="AB83" i="19"/>
  <c r="AI87" i="19"/>
  <c r="AK14" i="20"/>
  <c r="AE23" i="20"/>
  <c r="AB30" i="20"/>
  <c r="AK35" i="20"/>
  <c r="U43" i="20"/>
  <c r="AK56" i="20"/>
  <c r="AK70" i="20"/>
  <c r="AI88" i="20"/>
  <c r="U53" i="17"/>
  <c r="BG53" i="17"/>
  <c r="BG55" i="17"/>
  <c r="U28" i="18"/>
  <c r="AG36" i="18"/>
  <c r="U42" i="18"/>
  <c r="AG43" i="18"/>
  <c r="AO43" i="18"/>
  <c r="U63" i="18"/>
  <c r="AS66" i="18"/>
  <c r="AG68" i="18"/>
  <c r="AI17" i="19"/>
  <c r="AL18" i="19"/>
  <c r="AT27" i="19"/>
  <c r="AI28" i="19"/>
  <c r="AT35" i="19"/>
  <c r="AI36" i="19"/>
  <c r="AT41" i="19"/>
  <c r="Z43" i="19"/>
  <c r="AE44" i="19"/>
  <c r="AL44" i="19"/>
  <c r="U45" i="19"/>
  <c r="AL45" i="19"/>
  <c r="AE48" i="19"/>
  <c r="AB50" i="19"/>
  <c r="AW53" i="19"/>
  <c r="BA58" i="19"/>
  <c r="Z62" i="19"/>
  <c r="AL67" i="19"/>
  <c r="AI68" i="19"/>
  <c r="AB69" i="19"/>
  <c r="AI69" i="19"/>
  <c r="Z70" i="19"/>
  <c r="AE72" i="19"/>
  <c r="AL75" i="19"/>
  <c r="AL77" i="19"/>
  <c r="AT77" i="19"/>
  <c r="BA79" i="19"/>
  <c r="AT87" i="19"/>
  <c r="AB88" i="19"/>
  <c r="AI16" i="20"/>
  <c r="AK18" i="20"/>
  <c r="U21" i="20"/>
  <c r="AI23" i="20"/>
  <c r="AB41" i="20"/>
  <c r="AE42" i="20"/>
  <c r="U44" i="20"/>
  <c r="AI45" i="20"/>
  <c r="AK49" i="20"/>
  <c r="AI50" i="20"/>
  <c r="AI56" i="20"/>
  <c r="AB59" i="20"/>
  <c r="U61" i="20"/>
  <c r="AB66" i="20"/>
  <c r="AE73" i="20"/>
  <c r="U76" i="20"/>
  <c r="AK76" i="20"/>
  <c r="BE47" i="17"/>
  <c r="BA55" i="17"/>
  <c r="AN60" i="17"/>
  <c r="BT68" i="17"/>
  <c r="AK26" i="18"/>
  <c r="AO32" i="18"/>
  <c r="AS37" i="18"/>
  <c r="AG38" i="18"/>
  <c r="AO38" i="18"/>
  <c r="AG47" i="18"/>
  <c r="AC48" i="18"/>
  <c r="AS48" i="18"/>
  <c r="AG56" i="18"/>
  <c r="AS58" i="18"/>
  <c r="AG63" i="18"/>
  <c r="U82" i="18"/>
  <c r="AB17" i="19"/>
  <c r="U19" i="19"/>
  <c r="AL19" i="19"/>
  <c r="AT19" i="19"/>
  <c r="BA36" i="19"/>
  <c r="AP40" i="19"/>
  <c r="AI43" i="19"/>
  <c r="AW44" i="19"/>
  <c r="AE45" i="19"/>
  <c r="AT49" i="19"/>
  <c r="BA50" i="19"/>
  <c r="AI62" i="19"/>
  <c r="AE67" i="19"/>
  <c r="AW72" i="19"/>
  <c r="AT80" i="19"/>
  <c r="BA81" i="19"/>
  <c r="AE87" i="19"/>
  <c r="BA88" i="19"/>
  <c r="AE21" i="20"/>
  <c r="AE32" i="20"/>
  <c r="AB49" i="20"/>
  <c r="E13" i="4"/>
  <c r="AK57" i="18"/>
  <c r="AI52" i="18"/>
  <c r="AA19" i="1"/>
  <c r="U20" i="1"/>
  <c r="J25" i="1"/>
  <c r="AQ26" i="1"/>
  <c r="W27" i="1"/>
  <c r="AE31" i="1"/>
  <c r="AK31" i="1"/>
  <c r="AQ33" i="1"/>
  <c r="Y41" i="1"/>
  <c r="AQ41" i="1"/>
  <c r="AQ42" i="1"/>
  <c r="J45" i="1"/>
  <c r="J56" i="1"/>
  <c r="X60" i="1"/>
  <c r="AB60" i="1" s="1"/>
  <c r="D63" i="1"/>
  <c r="M63" i="1" s="1"/>
  <c r="X64" i="1"/>
  <c r="J65" i="1"/>
  <c r="D69" i="1"/>
  <c r="M69" i="1" s="1"/>
  <c r="E74" i="1"/>
  <c r="J85" i="1"/>
  <c r="X85" i="1"/>
  <c r="AB85" i="1" s="1"/>
  <c r="J90" i="1"/>
  <c r="Y23" i="2"/>
  <c r="D24" i="2"/>
  <c r="C24" i="2" s="1"/>
  <c r="K24" i="2" s="1"/>
  <c r="U27" i="2"/>
  <c r="AE28" i="2"/>
  <c r="D30" i="2"/>
  <c r="C30" i="2" s="1"/>
  <c r="K30" i="2" s="1"/>
  <c r="D34" i="2"/>
  <c r="C34" i="2" s="1"/>
  <c r="K34" i="2" s="1"/>
  <c r="U38" i="2"/>
  <c r="N39" i="2"/>
  <c r="J40" i="2"/>
  <c r="D44" i="2"/>
  <c r="C44" i="2" s="1"/>
  <c r="K44" i="2" s="1"/>
  <c r="D48" i="2"/>
  <c r="C48" i="2" s="1"/>
  <c r="K48" i="2" s="1"/>
  <c r="AB53" i="2"/>
  <c r="AE55" i="2"/>
  <c r="J57" i="2"/>
  <c r="Y57" i="2"/>
  <c r="J58" i="2"/>
  <c r="AB65" i="2"/>
  <c r="Y68" i="2"/>
  <c r="D69" i="2"/>
  <c r="D72" i="2"/>
  <c r="C72" i="2" s="1"/>
  <c r="K72" i="2" s="1"/>
  <c r="AE77" i="2"/>
  <c r="D98" i="2"/>
  <c r="C98" i="2" s="1"/>
  <c r="K98" i="2" s="1"/>
  <c r="D100" i="2"/>
  <c r="C100" i="2" s="1"/>
  <c r="K100" i="2" s="1"/>
  <c r="H13" i="3"/>
  <c r="N13" i="3" s="1"/>
  <c r="AC14" i="3"/>
  <c r="D17" i="3"/>
  <c r="M17" i="3" s="1"/>
  <c r="D18" i="3"/>
  <c r="C18" i="3" s="1"/>
  <c r="K18" i="3" s="1"/>
  <c r="AC18" i="3"/>
  <c r="J21" i="3"/>
  <c r="D24" i="3"/>
  <c r="C24" i="3" s="1"/>
  <c r="K24" i="3" s="1"/>
  <c r="AC24" i="3"/>
  <c r="Y27" i="3"/>
  <c r="D28" i="3"/>
  <c r="C28" i="3" s="1"/>
  <c r="K28" i="3" s="1"/>
  <c r="O31" i="3"/>
  <c r="AC34" i="3"/>
  <c r="AC40" i="3"/>
  <c r="AC49" i="3"/>
  <c r="U54" i="3"/>
  <c r="U63" i="3"/>
  <c r="W52" i="3"/>
  <c r="D66" i="3"/>
  <c r="C66" i="3" s="1"/>
  <c r="K66" i="3" s="1"/>
  <c r="AC67" i="3"/>
  <c r="D72" i="3"/>
  <c r="C72" i="3" s="1"/>
  <c r="K72" i="3" s="1"/>
  <c r="Y72" i="3"/>
  <c r="W74" i="3"/>
  <c r="D78" i="3"/>
  <c r="C78" i="3" s="1"/>
  <c r="K78" i="3" s="1"/>
  <c r="Y78" i="3"/>
  <c r="AK13" i="4"/>
  <c r="AH13" i="4"/>
  <c r="Z13" i="4"/>
  <c r="D26" i="4"/>
  <c r="M26" i="4" s="1"/>
  <c r="D30" i="4"/>
  <c r="C30" i="4" s="1"/>
  <c r="D36" i="4"/>
  <c r="M36" i="4" s="1"/>
  <c r="D46" i="4"/>
  <c r="J50" i="4"/>
  <c r="D58" i="4"/>
  <c r="M58" i="4" s="1"/>
  <c r="J62" i="4"/>
  <c r="AL65" i="4"/>
  <c r="D67" i="4"/>
  <c r="M67" i="4" s="1"/>
  <c r="J67" i="4"/>
  <c r="R74" i="4"/>
  <c r="U74" i="4" s="1"/>
  <c r="AK74" i="4"/>
  <c r="J78" i="4"/>
  <c r="BQ16" i="7"/>
  <c r="BQ22" i="7"/>
  <c r="G52" i="7"/>
  <c r="P52" i="7" s="1"/>
  <c r="AU74" i="7"/>
  <c r="Z61" i="9"/>
  <c r="AB61" i="9"/>
  <c r="AI62" i="16"/>
  <c r="AG62" i="16"/>
  <c r="J14" i="1"/>
  <c r="X14" i="1"/>
  <c r="AB14" i="1" s="1"/>
  <c r="AA14" i="1"/>
  <c r="H13" i="1"/>
  <c r="AA16" i="1"/>
  <c r="W20" i="1"/>
  <c r="AQ20" i="1"/>
  <c r="W21" i="1"/>
  <c r="Z21" i="1" s="1"/>
  <c r="Y23" i="1"/>
  <c r="J30" i="1"/>
  <c r="X34" i="1"/>
  <c r="AB34" i="1" s="1"/>
  <c r="AA34" i="1"/>
  <c r="X35" i="1"/>
  <c r="AB35" i="1" s="1"/>
  <c r="U36" i="1"/>
  <c r="Y40" i="1"/>
  <c r="W40" i="1"/>
  <c r="W43" i="1"/>
  <c r="Z43" i="1" s="1"/>
  <c r="W45" i="1"/>
  <c r="Y45" i="1"/>
  <c r="S52" i="1"/>
  <c r="V52" i="1" s="1"/>
  <c r="AA63" i="1"/>
  <c r="Y65" i="1"/>
  <c r="AA69" i="1"/>
  <c r="X69" i="1"/>
  <c r="AA70" i="1"/>
  <c r="AA72" i="1"/>
  <c r="AA76" i="1"/>
  <c r="Y77" i="1"/>
  <c r="X81" i="1"/>
  <c r="AB81" i="1" s="1"/>
  <c r="J82" i="1"/>
  <c r="W86" i="1"/>
  <c r="Z86" i="1" s="1"/>
  <c r="Y86" i="1"/>
  <c r="AE15" i="2"/>
  <c r="D17" i="2"/>
  <c r="M17" i="2" s="1"/>
  <c r="N22" i="2"/>
  <c r="AE22" i="2"/>
  <c r="AE27" i="2"/>
  <c r="D29" i="2"/>
  <c r="C29" i="2" s="1"/>
  <c r="K29" i="2" s="1"/>
  <c r="U35" i="2"/>
  <c r="AE38" i="2"/>
  <c r="Y39" i="2"/>
  <c r="AB40" i="2"/>
  <c r="AE46" i="2"/>
  <c r="AB49" i="2"/>
  <c r="T52" i="2"/>
  <c r="AE54" i="2"/>
  <c r="J56" i="2"/>
  <c r="D57" i="2"/>
  <c r="C57" i="2" s="1"/>
  <c r="K57" i="2" s="1"/>
  <c r="AE75" i="2"/>
  <c r="D77" i="2"/>
  <c r="C77" i="2" s="1"/>
  <c r="K77" i="2" s="1"/>
  <c r="D78" i="2"/>
  <c r="C78" i="2" s="1"/>
  <c r="K78" i="2" s="1"/>
  <c r="U17" i="3"/>
  <c r="D26" i="3"/>
  <c r="C26" i="3" s="1"/>
  <c r="K26" i="3" s="1"/>
  <c r="D32" i="3"/>
  <c r="C32" i="3" s="1"/>
  <c r="K32" i="3" s="1"/>
  <c r="U33" i="3"/>
  <c r="J35" i="3"/>
  <c r="U38" i="3"/>
  <c r="Y41" i="3"/>
  <c r="AC42" i="3"/>
  <c r="AC58" i="3"/>
  <c r="D75" i="3"/>
  <c r="C75" i="3" s="1"/>
  <c r="K75" i="3" s="1"/>
  <c r="U78" i="3"/>
  <c r="U79" i="3"/>
  <c r="D87" i="3"/>
  <c r="C87" i="3" s="1"/>
  <c r="K87" i="3" s="1"/>
  <c r="J93" i="3"/>
  <c r="AG15" i="4"/>
  <c r="AK31" i="4"/>
  <c r="T52" i="4"/>
  <c r="Z70" i="9"/>
  <c r="AB70" i="9"/>
  <c r="Y16" i="1"/>
  <c r="AA24" i="1"/>
  <c r="D27" i="1"/>
  <c r="C27" i="1" s="1"/>
  <c r="Y28" i="1"/>
  <c r="AA30" i="1"/>
  <c r="D32" i="1"/>
  <c r="C32" i="1" s="1"/>
  <c r="K32" i="1" s="1"/>
  <c r="U33" i="1"/>
  <c r="D34" i="1"/>
  <c r="M34" i="1" s="1"/>
  <c r="Y34" i="1"/>
  <c r="W34" i="1"/>
  <c r="Z34" i="1" s="1"/>
  <c r="J35" i="1"/>
  <c r="AQ36" i="1"/>
  <c r="J38" i="1"/>
  <c r="W38" i="1"/>
  <c r="AQ38" i="1"/>
  <c r="AA40" i="1"/>
  <c r="D42" i="1"/>
  <c r="J42" i="1"/>
  <c r="X45" i="1"/>
  <c r="J46" i="1"/>
  <c r="AQ47" i="1"/>
  <c r="AA51" i="1"/>
  <c r="X54" i="1"/>
  <c r="AB54" i="1" s="1"/>
  <c r="AA54" i="1"/>
  <c r="AA56" i="1"/>
  <c r="J58" i="1"/>
  <c r="D65" i="1"/>
  <c r="M65" i="1" s="1"/>
  <c r="D66" i="1"/>
  <c r="M66" i="1" s="1"/>
  <c r="J66" i="1"/>
  <c r="X67" i="1"/>
  <c r="AB67" i="1" s="1"/>
  <c r="AA67" i="1"/>
  <c r="W71" i="1"/>
  <c r="Z71" i="1" s="1"/>
  <c r="Y71" i="1"/>
  <c r="D73" i="1"/>
  <c r="C73" i="1" s="1"/>
  <c r="K73" i="1" s="1"/>
  <c r="J75" i="1"/>
  <c r="AA82" i="1"/>
  <c r="J83" i="1"/>
  <c r="J87" i="1"/>
  <c r="D98" i="1"/>
  <c r="M98" i="1" s="1"/>
  <c r="D104" i="1"/>
  <c r="C104" i="1" s="1"/>
  <c r="H13" i="2"/>
  <c r="U19" i="2"/>
  <c r="AE21" i="2"/>
  <c r="D23" i="2"/>
  <c r="M23" i="2" s="1"/>
  <c r="AB23" i="2"/>
  <c r="AB26" i="2"/>
  <c r="J28" i="2"/>
  <c r="AB33" i="2"/>
  <c r="N37" i="2"/>
  <c r="N38" i="2"/>
  <c r="J39" i="2"/>
  <c r="D60" i="2"/>
  <c r="C60" i="2" s="1"/>
  <c r="K60" i="2" s="1"/>
  <c r="AB81" i="2"/>
  <c r="D99" i="2"/>
  <c r="C99" i="2" s="1"/>
  <c r="K99" i="2" s="1"/>
  <c r="P106" i="2"/>
  <c r="J14" i="3"/>
  <c r="D15" i="3"/>
  <c r="C15" i="3" s="1"/>
  <c r="K15" i="3" s="1"/>
  <c r="AC21" i="3"/>
  <c r="D30" i="3"/>
  <c r="Y34" i="3"/>
  <c r="J40" i="3"/>
  <c r="U46" i="3"/>
  <c r="U47" i="3"/>
  <c r="AC47" i="3"/>
  <c r="U48" i="3"/>
  <c r="J49" i="3"/>
  <c r="D51" i="3"/>
  <c r="C51" i="3" s="1"/>
  <c r="K51" i="3" s="1"/>
  <c r="D53" i="3"/>
  <c r="M53" i="3" s="1"/>
  <c r="Y53" i="3"/>
  <c r="J59" i="3"/>
  <c r="D62" i="3"/>
  <c r="Y62" i="3"/>
  <c r="F74" i="3"/>
  <c r="G74" i="3"/>
  <c r="P74" i="3" s="1"/>
  <c r="AC81" i="3"/>
  <c r="Y85" i="3"/>
  <c r="D86" i="3"/>
  <c r="D93" i="3"/>
  <c r="M93" i="3" s="1"/>
  <c r="D100" i="3"/>
  <c r="C100" i="3" s="1"/>
  <c r="K100" i="3" s="1"/>
  <c r="J18" i="4"/>
  <c r="AA20" i="4"/>
  <c r="D24" i="4"/>
  <c r="M24" i="4" s="1"/>
  <c r="D34" i="4"/>
  <c r="AI37" i="4"/>
  <c r="J38" i="4"/>
  <c r="AA40" i="4"/>
  <c r="E31" i="4"/>
  <c r="O31" i="4"/>
  <c r="D50" i="4"/>
  <c r="AB52" i="4"/>
  <c r="D62" i="4"/>
  <c r="M62" i="4" s="1"/>
  <c r="N63" i="4"/>
  <c r="AI65" i="4"/>
  <c r="Y74" i="4"/>
  <c r="W74" i="4"/>
  <c r="D81" i="4"/>
  <c r="C81" i="4" s="1"/>
  <c r="K81" i="4" s="1"/>
  <c r="CF14" i="7"/>
  <c r="CD13" i="7"/>
  <c r="P22" i="7"/>
  <c r="G13" i="7"/>
  <c r="P13" i="7" s="1"/>
  <c r="AI52" i="7"/>
  <c r="CJ52" i="7"/>
  <c r="X15" i="1"/>
  <c r="AJ13" i="1"/>
  <c r="AP13" i="1"/>
  <c r="Y17" i="1"/>
  <c r="Y18" i="1"/>
  <c r="AQ18" i="1"/>
  <c r="W24" i="1"/>
  <c r="U26" i="1"/>
  <c r="X28" i="1"/>
  <c r="W30" i="1"/>
  <c r="N33" i="1"/>
  <c r="AA42" i="1"/>
  <c r="U45" i="1"/>
  <c r="Y46" i="1"/>
  <c r="Y47" i="1"/>
  <c r="AA48" i="1"/>
  <c r="AQ48" i="1"/>
  <c r="J49" i="1"/>
  <c r="W50" i="1"/>
  <c r="Y61" i="1"/>
  <c r="X62" i="1"/>
  <c r="AB62" i="1" s="1"/>
  <c r="AA62" i="1"/>
  <c r="AA66" i="1"/>
  <c r="X80" i="1"/>
  <c r="AB80" i="1" s="1"/>
  <c r="U82" i="1"/>
  <c r="Y83" i="1"/>
  <c r="X84" i="1"/>
  <c r="AB84" i="1" s="1"/>
  <c r="D86" i="1"/>
  <c r="C86" i="1" s="1"/>
  <c r="K86" i="1" s="1"/>
  <c r="X88" i="1"/>
  <c r="U23" i="2"/>
  <c r="AE37" i="2"/>
  <c r="AB39" i="2"/>
  <c r="AE40" i="2"/>
  <c r="AE41" i="2"/>
  <c r="AE44" i="2"/>
  <c r="AE49" i="2"/>
  <c r="J51" i="2"/>
  <c r="Z52" i="2"/>
  <c r="J64" i="2"/>
  <c r="U68" i="2"/>
  <c r="AB68" i="2"/>
  <c r="AE69" i="2"/>
  <c r="O74" i="2"/>
  <c r="G74" i="2"/>
  <c r="P74" i="2" s="1"/>
  <c r="D101" i="2"/>
  <c r="J105" i="2"/>
  <c r="U9" i="3"/>
  <c r="X13" i="3"/>
  <c r="U15" i="3"/>
  <c r="U20" i="3"/>
  <c r="AC23" i="3"/>
  <c r="T31" i="3"/>
  <c r="AD31" i="3"/>
  <c r="U35" i="3"/>
  <c r="AA31" i="3"/>
  <c r="U37" i="3"/>
  <c r="Y48" i="3"/>
  <c r="U55" i="3"/>
  <c r="U56" i="3"/>
  <c r="AC56" i="3"/>
  <c r="U57" i="3"/>
  <c r="J58" i="3"/>
  <c r="D60" i="3"/>
  <c r="C60" i="3" s="1"/>
  <c r="K60" i="3" s="1"/>
  <c r="U64" i="3"/>
  <c r="U65" i="3"/>
  <c r="U70" i="3"/>
  <c r="AC80" i="3"/>
  <c r="U86" i="3"/>
  <c r="AG16" i="4"/>
  <c r="D27" i="4"/>
  <c r="N40" i="4"/>
  <c r="N45" i="4"/>
  <c r="AI47" i="4"/>
  <c r="D56" i="4"/>
  <c r="M56" i="4" s="1"/>
  <c r="J64" i="4"/>
  <c r="D66" i="4"/>
  <c r="M66" i="4" s="1"/>
  <c r="N67" i="4"/>
  <c r="AL67" i="4"/>
  <c r="AI70" i="4"/>
  <c r="J71" i="4"/>
  <c r="N78" i="4"/>
  <c r="AG78" i="4"/>
  <c r="D88" i="4"/>
  <c r="I89" i="4"/>
  <c r="I9" i="4" s="1"/>
  <c r="Q9" i="4" s="1"/>
  <c r="Q90" i="4"/>
  <c r="Q89" i="4" s="1"/>
  <c r="J47" i="6"/>
  <c r="BQ18" i="7"/>
  <c r="CA52" i="7"/>
  <c r="D15" i="1"/>
  <c r="C15" i="1" s="1"/>
  <c r="D16" i="1"/>
  <c r="M16" i="1" s="1"/>
  <c r="D18" i="1"/>
  <c r="M18" i="1" s="1"/>
  <c r="J22" i="1"/>
  <c r="J23" i="1"/>
  <c r="U24" i="1"/>
  <c r="U27" i="1"/>
  <c r="D28" i="1"/>
  <c r="M28" i="1" s="1"/>
  <c r="U30" i="1"/>
  <c r="D36" i="1"/>
  <c r="M36" i="1" s="1"/>
  <c r="X40" i="1"/>
  <c r="Y42" i="1"/>
  <c r="X46" i="1"/>
  <c r="AB46" i="1" s="1"/>
  <c r="D49" i="1"/>
  <c r="C49" i="1" s="1"/>
  <c r="K49" i="1" s="1"/>
  <c r="D50" i="1"/>
  <c r="C50" i="1" s="1"/>
  <c r="J51" i="1"/>
  <c r="W53" i="1"/>
  <c r="Z53" i="1" s="1"/>
  <c r="AM52" i="1"/>
  <c r="J55" i="1"/>
  <c r="X55" i="1"/>
  <c r="AB55" i="1" s="1"/>
  <c r="AA55" i="1"/>
  <c r="W58" i="1"/>
  <c r="Z58" i="1" s="1"/>
  <c r="J59" i="1"/>
  <c r="D61" i="1"/>
  <c r="C61" i="1" s="1"/>
  <c r="K61" i="1" s="1"/>
  <c r="Y63" i="1"/>
  <c r="AQ69" i="1"/>
  <c r="Y70" i="1"/>
  <c r="W72" i="1"/>
  <c r="Y72" i="1"/>
  <c r="AQ76" i="1"/>
  <c r="X77" i="1"/>
  <c r="AB77" i="1" s="1"/>
  <c r="D79" i="1"/>
  <c r="C79" i="1" s="1"/>
  <c r="K79" i="1" s="1"/>
  <c r="D84" i="1"/>
  <c r="M84" i="1" s="1"/>
  <c r="D88" i="1"/>
  <c r="D97" i="1"/>
  <c r="M97" i="1" s="1"/>
  <c r="D99" i="1"/>
  <c r="C99" i="1" s="1"/>
  <c r="K99" i="1" s="1"/>
  <c r="D101" i="1"/>
  <c r="C101" i="1" s="1"/>
  <c r="J103" i="1"/>
  <c r="J21" i="2"/>
  <c r="AB22" i="2"/>
  <c r="AE25" i="2"/>
  <c r="J27" i="2"/>
  <c r="D28" i="2"/>
  <c r="C28" i="2" s="1"/>
  <c r="K28" i="2" s="1"/>
  <c r="AE29" i="2"/>
  <c r="AE33" i="2"/>
  <c r="J36" i="2"/>
  <c r="J37" i="2"/>
  <c r="J42" i="2"/>
  <c r="J43" i="2"/>
  <c r="D47" i="2"/>
  <c r="J47" i="2"/>
  <c r="J50" i="2"/>
  <c r="D51" i="2"/>
  <c r="C51" i="2" s="1"/>
  <c r="K51" i="2" s="1"/>
  <c r="D53" i="2"/>
  <c r="C53" i="2" s="1"/>
  <c r="K53" i="2" s="1"/>
  <c r="Y53" i="2"/>
  <c r="J54" i="2"/>
  <c r="AE60" i="2"/>
  <c r="J62" i="2"/>
  <c r="Y62" i="2"/>
  <c r="D63" i="2"/>
  <c r="C63" i="2" s="1"/>
  <c r="D64" i="2"/>
  <c r="M64" i="2" s="1"/>
  <c r="D65" i="2"/>
  <c r="C65" i="2" s="1"/>
  <c r="K65" i="2" s="1"/>
  <c r="J65" i="2"/>
  <c r="Y65" i="2"/>
  <c r="J66" i="2"/>
  <c r="D70" i="2"/>
  <c r="M70" i="2" s="1"/>
  <c r="D71" i="2"/>
  <c r="J75" i="2"/>
  <c r="AE81" i="2"/>
  <c r="J83" i="2"/>
  <c r="J87" i="2"/>
  <c r="Y87" i="2"/>
  <c r="D88" i="2"/>
  <c r="M88" i="2" s="1"/>
  <c r="AC15" i="3"/>
  <c r="AC19" i="3"/>
  <c r="J22" i="3"/>
  <c r="Y22" i="3"/>
  <c r="AC25" i="3"/>
  <c r="D33" i="3"/>
  <c r="C33" i="3" s="1"/>
  <c r="K33" i="3" s="1"/>
  <c r="D39" i="3"/>
  <c r="C39" i="3" s="1"/>
  <c r="K39" i="3" s="1"/>
  <c r="Y39" i="3"/>
  <c r="D40" i="3"/>
  <c r="Y43" i="3"/>
  <c r="D44" i="3"/>
  <c r="M44" i="3" s="1"/>
  <c r="J48" i="3"/>
  <c r="Y57" i="3"/>
  <c r="F52" i="3"/>
  <c r="D61" i="3"/>
  <c r="AC63" i="3"/>
  <c r="Y66" i="3"/>
  <c r="AC68" i="3"/>
  <c r="J82" i="3"/>
  <c r="D83" i="3"/>
  <c r="M83" i="3" s="1"/>
  <c r="D84" i="3"/>
  <c r="U84" i="3"/>
  <c r="D90" i="3"/>
  <c r="C90" i="3" s="1"/>
  <c r="J94" i="3"/>
  <c r="D14" i="4"/>
  <c r="M14" i="4" s="1"/>
  <c r="N15" i="4"/>
  <c r="N19" i="4"/>
  <c r="AG20" i="4"/>
  <c r="D21" i="4"/>
  <c r="M21" i="4" s="1"/>
  <c r="N24" i="4"/>
  <c r="J26" i="4"/>
  <c r="J30" i="4"/>
  <c r="AF31" i="4"/>
  <c r="J36" i="4"/>
  <c r="D38" i="4"/>
  <c r="M38" i="4" s="1"/>
  <c r="AI41" i="4"/>
  <c r="J46" i="4"/>
  <c r="AI51" i="4"/>
  <c r="AI53" i="4"/>
  <c r="AF52" i="4"/>
  <c r="J58" i="4"/>
  <c r="AI63" i="4"/>
  <c r="AG67" i="4"/>
  <c r="D68" i="4"/>
  <c r="C68" i="4" s="1"/>
  <c r="K68" i="4" s="1"/>
  <c r="AI78" i="4"/>
  <c r="D47" i="6"/>
  <c r="C47" i="6" s="1"/>
  <c r="AQ14" i="7"/>
  <c r="AO13" i="7"/>
  <c r="AY14" i="7"/>
  <c r="AW13" i="7"/>
  <c r="BO13" i="7"/>
  <c r="BQ14" i="7"/>
  <c r="BL13" i="7"/>
  <c r="Y52" i="9"/>
  <c r="AL82" i="4"/>
  <c r="AA85" i="4"/>
  <c r="D104" i="4"/>
  <c r="J104" i="4"/>
  <c r="D22" i="5"/>
  <c r="C22" i="5" s="1"/>
  <c r="K22" i="5" s="1"/>
  <c r="D25" i="5"/>
  <c r="C25" i="5" s="1"/>
  <c r="J63" i="5"/>
  <c r="D79" i="5"/>
  <c r="J80" i="5"/>
  <c r="D91" i="5"/>
  <c r="C91" i="5" s="1"/>
  <c r="K91" i="5" s="1"/>
  <c r="J17" i="6"/>
  <c r="Y18" i="6"/>
  <c r="N34" i="6"/>
  <c r="N35" i="6"/>
  <c r="J38" i="6"/>
  <c r="Y47" i="6"/>
  <c r="G52" i="6"/>
  <c r="P52" i="6" s="1"/>
  <c r="D59" i="6"/>
  <c r="C59" i="6" s="1"/>
  <c r="K59" i="6" s="1"/>
  <c r="J60" i="6"/>
  <c r="D65" i="6"/>
  <c r="C65" i="6" s="1"/>
  <c r="Y69" i="6"/>
  <c r="N86" i="6"/>
  <c r="N87" i="6"/>
  <c r="D91" i="6"/>
  <c r="C91" i="6" s="1"/>
  <c r="K91" i="6" s="1"/>
  <c r="N98" i="6"/>
  <c r="F13" i="7"/>
  <c r="BG13" i="7"/>
  <c r="CE13" i="7"/>
  <c r="CN13" i="7"/>
  <c r="AQ15" i="7"/>
  <c r="U16" i="7"/>
  <c r="AB16" i="7"/>
  <c r="BB16" i="7"/>
  <c r="AQ17" i="7"/>
  <c r="U18" i="7"/>
  <c r="AB18" i="7"/>
  <c r="CH13" i="7"/>
  <c r="Y19" i="7"/>
  <c r="U20" i="7"/>
  <c r="AK20" i="7"/>
  <c r="BZ20" i="7"/>
  <c r="CI20" i="7"/>
  <c r="D21" i="7"/>
  <c r="N22" i="7"/>
  <c r="AK22" i="7"/>
  <c r="D23" i="7"/>
  <c r="J23" i="7"/>
  <c r="N24" i="7"/>
  <c r="AK24" i="7"/>
  <c r="U26" i="7"/>
  <c r="N27" i="7"/>
  <c r="BZ27" i="7"/>
  <c r="BT28" i="7"/>
  <c r="U30" i="7"/>
  <c r="AB30" i="7"/>
  <c r="AK30" i="7"/>
  <c r="AJ31" i="7"/>
  <c r="J34" i="7"/>
  <c r="AE31" i="7"/>
  <c r="J35" i="7"/>
  <c r="AH38" i="7"/>
  <c r="D39" i="7"/>
  <c r="M39" i="7" s="1"/>
  <c r="AH39" i="7"/>
  <c r="D44" i="7"/>
  <c r="C44" i="7" s="1"/>
  <c r="AH44" i="7"/>
  <c r="AN45" i="7"/>
  <c r="J77" i="7"/>
  <c r="L74" i="7"/>
  <c r="W74" i="7"/>
  <c r="D93" i="7"/>
  <c r="M93" i="7" s="1"/>
  <c r="D99" i="7"/>
  <c r="C99" i="7" s="1"/>
  <c r="K99" i="7" s="1"/>
  <c r="O13" i="8"/>
  <c r="D86" i="8"/>
  <c r="M86" i="8" s="1"/>
  <c r="AB13" i="10"/>
  <c r="AI17" i="10"/>
  <c r="AI26" i="10"/>
  <c r="J84" i="4"/>
  <c r="J48" i="5"/>
  <c r="D58" i="5"/>
  <c r="M58" i="5" s="1"/>
  <c r="D63" i="5"/>
  <c r="C63" i="5" s="1"/>
  <c r="K63" i="5" s="1"/>
  <c r="Y65" i="5"/>
  <c r="D101" i="5"/>
  <c r="C101" i="5" s="1"/>
  <c r="Y25" i="6"/>
  <c r="N29" i="6"/>
  <c r="J32" i="6"/>
  <c r="D38" i="6"/>
  <c r="M38" i="6" s="1"/>
  <c r="J45" i="6"/>
  <c r="Y46" i="6"/>
  <c r="D70" i="6"/>
  <c r="M70" i="6" s="1"/>
  <c r="D71" i="6"/>
  <c r="C71" i="6" s="1"/>
  <c r="D72" i="6"/>
  <c r="C72" i="6" s="1"/>
  <c r="D79" i="6"/>
  <c r="C79" i="6" s="1"/>
  <c r="J81" i="6"/>
  <c r="J85" i="6"/>
  <c r="Y85" i="6"/>
  <c r="N88" i="6"/>
  <c r="D99" i="6"/>
  <c r="C99" i="6" s="1"/>
  <c r="K99" i="6" s="1"/>
  <c r="D101" i="6"/>
  <c r="M101" i="6" s="1"/>
  <c r="J103" i="6"/>
  <c r="CA13" i="7"/>
  <c r="U14" i="7"/>
  <c r="AB14" i="7"/>
  <c r="BT16" i="7"/>
  <c r="BT18" i="7"/>
  <c r="CF19" i="7"/>
  <c r="BT20" i="7"/>
  <c r="BT24" i="7"/>
  <c r="AK26" i="7"/>
  <c r="U27" i="7"/>
  <c r="BK27" i="7"/>
  <c r="Y28" i="7"/>
  <c r="BH29" i="7"/>
  <c r="AD31" i="7"/>
  <c r="BK32" i="7"/>
  <c r="AS31" i="7"/>
  <c r="BT33" i="7"/>
  <c r="D34" i="7"/>
  <c r="C34" i="7" s="1"/>
  <c r="AH34" i="7"/>
  <c r="AQ34" i="7"/>
  <c r="BK36" i="7"/>
  <c r="AB42" i="7"/>
  <c r="Y47" i="7"/>
  <c r="AN48" i="7"/>
  <c r="AV48" i="7"/>
  <c r="BE48" i="7"/>
  <c r="BN48" i="7"/>
  <c r="AN49" i="7"/>
  <c r="BE49" i="7"/>
  <c r="AN50" i="7"/>
  <c r="AV50" i="7"/>
  <c r="BE50" i="7"/>
  <c r="BN50" i="7"/>
  <c r="AN51" i="7"/>
  <c r="AV51" i="7"/>
  <c r="BE51" i="7"/>
  <c r="BN51" i="7"/>
  <c r="CF51" i="7"/>
  <c r="J79" i="7"/>
  <c r="U86" i="7"/>
  <c r="AB59" i="9"/>
  <c r="Z59" i="9"/>
  <c r="AB68" i="9"/>
  <c r="Z68" i="9"/>
  <c r="G89" i="9"/>
  <c r="G9" i="9" s="1"/>
  <c r="P9" i="9" s="1"/>
  <c r="AF29" i="10"/>
  <c r="AI82" i="4"/>
  <c r="D84" i="4"/>
  <c r="M84" i="4" s="1"/>
  <c r="F89" i="4"/>
  <c r="F9" i="4" s="1"/>
  <c r="H89" i="4"/>
  <c r="H9" i="4" s="1"/>
  <c r="O89" i="4"/>
  <c r="O9" i="4" s="1"/>
  <c r="J100" i="4"/>
  <c r="D106" i="4"/>
  <c r="C106" i="4" s="1"/>
  <c r="K106" i="4" s="1"/>
  <c r="J15" i="5"/>
  <c r="J17" i="5"/>
  <c r="J18" i="5"/>
  <c r="J23" i="5"/>
  <c r="Y28" i="5"/>
  <c r="D65" i="5"/>
  <c r="C65" i="5" s="1"/>
  <c r="D82" i="5"/>
  <c r="J82" i="5"/>
  <c r="D87" i="5"/>
  <c r="C87" i="5" s="1"/>
  <c r="K87" i="5" s="1"/>
  <c r="D93" i="5"/>
  <c r="C93" i="5" s="1"/>
  <c r="K93" i="5" s="1"/>
  <c r="J95" i="5"/>
  <c r="D103" i="5"/>
  <c r="C103" i="5" s="1"/>
  <c r="K103" i="5" s="1"/>
  <c r="D25" i="6"/>
  <c r="C25" i="6" s="1"/>
  <c r="J26" i="6"/>
  <c r="D39" i="6"/>
  <c r="M39" i="6" s="1"/>
  <c r="N42" i="6"/>
  <c r="J50" i="6"/>
  <c r="Y50" i="6"/>
  <c r="D56" i="6"/>
  <c r="C56" i="6" s="1"/>
  <c r="K56" i="6" s="1"/>
  <c r="J57" i="6"/>
  <c r="J63" i="6"/>
  <c r="AC13" i="7"/>
  <c r="AJ13" i="7"/>
  <c r="AS13" i="7"/>
  <c r="AR13" i="7"/>
  <c r="CK31" i="7"/>
  <c r="N18" i="9"/>
  <c r="D76" i="9"/>
  <c r="M76" i="9" s="1"/>
  <c r="E74" i="9"/>
  <c r="AA82" i="4"/>
  <c r="N85" i="4"/>
  <c r="AL85" i="4"/>
  <c r="G89" i="4"/>
  <c r="G9" i="4" s="1"/>
  <c r="P9" i="4" s="1"/>
  <c r="X13" i="5"/>
  <c r="Y30" i="5"/>
  <c r="J36" i="5"/>
  <c r="J44" i="5"/>
  <c r="D49" i="5"/>
  <c r="C49" i="5" s="1"/>
  <c r="K49" i="5" s="1"/>
  <c r="H74" i="5"/>
  <c r="N74" i="5" s="1"/>
  <c r="D88" i="5"/>
  <c r="M88" i="5" s="1"/>
  <c r="J100" i="5"/>
  <c r="N17" i="6"/>
  <c r="N23" i="6"/>
  <c r="J35" i="6"/>
  <c r="D45" i="6"/>
  <c r="M45" i="6" s="1"/>
  <c r="N54" i="6"/>
  <c r="N60" i="6"/>
  <c r="N66" i="6"/>
  <c r="N69" i="6"/>
  <c r="D81" i="6"/>
  <c r="M81" i="6" s="1"/>
  <c r="D82" i="6"/>
  <c r="C82" i="6" s="1"/>
  <c r="K82" i="6" s="1"/>
  <c r="D86" i="6"/>
  <c r="Y87" i="6"/>
  <c r="Y88" i="6"/>
  <c r="D92" i="6"/>
  <c r="C92" i="6" s="1"/>
  <c r="K92" i="6" s="1"/>
  <c r="J95" i="6"/>
  <c r="N106" i="6"/>
  <c r="CJ13" i="7"/>
  <c r="Y16" i="7"/>
  <c r="AN16" i="7"/>
  <c r="U17" i="7"/>
  <c r="AN18" i="7"/>
  <c r="AN20" i="7"/>
  <c r="N21" i="7"/>
  <c r="J22" i="7"/>
  <c r="Y22" i="7"/>
  <c r="AN22" i="7"/>
  <c r="N23" i="7"/>
  <c r="J24" i="7"/>
  <c r="AN24" i="7"/>
  <c r="N25" i="7"/>
  <c r="U28" i="7"/>
  <c r="N29" i="7"/>
  <c r="AN30" i="7"/>
  <c r="U35" i="7"/>
  <c r="AI74" i="7"/>
  <c r="W34" i="12"/>
  <c r="U31" i="12"/>
  <c r="D82" i="4"/>
  <c r="C82" i="4" s="1"/>
  <c r="D87" i="4"/>
  <c r="M87" i="4" s="1"/>
  <c r="J91" i="4"/>
  <c r="D94" i="4"/>
  <c r="D97" i="4"/>
  <c r="M97" i="4" s="1"/>
  <c r="J102" i="4"/>
  <c r="J21" i="5"/>
  <c r="J25" i="5"/>
  <c r="D29" i="5"/>
  <c r="C29" i="5" s="1"/>
  <c r="K29" i="5" s="1"/>
  <c r="D38" i="5"/>
  <c r="D39" i="5"/>
  <c r="M39" i="5" s="1"/>
  <c r="D44" i="5"/>
  <c r="C44" i="5" s="1"/>
  <c r="K44" i="5" s="1"/>
  <c r="D47" i="5"/>
  <c r="C47" i="5" s="1"/>
  <c r="K47" i="5" s="1"/>
  <c r="D54" i="5"/>
  <c r="M54" i="5" s="1"/>
  <c r="Y55" i="5"/>
  <c r="J71" i="5"/>
  <c r="J72" i="5"/>
  <c r="J73" i="5"/>
  <c r="D77" i="5"/>
  <c r="C77" i="5" s="1"/>
  <c r="K77" i="5" s="1"/>
  <c r="J78" i="5"/>
  <c r="J79" i="5"/>
  <c r="D92" i="5"/>
  <c r="F89" i="5"/>
  <c r="F9" i="5" s="1"/>
  <c r="D102" i="5"/>
  <c r="C102" i="5" s="1"/>
  <c r="K102" i="5" s="1"/>
  <c r="D105" i="5"/>
  <c r="M105" i="5" s="1"/>
  <c r="E13" i="6"/>
  <c r="O13" i="6"/>
  <c r="J16" i="6"/>
  <c r="Y16" i="6"/>
  <c r="Y22" i="6"/>
  <c r="D27" i="6"/>
  <c r="C27" i="6" s="1"/>
  <c r="D28" i="6"/>
  <c r="C28" i="6" s="1"/>
  <c r="Y29" i="6"/>
  <c r="Y36" i="6"/>
  <c r="N39" i="6"/>
  <c r="D53" i="6"/>
  <c r="C53" i="6" s="1"/>
  <c r="D58" i="6"/>
  <c r="C58" i="6" s="1"/>
  <c r="D64" i="6"/>
  <c r="C64" i="6" s="1"/>
  <c r="J68" i="6"/>
  <c r="Y68" i="6"/>
  <c r="N71" i="6"/>
  <c r="J76" i="6"/>
  <c r="J77" i="6"/>
  <c r="J83" i="6"/>
  <c r="D88" i="6"/>
  <c r="D100" i="6"/>
  <c r="C100" i="6" s="1"/>
  <c r="K100" i="6" s="1"/>
  <c r="J104" i="6"/>
  <c r="BR13" i="7"/>
  <c r="L13" i="7"/>
  <c r="AE13" i="7"/>
  <c r="AU13" i="7"/>
  <c r="BT15" i="7"/>
  <c r="AQ16" i="7"/>
  <c r="AY16" i="7"/>
  <c r="BT17" i="7"/>
  <c r="AQ18" i="7"/>
  <c r="BP13" i="7"/>
  <c r="J20" i="7"/>
  <c r="AQ20" i="7"/>
  <c r="U21" i="7"/>
  <c r="BK21" i="7"/>
  <c r="U23" i="7"/>
  <c r="AV23" i="7"/>
  <c r="BK23" i="7"/>
  <c r="U25" i="7"/>
  <c r="BK25" i="7"/>
  <c r="J26" i="7"/>
  <c r="Y26" i="7"/>
  <c r="AN26" i="7"/>
  <c r="AH27" i="7"/>
  <c r="N28" i="7"/>
  <c r="AB28" i="7"/>
  <c r="AK28" i="7"/>
  <c r="U29" i="7"/>
  <c r="BT29" i="7"/>
  <c r="Y33" i="7"/>
  <c r="AH33" i="7"/>
  <c r="N34" i="7"/>
  <c r="N35" i="7"/>
  <c r="AK35" i="7"/>
  <c r="BB41" i="7"/>
  <c r="AJ74" i="7"/>
  <c r="N77" i="7"/>
  <c r="Y59" i="8"/>
  <c r="W16" i="9"/>
  <c r="D37" i="9"/>
  <c r="C37" i="9" s="1"/>
  <c r="K37" i="9" s="1"/>
  <c r="BH35" i="7"/>
  <c r="BQ35" i="7"/>
  <c r="N36" i="7"/>
  <c r="AB37" i="7"/>
  <c r="BH37" i="7"/>
  <c r="BQ37" i="7"/>
  <c r="Y38" i="7"/>
  <c r="BN39" i="7"/>
  <c r="BB40" i="7"/>
  <c r="BK40" i="7"/>
  <c r="AB41" i="7"/>
  <c r="AQ41" i="7"/>
  <c r="AH42" i="7"/>
  <c r="Y43" i="7"/>
  <c r="AH43" i="7"/>
  <c r="AY43" i="7"/>
  <c r="BH43" i="7"/>
  <c r="BQ43" i="7"/>
  <c r="Y44" i="7"/>
  <c r="N46" i="7"/>
  <c r="AQ46" i="7"/>
  <c r="AY46" i="7"/>
  <c r="BH46" i="7"/>
  <c r="BQ46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AB75" i="7"/>
  <c r="AK75" i="7"/>
  <c r="BR74" i="7"/>
  <c r="AH76" i="7"/>
  <c r="AQ77" i="7"/>
  <c r="BQ77" i="7"/>
  <c r="D78" i="7"/>
  <c r="C78" i="7" s="1"/>
  <c r="AD74" i="7"/>
  <c r="AN80" i="7"/>
  <c r="U81" i="7"/>
  <c r="BY74" i="7"/>
  <c r="D82" i="7"/>
  <c r="M82" i="7" s="1"/>
  <c r="AH82" i="7"/>
  <c r="BN85" i="7"/>
  <c r="BB86" i="7"/>
  <c r="D87" i="7"/>
  <c r="Y87" i="7"/>
  <c r="BQ87" i="7"/>
  <c r="AB88" i="7"/>
  <c r="AQ88" i="7"/>
  <c r="D91" i="7"/>
  <c r="M91" i="7" s="1"/>
  <c r="J96" i="7"/>
  <c r="J99" i="7"/>
  <c r="J101" i="7"/>
  <c r="D104" i="7"/>
  <c r="M104" i="7" s="1"/>
  <c r="U19" i="8"/>
  <c r="U20" i="8"/>
  <c r="D21" i="8"/>
  <c r="J22" i="8"/>
  <c r="J25" i="8"/>
  <c r="J26" i="8"/>
  <c r="Y26" i="8"/>
  <c r="U32" i="8"/>
  <c r="Y46" i="8"/>
  <c r="U55" i="8"/>
  <c r="D68" i="8"/>
  <c r="M68" i="8" s="1"/>
  <c r="U69" i="8"/>
  <c r="D70" i="8"/>
  <c r="C70" i="8" s="1"/>
  <c r="K70" i="8" s="1"/>
  <c r="D72" i="8"/>
  <c r="C72" i="8" s="1"/>
  <c r="K72" i="8" s="1"/>
  <c r="J75" i="8"/>
  <c r="U82" i="8"/>
  <c r="D83" i="8"/>
  <c r="M83" i="8" s="1"/>
  <c r="U83" i="8"/>
  <c r="G13" i="9"/>
  <c r="P13" i="9" s="1"/>
  <c r="W19" i="9"/>
  <c r="J23" i="9"/>
  <c r="T26" i="9"/>
  <c r="J27" i="9"/>
  <c r="Z27" i="9"/>
  <c r="T28" i="9"/>
  <c r="J29" i="9"/>
  <c r="W32" i="9"/>
  <c r="N34" i="9"/>
  <c r="T34" i="9"/>
  <c r="N36" i="9"/>
  <c r="J39" i="9"/>
  <c r="J45" i="9"/>
  <c r="Z45" i="9"/>
  <c r="D49" i="9"/>
  <c r="C49" i="9" s="1"/>
  <c r="K49" i="9" s="1"/>
  <c r="Z50" i="9"/>
  <c r="D55" i="9"/>
  <c r="C55" i="9" s="1"/>
  <c r="K55" i="9" s="1"/>
  <c r="D62" i="9"/>
  <c r="M62" i="9" s="1"/>
  <c r="S52" i="9"/>
  <c r="U24" i="10"/>
  <c r="U36" i="10"/>
  <c r="E52" i="10"/>
  <c r="T77" i="11"/>
  <c r="R74" i="11"/>
  <c r="J95" i="11"/>
  <c r="D100" i="12"/>
  <c r="T31" i="13"/>
  <c r="H31" i="13"/>
  <c r="AN53" i="7"/>
  <c r="AV53" i="7"/>
  <c r="BE53" i="7"/>
  <c r="BN53" i="7"/>
  <c r="CF53" i="7"/>
  <c r="AN54" i="7"/>
  <c r="AV54" i="7"/>
  <c r="BE54" i="7"/>
  <c r="BN54" i="7"/>
  <c r="CF54" i="7"/>
  <c r="AN55" i="7"/>
  <c r="AV55" i="7"/>
  <c r="BE55" i="7"/>
  <c r="BN55" i="7"/>
  <c r="CF55" i="7"/>
  <c r="AN56" i="7"/>
  <c r="BN56" i="7"/>
  <c r="CF56" i="7"/>
  <c r="AN57" i="7"/>
  <c r="BN57" i="7"/>
  <c r="AN58" i="7"/>
  <c r="AV58" i="7"/>
  <c r="BE58" i="7"/>
  <c r="BN58" i="7"/>
  <c r="AN59" i="7"/>
  <c r="BN59" i="7"/>
  <c r="CF59" i="7"/>
  <c r="BN60" i="7"/>
  <c r="CF60" i="7"/>
  <c r="AN61" i="7"/>
  <c r="BN61" i="7"/>
  <c r="CF61" i="7"/>
  <c r="AN62" i="7"/>
  <c r="BN62" i="7"/>
  <c r="AN63" i="7"/>
  <c r="BN63" i="7"/>
  <c r="CF63" i="7"/>
  <c r="AN64" i="7"/>
  <c r="BN64" i="7"/>
  <c r="CF64" i="7"/>
  <c r="AN65" i="7"/>
  <c r="BN65" i="7"/>
  <c r="AN66" i="7"/>
  <c r="BN66" i="7"/>
  <c r="CF66" i="7"/>
  <c r="AN67" i="7"/>
  <c r="BN67" i="7"/>
  <c r="AN68" i="7"/>
  <c r="BN68" i="7"/>
  <c r="AN69" i="7"/>
  <c r="AV69" i="7"/>
  <c r="BE69" i="7"/>
  <c r="BN69" i="7"/>
  <c r="CF69" i="7"/>
  <c r="AN70" i="7"/>
  <c r="BN70" i="7"/>
  <c r="BN71" i="7"/>
  <c r="AN72" i="7"/>
  <c r="BN72" i="7"/>
  <c r="BN73" i="7"/>
  <c r="AK76" i="7"/>
  <c r="AQ78" i="7"/>
  <c r="AY78" i="7"/>
  <c r="BH78" i="7"/>
  <c r="BQ78" i="7"/>
  <c r="BZ78" i="7"/>
  <c r="CI78" i="7"/>
  <c r="BN80" i="7"/>
  <c r="BT81" i="7"/>
  <c r="AQ82" i="7"/>
  <c r="Y84" i="7"/>
  <c r="CE74" i="7"/>
  <c r="J85" i="7"/>
  <c r="Y86" i="7"/>
  <c r="BK88" i="7"/>
  <c r="BT88" i="7"/>
  <c r="J103" i="7"/>
  <c r="D17" i="8"/>
  <c r="C17" i="8" s="1"/>
  <c r="K17" i="8" s="1"/>
  <c r="Y17" i="8"/>
  <c r="D25" i="8"/>
  <c r="M25" i="8" s="1"/>
  <c r="D26" i="8"/>
  <c r="M26" i="8" s="1"/>
  <c r="D35" i="8"/>
  <c r="C35" i="8" s="1"/>
  <c r="K35" i="8" s="1"/>
  <c r="J36" i="8"/>
  <c r="Y37" i="8"/>
  <c r="J43" i="8"/>
  <c r="D51" i="8"/>
  <c r="M51" i="8" s="1"/>
  <c r="Y51" i="8"/>
  <c r="J58" i="8"/>
  <c r="J59" i="8"/>
  <c r="D73" i="8"/>
  <c r="M73" i="8" s="1"/>
  <c r="D76" i="8"/>
  <c r="C76" i="8" s="1"/>
  <c r="K76" i="8" s="1"/>
  <c r="J78" i="8"/>
  <c r="J79" i="8"/>
  <c r="D85" i="8"/>
  <c r="M85" i="8" s="1"/>
  <c r="U85" i="8"/>
  <c r="J87" i="8"/>
  <c r="Y87" i="8"/>
  <c r="D14" i="9"/>
  <c r="C14" i="9" s="1"/>
  <c r="O13" i="9"/>
  <c r="T18" i="9"/>
  <c r="T20" i="9"/>
  <c r="J21" i="9"/>
  <c r="D23" i="9"/>
  <c r="C23" i="9" s="1"/>
  <c r="D25" i="9"/>
  <c r="C25" i="9" s="1"/>
  <c r="Z25" i="9"/>
  <c r="D27" i="9"/>
  <c r="M27" i="9" s="1"/>
  <c r="Z29" i="9"/>
  <c r="W36" i="9"/>
  <c r="J42" i="9"/>
  <c r="J63" i="9"/>
  <c r="J65" i="9"/>
  <c r="D68" i="9"/>
  <c r="M68" i="9" s="1"/>
  <c r="D88" i="9"/>
  <c r="C88" i="9" s="1"/>
  <c r="D104" i="9"/>
  <c r="C104" i="9" s="1"/>
  <c r="D26" i="10"/>
  <c r="M26" i="10" s="1"/>
  <c r="Z26" i="10"/>
  <c r="J38" i="10"/>
  <c r="J55" i="10"/>
  <c r="T52" i="10"/>
  <c r="Q32" i="11"/>
  <c r="I31" i="11"/>
  <c r="Q31" i="11" s="1"/>
  <c r="T35" i="12"/>
  <c r="N86" i="12"/>
  <c r="U25" i="13"/>
  <c r="U39" i="7"/>
  <c r="AK42" i="7"/>
  <c r="AB44" i="7"/>
  <c r="BJ31" i="7"/>
  <c r="AH47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5" i="7"/>
  <c r="AB78" i="7"/>
  <c r="N82" i="7"/>
  <c r="BQ82" i="7"/>
  <c r="AB84" i="7"/>
  <c r="U85" i="7"/>
  <c r="AQ85" i="7"/>
  <c r="AB86" i="7"/>
  <c r="BT86" i="7"/>
  <c r="N87" i="7"/>
  <c r="N88" i="7"/>
  <c r="J97" i="7"/>
  <c r="D98" i="7"/>
  <c r="M98" i="7" s="1"/>
  <c r="N104" i="7"/>
  <c r="U43" i="8"/>
  <c r="D44" i="8"/>
  <c r="M44" i="8" s="1"/>
  <c r="U44" i="8"/>
  <c r="U46" i="8"/>
  <c r="U47" i="8"/>
  <c r="D48" i="8"/>
  <c r="M48" i="8" s="1"/>
  <c r="Y55" i="8"/>
  <c r="U57" i="8"/>
  <c r="D58" i="8"/>
  <c r="M58" i="8" s="1"/>
  <c r="U58" i="8"/>
  <c r="Y60" i="8"/>
  <c r="U65" i="8"/>
  <c r="Y68" i="8"/>
  <c r="U79" i="8"/>
  <c r="U84" i="8"/>
  <c r="U86" i="8"/>
  <c r="D95" i="8"/>
  <c r="C95" i="8" s="1"/>
  <c r="K95" i="8" s="1"/>
  <c r="J97" i="8"/>
  <c r="D100" i="8"/>
  <c r="M100" i="8" s="1"/>
  <c r="AB21" i="9"/>
  <c r="Z23" i="9"/>
  <c r="AB25" i="9"/>
  <c r="J26" i="9"/>
  <c r="J33" i="9"/>
  <c r="T42" i="9"/>
  <c r="J43" i="9"/>
  <c r="D46" i="9"/>
  <c r="C46" i="9" s="1"/>
  <c r="J48" i="9"/>
  <c r="D51" i="9"/>
  <c r="M51" i="9" s="1"/>
  <c r="D56" i="9"/>
  <c r="M56" i="9" s="1"/>
  <c r="D61" i="9"/>
  <c r="C61" i="9" s="1"/>
  <c r="K61" i="9" s="1"/>
  <c r="J64" i="9"/>
  <c r="D70" i="9"/>
  <c r="C70" i="9" s="1"/>
  <c r="K70" i="9" s="1"/>
  <c r="D82" i="9"/>
  <c r="C82" i="9" s="1"/>
  <c r="K82" i="9" s="1"/>
  <c r="D50" i="10"/>
  <c r="C50" i="10" s="1"/>
  <c r="AI83" i="10"/>
  <c r="J92" i="11"/>
  <c r="N45" i="12"/>
  <c r="Y52" i="12"/>
  <c r="D15" i="13"/>
  <c r="C15" i="13" s="1"/>
  <c r="BN35" i="7"/>
  <c r="AH36" i="7"/>
  <c r="AQ36" i="7"/>
  <c r="BT39" i="7"/>
  <c r="AQ40" i="7"/>
  <c r="AY40" i="7"/>
  <c r="CN31" i="7"/>
  <c r="J41" i="7"/>
  <c r="AM31" i="7"/>
  <c r="AV41" i="7"/>
  <c r="J42" i="7"/>
  <c r="AN43" i="7"/>
  <c r="AV43" i="7"/>
  <c r="BE43" i="7"/>
  <c r="BN43" i="7"/>
  <c r="AB45" i="7"/>
  <c r="AN46" i="7"/>
  <c r="AV46" i="7"/>
  <c r="BE46" i="7"/>
  <c r="BN46" i="7"/>
  <c r="N47" i="7"/>
  <c r="AB47" i="7"/>
  <c r="AB48" i="7"/>
  <c r="U49" i="7"/>
  <c r="AB49" i="7"/>
  <c r="U50" i="7"/>
  <c r="AB50" i="7"/>
  <c r="AB51" i="7"/>
  <c r="U53" i="7"/>
  <c r="AB53" i="7"/>
  <c r="AB54" i="7"/>
  <c r="AB55" i="7"/>
  <c r="AB56" i="7"/>
  <c r="AB57" i="7"/>
  <c r="U58" i="7"/>
  <c r="AB58" i="7"/>
  <c r="U59" i="7"/>
  <c r="AB59" i="7"/>
  <c r="AB60" i="7"/>
  <c r="U61" i="7"/>
  <c r="AB61" i="7"/>
  <c r="AB62" i="7"/>
  <c r="U63" i="7"/>
  <c r="AB63" i="7"/>
  <c r="U64" i="7"/>
  <c r="AB64" i="7"/>
  <c r="AB65" i="7"/>
  <c r="AB66" i="7"/>
  <c r="U67" i="7"/>
  <c r="AB67" i="7"/>
  <c r="AB68" i="7"/>
  <c r="AB69" i="7"/>
  <c r="AB70" i="7"/>
  <c r="AB71" i="7"/>
  <c r="AB72" i="7"/>
  <c r="AB73" i="7"/>
  <c r="D75" i="7"/>
  <c r="C75" i="7" s="1"/>
  <c r="AQ75" i="7"/>
  <c r="BQ75" i="7"/>
  <c r="D76" i="7"/>
  <c r="C76" i="7" s="1"/>
  <c r="AN77" i="7"/>
  <c r="N79" i="7"/>
  <c r="AB79" i="7"/>
  <c r="AK80" i="7"/>
  <c r="AQ81" i="7"/>
  <c r="BN81" i="7"/>
  <c r="AK84" i="7"/>
  <c r="AK85" i="7"/>
  <c r="BK85" i="7"/>
  <c r="BT85" i="7"/>
  <c r="AK86" i="7"/>
  <c r="BN87" i="7"/>
  <c r="J94" i="7"/>
  <c r="F89" i="7"/>
  <c r="F9" i="7" s="1"/>
  <c r="D97" i="7"/>
  <c r="M97" i="7" s="1"/>
  <c r="D100" i="7"/>
  <c r="C100" i="7" s="1"/>
  <c r="K100" i="7" s="1"/>
  <c r="D14" i="8"/>
  <c r="C14" i="8" s="1"/>
  <c r="K14" i="8" s="1"/>
  <c r="Y14" i="8"/>
  <c r="J19" i="8"/>
  <c r="J20" i="8"/>
  <c r="J24" i="8"/>
  <c r="U25" i="8"/>
  <c r="D29" i="8"/>
  <c r="C29" i="8" s="1"/>
  <c r="K29" i="8" s="1"/>
  <c r="J32" i="8"/>
  <c r="U37" i="8"/>
  <c r="U38" i="8"/>
  <c r="D39" i="8"/>
  <c r="C39" i="8" s="1"/>
  <c r="K39" i="8" s="1"/>
  <c r="D41" i="8"/>
  <c r="M41" i="8" s="1"/>
  <c r="J49" i="8"/>
  <c r="Y49" i="8"/>
  <c r="J55" i="8"/>
  <c r="U56" i="8"/>
  <c r="D60" i="8"/>
  <c r="M60" i="8" s="1"/>
  <c r="D61" i="8"/>
  <c r="M61" i="8" s="1"/>
  <c r="J61" i="8"/>
  <c r="Y62" i="8"/>
  <c r="J67" i="8"/>
  <c r="Y69" i="8"/>
  <c r="Y70" i="8"/>
  <c r="Y71" i="8"/>
  <c r="D81" i="8"/>
  <c r="C81" i="8" s="1"/>
  <c r="K81" i="8" s="1"/>
  <c r="J83" i="8"/>
  <c r="J84" i="8"/>
  <c r="Y84" i="8"/>
  <c r="Y85" i="8"/>
  <c r="D92" i="8"/>
  <c r="C92" i="8" s="1"/>
  <c r="K92" i="8" s="1"/>
  <c r="D97" i="8"/>
  <c r="C97" i="8" s="1"/>
  <c r="K97" i="8" s="1"/>
  <c r="D99" i="8"/>
  <c r="C99" i="8" s="1"/>
  <c r="K99" i="8" s="1"/>
  <c r="J99" i="8"/>
  <c r="J102" i="8"/>
  <c r="J105" i="8"/>
  <c r="S13" i="9"/>
  <c r="AA13" i="9"/>
  <c r="J15" i="9"/>
  <c r="Z15" i="9"/>
  <c r="T19" i="9"/>
  <c r="AB19" i="9"/>
  <c r="J20" i="9"/>
  <c r="J24" i="9"/>
  <c r="N25" i="9"/>
  <c r="D28" i="9"/>
  <c r="D30" i="9"/>
  <c r="C30" i="9" s="1"/>
  <c r="AB37" i="9"/>
  <c r="J38" i="9"/>
  <c r="D43" i="9"/>
  <c r="M43" i="9" s="1"/>
  <c r="D48" i="9"/>
  <c r="M48" i="9" s="1"/>
  <c r="D64" i="9"/>
  <c r="J66" i="9"/>
  <c r="D79" i="9"/>
  <c r="C79" i="9" s="1"/>
  <c r="K79" i="9" s="1"/>
  <c r="J95" i="9"/>
  <c r="W13" i="10"/>
  <c r="AF18" i="10"/>
  <c r="AI45" i="10"/>
  <c r="AC78" i="10"/>
  <c r="AI79" i="10"/>
  <c r="AF86" i="10"/>
  <c r="O52" i="11"/>
  <c r="D92" i="11"/>
  <c r="M92" i="11" s="1"/>
  <c r="I52" i="12"/>
  <c r="D62" i="12"/>
  <c r="C62" i="12" s="1"/>
  <c r="Y74" i="12"/>
  <c r="D73" i="9"/>
  <c r="M73" i="9" s="1"/>
  <c r="AA74" i="9"/>
  <c r="J76" i="9"/>
  <c r="J79" i="9"/>
  <c r="J82" i="9"/>
  <c r="J85" i="9"/>
  <c r="J88" i="9"/>
  <c r="D94" i="9"/>
  <c r="C94" i="9" s="1"/>
  <c r="K94" i="9" s="1"/>
  <c r="J94" i="9"/>
  <c r="D97" i="9"/>
  <c r="C97" i="9" s="1"/>
  <c r="K97" i="9" s="1"/>
  <c r="D103" i="9"/>
  <c r="C103" i="9" s="1"/>
  <c r="K103" i="9" s="1"/>
  <c r="U17" i="10"/>
  <c r="Z18" i="10"/>
  <c r="N20" i="10"/>
  <c r="U21" i="10"/>
  <c r="D25" i="10"/>
  <c r="U28" i="10"/>
  <c r="Z34" i="10"/>
  <c r="J46" i="10"/>
  <c r="J51" i="10"/>
  <c r="J62" i="10"/>
  <c r="J81" i="10"/>
  <c r="AI82" i="10"/>
  <c r="AF83" i="10"/>
  <c r="AF87" i="10"/>
  <c r="J100" i="10"/>
  <c r="D101" i="10"/>
  <c r="C101" i="10" s="1"/>
  <c r="D103" i="10"/>
  <c r="N104" i="10"/>
  <c r="D105" i="10"/>
  <c r="C105" i="10" s="1"/>
  <c r="K105" i="10" s="1"/>
  <c r="N30" i="11"/>
  <c r="J32" i="11"/>
  <c r="J34" i="11"/>
  <c r="J36" i="11"/>
  <c r="J38" i="11"/>
  <c r="J40" i="11"/>
  <c r="D47" i="11"/>
  <c r="M47" i="11" s="1"/>
  <c r="J49" i="11"/>
  <c r="R52" i="11"/>
  <c r="J69" i="11"/>
  <c r="J83" i="11"/>
  <c r="D87" i="11"/>
  <c r="M87" i="11" s="1"/>
  <c r="D94" i="11"/>
  <c r="M94" i="11" s="1"/>
  <c r="J98" i="11"/>
  <c r="O13" i="12"/>
  <c r="T15" i="12"/>
  <c r="W16" i="12"/>
  <c r="J17" i="12"/>
  <c r="F13" i="12"/>
  <c r="J21" i="12"/>
  <c r="D25" i="12"/>
  <c r="C25" i="12" s="1"/>
  <c r="T25" i="12"/>
  <c r="J27" i="12"/>
  <c r="W30" i="12"/>
  <c r="T34" i="12"/>
  <c r="W36" i="12"/>
  <c r="J37" i="12"/>
  <c r="T38" i="12"/>
  <c r="D41" i="12"/>
  <c r="M41" i="12" s="1"/>
  <c r="W44" i="12"/>
  <c r="D45" i="12"/>
  <c r="M45" i="12" s="1"/>
  <c r="D46" i="12"/>
  <c r="C46" i="12" s="1"/>
  <c r="T46" i="12"/>
  <c r="J48" i="12"/>
  <c r="N54" i="12"/>
  <c r="T54" i="12"/>
  <c r="D56" i="12"/>
  <c r="C56" i="12" s="1"/>
  <c r="J59" i="12"/>
  <c r="D65" i="12"/>
  <c r="C65" i="12" s="1"/>
  <c r="T66" i="12"/>
  <c r="N67" i="12"/>
  <c r="W67" i="12"/>
  <c r="J68" i="12"/>
  <c r="D70" i="12"/>
  <c r="C70" i="12" s="1"/>
  <c r="T71" i="12"/>
  <c r="W72" i="12"/>
  <c r="J75" i="12"/>
  <c r="V74" i="12"/>
  <c r="N78" i="12"/>
  <c r="T78" i="12"/>
  <c r="W79" i="12"/>
  <c r="T82" i="12"/>
  <c r="T84" i="12"/>
  <c r="J96" i="12"/>
  <c r="J99" i="12"/>
  <c r="J17" i="13"/>
  <c r="J19" i="13"/>
  <c r="N27" i="13"/>
  <c r="AC34" i="13"/>
  <c r="J67" i="13"/>
  <c r="D71" i="13"/>
  <c r="C71" i="13" s="1"/>
  <c r="J81" i="13"/>
  <c r="U80" i="14"/>
  <c r="R74" i="14"/>
  <c r="V75" i="15"/>
  <c r="S74" i="15"/>
  <c r="V74" i="15" s="1"/>
  <c r="AO31" i="16"/>
  <c r="AG73" i="16"/>
  <c r="AO13" i="17"/>
  <c r="BJ13" i="17"/>
  <c r="J66" i="10"/>
  <c r="J73" i="10"/>
  <c r="AB74" i="10"/>
  <c r="F74" i="10"/>
  <c r="J82" i="10"/>
  <c r="J85" i="10"/>
  <c r="J96" i="10"/>
  <c r="O31" i="11"/>
  <c r="D51" i="11"/>
  <c r="C51" i="11" s="1"/>
  <c r="K51" i="11" s="1"/>
  <c r="J54" i="11"/>
  <c r="J57" i="11"/>
  <c r="D58" i="11"/>
  <c r="C58" i="11" s="1"/>
  <c r="K58" i="11" s="1"/>
  <c r="J63" i="11"/>
  <c r="D64" i="11"/>
  <c r="C64" i="11" s="1"/>
  <c r="K64" i="11" s="1"/>
  <c r="D98" i="11"/>
  <c r="C98" i="11" s="1"/>
  <c r="J99" i="11"/>
  <c r="J104" i="11"/>
  <c r="Y13" i="12"/>
  <c r="D17" i="12"/>
  <c r="C17" i="12" s="1"/>
  <c r="W19" i="12"/>
  <c r="J20" i="12"/>
  <c r="D21" i="12"/>
  <c r="M21" i="12" s="1"/>
  <c r="D27" i="12"/>
  <c r="T28" i="12"/>
  <c r="J32" i="12"/>
  <c r="D33" i="12"/>
  <c r="M33" i="12" s="1"/>
  <c r="W54" i="12"/>
  <c r="J55" i="12"/>
  <c r="T60" i="12"/>
  <c r="W63" i="12"/>
  <c r="J64" i="12"/>
  <c r="D68" i="12"/>
  <c r="M68" i="12" s="1"/>
  <c r="E74" i="12"/>
  <c r="N87" i="12"/>
  <c r="T88" i="12"/>
  <c r="D99" i="12"/>
  <c r="M99" i="12" s="1"/>
  <c r="D104" i="12"/>
  <c r="O13" i="13"/>
  <c r="AC20" i="13"/>
  <c r="U21" i="13"/>
  <c r="D24" i="13"/>
  <c r="AC26" i="13"/>
  <c r="Y35" i="13"/>
  <c r="Y36" i="13"/>
  <c r="J37" i="13"/>
  <c r="AC40" i="13"/>
  <c r="Y42" i="13"/>
  <c r="N49" i="13"/>
  <c r="Y49" i="13"/>
  <c r="J51" i="13"/>
  <c r="J63" i="13"/>
  <c r="U65" i="13"/>
  <c r="U72" i="13"/>
  <c r="D77" i="13"/>
  <c r="M77" i="13" s="1"/>
  <c r="D81" i="13"/>
  <c r="C81" i="13" s="1"/>
  <c r="AI32" i="16"/>
  <c r="AG32" i="16"/>
  <c r="N54" i="13"/>
  <c r="AC54" i="13"/>
  <c r="U55" i="13"/>
  <c r="E74" i="13"/>
  <c r="Y75" i="13"/>
  <c r="X52" i="18"/>
  <c r="G74" i="9"/>
  <c r="P74" i="9" s="1"/>
  <c r="S74" i="9"/>
  <c r="AB76" i="9"/>
  <c r="AB79" i="9"/>
  <c r="AB82" i="9"/>
  <c r="AB85" i="9"/>
  <c r="AI14" i="10"/>
  <c r="N18" i="10"/>
  <c r="AF22" i="10"/>
  <c r="Z35" i="10"/>
  <c r="N36" i="10"/>
  <c r="AC42" i="10"/>
  <c r="U44" i="10"/>
  <c r="U46" i="10"/>
  <c r="J50" i="10"/>
  <c r="U55" i="10"/>
  <c r="U62" i="10"/>
  <c r="D66" i="10"/>
  <c r="C66" i="10" s="1"/>
  <c r="O74" i="10"/>
  <c r="AG74" i="10"/>
  <c r="U78" i="10"/>
  <c r="D82" i="10"/>
  <c r="M82" i="10" s="1"/>
  <c r="N88" i="10"/>
  <c r="J56" i="11"/>
  <c r="J100" i="11"/>
  <c r="N14" i="12"/>
  <c r="T14" i="12"/>
  <c r="AA13" i="12"/>
  <c r="W18" i="12"/>
  <c r="J19" i="12"/>
  <c r="T21" i="12"/>
  <c r="N24" i="12"/>
  <c r="D26" i="12"/>
  <c r="C26" i="12" s="1"/>
  <c r="W28" i="12"/>
  <c r="J29" i="12"/>
  <c r="Y31" i="12"/>
  <c r="W38" i="12"/>
  <c r="T50" i="12"/>
  <c r="D55" i="12"/>
  <c r="C55" i="12" s="1"/>
  <c r="N59" i="12"/>
  <c r="T59" i="12"/>
  <c r="J61" i="12"/>
  <c r="T65" i="12"/>
  <c r="D78" i="12"/>
  <c r="M78" i="12" s="1"/>
  <c r="D94" i="12"/>
  <c r="M94" i="12" s="1"/>
  <c r="J95" i="12"/>
  <c r="N96" i="12"/>
  <c r="D105" i="12"/>
  <c r="C105" i="12" s="1"/>
  <c r="K105" i="12" s="1"/>
  <c r="AC14" i="13"/>
  <c r="N19" i="13"/>
  <c r="AC23" i="13"/>
  <c r="J27" i="13"/>
  <c r="U28" i="13"/>
  <c r="N45" i="13"/>
  <c r="Y46" i="13"/>
  <c r="D48" i="13"/>
  <c r="M48" i="13" s="1"/>
  <c r="Y55" i="13"/>
  <c r="D56" i="13"/>
  <c r="M56" i="13" s="1"/>
  <c r="J59" i="13"/>
  <c r="Y65" i="13"/>
  <c r="U66" i="13"/>
  <c r="AC66" i="13"/>
  <c r="N67" i="13"/>
  <c r="U67" i="13"/>
  <c r="D69" i="13"/>
  <c r="M69" i="13" s="1"/>
  <c r="J69" i="13"/>
  <c r="Y72" i="13"/>
  <c r="N77" i="13"/>
  <c r="N79" i="13"/>
  <c r="N81" i="13"/>
  <c r="J88" i="13"/>
  <c r="AD73" i="14"/>
  <c r="Y20" i="16"/>
  <c r="AE40" i="16"/>
  <c r="T72" i="9"/>
  <c r="O74" i="9"/>
  <c r="J90" i="9"/>
  <c r="J93" i="9"/>
  <c r="D99" i="9"/>
  <c r="M99" i="9" s="1"/>
  <c r="F13" i="10"/>
  <c r="U16" i="10"/>
  <c r="AI18" i="10"/>
  <c r="U20" i="10"/>
  <c r="U23" i="10"/>
  <c r="J25" i="10"/>
  <c r="U27" i="10"/>
  <c r="AI29" i="10"/>
  <c r="AF30" i="10"/>
  <c r="D32" i="10"/>
  <c r="M32" i="10" s="1"/>
  <c r="AI34" i="10"/>
  <c r="D36" i="10"/>
  <c r="M36" i="10" s="1"/>
  <c r="Z36" i="10"/>
  <c r="U38" i="10"/>
  <c r="AF38" i="10"/>
  <c r="D39" i="10"/>
  <c r="C39" i="10" s="1"/>
  <c r="K39" i="10" s="1"/>
  <c r="U41" i="10"/>
  <c r="D42" i="10"/>
  <c r="M42" i="10" s="1"/>
  <c r="AI43" i="10"/>
  <c r="AF46" i="10"/>
  <c r="J48" i="10"/>
  <c r="AF53" i="10"/>
  <c r="J54" i="10"/>
  <c r="D56" i="10"/>
  <c r="M56" i="10" s="1"/>
  <c r="AF62" i="10"/>
  <c r="D63" i="10"/>
  <c r="Z63" i="10"/>
  <c r="AF66" i="10"/>
  <c r="D67" i="10"/>
  <c r="M67" i="10" s="1"/>
  <c r="Z67" i="10"/>
  <c r="D70" i="10"/>
  <c r="C70" i="10" s="1"/>
  <c r="K70" i="10" s="1"/>
  <c r="AF78" i="10"/>
  <c r="D79" i="10"/>
  <c r="M79" i="10" s="1"/>
  <c r="T74" i="10"/>
  <c r="AF82" i="10"/>
  <c r="D83" i="10"/>
  <c r="C83" i="10" s="1"/>
  <c r="K83" i="10" s="1"/>
  <c r="Z87" i="10"/>
  <c r="D93" i="10"/>
  <c r="M93" i="10" s="1"/>
  <c r="J101" i="10"/>
  <c r="D33" i="11"/>
  <c r="M33" i="11" s="1"/>
  <c r="D35" i="11"/>
  <c r="C35" i="11" s="1"/>
  <c r="K35" i="11" s="1"/>
  <c r="D37" i="11"/>
  <c r="C37" i="11" s="1"/>
  <c r="K37" i="11" s="1"/>
  <c r="D39" i="11"/>
  <c r="M39" i="11" s="1"/>
  <c r="J41" i="11"/>
  <c r="J45" i="11"/>
  <c r="D62" i="11"/>
  <c r="C62" i="11" s="1"/>
  <c r="K62" i="11" s="1"/>
  <c r="D68" i="11"/>
  <c r="C68" i="11" s="1"/>
  <c r="K68" i="11" s="1"/>
  <c r="J70" i="11"/>
  <c r="D78" i="11"/>
  <c r="M78" i="11" s="1"/>
  <c r="D85" i="11"/>
  <c r="C85" i="11" s="1"/>
  <c r="K85" i="11" s="1"/>
  <c r="J91" i="11"/>
  <c r="J93" i="11"/>
  <c r="N95" i="11"/>
  <c r="D96" i="11"/>
  <c r="C96" i="11" s="1"/>
  <c r="K96" i="11" s="1"/>
  <c r="J97" i="11"/>
  <c r="D105" i="11"/>
  <c r="J106" i="11"/>
  <c r="T16" i="12"/>
  <c r="J18" i="12"/>
  <c r="S13" i="12"/>
  <c r="W24" i="12"/>
  <c r="J25" i="12"/>
  <c r="T26" i="12"/>
  <c r="D29" i="12"/>
  <c r="C29" i="12" s="1"/>
  <c r="T30" i="12"/>
  <c r="T32" i="12"/>
  <c r="W37" i="12"/>
  <c r="J38" i="12"/>
  <c r="T39" i="12"/>
  <c r="N44" i="12"/>
  <c r="T44" i="12"/>
  <c r="W45" i="12"/>
  <c r="J46" i="12"/>
  <c r="D53" i="12"/>
  <c r="D63" i="12"/>
  <c r="M63" i="12" s="1"/>
  <c r="T67" i="12"/>
  <c r="W69" i="12"/>
  <c r="J70" i="12"/>
  <c r="T72" i="12"/>
  <c r="W76" i="12"/>
  <c r="J77" i="12"/>
  <c r="T79" i="12"/>
  <c r="W81" i="12"/>
  <c r="D84" i="12"/>
  <c r="M84" i="12" s="1"/>
  <c r="J84" i="12"/>
  <c r="D90" i="12"/>
  <c r="Y17" i="13"/>
  <c r="D20" i="13"/>
  <c r="M20" i="13" s="1"/>
  <c r="D27" i="13"/>
  <c r="C27" i="13" s="1"/>
  <c r="U29" i="13"/>
  <c r="J30" i="13"/>
  <c r="D33" i="13"/>
  <c r="AC35" i="13"/>
  <c r="U36" i="13"/>
  <c r="AC36" i="13"/>
  <c r="J38" i="13"/>
  <c r="AC41" i="13"/>
  <c r="U42" i="13"/>
  <c r="AC42" i="13"/>
  <c r="J46" i="13"/>
  <c r="D47" i="13"/>
  <c r="M47" i="13" s="1"/>
  <c r="U48" i="13"/>
  <c r="AC48" i="13"/>
  <c r="N50" i="13"/>
  <c r="N51" i="13"/>
  <c r="Y54" i="13"/>
  <c r="N55" i="13"/>
  <c r="U58" i="13"/>
  <c r="U62" i="13"/>
  <c r="AC62" i="13"/>
  <c r="N63" i="13"/>
  <c r="U63" i="13"/>
  <c r="J64" i="13"/>
  <c r="D65" i="13"/>
  <c r="M65" i="13" s="1"/>
  <c r="Y67" i="13"/>
  <c r="D72" i="13"/>
  <c r="AC75" i="13"/>
  <c r="D88" i="13"/>
  <c r="M88" i="13" s="1"/>
  <c r="U34" i="14"/>
  <c r="R31" i="14"/>
  <c r="U84" i="16"/>
  <c r="AG86" i="16"/>
  <c r="Y86" i="16"/>
  <c r="AS13" i="17"/>
  <c r="AY13" i="17"/>
  <c r="BZ13" i="17"/>
  <c r="AG13" i="17"/>
  <c r="Y82" i="13"/>
  <c r="Y85" i="13"/>
  <c r="J86" i="13"/>
  <c r="AC87" i="13"/>
  <c r="N100" i="13"/>
  <c r="AE73" i="14"/>
  <c r="X74" i="14"/>
  <c r="U76" i="14"/>
  <c r="U78" i="14"/>
  <c r="T13" i="15"/>
  <c r="AC13" i="15"/>
  <c r="U69" i="15"/>
  <c r="Y86" i="15"/>
  <c r="U88" i="15"/>
  <c r="AE14" i="16"/>
  <c r="AB17" i="16"/>
  <c r="AB19" i="16"/>
  <c r="U20" i="16"/>
  <c r="AE25" i="16"/>
  <c r="U29" i="16"/>
  <c r="Y29" i="16"/>
  <c r="X31" i="16"/>
  <c r="AI40" i="16"/>
  <c r="Y43" i="16"/>
  <c r="U49" i="16"/>
  <c r="AM50" i="16"/>
  <c r="AI51" i="16"/>
  <c r="Y53" i="16"/>
  <c r="AM58" i="16"/>
  <c r="U61" i="16"/>
  <c r="AM63" i="16"/>
  <c r="Y73" i="16"/>
  <c r="AQ74" i="16"/>
  <c r="AE76" i="16"/>
  <c r="AB81" i="16"/>
  <c r="AK82" i="16"/>
  <c r="AB85" i="16"/>
  <c r="AB88" i="16"/>
  <c r="Z13" i="17"/>
  <c r="AB18" i="17"/>
  <c r="BE18" i="17"/>
  <c r="U20" i="17"/>
  <c r="AD9" i="14"/>
  <c r="U27" i="14"/>
  <c r="U39" i="14"/>
  <c r="U56" i="14"/>
  <c r="W82" i="14"/>
  <c r="Y82" i="14" s="1"/>
  <c r="T13" i="16"/>
  <c r="AM24" i="16"/>
  <c r="AT31" i="16"/>
  <c r="Y39" i="16"/>
  <c r="AB41" i="16"/>
  <c r="AI45" i="16"/>
  <c r="AO52" i="16"/>
  <c r="AU52" i="16"/>
  <c r="AB60" i="16"/>
  <c r="AG66" i="16"/>
  <c r="AE81" i="16"/>
  <c r="AI87" i="16"/>
  <c r="BX13" i="17"/>
  <c r="T13" i="17"/>
  <c r="BI13" i="17"/>
  <c r="AN30" i="17"/>
  <c r="U39" i="17"/>
  <c r="R31" i="17"/>
  <c r="AK17" i="18"/>
  <c r="V77" i="18"/>
  <c r="S74" i="18"/>
  <c r="V74" i="18" s="1"/>
  <c r="N94" i="13"/>
  <c r="N98" i="13"/>
  <c r="D105" i="13"/>
  <c r="M105" i="13" s="1"/>
  <c r="W20" i="14"/>
  <c r="Y20" i="14" s="1"/>
  <c r="W26" i="14"/>
  <c r="Y26" i="14" s="1"/>
  <c r="AB30" i="14"/>
  <c r="W37" i="14"/>
  <c r="Y37" i="14" s="1"/>
  <c r="U68" i="14"/>
  <c r="AN31" i="16"/>
  <c r="AQ31" i="16"/>
  <c r="AJ52" i="16"/>
  <c r="AM70" i="16"/>
  <c r="AM73" i="16"/>
  <c r="AT74" i="16"/>
  <c r="AA13" i="17"/>
  <c r="BQ13" i="17"/>
  <c r="BW13" i="17"/>
  <c r="AF13" i="17"/>
  <c r="AI13" i="17"/>
  <c r="AC13" i="17"/>
  <c r="N83" i="13"/>
  <c r="N86" i="13"/>
  <c r="U86" i="13"/>
  <c r="Y87" i="13"/>
  <c r="U88" i="13"/>
  <c r="N95" i="13"/>
  <c r="D100" i="13"/>
  <c r="M100" i="13" s="1"/>
  <c r="J101" i="13"/>
  <c r="U14" i="14"/>
  <c r="U20" i="14"/>
  <c r="U26" i="14"/>
  <c r="W34" i="14"/>
  <c r="Y34" i="14" s="1"/>
  <c r="U51" i="14"/>
  <c r="T52" i="14"/>
  <c r="AC52" i="14"/>
  <c r="W61" i="14"/>
  <c r="Y61" i="14" s="1"/>
  <c r="W62" i="14"/>
  <c r="Y62" i="14" s="1"/>
  <c r="W69" i="14"/>
  <c r="Y69" i="14" s="1"/>
  <c r="AA73" i="14"/>
  <c r="W79" i="14"/>
  <c r="Y79" i="14" s="1"/>
  <c r="W81" i="14"/>
  <c r="Y81" i="14" s="1"/>
  <c r="U83" i="14"/>
  <c r="AB31" i="15"/>
  <c r="U56" i="15"/>
  <c r="U86" i="15"/>
  <c r="AO13" i="16"/>
  <c r="U21" i="16"/>
  <c r="U26" i="16"/>
  <c r="U30" i="16"/>
  <c r="AI38" i="16"/>
  <c r="AK40" i="16"/>
  <c r="U46" i="16"/>
  <c r="AI47" i="16"/>
  <c r="U50" i="16"/>
  <c r="AI50" i="16"/>
  <c r="AK51" i="16"/>
  <c r="U54" i="16"/>
  <c r="AK57" i="16"/>
  <c r="AI58" i="16"/>
  <c r="AE60" i="16"/>
  <c r="Y61" i="16"/>
  <c r="U64" i="16"/>
  <c r="T74" i="16"/>
  <c r="U80" i="16"/>
  <c r="AI81" i="16"/>
  <c r="U82" i="16"/>
  <c r="AB83" i="16"/>
  <c r="BM13" i="17"/>
  <c r="BA25" i="17"/>
  <c r="AE28" i="17"/>
  <c r="AK31" i="17"/>
  <c r="BP52" i="17"/>
  <c r="AP74" i="17"/>
  <c r="AV74" i="17"/>
  <c r="Y86" i="13"/>
  <c r="D87" i="13"/>
  <c r="C87" i="13" s="1"/>
  <c r="Y88" i="13"/>
  <c r="D90" i="13"/>
  <c r="J91" i="13"/>
  <c r="D93" i="13"/>
  <c r="M93" i="13" s="1"/>
  <c r="J98" i="13"/>
  <c r="D101" i="13"/>
  <c r="M101" i="13" s="1"/>
  <c r="D106" i="13"/>
  <c r="M106" i="13" s="1"/>
  <c r="X31" i="14"/>
  <c r="U33" i="14"/>
  <c r="U48" i="14"/>
  <c r="W49" i="14"/>
  <c r="Y49" i="14" s="1"/>
  <c r="U55" i="14"/>
  <c r="U79" i="14"/>
  <c r="U84" i="14"/>
  <c r="U87" i="14"/>
  <c r="AM15" i="16"/>
  <c r="U16" i="16"/>
  <c r="AM17" i="16"/>
  <c r="AI22" i="16"/>
  <c r="AB25" i="16"/>
  <c r="AG38" i="16"/>
  <c r="AK66" i="16"/>
  <c r="Y71" i="16"/>
  <c r="AX13" i="17"/>
  <c r="AH13" i="17"/>
  <c r="AT13" i="17"/>
  <c r="AZ13" i="17"/>
  <c r="BU13" i="17"/>
  <c r="AK13" i="17"/>
  <c r="BA16" i="17"/>
  <c r="BL13" i="17"/>
  <c r="AR13" i="17"/>
  <c r="BY13" i="17"/>
  <c r="AN18" i="17"/>
  <c r="AN23" i="17"/>
  <c r="BG27" i="17"/>
  <c r="BE76" i="17"/>
  <c r="BB74" i="17"/>
  <c r="BE74" i="17" s="1"/>
  <c r="AJ74" i="17"/>
  <c r="BU74" i="17"/>
  <c r="BH31" i="17"/>
  <c r="BN31" i="17"/>
  <c r="BU31" i="17"/>
  <c r="AF31" i="17"/>
  <c r="AB35" i="17"/>
  <c r="T31" i="17"/>
  <c r="AO31" i="17"/>
  <c r="U43" i="17"/>
  <c r="BI52" i="17"/>
  <c r="BO52" i="17"/>
  <c r="BV52" i="17"/>
  <c r="AF52" i="17"/>
  <c r="AL52" i="17"/>
  <c r="BA56" i="17"/>
  <c r="BD52" i="17"/>
  <c r="BG61" i="17"/>
  <c r="U65" i="17"/>
  <c r="AJ52" i="17"/>
  <c r="BA85" i="17"/>
  <c r="Y16" i="18"/>
  <c r="AK30" i="18"/>
  <c r="AS42" i="18"/>
  <c r="AS49" i="18"/>
  <c r="AL16" i="19"/>
  <c r="AW26" i="19"/>
  <c r="AB24" i="20"/>
  <c r="U30" i="17"/>
  <c r="AA31" i="17"/>
  <c r="BE34" i="17"/>
  <c r="AQ31" i="17"/>
  <c r="BD31" i="17"/>
  <c r="BY31" i="17"/>
  <c r="BA47" i="17"/>
  <c r="AN63" i="17"/>
  <c r="BA68" i="17"/>
  <c r="AA74" i="17"/>
  <c r="BJ74" i="17"/>
  <c r="BP74" i="17"/>
  <c r="BW74" i="17"/>
  <c r="AS14" i="18"/>
  <c r="AO15" i="18"/>
  <c r="AC16" i="18"/>
  <c r="AK16" i="18"/>
  <c r="AD13" i="18"/>
  <c r="AG21" i="18"/>
  <c r="AK23" i="18"/>
  <c r="U25" i="18"/>
  <c r="AO26" i="18"/>
  <c r="AJ31" i="18"/>
  <c r="AC33" i="18"/>
  <c r="AK33" i="18"/>
  <c r="U35" i="18"/>
  <c r="AO36" i="18"/>
  <c r="Y37" i="18"/>
  <c r="AG40" i="18"/>
  <c r="AK44" i="18"/>
  <c r="AS44" i="18"/>
  <c r="AO50" i="18"/>
  <c r="U54" i="18"/>
  <c r="AS55" i="18"/>
  <c r="AC75" i="18"/>
  <c r="Z74" i="18"/>
  <c r="AK75" i="18"/>
  <c r="AH74" i="18"/>
  <c r="AK82" i="18"/>
  <c r="AT15" i="19"/>
  <c r="BA15" i="19"/>
  <c r="AP42" i="19"/>
  <c r="AP46" i="19"/>
  <c r="AW55" i="19"/>
  <c r="AE58" i="19"/>
  <c r="AP69" i="19"/>
  <c r="AL79" i="19"/>
  <c r="BA87" i="19"/>
  <c r="AP88" i="19"/>
  <c r="BG32" i="17"/>
  <c r="BA38" i="17"/>
  <c r="BA40" i="17"/>
  <c r="BA50" i="17"/>
  <c r="BA53" i="17"/>
  <c r="BT59" i="17"/>
  <c r="AE68" i="17"/>
  <c r="U70" i="17"/>
  <c r="T74" i="17"/>
  <c r="AR74" i="17"/>
  <c r="AX74" i="17"/>
  <c r="U9" i="18"/>
  <c r="AG19" i="18"/>
  <c r="AO19" i="18"/>
  <c r="AS20" i="18"/>
  <c r="AC22" i="18"/>
  <c r="AK22" i="18"/>
  <c r="AS22" i="18"/>
  <c r="AO28" i="18"/>
  <c r="AG30" i="18"/>
  <c r="AO30" i="18"/>
  <c r="AG32" i="18"/>
  <c r="U33" i="18"/>
  <c r="U38" i="18"/>
  <c r="AO42" i="18"/>
  <c r="AK47" i="18"/>
  <c r="AS47" i="18"/>
  <c r="AG48" i="18"/>
  <c r="AK53" i="18"/>
  <c r="AK59" i="18"/>
  <c r="AK62" i="18"/>
  <c r="AS62" i="18"/>
  <c r="AW18" i="19"/>
  <c r="AZ52" i="19"/>
  <c r="AT83" i="19"/>
  <c r="AI84" i="19"/>
  <c r="AE85" i="19"/>
  <c r="AI86" i="19"/>
  <c r="BE28" i="17"/>
  <c r="BX31" i="17"/>
  <c r="U47" i="17"/>
  <c r="AN47" i="17"/>
  <c r="AT31" i="17"/>
  <c r="Y50" i="17"/>
  <c r="AE57" i="17"/>
  <c r="BG57" i="17"/>
  <c r="AD52" i="17"/>
  <c r="BG59" i="17"/>
  <c r="BE61" i="17"/>
  <c r="BG63" i="17"/>
  <c r="U64" i="17"/>
  <c r="U67" i="17"/>
  <c r="AN68" i="17"/>
  <c r="AB71" i="17"/>
  <c r="BA73" i="17"/>
  <c r="BA77" i="17"/>
  <c r="U80" i="17"/>
  <c r="AB13" i="18"/>
  <c r="AJ13" i="18"/>
  <c r="Y19" i="18"/>
  <c r="U22" i="18"/>
  <c r="AB31" i="18"/>
  <c r="U36" i="18"/>
  <c r="U43" i="18"/>
  <c r="AQ52" i="18"/>
  <c r="U58" i="18"/>
  <c r="U28" i="19"/>
  <c r="T31" i="19"/>
  <c r="AD31" i="19"/>
  <c r="AA31" i="19"/>
  <c r="AQ31" i="19"/>
  <c r="BA41" i="19"/>
  <c r="BG28" i="17"/>
  <c r="AN38" i="17"/>
  <c r="AB50" i="17"/>
  <c r="AB51" i="17"/>
  <c r="BZ52" i="17"/>
  <c r="AB54" i="17"/>
  <c r="AE55" i="17"/>
  <c r="BT72" i="17"/>
  <c r="AO16" i="18"/>
  <c r="AC17" i="18"/>
  <c r="AN13" i="18"/>
  <c r="AC21" i="18"/>
  <c r="Y25" i="18"/>
  <c r="AS26" i="18"/>
  <c r="S31" i="18"/>
  <c r="V31" i="18" s="1"/>
  <c r="AC36" i="18"/>
  <c r="Y38" i="18"/>
  <c r="AC42" i="18"/>
  <c r="AS43" i="18"/>
  <c r="AG44" i="18"/>
  <c r="AO44" i="18"/>
  <c r="AK50" i="18"/>
  <c r="AS50" i="18"/>
  <c r="AS57" i="18"/>
  <c r="AS61" i="18"/>
  <c r="AG66" i="18"/>
  <c r="Y67" i="18"/>
  <c r="AE52" i="18"/>
  <c r="AQ74" i="18"/>
  <c r="T74" i="18"/>
  <c r="AT28" i="19"/>
  <c r="AT30" i="19"/>
  <c r="BA39" i="19"/>
  <c r="BA49" i="19"/>
  <c r="AW51" i="19"/>
  <c r="AE53" i="19"/>
  <c r="BA63" i="19"/>
  <c r="BA82" i="19"/>
  <c r="AB46" i="20"/>
  <c r="Z52" i="20"/>
  <c r="AS59" i="18"/>
  <c r="U62" i="18"/>
  <c r="U9" i="19"/>
  <c r="Z15" i="19"/>
  <c r="AP17" i="19"/>
  <c r="Z18" i="19"/>
  <c r="AI19" i="19"/>
  <c r="AE20" i="19"/>
  <c r="Z22" i="19"/>
  <c r="AI26" i="19"/>
  <c r="AP26" i="19"/>
  <c r="AE28" i="19"/>
  <c r="AE30" i="19"/>
  <c r="AI34" i="19"/>
  <c r="AH31" i="19"/>
  <c r="AL41" i="19"/>
  <c r="AP44" i="19"/>
  <c r="BA46" i="19"/>
  <c r="AE47" i="19"/>
  <c r="AI48" i="19"/>
  <c r="AL50" i="19"/>
  <c r="AB54" i="19"/>
  <c r="U67" i="19"/>
  <c r="AT68" i="19"/>
  <c r="BA68" i="19"/>
  <c r="AS74" i="19"/>
  <c r="AI88" i="19"/>
  <c r="AB18" i="20"/>
  <c r="AB19" i="20"/>
  <c r="AI37" i="20"/>
  <c r="AB47" i="20"/>
  <c r="AK47" i="20"/>
  <c r="AE48" i="20"/>
  <c r="T52" i="20"/>
  <c r="AB56" i="20"/>
  <c r="AB68" i="20"/>
  <c r="U66" i="18"/>
  <c r="AR74" i="18"/>
  <c r="W13" i="19"/>
  <c r="AW16" i="19"/>
  <c r="AB21" i="19"/>
  <c r="U22" i="19"/>
  <c r="AB40" i="19"/>
  <c r="AW45" i="19"/>
  <c r="AT46" i="19"/>
  <c r="AW47" i="19"/>
  <c r="AB48" i="19"/>
  <c r="AE50" i="19"/>
  <c r="Y52" i="19"/>
  <c r="BA55" i="19"/>
  <c r="AB58" i="19"/>
  <c r="U65" i="19"/>
  <c r="AI66" i="19"/>
  <c r="AT69" i="19"/>
  <c r="AI70" i="19"/>
  <c r="Z75" i="19"/>
  <c r="BA75" i="19"/>
  <c r="U78" i="19"/>
  <c r="AE78" i="19"/>
  <c r="U80" i="19"/>
  <c r="AE41" i="20"/>
  <c r="AK66" i="20"/>
  <c r="AK72" i="20"/>
  <c r="AE76" i="20"/>
  <c r="AE82" i="20"/>
  <c r="AK85" i="20"/>
  <c r="AN52" i="18"/>
  <c r="AC65" i="18"/>
  <c r="AK65" i="18"/>
  <c r="AS65" i="18"/>
  <c r="AC78" i="18"/>
  <c r="U85" i="18"/>
  <c r="AB14" i="19"/>
  <c r="AE27" i="19"/>
  <c r="AB28" i="19"/>
  <c r="AO13" i="19"/>
  <c r="AB41" i="19"/>
  <c r="AB45" i="19"/>
  <c r="AB49" i="19"/>
  <c r="U53" i="19"/>
  <c r="AH52" i="19"/>
  <c r="Z56" i="19"/>
  <c r="U58" i="19"/>
  <c r="AB67" i="19"/>
  <c r="Z68" i="19"/>
  <c r="U70" i="19"/>
  <c r="AT75" i="19"/>
  <c r="Z78" i="19"/>
  <c r="AP78" i="19"/>
  <c r="AI79" i="19"/>
  <c r="AP83" i="19"/>
  <c r="AE84" i="19"/>
  <c r="AE86" i="19"/>
  <c r="AE88" i="19"/>
  <c r="AE14" i="20"/>
  <c r="U20" i="20"/>
  <c r="AI32" i="20"/>
  <c r="AE35" i="20"/>
  <c r="AE36" i="20"/>
  <c r="AI38" i="20"/>
  <c r="AB40" i="20"/>
  <c r="AI41" i="20"/>
  <c r="AE49" i="20"/>
  <c r="AK51" i="20"/>
  <c r="AI53" i="20"/>
  <c r="AI55" i="20"/>
  <c r="AK59" i="20"/>
  <c r="AK61" i="20"/>
  <c r="AE66" i="20"/>
  <c r="AE70" i="20"/>
  <c r="AB72" i="20"/>
  <c r="AI82" i="20"/>
  <c r="AE83" i="20"/>
  <c r="AC59" i="18"/>
  <c r="U64" i="18"/>
  <c r="U67" i="18"/>
  <c r="AG69" i="18"/>
  <c r="AO69" i="18"/>
  <c r="AC77" i="18"/>
  <c r="U78" i="18"/>
  <c r="U84" i="18"/>
  <c r="AT17" i="19"/>
  <c r="BA17" i="19"/>
  <c r="AB25" i="19"/>
  <c r="AT26" i="19"/>
  <c r="AP27" i="19"/>
  <c r="BA28" i="19"/>
  <c r="AS31" i="19"/>
  <c r="Z35" i="19"/>
  <c r="AT36" i="19"/>
  <c r="AT38" i="19"/>
  <c r="AI39" i="19"/>
  <c r="AI41" i="19"/>
  <c r="AT44" i="19"/>
  <c r="BA44" i="19"/>
  <c r="AI47" i="19"/>
  <c r="U48" i="19"/>
  <c r="AI49" i="19"/>
  <c r="Z50" i="19"/>
  <c r="AP50" i="19"/>
  <c r="BA53" i="19"/>
  <c r="AL54" i="19"/>
  <c r="AB56" i="19"/>
  <c r="Z57" i="19"/>
  <c r="AW57" i="19"/>
  <c r="AE66" i="19"/>
  <c r="BA67" i="19"/>
  <c r="U69" i="19"/>
  <c r="AW69" i="19"/>
  <c r="AE70" i="19"/>
  <c r="AB72" i="19"/>
  <c r="AE77" i="19"/>
  <c r="AI78" i="19"/>
  <c r="Z81" i="19"/>
  <c r="AI82" i="19"/>
  <c r="AW84" i="19"/>
  <c r="AT85" i="19"/>
  <c r="AP86" i="19"/>
  <c r="AB87" i="19"/>
  <c r="AW88" i="19"/>
  <c r="AI19" i="20"/>
  <c r="U26" i="20"/>
  <c r="AE26" i="20"/>
  <c r="U27" i="20"/>
  <c r="AI27" i="20"/>
  <c r="AI36" i="20"/>
  <c r="AE40" i="20"/>
  <c r="AK41" i="20"/>
  <c r="AK43" i="20"/>
  <c r="AK46" i="20"/>
  <c r="AI47" i="20"/>
  <c r="AB55" i="20"/>
  <c r="AK55" i="20"/>
  <c r="U59" i="20"/>
  <c r="U72" i="20"/>
  <c r="AK80" i="20"/>
  <c r="U83" i="20"/>
  <c r="L52" i="1"/>
  <c r="AB84" i="19"/>
  <c r="X74" i="19"/>
  <c r="AF13" i="1"/>
  <c r="F31" i="1"/>
  <c r="AN52" i="1"/>
  <c r="F52" i="2"/>
  <c r="S52" i="2"/>
  <c r="V52" i="2" s="1"/>
  <c r="X13" i="4"/>
  <c r="V17" i="4"/>
  <c r="S13" i="4"/>
  <c r="V13" i="4" s="1"/>
  <c r="Z31" i="4"/>
  <c r="R52" i="4"/>
  <c r="U52" i="4" s="1"/>
  <c r="U54" i="4"/>
  <c r="AB15" i="7"/>
  <c r="AA13" i="7"/>
  <c r="T13" i="1"/>
  <c r="AA15" i="1"/>
  <c r="W17" i="1"/>
  <c r="Z17" i="1" s="1"/>
  <c r="X20" i="1"/>
  <c r="AA20" i="1"/>
  <c r="Y21" i="1"/>
  <c r="X24" i="1"/>
  <c r="Y27" i="1"/>
  <c r="AQ27" i="1"/>
  <c r="X30" i="1"/>
  <c r="Y33" i="1"/>
  <c r="I31" i="1"/>
  <c r="Q31" i="1" s="1"/>
  <c r="AG31" i="1"/>
  <c r="AM31" i="1"/>
  <c r="X37" i="1"/>
  <c r="AB37" i="1" s="1"/>
  <c r="AA37" i="1"/>
  <c r="X38" i="1"/>
  <c r="AA38" i="1"/>
  <c r="X39" i="1"/>
  <c r="J40" i="1"/>
  <c r="D41" i="1"/>
  <c r="M41" i="1" s="1"/>
  <c r="U41" i="1"/>
  <c r="X42" i="1"/>
  <c r="X43" i="1"/>
  <c r="AB43" i="1" s="1"/>
  <c r="AA43" i="1"/>
  <c r="W44" i="1"/>
  <c r="Z44" i="1" s="1"/>
  <c r="Y44" i="1"/>
  <c r="D46" i="1"/>
  <c r="C46" i="1" s="1"/>
  <c r="K46" i="1" s="1"/>
  <c r="AA47" i="1"/>
  <c r="X47" i="1"/>
  <c r="J53" i="1"/>
  <c r="F52" i="1"/>
  <c r="Y57" i="1"/>
  <c r="AQ57" i="1"/>
  <c r="D59" i="1"/>
  <c r="J62" i="1"/>
  <c r="D100" i="1"/>
  <c r="C100" i="1" s="1"/>
  <c r="K100" i="1" s="1"/>
  <c r="E13" i="2"/>
  <c r="F13" i="3"/>
  <c r="AD13" i="3"/>
  <c r="J15" i="3"/>
  <c r="L13" i="3"/>
  <c r="P81" i="3"/>
  <c r="AC82" i="3"/>
  <c r="N90" i="3"/>
  <c r="N89" i="3" s="1"/>
  <c r="H89" i="3"/>
  <c r="H9" i="3" s="1"/>
  <c r="N9" i="3" s="1"/>
  <c r="AE13" i="4"/>
  <c r="W13" i="4"/>
  <c r="AD13" i="4"/>
  <c r="AG14" i="4"/>
  <c r="AG18" i="4"/>
  <c r="J32" i="4"/>
  <c r="L31" i="4"/>
  <c r="AG36" i="4"/>
  <c r="W52" i="4"/>
  <c r="AG56" i="4"/>
  <c r="AD52" i="4"/>
  <c r="AK61" i="18"/>
  <c r="AH52" i="18"/>
  <c r="AL13" i="1"/>
  <c r="J54" i="1"/>
  <c r="AC13" i="2"/>
  <c r="AE13" i="2" s="1"/>
  <c r="P78" i="2"/>
  <c r="L31" i="3"/>
  <c r="W31" i="4"/>
  <c r="V35" i="4"/>
  <c r="S31" i="4"/>
  <c r="V31" i="4" s="1"/>
  <c r="AE13" i="1"/>
  <c r="AK13" i="1"/>
  <c r="X17" i="1"/>
  <c r="AB17" i="1" s="1"/>
  <c r="W19" i="1"/>
  <c r="Y20" i="1"/>
  <c r="X21" i="1"/>
  <c r="AB21" i="1" s="1"/>
  <c r="W22" i="1"/>
  <c r="AA23" i="1"/>
  <c r="Y24" i="1"/>
  <c r="X26" i="1"/>
  <c r="AA26" i="1"/>
  <c r="X27" i="1"/>
  <c r="AA29" i="1"/>
  <c r="Y30" i="1"/>
  <c r="W32" i="1"/>
  <c r="Z32" i="1" s="1"/>
  <c r="X32" i="1"/>
  <c r="AB32" i="1" s="1"/>
  <c r="AA32" i="1"/>
  <c r="X33" i="1"/>
  <c r="AJ31" i="1"/>
  <c r="AP31" i="1"/>
  <c r="J34" i="1"/>
  <c r="D35" i="1"/>
  <c r="M35" i="1" s="1"/>
  <c r="X36" i="1"/>
  <c r="Y37" i="1"/>
  <c r="Y38" i="1"/>
  <c r="AA41" i="1"/>
  <c r="X41" i="1"/>
  <c r="Y43" i="1"/>
  <c r="AA45" i="1"/>
  <c r="W47" i="1"/>
  <c r="W48" i="1"/>
  <c r="Y48" i="1"/>
  <c r="W49" i="1"/>
  <c r="Y51" i="1"/>
  <c r="O52" i="1"/>
  <c r="R52" i="1"/>
  <c r="AD52" i="1"/>
  <c r="AJ52" i="1"/>
  <c r="AP52" i="1"/>
  <c r="W75" i="1"/>
  <c r="Z75" i="1" s="1"/>
  <c r="AC74" i="1"/>
  <c r="Y75" i="1"/>
  <c r="AI74" i="1"/>
  <c r="AQ75" i="1"/>
  <c r="AO74" i="1"/>
  <c r="O74" i="1"/>
  <c r="AE32" i="2"/>
  <c r="AC31" i="2"/>
  <c r="AE31" i="2" s="1"/>
  <c r="Y42" i="2"/>
  <c r="W31" i="2"/>
  <c r="E74" i="2"/>
  <c r="D38" i="3"/>
  <c r="E31" i="3"/>
  <c r="S74" i="3"/>
  <c r="V74" i="3" s="1"/>
  <c r="V75" i="3"/>
  <c r="N78" i="3"/>
  <c r="H74" i="3"/>
  <c r="N74" i="3" s="1"/>
  <c r="J14" i="4"/>
  <c r="L13" i="4"/>
  <c r="N16" i="4"/>
  <c r="H13" i="4"/>
  <c r="T13" i="4"/>
  <c r="N34" i="4"/>
  <c r="H31" i="4"/>
  <c r="T31" i="4"/>
  <c r="H52" i="4"/>
  <c r="P53" i="4"/>
  <c r="G52" i="4"/>
  <c r="P52" i="4" s="1"/>
  <c r="V53" i="4"/>
  <c r="S52" i="4"/>
  <c r="V52" i="4" s="1"/>
  <c r="Z52" i="4"/>
  <c r="AI55" i="4"/>
  <c r="AE52" i="4"/>
  <c r="J56" i="4"/>
  <c r="L52" i="4"/>
  <c r="J18" i="3"/>
  <c r="O13" i="3"/>
  <c r="AT74" i="7"/>
  <c r="AV80" i="7"/>
  <c r="AI13" i="1"/>
  <c r="O13" i="1"/>
  <c r="AE52" i="1"/>
  <c r="Y53" i="1"/>
  <c r="T31" i="2"/>
  <c r="G52" i="2"/>
  <c r="P52" i="2" s="1"/>
  <c r="P17" i="4"/>
  <c r="G13" i="4"/>
  <c r="AE31" i="4"/>
  <c r="P35" i="4"/>
  <c r="G31" i="4"/>
  <c r="P31" i="4" s="1"/>
  <c r="AK52" i="4"/>
  <c r="BJ13" i="7"/>
  <c r="BK14" i="7"/>
  <c r="AK15" i="7"/>
  <c r="AI13" i="7"/>
  <c r="AH13" i="1"/>
  <c r="F13" i="1"/>
  <c r="N16" i="1"/>
  <c r="X19" i="1"/>
  <c r="N20" i="1"/>
  <c r="W23" i="1"/>
  <c r="W26" i="1"/>
  <c r="Y26" i="1"/>
  <c r="W28" i="1"/>
  <c r="W29" i="1"/>
  <c r="Z29" i="1" s="1"/>
  <c r="AC31" i="1"/>
  <c r="Y32" i="1"/>
  <c r="AF31" i="1"/>
  <c r="AL31" i="1"/>
  <c r="O31" i="1"/>
  <c r="AA39" i="1"/>
  <c r="N41" i="1"/>
  <c r="W41" i="1"/>
  <c r="X48" i="1"/>
  <c r="X49" i="1"/>
  <c r="AA49" i="1"/>
  <c r="N50" i="1"/>
  <c r="X50" i="1"/>
  <c r="AA50" i="1"/>
  <c r="U51" i="1"/>
  <c r="X51" i="1"/>
  <c r="D53" i="1"/>
  <c r="M53" i="1" s="1"/>
  <c r="X56" i="1"/>
  <c r="AB56" i="1" s="1"/>
  <c r="AA59" i="1"/>
  <c r="X59" i="1"/>
  <c r="AB59" i="1" s="1"/>
  <c r="X70" i="1"/>
  <c r="AB70" i="1" s="1"/>
  <c r="T74" i="3"/>
  <c r="AF13" i="4"/>
  <c r="AJ13" i="4"/>
  <c r="AL15" i="4"/>
  <c r="AG30" i="4"/>
  <c r="AB31" i="4"/>
  <c r="AJ31" i="4"/>
  <c r="AL33" i="4"/>
  <c r="E52" i="4"/>
  <c r="O52" i="4"/>
  <c r="AA55" i="4"/>
  <c r="X52" i="4"/>
  <c r="Q15" i="4"/>
  <c r="I13" i="4"/>
  <c r="Q13" i="4" s="1"/>
  <c r="AC54" i="4"/>
  <c r="Y52" i="4"/>
  <c r="V82" i="5"/>
  <c r="S74" i="5"/>
  <c r="V74" i="5" s="1"/>
  <c r="BA33" i="19"/>
  <c r="AY31" i="19"/>
  <c r="D47" i="1"/>
  <c r="AH52" i="1"/>
  <c r="H31" i="2"/>
  <c r="I31" i="3"/>
  <c r="Q31" i="3" s="1"/>
  <c r="Q32" i="3"/>
  <c r="U34" i="3"/>
  <c r="R31" i="3"/>
  <c r="AD31" i="4"/>
  <c r="AG32" i="4"/>
  <c r="AH31" i="4"/>
  <c r="D54" i="4"/>
  <c r="M54" i="4" s="1"/>
  <c r="F52" i="4"/>
  <c r="AN13" i="1"/>
  <c r="Y15" i="1"/>
  <c r="AQ15" i="1"/>
  <c r="I13" i="1"/>
  <c r="Q13" i="1" s="1"/>
  <c r="AG13" i="1"/>
  <c r="AM13" i="1"/>
  <c r="Y19" i="1"/>
  <c r="AQ19" i="1"/>
  <c r="D21" i="1"/>
  <c r="C21" i="1" s="1"/>
  <c r="K21" i="1" s="1"/>
  <c r="AA21" i="1"/>
  <c r="X23" i="1"/>
  <c r="W25" i="1"/>
  <c r="Z25" i="1" s="1"/>
  <c r="J27" i="1"/>
  <c r="AA27" i="1"/>
  <c r="X29" i="1"/>
  <c r="AB29" i="1" s="1"/>
  <c r="AH31" i="1"/>
  <c r="S31" i="1"/>
  <c r="V31" i="1" s="1"/>
  <c r="J33" i="1"/>
  <c r="AA33" i="1"/>
  <c r="H31" i="1"/>
  <c r="T31" i="1"/>
  <c r="W35" i="1"/>
  <c r="Z35" i="1" s="1"/>
  <c r="D38" i="1"/>
  <c r="C38" i="1" s="1"/>
  <c r="D39" i="1"/>
  <c r="M39" i="1" s="1"/>
  <c r="U40" i="1"/>
  <c r="D44" i="1"/>
  <c r="C44" i="1" s="1"/>
  <c r="K44" i="1" s="1"/>
  <c r="W46" i="1"/>
  <c r="Z46" i="1" s="1"/>
  <c r="J47" i="1"/>
  <c r="J48" i="1"/>
  <c r="Y49" i="1"/>
  <c r="AQ49" i="1"/>
  <c r="Y50" i="1"/>
  <c r="AQ50" i="1"/>
  <c r="G52" i="1"/>
  <c r="P52" i="1" s="1"/>
  <c r="AA53" i="1"/>
  <c r="X53" i="1"/>
  <c r="AB53" i="1" s="1"/>
  <c r="W54" i="1"/>
  <c r="Z54" i="1" s="1"/>
  <c r="Y54" i="1"/>
  <c r="W55" i="1"/>
  <c r="Z55" i="1" s="1"/>
  <c r="AC52" i="1"/>
  <c r="AI52" i="1"/>
  <c r="AO52" i="1"/>
  <c r="AA57" i="1"/>
  <c r="W59" i="1"/>
  <c r="Z59" i="1" s="1"/>
  <c r="W60" i="1"/>
  <c r="Z60" i="1" s="1"/>
  <c r="Y60" i="1"/>
  <c r="W61" i="1"/>
  <c r="Z61" i="1" s="1"/>
  <c r="Y69" i="1"/>
  <c r="X76" i="1"/>
  <c r="O89" i="1"/>
  <c r="O9" i="1" s="1"/>
  <c r="N93" i="1"/>
  <c r="H89" i="1"/>
  <c r="H9" i="1" s="1"/>
  <c r="E31" i="2"/>
  <c r="N53" i="2"/>
  <c r="H52" i="2"/>
  <c r="U88" i="2"/>
  <c r="W31" i="3"/>
  <c r="AD52" i="3"/>
  <c r="AB13" i="4"/>
  <c r="Q33" i="4"/>
  <c r="I31" i="4"/>
  <c r="Q31" i="4" s="1"/>
  <c r="AA65" i="4"/>
  <c r="AD74" i="4"/>
  <c r="AG76" i="4"/>
  <c r="D78" i="4"/>
  <c r="F74" i="4"/>
  <c r="N79" i="4"/>
  <c r="H74" i="4"/>
  <c r="X63" i="1"/>
  <c r="AB63" i="1" s="1"/>
  <c r="AA65" i="1"/>
  <c r="X65" i="1"/>
  <c r="AB65" i="1" s="1"/>
  <c r="W66" i="1"/>
  <c r="Z66" i="1" s="1"/>
  <c r="Y66" i="1"/>
  <c r="N69" i="1"/>
  <c r="J70" i="1"/>
  <c r="D71" i="1"/>
  <c r="M71" i="1" s="1"/>
  <c r="H74" i="1"/>
  <c r="X75" i="1"/>
  <c r="AB75" i="1" s="1"/>
  <c r="AJ74" i="1"/>
  <c r="AP74" i="1"/>
  <c r="J76" i="1"/>
  <c r="D77" i="1"/>
  <c r="C77" i="1" s="1"/>
  <c r="K77" i="1" s="1"/>
  <c r="AA79" i="1"/>
  <c r="W80" i="1"/>
  <c r="Z80" i="1" s="1"/>
  <c r="Y80" i="1"/>
  <c r="AA83" i="1"/>
  <c r="X83" i="1"/>
  <c r="AB83" i="1" s="1"/>
  <c r="J84" i="1"/>
  <c r="Y85" i="1"/>
  <c r="AA87" i="1"/>
  <c r="U88" i="1"/>
  <c r="D90" i="1"/>
  <c r="M90" i="1" s="1"/>
  <c r="J99" i="1"/>
  <c r="N101" i="1"/>
  <c r="P105" i="1"/>
  <c r="U9" i="2"/>
  <c r="T13" i="2"/>
  <c r="AE16" i="2"/>
  <c r="N19" i="2"/>
  <c r="D20" i="2"/>
  <c r="M20" i="2" s="1"/>
  <c r="J23" i="2"/>
  <c r="N27" i="2"/>
  <c r="D32" i="2"/>
  <c r="AD31" i="2"/>
  <c r="J33" i="2"/>
  <c r="AE34" i="2"/>
  <c r="N35" i="2"/>
  <c r="AB35" i="2"/>
  <c r="AE36" i="2"/>
  <c r="U37" i="2"/>
  <c r="AB38" i="2"/>
  <c r="J41" i="2"/>
  <c r="D43" i="2"/>
  <c r="C43" i="2" s="1"/>
  <c r="K43" i="2" s="1"/>
  <c r="AE43" i="2"/>
  <c r="J45" i="2"/>
  <c r="AE48" i="2"/>
  <c r="AA52" i="2"/>
  <c r="Y54" i="2"/>
  <c r="R52" i="2"/>
  <c r="U62" i="2"/>
  <c r="N63" i="2"/>
  <c r="J67" i="2"/>
  <c r="AE72" i="2"/>
  <c r="AE79" i="2"/>
  <c r="Y82" i="2"/>
  <c r="AE84" i="2"/>
  <c r="AB86" i="2"/>
  <c r="AE87" i="2"/>
  <c r="D90" i="2"/>
  <c r="C90" i="2" s="1"/>
  <c r="D93" i="2"/>
  <c r="M93" i="2" s="1"/>
  <c r="D97" i="2"/>
  <c r="M97" i="2" s="1"/>
  <c r="J100" i="2"/>
  <c r="J103" i="2"/>
  <c r="I13" i="3"/>
  <c r="Q13" i="3" s="1"/>
  <c r="U14" i="3"/>
  <c r="Z13" i="3"/>
  <c r="Y16" i="3"/>
  <c r="Y18" i="3"/>
  <c r="D19" i="3"/>
  <c r="D20" i="3"/>
  <c r="M20" i="3" s="1"/>
  <c r="Y20" i="3"/>
  <c r="Y24" i="3"/>
  <c r="D25" i="3"/>
  <c r="J28" i="3"/>
  <c r="J29" i="3"/>
  <c r="J32" i="3"/>
  <c r="AB31" i="3"/>
  <c r="AC35" i="3"/>
  <c r="J41" i="3"/>
  <c r="Y45" i="3"/>
  <c r="D46" i="3"/>
  <c r="Y46" i="3"/>
  <c r="D47" i="3"/>
  <c r="M47" i="3" s="1"/>
  <c r="Y47" i="3"/>
  <c r="AC48" i="3"/>
  <c r="U49" i="3"/>
  <c r="U50" i="3"/>
  <c r="X52" i="3"/>
  <c r="T52" i="3"/>
  <c r="D55" i="3"/>
  <c r="C55" i="3" s="1"/>
  <c r="K55" i="3" s="1"/>
  <c r="Y55" i="3"/>
  <c r="D56" i="3"/>
  <c r="M56" i="3" s="1"/>
  <c r="Y56" i="3"/>
  <c r="AC57" i="3"/>
  <c r="U58" i="3"/>
  <c r="U59" i="3"/>
  <c r="J61" i="3"/>
  <c r="AC61" i="3"/>
  <c r="D64" i="3"/>
  <c r="Y64" i="3"/>
  <c r="D65" i="3"/>
  <c r="M65" i="3" s="1"/>
  <c r="Y65" i="3"/>
  <c r="U66" i="3"/>
  <c r="AC66" i="3"/>
  <c r="U67" i="3"/>
  <c r="D71" i="3"/>
  <c r="M71" i="3" s="1"/>
  <c r="X74" i="3"/>
  <c r="D77" i="3"/>
  <c r="M77" i="3" s="1"/>
  <c r="Y79" i="3"/>
  <c r="J80" i="3"/>
  <c r="D82" i="3"/>
  <c r="J85" i="3"/>
  <c r="I89" i="3"/>
  <c r="I9" i="3" s="1"/>
  <c r="Q9" i="3" s="1"/>
  <c r="J91" i="3"/>
  <c r="D95" i="3"/>
  <c r="C95" i="3" s="1"/>
  <c r="K95" i="3" s="1"/>
  <c r="D96" i="3"/>
  <c r="J99" i="3"/>
  <c r="J104" i="3"/>
  <c r="F13" i="4"/>
  <c r="R13" i="4"/>
  <c r="Y13" i="4"/>
  <c r="J15" i="4"/>
  <c r="N17" i="4"/>
  <c r="AC19" i="4"/>
  <c r="D20" i="4"/>
  <c r="C20" i="4" s="1"/>
  <c r="AI20" i="4"/>
  <c r="J21" i="4"/>
  <c r="N23" i="4"/>
  <c r="D25" i="4"/>
  <c r="AI26" i="4"/>
  <c r="J27" i="4"/>
  <c r="N29" i="4"/>
  <c r="F31" i="4"/>
  <c r="R31" i="4"/>
  <c r="U31" i="4" s="1"/>
  <c r="Y31" i="4"/>
  <c r="J33" i="4"/>
  <c r="N35" i="4"/>
  <c r="D37" i="4"/>
  <c r="M37" i="4" s="1"/>
  <c r="J39" i="4"/>
  <c r="N41" i="4"/>
  <c r="D43" i="4"/>
  <c r="C43" i="4" s="1"/>
  <c r="J45" i="4"/>
  <c r="N47" i="4"/>
  <c r="D49" i="4"/>
  <c r="M49" i="4" s="1"/>
  <c r="J51" i="4"/>
  <c r="I52" i="4"/>
  <c r="Q52" i="4" s="1"/>
  <c r="AJ52" i="4"/>
  <c r="N53" i="4"/>
  <c r="D55" i="4"/>
  <c r="M55" i="4" s="1"/>
  <c r="AC55" i="4"/>
  <c r="AI56" i="4"/>
  <c r="J57" i="4"/>
  <c r="D61" i="4"/>
  <c r="C61" i="4" s="1"/>
  <c r="K61" i="4" s="1"/>
  <c r="J63" i="4"/>
  <c r="N65" i="4"/>
  <c r="J68" i="4"/>
  <c r="J46" i="5"/>
  <c r="D53" i="5"/>
  <c r="M53" i="5" s="1"/>
  <c r="E52" i="5"/>
  <c r="J65" i="5"/>
  <c r="X74" i="5"/>
  <c r="L89" i="5"/>
  <c r="L9" i="5" s="1"/>
  <c r="BC13" i="7"/>
  <c r="BE14" i="7"/>
  <c r="D62" i="1"/>
  <c r="C62" i="1" s="1"/>
  <c r="K62" i="1" s="1"/>
  <c r="D64" i="1"/>
  <c r="C64" i="1" s="1"/>
  <c r="K64" i="1" s="1"/>
  <c r="W65" i="1"/>
  <c r="Z65" i="1" s="1"/>
  <c r="X66" i="1"/>
  <c r="AB66" i="1" s="1"/>
  <c r="W68" i="1"/>
  <c r="Y68" i="1"/>
  <c r="AQ68" i="1"/>
  <c r="D70" i="1"/>
  <c r="C70" i="1" s="1"/>
  <c r="K70" i="1" s="1"/>
  <c r="AA71" i="1"/>
  <c r="X71" i="1"/>
  <c r="AB71" i="1" s="1"/>
  <c r="W73" i="1"/>
  <c r="Z73" i="1" s="1"/>
  <c r="Y73" i="1"/>
  <c r="D76" i="1"/>
  <c r="C76" i="1" s="1"/>
  <c r="K76" i="1" s="1"/>
  <c r="W79" i="1"/>
  <c r="Z79" i="1" s="1"/>
  <c r="J81" i="1"/>
  <c r="AA81" i="1"/>
  <c r="W83" i="1"/>
  <c r="Z83" i="1" s="1"/>
  <c r="Y88" i="1"/>
  <c r="W88" i="1"/>
  <c r="F89" i="1"/>
  <c r="F9" i="1" s="1"/>
  <c r="G89" i="1"/>
  <c r="G9" i="1" s="1"/>
  <c r="P9" i="1" s="1"/>
  <c r="J102" i="1"/>
  <c r="D103" i="1"/>
  <c r="M103" i="1" s="1"/>
  <c r="D14" i="2"/>
  <c r="C14" i="2" s="1"/>
  <c r="K14" i="2" s="1"/>
  <c r="AD13" i="2"/>
  <c r="J15" i="2"/>
  <c r="I13" i="2"/>
  <c r="Q13" i="2" s="1"/>
  <c r="AA13" i="2"/>
  <c r="AE18" i="2"/>
  <c r="D21" i="2"/>
  <c r="C21" i="2" s="1"/>
  <c r="K21" i="2" s="1"/>
  <c r="J22" i="2"/>
  <c r="Y22" i="2"/>
  <c r="Y25" i="2"/>
  <c r="AE26" i="2"/>
  <c r="X31" i="2"/>
  <c r="D33" i="2"/>
  <c r="C33" i="2" s="1"/>
  <c r="J34" i="2"/>
  <c r="I31" i="2"/>
  <c r="Q31" i="2" s="1"/>
  <c r="AA31" i="2"/>
  <c r="Y36" i="2"/>
  <c r="U40" i="2"/>
  <c r="Y41" i="2"/>
  <c r="J44" i="2"/>
  <c r="D45" i="2"/>
  <c r="C45" i="2" s="1"/>
  <c r="K45" i="2" s="1"/>
  <c r="AE47" i="2"/>
  <c r="Y48" i="2"/>
  <c r="J49" i="2"/>
  <c r="AE50" i="2"/>
  <c r="AE53" i="2"/>
  <c r="D55" i="2"/>
  <c r="AE56" i="2"/>
  <c r="AE59" i="2"/>
  <c r="D61" i="2"/>
  <c r="C61" i="2" s="1"/>
  <c r="K61" i="2" s="1"/>
  <c r="AE62" i="2"/>
  <c r="AE65" i="2"/>
  <c r="D67" i="2"/>
  <c r="AE67" i="2"/>
  <c r="AE68" i="2"/>
  <c r="AA74" i="2"/>
  <c r="J80" i="2"/>
  <c r="D82" i="2"/>
  <c r="M82" i="2" s="1"/>
  <c r="J85" i="2"/>
  <c r="Y88" i="2"/>
  <c r="I89" i="2"/>
  <c r="I9" i="2" s="1"/>
  <c r="Q9" i="2" s="1"/>
  <c r="J95" i="2"/>
  <c r="J102" i="2"/>
  <c r="D103" i="2"/>
  <c r="M103" i="2" s="1"/>
  <c r="J106" i="2"/>
  <c r="S13" i="3"/>
  <c r="V13" i="3" s="1"/>
  <c r="Y28" i="3"/>
  <c r="D29" i="3"/>
  <c r="M29" i="3" s="1"/>
  <c r="J34" i="3"/>
  <c r="AC36" i="3"/>
  <c r="Y40" i="3"/>
  <c r="D41" i="3"/>
  <c r="C41" i="3" s="1"/>
  <c r="K41" i="3" s="1"/>
  <c r="J43" i="3"/>
  <c r="E52" i="3"/>
  <c r="J53" i="3"/>
  <c r="I52" i="3"/>
  <c r="Q52" i="3" s="1"/>
  <c r="J62" i="3"/>
  <c r="AC69" i="3"/>
  <c r="AC75" i="3"/>
  <c r="R74" i="3"/>
  <c r="D80" i="3"/>
  <c r="M80" i="3" s="1"/>
  <c r="Y82" i="3"/>
  <c r="J83" i="3"/>
  <c r="D85" i="3"/>
  <c r="C85" i="3" s="1"/>
  <c r="K85" i="3" s="1"/>
  <c r="J88" i="3"/>
  <c r="J16" i="4"/>
  <c r="J28" i="4"/>
  <c r="AI75" i="4"/>
  <c r="AE74" i="4"/>
  <c r="J76" i="4"/>
  <c r="L74" i="4"/>
  <c r="D19" i="5"/>
  <c r="M19" i="5" s="1"/>
  <c r="F13" i="5"/>
  <c r="F31" i="5"/>
  <c r="I89" i="5"/>
  <c r="I9" i="5" s="1"/>
  <c r="Q9" i="5" s="1"/>
  <c r="L13" i="6"/>
  <c r="F31" i="6"/>
  <c r="O89" i="6"/>
  <c r="O9" i="6" s="1"/>
  <c r="Y14" i="7"/>
  <c r="W13" i="7"/>
  <c r="AN14" i="7"/>
  <c r="AM13" i="7"/>
  <c r="T13" i="7"/>
  <c r="U15" i="7"/>
  <c r="T74" i="1"/>
  <c r="AL74" i="1"/>
  <c r="AH74" i="1"/>
  <c r="AN74" i="1"/>
  <c r="G13" i="2"/>
  <c r="P13" i="2" s="1"/>
  <c r="X13" i="2"/>
  <c r="J16" i="2"/>
  <c r="Y16" i="2"/>
  <c r="N36" i="2"/>
  <c r="E52" i="2"/>
  <c r="AD52" i="2"/>
  <c r="H74" i="2"/>
  <c r="N74" i="2" s="1"/>
  <c r="F74" i="2"/>
  <c r="H89" i="2"/>
  <c r="H9" i="2" s="1"/>
  <c r="N104" i="2"/>
  <c r="E13" i="3"/>
  <c r="T13" i="3"/>
  <c r="Z31" i="3"/>
  <c r="AA52" i="3"/>
  <c r="O74" i="3"/>
  <c r="AB74" i="3"/>
  <c r="O89" i="3"/>
  <c r="O9" i="3" s="1"/>
  <c r="AC15" i="4"/>
  <c r="AI16" i="4"/>
  <c r="D33" i="4"/>
  <c r="C33" i="4" s="1"/>
  <c r="J35" i="4"/>
  <c r="D39" i="4"/>
  <c r="C39" i="4" s="1"/>
  <c r="AI40" i="4"/>
  <c r="J41" i="4"/>
  <c r="D45" i="4"/>
  <c r="M45" i="4" s="1"/>
  <c r="J47" i="4"/>
  <c r="D51" i="4"/>
  <c r="M51" i="4" s="1"/>
  <c r="J53" i="4"/>
  <c r="D57" i="4"/>
  <c r="C57" i="4" s="1"/>
  <c r="K57" i="4" s="1"/>
  <c r="J59" i="4"/>
  <c r="D63" i="4"/>
  <c r="M63" i="4" s="1"/>
  <c r="J65" i="4"/>
  <c r="AI67" i="4"/>
  <c r="X74" i="4"/>
  <c r="AA75" i="4"/>
  <c r="AJ74" i="4"/>
  <c r="AL77" i="4"/>
  <c r="R74" i="5"/>
  <c r="U74" i="5" s="1"/>
  <c r="U75" i="5"/>
  <c r="L52" i="6"/>
  <c r="J53" i="6"/>
  <c r="Q15" i="7"/>
  <c r="I13" i="7"/>
  <c r="Q13" i="7" s="1"/>
  <c r="W62" i="1"/>
  <c r="Z62" i="1" s="1"/>
  <c r="Y62" i="1"/>
  <c r="U64" i="1"/>
  <c r="Y64" i="1"/>
  <c r="W64" i="1"/>
  <c r="Y67" i="1"/>
  <c r="J72" i="1"/>
  <c r="X72" i="1"/>
  <c r="I74" i="1"/>
  <c r="Q74" i="1" s="1"/>
  <c r="AG74" i="1"/>
  <c r="Y78" i="1"/>
  <c r="Y79" i="1"/>
  <c r="D81" i="1"/>
  <c r="M81" i="1" s="1"/>
  <c r="N82" i="1"/>
  <c r="Y82" i="1"/>
  <c r="W82" i="1"/>
  <c r="AA85" i="1"/>
  <c r="Y87" i="1"/>
  <c r="J101" i="1"/>
  <c r="D102" i="1"/>
  <c r="Z13" i="2"/>
  <c r="J19" i="2"/>
  <c r="U21" i="2"/>
  <c r="D22" i="2"/>
  <c r="M22" i="2" s="1"/>
  <c r="U22" i="2"/>
  <c r="N23" i="2"/>
  <c r="J29" i="2"/>
  <c r="U33" i="2"/>
  <c r="Z31" i="2"/>
  <c r="O31" i="2"/>
  <c r="N41" i="2"/>
  <c r="X74" i="2"/>
  <c r="O89" i="2"/>
  <c r="O9" i="2" s="1"/>
  <c r="N93" i="2"/>
  <c r="J99" i="2"/>
  <c r="D102" i="2"/>
  <c r="M102" i="2" s="1"/>
  <c r="D106" i="2"/>
  <c r="M106" i="2" s="1"/>
  <c r="R13" i="3"/>
  <c r="V14" i="3"/>
  <c r="Y21" i="3"/>
  <c r="D22" i="3"/>
  <c r="C22" i="3" s="1"/>
  <c r="K22" i="3" s="1"/>
  <c r="D23" i="3"/>
  <c r="C23" i="3" s="1"/>
  <c r="K23" i="3" s="1"/>
  <c r="AC26" i="3"/>
  <c r="U27" i="3"/>
  <c r="U28" i="3"/>
  <c r="U29" i="3"/>
  <c r="Y30" i="3"/>
  <c r="F31" i="3"/>
  <c r="U32" i="3"/>
  <c r="Y33" i="3"/>
  <c r="D34" i="3"/>
  <c r="C34" i="3" s="1"/>
  <c r="K34" i="3" s="1"/>
  <c r="Y35" i="3"/>
  <c r="AC37" i="3"/>
  <c r="U40" i="3"/>
  <c r="U41" i="3"/>
  <c r="Y42" i="3"/>
  <c r="D43" i="3"/>
  <c r="C43" i="3" s="1"/>
  <c r="K43" i="3" s="1"/>
  <c r="Y44" i="3"/>
  <c r="U45" i="3"/>
  <c r="L52" i="3"/>
  <c r="Z52" i="3"/>
  <c r="AB52" i="3"/>
  <c r="U80" i="3"/>
  <c r="U82" i="3"/>
  <c r="F89" i="3"/>
  <c r="F9" i="3" s="1"/>
  <c r="G89" i="3"/>
  <c r="G9" i="3" s="1"/>
  <c r="P9" i="3" s="1"/>
  <c r="D16" i="4"/>
  <c r="N20" i="4"/>
  <c r="N26" i="4"/>
  <c r="D28" i="4"/>
  <c r="M28" i="4" s="1"/>
  <c r="N56" i="4"/>
  <c r="O74" i="4"/>
  <c r="AB74" i="4"/>
  <c r="J14" i="5"/>
  <c r="L13" i="5"/>
  <c r="W74" i="6"/>
  <c r="Y76" i="6"/>
  <c r="BZ14" i="7"/>
  <c r="BX13" i="7"/>
  <c r="BW15" i="7"/>
  <c r="BU13" i="7"/>
  <c r="BW13" i="7" s="1"/>
  <c r="V32" i="7"/>
  <c r="S31" i="7"/>
  <c r="V31" i="7" s="1"/>
  <c r="P36" i="7"/>
  <c r="U45" i="7"/>
  <c r="R31" i="7"/>
  <c r="AE74" i="7"/>
  <c r="X61" i="1"/>
  <c r="AB61" i="1" s="1"/>
  <c r="AA61" i="1"/>
  <c r="J63" i="1"/>
  <c r="AA64" i="1"/>
  <c r="J68" i="1"/>
  <c r="W70" i="1"/>
  <c r="Z70" i="1" s="1"/>
  <c r="J71" i="1"/>
  <c r="AQ72" i="1"/>
  <c r="D75" i="1"/>
  <c r="C75" i="1" s="1"/>
  <c r="K75" i="1" s="1"/>
  <c r="AE74" i="1"/>
  <c r="W76" i="1"/>
  <c r="J77" i="1"/>
  <c r="W77" i="1"/>
  <c r="Z77" i="1" s="1"/>
  <c r="X78" i="1"/>
  <c r="AB78" i="1" s="1"/>
  <c r="Y81" i="1"/>
  <c r="W84" i="1"/>
  <c r="Z84" i="1" s="1"/>
  <c r="Y84" i="1"/>
  <c r="W85" i="1"/>
  <c r="Z85" i="1" s="1"/>
  <c r="X86" i="1"/>
  <c r="AB86" i="1" s="1"/>
  <c r="X87" i="1"/>
  <c r="AB87" i="1" s="1"/>
  <c r="J88" i="1"/>
  <c r="J91" i="1"/>
  <c r="D96" i="1"/>
  <c r="C96" i="1" s="1"/>
  <c r="K96" i="1" s="1"/>
  <c r="J104" i="1"/>
  <c r="W13" i="2"/>
  <c r="S13" i="2"/>
  <c r="V13" i="2" s="1"/>
  <c r="D16" i="2"/>
  <c r="M16" i="2" s="1"/>
  <c r="U16" i="2"/>
  <c r="O13" i="2"/>
  <c r="N18" i="2"/>
  <c r="J20" i="2"/>
  <c r="AB25" i="2"/>
  <c r="U26" i="2"/>
  <c r="J32" i="2"/>
  <c r="N33" i="2"/>
  <c r="Y35" i="2"/>
  <c r="Y37" i="2"/>
  <c r="J38" i="2"/>
  <c r="Y38" i="2"/>
  <c r="D39" i="2"/>
  <c r="M39" i="2" s="1"/>
  <c r="AB41" i="2"/>
  <c r="AE42" i="2"/>
  <c r="J46" i="2"/>
  <c r="D50" i="2"/>
  <c r="C50" i="2" s="1"/>
  <c r="K50" i="2" s="1"/>
  <c r="D56" i="2"/>
  <c r="C56" i="2" s="1"/>
  <c r="K56" i="2" s="1"/>
  <c r="X52" i="2"/>
  <c r="U57" i="2"/>
  <c r="AB57" i="2"/>
  <c r="D62" i="2"/>
  <c r="C62" i="2" s="1"/>
  <c r="K62" i="2" s="1"/>
  <c r="U63" i="2"/>
  <c r="AB63" i="2"/>
  <c r="U67" i="2"/>
  <c r="J70" i="2"/>
  <c r="S74" i="2"/>
  <c r="V74" i="2" s="1"/>
  <c r="Y76" i="2"/>
  <c r="AB79" i="2"/>
  <c r="AE82" i="2"/>
  <c r="AE83" i="2"/>
  <c r="AB87" i="2"/>
  <c r="J90" i="2"/>
  <c r="D105" i="2"/>
  <c r="C105" i="2" s="1"/>
  <c r="K105" i="2" s="1"/>
  <c r="G13" i="3"/>
  <c r="P13" i="3" s="1"/>
  <c r="P14" i="3"/>
  <c r="Y14" i="3"/>
  <c r="AB13" i="3"/>
  <c r="J19" i="3"/>
  <c r="J20" i="3"/>
  <c r="AC20" i="3"/>
  <c r="J25" i="3"/>
  <c r="J26" i="3"/>
  <c r="AC27" i="3"/>
  <c r="AC28" i="3"/>
  <c r="AC29" i="3"/>
  <c r="X31" i="3"/>
  <c r="H31" i="3"/>
  <c r="N31" i="3" s="1"/>
  <c r="AC32" i="3"/>
  <c r="D35" i="3"/>
  <c r="M35" i="3" s="1"/>
  <c r="J38" i="3"/>
  <c r="U39" i="3"/>
  <c r="AC41" i="3"/>
  <c r="J46" i="3"/>
  <c r="AC46" i="3"/>
  <c r="D49" i="3"/>
  <c r="C49" i="3" s="1"/>
  <c r="K49" i="3" s="1"/>
  <c r="Y49" i="3"/>
  <c r="D50" i="3"/>
  <c r="M50" i="3" s="1"/>
  <c r="Y50" i="3"/>
  <c r="U51" i="3"/>
  <c r="AC51" i="3"/>
  <c r="R52" i="3"/>
  <c r="U53" i="3"/>
  <c r="O52" i="3"/>
  <c r="J55" i="3"/>
  <c r="AC55" i="3"/>
  <c r="D58" i="3"/>
  <c r="C58" i="3" s="1"/>
  <c r="K58" i="3" s="1"/>
  <c r="Y58" i="3"/>
  <c r="D59" i="3"/>
  <c r="M59" i="3" s="1"/>
  <c r="Y59" i="3"/>
  <c r="U60" i="3"/>
  <c r="AC60" i="3"/>
  <c r="U61" i="3"/>
  <c r="U62" i="3"/>
  <c r="J64" i="3"/>
  <c r="AC64" i="3"/>
  <c r="D67" i="3"/>
  <c r="C67" i="3" s="1"/>
  <c r="K67" i="3" s="1"/>
  <c r="Y67" i="3"/>
  <c r="J68" i="3"/>
  <c r="D70" i="3"/>
  <c r="C70" i="3" s="1"/>
  <c r="K70" i="3" s="1"/>
  <c r="J73" i="3"/>
  <c r="D76" i="3"/>
  <c r="J79" i="3"/>
  <c r="AC84" i="3"/>
  <c r="U85" i="3"/>
  <c r="Q90" i="3"/>
  <c r="Q89" i="3" s="1"/>
  <c r="J92" i="3"/>
  <c r="J97" i="3"/>
  <c r="D101" i="3"/>
  <c r="C101" i="3" s="1"/>
  <c r="K101" i="3" s="1"/>
  <c r="D102" i="3"/>
  <c r="C102" i="3" s="1"/>
  <c r="K102" i="3" s="1"/>
  <c r="J105" i="3"/>
  <c r="D17" i="4"/>
  <c r="M17" i="4" s="1"/>
  <c r="D18" i="4"/>
  <c r="M18" i="4" s="1"/>
  <c r="AI18" i="4"/>
  <c r="J19" i="4"/>
  <c r="AI24" i="4"/>
  <c r="J25" i="4"/>
  <c r="D29" i="4"/>
  <c r="C29" i="4" s="1"/>
  <c r="AC29" i="4"/>
  <c r="AI30" i="4"/>
  <c r="D35" i="4"/>
  <c r="M35" i="4" s="1"/>
  <c r="AI36" i="4"/>
  <c r="J37" i="4"/>
  <c r="D41" i="4"/>
  <c r="M41" i="4" s="1"/>
  <c r="J43" i="4"/>
  <c r="D47" i="4"/>
  <c r="M47" i="4" s="1"/>
  <c r="J49" i="4"/>
  <c r="D53" i="4"/>
  <c r="M53" i="4" s="1"/>
  <c r="J55" i="4"/>
  <c r="D59" i="4"/>
  <c r="C59" i="4" s="1"/>
  <c r="K59" i="4" s="1"/>
  <c r="J61" i="4"/>
  <c r="D65" i="4"/>
  <c r="C65" i="4" s="1"/>
  <c r="AC65" i="4"/>
  <c r="J66" i="4"/>
  <c r="D69" i="4"/>
  <c r="Q77" i="4"/>
  <c r="I74" i="4"/>
  <c r="Q74" i="4" s="1"/>
  <c r="V79" i="4"/>
  <c r="S74" i="4"/>
  <c r="V74" i="4" s="1"/>
  <c r="Z74" i="4"/>
  <c r="D45" i="5"/>
  <c r="M45" i="5" s="1"/>
  <c r="G74" i="5"/>
  <c r="P74" i="5" s="1"/>
  <c r="D37" i="6"/>
  <c r="C37" i="6" s="1"/>
  <c r="E74" i="6"/>
  <c r="CG13" i="7"/>
  <c r="BH15" i="7"/>
  <c r="BF13" i="7"/>
  <c r="BM13" i="7"/>
  <c r="D75" i="4"/>
  <c r="M75" i="4" s="1"/>
  <c r="F52" i="5"/>
  <c r="D55" i="5"/>
  <c r="M55" i="5" s="1"/>
  <c r="O52" i="5"/>
  <c r="Y57" i="5"/>
  <c r="D61" i="5"/>
  <c r="M61" i="5" s="1"/>
  <c r="J64" i="5"/>
  <c r="J70" i="5"/>
  <c r="D85" i="5"/>
  <c r="M85" i="5" s="1"/>
  <c r="J91" i="5"/>
  <c r="D106" i="5"/>
  <c r="M106" i="5" s="1"/>
  <c r="X13" i="6"/>
  <c r="D21" i="6"/>
  <c r="M21" i="6" s="1"/>
  <c r="Y23" i="6"/>
  <c r="J30" i="6"/>
  <c r="R31" i="6"/>
  <c r="U31" i="6" s="1"/>
  <c r="J36" i="6"/>
  <c r="F52" i="6"/>
  <c r="Y57" i="6"/>
  <c r="Y63" i="6"/>
  <c r="D69" i="6"/>
  <c r="C69" i="6" s="1"/>
  <c r="Y71" i="6"/>
  <c r="F74" i="6"/>
  <c r="O74" i="6"/>
  <c r="Y77" i="6"/>
  <c r="D96" i="6"/>
  <c r="M96" i="6" s="1"/>
  <c r="J99" i="6"/>
  <c r="J19" i="7"/>
  <c r="X31" i="7"/>
  <c r="AW31" i="7"/>
  <c r="CI36" i="7"/>
  <c r="CG31" i="7"/>
  <c r="O31" i="7"/>
  <c r="Q43" i="7"/>
  <c r="I31" i="7"/>
  <c r="Q31" i="7" s="1"/>
  <c r="BA74" i="7"/>
  <c r="BS74" i="7"/>
  <c r="CK74" i="7"/>
  <c r="J90" i="10"/>
  <c r="O89" i="10"/>
  <c r="O9" i="10" s="1"/>
  <c r="J80" i="4"/>
  <c r="J83" i="4"/>
  <c r="J86" i="4"/>
  <c r="J97" i="4"/>
  <c r="J103" i="4"/>
  <c r="E13" i="5"/>
  <c r="J20" i="5"/>
  <c r="J27" i="5"/>
  <c r="J34" i="5"/>
  <c r="X31" i="5"/>
  <c r="J37" i="5"/>
  <c r="J40" i="5"/>
  <c r="D50" i="5"/>
  <c r="M50" i="5" s="1"/>
  <c r="J54" i="5"/>
  <c r="T74" i="5"/>
  <c r="O74" i="5"/>
  <c r="D95" i="5"/>
  <c r="C95" i="5" s="1"/>
  <c r="F13" i="6"/>
  <c r="D16" i="6"/>
  <c r="C16" i="6" s="1"/>
  <c r="Y17" i="6"/>
  <c r="J24" i="6"/>
  <c r="I31" i="6"/>
  <c r="Q31" i="6" s="1"/>
  <c r="N37" i="6"/>
  <c r="Y38" i="6"/>
  <c r="Y51" i="6"/>
  <c r="P53" i="6"/>
  <c r="D57" i="6"/>
  <c r="M57" i="6" s="1"/>
  <c r="D63" i="6"/>
  <c r="C63" i="6" s="1"/>
  <c r="Y65" i="6"/>
  <c r="J72" i="6"/>
  <c r="R74" i="6"/>
  <c r="U74" i="6" s="1"/>
  <c r="J78" i="6"/>
  <c r="N81" i="6"/>
  <c r="J84" i="6"/>
  <c r="H89" i="6"/>
  <c r="H9" i="6" s="1"/>
  <c r="E89" i="6"/>
  <c r="E9" i="6" s="1"/>
  <c r="D95" i="6"/>
  <c r="M95" i="6" s="1"/>
  <c r="N14" i="7"/>
  <c r="AH14" i="7"/>
  <c r="D15" i="7"/>
  <c r="C15" i="7" s="1"/>
  <c r="J15" i="7"/>
  <c r="N16" i="7"/>
  <c r="AH16" i="7"/>
  <c r="BN16" i="7"/>
  <c r="D17" i="7"/>
  <c r="C17" i="7" s="1"/>
  <c r="J17" i="7"/>
  <c r="N18" i="7"/>
  <c r="AH18" i="7"/>
  <c r="BN18" i="7"/>
  <c r="BK20" i="7"/>
  <c r="BK22" i="7"/>
  <c r="BK24" i="7"/>
  <c r="E31" i="7"/>
  <c r="BT32" i="7"/>
  <c r="BS31" i="7"/>
  <c r="CB31" i="7"/>
  <c r="CH31" i="7"/>
  <c r="AB35" i="7"/>
  <c r="Z31" i="7"/>
  <c r="AQ35" i="7"/>
  <c r="AP31" i="7"/>
  <c r="BE39" i="7"/>
  <c r="BC31" i="7"/>
  <c r="BT47" i="7"/>
  <c r="BR31" i="7"/>
  <c r="CC47" i="7"/>
  <c r="CA31" i="7"/>
  <c r="BM74" i="7"/>
  <c r="AF74" i="7"/>
  <c r="CD74" i="7"/>
  <c r="CF80" i="7"/>
  <c r="BJ74" i="7"/>
  <c r="BF74" i="7"/>
  <c r="BH82" i="7"/>
  <c r="BX74" i="7"/>
  <c r="BZ83" i="7"/>
  <c r="P104" i="7"/>
  <c r="D77" i="4"/>
  <c r="M77" i="4" s="1"/>
  <c r="AC77" i="4"/>
  <c r="O13" i="5"/>
  <c r="Y25" i="5"/>
  <c r="H31" i="5"/>
  <c r="N31" i="5" s="1"/>
  <c r="T31" i="5"/>
  <c r="Y45" i="5"/>
  <c r="W52" i="5"/>
  <c r="J67" i="5"/>
  <c r="L74" i="5"/>
  <c r="O89" i="5"/>
  <c r="O9" i="5" s="1"/>
  <c r="N93" i="5"/>
  <c r="R13" i="6"/>
  <c r="U13" i="6" s="1"/>
  <c r="D18" i="6"/>
  <c r="C18" i="6" s="1"/>
  <c r="N25" i="6"/>
  <c r="Y26" i="6"/>
  <c r="N28" i="6"/>
  <c r="T31" i="6"/>
  <c r="J39" i="6"/>
  <c r="Y45" i="6"/>
  <c r="J46" i="6"/>
  <c r="D51" i="6"/>
  <c r="H52" i="6"/>
  <c r="R52" i="6"/>
  <c r="U52" i="6" s="1"/>
  <c r="Y53" i="6"/>
  <c r="D66" i="6"/>
  <c r="C66" i="6" s="1"/>
  <c r="J66" i="6"/>
  <c r="Y67" i="6"/>
  <c r="Y72" i="6"/>
  <c r="N73" i="6"/>
  <c r="G74" i="6"/>
  <c r="P74" i="6" s="1"/>
  <c r="S74" i="6"/>
  <c r="V74" i="6" s="1"/>
  <c r="Y78" i="6"/>
  <c r="N79" i="6"/>
  <c r="J80" i="6"/>
  <c r="Y80" i="6"/>
  <c r="N85" i="6"/>
  <c r="Y86" i="6"/>
  <c r="D93" i="6"/>
  <c r="C93" i="6" s="1"/>
  <c r="K93" i="6" s="1"/>
  <c r="J97" i="6"/>
  <c r="J102" i="6"/>
  <c r="N104" i="6"/>
  <c r="AZ13" i="7"/>
  <c r="AK14" i="7"/>
  <c r="CI14" i="7"/>
  <c r="Y15" i="7"/>
  <c r="AK16" i="7"/>
  <c r="BH16" i="7"/>
  <c r="Y17" i="7"/>
  <c r="AK18" i="7"/>
  <c r="BN19" i="7"/>
  <c r="AF31" i="7"/>
  <c r="F31" i="7"/>
  <c r="AU31" i="7"/>
  <c r="BD31" i="7"/>
  <c r="BN32" i="7"/>
  <c r="BL31" i="7"/>
  <c r="J40" i="7"/>
  <c r="L31" i="7"/>
  <c r="N54" i="10"/>
  <c r="H52" i="10"/>
  <c r="D72" i="4"/>
  <c r="M72" i="4" s="1"/>
  <c r="N76" i="4"/>
  <c r="J82" i="4"/>
  <c r="J85" i="4"/>
  <c r="N86" i="4"/>
  <c r="J88" i="4"/>
  <c r="AI88" i="4"/>
  <c r="J90" i="4"/>
  <c r="N93" i="4"/>
  <c r="J96" i="4"/>
  <c r="H13" i="5"/>
  <c r="N13" i="5" s="1"/>
  <c r="Y27" i="5"/>
  <c r="L31" i="5"/>
  <c r="D37" i="5"/>
  <c r="M37" i="5" s="1"/>
  <c r="J49" i="5"/>
  <c r="F74" i="5"/>
  <c r="J88" i="5"/>
  <c r="G89" i="5"/>
  <c r="G9" i="5" s="1"/>
  <c r="P9" i="5" s="1"/>
  <c r="P90" i="5"/>
  <c r="P89" i="5" s="1"/>
  <c r="I13" i="6"/>
  <c r="Q13" i="6" s="1"/>
  <c r="N15" i="6"/>
  <c r="N19" i="6"/>
  <c r="N22" i="6"/>
  <c r="N30" i="6"/>
  <c r="E31" i="6"/>
  <c r="O31" i="6"/>
  <c r="L31" i="6"/>
  <c r="N36" i="6"/>
  <c r="J40" i="6"/>
  <c r="N47" i="6"/>
  <c r="N50" i="6"/>
  <c r="S52" i="6"/>
  <c r="V52" i="6" s="1"/>
  <c r="O52" i="6"/>
  <c r="N57" i="6"/>
  <c r="N63" i="6"/>
  <c r="N67" i="6"/>
  <c r="N70" i="6"/>
  <c r="T74" i="6"/>
  <c r="J87" i="6"/>
  <c r="G89" i="6"/>
  <c r="G9" i="6" s="1"/>
  <c r="P9" i="6" s="1"/>
  <c r="I89" i="6"/>
  <c r="I9" i="6" s="1"/>
  <c r="Q9" i="6" s="1"/>
  <c r="E13" i="7"/>
  <c r="O13" i="7"/>
  <c r="AT13" i="7"/>
  <c r="BI13" i="7"/>
  <c r="N19" i="7"/>
  <c r="AH32" i="7"/>
  <c r="AG31" i="7"/>
  <c r="AX31" i="7"/>
  <c r="X74" i="7"/>
  <c r="R74" i="7"/>
  <c r="CM74" i="7"/>
  <c r="J75" i="4"/>
  <c r="N77" i="4"/>
  <c r="AC82" i="4"/>
  <c r="AC85" i="4"/>
  <c r="D90" i="4"/>
  <c r="M90" i="4" s="1"/>
  <c r="J95" i="4"/>
  <c r="D96" i="4"/>
  <c r="C96" i="4" s="1"/>
  <c r="K96" i="4" s="1"/>
  <c r="J101" i="4"/>
  <c r="D102" i="4"/>
  <c r="C102" i="4" s="1"/>
  <c r="K102" i="4" s="1"/>
  <c r="R13" i="5"/>
  <c r="U13" i="5" s="1"/>
  <c r="T13" i="5"/>
  <c r="Y23" i="5"/>
  <c r="D28" i="5"/>
  <c r="M28" i="5" s="1"/>
  <c r="J28" i="5"/>
  <c r="D35" i="5"/>
  <c r="M35" i="5" s="1"/>
  <c r="J38" i="5"/>
  <c r="D41" i="5"/>
  <c r="C41" i="5" s="1"/>
  <c r="K41" i="5" s="1"/>
  <c r="D43" i="5"/>
  <c r="M43" i="5" s="1"/>
  <c r="J53" i="5"/>
  <c r="Y54" i="5"/>
  <c r="J55" i="5"/>
  <c r="D60" i="5"/>
  <c r="C60" i="5" s="1"/>
  <c r="K60" i="5" s="1"/>
  <c r="J61" i="5"/>
  <c r="D67" i="5"/>
  <c r="M67" i="5" s="1"/>
  <c r="D68" i="5"/>
  <c r="C68" i="5" s="1"/>
  <c r="D73" i="5"/>
  <c r="M73" i="5" s="1"/>
  <c r="D84" i="5"/>
  <c r="C84" i="5" s="1"/>
  <c r="K84" i="5" s="1"/>
  <c r="J85" i="5"/>
  <c r="Y88" i="5"/>
  <c r="J93" i="5"/>
  <c r="D94" i="5"/>
  <c r="M94" i="5" s="1"/>
  <c r="N95" i="5"/>
  <c r="D97" i="5"/>
  <c r="C97" i="5" s="1"/>
  <c r="K97" i="5" s="1"/>
  <c r="J101" i="5"/>
  <c r="J106" i="5"/>
  <c r="J14" i="6"/>
  <c r="Y14" i="6"/>
  <c r="T13" i="6"/>
  <c r="N16" i="6"/>
  <c r="D20" i="6"/>
  <c r="J21" i="6"/>
  <c r="N24" i="6"/>
  <c r="Y27" i="6"/>
  <c r="J28" i="6"/>
  <c r="Q32" i="6"/>
  <c r="X31" i="6"/>
  <c r="J34" i="6"/>
  <c r="D40" i="6"/>
  <c r="C40" i="6" s="1"/>
  <c r="Y41" i="6"/>
  <c r="N44" i="6"/>
  <c r="D48" i="6"/>
  <c r="C48" i="6" s="1"/>
  <c r="J48" i="6"/>
  <c r="Y49" i="6"/>
  <c r="N51" i="6"/>
  <c r="T52" i="6"/>
  <c r="Y54" i="6"/>
  <c r="N55" i="6"/>
  <c r="J56" i="6"/>
  <c r="N58" i="6"/>
  <c r="Y60" i="6"/>
  <c r="N61" i="6"/>
  <c r="J62" i="6"/>
  <c r="Y62" i="6"/>
  <c r="N64" i="6"/>
  <c r="D68" i="6"/>
  <c r="M68" i="6" s="1"/>
  <c r="J69" i="6"/>
  <c r="N72" i="6"/>
  <c r="L74" i="6"/>
  <c r="N78" i="6"/>
  <c r="Y81" i="6"/>
  <c r="J82" i="6"/>
  <c r="N84" i="6"/>
  <c r="J88" i="6"/>
  <c r="J91" i="6"/>
  <c r="J96" i="6"/>
  <c r="J101" i="6"/>
  <c r="D102" i="6"/>
  <c r="C102" i="6" s="1"/>
  <c r="K102" i="6" s="1"/>
  <c r="D105" i="6"/>
  <c r="C105" i="6" s="1"/>
  <c r="K105" i="6" s="1"/>
  <c r="J105" i="6"/>
  <c r="D14" i="7"/>
  <c r="C14" i="7" s="1"/>
  <c r="J14" i="7"/>
  <c r="N15" i="7"/>
  <c r="AH15" i="7"/>
  <c r="BN15" i="7"/>
  <c r="D16" i="7"/>
  <c r="M16" i="7" s="1"/>
  <c r="J16" i="7"/>
  <c r="AV16" i="7"/>
  <c r="CF16" i="7"/>
  <c r="N17" i="7"/>
  <c r="AH17" i="7"/>
  <c r="BN17" i="7"/>
  <c r="D18" i="7"/>
  <c r="M18" i="7" s="1"/>
  <c r="J18" i="7"/>
  <c r="AB19" i="7"/>
  <c r="AK19" i="7"/>
  <c r="BQ19" i="7"/>
  <c r="BF31" i="7"/>
  <c r="AA31" i="7"/>
  <c r="AB32" i="7"/>
  <c r="CM31" i="7"/>
  <c r="AL31" i="7"/>
  <c r="AN34" i="7"/>
  <c r="J48" i="7"/>
  <c r="J49" i="7"/>
  <c r="J50" i="7"/>
  <c r="J51" i="7"/>
  <c r="J53" i="7"/>
  <c r="CL19" i="7"/>
  <c r="AQ22" i="7"/>
  <c r="BT22" i="7"/>
  <c r="BB23" i="7"/>
  <c r="AQ24" i="7"/>
  <c r="BT30" i="7"/>
  <c r="CB13" i="7"/>
  <c r="T31" i="7"/>
  <c r="AO31" i="7"/>
  <c r="CD31" i="7"/>
  <c r="AQ37" i="7"/>
  <c r="BB38" i="7"/>
  <c r="BK38" i="7"/>
  <c r="AQ39" i="7"/>
  <c r="AK40" i="7"/>
  <c r="BH40" i="7"/>
  <c r="D41" i="7"/>
  <c r="C41" i="7" s="1"/>
  <c r="Y41" i="7"/>
  <c r="AH41" i="7"/>
  <c r="U42" i="7"/>
  <c r="U46" i="7"/>
  <c r="Y53" i="7"/>
  <c r="BB53" i="7"/>
  <c r="BK53" i="7"/>
  <c r="BT53" i="7"/>
  <c r="CC53" i="7"/>
  <c r="CL53" i="7"/>
  <c r="Y54" i="7"/>
  <c r="BB54" i="7"/>
  <c r="BK54" i="7"/>
  <c r="BT54" i="7"/>
  <c r="CC54" i="7"/>
  <c r="CL54" i="7"/>
  <c r="Y55" i="7"/>
  <c r="BB55" i="7"/>
  <c r="BK55" i="7"/>
  <c r="BT55" i="7"/>
  <c r="CC55" i="7"/>
  <c r="CL55" i="7"/>
  <c r="Y56" i="7"/>
  <c r="BK56" i="7"/>
  <c r="BT56" i="7"/>
  <c r="CC56" i="7"/>
  <c r="CL56" i="7"/>
  <c r="Y57" i="7"/>
  <c r="BK57" i="7"/>
  <c r="BT57" i="7"/>
  <c r="Y58" i="7"/>
  <c r="BB58" i="7"/>
  <c r="BK58" i="7"/>
  <c r="BT58" i="7"/>
  <c r="Y59" i="7"/>
  <c r="BK59" i="7"/>
  <c r="BT59" i="7"/>
  <c r="CC59" i="7"/>
  <c r="CL59" i="7"/>
  <c r="Y60" i="7"/>
  <c r="BK60" i="7"/>
  <c r="BT60" i="7"/>
  <c r="CC60" i="7"/>
  <c r="CL60" i="7"/>
  <c r="Y61" i="7"/>
  <c r="BK61" i="7"/>
  <c r="BT61" i="7"/>
  <c r="CC61" i="7"/>
  <c r="CL61" i="7"/>
  <c r="Y62" i="7"/>
  <c r="BK62" i="7"/>
  <c r="BT62" i="7"/>
  <c r="Y63" i="7"/>
  <c r="BK63" i="7"/>
  <c r="BT63" i="7"/>
  <c r="CC63" i="7"/>
  <c r="CL63" i="7"/>
  <c r="Y64" i="7"/>
  <c r="BK64" i="7"/>
  <c r="BT64" i="7"/>
  <c r="CC64" i="7"/>
  <c r="CL64" i="7"/>
  <c r="Y65" i="7"/>
  <c r="BK65" i="7"/>
  <c r="BT65" i="7"/>
  <c r="Y66" i="7"/>
  <c r="BK66" i="7"/>
  <c r="BT66" i="7"/>
  <c r="CC66" i="7"/>
  <c r="CL66" i="7"/>
  <c r="Y67" i="7"/>
  <c r="BK67" i="7"/>
  <c r="BT67" i="7"/>
  <c r="Y68" i="7"/>
  <c r="BK68" i="7"/>
  <c r="BT68" i="7"/>
  <c r="Y69" i="7"/>
  <c r="BB69" i="7"/>
  <c r="BK69" i="7"/>
  <c r="BT69" i="7"/>
  <c r="CC69" i="7"/>
  <c r="CL69" i="7"/>
  <c r="Y70" i="7"/>
  <c r="BK70" i="7"/>
  <c r="BT70" i="7"/>
  <c r="Y71" i="7"/>
  <c r="BK71" i="7"/>
  <c r="BT71" i="7"/>
  <c r="Y72" i="7"/>
  <c r="BK72" i="7"/>
  <c r="BT72" i="7"/>
  <c r="Y73" i="7"/>
  <c r="BK73" i="7"/>
  <c r="BT73" i="7"/>
  <c r="AZ74" i="7"/>
  <c r="CJ74" i="7"/>
  <c r="U75" i="7"/>
  <c r="BN75" i="7"/>
  <c r="U76" i="7"/>
  <c r="AV76" i="7"/>
  <c r="BE76" i="7"/>
  <c r="BN76" i="7"/>
  <c r="U77" i="7"/>
  <c r="BN77" i="7"/>
  <c r="U78" i="7"/>
  <c r="AV78" i="7"/>
  <c r="BE78" i="7"/>
  <c r="BN78" i="7"/>
  <c r="CF78" i="7"/>
  <c r="BN79" i="7"/>
  <c r="Y80" i="7"/>
  <c r="BK80" i="7"/>
  <c r="H74" i="7"/>
  <c r="AK81" i="7"/>
  <c r="BD74" i="7"/>
  <c r="CN74" i="7"/>
  <c r="Y82" i="7"/>
  <c r="AN82" i="7"/>
  <c r="Y83" i="7"/>
  <c r="AM74" i="7"/>
  <c r="BT84" i="7"/>
  <c r="AB87" i="7"/>
  <c r="H89" i="7"/>
  <c r="H9" i="7" s="1"/>
  <c r="Y41" i="8"/>
  <c r="P104" i="8"/>
  <c r="P89" i="8" s="1"/>
  <c r="G89" i="8"/>
  <c r="G9" i="8" s="1"/>
  <c r="P9" i="8" s="1"/>
  <c r="AB35" i="9"/>
  <c r="Z35" i="9"/>
  <c r="AB43" i="9"/>
  <c r="Z43" i="9"/>
  <c r="AB62" i="9"/>
  <c r="Z62" i="9"/>
  <c r="Z39" i="10"/>
  <c r="Z45" i="10"/>
  <c r="W74" i="10"/>
  <c r="U81" i="10"/>
  <c r="D80" i="11"/>
  <c r="M80" i="11" s="1"/>
  <c r="E74" i="11"/>
  <c r="P85" i="11"/>
  <c r="G74" i="11"/>
  <c r="P74" i="11" s="1"/>
  <c r="J21" i="7"/>
  <c r="AH22" i="7"/>
  <c r="D25" i="7"/>
  <c r="M25" i="7" s="1"/>
  <c r="J25" i="7"/>
  <c r="AH26" i="7"/>
  <c r="BN26" i="7"/>
  <c r="D27" i="7"/>
  <c r="C27" i="7" s="1"/>
  <c r="J27" i="7"/>
  <c r="CF27" i="7"/>
  <c r="AH28" i="7"/>
  <c r="BN28" i="7"/>
  <c r="D29" i="7"/>
  <c r="J29" i="7"/>
  <c r="AV29" i="7"/>
  <c r="AH30" i="7"/>
  <c r="AQ30" i="7"/>
  <c r="AC31" i="7"/>
  <c r="AI31" i="7"/>
  <c r="BG31" i="7"/>
  <c r="BV31" i="7"/>
  <c r="CE31" i="7"/>
  <c r="J33" i="7"/>
  <c r="BT34" i="7"/>
  <c r="BH41" i="7"/>
  <c r="BQ41" i="7"/>
  <c r="D43" i="7"/>
  <c r="C43" i="7" s="1"/>
  <c r="BB43" i="7"/>
  <c r="BK43" i="7"/>
  <c r="BT43" i="7"/>
  <c r="AK44" i="7"/>
  <c r="AQ45" i="7"/>
  <c r="BQ45" i="7"/>
  <c r="BZ45" i="7"/>
  <c r="CI45" i="7"/>
  <c r="U47" i="7"/>
  <c r="AV47" i="7"/>
  <c r="BE47" i="7"/>
  <c r="BN47" i="7"/>
  <c r="N48" i="7"/>
  <c r="N49" i="7"/>
  <c r="N50" i="7"/>
  <c r="N51" i="7"/>
  <c r="I74" i="7"/>
  <c r="Q74" i="7" s="1"/>
  <c r="AR74" i="7"/>
  <c r="AX74" i="7"/>
  <c r="CH74" i="7"/>
  <c r="P25" i="8"/>
  <c r="AB49" i="9"/>
  <c r="Z49" i="9"/>
  <c r="V52" i="9"/>
  <c r="F89" i="9"/>
  <c r="F9" i="9" s="1"/>
  <c r="D75" i="10"/>
  <c r="M75" i="10" s="1"/>
  <c r="E74" i="10"/>
  <c r="Z75" i="10"/>
  <c r="X74" i="10"/>
  <c r="Q14" i="11"/>
  <c r="I13" i="11"/>
  <c r="Q13" i="11" s="1"/>
  <c r="AN19" i="7"/>
  <c r="AB20" i="7"/>
  <c r="AN21" i="7"/>
  <c r="AB22" i="7"/>
  <c r="AN23" i="7"/>
  <c r="AB24" i="7"/>
  <c r="W31" i="7"/>
  <c r="BO31" i="7"/>
  <c r="BX31" i="7"/>
  <c r="BB35" i="7"/>
  <c r="BT38" i="7"/>
  <c r="AK39" i="7"/>
  <c r="N40" i="7"/>
  <c r="D79" i="7"/>
  <c r="C79" i="7" s="1"/>
  <c r="BQ79" i="7"/>
  <c r="O74" i="7"/>
  <c r="Z74" i="7"/>
  <c r="AG74" i="7"/>
  <c r="AP74" i="7"/>
  <c r="AN81" i="7"/>
  <c r="AS74" i="7"/>
  <c r="CB74" i="7"/>
  <c r="AB82" i="7"/>
  <c r="BK82" i="7"/>
  <c r="AB83" i="7"/>
  <c r="AN88" i="7"/>
  <c r="J91" i="7"/>
  <c r="D92" i="7"/>
  <c r="O89" i="7"/>
  <c r="O9" i="7" s="1"/>
  <c r="D96" i="7"/>
  <c r="C96" i="7" s="1"/>
  <c r="K96" i="7" s="1"/>
  <c r="F52" i="8"/>
  <c r="J54" i="8"/>
  <c r="L52" i="8"/>
  <c r="J69" i="8"/>
  <c r="W20" i="9"/>
  <c r="AQ19" i="7"/>
  <c r="BT19" i="7"/>
  <c r="CL20" i="7"/>
  <c r="AQ21" i="7"/>
  <c r="BT21" i="7"/>
  <c r="AQ23" i="7"/>
  <c r="BT23" i="7"/>
  <c r="AQ25" i="7"/>
  <c r="BT25" i="7"/>
  <c r="AQ27" i="7"/>
  <c r="BT27" i="7"/>
  <c r="AQ29" i="7"/>
  <c r="N32" i="7"/>
  <c r="BA31" i="7"/>
  <c r="BP31" i="7"/>
  <c r="AQ33" i="7"/>
  <c r="BB37" i="7"/>
  <c r="BT40" i="7"/>
  <c r="N41" i="7"/>
  <c r="AK41" i="7"/>
  <c r="BT41" i="7"/>
  <c r="N44" i="7"/>
  <c r="BK45" i="7"/>
  <c r="BT45" i="7"/>
  <c r="CC45" i="7"/>
  <c r="CL45" i="7"/>
  <c r="AK46" i="7"/>
  <c r="AQ47" i="7"/>
  <c r="AY47" i="7"/>
  <c r="BH47" i="7"/>
  <c r="BQ47" i="7"/>
  <c r="AO74" i="7"/>
  <c r="F74" i="7"/>
  <c r="AA74" i="7"/>
  <c r="BV74" i="7"/>
  <c r="T31" i="8"/>
  <c r="U80" i="8"/>
  <c r="AA31" i="9"/>
  <c r="AH13" i="10"/>
  <c r="D18" i="10"/>
  <c r="M18" i="10" s="1"/>
  <c r="E13" i="10"/>
  <c r="W52" i="10"/>
  <c r="AH74" i="10"/>
  <c r="D20" i="7"/>
  <c r="C20" i="7" s="1"/>
  <c r="CF20" i="7"/>
  <c r="BN21" i="7"/>
  <c r="D22" i="7"/>
  <c r="M22" i="7" s="1"/>
  <c r="BN23" i="7"/>
  <c r="D24" i="7"/>
  <c r="C24" i="7" s="1"/>
  <c r="BN25" i="7"/>
  <c r="D26" i="7"/>
  <c r="C26" i="7" s="1"/>
  <c r="BN27" i="7"/>
  <c r="D28" i="7"/>
  <c r="C28" i="7" s="1"/>
  <c r="BN29" i="7"/>
  <c r="D30" i="7"/>
  <c r="C30" i="7" s="1"/>
  <c r="J30" i="7"/>
  <c r="BK30" i="7"/>
  <c r="AT31" i="7"/>
  <c r="U33" i="7"/>
  <c r="BQ33" i="7"/>
  <c r="Y34" i="7"/>
  <c r="D35" i="7"/>
  <c r="C35" i="7" s="1"/>
  <c r="Y35" i="7"/>
  <c r="AH35" i="7"/>
  <c r="AK36" i="7"/>
  <c r="J37" i="7"/>
  <c r="BE37" i="7"/>
  <c r="BN37" i="7"/>
  <c r="AQ38" i="7"/>
  <c r="AY38" i="7"/>
  <c r="J39" i="7"/>
  <c r="AN41" i="7"/>
  <c r="AN42" i="7"/>
  <c r="U43" i="7"/>
  <c r="AB43" i="7"/>
  <c r="U44" i="7"/>
  <c r="Y46" i="7"/>
  <c r="BB46" i="7"/>
  <c r="BK46" i="7"/>
  <c r="BT46" i="7"/>
  <c r="AK47" i="7"/>
  <c r="AQ48" i="7"/>
  <c r="AY48" i="7"/>
  <c r="BH48" i="7"/>
  <c r="BQ48" i="7"/>
  <c r="D49" i="7"/>
  <c r="M49" i="7" s="1"/>
  <c r="AQ49" i="7"/>
  <c r="AY49" i="7"/>
  <c r="BQ49" i="7"/>
  <c r="D50" i="7"/>
  <c r="C50" i="7" s="1"/>
  <c r="AQ50" i="7"/>
  <c r="AY50" i="7"/>
  <c r="BH50" i="7"/>
  <c r="BQ50" i="7"/>
  <c r="D51" i="7"/>
  <c r="C51" i="7" s="1"/>
  <c r="AQ51" i="7"/>
  <c r="AY51" i="7"/>
  <c r="BH51" i="7"/>
  <c r="BQ51" i="7"/>
  <c r="BZ51" i="7"/>
  <c r="CI51" i="7"/>
  <c r="D53" i="7"/>
  <c r="AQ53" i="7"/>
  <c r="AY53" i="7"/>
  <c r="BH53" i="7"/>
  <c r="BQ53" i="7"/>
  <c r="BZ53" i="7"/>
  <c r="CI53" i="7"/>
  <c r="D54" i="7"/>
  <c r="AQ54" i="7"/>
  <c r="AY54" i="7"/>
  <c r="BH54" i="7"/>
  <c r="BQ54" i="7"/>
  <c r="BZ54" i="7"/>
  <c r="CI54" i="7"/>
  <c r="D55" i="7"/>
  <c r="M55" i="7" s="1"/>
  <c r="AQ55" i="7"/>
  <c r="AY55" i="7"/>
  <c r="BH55" i="7"/>
  <c r="BQ55" i="7"/>
  <c r="BZ55" i="7"/>
  <c r="CI55" i="7"/>
  <c r="D56" i="7"/>
  <c r="C56" i="7" s="1"/>
  <c r="AQ56" i="7"/>
  <c r="BQ56" i="7"/>
  <c r="BZ56" i="7"/>
  <c r="CI56" i="7"/>
  <c r="D57" i="7"/>
  <c r="C57" i="7" s="1"/>
  <c r="AQ57" i="7"/>
  <c r="BQ57" i="7"/>
  <c r="D58" i="7"/>
  <c r="C58" i="7" s="1"/>
  <c r="AQ58" i="7"/>
  <c r="AY58" i="7"/>
  <c r="BH58" i="7"/>
  <c r="BQ58" i="7"/>
  <c r="D59" i="7"/>
  <c r="C59" i="7" s="1"/>
  <c r="AQ59" i="7"/>
  <c r="BQ59" i="7"/>
  <c r="BZ59" i="7"/>
  <c r="CI59" i="7"/>
  <c r="D60" i="7"/>
  <c r="C60" i="7" s="1"/>
  <c r="BQ60" i="7"/>
  <c r="BZ60" i="7"/>
  <c r="CI60" i="7"/>
  <c r="D61" i="7"/>
  <c r="C61" i="7" s="1"/>
  <c r="AQ61" i="7"/>
  <c r="BQ61" i="7"/>
  <c r="BZ61" i="7"/>
  <c r="CI61" i="7"/>
  <c r="D62" i="7"/>
  <c r="C62" i="7" s="1"/>
  <c r="AQ62" i="7"/>
  <c r="BQ62" i="7"/>
  <c r="D63" i="7"/>
  <c r="C63" i="7" s="1"/>
  <c r="AQ63" i="7"/>
  <c r="BQ63" i="7"/>
  <c r="BZ63" i="7"/>
  <c r="CI63" i="7"/>
  <c r="D64" i="7"/>
  <c r="M64" i="7" s="1"/>
  <c r="AQ64" i="7"/>
  <c r="BQ64" i="7"/>
  <c r="BZ64" i="7"/>
  <c r="CI64" i="7"/>
  <c r="D65" i="7"/>
  <c r="C65" i="7" s="1"/>
  <c r="AQ65" i="7"/>
  <c r="BQ65" i="7"/>
  <c r="D66" i="7"/>
  <c r="M66" i="7" s="1"/>
  <c r="AQ66" i="7"/>
  <c r="BQ66" i="7"/>
  <c r="BZ66" i="7"/>
  <c r="CI66" i="7"/>
  <c r="D67" i="7"/>
  <c r="C67" i="7" s="1"/>
  <c r="AQ67" i="7"/>
  <c r="BQ67" i="7"/>
  <c r="D68" i="7"/>
  <c r="C68" i="7" s="1"/>
  <c r="AQ68" i="7"/>
  <c r="BQ68" i="7"/>
  <c r="D69" i="7"/>
  <c r="C69" i="7" s="1"/>
  <c r="AQ69" i="7"/>
  <c r="AY69" i="7"/>
  <c r="BH69" i="7"/>
  <c r="BQ69" i="7"/>
  <c r="BZ69" i="7"/>
  <c r="CI69" i="7"/>
  <c r="D70" i="7"/>
  <c r="C70" i="7" s="1"/>
  <c r="AQ70" i="7"/>
  <c r="BQ70" i="7"/>
  <c r="D71" i="7"/>
  <c r="BQ71" i="7"/>
  <c r="D72" i="7"/>
  <c r="C72" i="7" s="1"/>
  <c r="AQ72" i="7"/>
  <c r="BQ72" i="7"/>
  <c r="D73" i="7"/>
  <c r="C73" i="7" s="1"/>
  <c r="BQ73" i="7"/>
  <c r="E74" i="7"/>
  <c r="BL74" i="7"/>
  <c r="Y75" i="7"/>
  <c r="BK75" i="7"/>
  <c r="BT75" i="7"/>
  <c r="Y76" i="7"/>
  <c r="BB76" i="7"/>
  <c r="BK76" i="7"/>
  <c r="BT76" i="7"/>
  <c r="Y77" i="7"/>
  <c r="BK77" i="7"/>
  <c r="BT77" i="7"/>
  <c r="Y78" i="7"/>
  <c r="BB78" i="7"/>
  <c r="BK78" i="7"/>
  <c r="BT78" i="7"/>
  <c r="CC78" i="7"/>
  <c r="CL78" i="7"/>
  <c r="Y79" i="7"/>
  <c r="BK79" i="7"/>
  <c r="BT79" i="7"/>
  <c r="AH81" i="7"/>
  <c r="BK81" i="7"/>
  <c r="BP74" i="7"/>
  <c r="BT82" i="7"/>
  <c r="J84" i="7"/>
  <c r="D85" i="7"/>
  <c r="AN85" i="7"/>
  <c r="J86" i="7"/>
  <c r="D88" i="7"/>
  <c r="M88" i="7" s="1"/>
  <c r="Y88" i="7"/>
  <c r="J90" i="7"/>
  <c r="X13" i="8"/>
  <c r="Z28" i="9"/>
  <c r="AB38" i="9"/>
  <c r="Z38" i="9"/>
  <c r="G52" i="9"/>
  <c r="P52" i="9" s="1"/>
  <c r="P58" i="9"/>
  <c r="AB58" i="9"/>
  <c r="Z58" i="9"/>
  <c r="I89" i="9"/>
  <c r="I9" i="9" s="1"/>
  <c r="Q9" i="9" s="1"/>
  <c r="Q90" i="9"/>
  <c r="Q89" i="9" s="1"/>
  <c r="AE31" i="10"/>
  <c r="AH52" i="10"/>
  <c r="J78" i="10"/>
  <c r="L74" i="10"/>
  <c r="AI78" i="10"/>
  <c r="AD74" i="10"/>
  <c r="AI74" i="10" s="1"/>
  <c r="D100" i="11"/>
  <c r="C100" i="11" s="1"/>
  <c r="K100" i="11" s="1"/>
  <c r="F89" i="11"/>
  <c r="F9" i="11" s="1"/>
  <c r="J106" i="7"/>
  <c r="H13" i="8"/>
  <c r="N13" i="8" s="1"/>
  <c r="Y19" i="8"/>
  <c r="J21" i="8"/>
  <c r="J29" i="8"/>
  <c r="U30" i="8"/>
  <c r="D34" i="8"/>
  <c r="C34" i="8" s="1"/>
  <c r="K34" i="8" s="1"/>
  <c r="J51" i="8"/>
  <c r="Y66" i="8"/>
  <c r="U68" i="8"/>
  <c r="I89" i="8"/>
  <c r="I9" i="8" s="1"/>
  <c r="Q9" i="8" s="1"/>
  <c r="N104" i="8"/>
  <c r="I13" i="9"/>
  <c r="Q13" i="9" s="1"/>
  <c r="U13" i="9"/>
  <c r="W15" i="9"/>
  <c r="D16" i="9"/>
  <c r="M16" i="9" s="1"/>
  <c r="AB16" i="9"/>
  <c r="J17" i="9"/>
  <c r="J19" i="9"/>
  <c r="D20" i="9"/>
  <c r="C20" i="9" s="1"/>
  <c r="Z21" i="9"/>
  <c r="N23" i="9"/>
  <c r="AB23" i="9"/>
  <c r="Z24" i="9"/>
  <c r="W25" i="9"/>
  <c r="W27" i="9"/>
  <c r="T30" i="9"/>
  <c r="T36" i="9"/>
  <c r="AB46" i="9"/>
  <c r="J47" i="9"/>
  <c r="AB48" i="9"/>
  <c r="Y31" i="9"/>
  <c r="D53" i="9"/>
  <c r="M53" i="9" s="1"/>
  <c r="O52" i="9"/>
  <c r="D57" i="9"/>
  <c r="C57" i="9" s="1"/>
  <c r="K57" i="9" s="1"/>
  <c r="Z65" i="9"/>
  <c r="AB67" i="9"/>
  <c r="J68" i="9"/>
  <c r="J69" i="9"/>
  <c r="D71" i="9"/>
  <c r="M71" i="9" s="1"/>
  <c r="H74" i="9"/>
  <c r="D77" i="9"/>
  <c r="M77" i="9" s="1"/>
  <c r="J78" i="9"/>
  <c r="D80" i="9"/>
  <c r="C80" i="9" s="1"/>
  <c r="K80" i="9" s="1"/>
  <c r="J81" i="9"/>
  <c r="D83" i="9"/>
  <c r="M83" i="9" s="1"/>
  <c r="J84" i="9"/>
  <c r="D86" i="9"/>
  <c r="M86" i="9" s="1"/>
  <c r="J87" i="9"/>
  <c r="L89" i="9"/>
  <c r="L9" i="9" s="1"/>
  <c r="D92" i="9"/>
  <c r="C92" i="9" s="1"/>
  <c r="K92" i="9" s="1"/>
  <c r="J92" i="9"/>
  <c r="N93" i="9"/>
  <c r="J97" i="9"/>
  <c r="J99" i="9"/>
  <c r="J101" i="9"/>
  <c r="J103" i="9"/>
  <c r="N104" i="9"/>
  <c r="D105" i="9"/>
  <c r="M105" i="9" s="1"/>
  <c r="AE13" i="10"/>
  <c r="AF15" i="10"/>
  <c r="D16" i="10"/>
  <c r="M16" i="10" s="1"/>
  <c r="Z16" i="10"/>
  <c r="J19" i="10"/>
  <c r="AI19" i="10"/>
  <c r="AF20" i="10"/>
  <c r="D23" i="10"/>
  <c r="C23" i="10" s="1"/>
  <c r="AI24" i="10"/>
  <c r="U25" i="10"/>
  <c r="AF27" i="10"/>
  <c r="D28" i="10"/>
  <c r="M28" i="10" s="1"/>
  <c r="Z28" i="10"/>
  <c r="L31" i="10"/>
  <c r="AF32" i="10"/>
  <c r="D33" i="10"/>
  <c r="M33" i="10" s="1"/>
  <c r="D34" i="10"/>
  <c r="M34" i="10" s="1"/>
  <c r="AC35" i="10"/>
  <c r="AC36" i="10"/>
  <c r="J37" i="10"/>
  <c r="U39" i="10"/>
  <c r="AI41" i="10"/>
  <c r="U42" i="10"/>
  <c r="AI47" i="10"/>
  <c r="AF54" i="10"/>
  <c r="D55" i="10"/>
  <c r="C55" i="10" s="1"/>
  <c r="AF56" i="10"/>
  <c r="AF58" i="10"/>
  <c r="J60" i="10"/>
  <c r="AI60" i="10"/>
  <c r="AF61" i="10"/>
  <c r="N63" i="10"/>
  <c r="D64" i="10"/>
  <c r="M64" i="10" s="1"/>
  <c r="AI65" i="10"/>
  <c r="U66" i="10"/>
  <c r="AF68" i="10"/>
  <c r="D69" i="10"/>
  <c r="M69" i="10" s="1"/>
  <c r="J72" i="10"/>
  <c r="AI72" i="10"/>
  <c r="AF73" i="10"/>
  <c r="Y74" i="10"/>
  <c r="J76" i="10"/>
  <c r="AI76" i="10"/>
  <c r="AF77" i="10"/>
  <c r="D80" i="10"/>
  <c r="C80" i="10" s="1"/>
  <c r="K80" i="10" s="1"/>
  <c r="AC80" i="10"/>
  <c r="AI81" i="10"/>
  <c r="U82" i="10"/>
  <c r="J83" i="10"/>
  <c r="AF84" i="10"/>
  <c r="D85" i="10"/>
  <c r="C85" i="10" s="1"/>
  <c r="K85" i="10" s="1"/>
  <c r="J88" i="10"/>
  <c r="AI88" i="10"/>
  <c r="G89" i="10"/>
  <c r="G9" i="10" s="1"/>
  <c r="P9" i="10" s="1"/>
  <c r="D92" i="10"/>
  <c r="C92" i="10" s="1"/>
  <c r="K92" i="10" s="1"/>
  <c r="D100" i="10"/>
  <c r="C100" i="10" s="1"/>
  <c r="K100" i="10" s="1"/>
  <c r="J103" i="10"/>
  <c r="R13" i="11"/>
  <c r="H74" i="11"/>
  <c r="G31" i="12"/>
  <c r="P31" i="12" s="1"/>
  <c r="X31" i="12"/>
  <c r="T36" i="12"/>
  <c r="N48" i="12"/>
  <c r="U52" i="12"/>
  <c r="AA52" i="12"/>
  <c r="U63" i="14"/>
  <c r="R52" i="14"/>
  <c r="D101" i="7"/>
  <c r="C101" i="7" s="1"/>
  <c r="K101" i="7" s="1"/>
  <c r="J15" i="8"/>
  <c r="U27" i="8"/>
  <c r="F31" i="8"/>
  <c r="Y36" i="8"/>
  <c r="D66" i="8"/>
  <c r="M66" i="8" s="1"/>
  <c r="Y81" i="8"/>
  <c r="J85" i="8"/>
  <c r="N93" i="8"/>
  <c r="D105" i="8"/>
  <c r="M105" i="8" s="1"/>
  <c r="J16" i="9"/>
  <c r="D17" i="9"/>
  <c r="C17" i="9" s="1"/>
  <c r="K17" i="9" s="1"/>
  <c r="Z18" i="9"/>
  <c r="P76" i="9"/>
  <c r="O13" i="10"/>
  <c r="AG13" i="10"/>
  <c r="O31" i="10"/>
  <c r="AB31" i="10"/>
  <c r="U43" i="10"/>
  <c r="AC44" i="10"/>
  <c r="AB52" i="10"/>
  <c r="F52" i="10"/>
  <c r="L89" i="10"/>
  <c r="L9" i="10" s="1"/>
  <c r="D14" i="11"/>
  <c r="C14" i="11" s="1"/>
  <c r="K14" i="11" s="1"/>
  <c r="E13" i="11"/>
  <c r="D16" i="11"/>
  <c r="C16" i="11" s="1"/>
  <c r="K16" i="11" s="1"/>
  <c r="D18" i="11"/>
  <c r="C18" i="11" s="1"/>
  <c r="K18" i="11" s="1"/>
  <c r="D20" i="11"/>
  <c r="C20" i="11" s="1"/>
  <c r="K20" i="11" s="1"/>
  <c r="D22" i="11"/>
  <c r="C22" i="11" s="1"/>
  <c r="K22" i="11" s="1"/>
  <c r="D24" i="11"/>
  <c r="C24" i="11" s="1"/>
  <c r="K24" i="11" s="1"/>
  <c r="D26" i="11"/>
  <c r="C26" i="11" s="1"/>
  <c r="K26" i="11" s="1"/>
  <c r="D28" i="11"/>
  <c r="C28" i="11" s="1"/>
  <c r="K28" i="11" s="1"/>
  <c r="N55" i="11"/>
  <c r="H52" i="11"/>
  <c r="Q78" i="11"/>
  <c r="I74" i="11"/>
  <c r="Q74" i="11" s="1"/>
  <c r="Q26" i="12"/>
  <c r="I13" i="12"/>
  <c r="Q13" i="12" s="1"/>
  <c r="S31" i="12"/>
  <c r="S74" i="12"/>
  <c r="J100" i="7"/>
  <c r="U14" i="8"/>
  <c r="D30" i="8"/>
  <c r="M30" i="8" s="1"/>
  <c r="J35" i="8"/>
  <c r="J46" i="8"/>
  <c r="Y58" i="8"/>
  <c r="J73" i="8"/>
  <c r="H74" i="8"/>
  <c r="N74" i="8" s="1"/>
  <c r="J82" i="8"/>
  <c r="Y82" i="8"/>
  <c r="D91" i="8"/>
  <c r="C91" i="8" s="1"/>
  <c r="K91" i="8" s="1"/>
  <c r="N21" i="9"/>
  <c r="T24" i="9"/>
  <c r="AB26" i="9"/>
  <c r="W28" i="9"/>
  <c r="W30" i="9"/>
  <c r="AA52" i="9"/>
  <c r="D69" i="9"/>
  <c r="C69" i="9" s="1"/>
  <c r="K69" i="9" s="1"/>
  <c r="Y74" i="9"/>
  <c r="D78" i="9"/>
  <c r="M78" i="9" s="1"/>
  <c r="D81" i="9"/>
  <c r="D84" i="9"/>
  <c r="C84" i="9" s="1"/>
  <c r="K84" i="9" s="1"/>
  <c r="D87" i="9"/>
  <c r="C87" i="9" s="1"/>
  <c r="K87" i="9" s="1"/>
  <c r="N88" i="9"/>
  <c r="Y13" i="10"/>
  <c r="AF16" i="10"/>
  <c r="D19" i="10"/>
  <c r="AI20" i="10"/>
  <c r="AF23" i="10"/>
  <c r="D24" i="10"/>
  <c r="M24" i="10" s="1"/>
  <c r="Z24" i="10"/>
  <c r="J27" i="10"/>
  <c r="AI27" i="10"/>
  <c r="AF28" i="10"/>
  <c r="D29" i="10"/>
  <c r="C29" i="10" s="1"/>
  <c r="F31" i="10"/>
  <c r="AI32" i="10"/>
  <c r="AF35" i="10"/>
  <c r="J36" i="10"/>
  <c r="AF37" i="10"/>
  <c r="AF40" i="10"/>
  <c r="AC41" i="10"/>
  <c r="J49" i="10"/>
  <c r="AI51" i="10"/>
  <c r="AI56" i="10"/>
  <c r="J58" i="10"/>
  <c r="AI58" i="10"/>
  <c r="D60" i="10"/>
  <c r="M60" i="10" s="1"/>
  <c r="AI61" i="10"/>
  <c r="AF64" i="10"/>
  <c r="D65" i="10"/>
  <c r="M65" i="10" s="1"/>
  <c r="J68" i="10"/>
  <c r="AI68" i="10"/>
  <c r="AF69" i="10"/>
  <c r="D72" i="10"/>
  <c r="C72" i="10" s="1"/>
  <c r="AI73" i="10"/>
  <c r="H74" i="10"/>
  <c r="D76" i="10"/>
  <c r="C76" i="10" s="1"/>
  <c r="K76" i="10" s="1"/>
  <c r="AC76" i="10"/>
  <c r="AI77" i="10"/>
  <c r="J79" i="10"/>
  <c r="AF80" i="10"/>
  <c r="D81" i="10"/>
  <c r="Z81" i="10"/>
  <c r="AI84" i="10"/>
  <c r="AF85" i="10"/>
  <c r="AC88" i="10"/>
  <c r="L74" i="11"/>
  <c r="O74" i="11"/>
  <c r="Q89" i="11"/>
  <c r="U13" i="12"/>
  <c r="AA31" i="12"/>
  <c r="Q36" i="12"/>
  <c r="I31" i="12"/>
  <c r="Q31" i="12" s="1"/>
  <c r="O52" i="12"/>
  <c r="N75" i="12"/>
  <c r="Z74" i="12"/>
  <c r="G74" i="12"/>
  <c r="P74" i="12" s="1"/>
  <c r="P80" i="12"/>
  <c r="N23" i="13"/>
  <c r="U17" i="8"/>
  <c r="U22" i="8"/>
  <c r="Y25" i="8"/>
  <c r="J27" i="8"/>
  <c r="J28" i="8"/>
  <c r="U33" i="8"/>
  <c r="U36" i="8"/>
  <c r="O31" i="8"/>
  <c r="J53" i="8"/>
  <c r="D55" i="8"/>
  <c r="J57" i="8"/>
  <c r="J63" i="8"/>
  <c r="X52" i="8"/>
  <c r="J65" i="8"/>
  <c r="U75" i="8"/>
  <c r="J77" i="8"/>
  <c r="U78" i="8"/>
  <c r="U81" i="8"/>
  <c r="U87" i="8"/>
  <c r="D88" i="8"/>
  <c r="M88" i="8" s="1"/>
  <c r="Q91" i="8"/>
  <c r="Q89" i="8" s="1"/>
  <c r="J98" i="8"/>
  <c r="N26" i="9"/>
  <c r="O31" i="9"/>
  <c r="J50" i="9"/>
  <c r="Z56" i="9"/>
  <c r="D66" i="9"/>
  <c r="C66" i="9" s="1"/>
  <c r="K66" i="9" s="1"/>
  <c r="T88" i="9"/>
  <c r="J104" i="9"/>
  <c r="N16" i="10"/>
  <c r="U19" i="10"/>
  <c r="Y31" i="10"/>
  <c r="Z44" i="10"/>
  <c r="U72" i="10"/>
  <c r="I74" i="10"/>
  <c r="Q74" i="10" s="1"/>
  <c r="U76" i="10"/>
  <c r="D86" i="10"/>
  <c r="M86" i="10" s="1"/>
  <c r="U88" i="10"/>
  <c r="F89" i="10"/>
  <c r="F9" i="10" s="1"/>
  <c r="H13" i="11"/>
  <c r="P14" i="11"/>
  <c r="G13" i="11"/>
  <c r="P13" i="11" s="1"/>
  <c r="T23" i="12"/>
  <c r="O31" i="12"/>
  <c r="G52" i="12"/>
  <c r="P52" i="12" s="1"/>
  <c r="T63" i="12"/>
  <c r="U19" i="13"/>
  <c r="P76" i="13"/>
  <c r="J98" i="7"/>
  <c r="D102" i="7"/>
  <c r="U21" i="8"/>
  <c r="Y30" i="8"/>
  <c r="U35" i="8"/>
  <c r="D40" i="8"/>
  <c r="C40" i="8" s="1"/>
  <c r="K40" i="8" s="1"/>
  <c r="J41" i="8"/>
  <c r="D46" i="8"/>
  <c r="C46" i="8" s="1"/>
  <c r="K46" i="8" s="1"/>
  <c r="Y48" i="8"/>
  <c r="Y50" i="8"/>
  <c r="D53" i="8"/>
  <c r="C53" i="8" s="1"/>
  <c r="K53" i="8" s="1"/>
  <c r="D59" i="8"/>
  <c r="C59" i="8" s="1"/>
  <c r="K59" i="8" s="1"/>
  <c r="D65" i="8"/>
  <c r="C65" i="8" s="1"/>
  <c r="K65" i="8" s="1"/>
  <c r="D69" i="8"/>
  <c r="D71" i="8"/>
  <c r="M71" i="8" s="1"/>
  <c r="D79" i="8"/>
  <c r="O74" i="8"/>
  <c r="D93" i="8"/>
  <c r="M93" i="8" s="1"/>
  <c r="J103" i="8"/>
  <c r="D104" i="8"/>
  <c r="N15" i="9"/>
  <c r="T15" i="9"/>
  <c r="AB18" i="9"/>
  <c r="D22" i="9"/>
  <c r="M22" i="9" s="1"/>
  <c r="W24" i="9"/>
  <c r="Z26" i="9"/>
  <c r="T27" i="9"/>
  <c r="AB29" i="9"/>
  <c r="Z30" i="9"/>
  <c r="D35" i="9"/>
  <c r="M35" i="9" s="1"/>
  <c r="J41" i="9"/>
  <c r="D42" i="9"/>
  <c r="M42" i="9" s="1"/>
  <c r="N46" i="9"/>
  <c r="J51" i="9"/>
  <c r="Z53" i="9"/>
  <c r="J56" i="9"/>
  <c r="J57" i="9"/>
  <c r="D59" i="9"/>
  <c r="D63" i="9"/>
  <c r="C63" i="9" s="1"/>
  <c r="K63" i="9" s="1"/>
  <c r="Z71" i="9"/>
  <c r="W72" i="9"/>
  <c r="D91" i="9"/>
  <c r="M91" i="9" s="1"/>
  <c r="D96" i="9"/>
  <c r="C96" i="9" s="1"/>
  <c r="K96" i="9" s="1"/>
  <c r="J96" i="9"/>
  <c r="D98" i="9"/>
  <c r="C98" i="9" s="1"/>
  <c r="K98" i="9" s="1"/>
  <c r="J98" i="9"/>
  <c r="D100" i="9"/>
  <c r="C100" i="9" s="1"/>
  <c r="K100" i="9" s="1"/>
  <c r="J100" i="9"/>
  <c r="D102" i="9"/>
  <c r="M102" i="9" s="1"/>
  <c r="J102" i="9"/>
  <c r="X13" i="10"/>
  <c r="T13" i="10"/>
  <c r="D15" i="10"/>
  <c r="AI16" i="10"/>
  <c r="AF19" i="10"/>
  <c r="D20" i="10"/>
  <c r="Z20" i="10"/>
  <c r="J23" i="10"/>
  <c r="AI23" i="10"/>
  <c r="AF24" i="10"/>
  <c r="AI28" i="10"/>
  <c r="AI35" i="10"/>
  <c r="T31" i="10"/>
  <c r="AI37" i="10"/>
  <c r="J39" i="10"/>
  <c r="D40" i="10"/>
  <c r="M40" i="10" s="1"/>
  <c r="J40" i="10"/>
  <c r="AI40" i="10"/>
  <c r="AF41" i="10"/>
  <c r="J44" i="10"/>
  <c r="AF44" i="10"/>
  <c r="D45" i="10"/>
  <c r="M45" i="10" s="1"/>
  <c r="D46" i="10"/>
  <c r="M46" i="10" s="1"/>
  <c r="AF47" i="10"/>
  <c r="AF50" i="10"/>
  <c r="D51" i="10"/>
  <c r="C51" i="10" s="1"/>
  <c r="K51" i="10" s="1"/>
  <c r="AI55" i="10"/>
  <c r="AI57" i="10"/>
  <c r="AF60" i="10"/>
  <c r="D61" i="10"/>
  <c r="Z61" i="10"/>
  <c r="J64" i="10"/>
  <c r="AI64" i="10"/>
  <c r="AF65" i="10"/>
  <c r="D68" i="10"/>
  <c r="M68" i="10" s="1"/>
  <c r="AI69" i="10"/>
  <c r="AF72" i="10"/>
  <c r="D73" i="10"/>
  <c r="M73" i="10" s="1"/>
  <c r="R74" i="10"/>
  <c r="J75" i="10"/>
  <c r="AE74" i="10"/>
  <c r="AF76" i="10"/>
  <c r="D77" i="10"/>
  <c r="C77" i="10" s="1"/>
  <c r="K77" i="10" s="1"/>
  <c r="Z77" i="10"/>
  <c r="J80" i="10"/>
  <c r="AI80" i="10"/>
  <c r="AF81" i="10"/>
  <c r="D84" i="10"/>
  <c r="M84" i="10" s="1"/>
  <c r="AC84" i="10"/>
  <c r="AI85" i="10"/>
  <c r="J87" i="10"/>
  <c r="AF88" i="10"/>
  <c r="I89" i="10"/>
  <c r="I9" i="10" s="1"/>
  <c r="Q9" i="10" s="1"/>
  <c r="D90" i="10"/>
  <c r="J95" i="10"/>
  <c r="D104" i="10"/>
  <c r="C104" i="10" s="1"/>
  <c r="J87" i="11"/>
  <c r="E89" i="11"/>
  <c r="E9" i="11" s="1"/>
  <c r="J92" i="10"/>
  <c r="N95" i="10"/>
  <c r="D97" i="10"/>
  <c r="C97" i="10" s="1"/>
  <c r="K97" i="10" s="1"/>
  <c r="J104" i="10"/>
  <c r="J14" i="11"/>
  <c r="J16" i="11"/>
  <c r="J18" i="11"/>
  <c r="J20" i="11"/>
  <c r="J22" i="11"/>
  <c r="J24" i="11"/>
  <c r="J26" i="11"/>
  <c r="J28" i="11"/>
  <c r="J30" i="11"/>
  <c r="D41" i="11"/>
  <c r="J43" i="11"/>
  <c r="J53" i="11"/>
  <c r="D56" i="11"/>
  <c r="C56" i="11" s="1"/>
  <c r="J60" i="11"/>
  <c r="D61" i="11"/>
  <c r="C61" i="11" s="1"/>
  <c r="K61" i="11" s="1"/>
  <c r="J66" i="11"/>
  <c r="D67" i="11"/>
  <c r="C67" i="11" s="1"/>
  <c r="K67" i="11" s="1"/>
  <c r="J71" i="11"/>
  <c r="D72" i="11"/>
  <c r="C72" i="11" s="1"/>
  <c r="K72" i="11" s="1"/>
  <c r="J72" i="11"/>
  <c r="D75" i="11"/>
  <c r="C75" i="11" s="1"/>
  <c r="J75" i="11"/>
  <c r="D79" i="11"/>
  <c r="M79" i="11" s="1"/>
  <c r="J79" i="11"/>
  <c r="D81" i="11"/>
  <c r="M81" i="11" s="1"/>
  <c r="N86" i="11"/>
  <c r="L89" i="11"/>
  <c r="L9" i="11" s="1"/>
  <c r="D95" i="11"/>
  <c r="N104" i="11"/>
  <c r="G13" i="12"/>
  <c r="P13" i="12" s="1"/>
  <c r="N15" i="12"/>
  <c r="N17" i="12"/>
  <c r="N20" i="12"/>
  <c r="N29" i="12"/>
  <c r="N32" i="12"/>
  <c r="D34" i="12"/>
  <c r="M34" i="12" s="1"/>
  <c r="J36" i="12"/>
  <c r="N39" i="12"/>
  <c r="N40" i="12"/>
  <c r="W40" i="12"/>
  <c r="D43" i="12"/>
  <c r="C43" i="12" s="1"/>
  <c r="T43" i="12"/>
  <c r="W47" i="12"/>
  <c r="D48" i="12"/>
  <c r="C48" i="12" s="1"/>
  <c r="W48" i="12"/>
  <c r="J49" i="12"/>
  <c r="J51" i="12"/>
  <c r="W51" i="12"/>
  <c r="N53" i="12"/>
  <c r="Q53" i="12"/>
  <c r="N56" i="12"/>
  <c r="D58" i="12"/>
  <c r="C58" i="12" s="1"/>
  <c r="T58" i="12"/>
  <c r="X52" i="12"/>
  <c r="J63" i="12"/>
  <c r="N65" i="12"/>
  <c r="J67" i="12"/>
  <c r="T68" i="12"/>
  <c r="T70" i="12"/>
  <c r="J73" i="12"/>
  <c r="D75" i="12"/>
  <c r="M75" i="12" s="1"/>
  <c r="U74" i="12"/>
  <c r="AA74" i="12"/>
  <c r="T77" i="12"/>
  <c r="N80" i="12"/>
  <c r="J82" i="12"/>
  <c r="W85" i="12"/>
  <c r="T86" i="12"/>
  <c r="J98" i="12"/>
  <c r="J14" i="13"/>
  <c r="Y14" i="13"/>
  <c r="S13" i="13"/>
  <c r="AC15" i="13"/>
  <c r="AC16" i="13"/>
  <c r="AC21" i="13"/>
  <c r="D23" i="13"/>
  <c r="Y24" i="13"/>
  <c r="J26" i="13"/>
  <c r="Y29" i="13"/>
  <c r="Z31" i="13"/>
  <c r="J33" i="13"/>
  <c r="Y41" i="13"/>
  <c r="F52" i="13"/>
  <c r="D94" i="13"/>
  <c r="M94" i="13" s="1"/>
  <c r="N96" i="13"/>
  <c r="AA12" i="14"/>
  <c r="AE51" i="14"/>
  <c r="X52" i="14"/>
  <c r="AB73" i="14"/>
  <c r="T74" i="14"/>
  <c r="U81" i="14"/>
  <c r="AB14" i="16"/>
  <c r="Z13" i="16"/>
  <c r="R31" i="11"/>
  <c r="N69" i="11"/>
  <c r="N76" i="11"/>
  <c r="I89" i="11"/>
  <c r="I9" i="11" s="1"/>
  <c r="Q9" i="11" s="1"/>
  <c r="J14" i="12"/>
  <c r="N16" i="12"/>
  <c r="N18" i="12"/>
  <c r="Z52" i="12"/>
  <c r="J69" i="12"/>
  <c r="N70" i="12"/>
  <c r="O74" i="12"/>
  <c r="O89" i="12"/>
  <c r="O9" i="12" s="1"/>
  <c r="T13" i="13"/>
  <c r="J20" i="13"/>
  <c r="J23" i="13"/>
  <c r="D25" i="13"/>
  <c r="M25" i="13" s="1"/>
  <c r="D26" i="13"/>
  <c r="M26" i="13" s="1"/>
  <c r="AC27" i="13"/>
  <c r="J58" i="13"/>
  <c r="D67" i="13"/>
  <c r="M67" i="13" s="1"/>
  <c r="Z13" i="15"/>
  <c r="AK18" i="16"/>
  <c r="AM18" i="16"/>
  <c r="AG18" i="16"/>
  <c r="T30" i="11"/>
  <c r="D32" i="11"/>
  <c r="C32" i="11" s="1"/>
  <c r="D34" i="11"/>
  <c r="C34" i="11" s="1"/>
  <c r="K34" i="11" s="1"/>
  <c r="D36" i="11"/>
  <c r="C36" i="11" s="1"/>
  <c r="D38" i="11"/>
  <c r="C38" i="11" s="1"/>
  <c r="K38" i="11" s="1"/>
  <c r="D40" i="11"/>
  <c r="C40" i="11" s="1"/>
  <c r="K40" i="11" s="1"/>
  <c r="S31" i="11"/>
  <c r="D45" i="11"/>
  <c r="J47" i="11"/>
  <c r="G52" i="11"/>
  <c r="P52" i="11" s="1"/>
  <c r="F52" i="11"/>
  <c r="D55" i="11"/>
  <c r="C55" i="11" s="1"/>
  <c r="K55" i="11" s="1"/>
  <c r="J58" i="11"/>
  <c r="D59" i="11"/>
  <c r="C59" i="11" s="1"/>
  <c r="K59" i="11" s="1"/>
  <c r="J64" i="11"/>
  <c r="D65" i="11"/>
  <c r="C65" i="11" s="1"/>
  <c r="K65" i="11" s="1"/>
  <c r="D70" i="11"/>
  <c r="C70" i="11" s="1"/>
  <c r="K70" i="11" s="1"/>
  <c r="D77" i="11"/>
  <c r="C77" i="11" s="1"/>
  <c r="K77" i="11" s="1"/>
  <c r="J77" i="11"/>
  <c r="D83" i="11"/>
  <c r="M83" i="11" s="1"/>
  <c r="D84" i="11"/>
  <c r="T86" i="11"/>
  <c r="D90" i="11"/>
  <c r="C90" i="11" s="1"/>
  <c r="D101" i="11"/>
  <c r="C101" i="11" s="1"/>
  <c r="K101" i="11" s="1"/>
  <c r="E13" i="12"/>
  <c r="AB13" i="12"/>
  <c r="J15" i="12"/>
  <c r="T17" i="12"/>
  <c r="T22" i="12"/>
  <c r="W23" i="12"/>
  <c r="D24" i="12"/>
  <c r="M24" i="12" s="1"/>
  <c r="Z31" i="12"/>
  <c r="N35" i="12"/>
  <c r="J39" i="12"/>
  <c r="W39" i="12"/>
  <c r="J40" i="12"/>
  <c r="W43" i="12"/>
  <c r="N47" i="12"/>
  <c r="D49" i="12"/>
  <c r="M49" i="12" s="1"/>
  <c r="T49" i="12"/>
  <c r="T53" i="12"/>
  <c r="T56" i="12"/>
  <c r="W58" i="12"/>
  <c r="T61" i="12"/>
  <c r="W70" i="12"/>
  <c r="D73" i="12"/>
  <c r="C73" i="12" s="1"/>
  <c r="W77" i="12"/>
  <c r="T80" i="12"/>
  <c r="D82" i="12"/>
  <c r="C82" i="12" s="1"/>
  <c r="D14" i="13"/>
  <c r="C14" i="13" s="1"/>
  <c r="J29" i="13"/>
  <c r="J56" i="13"/>
  <c r="L52" i="13"/>
  <c r="AE12" i="14"/>
  <c r="AA13" i="15"/>
  <c r="AE74" i="15"/>
  <c r="AI37" i="16"/>
  <c r="AK37" i="16"/>
  <c r="AG37" i="16"/>
  <c r="Y37" i="16"/>
  <c r="AM37" i="16"/>
  <c r="S52" i="11"/>
  <c r="N56" i="11"/>
  <c r="N75" i="11"/>
  <c r="X13" i="12"/>
  <c r="N22" i="12"/>
  <c r="R31" i="12"/>
  <c r="E31" i="12"/>
  <c r="J42" i="12"/>
  <c r="N46" i="12"/>
  <c r="E52" i="12"/>
  <c r="J57" i="12"/>
  <c r="N61" i="12"/>
  <c r="J66" i="12"/>
  <c r="H74" i="12"/>
  <c r="AB74" i="12"/>
  <c r="W86" i="12"/>
  <c r="N88" i="12"/>
  <c r="W13" i="13"/>
  <c r="U24" i="13"/>
  <c r="U33" i="13"/>
  <c r="R31" i="16"/>
  <c r="U32" i="16"/>
  <c r="D94" i="10"/>
  <c r="J94" i="10"/>
  <c r="D95" i="10"/>
  <c r="C95" i="10" s="1"/>
  <c r="D98" i="10"/>
  <c r="C98" i="10" s="1"/>
  <c r="K98" i="10" s="1"/>
  <c r="D102" i="10"/>
  <c r="M102" i="10" s="1"/>
  <c r="D106" i="10"/>
  <c r="C106" i="10" s="1"/>
  <c r="K106" i="10" s="1"/>
  <c r="J106" i="10"/>
  <c r="D15" i="11"/>
  <c r="C15" i="11" s="1"/>
  <c r="K15" i="11" s="1"/>
  <c r="D17" i="11"/>
  <c r="M17" i="11" s="1"/>
  <c r="D19" i="11"/>
  <c r="C19" i="11" s="1"/>
  <c r="K19" i="11" s="1"/>
  <c r="D21" i="11"/>
  <c r="C21" i="11" s="1"/>
  <c r="K21" i="11" s="1"/>
  <c r="D23" i="11"/>
  <c r="C23" i="11" s="1"/>
  <c r="K23" i="11" s="1"/>
  <c r="D25" i="11"/>
  <c r="D27" i="11"/>
  <c r="C27" i="11" s="1"/>
  <c r="K27" i="11" s="1"/>
  <c r="D29" i="11"/>
  <c r="M29" i="11" s="1"/>
  <c r="G31" i="11"/>
  <c r="P31" i="11" s="1"/>
  <c r="J33" i="11"/>
  <c r="J35" i="11"/>
  <c r="J37" i="11"/>
  <c r="J39" i="11"/>
  <c r="F31" i="11"/>
  <c r="D49" i="11"/>
  <c r="C49" i="11" s="1"/>
  <c r="K49" i="11" s="1"/>
  <c r="J51" i="11"/>
  <c r="L52" i="11"/>
  <c r="D54" i="11"/>
  <c r="D57" i="11"/>
  <c r="C57" i="11" s="1"/>
  <c r="K57" i="11" s="1"/>
  <c r="J62" i="11"/>
  <c r="D63" i="11"/>
  <c r="C63" i="11" s="1"/>
  <c r="K63" i="11" s="1"/>
  <c r="J68" i="11"/>
  <c r="D69" i="11"/>
  <c r="C69" i="11" s="1"/>
  <c r="D76" i="11"/>
  <c r="J76" i="11"/>
  <c r="D88" i="11"/>
  <c r="M88" i="11" s="1"/>
  <c r="O89" i="11"/>
  <c r="O9" i="11" s="1"/>
  <c r="D93" i="11"/>
  <c r="M93" i="11" s="1"/>
  <c r="N98" i="11"/>
  <c r="D103" i="11"/>
  <c r="M103" i="11" s="1"/>
  <c r="W17" i="12"/>
  <c r="D18" i="12"/>
  <c r="M18" i="12" s="1"/>
  <c r="W22" i="12"/>
  <c r="N26" i="12"/>
  <c r="J33" i="12"/>
  <c r="W33" i="12"/>
  <c r="J34" i="12"/>
  <c r="N38" i="12"/>
  <c r="D40" i="12"/>
  <c r="C40" i="12" s="1"/>
  <c r="T40" i="12"/>
  <c r="W41" i="12"/>
  <c r="D42" i="12"/>
  <c r="W42" i="12"/>
  <c r="J43" i="12"/>
  <c r="T47" i="12"/>
  <c r="W49" i="12"/>
  <c r="S52" i="12"/>
  <c r="D54" i="12"/>
  <c r="W56" i="12"/>
  <c r="D57" i="12"/>
  <c r="W57" i="12"/>
  <c r="J58" i="12"/>
  <c r="W61" i="12"/>
  <c r="D64" i="12"/>
  <c r="W65" i="12"/>
  <c r="D66" i="12"/>
  <c r="M66" i="12" s="1"/>
  <c r="N68" i="12"/>
  <c r="J72" i="12"/>
  <c r="I74" i="12"/>
  <c r="Q74" i="12" s="1"/>
  <c r="N77" i="12"/>
  <c r="W80" i="12"/>
  <c r="D81" i="12"/>
  <c r="M81" i="12" s="1"/>
  <c r="W82" i="12"/>
  <c r="T83" i="12"/>
  <c r="D85" i="12"/>
  <c r="C85" i="12" s="1"/>
  <c r="T85" i="12"/>
  <c r="J87" i="12"/>
  <c r="D96" i="12"/>
  <c r="M96" i="12" s="1"/>
  <c r="D101" i="12"/>
  <c r="C101" i="12" s="1"/>
  <c r="K101" i="12" s="1"/>
  <c r="D103" i="12"/>
  <c r="C103" i="12" s="1"/>
  <c r="K103" i="12" s="1"/>
  <c r="D21" i="13"/>
  <c r="Y28" i="13"/>
  <c r="N30" i="13"/>
  <c r="E31" i="13"/>
  <c r="D46" i="13"/>
  <c r="M46" i="13" s="1"/>
  <c r="R52" i="13"/>
  <c r="J68" i="13"/>
  <c r="V16" i="14"/>
  <c r="S13" i="14"/>
  <c r="V13" i="14" s="1"/>
  <c r="W18" i="14"/>
  <c r="Y18" i="14" s="1"/>
  <c r="V77" i="14"/>
  <c r="S74" i="14"/>
  <c r="V74" i="14" s="1"/>
  <c r="AE31" i="15"/>
  <c r="X52" i="15"/>
  <c r="AE52" i="15"/>
  <c r="AF13" i="16"/>
  <c r="N104" i="12"/>
  <c r="J16" i="13"/>
  <c r="N17" i="13"/>
  <c r="Y22" i="13"/>
  <c r="U23" i="13"/>
  <c r="N25" i="13"/>
  <c r="N26" i="13"/>
  <c r="U26" i="13"/>
  <c r="J28" i="13"/>
  <c r="Y30" i="13"/>
  <c r="W31" i="13"/>
  <c r="S31" i="13"/>
  <c r="AC33" i="13"/>
  <c r="U34" i="13"/>
  <c r="J35" i="13"/>
  <c r="N37" i="13"/>
  <c r="AC39" i="13"/>
  <c r="U40" i="13"/>
  <c r="J41" i="13"/>
  <c r="Y44" i="13"/>
  <c r="AC45" i="13"/>
  <c r="U47" i="13"/>
  <c r="N48" i="13"/>
  <c r="U50" i="13"/>
  <c r="J53" i="13"/>
  <c r="Y56" i="13"/>
  <c r="AC57" i="13"/>
  <c r="AC59" i="13"/>
  <c r="N60" i="13"/>
  <c r="N76" i="13"/>
  <c r="AC77" i="13"/>
  <c r="N78" i="13"/>
  <c r="N80" i="13"/>
  <c r="AC80" i="13"/>
  <c r="Y81" i="13"/>
  <c r="N84" i="13"/>
  <c r="W14" i="14"/>
  <c r="Y14" i="14" s="1"/>
  <c r="AD12" i="14"/>
  <c r="U19" i="14"/>
  <c r="W56" i="14"/>
  <c r="Y56" i="14" s="1"/>
  <c r="U58" i="14"/>
  <c r="W59" i="14"/>
  <c r="Y59" i="14" s="1"/>
  <c r="AC74" i="14"/>
  <c r="S13" i="15"/>
  <c r="V13" i="15" s="1"/>
  <c r="W13" i="15"/>
  <c r="Y30" i="15"/>
  <c r="S31" i="15"/>
  <c r="V31" i="15" s="1"/>
  <c r="Y36" i="15"/>
  <c r="R74" i="15"/>
  <c r="X74" i="15"/>
  <c r="U76" i="15"/>
  <c r="S13" i="16"/>
  <c r="V13" i="16" s="1"/>
  <c r="V14" i="16"/>
  <c r="AA13" i="16"/>
  <c r="AW13" i="16"/>
  <c r="AI20" i="16"/>
  <c r="AK20" i="16"/>
  <c r="AM20" i="16"/>
  <c r="AE23" i="16"/>
  <c r="R52" i="16"/>
  <c r="AI54" i="16"/>
  <c r="AG54" i="16"/>
  <c r="AM54" i="16"/>
  <c r="AS74" i="16"/>
  <c r="AH74" i="16"/>
  <c r="AQ13" i="17"/>
  <c r="BD13" i="17"/>
  <c r="BH52" i="17"/>
  <c r="U39" i="13"/>
  <c r="U45" i="13"/>
  <c r="U57" i="13"/>
  <c r="J61" i="13"/>
  <c r="D62" i="13"/>
  <c r="M62" i="13" s="1"/>
  <c r="AC63" i="13"/>
  <c r="D70" i="13"/>
  <c r="C70" i="13" s="1"/>
  <c r="U70" i="13"/>
  <c r="U80" i="13"/>
  <c r="U82" i="13"/>
  <c r="J83" i="13"/>
  <c r="J90" i="13"/>
  <c r="U9" i="14"/>
  <c r="AA51" i="14"/>
  <c r="X13" i="15"/>
  <c r="AD13" i="15"/>
  <c r="AD31" i="15"/>
  <c r="Z31" i="15"/>
  <c r="S52" i="15"/>
  <c r="V52" i="15" s="1"/>
  <c r="Z74" i="15"/>
  <c r="AJ13" i="16"/>
  <c r="AI23" i="16"/>
  <c r="Y23" i="16"/>
  <c r="AG23" i="16"/>
  <c r="AM23" i="16"/>
  <c r="U25" i="16"/>
  <c r="AI26" i="16"/>
  <c r="AM26" i="16"/>
  <c r="Y26" i="16"/>
  <c r="AK27" i="16"/>
  <c r="AM27" i="16"/>
  <c r="AG27" i="16"/>
  <c r="AI72" i="16"/>
  <c r="Y72" i="16"/>
  <c r="AW74" i="16"/>
  <c r="BR13" i="17"/>
  <c r="BT16" i="17"/>
  <c r="W13" i="17"/>
  <c r="Y13" i="17" s="1"/>
  <c r="Y18" i="17"/>
  <c r="N35" i="13"/>
  <c r="AA31" i="13"/>
  <c r="U38" i="13"/>
  <c r="N41" i="13"/>
  <c r="N44" i="13"/>
  <c r="U46" i="13"/>
  <c r="J49" i="13"/>
  <c r="S52" i="13"/>
  <c r="W52" i="13"/>
  <c r="N56" i="13"/>
  <c r="N75" i="13"/>
  <c r="J96" i="13"/>
  <c r="J97" i="13"/>
  <c r="J102" i="13"/>
  <c r="J103" i="13"/>
  <c r="X13" i="14"/>
  <c r="U15" i="14"/>
  <c r="W22" i="14"/>
  <c r="Y22" i="14" s="1"/>
  <c r="U24" i="14"/>
  <c r="W27" i="14"/>
  <c r="Y27" i="14" s="1"/>
  <c r="W32" i="14"/>
  <c r="Y32" i="14" s="1"/>
  <c r="W35" i="14"/>
  <c r="Y35" i="14" s="1"/>
  <c r="W38" i="14"/>
  <c r="Y38" i="14" s="1"/>
  <c r="W41" i="14"/>
  <c r="Y41" i="14" s="1"/>
  <c r="W44" i="14"/>
  <c r="Y44" i="14" s="1"/>
  <c r="W47" i="14"/>
  <c r="Y47" i="14" s="1"/>
  <c r="W50" i="14"/>
  <c r="Y50" i="14" s="1"/>
  <c r="W77" i="14"/>
  <c r="Y77" i="14" s="1"/>
  <c r="W80" i="14"/>
  <c r="Y80" i="14" s="1"/>
  <c r="W83" i="14"/>
  <c r="Y83" i="14" s="1"/>
  <c r="W84" i="14"/>
  <c r="Y84" i="14" s="1"/>
  <c r="AE13" i="15"/>
  <c r="AB13" i="15"/>
  <c r="T31" i="15"/>
  <c r="T74" i="15"/>
  <c r="AA74" i="15"/>
  <c r="AC13" i="16"/>
  <c r="AI14" i="16"/>
  <c r="AK14" i="16"/>
  <c r="W13" i="16"/>
  <c r="AL13" i="16"/>
  <c r="AS13" i="16"/>
  <c r="AK21" i="16"/>
  <c r="AM21" i="16"/>
  <c r="AG26" i="16"/>
  <c r="AA52" i="16"/>
  <c r="X52" i="16"/>
  <c r="AL52" i="16"/>
  <c r="AI80" i="16"/>
  <c r="AG80" i="16"/>
  <c r="AM80" i="16"/>
  <c r="Y80" i="16"/>
  <c r="AK80" i="16"/>
  <c r="BH13" i="17"/>
  <c r="BN13" i="17"/>
  <c r="AL13" i="17"/>
  <c r="AN17" i="17"/>
  <c r="BR31" i="17"/>
  <c r="U30" i="13"/>
  <c r="Y34" i="13"/>
  <c r="U35" i="13"/>
  <c r="Y40" i="13"/>
  <c r="U41" i="13"/>
  <c r="U44" i="13"/>
  <c r="Y50" i="13"/>
  <c r="AC51" i="13"/>
  <c r="AA52" i="13"/>
  <c r="U56" i="13"/>
  <c r="D60" i="13"/>
  <c r="M60" i="13" s="1"/>
  <c r="AB52" i="13"/>
  <c r="N61" i="13"/>
  <c r="U78" i="13"/>
  <c r="J82" i="13"/>
  <c r="D83" i="13"/>
  <c r="C83" i="13" s="1"/>
  <c r="U84" i="13"/>
  <c r="F89" i="13"/>
  <c r="F9" i="13" s="1"/>
  <c r="U18" i="14"/>
  <c r="U21" i="14"/>
  <c r="U28" i="14"/>
  <c r="AA30" i="14"/>
  <c r="U37" i="14"/>
  <c r="U40" i="14"/>
  <c r="U43" i="14"/>
  <c r="U46" i="14"/>
  <c r="U49" i="14"/>
  <c r="U62" i="14"/>
  <c r="U86" i="14"/>
  <c r="U88" i="14"/>
  <c r="R13" i="15"/>
  <c r="R31" i="15"/>
  <c r="U36" i="15"/>
  <c r="R52" i="15"/>
  <c r="V53" i="15"/>
  <c r="AC52" i="15"/>
  <c r="U75" i="15"/>
  <c r="AB74" i="15"/>
  <c r="Y76" i="15"/>
  <c r="AM14" i="16"/>
  <c r="AT13" i="16"/>
  <c r="AG21" i="16"/>
  <c r="S31" i="16"/>
  <c r="V31" i="16" s="1"/>
  <c r="AW31" i="16"/>
  <c r="AG34" i="16"/>
  <c r="Y34" i="16"/>
  <c r="AK34" i="16"/>
  <c r="AI65" i="16"/>
  <c r="Y65" i="16"/>
  <c r="U75" i="16"/>
  <c r="Z74" i="16"/>
  <c r="AM13" i="17"/>
  <c r="D38" i="13"/>
  <c r="M38" i="13" s="1"/>
  <c r="J39" i="13"/>
  <c r="J45" i="13"/>
  <c r="Y48" i="13"/>
  <c r="AC49" i="13"/>
  <c r="U51" i="13"/>
  <c r="J57" i="13"/>
  <c r="N62" i="13"/>
  <c r="D64" i="13"/>
  <c r="M64" i="13" s="1"/>
  <c r="AC65" i="13"/>
  <c r="N66" i="13"/>
  <c r="D68" i="13"/>
  <c r="M68" i="13" s="1"/>
  <c r="AC69" i="13"/>
  <c r="N70" i="13"/>
  <c r="AC72" i="13"/>
  <c r="N73" i="13"/>
  <c r="X52" i="13"/>
  <c r="W74" i="13"/>
  <c r="Y78" i="13"/>
  <c r="J80" i="13"/>
  <c r="Y84" i="13"/>
  <c r="W16" i="14"/>
  <c r="Y16" i="14" s="1"/>
  <c r="W21" i="14"/>
  <c r="Y21" i="14" s="1"/>
  <c r="T31" i="14"/>
  <c r="AD51" i="14"/>
  <c r="AB51" i="14"/>
  <c r="Y66" i="14"/>
  <c r="W68" i="14"/>
  <c r="Y68" i="14" s="1"/>
  <c r="W71" i="14"/>
  <c r="Y71" i="14" s="1"/>
  <c r="W87" i="14"/>
  <c r="Y87" i="14" s="1"/>
  <c r="U30" i="15"/>
  <c r="Y53" i="15"/>
  <c r="AD52" i="15"/>
  <c r="Y56" i="15"/>
  <c r="AC74" i="15"/>
  <c r="Y88" i="15"/>
  <c r="Y14" i="16"/>
  <c r="AN13" i="16"/>
  <c r="AU13" i="16"/>
  <c r="AK15" i="16"/>
  <c r="AG15" i="16"/>
  <c r="U19" i="16"/>
  <c r="AE19" i="16"/>
  <c r="AB24" i="16"/>
  <c r="AV31" i="16"/>
  <c r="AH31" i="16"/>
  <c r="AP52" i="16"/>
  <c r="AR52" i="16" s="1"/>
  <c r="AF52" i="16"/>
  <c r="AC52" i="16"/>
  <c r="AI64" i="16"/>
  <c r="AK72" i="16"/>
  <c r="AB75" i="16"/>
  <c r="AA74" i="16"/>
  <c r="AL74" i="16"/>
  <c r="AF74" i="16"/>
  <c r="AW13" i="17"/>
  <c r="AU13" i="17"/>
  <c r="BP13" i="17"/>
  <c r="BK13" i="17"/>
  <c r="Z52" i="17"/>
  <c r="AB53" i="17"/>
  <c r="U60" i="17"/>
  <c r="R52" i="17"/>
  <c r="Y75" i="15"/>
  <c r="AD74" i="15"/>
  <c r="X13" i="16"/>
  <c r="AD13" i="16"/>
  <c r="AQ13" i="16"/>
  <c r="U15" i="16"/>
  <c r="U17" i="16"/>
  <c r="Y17" i="16"/>
  <c r="AE18" i="16"/>
  <c r="U22" i="16"/>
  <c r="AK24" i="16"/>
  <c r="AI28" i="16"/>
  <c r="AI29" i="16"/>
  <c r="U33" i="16"/>
  <c r="AB33" i="16"/>
  <c r="AI41" i="16"/>
  <c r="AI44" i="16"/>
  <c r="AI46" i="16"/>
  <c r="AK49" i="16"/>
  <c r="AB50" i="16"/>
  <c r="AI53" i="16"/>
  <c r="Y54" i="16"/>
  <c r="U56" i="16"/>
  <c r="AE56" i="16"/>
  <c r="Y58" i="16"/>
  <c r="AG58" i="16"/>
  <c r="AI59" i="16"/>
  <c r="Y62" i="16"/>
  <c r="AM62" i="16"/>
  <c r="AK69" i="16"/>
  <c r="U70" i="16"/>
  <c r="AE75" i="16"/>
  <c r="AU74" i="16"/>
  <c r="AI78" i="16"/>
  <c r="U79" i="16"/>
  <c r="Y83" i="16"/>
  <c r="AM83" i="16"/>
  <c r="AM86" i="16"/>
  <c r="AB87" i="16"/>
  <c r="R13" i="17"/>
  <c r="U16" i="17"/>
  <c r="AE18" i="17"/>
  <c r="BA18" i="17"/>
  <c r="AE20" i="17"/>
  <c r="BA20" i="17"/>
  <c r="BG21" i="17"/>
  <c r="AC31" i="17"/>
  <c r="AL31" i="17"/>
  <c r="AR31" i="17"/>
  <c r="BL31" i="17"/>
  <c r="BZ31" i="17"/>
  <c r="X31" i="17"/>
  <c r="W31" i="17"/>
  <c r="Y38" i="17"/>
  <c r="Z31" i="17"/>
  <c r="AB39" i="17"/>
  <c r="V53" i="17"/>
  <c r="S52" i="17"/>
  <c r="V52" i="17" s="1"/>
  <c r="AP52" i="17"/>
  <c r="AV52" i="17"/>
  <c r="U57" i="17"/>
  <c r="BN52" i="17"/>
  <c r="AH74" i="17"/>
  <c r="AT74" i="17"/>
  <c r="AZ74" i="17"/>
  <c r="AA13" i="18"/>
  <c r="AI13" i="18"/>
  <c r="X13" i="18"/>
  <c r="AI31" i="18"/>
  <c r="U37" i="18"/>
  <c r="T31" i="16"/>
  <c r="AA31" i="16"/>
  <c r="AJ31" i="16"/>
  <c r="AM34" i="16"/>
  <c r="U35" i="16"/>
  <c r="U36" i="16"/>
  <c r="AM38" i="16"/>
  <c r="AI39" i="16"/>
  <c r="AM40" i="16"/>
  <c r="AB45" i="16"/>
  <c r="AQ52" i="16"/>
  <c r="AW52" i="16"/>
  <c r="T52" i="16"/>
  <c r="AB58" i="16"/>
  <c r="AM66" i="16"/>
  <c r="U68" i="16"/>
  <c r="AI69" i="16"/>
  <c r="U71" i="16"/>
  <c r="AD74" i="16"/>
  <c r="AO74" i="16"/>
  <c r="AV74" i="16"/>
  <c r="AB76" i="16"/>
  <c r="AI77" i="16"/>
  <c r="AK77" i="16"/>
  <c r="AE87" i="16"/>
  <c r="AE21" i="17"/>
  <c r="AE27" i="17"/>
  <c r="AX31" i="17"/>
  <c r="BF31" i="17"/>
  <c r="BM31" i="17"/>
  <c r="BS31" i="17"/>
  <c r="AN34" i="17"/>
  <c r="BV31" i="17"/>
  <c r="BK52" i="17"/>
  <c r="BQ52" i="17"/>
  <c r="BX52" i="17"/>
  <c r="AK52" i="17"/>
  <c r="AR52" i="17"/>
  <c r="AX52" i="17"/>
  <c r="U61" i="17"/>
  <c r="BU52" i="17"/>
  <c r="X52" i="17"/>
  <c r="AR13" i="18"/>
  <c r="AL31" i="16"/>
  <c r="AS31" i="16"/>
  <c r="AM47" i="16"/>
  <c r="AM49" i="16"/>
  <c r="AV52" i="16"/>
  <c r="AM57" i="16"/>
  <c r="AK60" i="16"/>
  <c r="AK63" i="16"/>
  <c r="AM67" i="16"/>
  <c r="AD13" i="17"/>
  <c r="AJ13" i="17"/>
  <c r="AP13" i="17"/>
  <c r="AV13" i="17"/>
  <c r="BA15" i="17"/>
  <c r="AH31" i="17"/>
  <c r="AZ31" i="17"/>
  <c r="BO31" i="17"/>
  <c r="T52" i="17"/>
  <c r="BG58" i="17"/>
  <c r="BC52" i="17"/>
  <c r="BW52" i="17"/>
  <c r="AG76" i="18"/>
  <c r="AD74" i="18"/>
  <c r="AU13" i="19"/>
  <c r="AW14" i="19"/>
  <c r="AD31" i="16"/>
  <c r="AM32" i="16"/>
  <c r="U38" i="16"/>
  <c r="AK39" i="16"/>
  <c r="U40" i="16"/>
  <c r="Y40" i="16"/>
  <c r="AG40" i="16"/>
  <c r="AM41" i="16"/>
  <c r="U43" i="16"/>
  <c r="AS52" i="16"/>
  <c r="Y63" i="16"/>
  <c r="U66" i="16"/>
  <c r="AI68" i="16"/>
  <c r="AK68" i="16"/>
  <c r="U69" i="16"/>
  <c r="R74" i="16"/>
  <c r="X74" i="16"/>
  <c r="Y77" i="16"/>
  <c r="AM77" i="16"/>
  <c r="AB78" i="16"/>
  <c r="AK79" i="16"/>
  <c r="AI84" i="16"/>
  <c r="AI86" i="16"/>
  <c r="U88" i="16"/>
  <c r="BC13" i="17"/>
  <c r="AE14" i="17"/>
  <c r="BB31" i="17"/>
  <c r="BI31" i="17"/>
  <c r="BA36" i="17"/>
  <c r="AW31" i="17"/>
  <c r="BA31" i="17" s="1"/>
  <c r="AI31" i="17"/>
  <c r="AS52" i="17"/>
  <c r="AY52" i="17"/>
  <c r="BE56" i="17"/>
  <c r="BB52" i="17"/>
  <c r="BJ52" i="17"/>
  <c r="AQ52" i="17"/>
  <c r="AD74" i="17"/>
  <c r="AK74" i="17"/>
  <c r="AW74" i="17"/>
  <c r="BA74" i="17" s="1"/>
  <c r="BD74" i="17"/>
  <c r="BL74" i="17"/>
  <c r="BY74" i="17"/>
  <c r="X74" i="17"/>
  <c r="AM13" i="18"/>
  <c r="AH13" i="18"/>
  <c r="AK19" i="18"/>
  <c r="Y33" i="18"/>
  <c r="W31" i="18"/>
  <c r="AH13" i="16"/>
  <c r="AV13" i="16"/>
  <c r="AB18" i="16"/>
  <c r="AE24" i="16"/>
  <c r="U28" i="16"/>
  <c r="AF31" i="16"/>
  <c r="AU31" i="16"/>
  <c r="AI36" i="16"/>
  <c r="AB40" i="16"/>
  <c r="AI42" i="16"/>
  <c r="AG49" i="16"/>
  <c r="AK54" i="16"/>
  <c r="AB56" i="16"/>
  <c r="AG57" i="16"/>
  <c r="Y60" i="16"/>
  <c r="AM61" i="16"/>
  <c r="AK61" i="16"/>
  <c r="AK62" i="16"/>
  <c r="U65" i="16"/>
  <c r="AB67" i="16"/>
  <c r="AG69" i="16"/>
  <c r="AK73" i="16"/>
  <c r="S74" i="16"/>
  <c r="V74" i="16" s="1"/>
  <c r="AJ74" i="16"/>
  <c r="AG77" i="16"/>
  <c r="AE78" i="16"/>
  <c r="AK83" i="16"/>
  <c r="AK86" i="16"/>
  <c r="AE88" i="16"/>
  <c r="BA17" i="17"/>
  <c r="BA19" i="17"/>
  <c r="AJ31" i="17"/>
  <c r="BP31" i="17"/>
  <c r="AU31" i="17"/>
  <c r="AP31" i="17"/>
  <c r="AV31" i="17"/>
  <c r="AG52" i="17"/>
  <c r="AA52" i="17"/>
  <c r="BF74" i="17"/>
  <c r="BI74" i="17"/>
  <c r="BV74" i="17"/>
  <c r="V78" i="17"/>
  <c r="S74" i="17"/>
  <c r="V74" i="17" s="1"/>
  <c r="AF13" i="18"/>
  <c r="U19" i="18"/>
  <c r="R13" i="18"/>
  <c r="AN21" i="17"/>
  <c r="BA22" i="17"/>
  <c r="BA27" i="17"/>
  <c r="BG30" i="17"/>
  <c r="S31" i="17"/>
  <c r="V31" i="17" s="1"/>
  <c r="AD31" i="17"/>
  <c r="BC31" i="17"/>
  <c r="U33" i="17"/>
  <c r="BA35" i="17"/>
  <c r="BG38" i="17"/>
  <c r="BA41" i="17"/>
  <c r="BG43" i="17"/>
  <c r="BG47" i="17"/>
  <c r="BT50" i="17"/>
  <c r="Y51" i="17"/>
  <c r="BA51" i="17"/>
  <c r="AH52" i="17"/>
  <c r="AT52" i="17"/>
  <c r="AZ52" i="17"/>
  <c r="BF52" i="17"/>
  <c r="BL52" i="17"/>
  <c r="BR52" i="17"/>
  <c r="BY52" i="17"/>
  <c r="Y54" i="17"/>
  <c r="AN54" i="17"/>
  <c r="AN55" i="17"/>
  <c r="BT55" i="17"/>
  <c r="BA58" i="17"/>
  <c r="BG60" i="17"/>
  <c r="BA63" i="17"/>
  <c r="BA66" i="17"/>
  <c r="BG68" i="17"/>
  <c r="U71" i="17"/>
  <c r="BA71" i="17"/>
  <c r="AN72" i="17"/>
  <c r="R74" i="17"/>
  <c r="BC74" i="17"/>
  <c r="BG74" i="17" s="1"/>
  <c r="AI74" i="17"/>
  <c r="AO74" i="17"/>
  <c r="AU74" i="17"/>
  <c r="BA75" i="17"/>
  <c r="BM74" i="17"/>
  <c r="BS74" i="17"/>
  <c r="AF74" i="17"/>
  <c r="BA79" i="17"/>
  <c r="BA83" i="17"/>
  <c r="BA87" i="17"/>
  <c r="AC14" i="18"/>
  <c r="T13" i="18"/>
  <c r="AQ13" i="18"/>
  <c r="AG16" i="18"/>
  <c r="AO17" i="18"/>
  <c r="AC18" i="18"/>
  <c r="AO21" i="18"/>
  <c r="AC23" i="18"/>
  <c r="AC26" i="18"/>
  <c r="AG28" i="18"/>
  <c r="AQ31" i="18"/>
  <c r="AK43" i="18"/>
  <c r="AC46" i="18"/>
  <c r="U47" i="18"/>
  <c r="AC47" i="18"/>
  <c r="AP52" i="18"/>
  <c r="AK58" i="18"/>
  <c r="AF13" i="19"/>
  <c r="AE18" i="19"/>
  <c r="AN31" i="19"/>
  <c r="AV31" i="19"/>
  <c r="AI40" i="19"/>
  <c r="AL47" i="19"/>
  <c r="AJ31" i="19"/>
  <c r="BW31" i="17"/>
  <c r="AI52" i="17"/>
  <c r="AO52" i="17"/>
  <c r="AU52" i="17"/>
  <c r="BM52" i="17"/>
  <c r="BS52" i="17"/>
  <c r="BE70" i="17"/>
  <c r="BE71" i="17"/>
  <c r="U73" i="17"/>
  <c r="BG73" i="17"/>
  <c r="X31" i="18"/>
  <c r="R52" i="18"/>
  <c r="U68" i="18"/>
  <c r="U21" i="19"/>
  <c r="AB32" i="19"/>
  <c r="X31" i="19"/>
  <c r="AG31" i="19"/>
  <c r="AI32" i="19"/>
  <c r="Z36" i="19"/>
  <c r="U42" i="19"/>
  <c r="R31" i="19"/>
  <c r="AI51" i="19"/>
  <c r="BA26" i="17"/>
  <c r="BA30" i="17"/>
  <c r="BA32" i="17"/>
  <c r="BK31" i="17"/>
  <c r="BQ31" i="17"/>
  <c r="BG34" i="17"/>
  <c r="BA37" i="17"/>
  <c r="BT38" i="17"/>
  <c r="BA49" i="17"/>
  <c r="AC52" i="17"/>
  <c r="AB55" i="17"/>
  <c r="AE60" i="17"/>
  <c r="BT61" i="17"/>
  <c r="BA65" i="17"/>
  <c r="AB80" i="17"/>
  <c r="BA82" i="17"/>
  <c r="BA86" i="17"/>
  <c r="AC29" i="18"/>
  <c r="AK29" i="18"/>
  <c r="AS29" i="18"/>
  <c r="AC35" i="18"/>
  <c r="AN31" i="18"/>
  <c r="AK45" i="18"/>
  <c r="AS45" i="18"/>
  <c r="AS51" i="18"/>
  <c r="AB52" i="18"/>
  <c r="AJ52" i="18"/>
  <c r="Y55" i="18"/>
  <c r="W74" i="18"/>
  <c r="Y74" i="18" s="1"/>
  <c r="AZ13" i="19"/>
  <c r="AE17" i="19"/>
  <c r="AC13" i="19"/>
  <c r="AL46" i="19"/>
  <c r="U28" i="17"/>
  <c r="U29" i="17"/>
  <c r="BG29" i="17"/>
  <c r="BE30" i="17"/>
  <c r="W52" i="17"/>
  <c r="BG54" i="17"/>
  <c r="BG64" i="17"/>
  <c r="U68" i="17"/>
  <c r="BG72" i="17"/>
  <c r="W13" i="18"/>
  <c r="AP13" i="18"/>
  <c r="AK14" i="18"/>
  <c r="U16" i="18"/>
  <c r="U32" i="18"/>
  <c r="Z31" i="18"/>
  <c r="AG53" i="18"/>
  <c r="AD52" i="18"/>
  <c r="AA52" i="18"/>
  <c r="AK31" i="19"/>
  <c r="Y31" i="19"/>
  <c r="Z39" i="19"/>
  <c r="AB43" i="19"/>
  <c r="AQ52" i="19"/>
  <c r="BA23" i="17"/>
  <c r="BA29" i="17"/>
  <c r="BE29" i="17"/>
  <c r="AE30" i="17"/>
  <c r="AG31" i="17"/>
  <c r="AM31" i="17"/>
  <c r="AS31" i="17"/>
  <c r="AY31" i="17"/>
  <c r="AE33" i="17"/>
  <c r="BA33" i="17"/>
  <c r="BA39" i="17"/>
  <c r="BA42" i="17"/>
  <c r="BA44" i="17"/>
  <c r="BA54" i="17"/>
  <c r="AE59" i="17"/>
  <c r="AN61" i="17"/>
  <c r="BA64" i="17"/>
  <c r="BA67" i="17"/>
  <c r="BG71" i="17"/>
  <c r="BA72" i="17"/>
  <c r="BE72" i="17"/>
  <c r="AG74" i="17"/>
  <c r="AM74" i="17"/>
  <c r="AS74" i="17"/>
  <c r="AY74" i="17"/>
  <c r="BK74" i="17"/>
  <c r="BQ74" i="17"/>
  <c r="BA76" i="17"/>
  <c r="BO74" i="17"/>
  <c r="BA88" i="17"/>
  <c r="AE13" i="18"/>
  <c r="AO14" i="18"/>
  <c r="AC15" i="18"/>
  <c r="AS16" i="18"/>
  <c r="AO18" i="18"/>
  <c r="AC20" i="18"/>
  <c r="AG22" i="18"/>
  <c r="AO23" i="18"/>
  <c r="AC24" i="18"/>
  <c r="AK24" i="18"/>
  <c r="Y26" i="18"/>
  <c r="AC30" i="18"/>
  <c r="R31" i="18"/>
  <c r="AR31" i="18"/>
  <c r="AK37" i="18"/>
  <c r="AC40" i="18"/>
  <c r="U41" i="18"/>
  <c r="AC41" i="18"/>
  <c r="AO48" i="18"/>
  <c r="AG49" i="18"/>
  <c r="AO49" i="18"/>
  <c r="AG50" i="18"/>
  <c r="W52" i="18"/>
  <c r="Y53" i="18"/>
  <c r="U56" i="18"/>
  <c r="AG67" i="18"/>
  <c r="T52" i="18"/>
  <c r="BB31" i="19"/>
  <c r="AS23" i="18"/>
  <c r="AG24" i="18"/>
  <c r="AF31" i="18"/>
  <c r="AK36" i="18"/>
  <c r="AK42" i="18"/>
  <c r="AK48" i="18"/>
  <c r="Y51" i="18"/>
  <c r="AR52" i="18"/>
  <c r="AC57" i="18"/>
  <c r="U61" i="18"/>
  <c r="AC69" i="18"/>
  <c r="AO78" i="18"/>
  <c r="AO84" i="18"/>
  <c r="AI14" i="19"/>
  <c r="AP15" i="19"/>
  <c r="AW15" i="19"/>
  <c r="AB16" i="19"/>
  <c r="Z17" i="19"/>
  <c r="AE19" i="19"/>
  <c r="BA19" i="19"/>
  <c r="AL20" i="19"/>
  <c r="AT20" i="19"/>
  <c r="BA20" i="19"/>
  <c r="AL21" i="19"/>
  <c r="AE23" i="19"/>
  <c r="AT23" i="19"/>
  <c r="AB24" i="19"/>
  <c r="AI24" i="19"/>
  <c r="AW24" i="19"/>
  <c r="U25" i="19"/>
  <c r="AL25" i="19"/>
  <c r="BA25" i="19"/>
  <c r="Z26" i="19"/>
  <c r="AI27" i="19"/>
  <c r="AW27" i="19"/>
  <c r="AE29" i="19"/>
  <c r="AT29" i="19"/>
  <c r="AI30" i="19"/>
  <c r="AW30" i="19"/>
  <c r="AP32" i="19"/>
  <c r="AL33" i="19"/>
  <c r="AW35" i="19"/>
  <c r="AP36" i="19"/>
  <c r="AE37" i="19"/>
  <c r="AL37" i="19"/>
  <c r="AW38" i="19"/>
  <c r="U40" i="19"/>
  <c r="U46" i="19"/>
  <c r="Z47" i="19"/>
  <c r="AW49" i="19"/>
  <c r="BA51" i="19"/>
  <c r="AP55" i="19"/>
  <c r="AB65" i="19"/>
  <c r="AK49" i="18"/>
  <c r="S52" i="18"/>
  <c r="V52" i="18" s="1"/>
  <c r="AS53" i="18"/>
  <c r="AC55" i="18"/>
  <c r="U59" i="18"/>
  <c r="AC67" i="18"/>
  <c r="U14" i="19"/>
  <c r="Z16" i="19"/>
  <c r="AB18" i="19"/>
  <c r="Z19" i="19"/>
  <c r="Z23" i="19"/>
  <c r="U24" i="19"/>
  <c r="Z27" i="19"/>
  <c r="Z29" i="19"/>
  <c r="Z46" i="19"/>
  <c r="U50" i="19"/>
  <c r="AK52" i="19"/>
  <c r="BA69" i="19"/>
  <c r="AM52" i="18"/>
  <c r="AC82" i="18"/>
  <c r="AC84" i="18"/>
  <c r="AC85" i="18"/>
  <c r="U86" i="18"/>
  <c r="AC86" i="18"/>
  <c r="U87" i="18"/>
  <c r="AC87" i="18"/>
  <c r="U88" i="18"/>
  <c r="AC88" i="18"/>
  <c r="AX13" i="19"/>
  <c r="AI15" i="19"/>
  <c r="U16" i="19"/>
  <c r="AI18" i="19"/>
  <c r="AP19" i="19"/>
  <c r="AW19" i="19"/>
  <c r="AB20" i="19"/>
  <c r="Z21" i="19"/>
  <c r="AB23" i="19"/>
  <c r="AI23" i="19"/>
  <c r="AW23" i="19"/>
  <c r="AL24" i="19"/>
  <c r="BA24" i="19"/>
  <c r="AE25" i="19"/>
  <c r="AT25" i="19"/>
  <c r="AL27" i="19"/>
  <c r="BA27" i="19"/>
  <c r="AB29" i="19"/>
  <c r="AI29" i="19"/>
  <c r="AW29" i="19"/>
  <c r="U30" i="19"/>
  <c r="V32" i="19"/>
  <c r="S31" i="19"/>
  <c r="V31" i="19" s="1"/>
  <c r="AE32" i="19"/>
  <c r="AL32" i="19"/>
  <c r="AZ31" i="19"/>
  <c r="AW33" i="19"/>
  <c r="AP34" i="19"/>
  <c r="AP35" i="19"/>
  <c r="AE36" i="19"/>
  <c r="AL36" i="19"/>
  <c r="AW37" i="19"/>
  <c r="AE39" i="19"/>
  <c r="AL39" i="19"/>
  <c r="AT43" i="19"/>
  <c r="AT45" i="19"/>
  <c r="AI46" i="19"/>
  <c r="Z51" i="19"/>
  <c r="AK51" i="18"/>
  <c r="AC63" i="18"/>
  <c r="T13" i="19"/>
  <c r="AD13" i="19"/>
  <c r="AR13" i="19"/>
  <c r="BA14" i="19"/>
  <c r="AL15" i="19"/>
  <c r="U18" i="19"/>
  <c r="AI20" i="19"/>
  <c r="AP21" i="19"/>
  <c r="AW21" i="19"/>
  <c r="AB22" i="19"/>
  <c r="AP22" i="19"/>
  <c r="U26" i="19"/>
  <c r="AA13" i="19"/>
  <c r="AL26" i="19"/>
  <c r="AB33" i="19"/>
  <c r="AE34" i="19"/>
  <c r="AP53" i="19"/>
  <c r="AN52" i="19"/>
  <c r="AT55" i="19"/>
  <c r="AS52" i="19"/>
  <c r="AA52" i="19"/>
  <c r="Z58" i="19"/>
  <c r="BA62" i="19"/>
  <c r="AI63" i="19"/>
  <c r="AP65" i="19"/>
  <c r="AI67" i="19"/>
  <c r="AC61" i="18"/>
  <c r="U65" i="18"/>
  <c r="AE15" i="19"/>
  <c r="AT16" i="19"/>
  <c r="BA16" i="19"/>
  <c r="AL17" i="19"/>
  <c r="AI22" i="19"/>
  <c r="AL23" i="19"/>
  <c r="BA23" i="19"/>
  <c r="AI25" i="19"/>
  <c r="AL29" i="19"/>
  <c r="BA29" i="19"/>
  <c r="AM31" i="19"/>
  <c r="AW32" i="19"/>
  <c r="AP33" i="19"/>
  <c r="AT34" i="19"/>
  <c r="AE35" i="19"/>
  <c r="AL35" i="19"/>
  <c r="AW36" i="19"/>
  <c r="AP37" i="19"/>
  <c r="AE38" i="19"/>
  <c r="AL38" i="19"/>
  <c r="AW39" i="19"/>
  <c r="AW40" i="19"/>
  <c r="AW42" i="19"/>
  <c r="AW43" i="19"/>
  <c r="AI44" i="19"/>
  <c r="BA47" i="19"/>
  <c r="AL49" i="19"/>
  <c r="AE55" i="19"/>
  <c r="AM52" i="19"/>
  <c r="AE57" i="19"/>
  <c r="AT62" i="19"/>
  <c r="AL30" i="19"/>
  <c r="BA30" i="19"/>
  <c r="Z32" i="19"/>
  <c r="Z33" i="19"/>
  <c r="AB34" i="19"/>
  <c r="AW34" i="19"/>
  <c r="AB35" i="19"/>
  <c r="AB36" i="19"/>
  <c r="AB37" i="19"/>
  <c r="AB38" i="19"/>
  <c r="AB39" i="19"/>
  <c r="AT40" i="19"/>
  <c r="AE41" i="19"/>
  <c r="Z42" i="19"/>
  <c r="AT42" i="19"/>
  <c r="AE43" i="19"/>
  <c r="U44" i="19"/>
  <c r="AW48" i="19"/>
  <c r="U49" i="19"/>
  <c r="AW50" i="19"/>
  <c r="Z54" i="19"/>
  <c r="AP54" i="19"/>
  <c r="AE56" i="19"/>
  <c r="AI57" i="19"/>
  <c r="AL58" i="19"/>
  <c r="AP62" i="19"/>
  <c r="Z63" i="19"/>
  <c r="AW63" i="19"/>
  <c r="AW65" i="19"/>
  <c r="AB66" i="19"/>
  <c r="AW66" i="19"/>
  <c r="AP67" i="19"/>
  <c r="AE68" i="19"/>
  <c r="Z69" i="19"/>
  <c r="AB70" i="19"/>
  <c r="AW70" i="19"/>
  <c r="AI72" i="19"/>
  <c r="AB77" i="19"/>
  <c r="AI77" i="19"/>
  <c r="AE79" i="19"/>
  <c r="AT79" i="19"/>
  <c r="AL87" i="19"/>
  <c r="X13" i="20"/>
  <c r="U70" i="20"/>
  <c r="AA74" i="20"/>
  <c r="AG74" i="20"/>
  <c r="AP66" i="19"/>
  <c r="AT67" i="19"/>
  <c r="AP70" i="19"/>
  <c r="AW75" i="19"/>
  <c r="AI76" i="19"/>
  <c r="BA77" i="19"/>
  <c r="AM74" i="19"/>
  <c r="AW78" i="19"/>
  <c r="AP79" i="19"/>
  <c r="Z74" i="20"/>
  <c r="AB77" i="20"/>
  <c r="Z67" i="19"/>
  <c r="AB68" i="19"/>
  <c r="R74" i="19"/>
  <c r="U75" i="19"/>
  <c r="AO74" i="19"/>
  <c r="U15" i="20"/>
  <c r="AI25" i="20"/>
  <c r="U30" i="20"/>
  <c r="AW46" i="19"/>
  <c r="AT48" i="19"/>
  <c r="AE49" i="19"/>
  <c r="AT50" i="19"/>
  <c r="AE51" i="19"/>
  <c r="AI53" i="19"/>
  <c r="AO52" i="19"/>
  <c r="AV52" i="19"/>
  <c r="BA54" i="19"/>
  <c r="AI58" i="19"/>
  <c r="AE63" i="19"/>
  <c r="AT65" i="19"/>
  <c r="AT66" i="19"/>
  <c r="AW67" i="19"/>
  <c r="AE69" i="19"/>
  <c r="AT70" i="19"/>
  <c r="U77" i="19"/>
  <c r="AI80" i="19"/>
  <c r="T74" i="20"/>
  <c r="AT72" i="19"/>
  <c r="AT76" i="19"/>
  <c r="AP77" i="19"/>
  <c r="Z80" i="19"/>
  <c r="AP81" i="19"/>
  <c r="AW81" i="19"/>
  <c r="AB82" i="19"/>
  <c r="AB85" i="19"/>
  <c r="AI85" i="19"/>
  <c r="Z87" i="19"/>
  <c r="Z88" i="19"/>
  <c r="U16" i="20"/>
  <c r="U25" i="20"/>
  <c r="AB25" i="20"/>
  <c r="AE30" i="20"/>
  <c r="AB32" i="20"/>
  <c r="U35" i="20"/>
  <c r="AB35" i="20"/>
  <c r="AB36" i="20"/>
  <c r="U38" i="20"/>
  <c r="AB38" i="20"/>
  <c r="U39" i="20"/>
  <c r="U40" i="20"/>
  <c r="AK40" i="20"/>
  <c r="AK44" i="20"/>
  <c r="U47" i="20"/>
  <c r="AB48" i="20"/>
  <c r="AI51" i="20"/>
  <c r="AD52" i="20"/>
  <c r="AE59" i="20"/>
  <c r="U66" i="20"/>
  <c r="AI76" i="20"/>
  <c r="AH74" i="20"/>
  <c r="AI81" i="20"/>
  <c r="AK83" i="20"/>
  <c r="AE88" i="20"/>
  <c r="U83" i="19"/>
  <c r="U84" i="19"/>
  <c r="U85" i="19"/>
  <c r="U86" i="19"/>
  <c r="T13" i="20"/>
  <c r="U19" i="20"/>
  <c r="U23" i="20"/>
  <c r="AK27" i="20"/>
  <c r="U29" i="20"/>
  <c r="U36" i="20"/>
  <c r="U37" i="20"/>
  <c r="AK37" i="20"/>
  <c r="AI40" i="20"/>
  <c r="AK48" i="20"/>
  <c r="U50" i="20"/>
  <c r="U51" i="20"/>
  <c r="AD74" i="20"/>
  <c r="U77" i="20"/>
  <c r="AI80" i="20"/>
  <c r="AK81" i="20"/>
  <c r="AA74" i="19"/>
  <c r="AP82" i="19"/>
  <c r="AL85" i="19"/>
  <c r="AL86" i="19"/>
  <c r="AP87" i="19"/>
  <c r="AE18" i="20"/>
  <c r="AE33" i="20"/>
  <c r="AE39" i="20"/>
  <c r="AE44" i="20"/>
  <c r="AF52" i="20"/>
  <c r="R52" i="20"/>
  <c r="X52" i="20"/>
  <c r="AB76" i="20"/>
  <c r="AE77" i="20"/>
  <c r="U28" i="20"/>
  <c r="AK30" i="20"/>
  <c r="AI39" i="20"/>
  <c r="AI44" i="20"/>
  <c r="AK45" i="20"/>
  <c r="AI46" i="20"/>
  <c r="AH52" i="20"/>
  <c r="AI70" i="20"/>
  <c r="AI73" i="20"/>
  <c r="AK88" i="20"/>
  <c r="AP72" i="19"/>
  <c r="AP76" i="19"/>
  <c r="AB79" i="19"/>
  <c r="AQ74" i="19"/>
  <c r="AT82" i="19"/>
  <c r="AE83" i="19"/>
  <c r="BA83" i="19"/>
  <c r="Z84" i="19"/>
  <c r="Z86" i="19"/>
  <c r="U87" i="19"/>
  <c r="AL88" i="19"/>
  <c r="U9" i="20"/>
  <c r="AK21" i="20"/>
  <c r="AK24" i="20"/>
  <c r="AE27" i="20"/>
  <c r="AK28" i="20"/>
  <c r="AI29" i="20"/>
  <c r="AI30" i="20"/>
  <c r="AE37" i="20"/>
  <c r="AK50" i="20"/>
  <c r="AB53" i="20"/>
  <c r="AE56" i="20"/>
  <c r="AE68" i="20"/>
  <c r="AB70" i="20"/>
  <c r="S74" i="20"/>
  <c r="V74" i="20" s="1"/>
  <c r="AI75" i="20"/>
  <c r="U80" i="20"/>
  <c r="AB82" i="20"/>
  <c r="AB85" i="20"/>
  <c r="AB88" i="20"/>
  <c r="M99" i="1"/>
  <c r="M86" i="1"/>
  <c r="C87" i="1"/>
  <c r="K87" i="1" s="1"/>
  <c r="Q89" i="1"/>
  <c r="M104" i="1"/>
  <c r="N34" i="2"/>
  <c r="L74" i="2"/>
  <c r="J79" i="2"/>
  <c r="Y76" i="1"/>
  <c r="E13" i="1"/>
  <c r="AC13" i="1"/>
  <c r="AO13" i="1"/>
  <c r="AA17" i="1"/>
  <c r="J18" i="1"/>
  <c r="E31" i="1"/>
  <c r="AI31" i="1"/>
  <c r="AO31" i="1"/>
  <c r="AA35" i="1"/>
  <c r="J36" i="1"/>
  <c r="H52" i="1"/>
  <c r="AF52" i="1"/>
  <c r="AL52" i="1"/>
  <c r="F74" i="1"/>
  <c r="L74" i="1"/>
  <c r="R74" i="1"/>
  <c r="AD74" i="1"/>
  <c r="J78" i="1"/>
  <c r="I89" i="1"/>
  <c r="I9" i="1" s="1"/>
  <c r="Q9" i="1" s="1"/>
  <c r="F13" i="2"/>
  <c r="L13" i="2"/>
  <c r="R13" i="2"/>
  <c r="N15" i="2"/>
  <c r="J17" i="2"/>
  <c r="F31" i="2"/>
  <c r="L31" i="2"/>
  <c r="R31" i="2"/>
  <c r="J35" i="2"/>
  <c r="I52" i="2"/>
  <c r="Q52" i="2" s="1"/>
  <c r="O52" i="2"/>
  <c r="D79" i="2"/>
  <c r="AD74" i="2"/>
  <c r="J88" i="2"/>
  <c r="C38" i="4"/>
  <c r="K38" i="4" s="1"/>
  <c r="N35" i="1"/>
  <c r="L13" i="1"/>
  <c r="AD13" i="1"/>
  <c r="Y14" i="1"/>
  <c r="N15" i="1"/>
  <c r="Q18" i="1"/>
  <c r="W18" i="1"/>
  <c r="L31" i="1"/>
  <c r="R31" i="1"/>
  <c r="AD31" i="1"/>
  <c r="Q36" i="1"/>
  <c r="W36" i="1"/>
  <c r="I52" i="1"/>
  <c r="Q52" i="1" s="1"/>
  <c r="AG52" i="1"/>
  <c r="Y56" i="1"/>
  <c r="AQ56" i="1"/>
  <c r="G74" i="1"/>
  <c r="P74" i="1" s="1"/>
  <c r="S74" i="1"/>
  <c r="V74" i="1" s="1"/>
  <c r="AK74" i="1"/>
  <c r="N75" i="1"/>
  <c r="Q78" i="1"/>
  <c r="W78" i="1"/>
  <c r="Z78" i="1" s="1"/>
  <c r="X79" i="1"/>
  <c r="AB79" i="1" s="1"/>
  <c r="AB16" i="2"/>
  <c r="Q17" i="2"/>
  <c r="G31" i="2"/>
  <c r="P31" i="2" s="1"/>
  <c r="S31" i="2"/>
  <c r="V31" i="2" s="1"/>
  <c r="AB34" i="2"/>
  <c r="Q35" i="2"/>
  <c r="T74" i="2"/>
  <c r="Q76" i="2"/>
  <c r="I74" i="2"/>
  <c r="Q74" i="2" s="1"/>
  <c r="M27" i="4"/>
  <c r="C27" i="4"/>
  <c r="K27" i="4" s="1"/>
  <c r="R13" i="1"/>
  <c r="G13" i="1"/>
  <c r="S13" i="1"/>
  <c r="G31" i="1"/>
  <c r="P31" i="1" s="1"/>
  <c r="U57" i="1"/>
  <c r="M61" i="1"/>
  <c r="AF74" i="1"/>
  <c r="E89" i="1"/>
  <c r="E9" i="1" s="1"/>
  <c r="P91" i="1"/>
  <c r="W52" i="2"/>
  <c r="AC52" i="2"/>
  <c r="AE52" i="2" s="1"/>
  <c r="U56" i="2"/>
  <c r="P57" i="2"/>
  <c r="V57" i="2"/>
  <c r="N75" i="2"/>
  <c r="J76" i="2"/>
  <c r="J82" i="2"/>
  <c r="U87" i="2"/>
  <c r="AB88" i="2"/>
  <c r="C23" i="4"/>
  <c r="W56" i="1"/>
  <c r="Z56" i="1" s="1"/>
  <c r="Y36" i="1"/>
  <c r="E52" i="1"/>
  <c r="J57" i="1"/>
  <c r="AM74" i="1"/>
  <c r="L89" i="1"/>
  <c r="L9" i="1" s="1"/>
  <c r="L52" i="2"/>
  <c r="D73" i="2"/>
  <c r="J73" i="2"/>
  <c r="R74" i="2"/>
  <c r="U79" i="2"/>
  <c r="U81" i="2"/>
  <c r="AE73" i="2"/>
  <c r="AB75" i="2"/>
  <c r="Z74" i="2"/>
  <c r="AB76" i="2"/>
  <c r="AB82" i="2"/>
  <c r="AE85" i="2"/>
  <c r="P89" i="2"/>
  <c r="C66" i="4"/>
  <c r="K66" i="4" s="1"/>
  <c r="C14" i="5"/>
  <c r="K14" i="5" s="1"/>
  <c r="N90" i="2"/>
  <c r="N14" i="3"/>
  <c r="N32" i="3"/>
  <c r="N53" i="3"/>
  <c r="N91" i="4"/>
  <c r="Q32" i="5"/>
  <c r="I31" i="5"/>
  <c r="Q31" i="5" s="1"/>
  <c r="E89" i="2"/>
  <c r="E9" i="2" s="1"/>
  <c r="G31" i="3"/>
  <c r="P31" i="3" s="1"/>
  <c r="S31" i="3"/>
  <c r="V31" i="3" s="1"/>
  <c r="G52" i="3"/>
  <c r="P52" i="3" s="1"/>
  <c r="S52" i="3"/>
  <c r="V52" i="3" s="1"/>
  <c r="Q54" i="3"/>
  <c r="AC54" i="3"/>
  <c r="I74" i="3"/>
  <c r="Q74" i="3" s="1"/>
  <c r="AA74" i="3"/>
  <c r="Y76" i="3"/>
  <c r="G13" i="5"/>
  <c r="S13" i="5"/>
  <c r="N14" i="5"/>
  <c r="J32" i="5"/>
  <c r="I52" i="5"/>
  <c r="Q52" i="5" s="1"/>
  <c r="D75" i="2"/>
  <c r="F89" i="2"/>
  <c r="F9" i="2" s="1"/>
  <c r="L89" i="2"/>
  <c r="L9" i="2" s="1"/>
  <c r="Q91" i="2"/>
  <c r="Q89" i="2" s="1"/>
  <c r="E89" i="4"/>
  <c r="E9" i="4" s="1"/>
  <c r="M21" i="5"/>
  <c r="J26" i="5"/>
  <c r="R31" i="5"/>
  <c r="U31" i="5" s="1"/>
  <c r="E31" i="5"/>
  <c r="H52" i="5"/>
  <c r="N52" i="5" s="1"/>
  <c r="X52" i="5"/>
  <c r="V54" i="5"/>
  <c r="S52" i="5"/>
  <c r="V52" i="5" s="1"/>
  <c r="G89" i="2"/>
  <c r="G9" i="2" s="1"/>
  <c r="P9" i="2" s="1"/>
  <c r="E74" i="3"/>
  <c r="U76" i="3"/>
  <c r="E89" i="3"/>
  <c r="E9" i="3" s="1"/>
  <c r="P91" i="3"/>
  <c r="P89" i="3" s="1"/>
  <c r="L89" i="4"/>
  <c r="L9" i="4" s="1"/>
  <c r="P90" i="4"/>
  <c r="P89" i="4" s="1"/>
  <c r="I13" i="5"/>
  <c r="D24" i="5"/>
  <c r="J24" i="5"/>
  <c r="G31" i="5"/>
  <c r="P31" i="5" s="1"/>
  <c r="S31" i="5"/>
  <c r="V31" i="5" s="1"/>
  <c r="N32" i="5"/>
  <c r="W31" i="5"/>
  <c r="D42" i="5"/>
  <c r="J50" i="5"/>
  <c r="U53" i="5"/>
  <c r="R52" i="5"/>
  <c r="U52" i="5" s="1"/>
  <c r="J56" i="5"/>
  <c r="W74" i="2"/>
  <c r="AC74" i="2"/>
  <c r="AE74" i="2" s="1"/>
  <c r="L74" i="3"/>
  <c r="L89" i="3"/>
  <c r="L9" i="3" s="1"/>
  <c r="D30" i="5"/>
  <c r="O31" i="5"/>
  <c r="J35" i="5"/>
  <c r="D36" i="5"/>
  <c r="W13" i="3"/>
  <c r="W13" i="5"/>
  <c r="D20" i="5"/>
  <c r="L52" i="5"/>
  <c r="T52" i="5"/>
  <c r="P54" i="5"/>
  <c r="G52" i="5"/>
  <c r="P52" i="5" s="1"/>
  <c r="D32" i="5"/>
  <c r="Q90" i="5"/>
  <c r="Q89" i="5" s="1"/>
  <c r="G13" i="6"/>
  <c r="S13" i="6"/>
  <c r="U15" i="6"/>
  <c r="G31" i="6"/>
  <c r="P31" i="6" s="1"/>
  <c r="S31" i="6"/>
  <c r="V31" i="6" s="1"/>
  <c r="U33" i="6"/>
  <c r="H74" i="6"/>
  <c r="U75" i="6"/>
  <c r="P76" i="6"/>
  <c r="V76" i="6"/>
  <c r="H31" i="7"/>
  <c r="AZ31" i="7"/>
  <c r="BU31" i="7"/>
  <c r="CJ31" i="7"/>
  <c r="AV32" i="7"/>
  <c r="CF32" i="7"/>
  <c r="BE38" i="7"/>
  <c r="BE40" i="7"/>
  <c r="BN42" i="7"/>
  <c r="BB44" i="7"/>
  <c r="BK44" i="7"/>
  <c r="BT44" i="7"/>
  <c r="AV49" i="7"/>
  <c r="BN49" i="7"/>
  <c r="N53" i="5"/>
  <c r="E74" i="5"/>
  <c r="W74" i="5"/>
  <c r="H89" i="5"/>
  <c r="H9" i="5" s="1"/>
  <c r="H13" i="6"/>
  <c r="D15" i="6"/>
  <c r="J15" i="6"/>
  <c r="H31" i="6"/>
  <c r="D33" i="6"/>
  <c r="J33" i="6"/>
  <c r="E52" i="6"/>
  <c r="W52" i="6"/>
  <c r="I74" i="6"/>
  <c r="Q74" i="6" s="1"/>
  <c r="D75" i="6"/>
  <c r="J75" i="6"/>
  <c r="F89" i="6"/>
  <c r="F9" i="6" s="1"/>
  <c r="L89" i="6"/>
  <c r="L9" i="6" s="1"/>
  <c r="P90" i="6"/>
  <c r="P89" i="6" s="1"/>
  <c r="Q91" i="6"/>
  <c r="Q89" i="6" s="1"/>
  <c r="U32" i="7"/>
  <c r="Y32" i="7"/>
  <c r="AK32" i="7"/>
  <c r="AQ32" i="7"/>
  <c r="BZ32" i="7"/>
  <c r="U34" i="7"/>
  <c r="U36" i="7"/>
  <c r="U38" i="7"/>
  <c r="U40" i="7"/>
  <c r="D14" i="6"/>
  <c r="D32" i="6"/>
  <c r="X52" i="6"/>
  <c r="BI31" i="7"/>
  <c r="BK33" i="7"/>
  <c r="BK35" i="7"/>
  <c r="BK37" i="7"/>
  <c r="BK39" i="7"/>
  <c r="BK41" i="7"/>
  <c r="BQ42" i="7"/>
  <c r="AV44" i="7"/>
  <c r="BE44" i="7"/>
  <c r="BN44" i="7"/>
  <c r="BH49" i="7"/>
  <c r="N75" i="5"/>
  <c r="N53" i="6"/>
  <c r="J76" i="5"/>
  <c r="E89" i="5"/>
  <c r="E9" i="5" s="1"/>
  <c r="W13" i="6"/>
  <c r="Y15" i="6"/>
  <c r="W31" i="6"/>
  <c r="Y33" i="6"/>
  <c r="J54" i="6"/>
  <c r="X74" i="6"/>
  <c r="BQ30" i="7"/>
  <c r="BQ32" i="7"/>
  <c r="BQ34" i="7"/>
  <c r="AY35" i="7"/>
  <c r="BQ36" i="7"/>
  <c r="AY37" i="7"/>
  <c r="BQ38" i="7"/>
  <c r="BQ40" i="7"/>
  <c r="AY41" i="7"/>
  <c r="BK42" i="7"/>
  <c r="BT42" i="7"/>
  <c r="AY44" i="7"/>
  <c r="BH44" i="7"/>
  <c r="BQ44" i="7"/>
  <c r="BB49" i="7"/>
  <c r="BT49" i="7"/>
  <c r="I74" i="5"/>
  <c r="Q74" i="5" s="1"/>
  <c r="I52" i="6"/>
  <c r="Q52" i="6" s="1"/>
  <c r="G74" i="7"/>
  <c r="S74" i="7"/>
  <c r="AW74" i="7"/>
  <c r="BC74" i="7"/>
  <c r="BI74" i="7"/>
  <c r="BO74" i="7"/>
  <c r="BU74" i="7"/>
  <c r="BW74" i="7" s="1"/>
  <c r="CA74" i="7"/>
  <c r="CG74" i="7"/>
  <c r="Q81" i="7"/>
  <c r="N91" i="7"/>
  <c r="X74" i="8"/>
  <c r="F89" i="8"/>
  <c r="F9" i="8" s="1"/>
  <c r="H13" i="9"/>
  <c r="AB17" i="9"/>
  <c r="Z17" i="9"/>
  <c r="S31" i="9"/>
  <c r="I31" i="9"/>
  <c r="Q31" i="9" s="1"/>
  <c r="AC62" i="10"/>
  <c r="Z62" i="10"/>
  <c r="T74" i="7"/>
  <c r="AL74" i="7"/>
  <c r="J82" i="7"/>
  <c r="I89" i="7"/>
  <c r="I9" i="7" s="1"/>
  <c r="Q9" i="7" s="1"/>
  <c r="Y15" i="8"/>
  <c r="W13" i="8"/>
  <c r="G13" i="8"/>
  <c r="P17" i="8"/>
  <c r="I31" i="8"/>
  <c r="Q31" i="8" s="1"/>
  <c r="X31" i="8"/>
  <c r="H52" i="8"/>
  <c r="N52" i="8" s="1"/>
  <c r="U54" i="8"/>
  <c r="O52" i="8"/>
  <c r="D57" i="8"/>
  <c r="E52" i="8"/>
  <c r="D75" i="8"/>
  <c r="E74" i="8"/>
  <c r="F74" i="8"/>
  <c r="F13" i="9"/>
  <c r="AB14" i="9"/>
  <c r="X13" i="9"/>
  <c r="Z14" i="9"/>
  <c r="N20" i="9"/>
  <c r="V31" i="9"/>
  <c r="Z42" i="9"/>
  <c r="AB42" i="9"/>
  <c r="R52" i="9"/>
  <c r="AC43" i="10"/>
  <c r="Z43" i="10"/>
  <c r="AH80" i="7"/>
  <c r="D81" i="7"/>
  <c r="J81" i="7"/>
  <c r="AB81" i="7"/>
  <c r="AN84" i="7"/>
  <c r="AH85" i="7"/>
  <c r="AN86" i="7"/>
  <c r="J87" i="7"/>
  <c r="AN87" i="7"/>
  <c r="J88" i="7"/>
  <c r="J95" i="7"/>
  <c r="L89" i="7"/>
  <c r="L9" i="7" s="1"/>
  <c r="J16" i="8"/>
  <c r="L13" i="8"/>
  <c r="Y22" i="8"/>
  <c r="D28" i="8"/>
  <c r="Y28" i="8"/>
  <c r="D33" i="8"/>
  <c r="E31" i="8"/>
  <c r="U34" i="8"/>
  <c r="R31" i="8"/>
  <c r="H31" i="8"/>
  <c r="N31" i="8" s="1"/>
  <c r="U60" i="8"/>
  <c r="T74" i="8"/>
  <c r="U76" i="8"/>
  <c r="R74" i="8"/>
  <c r="J100" i="8"/>
  <c r="D103" i="8"/>
  <c r="R13" i="9"/>
  <c r="T14" i="9"/>
  <c r="N17" i="9"/>
  <c r="W21" i="9"/>
  <c r="Z36" i="9"/>
  <c r="AB36" i="9"/>
  <c r="G31" i="9"/>
  <c r="P40" i="9"/>
  <c r="H52" i="9"/>
  <c r="N53" i="9"/>
  <c r="X52" i="10"/>
  <c r="D80" i="7"/>
  <c r="AB80" i="7"/>
  <c r="J83" i="7"/>
  <c r="AH84" i="7"/>
  <c r="AB85" i="7"/>
  <c r="AH86" i="7"/>
  <c r="AH87" i="7"/>
  <c r="AH88" i="7"/>
  <c r="G89" i="7"/>
  <c r="G9" i="7" s="1"/>
  <c r="P9" i="7" s="1"/>
  <c r="P90" i="7"/>
  <c r="Q89" i="7"/>
  <c r="D94" i="7"/>
  <c r="E89" i="7"/>
  <c r="E9" i="7" s="1"/>
  <c r="D95" i="7"/>
  <c r="I13" i="8"/>
  <c r="Y16" i="8"/>
  <c r="Y33" i="8"/>
  <c r="W31" i="8"/>
  <c r="J37" i="8"/>
  <c r="P53" i="8"/>
  <c r="G52" i="8"/>
  <c r="P52" i="8" s="1"/>
  <c r="T52" i="8"/>
  <c r="M56" i="8"/>
  <c r="P77" i="8"/>
  <c r="G74" i="8"/>
  <c r="P74" i="8" s="1"/>
  <c r="Y88" i="8"/>
  <c r="J106" i="8"/>
  <c r="W18" i="9"/>
  <c r="AB44" i="9"/>
  <c r="Z44" i="9"/>
  <c r="D16" i="8"/>
  <c r="F13" i="8"/>
  <c r="S13" i="8"/>
  <c r="V17" i="8"/>
  <c r="J34" i="8"/>
  <c r="L31" i="8"/>
  <c r="G31" i="8"/>
  <c r="P31" i="8" s="1"/>
  <c r="P35" i="8"/>
  <c r="W52" i="8"/>
  <c r="Y57" i="8"/>
  <c r="Y75" i="8"/>
  <c r="W74" i="8"/>
  <c r="V77" i="8"/>
  <c r="S74" i="8"/>
  <c r="V74" i="8" s="1"/>
  <c r="D90" i="8"/>
  <c r="E89" i="8"/>
  <c r="E9" i="8" s="1"/>
  <c r="L89" i="8"/>
  <c r="L9" i="8" s="1"/>
  <c r="J91" i="8"/>
  <c r="Z33" i="9"/>
  <c r="AB33" i="9"/>
  <c r="P35" i="10"/>
  <c r="G31" i="10"/>
  <c r="P31" i="10" s="1"/>
  <c r="N80" i="7"/>
  <c r="D15" i="8"/>
  <c r="E13" i="8"/>
  <c r="U16" i="8"/>
  <c r="R13" i="8"/>
  <c r="S31" i="8"/>
  <c r="V31" i="8" s="1"/>
  <c r="V35" i="8"/>
  <c r="C38" i="8"/>
  <c r="K38" i="8" s="1"/>
  <c r="R52" i="8"/>
  <c r="V53" i="8"/>
  <c r="S52" i="8"/>
  <c r="V52" i="8" s="1"/>
  <c r="I52" i="8"/>
  <c r="Q52" i="8" s="1"/>
  <c r="Q55" i="8"/>
  <c r="J76" i="8"/>
  <c r="L74" i="8"/>
  <c r="I74" i="8"/>
  <c r="Q74" i="8" s="1"/>
  <c r="Q79" i="8"/>
  <c r="O89" i="8"/>
  <c r="O9" i="8" s="1"/>
  <c r="J14" i="9"/>
  <c r="L13" i="9"/>
  <c r="V13" i="9"/>
  <c r="AB20" i="9"/>
  <c r="Z20" i="9"/>
  <c r="H31" i="9"/>
  <c r="W48" i="9"/>
  <c r="U31" i="9"/>
  <c r="J15" i="10"/>
  <c r="L13" i="10"/>
  <c r="AI15" i="10"/>
  <c r="AD13" i="10"/>
  <c r="H89" i="8"/>
  <c r="H9" i="8" s="1"/>
  <c r="Z41" i="9"/>
  <c r="N72" i="9"/>
  <c r="J75" i="9"/>
  <c r="L74" i="9"/>
  <c r="V74" i="9"/>
  <c r="H89" i="9"/>
  <c r="H9" i="9" s="1"/>
  <c r="AF14" i="10"/>
  <c r="AA13" i="10"/>
  <c r="AC40" i="10"/>
  <c r="Z40" i="10"/>
  <c r="AI53" i="10"/>
  <c r="AD52" i="10"/>
  <c r="AI52" i="10" s="1"/>
  <c r="O52" i="10"/>
  <c r="AC60" i="10"/>
  <c r="Z60" i="10"/>
  <c r="AC72" i="10"/>
  <c r="Z72" i="10"/>
  <c r="AB24" i="9"/>
  <c r="D26" i="9"/>
  <c r="AB27" i="9"/>
  <c r="D29" i="9"/>
  <c r="AB30" i="9"/>
  <c r="R31" i="9"/>
  <c r="AB32" i="9"/>
  <c r="X31" i="9"/>
  <c r="W34" i="9"/>
  <c r="AB39" i="9"/>
  <c r="N42" i="9"/>
  <c r="D44" i="9"/>
  <c r="W46" i="9"/>
  <c r="AB75" i="9"/>
  <c r="X74" i="9"/>
  <c r="Z75" i="9"/>
  <c r="AB78" i="9"/>
  <c r="Z78" i="9"/>
  <c r="AB81" i="9"/>
  <c r="Z81" i="9"/>
  <c r="AB84" i="9"/>
  <c r="Z84" i="9"/>
  <c r="AB87" i="9"/>
  <c r="Z87" i="9"/>
  <c r="AC15" i="10"/>
  <c r="Z15" i="10"/>
  <c r="AC17" i="10"/>
  <c r="Z17" i="10"/>
  <c r="AC19" i="10"/>
  <c r="Z19" i="10"/>
  <c r="AC21" i="10"/>
  <c r="Z21" i="10"/>
  <c r="AC23" i="10"/>
  <c r="Z23" i="10"/>
  <c r="AC25" i="10"/>
  <c r="Z25" i="10"/>
  <c r="AC27" i="10"/>
  <c r="Z27" i="10"/>
  <c r="AC29" i="10"/>
  <c r="Z29" i="10"/>
  <c r="D38" i="10"/>
  <c r="U40" i="10"/>
  <c r="R31" i="10"/>
  <c r="J53" i="10"/>
  <c r="L52" i="10"/>
  <c r="AG52" i="10"/>
  <c r="AC70" i="10"/>
  <c r="Z70" i="10"/>
  <c r="N75" i="8"/>
  <c r="E13" i="9"/>
  <c r="D32" i="9"/>
  <c r="E31" i="9"/>
  <c r="J32" i="9"/>
  <c r="L31" i="9"/>
  <c r="C38" i="9"/>
  <c r="K38" i="9" s="1"/>
  <c r="N45" i="9"/>
  <c r="AB51" i="9"/>
  <c r="Z51" i="9"/>
  <c r="D75" i="9"/>
  <c r="F74" i="9"/>
  <c r="I13" i="10"/>
  <c r="Q14" i="10"/>
  <c r="AG31" i="10"/>
  <c r="AC68" i="10"/>
  <c r="Z68" i="10"/>
  <c r="N14" i="8"/>
  <c r="N24" i="9"/>
  <c r="N27" i="9"/>
  <c r="N30" i="9"/>
  <c r="F31" i="9"/>
  <c r="T32" i="9"/>
  <c r="Z32" i="9"/>
  <c r="W42" i="9"/>
  <c r="AB45" i="9"/>
  <c r="D50" i="9"/>
  <c r="F52" i="9"/>
  <c r="AB54" i="9"/>
  <c r="Z54" i="9"/>
  <c r="AB57" i="9"/>
  <c r="Z57" i="9"/>
  <c r="AB60" i="9"/>
  <c r="Z60" i="9"/>
  <c r="AB63" i="9"/>
  <c r="Z63" i="9"/>
  <c r="AB66" i="9"/>
  <c r="Z66" i="9"/>
  <c r="AB69" i="9"/>
  <c r="Z69" i="9"/>
  <c r="AB72" i="9"/>
  <c r="Z72" i="9"/>
  <c r="R74" i="9"/>
  <c r="T75" i="9"/>
  <c r="D90" i="9"/>
  <c r="E89" i="9"/>
  <c r="E9" i="9" s="1"/>
  <c r="U9" i="10"/>
  <c r="R13" i="10"/>
  <c r="J14" i="10"/>
  <c r="N15" i="10"/>
  <c r="J16" i="10"/>
  <c r="N17" i="10"/>
  <c r="J18" i="10"/>
  <c r="J20" i="10"/>
  <c r="J22" i="10"/>
  <c r="N23" i="10"/>
  <c r="J24" i="10"/>
  <c r="J26" i="10"/>
  <c r="J28" i="10"/>
  <c r="N29" i="10"/>
  <c r="J30" i="10"/>
  <c r="I31" i="10"/>
  <c r="Q31" i="10" s="1"/>
  <c r="Q32" i="10"/>
  <c r="AH31" i="10"/>
  <c r="W31" i="10"/>
  <c r="J34" i="10"/>
  <c r="AF34" i="10"/>
  <c r="AA31" i="10"/>
  <c r="AF31" i="10" s="1"/>
  <c r="AI44" i="10"/>
  <c r="R52" i="10"/>
  <c r="AC66" i="10"/>
  <c r="Z66" i="10"/>
  <c r="T13" i="8"/>
  <c r="W22" i="9"/>
  <c r="W45" i="9"/>
  <c r="W88" i="9"/>
  <c r="Z57" i="10"/>
  <c r="AC57" i="10"/>
  <c r="AC64" i="10"/>
  <c r="Z64" i="10"/>
  <c r="E52" i="9"/>
  <c r="I74" i="9"/>
  <c r="Q74" i="9" s="1"/>
  <c r="U74" i="9"/>
  <c r="O89" i="9"/>
  <c r="O9" i="9" s="1"/>
  <c r="G13" i="10"/>
  <c r="S13" i="10"/>
  <c r="H31" i="10"/>
  <c r="AD31" i="10"/>
  <c r="AI31" i="10" s="1"/>
  <c r="J32" i="10"/>
  <c r="Z38" i="10"/>
  <c r="D41" i="10"/>
  <c r="J41" i="10"/>
  <c r="Z41" i="10"/>
  <c r="J47" i="10"/>
  <c r="D49" i="10"/>
  <c r="AI50" i="10"/>
  <c r="Z51" i="10"/>
  <c r="AC51" i="10"/>
  <c r="AA52" i="10"/>
  <c r="AF52" i="10" s="1"/>
  <c r="D53" i="10"/>
  <c r="AE52" i="10"/>
  <c r="AI54" i="10"/>
  <c r="Z55" i="10"/>
  <c r="AC55" i="10"/>
  <c r="AC58" i="10"/>
  <c r="Z58" i="10"/>
  <c r="N59" i="10"/>
  <c r="AF59" i="10"/>
  <c r="L52" i="9"/>
  <c r="X52" i="9"/>
  <c r="H13" i="10"/>
  <c r="AC14" i="10"/>
  <c r="AC16" i="10"/>
  <c r="AC18" i="10"/>
  <c r="AC20" i="10"/>
  <c r="AC22" i="10"/>
  <c r="AC24" i="10"/>
  <c r="AC26" i="10"/>
  <c r="AC28" i="10"/>
  <c r="AC30" i="10"/>
  <c r="X31" i="10"/>
  <c r="AC34" i="10"/>
  <c r="AC37" i="10"/>
  <c r="D43" i="10"/>
  <c r="J43" i="10"/>
  <c r="AI46" i="10"/>
  <c r="D47" i="10"/>
  <c r="AI48" i="10"/>
  <c r="Z49" i="10"/>
  <c r="AC49" i="10"/>
  <c r="I52" i="10"/>
  <c r="Q52" i="10" s="1"/>
  <c r="Z53" i="10"/>
  <c r="AC53" i="10"/>
  <c r="AC56" i="10"/>
  <c r="Z56" i="10"/>
  <c r="N57" i="10"/>
  <c r="AF57" i="10"/>
  <c r="J61" i="10"/>
  <c r="J63" i="10"/>
  <c r="N64" i="10"/>
  <c r="J65" i="10"/>
  <c r="N66" i="10"/>
  <c r="J67" i="10"/>
  <c r="N68" i="10"/>
  <c r="J69" i="10"/>
  <c r="J71" i="10"/>
  <c r="N72" i="10"/>
  <c r="J33" i="10"/>
  <c r="J45" i="10"/>
  <c r="Z47" i="10"/>
  <c r="AC47" i="10"/>
  <c r="N50" i="10"/>
  <c r="AC50" i="10"/>
  <c r="Z50" i="10"/>
  <c r="AF51" i="10"/>
  <c r="P53" i="10"/>
  <c r="G52" i="10"/>
  <c r="P52" i="10" s="1"/>
  <c r="Y52" i="10"/>
  <c r="AC54" i="10"/>
  <c r="Z54" i="10"/>
  <c r="N55" i="10"/>
  <c r="AF55" i="10"/>
  <c r="J59" i="10"/>
  <c r="E31" i="10"/>
  <c r="S31" i="10"/>
  <c r="V31" i="10" s="1"/>
  <c r="D35" i="10"/>
  <c r="AC48" i="10"/>
  <c r="Z48" i="10"/>
  <c r="V53" i="10"/>
  <c r="S52" i="10"/>
  <c r="V52" i="10" s="1"/>
  <c r="J57" i="10"/>
  <c r="D59" i="10"/>
  <c r="I52" i="9"/>
  <c r="Q52" i="9" s="1"/>
  <c r="U52" i="9"/>
  <c r="J106" i="9"/>
  <c r="D37" i="10"/>
  <c r="Z46" i="10"/>
  <c r="D57" i="10"/>
  <c r="Z59" i="10"/>
  <c r="AC59" i="10"/>
  <c r="Q89" i="10"/>
  <c r="G74" i="10"/>
  <c r="P74" i="10" s="1"/>
  <c r="S74" i="10"/>
  <c r="V74" i="10" s="1"/>
  <c r="I52" i="11"/>
  <c r="Q52" i="11" s="1"/>
  <c r="V13" i="12"/>
  <c r="W14" i="12"/>
  <c r="N19" i="12"/>
  <c r="F31" i="12"/>
  <c r="N34" i="12"/>
  <c r="R52" i="12"/>
  <c r="N55" i="12"/>
  <c r="N64" i="12"/>
  <c r="N73" i="12"/>
  <c r="J76" i="12"/>
  <c r="L74" i="12"/>
  <c r="X74" i="12"/>
  <c r="H89" i="12"/>
  <c r="H9" i="12" s="1"/>
  <c r="D95" i="12"/>
  <c r="E89" i="12"/>
  <c r="E9" i="12" s="1"/>
  <c r="J97" i="12"/>
  <c r="L89" i="12"/>
  <c r="L9" i="12" s="1"/>
  <c r="V13" i="13"/>
  <c r="Q17" i="13"/>
  <c r="I13" i="13"/>
  <c r="AA13" i="13"/>
  <c r="AC17" i="13"/>
  <c r="AC61" i="10"/>
  <c r="AC63" i="10"/>
  <c r="AC65" i="10"/>
  <c r="AC67" i="10"/>
  <c r="AC69" i="10"/>
  <c r="AC71" i="10"/>
  <c r="AC73" i="10"/>
  <c r="Q75" i="10"/>
  <c r="AC75" i="10"/>
  <c r="Z76" i="10"/>
  <c r="AC77" i="10"/>
  <c r="Z78" i="10"/>
  <c r="AC79" i="10"/>
  <c r="Z80" i="10"/>
  <c r="AC81" i="10"/>
  <c r="Z82" i="10"/>
  <c r="AC83" i="10"/>
  <c r="Z84" i="10"/>
  <c r="AC85" i="10"/>
  <c r="Z86" i="10"/>
  <c r="AC87" i="10"/>
  <c r="Z88" i="10"/>
  <c r="E89" i="10"/>
  <c r="E9" i="10" s="1"/>
  <c r="J91" i="10"/>
  <c r="E31" i="11"/>
  <c r="N53" i="11"/>
  <c r="S74" i="11"/>
  <c r="N28" i="12"/>
  <c r="AB31" i="12"/>
  <c r="N43" i="12"/>
  <c r="F52" i="12"/>
  <c r="AB52" i="12"/>
  <c r="N58" i="12"/>
  <c r="N79" i="12"/>
  <c r="N85" i="12"/>
  <c r="I89" i="12"/>
  <c r="I9" i="12" s="1"/>
  <c r="Q9" i="12" s="1"/>
  <c r="AC18" i="13"/>
  <c r="Z13" i="13"/>
  <c r="AA74" i="10"/>
  <c r="AF74" i="10" s="1"/>
  <c r="P90" i="10"/>
  <c r="P89" i="10" s="1"/>
  <c r="L31" i="11"/>
  <c r="D42" i="11"/>
  <c r="J42" i="11"/>
  <c r="D44" i="11"/>
  <c r="J44" i="11"/>
  <c r="D46" i="11"/>
  <c r="J46" i="11"/>
  <c r="D48" i="11"/>
  <c r="J48" i="11"/>
  <c r="D50" i="11"/>
  <c r="J50" i="11"/>
  <c r="E52" i="11"/>
  <c r="T53" i="11"/>
  <c r="L13" i="12"/>
  <c r="V31" i="12"/>
  <c r="W32" i="12"/>
  <c r="V52" i="12"/>
  <c r="W53" i="12"/>
  <c r="D76" i="12"/>
  <c r="F74" i="12"/>
  <c r="T76" i="12"/>
  <c r="R74" i="12"/>
  <c r="D97" i="12"/>
  <c r="F89" i="12"/>
  <c r="F9" i="12" s="1"/>
  <c r="G89" i="11"/>
  <c r="G9" i="11" s="1"/>
  <c r="P9" i="11" s="1"/>
  <c r="Z13" i="12"/>
  <c r="L31" i="12"/>
  <c r="N37" i="12"/>
  <c r="N49" i="12"/>
  <c r="H89" i="10"/>
  <c r="H9" i="10" s="1"/>
  <c r="H31" i="11"/>
  <c r="D53" i="11"/>
  <c r="P89" i="11"/>
  <c r="R13" i="12"/>
  <c r="L52" i="12"/>
  <c r="H13" i="13"/>
  <c r="G13" i="13"/>
  <c r="P90" i="12"/>
  <c r="P89" i="12" s="1"/>
  <c r="G89" i="12"/>
  <c r="G9" i="12" s="1"/>
  <c r="P9" i="12" s="1"/>
  <c r="D16" i="13"/>
  <c r="E13" i="13"/>
  <c r="AC53" i="13"/>
  <c r="Z52" i="13"/>
  <c r="P63" i="13"/>
  <c r="P65" i="13"/>
  <c r="P67" i="13"/>
  <c r="P69" i="13"/>
  <c r="AC76" i="13"/>
  <c r="Z74" i="13"/>
  <c r="Q8" i="14"/>
  <c r="I7" i="14"/>
  <c r="Q7" i="14" s="1"/>
  <c r="H89" i="11"/>
  <c r="H9" i="11" s="1"/>
  <c r="N90" i="12"/>
  <c r="U16" i="13"/>
  <c r="O31" i="13"/>
  <c r="X31" i="13"/>
  <c r="P43" i="13"/>
  <c r="P45" i="13"/>
  <c r="P47" i="13"/>
  <c r="P49" i="13"/>
  <c r="P51" i="13"/>
  <c r="E52" i="13"/>
  <c r="T52" i="13"/>
  <c r="U53" i="13"/>
  <c r="X74" i="13"/>
  <c r="T74" i="13"/>
  <c r="AA74" i="13"/>
  <c r="S74" i="13"/>
  <c r="P106" i="13"/>
  <c r="O8" i="14"/>
  <c r="O7" i="14" s="1"/>
  <c r="J13" i="14"/>
  <c r="H13" i="12"/>
  <c r="H31" i="12"/>
  <c r="H52" i="12"/>
  <c r="X13" i="13"/>
  <c r="U15" i="13"/>
  <c r="N24" i="13"/>
  <c r="AC25" i="13"/>
  <c r="Y26" i="13"/>
  <c r="G31" i="13"/>
  <c r="P31" i="13" s="1"/>
  <c r="D32" i="13"/>
  <c r="U32" i="13"/>
  <c r="R31" i="13"/>
  <c r="N34" i="13"/>
  <c r="N40" i="13"/>
  <c r="Y62" i="13"/>
  <c r="Y66" i="13"/>
  <c r="Y68" i="13"/>
  <c r="Y70" i="13"/>
  <c r="I74" i="13"/>
  <c r="Q74" i="13" s="1"/>
  <c r="D75" i="13"/>
  <c r="U76" i="13"/>
  <c r="AB74" i="13"/>
  <c r="P86" i="13"/>
  <c r="M103" i="13"/>
  <c r="W25" i="14"/>
  <c r="Y25" i="14" s="1"/>
  <c r="Z13" i="14"/>
  <c r="Q75" i="12"/>
  <c r="F13" i="13"/>
  <c r="L13" i="13"/>
  <c r="U14" i="13"/>
  <c r="R13" i="13"/>
  <c r="V52" i="13"/>
  <c r="C54" i="13"/>
  <c r="J76" i="13"/>
  <c r="O74" i="13"/>
  <c r="P80" i="13"/>
  <c r="E89" i="13"/>
  <c r="E9" i="13" s="1"/>
  <c r="P94" i="13"/>
  <c r="R13" i="14"/>
  <c r="Q90" i="12"/>
  <c r="Q89" i="12" s="1"/>
  <c r="I31" i="13"/>
  <c r="Q31" i="13" s="1"/>
  <c r="F31" i="13"/>
  <c r="L31" i="13"/>
  <c r="AB31" i="13"/>
  <c r="N36" i="13"/>
  <c r="P53" i="13"/>
  <c r="G52" i="13"/>
  <c r="P52" i="13" s="1"/>
  <c r="P55" i="13"/>
  <c r="P57" i="13"/>
  <c r="P59" i="13"/>
  <c r="P72" i="13"/>
  <c r="L89" i="13"/>
  <c r="L9" i="13" s="1"/>
  <c r="C9" i="14"/>
  <c r="K9" i="14" s="1"/>
  <c r="N13" i="14"/>
  <c r="H8" i="14"/>
  <c r="M24" i="14"/>
  <c r="C24" i="14"/>
  <c r="K24" i="14" s="1"/>
  <c r="U18" i="13"/>
  <c r="AC19" i="13"/>
  <c r="Y20" i="13"/>
  <c r="N28" i="13"/>
  <c r="Y32" i="13"/>
  <c r="V31" i="13"/>
  <c r="AC37" i="13"/>
  <c r="Y38" i="13"/>
  <c r="H52" i="13"/>
  <c r="P61" i="13"/>
  <c r="G74" i="13"/>
  <c r="P74" i="13" s="1"/>
  <c r="AC82" i="13"/>
  <c r="P100" i="13"/>
  <c r="M21" i="14"/>
  <c r="C21" i="14"/>
  <c r="K21" i="14" s="1"/>
  <c r="I52" i="13"/>
  <c r="Q52" i="13" s="1"/>
  <c r="O52" i="13"/>
  <c r="H74" i="13"/>
  <c r="V74" i="13"/>
  <c r="N93" i="13"/>
  <c r="N99" i="13"/>
  <c r="S31" i="14"/>
  <c r="AE30" i="14"/>
  <c r="M15" i="14"/>
  <c r="C15" i="14"/>
  <c r="K15" i="14" s="1"/>
  <c r="M27" i="14"/>
  <c r="C27" i="14"/>
  <c r="K27" i="14" s="1"/>
  <c r="M30" i="14"/>
  <c r="C30" i="14"/>
  <c r="K30" i="14" s="1"/>
  <c r="M33" i="14"/>
  <c r="C33" i="14"/>
  <c r="K33" i="14" s="1"/>
  <c r="C52" i="14"/>
  <c r="K52" i="14" s="1"/>
  <c r="M52" i="14"/>
  <c r="F74" i="13"/>
  <c r="L74" i="13"/>
  <c r="U75" i="13"/>
  <c r="R74" i="13"/>
  <c r="D13" i="14"/>
  <c r="M31" i="14"/>
  <c r="G89" i="13"/>
  <c r="G9" i="13" s="1"/>
  <c r="P9" i="13" s="1"/>
  <c r="H89" i="13"/>
  <c r="H9" i="13" s="1"/>
  <c r="O89" i="13"/>
  <c r="O9" i="13" s="1"/>
  <c r="N91" i="13"/>
  <c r="N97" i="13"/>
  <c r="T13" i="14"/>
  <c r="AB12" i="14"/>
  <c r="C74" i="14"/>
  <c r="K74" i="14" s="1"/>
  <c r="M74" i="14"/>
  <c r="U79" i="13"/>
  <c r="U85" i="13"/>
  <c r="N87" i="13"/>
  <c r="Q90" i="13"/>
  <c r="Q89" i="13" s="1"/>
  <c r="I89" i="13"/>
  <c r="I9" i="13" s="1"/>
  <c r="Q9" i="13" s="1"/>
  <c r="AC13" i="14"/>
  <c r="M18" i="14"/>
  <c r="C18" i="14"/>
  <c r="K18" i="14" s="1"/>
  <c r="AC31" i="14"/>
  <c r="L8" i="14"/>
  <c r="C55" i="14"/>
  <c r="K55" i="14" s="1"/>
  <c r="C58" i="14"/>
  <c r="K58" i="14" s="1"/>
  <c r="C61" i="14"/>
  <c r="K61" i="14" s="1"/>
  <c r="C64" i="14"/>
  <c r="K64" i="14" s="1"/>
  <c r="C67" i="14"/>
  <c r="K67" i="14" s="1"/>
  <c r="C70" i="14"/>
  <c r="K70" i="14" s="1"/>
  <c r="C73" i="14"/>
  <c r="K73" i="14" s="1"/>
  <c r="C90" i="14"/>
  <c r="P89" i="14"/>
  <c r="C98" i="14"/>
  <c r="K98" i="14" s="1"/>
  <c r="C14" i="15"/>
  <c r="K14" i="15" s="1"/>
  <c r="M15" i="15"/>
  <c r="C20" i="15"/>
  <c r="K20" i="15" s="1"/>
  <c r="M21" i="15"/>
  <c r="C26" i="15"/>
  <c r="K26" i="15" s="1"/>
  <c r="M27" i="15"/>
  <c r="U32" i="15"/>
  <c r="M33" i="15"/>
  <c r="M42" i="15"/>
  <c r="M48" i="15"/>
  <c r="J52" i="15"/>
  <c r="P8" i="16"/>
  <c r="G7" i="16"/>
  <c r="P7" i="16" s="1"/>
  <c r="C36" i="14"/>
  <c r="K36" i="14" s="1"/>
  <c r="C39" i="14"/>
  <c r="K39" i="14" s="1"/>
  <c r="C42" i="14"/>
  <c r="K42" i="14" s="1"/>
  <c r="C45" i="14"/>
  <c r="K45" i="14" s="1"/>
  <c r="C48" i="14"/>
  <c r="K48" i="14" s="1"/>
  <c r="C51" i="14"/>
  <c r="K51" i="14" s="1"/>
  <c r="C76" i="14"/>
  <c r="K76" i="14" s="1"/>
  <c r="C79" i="14"/>
  <c r="K79" i="14" s="1"/>
  <c r="C82" i="14"/>
  <c r="K82" i="14" s="1"/>
  <c r="C85" i="14"/>
  <c r="K85" i="14" s="1"/>
  <c r="C95" i="14"/>
  <c r="K95" i="14" s="1"/>
  <c r="C105" i="14"/>
  <c r="K105" i="14" s="1"/>
  <c r="C31" i="15"/>
  <c r="K31" i="15" s="1"/>
  <c r="AC31" i="15"/>
  <c r="Z52" i="15"/>
  <c r="Z31" i="14"/>
  <c r="S52" i="14"/>
  <c r="V52" i="14" s="1"/>
  <c r="Z74" i="14"/>
  <c r="C9" i="15"/>
  <c r="K9" i="15" s="1"/>
  <c r="X31" i="15"/>
  <c r="M45" i="15"/>
  <c r="M51" i="15"/>
  <c r="T52" i="15"/>
  <c r="U53" i="15"/>
  <c r="AB52" i="15"/>
  <c r="Z52" i="14"/>
  <c r="M90" i="14"/>
  <c r="M89" i="14" s="1"/>
  <c r="U14" i="15"/>
  <c r="Y15" i="15"/>
  <c r="M36" i="15"/>
  <c r="D13" i="15"/>
  <c r="P13" i="15"/>
  <c r="AA31" i="15"/>
  <c r="W31" i="15"/>
  <c r="D52" i="15"/>
  <c r="W74" i="15"/>
  <c r="D89" i="15"/>
  <c r="L7" i="16"/>
  <c r="J7" i="16" s="1"/>
  <c r="R13" i="16"/>
  <c r="AP13" i="16"/>
  <c r="W31" i="16"/>
  <c r="AC31" i="16"/>
  <c r="Y32" i="16"/>
  <c r="AK32" i="16"/>
  <c r="AG33" i="16"/>
  <c r="AM33" i="16"/>
  <c r="AI34" i="16"/>
  <c r="C38" i="16"/>
  <c r="K38" i="16" s="1"/>
  <c r="AK38" i="16"/>
  <c r="Y38" i="16"/>
  <c r="C39" i="16"/>
  <c r="K39" i="16" s="1"/>
  <c r="AM39" i="16"/>
  <c r="AG39" i="16"/>
  <c r="U42" i="16"/>
  <c r="Y42" i="16"/>
  <c r="AI43" i="16"/>
  <c r="C47" i="16"/>
  <c r="K47" i="16" s="1"/>
  <c r="AK47" i="16"/>
  <c r="Y47" i="16"/>
  <c r="C48" i="16"/>
  <c r="K48" i="16" s="1"/>
  <c r="AM48" i="16"/>
  <c r="AG48" i="16"/>
  <c r="U51" i="16"/>
  <c r="Y51" i="16"/>
  <c r="J52" i="16"/>
  <c r="S52" i="16"/>
  <c r="V52" i="16" s="1"/>
  <c r="Z52" i="16"/>
  <c r="C54" i="16"/>
  <c r="K54" i="16" s="1"/>
  <c r="AI55" i="16"/>
  <c r="Y56" i="16"/>
  <c r="AK56" i="16"/>
  <c r="M58" i="16"/>
  <c r="AG60" i="16"/>
  <c r="AM60" i="16"/>
  <c r="AB61" i="16"/>
  <c r="AG61" i="16"/>
  <c r="M64" i="16"/>
  <c r="M44" i="15"/>
  <c r="M47" i="15"/>
  <c r="M50" i="15"/>
  <c r="W52" i="15"/>
  <c r="M75" i="15"/>
  <c r="C76" i="15"/>
  <c r="K76" i="15" s="1"/>
  <c r="M78" i="15"/>
  <c r="C79" i="15"/>
  <c r="K79" i="15" s="1"/>
  <c r="M81" i="15"/>
  <c r="C82" i="15"/>
  <c r="K82" i="15" s="1"/>
  <c r="M84" i="15"/>
  <c r="C85" i="15"/>
  <c r="K85" i="15" s="1"/>
  <c r="M87" i="15"/>
  <c r="C88" i="15"/>
  <c r="K88" i="15" s="1"/>
  <c r="C90" i="15"/>
  <c r="M92" i="15"/>
  <c r="C93" i="15"/>
  <c r="K93" i="15" s="1"/>
  <c r="M95" i="15"/>
  <c r="M89" i="15" s="1"/>
  <c r="C96" i="15"/>
  <c r="K96" i="15" s="1"/>
  <c r="M98" i="15"/>
  <c r="C99" i="15"/>
  <c r="K99" i="15" s="1"/>
  <c r="M101" i="15"/>
  <c r="C102" i="15"/>
  <c r="K102" i="15" s="1"/>
  <c r="M104" i="15"/>
  <c r="C105" i="15"/>
  <c r="K105" i="15" s="1"/>
  <c r="H8" i="16"/>
  <c r="C9" i="16"/>
  <c r="K9" i="16" s="1"/>
  <c r="AI15" i="16"/>
  <c r="Y16" i="16"/>
  <c r="AK16" i="16"/>
  <c r="AI18" i="16"/>
  <c r="Y19" i="16"/>
  <c r="AK19" i="16"/>
  <c r="AI21" i="16"/>
  <c r="Y22" i="16"/>
  <c r="AK22" i="16"/>
  <c r="AI24" i="16"/>
  <c r="Y25" i="16"/>
  <c r="AK25" i="16"/>
  <c r="AI27" i="16"/>
  <c r="Y28" i="16"/>
  <c r="AK28" i="16"/>
  <c r="AI30" i="16"/>
  <c r="AP31" i="16"/>
  <c r="AR31" i="16" s="1"/>
  <c r="C33" i="16"/>
  <c r="K33" i="16" s="1"/>
  <c r="M41" i="16"/>
  <c r="M50" i="16"/>
  <c r="AI57" i="16"/>
  <c r="Y59" i="16"/>
  <c r="AE59" i="16"/>
  <c r="AK59" i="16"/>
  <c r="C74" i="16"/>
  <c r="K74" i="16" s="1"/>
  <c r="M74" i="16"/>
  <c r="AI33" i="16"/>
  <c r="AK35" i="16"/>
  <c r="Y35" i="16"/>
  <c r="AM36" i="16"/>
  <c r="AG36" i="16"/>
  <c r="AK44" i="16"/>
  <c r="Y44" i="16"/>
  <c r="AM45" i="16"/>
  <c r="AG45" i="16"/>
  <c r="AI49" i="16"/>
  <c r="M51" i="16"/>
  <c r="AH52" i="16"/>
  <c r="AN52" i="16"/>
  <c r="AT52" i="16"/>
  <c r="AK55" i="16"/>
  <c r="AG56" i="16"/>
  <c r="AM56" i="16"/>
  <c r="M59" i="16"/>
  <c r="AK64" i="16"/>
  <c r="Y64" i="16"/>
  <c r="AM64" i="16"/>
  <c r="U67" i="16"/>
  <c r="I7" i="16"/>
  <c r="Q7" i="16" s="1"/>
  <c r="Y15" i="16"/>
  <c r="AG16" i="16"/>
  <c r="AM16" i="16"/>
  <c r="Y18" i="16"/>
  <c r="AG19" i="16"/>
  <c r="AM19" i="16"/>
  <c r="Y21" i="16"/>
  <c r="AG22" i="16"/>
  <c r="AM22" i="16"/>
  <c r="Y24" i="16"/>
  <c r="AG25" i="16"/>
  <c r="AM25" i="16"/>
  <c r="Y27" i="16"/>
  <c r="AG28" i="16"/>
  <c r="AM28" i="16"/>
  <c r="Y30" i="16"/>
  <c r="Z31" i="16"/>
  <c r="AM35" i="16"/>
  <c r="AK36" i="16"/>
  <c r="AE41" i="16"/>
  <c r="AM44" i="16"/>
  <c r="AK45" i="16"/>
  <c r="AE50" i="16"/>
  <c r="W52" i="16"/>
  <c r="D52" i="16"/>
  <c r="Y55" i="16"/>
  <c r="Y57" i="16"/>
  <c r="AG59" i="16"/>
  <c r="AM59" i="16"/>
  <c r="C63" i="16"/>
  <c r="K63" i="16" s="1"/>
  <c r="AI63" i="16"/>
  <c r="AG64" i="16"/>
  <c r="AE67" i="16"/>
  <c r="D13" i="16"/>
  <c r="Y33" i="16"/>
  <c r="AG35" i="16"/>
  <c r="Y36" i="16"/>
  <c r="AK41" i="16"/>
  <c r="Y41" i="16"/>
  <c r="AM42" i="16"/>
  <c r="AG42" i="16"/>
  <c r="AG44" i="16"/>
  <c r="Y45" i="16"/>
  <c r="AK50" i="16"/>
  <c r="Y50" i="16"/>
  <c r="AM51" i="16"/>
  <c r="AG51" i="16"/>
  <c r="AG55" i="16"/>
  <c r="AI66" i="16"/>
  <c r="D74" i="15"/>
  <c r="W74" i="16"/>
  <c r="AC74" i="16"/>
  <c r="Y75" i="16"/>
  <c r="AK75" i="16"/>
  <c r="AG76" i="16"/>
  <c r="AM76" i="16"/>
  <c r="Y78" i="16"/>
  <c r="AK78" i="16"/>
  <c r="AG79" i="16"/>
  <c r="AM79" i="16"/>
  <c r="Y81" i="16"/>
  <c r="AK81" i="16"/>
  <c r="AG82" i="16"/>
  <c r="AM82" i="16"/>
  <c r="Y84" i="16"/>
  <c r="AK84" i="16"/>
  <c r="AG85" i="16"/>
  <c r="AM85" i="16"/>
  <c r="Y87" i="16"/>
  <c r="AK87" i="16"/>
  <c r="AG88" i="16"/>
  <c r="AM88" i="16"/>
  <c r="D89" i="16"/>
  <c r="AK65" i="16"/>
  <c r="AI67" i="16"/>
  <c r="AI70" i="16"/>
  <c r="AK71" i="16"/>
  <c r="AG72" i="16"/>
  <c r="AM72" i="16"/>
  <c r="AP74" i="16"/>
  <c r="AR74" i="16" s="1"/>
  <c r="M75" i="16"/>
  <c r="C76" i="16"/>
  <c r="K76" i="16" s="1"/>
  <c r="M78" i="16"/>
  <c r="C79" i="16"/>
  <c r="K79" i="16" s="1"/>
  <c r="M81" i="16"/>
  <c r="C82" i="16"/>
  <c r="K82" i="16" s="1"/>
  <c r="M84" i="16"/>
  <c r="C85" i="16"/>
  <c r="K85" i="16" s="1"/>
  <c r="M87" i="16"/>
  <c r="C88" i="16"/>
  <c r="K88" i="16" s="1"/>
  <c r="C90" i="16"/>
  <c r="M92" i="16"/>
  <c r="M89" i="16" s="1"/>
  <c r="C93" i="16"/>
  <c r="K93" i="16" s="1"/>
  <c r="M95" i="16"/>
  <c r="C96" i="16"/>
  <c r="K96" i="16" s="1"/>
  <c r="M98" i="16"/>
  <c r="C99" i="16"/>
  <c r="K99" i="16" s="1"/>
  <c r="M101" i="16"/>
  <c r="C102" i="16"/>
  <c r="K102" i="16" s="1"/>
  <c r="M104" i="16"/>
  <c r="C105" i="16"/>
  <c r="K105" i="16" s="1"/>
  <c r="C13" i="17"/>
  <c r="K13" i="17" s="1"/>
  <c r="AG75" i="16"/>
  <c r="AM75" i="16"/>
  <c r="AI76" i="16"/>
  <c r="AG78" i="16"/>
  <c r="AM78" i="16"/>
  <c r="AI79" i="16"/>
  <c r="AG81" i="16"/>
  <c r="AM81" i="16"/>
  <c r="AI82" i="16"/>
  <c r="AG84" i="16"/>
  <c r="AM84" i="16"/>
  <c r="AI85" i="16"/>
  <c r="AG87" i="16"/>
  <c r="AM87" i="16"/>
  <c r="AI88" i="16"/>
  <c r="AG65" i="16"/>
  <c r="AM65" i="16"/>
  <c r="Y67" i="16"/>
  <c r="AK67" i="16"/>
  <c r="AG68" i="16"/>
  <c r="AM68" i="16"/>
  <c r="Y70" i="16"/>
  <c r="AK70" i="16"/>
  <c r="AG71" i="16"/>
  <c r="AM71" i="16"/>
  <c r="C75" i="16"/>
  <c r="K75" i="16" s="1"/>
  <c r="Y76" i="16"/>
  <c r="Y79" i="16"/>
  <c r="Y82" i="16"/>
  <c r="Y85" i="16"/>
  <c r="Y88" i="16"/>
  <c r="AG67" i="16"/>
  <c r="AG70" i="16"/>
  <c r="S13" i="17"/>
  <c r="BB13" i="17"/>
  <c r="C53" i="17"/>
  <c r="K53" i="17" s="1"/>
  <c r="C55" i="17"/>
  <c r="K55" i="17" s="1"/>
  <c r="C57" i="17"/>
  <c r="K57" i="17" s="1"/>
  <c r="C59" i="17"/>
  <c r="K59" i="17" s="1"/>
  <c r="C61" i="17"/>
  <c r="K61" i="17" s="1"/>
  <c r="BG70" i="17"/>
  <c r="AC74" i="17"/>
  <c r="AE75" i="17"/>
  <c r="AC53" i="18"/>
  <c r="Z52" i="18"/>
  <c r="AT32" i="19"/>
  <c r="AR31" i="19"/>
  <c r="C45" i="19"/>
  <c r="K45" i="19" s="1"/>
  <c r="M45" i="19"/>
  <c r="S52" i="19"/>
  <c r="V52" i="19" s="1"/>
  <c r="V53" i="19"/>
  <c r="Z31" i="20"/>
  <c r="AB33" i="20"/>
  <c r="AE43" i="20"/>
  <c r="AC31" i="20"/>
  <c r="V55" i="20"/>
  <c r="S52" i="20"/>
  <c r="V52" i="20" s="1"/>
  <c r="C57" i="20"/>
  <c r="K57" i="20" s="1"/>
  <c r="M57" i="20"/>
  <c r="AI83" i="20"/>
  <c r="AF74" i="20"/>
  <c r="Z74" i="17"/>
  <c r="AL74" i="17"/>
  <c r="AN74" i="17" s="1"/>
  <c r="W74" i="17"/>
  <c r="Y75" i="17"/>
  <c r="P13" i="18"/>
  <c r="G8" i="18"/>
  <c r="AL13" i="18"/>
  <c r="U15" i="18"/>
  <c r="U21" i="18"/>
  <c r="U27" i="18"/>
  <c r="T31" i="18"/>
  <c r="AK13" i="19"/>
  <c r="AL14" i="19"/>
  <c r="BA26" i="19"/>
  <c r="AY13" i="19"/>
  <c r="AB32" i="17"/>
  <c r="BT53" i="17"/>
  <c r="C87" i="17"/>
  <c r="K87" i="17" s="1"/>
  <c r="D89" i="17"/>
  <c r="N89" i="17"/>
  <c r="O7" i="18"/>
  <c r="N8" i="18"/>
  <c r="H7" i="18"/>
  <c r="N7" i="18" s="1"/>
  <c r="U14" i="18"/>
  <c r="AG17" i="18"/>
  <c r="U20" i="18"/>
  <c r="AS21" i="18"/>
  <c r="AG23" i="18"/>
  <c r="U26" i="18"/>
  <c r="AS27" i="18"/>
  <c r="AS32" i="18"/>
  <c r="AG33" i="18"/>
  <c r="AA31" i="18"/>
  <c r="AK34" i="18"/>
  <c r="AH31" i="18"/>
  <c r="W31" i="19"/>
  <c r="D52" i="17"/>
  <c r="Y53" i="17"/>
  <c r="AE53" i="17"/>
  <c r="M75" i="17"/>
  <c r="D74" i="17"/>
  <c r="BX74" i="17"/>
  <c r="C85" i="17"/>
  <c r="K85" i="17" s="1"/>
  <c r="Z13" i="18"/>
  <c r="AO33" i="18"/>
  <c r="AL31" i="18"/>
  <c r="BR74" i="17"/>
  <c r="BT75" i="17"/>
  <c r="C83" i="17"/>
  <c r="K83" i="17" s="1"/>
  <c r="S13" i="18"/>
  <c r="AG15" i="18"/>
  <c r="U18" i="18"/>
  <c r="AS19" i="18"/>
  <c r="U24" i="18"/>
  <c r="AS25" i="18"/>
  <c r="U30" i="18"/>
  <c r="AD31" i="18"/>
  <c r="AM31" i="18"/>
  <c r="AO55" i="18"/>
  <c r="AO67" i="18"/>
  <c r="C93" i="18"/>
  <c r="K93" i="18" s="1"/>
  <c r="M93" i="18"/>
  <c r="C102" i="18"/>
  <c r="K102" i="18" s="1"/>
  <c r="M102" i="18"/>
  <c r="C81" i="17"/>
  <c r="K81" i="17" s="1"/>
  <c r="C106" i="17"/>
  <c r="K106" i="17" s="1"/>
  <c r="K89" i="17" s="1"/>
  <c r="AG14" i="18"/>
  <c r="U17" i="18"/>
  <c r="AS18" i="18"/>
  <c r="AG20" i="18"/>
  <c r="U23" i="18"/>
  <c r="AS24" i="18"/>
  <c r="AG26" i="18"/>
  <c r="U29" i="18"/>
  <c r="AS30" i="18"/>
  <c r="AF52" i="18"/>
  <c r="AO53" i="18"/>
  <c r="AL52" i="18"/>
  <c r="M92" i="17"/>
  <c r="M95" i="17"/>
  <c r="M98" i="17"/>
  <c r="M101" i="17"/>
  <c r="M104" i="17"/>
  <c r="L8" i="18"/>
  <c r="M32" i="18"/>
  <c r="M33" i="18"/>
  <c r="N89" i="18"/>
  <c r="F7" i="19"/>
  <c r="AH13" i="19"/>
  <c r="BB13" i="19"/>
  <c r="C49" i="19"/>
  <c r="K49" i="19" s="1"/>
  <c r="M49" i="19"/>
  <c r="U79" i="19"/>
  <c r="T74" i="19"/>
  <c r="D13" i="18"/>
  <c r="AO34" i="18"/>
  <c r="AC37" i="18"/>
  <c r="AC43" i="18"/>
  <c r="AO45" i="18"/>
  <c r="AC49" i="18"/>
  <c r="AO51" i="18"/>
  <c r="AO54" i="18"/>
  <c r="AO56" i="18"/>
  <c r="AO62" i="18"/>
  <c r="AO66" i="18"/>
  <c r="AO68" i="18"/>
  <c r="AO70" i="18"/>
  <c r="AO72" i="18"/>
  <c r="U75" i="18"/>
  <c r="U76" i="18"/>
  <c r="Q89" i="18"/>
  <c r="C96" i="18"/>
  <c r="K96" i="18" s="1"/>
  <c r="M96" i="18"/>
  <c r="C105" i="18"/>
  <c r="K105" i="18" s="1"/>
  <c r="M105" i="18"/>
  <c r="AN13" i="19"/>
  <c r="Y13" i="19"/>
  <c r="Z14" i="19"/>
  <c r="AV13" i="19"/>
  <c r="AF31" i="19"/>
  <c r="D31" i="18"/>
  <c r="AC38" i="18"/>
  <c r="AO40" i="18"/>
  <c r="AC44" i="18"/>
  <c r="AO46" i="18"/>
  <c r="AC50" i="18"/>
  <c r="AC54" i="18"/>
  <c r="AC56" i="18"/>
  <c r="AC58" i="18"/>
  <c r="AC62" i="18"/>
  <c r="AC64" i="18"/>
  <c r="AC66" i="18"/>
  <c r="AC68" i="18"/>
  <c r="AC70" i="18"/>
  <c r="AC72" i="18"/>
  <c r="AS75" i="18"/>
  <c r="AS76" i="18"/>
  <c r="AS77" i="18"/>
  <c r="AS78" i="18"/>
  <c r="AS82" i="18"/>
  <c r="AS84" i="18"/>
  <c r="AS85" i="18"/>
  <c r="AS86" i="18"/>
  <c r="AS87" i="18"/>
  <c r="AS88" i="18"/>
  <c r="AS13" i="19"/>
  <c r="AT22" i="19"/>
  <c r="AX31" i="19"/>
  <c r="C41" i="19"/>
  <c r="K41" i="19" s="1"/>
  <c r="M41" i="19"/>
  <c r="AC34" i="18"/>
  <c r="AO41" i="18"/>
  <c r="AC45" i="18"/>
  <c r="AO47" i="18"/>
  <c r="AC51" i="18"/>
  <c r="C90" i="18"/>
  <c r="D89" i="18"/>
  <c r="M90" i="18"/>
  <c r="C99" i="18"/>
  <c r="K99" i="18" s="1"/>
  <c r="M99" i="18"/>
  <c r="C13" i="19"/>
  <c r="K13" i="19" s="1"/>
  <c r="M13" i="19"/>
  <c r="V14" i="19"/>
  <c r="S13" i="19"/>
  <c r="AJ13" i="19"/>
  <c r="AQ13" i="19"/>
  <c r="AM13" i="19"/>
  <c r="AE33" i="19"/>
  <c r="AC31" i="19"/>
  <c r="R52" i="19"/>
  <c r="U62" i="19"/>
  <c r="AX52" i="19"/>
  <c r="C62" i="19"/>
  <c r="K62" i="19" s="1"/>
  <c r="M62" i="19"/>
  <c r="C63" i="19"/>
  <c r="K63" i="19" s="1"/>
  <c r="M63" i="19"/>
  <c r="AH74" i="19"/>
  <c r="AI75" i="19"/>
  <c r="R13" i="19"/>
  <c r="X13" i="19"/>
  <c r="AU31" i="19"/>
  <c r="AP41" i="19"/>
  <c r="AP45" i="19"/>
  <c r="AP49" i="19"/>
  <c r="AC52" i="19"/>
  <c r="AJ52" i="19"/>
  <c r="AL55" i="19"/>
  <c r="AI56" i="19"/>
  <c r="AG52" i="19"/>
  <c r="AL57" i="19"/>
  <c r="J9" i="20"/>
  <c r="O7" i="20"/>
  <c r="C9" i="19"/>
  <c r="K9" i="19" s="1"/>
  <c r="AT14" i="19"/>
  <c r="AB27" i="19"/>
  <c r="C32" i="19"/>
  <c r="K32" i="19" s="1"/>
  <c r="D31" i="19"/>
  <c r="U32" i="19"/>
  <c r="U33" i="19"/>
  <c r="U43" i="19"/>
  <c r="U47" i="19"/>
  <c r="U51" i="19"/>
  <c r="Z53" i="19"/>
  <c r="AD52" i="19"/>
  <c r="U56" i="19"/>
  <c r="T52" i="19"/>
  <c r="M57" i="19"/>
  <c r="C70" i="19"/>
  <c r="K70" i="19" s="1"/>
  <c r="M70" i="19"/>
  <c r="AE76" i="19"/>
  <c r="AC74" i="19"/>
  <c r="C80" i="19"/>
  <c r="K80" i="19" s="1"/>
  <c r="M80" i="19"/>
  <c r="M37" i="20"/>
  <c r="C37" i="20"/>
  <c r="K37" i="20" s="1"/>
  <c r="D31" i="20"/>
  <c r="H8" i="19"/>
  <c r="P9" i="19"/>
  <c r="AL22" i="19"/>
  <c r="AB26" i="19"/>
  <c r="AO31" i="19"/>
  <c r="U34" i="19"/>
  <c r="U35" i="19"/>
  <c r="M42" i="19"/>
  <c r="M46" i="19"/>
  <c r="M50" i="19"/>
  <c r="X52" i="19"/>
  <c r="AI54" i="19"/>
  <c r="BA56" i="19"/>
  <c r="C69" i="19"/>
  <c r="K69" i="19" s="1"/>
  <c r="M69" i="19"/>
  <c r="C72" i="19"/>
  <c r="K72" i="19" s="1"/>
  <c r="M72" i="19"/>
  <c r="AD74" i="19"/>
  <c r="AG13" i="19"/>
  <c r="BA22" i="19"/>
  <c r="AB30" i="19"/>
  <c r="U36" i="19"/>
  <c r="U37" i="19"/>
  <c r="AP38" i="19"/>
  <c r="U39" i="19"/>
  <c r="AP39" i="19"/>
  <c r="AP43" i="19"/>
  <c r="AP47" i="19"/>
  <c r="AP51" i="19"/>
  <c r="D52" i="19"/>
  <c r="AU52" i="19"/>
  <c r="BB52" i="19"/>
  <c r="AT56" i="19"/>
  <c r="AB57" i="19"/>
  <c r="AY52" i="19"/>
  <c r="BA59" i="19"/>
  <c r="AF52" i="19"/>
  <c r="AT61" i="19"/>
  <c r="AR52" i="19"/>
  <c r="AL80" i="19"/>
  <c r="AK74" i="19"/>
  <c r="W52" i="19"/>
  <c r="AL53" i="19"/>
  <c r="AT57" i="19"/>
  <c r="M58" i="19"/>
  <c r="AW58" i="19"/>
  <c r="AE62" i="19"/>
  <c r="M67" i="19"/>
  <c r="M68" i="19"/>
  <c r="AB75" i="19"/>
  <c r="AL78" i="19"/>
  <c r="AJ74" i="19"/>
  <c r="C75" i="19"/>
  <c r="K75" i="19" s="1"/>
  <c r="M75" i="19"/>
  <c r="AG74" i="19"/>
  <c r="AN74" i="19"/>
  <c r="AP75" i="19"/>
  <c r="W74" i="19"/>
  <c r="AF74" i="19"/>
  <c r="BB74" i="19"/>
  <c r="M59" i="19"/>
  <c r="M64" i="19"/>
  <c r="U66" i="19"/>
  <c r="AX74" i="19"/>
  <c r="Y74" i="19"/>
  <c r="Z76" i="19"/>
  <c r="AV74" i="19"/>
  <c r="AW76" i="19"/>
  <c r="AB80" i="19"/>
  <c r="AB81" i="19"/>
  <c r="C94" i="19"/>
  <c r="M94" i="19"/>
  <c r="I7" i="20"/>
  <c r="Q7" i="20" s="1"/>
  <c r="Q9" i="20"/>
  <c r="AW56" i="19"/>
  <c r="AT58" i="19"/>
  <c r="AW62" i="19"/>
  <c r="AB63" i="19"/>
  <c r="AT63" i="19"/>
  <c r="D74" i="19"/>
  <c r="AR74" i="19"/>
  <c r="AY74" i="19"/>
  <c r="AW77" i="19"/>
  <c r="AU74" i="19"/>
  <c r="M81" i="19"/>
  <c r="C81" i="19"/>
  <c r="K81" i="19" s="1"/>
  <c r="H7" i="20"/>
  <c r="N7" i="20" s="1"/>
  <c r="N8" i="20"/>
  <c r="Q89" i="19"/>
  <c r="AE19" i="20"/>
  <c r="AC13" i="20"/>
  <c r="AK19" i="20"/>
  <c r="AJ13" i="20"/>
  <c r="T31" i="20"/>
  <c r="U33" i="20"/>
  <c r="AZ74" i="19"/>
  <c r="AW79" i="19"/>
  <c r="AE81" i="19"/>
  <c r="AT84" i="19"/>
  <c r="U88" i="19"/>
  <c r="N89" i="19"/>
  <c r="C103" i="19"/>
  <c r="K103" i="19" s="1"/>
  <c r="M103" i="19"/>
  <c r="AI14" i="20"/>
  <c r="AF13" i="20"/>
  <c r="AK15" i="20"/>
  <c r="AG13" i="20"/>
  <c r="Y16" i="20"/>
  <c r="W13" i="20"/>
  <c r="AD13" i="20"/>
  <c r="V32" i="20"/>
  <c r="S31" i="20"/>
  <c r="V31" i="20" s="1"/>
  <c r="M34" i="20"/>
  <c r="C34" i="20"/>
  <c r="K34" i="20" s="1"/>
  <c r="AH31" i="20"/>
  <c r="M40" i="20"/>
  <c r="C40" i="20"/>
  <c r="K40" i="20" s="1"/>
  <c r="AB78" i="19"/>
  <c r="M84" i="19"/>
  <c r="M88" i="19"/>
  <c r="M53" i="20"/>
  <c r="D52" i="20"/>
  <c r="C53" i="20"/>
  <c r="K53" i="20" s="1"/>
  <c r="S74" i="19"/>
  <c r="V74" i="19" s="1"/>
  <c r="AE75" i="19"/>
  <c r="AB76" i="19"/>
  <c r="AT78" i="19"/>
  <c r="M82" i="19"/>
  <c r="C16" i="20"/>
  <c r="K16" i="20" s="1"/>
  <c r="D13" i="20"/>
  <c r="M16" i="20"/>
  <c r="X31" i="20"/>
  <c r="Y34" i="20"/>
  <c r="W31" i="20"/>
  <c r="Y31" i="20" s="1"/>
  <c r="J13" i="20"/>
  <c r="L8" i="20"/>
  <c r="U14" i="20"/>
  <c r="AB14" i="20"/>
  <c r="Z13" i="20"/>
  <c r="AA13" i="20"/>
  <c r="AH13" i="20"/>
  <c r="AI18" i="20"/>
  <c r="AF31" i="20"/>
  <c r="AI33" i="20"/>
  <c r="AB42" i="20"/>
  <c r="AE75" i="20"/>
  <c r="C89" i="20"/>
  <c r="V14" i="20"/>
  <c r="S13" i="20"/>
  <c r="C28" i="20"/>
  <c r="K28" i="20" s="1"/>
  <c r="M28" i="20"/>
  <c r="AE28" i="20"/>
  <c r="U32" i="20"/>
  <c r="R31" i="20"/>
  <c r="AK33" i="20"/>
  <c r="AG31" i="20"/>
  <c r="AB45" i="20"/>
  <c r="M59" i="20"/>
  <c r="C59" i="20"/>
  <c r="K59" i="20" s="1"/>
  <c r="M65" i="20"/>
  <c r="C65" i="20"/>
  <c r="K65" i="20" s="1"/>
  <c r="R13" i="20"/>
  <c r="C22" i="20"/>
  <c r="K22" i="20" s="1"/>
  <c r="M22" i="20"/>
  <c r="C25" i="20"/>
  <c r="K25" i="20" s="1"/>
  <c r="M25" i="20"/>
  <c r="AJ31" i="20"/>
  <c r="AA31" i="20"/>
  <c r="AA52" i="20"/>
  <c r="AI15" i="20"/>
  <c r="AE16" i="20"/>
  <c r="C19" i="20"/>
  <c r="K19" i="20" s="1"/>
  <c r="M19" i="20"/>
  <c r="AD31" i="20"/>
  <c r="AK32" i="20"/>
  <c r="C46" i="20"/>
  <c r="K46" i="20" s="1"/>
  <c r="M46" i="20"/>
  <c r="AK53" i="20"/>
  <c r="AG52" i="20"/>
  <c r="C63" i="20"/>
  <c r="K63" i="20" s="1"/>
  <c r="M63" i="20"/>
  <c r="C69" i="20"/>
  <c r="K69" i="20" s="1"/>
  <c r="M69" i="20"/>
  <c r="M44" i="20"/>
  <c r="M74" i="20"/>
  <c r="C74" i="20"/>
  <c r="K74" i="20" s="1"/>
  <c r="X74" i="20"/>
  <c r="AE81" i="20"/>
  <c r="M89" i="20"/>
  <c r="AI49" i="20"/>
  <c r="AE53" i="20"/>
  <c r="AC52" i="20"/>
  <c r="M62" i="20"/>
  <c r="C62" i="20"/>
  <c r="K62" i="20" s="1"/>
  <c r="M68" i="20"/>
  <c r="C68" i="20"/>
  <c r="K68" i="20" s="1"/>
  <c r="C72" i="20"/>
  <c r="K72" i="20" s="1"/>
  <c r="M72" i="20"/>
  <c r="U75" i="20"/>
  <c r="R74" i="20"/>
  <c r="C47" i="20"/>
  <c r="K47" i="20" s="1"/>
  <c r="U48" i="20"/>
  <c r="AE50" i="20"/>
  <c r="C54" i="20"/>
  <c r="K54" i="20" s="1"/>
  <c r="M54" i="20"/>
  <c r="M56" i="20"/>
  <c r="C56" i="20"/>
  <c r="K56" i="20" s="1"/>
  <c r="C60" i="20"/>
  <c r="K60" i="20" s="1"/>
  <c r="M60" i="20"/>
  <c r="C66" i="20"/>
  <c r="K66" i="20" s="1"/>
  <c r="M66" i="20"/>
  <c r="AB73" i="20"/>
  <c r="AI77" i="20"/>
  <c r="U82" i="20"/>
  <c r="Y53" i="20"/>
  <c r="W52" i="20"/>
  <c r="Y52" i="20" s="1"/>
  <c r="AB61" i="20"/>
  <c r="M71" i="20"/>
  <c r="C71" i="20"/>
  <c r="K71" i="20" s="1"/>
  <c r="AJ74" i="20"/>
  <c r="AK75" i="20"/>
  <c r="U85" i="20"/>
  <c r="K90" i="20"/>
  <c r="K89" i="20" s="1"/>
  <c r="W74" i="20"/>
  <c r="Y74" i="20" s="1"/>
  <c r="AC74" i="20"/>
  <c r="C74" i="18" l="1"/>
  <c r="K74" i="18" s="1"/>
  <c r="M74" i="18"/>
  <c r="I7" i="18"/>
  <c r="Q7" i="18" s="1"/>
  <c r="Q8" i="18"/>
  <c r="G7" i="17"/>
  <c r="P7" i="17" s="1"/>
  <c r="P8" i="17"/>
  <c r="C31" i="17"/>
  <c r="K31" i="17" s="1"/>
  <c r="M31" i="17"/>
  <c r="Q8" i="17"/>
  <c r="I7" i="17"/>
  <c r="Q7" i="17" s="1"/>
  <c r="M92" i="13"/>
  <c r="M62" i="8"/>
  <c r="M90" i="6"/>
  <c r="M40" i="7"/>
  <c r="K40" i="7"/>
  <c r="C89" i="17"/>
  <c r="M89" i="17"/>
  <c r="K42" i="6"/>
  <c r="C36" i="4"/>
  <c r="K36" i="4" s="1"/>
  <c r="M37" i="9"/>
  <c r="C93" i="7"/>
  <c r="K93" i="7" s="1"/>
  <c r="M16" i="3"/>
  <c r="M80" i="4"/>
  <c r="C94" i="2"/>
  <c r="K94" i="2" s="1"/>
  <c r="C39" i="2"/>
  <c r="K39" i="2" s="1"/>
  <c r="M47" i="6"/>
  <c r="M48" i="6"/>
  <c r="M51" i="2"/>
  <c r="M79" i="6"/>
  <c r="M95" i="5"/>
  <c r="M38" i="1"/>
  <c r="AY13" i="7"/>
  <c r="C18" i="9"/>
  <c r="K18" i="9" s="1"/>
  <c r="C33" i="7"/>
  <c r="K33" i="7" s="1"/>
  <c r="J9" i="10"/>
  <c r="C48" i="10"/>
  <c r="K48" i="10" s="1"/>
  <c r="M105" i="7"/>
  <c r="M106" i="9"/>
  <c r="M42" i="6"/>
  <c r="C60" i="4"/>
  <c r="K60" i="4" s="1"/>
  <c r="M57" i="4"/>
  <c r="K58" i="6"/>
  <c r="C97" i="13"/>
  <c r="K97" i="13" s="1"/>
  <c r="M32" i="7"/>
  <c r="M90" i="5"/>
  <c r="N9" i="5"/>
  <c r="K65" i="12"/>
  <c r="C88" i="12"/>
  <c r="K88" i="12" s="1"/>
  <c r="M22" i="6"/>
  <c r="K50" i="12"/>
  <c r="AT74" i="19"/>
  <c r="M64" i="8"/>
  <c r="M62" i="6"/>
  <c r="M69" i="3"/>
  <c r="C57" i="1"/>
  <c r="K57" i="1" s="1"/>
  <c r="C97" i="4"/>
  <c r="K97" i="4" s="1"/>
  <c r="M50" i="12"/>
  <c r="M88" i="10"/>
  <c r="M106" i="6"/>
  <c r="M57" i="3"/>
  <c r="M86" i="5"/>
  <c r="M101" i="4"/>
  <c r="M36" i="2"/>
  <c r="M37" i="1"/>
  <c r="C82" i="13"/>
  <c r="K82" i="13" s="1"/>
  <c r="C76" i="13"/>
  <c r="K76" i="13" s="1"/>
  <c r="C41" i="13"/>
  <c r="K41" i="13" s="1"/>
  <c r="M92" i="2"/>
  <c r="C40" i="1"/>
  <c r="K40" i="1" s="1"/>
  <c r="C36" i="7"/>
  <c r="K36" i="7" s="1"/>
  <c r="M15" i="9"/>
  <c r="C78" i="8"/>
  <c r="K78" i="8" s="1"/>
  <c r="C92" i="3"/>
  <c r="K92" i="3" s="1"/>
  <c r="M80" i="2"/>
  <c r="C39" i="13"/>
  <c r="K39" i="13" s="1"/>
  <c r="C17" i="13"/>
  <c r="K17" i="13" s="1"/>
  <c r="M104" i="11"/>
  <c r="C54" i="10"/>
  <c r="K54" i="10" s="1"/>
  <c r="M19" i="6"/>
  <c r="C50" i="6"/>
  <c r="K50" i="6" s="1"/>
  <c r="M37" i="7"/>
  <c r="C86" i="7"/>
  <c r="K86" i="7" s="1"/>
  <c r="M16" i="5"/>
  <c r="M59" i="2"/>
  <c r="K23" i="12"/>
  <c r="C64" i="7"/>
  <c r="K64" i="7" s="1"/>
  <c r="K57" i="5"/>
  <c r="M15" i="12"/>
  <c r="C88" i="3"/>
  <c r="K88" i="3" s="1"/>
  <c r="C68" i="10"/>
  <c r="K68" i="10" s="1"/>
  <c r="M54" i="2"/>
  <c r="C66" i="13"/>
  <c r="K66" i="13" s="1"/>
  <c r="C54" i="6"/>
  <c r="K54" i="6" s="1"/>
  <c r="M57" i="5"/>
  <c r="C35" i="5"/>
  <c r="K35" i="5" s="1"/>
  <c r="M84" i="5"/>
  <c r="M102" i="4"/>
  <c r="C43" i="8"/>
  <c r="K43" i="8" s="1"/>
  <c r="C40" i="13"/>
  <c r="K40" i="13" s="1"/>
  <c r="M64" i="4"/>
  <c r="C98" i="1"/>
  <c r="K98" i="1" s="1"/>
  <c r="M60" i="1"/>
  <c r="C92" i="1"/>
  <c r="K92" i="1" s="1"/>
  <c r="C63" i="3"/>
  <c r="K63" i="3" s="1"/>
  <c r="Z47" i="1"/>
  <c r="M58" i="3"/>
  <c r="M68" i="2"/>
  <c r="M19" i="9"/>
  <c r="M80" i="8"/>
  <c r="M104" i="5"/>
  <c r="M45" i="3"/>
  <c r="M40" i="4"/>
  <c r="Y52" i="2"/>
  <c r="BG13" i="17"/>
  <c r="K29" i="10"/>
  <c r="M67" i="8"/>
  <c r="AB31" i="2"/>
  <c r="M85" i="6"/>
  <c r="M54" i="3"/>
  <c r="M20" i="4"/>
  <c r="C55" i="7"/>
  <c r="K55" i="7" s="1"/>
  <c r="C42" i="13"/>
  <c r="K42" i="13" s="1"/>
  <c r="M23" i="12"/>
  <c r="M71" i="5"/>
  <c r="C103" i="4"/>
  <c r="K103" i="4" s="1"/>
  <c r="M90" i="2"/>
  <c r="M59" i="13"/>
  <c r="C44" i="10"/>
  <c r="K44" i="10" s="1"/>
  <c r="BK74" i="7"/>
  <c r="C49" i="7"/>
  <c r="K49" i="7" s="1"/>
  <c r="M94" i="3"/>
  <c r="K29" i="4"/>
  <c r="K79" i="6"/>
  <c r="M86" i="12"/>
  <c r="M36" i="3"/>
  <c r="C28" i="13"/>
  <c r="K28" i="13" s="1"/>
  <c r="K64" i="6"/>
  <c r="C106" i="7"/>
  <c r="K106" i="7" s="1"/>
  <c r="C78" i="11"/>
  <c r="K78" i="11" s="1"/>
  <c r="C72" i="5"/>
  <c r="K72" i="5" s="1"/>
  <c r="M27" i="7"/>
  <c r="C79" i="3"/>
  <c r="K79" i="3" s="1"/>
  <c r="C83" i="4"/>
  <c r="K83" i="4" s="1"/>
  <c r="J13" i="11"/>
  <c r="C18" i="2"/>
  <c r="K18" i="2" s="1"/>
  <c r="M60" i="12"/>
  <c r="M37" i="3"/>
  <c r="M66" i="2"/>
  <c r="K40" i="4"/>
  <c r="C73" i="4"/>
  <c r="K73" i="4" s="1"/>
  <c r="AB52" i="16"/>
  <c r="M94" i="6"/>
  <c r="U31" i="15"/>
  <c r="C85" i="4"/>
  <c r="K85" i="4" s="1"/>
  <c r="M82" i="6"/>
  <c r="K49" i="6"/>
  <c r="K44" i="12"/>
  <c r="BZ13" i="7"/>
  <c r="M19" i="13"/>
  <c r="M102" i="6"/>
  <c r="C90" i="4"/>
  <c r="K90" i="4" s="1"/>
  <c r="M49" i="2"/>
  <c r="AB48" i="1"/>
  <c r="K19" i="6"/>
  <c r="M30" i="12"/>
  <c r="M69" i="6"/>
  <c r="C85" i="5"/>
  <c r="K85" i="5" s="1"/>
  <c r="C68" i="6"/>
  <c r="K68" i="6" s="1"/>
  <c r="C54" i="4"/>
  <c r="K54" i="4" s="1"/>
  <c r="M41" i="5"/>
  <c r="K79" i="12"/>
  <c r="J9" i="12"/>
  <c r="M79" i="9"/>
  <c r="C102" i="9"/>
  <c r="K102" i="9" s="1"/>
  <c r="M95" i="1"/>
  <c r="C98" i="6"/>
  <c r="K98" i="6" s="1"/>
  <c r="M24" i="1"/>
  <c r="M96" i="9"/>
  <c r="BB31" i="7"/>
  <c r="M92" i="4"/>
  <c r="C19" i="8"/>
  <c r="K19" i="8" s="1"/>
  <c r="C57" i="13"/>
  <c r="K57" i="13" s="1"/>
  <c r="C86" i="11"/>
  <c r="K86" i="11" s="1"/>
  <c r="C71" i="10"/>
  <c r="K71" i="10" s="1"/>
  <c r="M14" i="10"/>
  <c r="M36" i="6"/>
  <c r="M67" i="1"/>
  <c r="C99" i="3"/>
  <c r="K99" i="3" s="1"/>
  <c r="C86" i="4"/>
  <c r="K86" i="4" s="1"/>
  <c r="AB45" i="1"/>
  <c r="Z20" i="1"/>
  <c r="C36" i="13"/>
  <c r="K36" i="13" s="1"/>
  <c r="M79" i="12"/>
  <c r="M61" i="12"/>
  <c r="M17" i="12"/>
  <c r="M105" i="3"/>
  <c r="C15" i="5"/>
  <c r="K15" i="5" s="1"/>
  <c r="K70" i="13"/>
  <c r="C55" i="6"/>
  <c r="K55" i="6" s="1"/>
  <c r="C80" i="13"/>
  <c r="K80" i="13" s="1"/>
  <c r="M35" i="6"/>
  <c r="M51" i="3"/>
  <c r="M95" i="2"/>
  <c r="M38" i="2"/>
  <c r="K38" i="1"/>
  <c r="M26" i="1"/>
  <c r="N13" i="11"/>
  <c r="K87" i="13"/>
  <c r="M47" i="12"/>
  <c r="N74" i="12"/>
  <c r="CL31" i="7"/>
  <c r="M46" i="6"/>
  <c r="C14" i="3"/>
  <c r="K14" i="3" s="1"/>
  <c r="M55" i="1"/>
  <c r="C106" i="3"/>
  <c r="K106" i="3" s="1"/>
  <c r="C41" i="2"/>
  <c r="K41" i="2" s="1"/>
  <c r="M63" i="11"/>
  <c r="K65" i="6"/>
  <c r="M54" i="9"/>
  <c r="C30" i="1"/>
  <c r="K30" i="1" s="1"/>
  <c r="M73" i="11"/>
  <c r="M35" i="12"/>
  <c r="C102" i="11"/>
  <c r="K102" i="11" s="1"/>
  <c r="C101" i="9"/>
  <c r="K101" i="9" s="1"/>
  <c r="M62" i="10"/>
  <c r="C66" i="7"/>
  <c r="K66" i="7" s="1"/>
  <c r="M49" i="6"/>
  <c r="M21" i="3"/>
  <c r="C51" i="5"/>
  <c r="K51" i="5" s="1"/>
  <c r="M76" i="5"/>
  <c r="M22" i="3"/>
  <c r="M61" i="4"/>
  <c r="M20" i="1"/>
  <c r="AQ52" i="1"/>
  <c r="K56" i="12"/>
  <c r="K29" i="6"/>
  <c r="C50" i="13"/>
  <c r="K50" i="13" s="1"/>
  <c r="M14" i="12"/>
  <c r="C93" i="9"/>
  <c r="K93" i="9" s="1"/>
  <c r="C47" i="9"/>
  <c r="K47" i="9" s="1"/>
  <c r="M69" i="5"/>
  <c r="C46" i="5"/>
  <c r="K46" i="5" s="1"/>
  <c r="M99" i="5"/>
  <c r="M23" i="5"/>
  <c r="C103" i="6"/>
  <c r="K103" i="6" s="1"/>
  <c r="C24" i="4"/>
  <c r="K24" i="4" s="1"/>
  <c r="M22" i="5"/>
  <c r="M43" i="4"/>
  <c r="C83" i="1"/>
  <c r="K83" i="1" s="1"/>
  <c r="M19" i="2"/>
  <c r="M37" i="2"/>
  <c r="M45" i="1"/>
  <c r="Y52" i="18"/>
  <c r="Z74" i="10"/>
  <c r="C79" i="4"/>
  <c r="K79" i="4" s="1"/>
  <c r="C53" i="13"/>
  <c r="K53" i="13" s="1"/>
  <c r="M67" i="12"/>
  <c r="C24" i="8"/>
  <c r="K24" i="8" s="1"/>
  <c r="M48" i="3"/>
  <c r="M91" i="3"/>
  <c r="C58" i="2"/>
  <c r="K58" i="2" s="1"/>
  <c r="AI74" i="4"/>
  <c r="C105" i="1"/>
  <c r="K105" i="1" s="1"/>
  <c r="AK74" i="18"/>
  <c r="K17" i="10"/>
  <c r="M27" i="3"/>
  <c r="C66" i="11"/>
  <c r="K66" i="11" s="1"/>
  <c r="C22" i="13"/>
  <c r="K22" i="13" s="1"/>
  <c r="C79" i="11"/>
  <c r="K79" i="11" s="1"/>
  <c r="M49" i="9"/>
  <c r="M70" i="5"/>
  <c r="M60" i="2"/>
  <c r="C82" i="11"/>
  <c r="K82" i="11" s="1"/>
  <c r="K73" i="7"/>
  <c r="C29" i="13"/>
  <c r="K29" i="13" s="1"/>
  <c r="M101" i="12"/>
  <c r="M16" i="12"/>
  <c r="M59" i="12"/>
  <c r="M101" i="10"/>
  <c r="C35" i="3"/>
  <c r="K35" i="3" s="1"/>
  <c r="M42" i="2"/>
  <c r="M73" i="1"/>
  <c r="C51" i="4"/>
  <c r="K51" i="4" s="1"/>
  <c r="C80" i="1"/>
  <c r="K80" i="1" s="1"/>
  <c r="C103" i="1"/>
  <c r="K103" i="1" s="1"/>
  <c r="BZ74" i="7"/>
  <c r="AQ74" i="1"/>
  <c r="AB82" i="1"/>
  <c r="M93" i="6"/>
  <c r="K28" i="7"/>
  <c r="K104" i="5"/>
  <c r="C39" i="11"/>
  <c r="K39" i="11" s="1"/>
  <c r="M48" i="5"/>
  <c r="C65" i="3"/>
  <c r="K65" i="3" s="1"/>
  <c r="C83" i="11"/>
  <c r="K83" i="11" s="1"/>
  <c r="C82" i="10"/>
  <c r="K82" i="10" s="1"/>
  <c r="M58" i="7"/>
  <c r="C22" i="7"/>
  <c r="K22" i="7" s="1"/>
  <c r="C48" i="4"/>
  <c r="K48" i="4" s="1"/>
  <c r="C55" i="4"/>
  <c r="K55" i="4" s="1"/>
  <c r="K14" i="7"/>
  <c r="K33" i="2"/>
  <c r="AG31" i="4"/>
  <c r="K86" i="12"/>
  <c r="C94" i="12"/>
  <c r="K94" i="12" s="1"/>
  <c r="C106" i="12"/>
  <c r="K106" i="12" s="1"/>
  <c r="C87" i="11"/>
  <c r="K87" i="11" s="1"/>
  <c r="M34" i="11"/>
  <c r="M70" i="10"/>
  <c r="M20" i="8"/>
  <c r="M41" i="7"/>
  <c r="M97" i="5"/>
  <c r="C47" i="3"/>
  <c r="K47" i="3" s="1"/>
  <c r="U52" i="3"/>
  <c r="U74" i="3"/>
  <c r="M58" i="13"/>
  <c r="C49" i="13"/>
  <c r="K49" i="13" s="1"/>
  <c r="M98" i="3"/>
  <c r="M14" i="13"/>
  <c r="M105" i="10"/>
  <c r="C86" i="8"/>
  <c r="K86" i="8" s="1"/>
  <c r="C45" i="8"/>
  <c r="K45" i="8" s="1"/>
  <c r="M72" i="8"/>
  <c r="M39" i="8"/>
  <c r="C91" i="7"/>
  <c r="K91" i="7" s="1"/>
  <c r="C39" i="7"/>
  <c r="K39" i="7" s="1"/>
  <c r="C72" i="4"/>
  <c r="K72" i="4" s="1"/>
  <c r="C22" i="4"/>
  <c r="K22" i="4" s="1"/>
  <c r="AI31" i="19"/>
  <c r="K20" i="1"/>
  <c r="C104" i="13"/>
  <c r="K104" i="13" s="1"/>
  <c r="M102" i="12"/>
  <c r="C33" i="12"/>
  <c r="K33" i="12" s="1"/>
  <c r="M39" i="12"/>
  <c r="M85" i="9"/>
  <c r="M41" i="9"/>
  <c r="AN74" i="7"/>
  <c r="M93" i="5"/>
  <c r="C56" i="4"/>
  <c r="K56" i="4" s="1"/>
  <c r="M92" i="12"/>
  <c r="BH52" i="7"/>
  <c r="K30" i="11"/>
  <c r="M21" i="11"/>
  <c r="C77" i="8"/>
  <c r="K77" i="8" s="1"/>
  <c r="M98" i="5"/>
  <c r="M76" i="6"/>
  <c r="C26" i="6"/>
  <c r="K26" i="6" s="1"/>
  <c r="C93" i="2"/>
  <c r="K93" i="2" s="1"/>
  <c r="C71" i="11"/>
  <c r="K71" i="11" s="1"/>
  <c r="C39" i="9"/>
  <c r="K39" i="9" s="1"/>
  <c r="M65" i="2"/>
  <c r="AB13" i="17"/>
  <c r="K25" i="6"/>
  <c r="AB88" i="1"/>
  <c r="C43" i="6"/>
  <c r="K43" i="6" s="1"/>
  <c r="AB52" i="19"/>
  <c r="W52" i="14"/>
  <c r="Y52" i="14" s="1"/>
  <c r="M91" i="12"/>
  <c r="M38" i="7"/>
  <c r="C105" i="5"/>
  <c r="K105" i="5" s="1"/>
  <c r="U13" i="15"/>
  <c r="C70" i="4"/>
  <c r="K70" i="4" s="1"/>
  <c r="M82" i="4"/>
  <c r="AY52" i="7"/>
  <c r="AK74" i="20"/>
  <c r="C93" i="11"/>
  <c r="K93" i="11" s="1"/>
  <c r="C102" i="10"/>
  <c r="K102" i="10" s="1"/>
  <c r="M55" i="9"/>
  <c r="C36" i="8"/>
  <c r="K36" i="8" s="1"/>
  <c r="AA8" i="16"/>
  <c r="AA7" i="16" s="1"/>
  <c r="K69" i="7"/>
  <c r="K63" i="7"/>
  <c r="K46" i="9"/>
  <c r="AO74" i="18"/>
  <c r="AB31" i="16"/>
  <c r="C84" i="13"/>
  <c r="K84" i="13" s="1"/>
  <c r="M28" i="12"/>
  <c r="M103" i="12"/>
  <c r="M44" i="12"/>
  <c r="M30" i="11"/>
  <c r="M27" i="6"/>
  <c r="C68" i="3"/>
  <c r="K68" i="3" s="1"/>
  <c r="M98" i="8"/>
  <c r="C71" i="12"/>
  <c r="K71" i="12" s="1"/>
  <c r="C56" i="9"/>
  <c r="K56" i="9" s="1"/>
  <c r="M41" i="3"/>
  <c r="K30" i="9"/>
  <c r="M17" i="9"/>
  <c r="M99" i="8"/>
  <c r="C46" i="7"/>
  <c r="K46" i="7" s="1"/>
  <c r="C87" i="6"/>
  <c r="K87" i="6" s="1"/>
  <c r="M81" i="3"/>
  <c r="C53" i="5"/>
  <c r="K53" i="5" s="1"/>
  <c r="C86" i="2"/>
  <c r="K86" i="2" s="1"/>
  <c r="C20" i="3"/>
  <c r="K20" i="3" s="1"/>
  <c r="M93" i="1"/>
  <c r="C90" i="1"/>
  <c r="K90" i="1" s="1"/>
  <c r="M71" i="4"/>
  <c r="K101" i="4"/>
  <c r="C19" i="12"/>
  <c r="K19" i="12" s="1"/>
  <c r="C20" i="13"/>
  <c r="K20" i="13" s="1"/>
  <c r="C33" i="11"/>
  <c r="K33" i="11" s="1"/>
  <c r="T31" i="9"/>
  <c r="M90" i="7"/>
  <c r="M83" i="6"/>
  <c r="M26" i="3"/>
  <c r="K23" i="4"/>
  <c r="M106" i="1"/>
  <c r="C23" i="1"/>
  <c r="K23" i="1" s="1"/>
  <c r="AN31" i="17"/>
  <c r="K64" i="5"/>
  <c r="C35" i="2"/>
  <c r="K35" i="2" s="1"/>
  <c r="Z69" i="1"/>
  <c r="K17" i="12"/>
  <c r="N13" i="7"/>
  <c r="AB52" i="2"/>
  <c r="K61" i="12"/>
  <c r="K30" i="12"/>
  <c r="M57" i="11"/>
  <c r="M97" i="10"/>
  <c r="M91" i="2"/>
  <c r="M15" i="4"/>
  <c r="M64" i="5"/>
  <c r="C102" i="13"/>
  <c r="K102" i="13" s="1"/>
  <c r="M51" i="12"/>
  <c r="M17" i="10"/>
  <c r="M41" i="6"/>
  <c r="M105" i="4"/>
  <c r="C84" i="6"/>
  <c r="K84" i="6" s="1"/>
  <c r="M97" i="3"/>
  <c r="C93" i="3"/>
  <c r="K93" i="3" s="1"/>
  <c r="M79" i="1"/>
  <c r="M26" i="2"/>
  <c r="AC13" i="3"/>
  <c r="C30" i="10"/>
  <c r="K30" i="10" s="1"/>
  <c r="C78" i="9"/>
  <c r="K78" i="9" s="1"/>
  <c r="C71" i="8"/>
  <c r="K71" i="8" s="1"/>
  <c r="M93" i="4"/>
  <c r="M23" i="3"/>
  <c r="M49" i="1"/>
  <c r="Z15" i="1"/>
  <c r="C19" i="1"/>
  <c r="K19" i="1" s="1"/>
  <c r="K59" i="13"/>
  <c r="C48" i="9"/>
  <c r="K48" i="9" s="1"/>
  <c r="C68" i="8"/>
  <c r="K68" i="8" s="1"/>
  <c r="M51" i="7"/>
  <c r="K19" i="13"/>
  <c r="M67" i="11"/>
  <c r="C92" i="11"/>
  <c r="K92" i="11" s="1"/>
  <c r="M65" i="12"/>
  <c r="M99" i="10"/>
  <c r="C91" i="11"/>
  <c r="K91" i="11" s="1"/>
  <c r="C69" i="10"/>
  <c r="K69" i="10" s="1"/>
  <c r="U31" i="10"/>
  <c r="C86" i="9"/>
  <c r="K86" i="9" s="1"/>
  <c r="M92" i="10"/>
  <c r="M79" i="7"/>
  <c r="C70" i="6"/>
  <c r="K70" i="6" s="1"/>
  <c r="M56" i="6"/>
  <c r="C18" i="7"/>
  <c r="K18" i="7" s="1"/>
  <c r="Y52" i="5"/>
  <c r="C96" i="2"/>
  <c r="K96" i="2" s="1"/>
  <c r="M34" i="2"/>
  <c r="C36" i="1"/>
  <c r="K36" i="1" s="1"/>
  <c r="U74" i="17"/>
  <c r="M24" i="3"/>
  <c r="C101" i="13"/>
  <c r="K101" i="13" s="1"/>
  <c r="C91" i="13"/>
  <c r="K91" i="13" s="1"/>
  <c r="M87" i="13"/>
  <c r="M29" i="12"/>
  <c r="M39" i="10"/>
  <c r="C65" i="9"/>
  <c r="K65" i="9" s="1"/>
  <c r="C32" i="10"/>
  <c r="K32" i="10" s="1"/>
  <c r="M28" i="7"/>
  <c r="M14" i="7"/>
  <c r="C73" i="5"/>
  <c r="K73" i="5" s="1"/>
  <c r="M25" i="1"/>
  <c r="C32" i="4"/>
  <c r="K32" i="4" s="1"/>
  <c r="C40" i="2"/>
  <c r="K40" i="2" s="1"/>
  <c r="Z33" i="1"/>
  <c r="BT52" i="7"/>
  <c r="C69" i="13"/>
  <c r="K69" i="13" s="1"/>
  <c r="C87" i="12"/>
  <c r="K87" i="12" s="1"/>
  <c r="M25" i="12"/>
  <c r="M105" i="12"/>
  <c r="M77" i="10"/>
  <c r="M63" i="9"/>
  <c r="N52" i="10"/>
  <c r="M98" i="9"/>
  <c r="C77" i="9"/>
  <c r="K77" i="9" s="1"/>
  <c r="C42" i="8"/>
  <c r="K42" i="8" s="1"/>
  <c r="C66" i="8"/>
  <c r="K66" i="8" s="1"/>
  <c r="M14" i="11"/>
  <c r="M65" i="6"/>
  <c r="M17" i="6"/>
  <c r="M76" i="7"/>
  <c r="C21" i="6"/>
  <c r="K21" i="6" s="1"/>
  <c r="M44" i="5"/>
  <c r="M45" i="2"/>
  <c r="K17" i="6"/>
  <c r="K61" i="6"/>
  <c r="BQ52" i="7"/>
  <c r="AL52" i="19"/>
  <c r="C88" i="13"/>
  <c r="K88" i="13" s="1"/>
  <c r="M62" i="11"/>
  <c r="N74" i="6"/>
  <c r="M25" i="6"/>
  <c r="K62" i="6"/>
  <c r="K95" i="10"/>
  <c r="J74" i="6"/>
  <c r="K32" i="12"/>
  <c r="M58" i="12"/>
  <c r="M66" i="9"/>
  <c r="C18" i="10"/>
  <c r="K18" i="10" s="1"/>
  <c r="C42" i="9"/>
  <c r="K42" i="9" s="1"/>
  <c r="K83" i="12"/>
  <c r="BB13" i="7"/>
  <c r="C49" i="12"/>
  <c r="K49" i="12" s="1"/>
  <c r="M37" i="6"/>
  <c r="AA8" i="17"/>
  <c r="AA7" i="17" s="1"/>
  <c r="BU8" i="17"/>
  <c r="BU7" i="17" s="1"/>
  <c r="AI74" i="20"/>
  <c r="M46" i="8"/>
  <c r="M57" i="7"/>
  <c r="AK13" i="16"/>
  <c r="U74" i="10"/>
  <c r="J74" i="10"/>
  <c r="J74" i="7"/>
  <c r="BZ52" i="7"/>
  <c r="M100" i="11"/>
  <c r="C75" i="4"/>
  <c r="K75" i="4" s="1"/>
  <c r="N74" i="7"/>
  <c r="Y13" i="7"/>
  <c r="K62" i="12"/>
  <c r="AT52" i="19"/>
  <c r="C84" i="10"/>
  <c r="K84" i="10" s="1"/>
  <c r="M36" i="11"/>
  <c r="AE8" i="10"/>
  <c r="AE7" i="10" s="1"/>
  <c r="U31" i="8"/>
  <c r="T52" i="11"/>
  <c r="K27" i="6"/>
  <c r="C45" i="13"/>
  <c r="K45" i="13" s="1"/>
  <c r="M38" i="12"/>
  <c r="M80" i="12"/>
  <c r="M49" i="11"/>
  <c r="M98" i="10"/>
  <c r="M87" i="8"/>
  <c r="M102" i="8"/>
  <c r="C50" i="5"/>
  <c r="K50" i="5" s="1"/>
  <c r="C44" i="6"/>
  <c r="K44" i="6" s="1"/>
  <c r="J31" i="2"/>
  <c r="C63" i="1"/>
  <c r="K63" i="1" s="1"/>
  <c r="C22" i="2"/>
  <c r="K22" i="2" s="1"/>
  <c r="C82" i="1"/>
  <c r="K82" i="1" s="1"/>
  <c r="AB36" i="1"/>
  <c r="Z57" i="1"/>
  <c r="K78" i="7"/>
  <c r="Z42" i="1"/>
  <c r="C104" i="2"/>
  <c r="K104" i="2" s="1"/>
  <c r="AE31" i="16"/>
  <c r="C46" i="13"/>
  <c r="K46" i="13" s="1"/>
  <c r="C36" i="12"/>
  <c r="K36" i="12" s="1"/>
  <c r="C41" i="12"/>
  <c r="K41" i="12" s="1"/>
  <c r="M43" i="11"/>
  <c r="M92" i="9"/>
  <c r="C56" i="10"/>
  <c r="K56" i="10" s="1"/>
  <c r="M14" i="9"/>
  <c r="C51" i="8"/>
  <c r="K51" i="8" s="1"/>
  <c r="M96" i="5"/>
  <c r="M80" i="5"/>
  <c r="M30" i="4"/>
  <c r="M48" i="2"/>
  <c r="Z51" i="1"/>
  <c r="C61" i="13"/>
  <c r="K61" i="13" s="1"/>
  <c r="C30" i="13"/>
  <c r="K30" i="13" s="1"/>
  <c r="C35" i="13"/>
  <c r="K35" i="13" s="1"/>
  <c r="C43" i="13"/>
  <c r="K43" i="13" s="1"/>
  <c r="M19" i="11"/>
  <c r="C53" i="9"/>
  <c r="K53" i="9" s="1"/>
  <c r="C103" i="7"/>
  <c r="K103" i="7" s="1"/>
  <c r="M50" i="8"/>
  <c r="M18" i="11"/>
  <c r="I8" i="7"/>
  <c r="Q8" i="7" s="1"/>
  <c r="M17" i="5"/>
  <c r="C19" i="5"/>
  <c r="K19" i="5" s="1"/>
  <c r="C102" i="2"/>
  <c r="K102" i="2" s="1"/>
  <c r="T31" i="12"/>
  <c r="BB74" i="7"/>
  <c r="C54" i="1"/>
  <c r="K54" i="1" s="1"/>
  <c r="M83" i="12"/>
  <c r="M32" i="12"/>
  <c r="M40" i="12"/>
  <c r="C84" i="12"/>
  <c r="K84" i="12" s="1"/>
  <c r="C45" i="10"/>
  <c r="K45" i="10" s="1"/>
  <c r="C95" i="9"/>
  <c r="K95" i="9" s="1"/>
  <c r="M103" i="9"/>
  <c r="M51" i="1"/>
  <c r="C46" i="2"/>
  <c r="K46" i="2" s="1"/>
  <c r="K50" i="1"/>
  <c r="C42" i="3"/>
  <c r="K42" i="3" s="1"/>
  <c r="K73" i="6"/>
  <c r="AE74" i="20"/>
  <c r="M37" i="11"/>
  <c r="C100" i="8"/>
  <c r="K100" i="8" s="1"/>
  <c r="M30" i="9"/>
  <c r="C26" i="5"/>
  <c r="K26" i="5" s="1"/>
  <c r="K95" i="5"/>
  <c r="J13" i="4"/>
  <c r="Z64" i="1"/>
  <c r="AV52" i="7"/>
  <c r="K30" i="6"/>
  <c r="C73" i="9"/>
  <c r="K73" i="9" s="1"/>
  <c r="AH13" i="7"/>
  <c r="M99" i="13"/>
  <c r="C60" i="13"/>
  <c r="K60" i="13" s="1"/>
  <c r="M37" i="12"/>
  <c r="AK52" i="20"/>
  <c r="C48" i="13"/>
  <c r="K48" i="13" s="1"/>
  <c r="C64" i="10"/>
  <c r="K64" i="10" s="1"/>
  <c r="M60" i="9"/>
  <c r="M101" i="7"/>
  <c r="C58" i="8"/>
  <c r="K58" i="8" s="1"/>
  <c r="C41" i="8"/>
  <c r="K41" i="8" s="1"/>
  <c r="M96" i="8"/>
  <c r="C60" i="8"/>
  <c r="K60" i="8" s="1"/>
  <c r="M75" i="7"/>
  <c r="M66" i="3"/>
  <c r="C88" i="5"/>
  <c r="K88" i="5" s="1"/>
  <c r="C62" i="4"/>
  <c r="K62" i="4" s="1"/>
  <c r="M55" i="3"/>
  <c r="M57" i="2"/>
  <c r="C35" i="1"/>
  <c r="K35" i="1" s="1"/>
  <c r="AI13" i="16"/>
  <c r="C98" i="12"/>
  <c r="K98" i="12" s="1"/>
  <c r="K35" i="7"/>
  <c r="AK13" i="7"/>
  <c r="AB69" i="1"/>
  <c r="AB52" i="7"/>
  <c r="M76" i="10"/>
  <c r="C96" i="13"/>
  <c r="K96" i="13" s="1"/>
  <c r="C86" i="13"/>
  <c r="K86" i="13" s="1"/>
  <c r="C45" i="12"/>
  <c r="K45" i="12" s="1"/>
  <c r="M26" i="12"/>
  <c r="C76" i="9"/>
  <c r="K76" i="9" s="1"/>
  <c r="C16" i="10"/>
  <c r="K16" i="10" s="1"/>
  <c r="C97" i="7"/>
  <c r="K97" i="7" s="1"/>
  <c r="C83" i="7"/>
  <c r="K83" i="7" s="1"/>
  <c r="C24" i="9"/>
  <c r="K24" i="9" s="1"/>
  <c r="M34" i="7"/>
  <c r="M91" i="6"/>
  <c r="M87" i="3"/>
  <c r="M68" i="5"/>
  <c r="C100" i="5"/>
  <c r="K100" i="5" s="1"/>
  <c r="M65" i="5"/>
  <c r="C100" i="4"/>
  <c r="K100" i="4" s="1"/>
  <c r="M32" i="3"/>
  <c r="C14" i="4"/>
  <c r="K14" i="4" s="1"/>
  <c r="M40" i="5"/>
  <c r="M91" i="1"/>
  <c r="M22" i="1"/>
  <c r="M77" i="1"/>
  <c r="BT13" i="7"/>
  <c r="K44" i="7"/>
  <c r="CF13" i="7"/>
  <c r="BE52" i="7"/>
  <c r="Y52" i="13"/>
  <c r="M84" i="9"/>
  <c r="M104" i="6"/>
  <c r="C64" i="13"/>
  <c r="K64" i="13" s="1"/>
  <c r="M55" i="12"/>
  <c r="C93" i="12"/>
  <c r="K93" i="12" s="1"/>
  <c r="C87" i="10"/>
  <c r="K87" i="10" s="1"/>
  <c r="C94" i="8"/>
  <c r="K94" i="8" s="1"/>
  <c r="M39" i="3"/>
  <c r="M64" i="6"/>
  <c r="M67" i="3"/>
  <c r="M29" i="5"/>
  <c r="C58" i="1"/>
  <c r="K58" i="1" s="1"/>
  <c r="C20" i="2"/>
  <c r="K20" i="2" s="1"/>
  <c r="M46" i="1"/>
  <c r="K92" i="13"/>
  <c r="K72" i="7"/>
  <c r="K60" i="7"/>
  <c r="C84" i="7"/>
  <c r="K84" i="7" s="1"/>
  <c r="C67" i="4"/>
  <c r="K67" i="4" s="1"/>
  <c r="K104" i="6"/>
  <c r="K71" i="6"/>
  <c r="K85" i="6"/>
  <c r="AW74" i="19"/>
  <c r="M80" i="9"/>
  <c r="C47" i="11"/>
  <c r="K47" i="11" s="1"/>
  <c r="C97" i="11"/>
  <c r="K97" i="11" s="1"/>
  <c r="C68" i="12"/>
  <c r="K68" i="12" s="1"/>
  <c r="T52" i="9"/>
  <c r="M59" i="6"/>
  <c r="C45" i="7"/>
  <c r="K45" i="7" s="1"/>
  <c r="M100" i="3"/>
  <c r="M14" i="1"/>
  <c r="W74" i="12"/>
  <c r="AB64" i="1"/>
  <c r="M81" i="4"/>
  <c r="U52" i="1"/>
  <c r="AB74" i="19"/>
  <c r="AT31" i="19"/>
  <c r="C21" i="12"/>
  <c r="K21" i="12" s="1"/>
  <c r="M106" i="11"/>
  <c r="M82" i="9"/>
  <c r="M55" i="10"/>
  <c r="C22" i="10"/>
  <c r="K22" i="10" s="1"/>
  <c r="C58" i="10"/>
  <c r="K58" i="10" s="1"/>
  <c r="M34" i="8"/>
  <c r="M99" i="7"/>
  <c r="M48" i="7"/>
  <c r="C101" i="6"/>
  <c r="K101" i="6" s="1"/>
  <c r="M100" i="2"/>
  <c r="C34" i="5"/>
  <c r="K34" i="5" s="1"/>
  <c r="M15" i="1"/>
  <c r="J52" i="11"/>
  <c r="K20" i="7"/>
  <c r="AB57" i="1"/>
  <c r="CL13" i="7"/>
  <c r="K63" i="2"/>
  <c r="C47" i="8"/>
  <c r="K47" i="8" s="1"/>
  <c r="C99" i="4"/>
  <c r="K99" i="4" s="1"/>
  <c r="AS8" i="19"/>
  <c r="AS7" i="19" s="1"/>
  <c r="C65" i="10"/>
  <c r="K65" i="10" s="1"/>
  <c r="U52" i="10"/>
  <c r="U52" i="8"/>
  <c r="M32" i="8"/>
  <c r="C76" i="2"/>
  <c r="K76" i="2" s="1"/>
  <c r="C88" i="2"/>
  <c r="K88" i="2" s="1"/>
  <c r="M61" i="2"/>
  <c r="F8" i="7"/>
  <c r="F7" i="7" s="1"/>
  <c r="K43" i="7"/>
  <c r="Z41" i="1"/>
  <c r="AS31" i="18"/>
  <c r="K95" i="13"/>
  <c r="AB8" i="15"/>
  <c r="AB7" i="15" s="1"/>
  <c r="J74" i="13"/>
  <c r="U31" i="13"/>
  <c r="M88" i="9"/>
  <c r="C77" i="7"/>
  <c r="K77" i="7" s="1"/>
  <c r="M100" i="6"/>
  <c r="C38" i="6"/>
  <c r="K38" i="6" s="1"/>
  <c r="M30" i="2"/>
  <c r="M68" i="1"/>
  <c r="K67" i="7"/>
  <c r="AE8" i="7"/>
  <c r="AE7" i="7" s="1"/>
  <c r="Y52" i="3"/>
  <c r="AN52" i="7"/>
  <c r="C105" i="13"/>
  <c r="K105" i="13" s="1"/>
  <c r="K55" i="12"/>
  <c r="C72" i="12"/>
  <c r="K72" i="12" s="1"/>
  <c r="C79" i="10"/>
  <c r="K79" i="10" s="1"/>
  <c r="M21" i="10"/>
  <c r="M34" i="9"/>
  <c r="M63" i="5"/>
  <c r="M43" i="1"/>
  <c r="M28" i="2"/>
  <c r="C16" i="2"/>
  <c r="K16" i="2" s="1"/>
  <c r="M101" i="1"/>
  <c r="BE52" i="17"/>
  <c r="AL52" i="4"/>
  <c r="Z22" i="1"/>
  <c r="M81" i="2"/>
  <c r="C67" i="6"/>
  <c r="K67" i="6" s="1"/>
  <c r="K38" i="7"/>
  <c r="C78" i="13"/>
  <c r="K78" i="13" s="1"/>
  <c r="M73" i="13"/>
  <c r="M14" i="8"/>
  <c r="C39" i="5"/>
  <c r="K39" i="5" s="1"/>
  <c r="M78" i="3"/>
  <c r="M73" i="3"/>
  <c r="M76" i="1"/>
  <c r="AG74" i="18"/>
  <c r="K61" i="7"/>
  <c r="CK8" i="7"/>
  <c r="CK7" i="7" s="1"/>
  <c r="AB47" i="1"/>
  <c r="AB38" i="1"/>
  <c r="CL52" i="7"/>
  <c r="K32" i="7"/>
  <c r="AB18" i="1"/>
  <c r="K85" i="13"/>
  <c r="K58" i="13"/>
  <c r="Y52" i="15"/>
  <c r="C100" i="13"/>
  <c r="K100" i="13" s="1"/>
  <c r="C55" i="13"/>
  <c r="K55" i="13" s="1"/>
  <c r="K54" i="13"/>
  <c r="M83" i="13"/>
  <c r="C69" i="12"/>
  <c r="K69" i="12" s="1"/>
  <c r="M67" i="9"/>
  <c r="M97" i="6"/>
  <c r="M106" i="4"/>
  <c r="C53" i="4"/>
  <c r="K53" i="4" s="1"/>
  <c r="C28" i="4"/>
  <c r="K28" i="4" s="1"/>
  <c r="M39" i="4"/>
  <c r="M25" i="2"/>
  <c r="C60" i="11"/>
  <c r="K60" i="11" s="1"/>
  <c r="U52" i="2"/>
  <c r="AL31" i="4"/>
  <c r="AG52" i="4"/>
  <c r="CI52" i="7"/>
  <c r="K80" i="12"/>
  <c r="K35" i="12"/>
  <c r="M56" i="11"/>
  <c r="M81" i="5"/>
  <c r="K76" i="7"/>
  <c r="M60" i="3"/>
  <c r="M18" i="3"/>
  <c r="M78" i="2"/>
  <c r="C17" i="1"/>
  <c r="K17" i="1" s="1"/>
  <c r="M56" i="2"/>
  <c r="M75" i="1"/>
  <c r="K37" i="2"/>
  <c r="Y74" i="7"/>
  <c r="K37" i="6"/>
  <c r="AL74" i="4"/>
  <c r="AB76" i="1"/>
  <c r="K99" i="13"/>
  <c r="C40" i="9"/>
  <c r="K40" i="9" s="1"/>
  <c r="M61" i="9"/>
  <c r="M91" i="8"/>
  <c r="C105" i="8"/>
  <c r="K105" i="8" s="1"/>
  <c r="M82" i="8"/>
  <c r="M61" i="6"/>
  <c r="K70" i="5"/>
  <c r="J9" i="3"/>
  <c r="M75" i="3"/>
  <c r="M15" i="3"/>
  <c r="M60" i="6"/>
  <c r="M78" i="6"/>
  <c r="M24" i="6"/>
  <c r="M102" i="3"/>
  <c r="C58" i="4"/>
  <c r="K58" i="4" s="1"/>
  <c r="M85" i="1"/>
  <c r="C104" i="3"/>
  <c r="K104" i="3" s="1"/>
  <c r="C65" i="1"/>
  <c r="K65" i="1" s="1"/>
  <c r="M27" i="2"/>
  <c r="M56" i="1"/>
  <c r="C25" i="8"/>
  <c r="K25" i="8" s="1"/>
  <c r="AK31" i="7"/>
  <c r="K18" i="6"/>
  <c r="Z23" i="1"/>
  <c r="AN52" i="17"/>
  <c r="M85" i="13"/>
  <c r="M23" i="8"/>
  <c r="C37" i="8"/>
  <c r="K37" i="8" s="1"/>
  <c r="M30" i="6"/>
  <c r="M103" i="5"/>
  <c r="M28" i="3"/>
  <c r="M84" i="2"/>
  <c r="C29" i="1"/>
  <c r="K29" i="1" s="1"/>
  <c r="M27" i="1"/>
  <c r="C97" i="1"/>
  <c r="K97" i="1" s="1"/>
  <c r="C53" i="1"/>
  <c r="K53" i="1" s="1"/>
  <c r="K26" i="7"/>
  <c r="AG74" i="4"/>
  <c r="K15" i="1"/>
  <c r="C93" i="13"/>
  <c r="K93" i="13" s="1"/>
  <c r="K58" i="7"/>
  <c r="C56" i="5"/>
  <c r="K56" i="5" s="1"/>
  <c r="C25" i="7"/>
  <c r="K25" i="7" s="1"/>
  <c r="M103" i="3"/>
  <c r="BT13" i="17"/>
  <c r="M27" i="13"/>
  <c r="K70" i="7"/>
  <c r="M25" i="9"/>
  <c r="K68" i="5"/>
  <c r="E8" i="4"/>
  <c r="E7" i="4" s="1"/>
  <c r="AB19" i="1"/>
  <c r="CC52" i="7"/>
  <c r="AE13" i="16"/>
  <c r="AG13" i="16" s="1"/>
  <c r="AB22" i="1"/>
  <c r="C59" i="3"/>
  <c r="K59" i="3" s="1"/>
  <c r="C49" i="4"/>
  <c r="K49" i="4" s="1"/>
  <c r="C71" i="1"/>
  <c r="K71" i="1" s="1"/>
  <c r="AP52" i="19"/>
  <c r="S8" i="12"/>
  <c r="S7" i="12" s="1"/>
  <c r="K24" i="7"/>
  <c r="AC74" i="4"/>
  <c r="T8" i="3"/>
  <c r="T7" i="3" s="1"/>
  <c r="U31" i="3"/>
  <c r="C66" i="1"/>
  <c r="K66" i="1" s="1"/>
  <c r="L8" i="4"/>
  <c r="L7" i="4" s="1"/>
  <c r="AB40" i="1"/>
  <c r="AI31" i="20"/>
  <c r="C75" i="12"/>
  <c r="K75" i="12" s="1"/>
  <c r="C81" i="11"/>
  <c r="K81" i="11" s="1"/>
  <c r="M35" i="7"/>
  <c r="C18" i="4"/>
  <c r="K18" i="4" s="1"/>
  <c r="C77" i="3"/>
  <c r="K77" i="3" s="1"/>
  <c r="K104" i="1"/>
  <c r="M44" i="1"/>
  <c r="M21" i="2"/>
  <c r="C58" i="5"/>
  <c r="K58" i="5" s="1"/>
  <c r="BT74" i="7"/>
  <c r="C84" i="4"/>
  <c r="K84" i="4" s="1"/>
  <c r="W13" i="12"/>
  <c r="M29" i="10"/>
  <c r="M70" i="7"/>
  <c r="M59" i="7"/>
  <c r="C16" i="7"/>
  <c r="K16" i="7" s="1"/>
  <c r="C94" i="5"/>
  <c r="K94" i="5" s="1"/>
  <c r="AC31" i="4"/>
  <c r="K66" i="10"/>
  <c r="Z24" i="1"/>
  <c r="AB15" i="1"/>
  <c r="M72" i="11"/>
  <c r="C103" i="11"/>
  <c r="K103" i="11" s="1"/>
  <c r="M87" i="9"/>
  <c r="O8" i="10"/>
  <c r="O7" i="10" s="1"/>
  <c r="F8" i="1"/>
  <c r="F7" i="1" s="1"/>
  <c r="C37" i="4"/>
  <c r="K37" i="4" s="1"/>
  <c r="T8" i="17"/>
  <c r="T7" i="17" s="1"/>
  <c r="Z13" i="10"/>
  <c r="J13" i="6"/>
  <c r="Z28" i="1"/>
  <c r="AB41" i="1"/>
  <c r="Z30" i="1"/>
  <c r="AB23" i="1"/>
  <c r="M53" i="2"/>
  <c r="K98" i="11"/>
  <c r="J31" i="9"/>
  <c r="M63" i="6"/>
  <c r="AC8" i="7"/>
  <c r="AC7" i="7" s="1"/>
  <c r="AC13" i="4"/>
  <c r="AB51" i="1"/>
  <c r="J31" i="4"/>
  <c r="K41" i="6"/>
  <c r="M69" i="11"/>
  <c r="C34" i="12"/>
  <c r="K34" i="12" s="1"/>
  <c r="K15" i="12"/>
  <c r="E8" i="10"/>
  <c r="E7" i="10" s="1"/>
  <c r="M102" i="5"/>
  <c r="J52" i="5"/>
  <c r="M59" i="4"/>
  <c r="C83" i="3"/>
  <c r="K83" i="3" s="1"/>
  <c r="M72" i="2"/>
  <c r="M29" i="2"/>
  <c r="X8" i="18"/>
  <c r="X7" i="18" s="1"/>
  <c r="Y13" i="16"/>
  <c r="K73" i="12"/>
  <c r="U31" i="7"/>
  <c r="BH31" i="7"/>
  <c r="AV31" i="7"/>
  <c r="K15" i="7"/>
  <c r="U13" i="3"/>
  <c r="AB72" i="1"/>
  <c r="K18" i="5"/>
  <c r="N89" i="5"/>
  <c r="Z39" i="1"/>
  <c r="C80" i="11"/>
  <c r="K80" i="11" s="1"/>
  <c r="C34" i="10"/>
  <c r="K34" i="10" s="1"/>
  <c r="F8" i="8"/>
  <c r="F7" i="8" s="1"/>
  <c r="C45" i="5"/>
  <c r="K45" i="5" s="1"/>
  <c r="M17" i="7"/>
  <c r="J9" i="1"/>
  <c r="C45" i="4"/>
  <c r="K45" i="4" s="1"/>
  <c r="AI52" i="20"/>
  <c r="AS13" i="18"/>
  <c r="K50" i="7"/>
  <c r="AH52" i="7"/>
  <c r="U74" i="18"/>
  <c r="AO52" i="18"/>
  <c r="C38" i="13"/>
  <c r="K38" i="13" s="1"/>
  <c r="M65" i="11"/>
  <c r="T74" i="12"/>
  <c r="X8" i="12"/>
  <c r="X7" i="12" s="1"/>
  <c r="P89" i="7"/>
  <c r="M81" i="8"/>
  <c r="M20" i="11"/>
  <c r="M104" i="10"/>
  <c r="N31" i="7"/>
  <c r="M29" i="4"/>
  <c r="M85" i="3"/>
  <c r="K82" i="12"/>
  <c r="BS8" i="7"/>
  <c r="BS7" i="7" s="1"/>
  <c r="AA52" i="4"/>
  <c r="K81" i="13"/>
  <c r="AQ13" i="7"/>
  <c r="C25" i="13"/>
  <c r="K25" i="13" s="1"/>
  <c r="C63" i="4"/>
  <c r="K63" i="4" s="1"/>
  <c r="J31" i="1"/>
  <c r="M43" i="2"/>
  <c r="BW8" i="17"/>
  <c r="BW7" i="17" s="1"/>
  <c r="K39" i="4"/>
  <c r="M68" i="4"/>
  <c r="U74" i="14"/>
  <c r="K15" i="9"/>
  <c r="K34" i="6"/>
  <c r="U74" i="20"/>
  <c r="U74" i="19"/>
  <c r="C94" i="13"/>
  <c r="K94" i="13" s="1"/>
  <c r="AC52" i="13"/>
  <c r="C62" i="13"/>
  <c r="K62" i="13" s="1"/>
  <c r="W31" i="12"/>
  <c r="C73" i="10"/>
  <c r="K73" i="10" s="1"/>
  <c r="M51" i="10"/>
  <c r="C83" i="8"/>
  <c r="K83" i="8" s="1"/>
  <c r="C82" i="7"/>
  <c r="K82" i="7" s="1"/>
  <c r="K30" i="4"/>
  <c r="AQ31" i="1"/>
  <c r="C69" i="1"/>
  <c r="K69" i="1" s="1"/>
  <c r="AB74" i="20"/>
  <c r="Y13" i="15"/>
  <c r="F8" i="10"/>
  <c r="F7" i="10" s="1"/>
  <c r="AH74" i="7"/>
  <c r="Y31" i="7"/>
  <c r="AJ8" i="1"/>
  <c r="AJ7" i="1" s="1"/>
  <c r="Z40" i="1"/>
  <c r="BN52" i="7"/>
  <c r="S8" i="13"/>
  <c r="S7" i="13" s="1"/>
  <c r="M62" i="12"/>
  <c r="M101" i="11"/>
  <c r="J31" i="12"/>
  <c r="K29" i="12"/>
  <c r="C99" i="11"/>
  <c r="K99" i="11" s="1"/>
  <c r="M85" i="10"/>
  <c r="M35" i="8"/>
  <c r="M28" i="11"/>
  <c r="M16" i="11"/>
  <c r="M60" i="7"/>
  <c r="M75" i="5"/>
  <c r="M101" i="5"/>
  <c r="M20" i="7"/>
  <c r="E8" i="3"/>
  <c r="E7" i="3" s="1"/>
  <c r="K17" i="7"/>
  <c r="C91" i="4"/>
  <c r="K91" i="4" s="1"/>
  <c r="J74" i="2"/>
  <c r="M50" i="1"/>
  <c r="K49" i="2"/>
  <c r="C84" i="1"/>
  <c r="K84" i="1" s="1"/>
  <c r="K55" i="10"/>
  <c r="K23" i="10"/>
  <c r="K30" i="7"/>
  <c r="K40" i="6"/>
  <c r="K33" i="4"/>
  <c r="M95" i="13"/>
  <c r="C56" i="13"/>
  <c r="K56" i="13" s="1"/>
  <c r="C51" i="13"/>
  <c r="K51" i="13" s="1"/>
  <c r="N89" i="12"/>
  <c r="K28" i="12"/>
  <c r="M70" i="13"/>
  <c r="M27" i="11"/>
  <c r="M15" i="11"/>
  <c r="N9" i="9"/>
  <c r="M70" i="9"/>
  <c r="M58" i="9"/>
  <c r="C27" i="9"/>
  <c r="K27" i="9" s="1"/>
  <c r="C88" i="8"/>
  <c r="K88" i="8" s="1"/>
  <c r="K101" i="10"/>
  <c r="C66" i="5"/>
  <c r="K66" i="5" s="1"/>
  <c r="M15" i="7"/>
  <c r="M95" i="4"/>
  <c r="M96" i="4"/>
  <c r="M18" i="5"/>
  <c r="C18" i="1"/>
  <c r="K18" i="1" s="1"/>
  <c r="C39" i="1"/>
  <c r="K39" i="1" s="1"/>
  <c r="M15" i="2"/>
  <c r="M70" i="1"/>
  <c r="AF8" i="17"/>
  <c r="AF7" i="17" s="1"/>
  <c r="AB31" i="17"/>
  <c r="W8" i="13"/>
  <c r="W7" i="13" s="1"/>
  <c r="K56" i="11"/>
  <c r="C36" i="9"/>
  <c r="K36" i="9" s="1"/>
  <c r="AN31" i="7"/>
  <c r="AF8" i="7"/>
  <c r="AF7" i="7" s="1"/>
  <c r="N13" i="4"/>
  <c r="M63" i="13"/>
  <c r="AD8" i="7"/>
  <c r="AD7" i="7" s="1"/>
  <c r="K77" i="6"/>
  <c r="K28" i="6"/>
  <c r="AK52" i="7"/>
  <c r="AE52" i="16"/>
  <c r="J52" i="7"/>
  <c r="BY8" i="7"/>
  <c r="BY7" i="7" s="1"/>
  <c r="K25" i="9"/>
  <c r="C27" i="5"/>
  <c r="K27" i="5" s="1"/>
  <c r="K15" i="4"/>
  <c r="K77" i="12"/>
  <c r="K23" i="6"/>
  <c r="AQ52" i="7"/>
  <c r="CF52" i="7"/>
  <c r="N52" i="7"/>
  <c r="K19" i="7"/>
  <c r="M79" i="13"/>
  <c r="Y31" i="13"/>
  <c r="N9" i="11"/>
  <c r="M61" i="11"/>
  <c r="K60" i="12"/>
  <c r="M75" i="11"/>
  <c r="M80" i="10"/>
  <c r="C91" i="10"/>
  <c r="K91" i="10" s="1"/>
  <c r="C68" i="9"/>
  <c r="K68" i="9" s="1"/>
  <c r="C84" i="8"/>
  <c r="K84" i="8" s="1"/>
  <c r="C54" i="8"/>
  <c r="K54" i="8" s="1"/>
  <c r="M22" i="8"/>
  <c r="C30" i="8"/>
  <c r="K30" i="8" s="1"/>
  <c r="K48" i="7"/>
  <c r="M77" i="6"/>
  <c r="M73" i="6"/>
  <c r="AB74" i="2"/>
  <c r="M83" i="2"/>
  <c r="C77" i="4"/>
  <c r="K77" i="4" s="1"/>
  <c r="C44" i="4"/>
  <c r="K44" i="4" s="1"/>
  <c r="C29" i="3"/>
  <c r="K29" i="3" s="1"/>
  <c r="C33" i="1"/>
  <c r="K33" i="1" s="1"/>
  <c r="C34" i="1"/>
  <c r="K34" i="1" s="1"/>
  <c r="BG31" i="17"/>
  <c r="C45" i="9"/>
  <c r="K45" i="9" s="1"/>
  <c r="AY31" i="7"/>
  <c r="C72" i="1"/>
  <c r="K72" i="1" s="1"/>
  <c r="BE13" i="7"/>
  <c r="C98" i="13"/>
  <c r="K98" i="13" s="1"/>
  <c r="K70" i="12"/>
  <c r="K46" i="12"/>
  <c r="N89" i="7"/>
  <c r="AI52" i="19"/>
  <c r="AM8" i="18"/>
  <c r="AM7" i="18" s="1"/>
  <c r="AE7" i="14"/>
  <c r="AE6" i="14" s="1"/>
  <c r="C99" i="12"/>
  <c r="K99" i="12" s="1"/>
  <c r="C34" i="13"/>
  <c r="K34" i="13" s="1"/>
  <c r="K67" i="12"/>
  <c r="M20" i="12"/>
  <c r="C63" i="12"/>
  <c r="K63" i="12" s="1"/>
  <c r="M66" i="10"/>
  <c r="C46" i="10"/>
  <c r="K46" i="10" s="1"/>
  <c r="M20" i="9"/>
  <c r="T8" i="7"/>
  <c r="T7" i="7" s="1"/>
  <c r="M65" i="8"/>
  <c r="M34" i="6"/>
  <c r="Y31" i="1"/>
  <c r="C28" i="5"/>
  <c r="K28" i="5" s="1"/>
  <c r="C71" i="3"/>
  <c r="K71" i="3" s="1"/>
  <c r="M64" i="1"/>
  <c r="AT8" i="17"/>
  <c r="AT7" i="17" s="1"/>
  <c r="CD8" i="7"/>
  <c r="CD7" i="7" s="1"/>
  <c r="Z50" i="1"/>
  <c r="K34" i="9"/>
  <c r="U52" i="7"/>
  <c r="AW52" i="19"/>
  <c r="AG31" i="18"/>
  <c r="C18" i="13"/>
  <c r="K18" i="13" s="1"/>
  <c r="M58" i="11"/>
  <c r="K40" i="12"/>
  <c r="K16" i="12"/>
  <c r="J9" i="9"/>
  <c r="M46" i="9"/>
  <c r="C85" i="8"/>
  <c r="K85" i="8" s="1"/>
  <c r="M29" i="6"/>
  <c r="M87" i="5"/>
  <c r="AD8" i="2"/>
  <c r="AD7" i="2" s="1"/>
  <c r="N89" i="10"/>
  <c r="AC31" i="3"/>
  <c r="Y52" i="7"/>
  <c r="BK52" i="7"/>
  <c r="AC8" i="15"/>
  <c r="AC7" i="15" s="1"/>
  <c r="J52" i="13"/>
  <c r="N52" i="13"/>
  <c r="M90" i="11"/>
  <c r="M70" i="12"/>
  <c r="M46" i="12"/>
  <c r="M51" i="11"/>
  <c r="C86" i="10"/>
  <c r="K86" i="10" s="1"/>
  <c r="M40" i="11"/>
  <c r="K19" i="9"/>
  <c r="M97" i="8"/>
  <c r="M76" i="8"/>
  <c r="K57" i="7"/>
  <c r="M71" i="6"/>
  <c r="K22" i="6"/>
  <c r="M28" i="6"/>
  <c r="C62" i="5"/>
  <c r="K62" i="5" s="1"/>
  <c r="M19" i="7"/>
  <c r="M58" i="6"/>
  <c r="M16" i="6"/>
  <c r="H8" i="3"/>
  <c r="H7" i="3" s="1"/>
  <c r="N7" i="3" s="1"/>
  <c r="J52" i="2"/>
  <c r="C82" i="2"/>
  <c r="K82" i="2" s="1"/>
  <c r="M24" i="2"/>
  <c r="M90" i="3"/>
  <c r="W74" i="1"/>
  <c r="Z18" i="1"/>
  <c r="C103" i="2"/>
  <c r="K103" i="2" s="1"/>
  <c r="X74" i="1"/>
  <c r="C78" i="1"/>
  <c r="K78" i="1" s="1"/>
  <c r="C41" i="1"/>
  <c r="K41" i="1" s="1"/>
  <c r="BJ8" i="17"/>
  <c r="BJ7" i="17" s="1"/>
  <c r="AO8" i="16"/>
  <c r="AO7" i="16" s="1"/>
  <c r="AA8" i="9"/>
  <c r="AA7" i="9" s="1"/>
  <c r="C106" i="8"/>
  <c r="K106" i="8" s="1"/>
  <c r="J13" i="7"/>
  <c r="J13" i="5"/>
  <c r="N52" i="6"/>
  <c r="AV74" i="7"/>
  <c r="C70" i="2"/>
  <c r="K70" i="2" s="1"/>
  <c r="K71" i="13"/>
  <c r="K47" i="6"/>
  <c r="AA52" i="1"/>
  <c r="K37" i="12"/>
  <c r="AB52" i="20"/>
  <c r="BX8" i="17"/>
  <c r="BX7" i="17" s="1"/>
  <c r="C65" i="13"/>
  <c r="K65" i="13" s="1"/>
  <c r="C44" i="13"/>
  <c r="K44" i="13" s="1"/>
  <c r="M96" i="11"/>
  <c r="K73" i="13"/>
  <c r="K26" i="12"/>
  <c r="M77" i="11"/>
  <c r="M23" i="11"/>
  <c r="N31" i="10"/>
  <c r="C43" i="9"/>
  <c r="K43" i="9" s="1"/>
  <c r="M23" i="10"/>
  <c r="C48" i="8"/>
  <c r="K48" i="8" s="1"/>
  <c r="M29" i="8"/>
  <c r="M26" i="11"/>
  <c r="M83" i="10"/>
  <c r="M23" i="9"/>
  <c r="M69" i="7"/>
  <c r="M56" i="7"/>
  <c r="C47" i="7"/>
  <c r="K47" i="7" s="1"/>
  <c r="C42" i="7"/>
  <c r="K42" i="7" s="1"/>
  <c r="M70" i="3"/>
  <c r="C44" i="3"/>
  <c r="K44" i="3" s="1"/>
  <c r="M77" i="2"/>
  <c r="K20" i="4"/>
  <c r="M85" i="2"/>
  <c r="M96" i="1"/>
  <c r="K27" i="2"/>
  <c r="AE8" i="18"/>
  <c r="AE7" i="18" s="1"/>
  <c r="AS8" i="17"/>
  <c r="AS7" i="17" s="1"/>
  <c r="AJ8" i="18"/>
  <c r="AJ7" i="18" s="1"/>
  <c r="J31" i="10"/>
  <c r="N89" i="8"/>
  <c r="AI52" i="4"/>
  <c r="CC13" i="7"/>
  <c r="N89" i="6"/>
  <c r="AB28" i="1"/>
  <c r="AP8" i="1"/>
  <c r="AP7" i="1" s="1"/>
  <c r="T8" i="18"/>
  <c r="T7" i="18" s="1"/>
  <c r="AA8" i="15"/>
  <c r="AA7" i="15" s="1"/>
  <c r="M81" i="13"/>
  <c r="M85" i="12"/>
  <c r="M77" i="12"/>
  <c r="M48" i="12"/>
  <c r="C78" i="12"/>
  <c r="K78" i="12" s="1"/>
  <c r="C40" i="10"/>
  <c r="K40" i="10" s="1"/>
  <c r="C42" i="10"/>
  <c r="K42" i="10" s="1"/>
  <c r="M94" i="9"/>
  <c r="M70" i="8"/>
  <c r="E8" i="6"/>
  <c r="E7" i="6" s="1"/>
  <c r="M83" i="5"/>
  <c r="C81" i="6"/>
  <c r="K81" i="6" s="1"/>
  <c r="M26" i="7"/>
  <c r="C54" i="5"/>
  <c r="K54" i="5" s="1"/>
  <c r="C37" i="5"/>
  <c r="K37" i="5" s="1"/>
  <c r="K46" i="6"/>
  <c r="C55" i="5"/>
  <c r="K55" i="5" s="1"/>
  <c r="C95" i="6"/>
  <c r="K95" i="6" s="1"/>
  <c r="C41" i="4"/>
  <c r="K41" i="4" s="1"/>
  <c r="C17" i="4"/>
  <c r="K17" i="4" s="1"/>
  <c r="Z76" i="1"/>
  <c r="AG52" i="18"/>
  <c r="AC74" i="10"/>
  <c r="AR8" i="7"/>
  <c r="AR7" i="7" s="1"/>
  <c r="BN13" i="7"/>
  <c r="AH8" i="4"/>
  <c r="AH7" i="4" s="1"/>
  <c r="AK52" i="18"/>
  <c r="C49" i="8"/>
  <c r="K49" i="8" s="1"/>
  <c r="K59" i="12"/>
  <c r="M98" i="11"/>
  <c r="T74" i="11"/>
  <c r="T52" i="12"/>
  <c r="M50" i="10"/>
  <c r="M106" i="10"/>
  <c r="C36" i="10"/>
  <c r="K36" i="10" s="1"/>
  <c r="C26" i="10"/>
  <c r="K26" i="10" s="1"/>
  <c r="C62" i="9"/>
  <c r="K62" i="9" s="1"/>
  <c r="C99" i="9"/>
  <c r="K99" i="9" s="1"/>
  <c r="M100" i="10"/>
  <c r="M78" i="10"/>
  <c r="M72" i="7"/>
  <c r="M67" i="7"/>
  <c r="M63" i="7"/>
  <c r="M23" i="6"/>
  <c r="C96" i="6"/>
  <c r="K96" i="6" s="1"/>
  <c r="M91" i="5"/>
  <c r="C45" i="6"/>
  <c r="K45" i="6" s="1"/>
  <c r="M49" i="3"/>
  <c r="M99" i="2"/>
  <c r="M94" i="1"/>
  <c r="C21" i="4"/>
  <c r="K21" i="4" s="1"/>
  <c r="O8" i="2"/>
  <c r="O7" i="2" s="1"/>
  <c r="K68" i="1"/>
  <c r="M32" i="1"/>
  <c r="M63" i="2"/>
  <c r="D13" i="2"/>
  <c r="M13" i="2" s="1"/>
  <c r="BE31" i="17"/>
  <c r="K83" i="13"/>
  <c r="K32" i="11"/>
  <c r="K58" i="12"/>
  <c r="BZ31" i="7"/>
  <c r="CI31" i="7"/>
  <c r="BH13" i="7"/>
  <c r="U13" i="7"/>
  <c r="C87" i="4"/>
  <c r="K87" i="4" s="1"/>
  <c r="AI13" i="4"/>
  <c r="BZ8" i="17"/>
  <c r="BZ7" i="17" s="1"/>
  <c r="AV13" i="7"/>
  <c r="AK74" i="7"/>
  <c r="BA52" i="19"/>
  <c r="C106" i="13"/>
  <c r="K106" i="13" s="1"/>
  <c r="K20" i="12"/>
  <c r="M55" i="11"/>
  <c r="C35" i="9"/>
  <c r="K35" i="9" s="1"/>
  <c r="C33" i="9"/>
  <c r="K33" i="9" s="1"/>
  <c r="J9" i="4"/>
  <c r="M72" i="3"/>
  <c r="C17" i="3"/>
  <c r="K17" i="3" s="1"/>
  <c r="K65" i="5"/>
  <c r="AB31" i="19"/>
  <c r="M15" i="13"/>
  <c r="K72" i="10"/>
  <c r="K43" i="4"/>
  <c r="AD8" i="3"/>
  <c r="AD7" i="3" s="1"/>
  <c r="AC52" i="4"/>
  <c r="H8" i="4"/>
  <c r="AS74" i="18"/>
  <c r="AC74" i="18"/>
  <c r="AD8" i="18"/>
  <c r="K34" i="7"/>
  <c r="K25" i="5"/>
  <c r="C29" i="7"/>
  <c r="K29" i="7" s="1"/>
  <c r="M29" i="7"/>
  <c r="U13" i="18"/>
  <c r="R8" i="18"/>
  <c r="M90" i="13"/>
  <c r="C90" i="13"/>
  <c r="K90" i="13" s="1"/>
  <c r="D89" i="13"/>
  <c r="D9" i="13" s="1"/>
  <c r="C9" i="13" s="1"/>
  <c r="M90" i="12"/>
  <c r="C90" i="12"/>
  <c r="K90" i="12" s="1"/>
  <c r="M24" i="13"/>
  <c r="C24" i="13"/>
  <c r="K24" i="13" s="1"/>
  <c r="M27" i="12"/>
  <c r="C27" i="12"/>
  <c r="K27" i="12" s="1"/>
  <c r="C103" i="10"/>
  <c r="K103" i="10" s="1"/>
  <c r="M103" i="10"/>
  <c r="Q52" i="12"/>
  <c r="I8" i="12"/>
  <c r="I7" i="12" s="1"/>
  <c r="Q7" i="12" s="1"/>
  <c r="C64" i="9"/>
  <c r="K64" i="9" s="1"/>
  <c r="M64" i="9"/>
  <c r="C94" i="4"/>
  <c r="K94" i="4" s="1"/>
  <c r="M94" i="4"/>
  <c r="D89" i="4"/>
  <c r="D9" i="4" s="1"/>
  <c r="C9" i="4" s="1"/>
  <c r="M78" i="5"/>
  <c r="C78" i="5"/>
  <c r="K78" i="5" s="1"/>
  <c r="C71" i="7"/>
  <c r="K71" i="7" s="1"/>
  <c r="M71" i="7"/>
  <c r="K65" i="7"/>
  <c r="C54" i="7"/>
  <c r="K54" i="7" s="1"/>
  <c r="M54" i="7"/>
  <c r="M96" i="10"/>
  <c r="C96" i="10"/>
  <c r="K96" i="10" s="1"/>
  <c r="C27" i="8"/>
  <c r="K27" i="8" s="1"/>
  <c r="M27" i="8"/>
  <c r="C63" i="8"/>
  <c r="K63" i="8" s="1"/>
  <c r="M63" i="8"/>
  <c r="C59" i="5"/>
  <c r="K59" i="5" s="1"/>
  <c r="M59" i="5"/>
  <c r="M76" i="4"/>
  <c r="C76" i="4"/>
  <c r="K76" i="4" s="1"/>
  <c r="M87" i="2"/>
  <c r="C87" i="2"/>
  <c r="K87" i="2" s="1"/>
  <c r="M33" i="5"/>
  <c r="C33" i="5"/>
  <c r="K33" i="5" s="1"/>
  <c r="M42" i="4"/>
  <c r="C42" i="4"/>
  <c r="K42" i="4" s="1"/>
  <c r="J89" i="1"/>
  <c r="M19" i="4"/>
  <c r="C19" i="4"/>
  <c r="K19" i="4" s="1"/>
  <c r="M60" i="5"/>
  <c r="C45" i="11"/>
  <c r="K45" i="11" s="1"/>
  <c r="M45" i="11"/>
  <c r="M95" i="11"/>
  <c r="C95" i="11"/>
  <c r="K95" i="11" s="1"/>
  <c r="C41" i="11"/>
  <c r="K41" i="11" s="1"/>
  <c r="M41" i="11"/>
  <c r="M90" i="10"/>
  <c r="C90" i="10"/>
  <c r="K90" i="10" s="1"/>
  <c r="M61" i="10"/>
  <c r="C61" i="10"/>
  <c r="K61" i="10" s="1"/>
  <c r="M20" i="10"/>
  <c r="C20" i="10"/>
  <c r="K20" i="10" s="1"/>
  <c r="M59" i="9"/>
  <c r="C59" i="9"/>
  <c r="K59" i="9" s="1"/>
  <c r="C69" i="8"/>
  <c r="K69" i="8" s="1"/>
  <c r="M69" i="8"/>
  <c r="C102" i="7"/>
  <c r="K102" i="7" s="1"/>
  <c r="M102" i="7"/>
  <c r="C93" i="10"/>
  <c r="K93" i="10" s="1"/>
  <c r="C81" i="10"/>
  <c r="K81" i="10" s="1"/>
  <c r="M81" i="10"/>
  <c r="C19" i="10"/>
  <c r="K19" i="10" s="1"/>
  <c r="M19" i="10"/>
  <c r="C81" i="9"/>
  <c r="K81" i="9" s="1"/>
  <c r="M81" i="9"/>
  <c r="M50" i="4"/>
  <c r="C50" i="4"/>
  <c r="K50" i="4" s="1"/>
  <c r="M34" i="4"/>
  <c r="C34" i="4"/>
  <c r="K34" i="4" s="1"/>
  <c r="M86" i="3"/>
  <c r="C86" i="3"/>
  <c r="K86" i="3" s="1"/>
  <c r="M62" i="3"/>
  <c r="C62" i="3"/>
  <c r="K62" i="3" s="1"/>
  <c r="C30" i="3"/>
  <c r="K30" i="3" s="1"/>
  <c r="M30" i="3"/>
  <c r="M42" i="1"/>
  <c r="C42" i="1"/>
  <c r="K42" i="1" s="1"/>
  <c r="M46" i="4"/>
  <c r="C46" i="4"/>
  <c r="K46" i="4" s="1"/>
  <c r="C69" i="2"/>
  <c r="K69" i="2" s="1"/>
  <c r="M69" i="2"/>
  <c r="M37" i="13"/>
  <c r="C37" i="13"/>
  <c r="K37" i="13" s="1"/>
  <c r="C22" i="12"/>
  <c r="K22" i="12" s="1"/>
  <c r="M22" i="12"/>
  <c r="C27" i="10"/>
  <c r="K27" i="10" s="1"/>
  <c r="M27" i="10"/>
  <c r="C101" i="8"/>
  <c r="K101" i="8" s="1"/>
  <c r="M101" i="8"/>
  <c r="M80" i="6"/>
  <c r="C80" i="6"/>
  <c r="K80" i="6" s="1"/>
  <c r="M72" i="9"/>
  <c r="C72" i="9"/>
  <c r="K72" i="9" s="1"/>
  <c r="C21" i="9"/>
  <c r="K21" i="9" s="1"/>
  <c r="M21" i="9"/>
  <c r="M18" i="8"/>
  <c r="C18" i="8"/>
  <c r="K18" i="8" s="1"/>
  <c r="M20" i="6"/>
  <c r="C20" i="6"/>
  <c r="K20" i="6" s="1"/>
  <c r="M72" i="13"/>
  <c r="C72" i="13"/>
  <c r="K72" i="13" s="1"/>
  <c r="C33" i="13"/>
  <c r="K33" i="13" s="1"/>
  <c r="M33" i="13"/>
  <c r="C53" i="12"/>
  <c r="K53" i="12" s="1"/>
  <c r="M53" i="12"/>
  <c r="C105" i="11"/>
  <c r="K105" i="11" s="1"/>
  <c r="M105" i="11"/>
  <c r="M63" i="10"/>
  <c r="C63" i="10"/>
  <c r="K63" i="10" s="1"/>
  <c r="C25" i="10"/>
  <c r="K25" i="10" s="1"/>
  <c r="M25" i="10"/>
  <c r="C100" i="12"/>
  <c r="K100" i="12" s="1"/>
  <c r="M100" i="12"/>
  <c r="C21" i="8"/>
  <c r="K21" i="8" s="1"/>
  <c r="M21" i="8"/>
  <c r="M87" i="7"/>
  <c r="C87" i="7"/>
  <c r="K87" i="7" s="1"/>
  <c r="C88" i="6"/>
  <c r="K88" i="6" s="1"/>
  <c r="M88" i="6"/>
  <c r="C92" i="5"/>
  <c r="K92" i="5" s="1"/>
  <c r="M92" i="5"/>
  <c r="M38" i="5"/>
  <c r="C38" i="5"/>
  <c r="K38" i="5" s="1"/>
  <c r="M86" i="6"/>
  <c r="C86" i="6"/>
  <c r="K86" i="6" s="1"/>
  <c r="M16" i="4"/>
  <c r="C16" i="4"/>
  <c r="K16" i="4" s="1"/>
  <c r="D74" i="1"/>
  <c r="M74" i="1" s="1"/>
  <c r="C81" i="1"/>
  <c r="K81" i="1" s="1"/>
  <c r="M85" i="11"/>
  <c r="M97" i="9"/>
  <c r="C44" i="8"/>
  <c r="K44" i="8" s="1"/>
  <c r="Y31" i="6"/>
  <c r="CF31" i="7"/>
  <c r="C64" i="12"/>
  <c r="K64" i="12" s="1"/>
  <c r="M64" i="12"/>
  <c r="C54" i="12"/>
  <c r="K54" i="12" s="1"/>
  <c r="M54" i="12"/>
  <c r="M42" i="12"/>
  <c r="C42" i="12"/>
  <c r="K42" i="12" s="1"/>
  <c r="C76" i="11"/>
  <c r="K76" i="11" s="1"/>
  <c r="M76" i="11"/>
  <c r="C54" i="11"/>
  <c r="K54" i="11" s="1"/>
  <c r="M54" i="11"/>
  <c r="C25" i="11"/>
  <c r="K25" i="11" s="1"/>
  <c r="M25" i="11"/>
  <c r="C94" i="10"/>
  <c r="K94" i="10" s="1"/>
  <c r="M94" i="10"/>
  <c r="C48" i="1"/>
  <c r="K48" i="1" s="1"/>
  <c r="K101" i="5"/>
  <c r="C21" i="7"/>
  <c r="K21" i="7" s="1"/>
  <c r="M21" i="7"/>
  <c r="M79" i="5"/>
  <c r="C79" i="5"/>
  <c r="K79" i="5" s="1"/>
  <c r="M104" i="4"/>
  <c r="C104" i="4"/>
  <c r="K104" i="4" s="1"/>
  <c r="C84" i="3"/>
  <c r="K84" i="3" s="1"/>
  <c r="M84" i="3"/>
  <c r="C61" i="3"/>
  <c r="K61" i="3" s="1"/>
  <c r="M61" i="3"/>
  <c r="C40" i="3"/>
  <c r="K40" i="3" s="1"/>
  <c r="M40" i="3"/>
  <c r="C88" i="1"/>
  <c r="K88" i="1" s="1"/>
  <c r="M88" i="1"/>
  <c r="C101" i="2"/>
  <c r="K101" i="2" s="1"/>
  <c r="M101" i="2"/>
  <c r="C26" i="8"/>
  <c r="K26" i="8" s="1"/>
  <c r="Z52" i="19"/>
  <c r="K104" i="11"/>
  <c r="K25" i="12"/>
  <c r="AI8" i="7"/>
  <c r="K16" i="6"/>
  <c r="C106" i="2"/>
  <c r="K106" i="2" s="1"/>
  <c r="L8" i="6"/>
  <c r="L7" i="6" s="1"/>
  <c r="J31" i="6"/>
  <c r="M51" i="6"/>
  <c r="C51" i="6"/>
  <c r="K51" i="6" s="1"/>
  <c r="AN13" i="7"/>
  <c r="AM8" i="7"/>
  <c r="AM7" i="7" s="1"/>
  <c r="C67" i="2"/>
  <c r="K67" i="2" s="1"/>
  <c r="M67" i="2"/>
  <c r="C55" i="2"/>
  <c r="K55" i="2" s="1"/>
  <c r="M55" i="2"/>
  <c r="AA8" i="2"/>
  <c r="AA7" i="2" s="1"/>
  <c r="M25" i="4"/>
  <c r="C25" i="4"/>
  <c r="K25" i="4" s="1"/>
  <c r="C82" i="3"/>
  <c r="K82" i="3" s="1"/>
  <c r="M82" i="3"/>
  <c r="C64" i="3"/>
  <c r="K64" i="3" s="1"/>
  <c r="M64" i="3"/>
  <c r="C46" i="3"/>
  <c r="K46" i="3" s="1"/>
  <c r="M46" i="3"/>
  <c r="C19" i="3"/>
  <c r="K19" i="3" s="1"/>
  <c r="M19" i="3"/>
  <c r="C32" i="2"/>
  <c r="K32" i="2" s="1"/>
  <c r="M32" i="2"/>
  <c r="M38" i="3"/>
  <c r="C38" i="3"/>
  <c r="K38" i="3" s="1"/>
  <c r="C98" i="4"/>
  <c r="K98" i="4" s="1"/>
  <c r="C82" i="5"/>
  <c r="K82" i="5" s="1"/>
  <c r="M82" i="5"/>
  <c r="J89" i="7"/>
  <c r="X8" i="8"/>
  <c r="X7" i="8" s="1"/>
  <c r="K79" i="7"/>
  <c r="K60" i="6"/>
  <c r="N89" i="4"/>
  <c r="K69" i="11"/>
  <c r="AQ74" i="7"/>
  <c r="BA8" i="7"/>
  <c r="BA7" i="7" s="1"/>
  <c r="BN31" i="7"/>
  <c r="BH74" i="7"/>
  <c r="CC31" i="7"/>
  <c r="AP8" i="7"/>
  <c r="AP7" i="7" s="1"/>
  <c r="J52" i="1"/>
  <c r="AB13" i="7"/>
  <c r="BB52" i="7"/>
  <c r="AQ8" i="19"/>
  <c r="AQ7" i="19" s="1"/>
  <c r="AW13" i="19"/>
  <c r="AN8" i="16"/>
  <c r="AN7" i="16" s="1"/>
  <c r="K63" i="13"/>
  <c r="K85" i="12"/>
  <c r="K47" i="12"/>
  <c r="W74" i="9"/>
  <c r="K23" i="9"/>
  <c r="K48" i="6"/>
  <c r="X52" i="1"/>
  <c r="AI8" i="1"/>
  <c r="AI7" i="1" s="1"/>
  <c r="K27" i="1"/>
  <c r="X8" i="14"/>
  <c r="X7" i="14" s="1"/>
  <c r="AC31" i="13"/>
  <c r="K48" i="12"/>
  <c r="K66" i="6"/>
  <c r="CI13" i="7"/>
  <c r="D13" i="3"/>
  <c r="C13" i="3" s="1"/>
  <c r="K13" i="3" s="1"/>
  <c r="AA74" i="1"/>
  <c r="O8" i="4"/>
  <c r="O7" i="4" s="1"/>
  <c r="AB50" i="1"/>
  <c r="W31" i="1"/>
  <c r="T8" i="4"/>
  <c r="T7" i="4" s="1"/>
  <c r="Y31" i="2"/>
  <c r="K15" i="13"/>
  <c r="K17" i="5"/>
  <c r="X8" i="15"/>
  <c r="X7" i="15" s="1"/>
  <c r="W52" i="9"/>
  <c r="AH8" i="10"/>
  <c r="AH7" i="10" s="1"/>
  <c r="Y74" i="6"/>
  <c r="AS52" i="18"/>
  <c r="O8" i="12"/>
  <c r="O7" i="12" s="1"/>
  <c r="CN8" i="7"/>
  <c r="CN7" i="7" s="1"/>
  <c r="AB30" i="1"/>
  <c r="U31" i="19"/>
  <c r="BY8" i="17"/>
  <c r="BY7" i="17" s="1"/>
  <c r="J89" i="13"/>
  <c r="U52" i="14"/>
  <c r="K27" i="13"/>
  <c r="J89" i="11"/>
  <c r="D89" i="11"/>
  <c r="D9" i="11" s="1"/>
  <c r="C9" i="11" s="1"/>
  <c r="K104" i="9"/>
  <c r="K53" i="6"/>
  <c r="K82" i="4"/>
  <c r="K35" i="6"/>
  <c r="K72" i="6"/>
  <c r="AC13" i="10"/>
  <c r="D13" i="7"/>
  <c r="C13" i="7" s="1"/>
  <c r="K101" i="1"/>
  <c r="Y74" i="3"/>
  <c r="K14" i="13"/>
  <c r="AI74" i="19"/>
  <c r="Y74" i="15"/>
  <c r="AB8" i="13"/>
  <c r="AB7" i="13" s="1"/>
  <c r="K38" i="12"/>
  <c r="N31" i="11"/>
  <c r="K75" i="11"/>
  <c r="K36" i="11"/>
  <c r="J89" i="8"/>
  <c r="K51" i="7"/>
  <c r="Y74" i="5"/>
  <c r="T8" i="2"/>
  <c r="T7" i="2" s="1"/>
  <c r="U31" i="2"/>
  <c r="N13" i="2"/>
  <c r="N52" i="1"/>
  <c r="AO8" i="17"/>
  <c r="AO7" i="17" s="1"/>
  <c r="BG52" i="17"/>
  <c r="BV8" i="17"/>
  <c r="BV7" i="17" s="1"/>
  <c r="AR8" i="17"/>
  <c r="AR7" i="17" s="1"/>
  <c r="U31" i="14"/>
  <c r="AF8" i="16"/>
  <c r="AF7" i="16" s="1"/>
  <c r="D52" i="12"/>
  <c r="C52" i="12" s="1"/>
  <c r="F8" i="11"/>
  <c r="F7" i="11" s="1"/>
  <c r="O8" i="9"/>
  <c r="O7" i="9" s="1"/>
  <c r="BN74" i="7"/>
  <c r="BV8" i="7"/>
  <c r="BV7" i="7" s="1"/>
  <c r="J89" i="4"/>
  <c r="AU8" i="7"/>
  <c r="AU7" i="7" s="1"/>
  <c r="AB13" i="2"/>
  <c r="Z82" i="1"/>
  <c r="AF8" i="4"/>
  <c r="AF7" i="4" s="1"/>
  <c r="J52" i="12"/>
  <c r="N9" i="10"/>
  <c r="D74" i="7"/>
  <c r="C74" i="7" s="1"/>
  <c r="K59" i="7"/>
  <c r="N31" i="6"/>
  <c r="K41" i="7"/>
  <c r="T8" i="5"/>
  <c r="T7" i="5" s="1"/>
  <c r="Y31" i="5"/>
  <c r="N89" i="2"/>
  <c r="AG8" i="1"/>
  <c r="AG7" i="1" s="1"/>
  <c r="AN8" i="18"/>
  <c r="AN7" i="18" s="1"/>
  <c r="AE52" i="17"/>
  <c r="AD8" i="15"/>
  <c r="AD7" i="15" s="1"/>
  <c r="CH8" i="7"/>
  <c r="CH7" i="7" s="1"/>
  <c r="BG8" i="7"/>
  <c r="BG7" i="7" s="1"/>
  <c r="CL74" i="7"/>
  <c r="AC52" i="3"/>
  <c r="AK8" i="4"/>
  <c r="AK7" i="4" s="1"/>
  <c r="Z27" i="1"/>
  <c r="AI31" i="4"/>
  <c r="AA31" i="1"/>
  <c r="M71" i="2"/>
  <c r="C71" i="2"/>
  <c r="K71" i="2" s="1"/>
  <c r="AA8" i="18"/>
  <c r="AA7" i="18" s="1"/>
  <c r="AG13" i="18"/>
  <c r="N89" i="13"/>
  <c r="U74" i="13"/>
  <c r="D13" i="12"/>
  <c r="D31" i="11"/>
  <c r="M31" i="11" s="1"/>
  <c r="C94" i="11"/>
  <c r="K94" i="11" s="1"/>
  <c r="Y8" i="10"/>
  <c r="Y7" i="10" s="1"/>
  <c r="C28" i="10"/>
  <c r="K28" i="10" s="1"/>
  <c r="AB8" i="10"/>
  <c r="AB7" i="10" s="1"/>
  <c r="K20" i="9"/>
  <c r="M59" i="8"/>
  <c r="C51" i="9"/>
  <c r="K51" i="9" s="1"/>
  <c r="M96" i="7"/>
  <c r="M40" i="8"/>
  <c r="M17" i="8"/>
  <c r="D89" i="5"/>
  <c r="D9" i="5" s="1"/>
  <c r="M9" i="5" s="1"/>
  <c r="C39" i="6"/>
  <c r="K39" i="6" s="1"/>
  <c r="AE8" i="4"/>
  <c r="AE7" i="4" s="1"/>
  <c r="M101" i="3"/>
  <c r="AM8" i="1"/>
  <c r="AM7" i="1" s="1"/>
  <c r="M43" i="3"/>
  <c r="M100" i="1"/>
  <c r="C53" i="3"/>
  <c r="K53" i="3" s="1"/>
  <c r="M95" i="3"/>
  <c r="M25" i="3"/>
  <c r="C97" i="2"/>
  <c r="K97" i="2" s="1"/>
  <c r="D13" i="1"/>
  <c r="C13" i="1" s="1"/>
  <c r="N31" i="1"/>
  <c r="M44" i="2"/>
  <c r="U52" i="20"/>
  <c r="AB8" i="18"/>
  <c r="AB7" i="18" s="1"/>
  <c r="AK13" i="18"/>
  <c r="AM8" i="17"/>
  <c r="AM7" i="17" s="1"/>
  <c r="BN8" i="17"/>
  <c r="BN7" i="17" s="1"/>
  <c r="D13" i="10"/>
  <c r="C13" i="10" s="1"/>
  <c r="N89" i="9"/>
  <c r="J89" i="9"/>
  <c r="K68" i="7"/>
  <c r="K62" i="7"/>
  <c r="D52" i="7"/>
  <c r="C52" i="7" s="1"/>
  <c r="C61" i="8"/>
  <c r="K61" i="8" s="1"/>
  <c r="AB74" i="7"/>
  <c r="C98" i="7"/>
  <c r="K98" i="7" s="1"/>
  <c r="BD8" i="7"/>
  <c r="BD7" i="7" s="1"/>
  <c r="D52" i="4"/>
  <c r="M52" i="4" s="1"/>
  <c r="J89" i="3"/>
  <c r="D74" i="3"/>
  <c r="C74" i="3" s="1"/>
  <c r="K74" i="3" s="1"/>
  <c r="O8" i="3"/>
  <c r="O7" i="3" s="1"/>
  <c r="Y13" i="2"/>
  <c r="D89" i="1"/>
  <c r="D9" i="1" s="1"/>
  <c r="C9" i="1" s="1"/>
  <c r="G8" i="4"/>
  <c r="Z19" i="1"/>
  <c r="AB24" i="1"/>
  <c r="M104" i="12"/>
  <c r="C104" i="12"/>
  <c r="K104" i="12" s="1"/>
  <c r="AJ8" i="7"/>
  <c r="AJ7" i="7" s="1"/>
  <c r="M88" i="4"/>
  <c r="C88" i="4"/>
  <c r="K88" i="4" s="1"/>
  <c r="BP8" i="7"/>
  <c r="BP7" i="7" s="1"/>
  <c r="T8" i="20"/>
  <c r="T7" i="20" s="1"/>
  <c r="BA74" i="19"/>
  <c r="AD8" i="19"/>
  <c r="AD7" i="19" s="1"/>
  <c r="AT8" i="16"/>
  <c r="AT7" i="16" s="1"/>
  <c r="C77" i="13"/>
  <c r="K77" i="13" s="1"/>
  <c r="M64" i="11"/>
  <c r="K14" i="12"/>
  <c r="C26" i="13"/>
  <c r="K26" i="13" s="1"/>
  <c r="AB8" i="12"/>
  <c r="AB7" i="12" s="1"/>
  <c r="J89" i="12"/>
  <c r="M104" i="9"/>
  <c r="T74" i="9"/>
  <c r="M72" i="10"/>
  <c r="M92" i="8"/>
  <c r="M22" i="11"/>
  <c r="S8" i="9"/>
  <c r="S7" i="9" s="1"/>
  <c r="M95" i="8"/>
  <c r="BQ74" i="7"/>
  <c r="U74" i="7"/>
  <c r="M92" i="6"/>
  <c r="M53" i="6"/>
  <c r="M77" i="5"/>
  <c r="M99" i="6"/>
  <c r="C61" i="5"/>
  <c r="K61" i="5" s="1"/>
  <c r="M49" i="5"/>
  <c r="BQ31" i="7"/>
  <c r="M23" i="7"/>
  <c r="K63" i="6"/>
  <c r="X8" i="5"/>
  <c r="X7" i="5" s="1"/>
  <c r="K65" i="4"/>
  <c r="C80" i="3"/>
  <c r="K80" i="3" s="1"/>
  <c r="C25" i="3"/>
  <c r="K25" i="3" s="1"/>
  <c r="C28" i="1"/>
  <c r="K28" i="1" s="1"/>
  <c r="U74" i="16"/>
  <c r="AR8" i="18"/>
  <c r="AR7" i="18" s="1"/>
  <c r="AK8" i="17"/>
  <c r="AK7" i="17" s="1"/>
  <c r="BS8" i="17"/>
  <c r="BS7" i="17" s="1"/>
  <c r="T8" i="16"/>
  <c r="T7" i="16" s="1"/>
  <c r="AQ8" i="16"/>
  <c r="AQ7" i="16" s="1"/>
  <c r="T8" i="10"/>
  <c r="T7" i="10" s="1"/>
  <c r="U8" i="12"/>
  <c r="U7" i="12" s="1"/>
  <c r="CM8" i="7"/>
  <c r="CM7" i="7" s="1"/>
  <c r="X8" i="7"/>
  <c r="X7" i="7" s="1"/>
  <c r="F8" i="5"/>
  <c r="F7" i="5" s="1"/>
  <c r="J74" i="4"/>
  <c r="Z88" i="1"/>
  <c r="C17" i="2"/>
  <c r="K17" i="2" s="1"/>
  <c r="D52" i="1"/>
  <c r="Z8" i="4"/>
  <c r="Z7" i="4" s="1"/>
  <c r="Y8" i="12"/>
  <c r="Y7" i="12" s="1"/>
  <c r="AL74" i="19"/>
  <c r="AF8" i="18"/>
  <c r="AF7" i="18" s="1"/>
  <c r="T8" i="14"/>
  <c r="T7" i="14" s="1"/>
  <c r="N9" i="13"/>
  <c r="T8" i="13"/>
  <c r="T7" i="13" s="1"/>
  <c r="C47" i="13"/>
  <c r="K47" i="13" s="1"/>
  <c r="M73" i="12"/>
  <c r="M70" i="11"/>
  <c r="M56" i="12"/>
  <c r="J74" i="12"/>
  <c r="M35" i="11"/>
  <c r="C17" i="11"/>
  <c r="K17" i="11" s="1"/>
  <c r="C67" i="10"/>
  <c r="K67" i="10" s="1"/>
  <c r="M38" i="11"/>
  <c r="M57" i="9"/>
  <c r="C105" i="9"/>
  <c r="K105" i="9" s="1"/>
  <c r="J31" i="8"/>
  <c r="C93" i="8"/>
  <c r="K93" i="8" s="1"/>
  <c r="K56" i="7"/>
  <c r="M78" i="7"/>
  <c r="M44" i="7"/>
  <c r="D52" i="6"/>
  <c r="M52" i="6" s="1"/>
  <c r="D74" i="5"/>
  <c r="C74" i="5" s="1"/>
  <c r="K36" i="6"/>
  <c r="M33" i="3"/>
  <c r="J9" i="2"/>
  <c r="K23" i="5"/>
  <c r="C23" i="7"/>
  <c r="K23" i="7" s="1"/>
  <c r="K78" i="6"/>
  <c r="C35" i="4"/>
  <c r="K35" i="4" s="1"/>
  <c r="M34" i="3"/>
  <c r="P89" i="1"/>
  <c r="Y52" i="1"/>
  <c r="U31" i="1"/>
  <c r="D13" i="4"/>
  <c r="C13" i="4" s="1"/>
  <c r="AF8" i="1"/>
  <c r="AF7" i="1" s="1"/>
  <c r="M21" i="1"/>
  <c r="AC31" i="18"/>
  <c r="BO8" i="17"/>
  <c r="BO7" i="17" s="1"/>
  <c r="AJ8" i="17"/>
  <c r="AJ7" i="17" s="1"/>
  <c r="BM8" i="17"/>
  <c r="BM7" i="17" s="1"/>
  <c r="AL8" i="16"/>
  <c r="AL7" i="16" s="1"/>
  <c r="N89" i="11"/>
  <c r="E8" i="12"/>
  <c r="E7" i="12" s="1"/>
  <c r="T31" i="11"/>
  <c r="K43" i="12"/>
  <c r="C73" i="8"/>
  <c r="K73" i="8" s="1"/>
  <c r="AS8" i="7"/>
  <c r="AS7" i="7" s="1"/>
  <c r="O8" i="6"/>
  <c r="O7" i="6" s="1"/>
  <c r="C104" i="7"/>
  <c r="K104" i="7" s="1"/>
  <c r="CF74" i="7"/>
  <c r="R8" i="7"/>
  <c r="J31" i="3"/>
  <c r="AB42" i="1"/>
  <c r="U31" i="17"/>
  <c r="M28" i="9"/>
  <c r="C28" i="9"/>
  <c r="K28" i="9" s="1"/>
  <c r="BQ13" i="7"/>
  <c r="Z72" i="1"/>
  <c r="X8" i="13"/>
  <c r="X7" i="13" s="1"/>
  <c r="O8" i="13"/>
  <c r="O7" i="13" s="1"/>
  <c r="M68" i="11"/>
  <c r="K39" i="12"/>
  <c r="C29" i="11"/>
  <c r="K29" i="11" s="1"/>
  <c r="K88" i="9"/>
  <c r="K14" i="10"/>
  <c r="C91" i="9"/>
  <c r="K91" i="9" s="1"/>
  <c r="C22" i="9"/>
  <c r="K22" i="9" s="1"/>
  <c r="M100" i="7"/>
  <c r="D13" i="11"/>
  <c r="M13" i="11" s="1"/>
  <c r="M65" i="7"/>
  <c r="M61" i="7"/>
  <c r="K75" i="7"/>
  <c r="C106" i="5"/>
  <c r="K106" i="5" s="1"/>
  <c r="M30" i="7"/>
  <c r="M24" i="7"/>
  <c r="M47" i="5"/>
  <c r="M72" i="6"/>
  <c r="M25" i="5"/>
  <c r="D31" i="3"/>
  <c r="M31" i="3" s="1"/>
  <c r="C26" i="4"/>
  <c r="K26" i="4" s="1"/>
  <c r="K38" i="2"/>
  <c r="C16" i="1"/>
  <c r="K16" i="1" s="1"/>
  <c r="M50" i="2"/>
  <c r="C23" i="2"/>
  <c r="K23" i="2" s="1"/>
  <c r="BQ8" i="17"/>
  <c r="BQ7" i="17" s="1"/>
  <c r="AQ8" i="18"/>
  <c r="AQ7" i="18" s="1"/>
  <c r="AI8" i="17"/>
  <c r="AI7" i="17" s="1"/>
  <c r="AZ8" i="17"/>
  <c r="AZ7" i="17" s="1"/>
  <c r="BF8" i="17"/>
  <c r="BF7" i="17" s="1"/>
  <c r="N74" i="10"/>
  <c r="J89" i="6"/>
  <c r="AX8" i="7"/>
  <c r="AX7" i="7" s="1"/>
  <c r="J74" i="5"/>
  <c r="J89" i="10"/>
  <c r="O8" i="7"/>
  <c r="O7" i="7" s="1"/>
  <c r="D31" i="1"/>
  <c r="C31" i="1" s="1"/>
  <c r="Z26" i="1"/>
  <c r="Z38" i="1"/>
  <c r="F8" i="3"/>
  <c r="F7" i="3" s="1"/>
  <c r="Z45" i="1"/>
  <c r="D31" i="4"/>
  <c r="M31" i="4" s="1"/>
  <c r="X8" i="20"/>
  <c r="X7" i="20" s="1"/>
  <c r="AP74" i="19"/>
  <c r="AC52" i="18"/>
  <c r="W8" i="16"/>
  <c r="W7" i="16" s="1"/>
  <c r="W31" i="14"/>
  <c r="Y31" i="14" s="1"/>
  <c r="M71" i="13"/>
  <c r="D52" i="13"/>
  <c r="M52" i="13" s="1"/>
  <c r="C75" i="10"/>
  <c r="K75" i="10" s="1"/>
  <c r="AG8" i="10"/>
  <c r="AG7" i="10" s="1"/>
  <c r="C88" i="7"/>
  <c r="K88" i="7" s="1"/>
  <c r="AO8" i="7"/>
  <c r="AO7" i="7" s="1"/>
  <c r="M98" i="2"/>
  <c r="D74" i="4"/>
  <c r="C74" i="4" s="1"/>
  <c r="C64" i="2"/>
  <c r="K64" i="2" s="1"/>
  <c r="AY8" i="17"/>
  <c r="AY7" i="17" s="1"/>
  <c r="AH8" i="17"/>
  <c r="AH7" i="17" s="1"/>
  <c r="AX8" i="17"/>
  <c r="AX7" i="17" s="1"/>
  <c r="BL8" i="17"/>
  <c r="BL7" i="17" s="1"/>
  <c r="CE8" i="7"/>
  <c r="CE7" i="7" s="1"/>
  <c r="CB8" i="7"/>
  <c r="CB7" i="7" s="1"/>
  <c r="BL8" i="7"/>
  <c r="BL7" i="7" s="1"/>
  <c r="D89" i="3"/>
  <c r="D9" i="3" s="1"/>
  <c r="C9" i="3" s="1"/>
  <c r="K9" i="3" s="1"/>
  <c r="J89" i="2"/>
  <c r="H8" i="2"/>
  <c r="H7" i="2" s="1"/>
  <c r="N89" i="1"/>
  <c r="J52" i="4"/>
  <c r="AB33" i="1"/>
  <c r="AB27" i="1"/>
  <c r="K50" i="10"/>
  <c r="M47" i="2"/>
  <c r="C47" i="2"/>
  <c r="K47" i="2" s="1"/>
  <c r="AU8" i="17"/>
  <c r="AU7" i="17" s="1"/>
  <c r="AH8" i="20"/>
  <c r="AH7" i="20" s="1"/>
  <c r="AJ8" i="20"/>
  <c r="AJ7" i="20" s="1"/>
  <c r="Z8" i="15"/>
  <c r="Z7" i="15" s="1"/>
  <c r="AB7" i="14"/>
  <c r="AB6" i="14" s="1"/>
  <c r="C68" i="13"/>
  <c r="K68" i="13" s="1"/>
  <c r="M59" i="11"/>
  <c r="Z8" i="12"/>
  <c r="Z7" i="12" s="1"/>
  <c r="M82" i="12"/>
  <c r="D74" i="11"/>
  <c r="M74" i="11" s="1"/>
  <c r="C88" i="11"/>
  <c r="K88" i="11" s="1"/>
  <c r="K51" i="12"/>
  <c r="D89" i="10"/>
  <c r="D9" i="10" s="1"/>
  <c r="M9" i="10" s="1"/>
  <c r="M32" i="11"/>
  <c r="M69" i="9"/>
  <c r="J52" i="10"/>
  <c r="M15" i="10"/>
  <c r="V8" i="9"/>
  <c r="V7" i="9" s="1"/>
  <c r="J74" i="8"/>
  <c r="Y52" i="8"/>
  <c r="D13" i="9"/>
  <c r="M13" i="9" s="1"/>
  <c r="M68" i="7"/>
  <c r="M62" i="7"/>
  <c r="M53" i="7"/>
  <c r="AG8" i="7"/>
  <c r="AG7" i="7" s="1"/>
  <c r="J9" i="6"/>
  <c r="K69" i="6"/>
  <c r="O8" i="5"/>
  <c r="O7" i="5" s="1"/>
  <c r="C43" i="5"/>
  <c r="K43" i="5" s="1"/>
  <c r="W8" i="7"/>
  <c r="R8" i="6"/>
  <c r="R7" i="6" s="1"/>
  <c r="U7" i="6" s="1"/>
  <c r="K24" i="6"/>
  <c r="M65" i="4"/>
  <c r="C47" i="4"/>
  <c r="K47" i="4" s="1"/>
  <c r="C50" i="3"/>
  <c r="K50" i="3" s="1"/>
  <c r="AB8" i="3"/>
  <c r="AB7" i="3" s="1"/>
  <c r="R8" i="5"/>
  <c r="U8" i="5" s="1"/>
  <c r="M33" i="4"/>
  <c r="R8" i="3"/>
  <c r="M96" i="3"/>
  <c r="C47" i="1"/>
  <c r="K47" i="1" s="1"/>
  <c r="M102" i="1"/>
  <c r="AD8" i="17"/>
  <c r="AD7" i="17" s="1"/>
  <c r="Y31" i="17"/>
  <c r="U13" i="17"/>
  <c r="R8" i="17"/>
  <c r="AD8" i="16"/>
  <c r="AD7" i="16" s="1"/>
  <c r="BA13" i="17"/>
  <c r="AW8" i="17"/>
  <c r="AE13" i="17"/>
  <c r="M23" i="13"/>
  <c r="C23" i="13"/>
  <c r="K23" i="13" s="1"/>
  <c r="M79" i="8"/>
  <c r="C79" i="8"/>
  <c r="K79" i="8" s="1"/>
  <c r="D52" i="9"/>
  <c r="C52" i="9" s="1"/>
  <c r="BA31" i="19"/>
  <c r="BJ8" i="7"/>
  <c r="BJ7" i="7" s="1"/>
  <c r="AB26" i="1"/>
  <c r="T13" i="11"/>
  <c r="R8" i="11"/>
  <c r="R7" i="11" s="1"/>
  <c r="J89" i="5"/>
  <c r="AE52" i="19"/>
  <c r="AM13" i="16"/>
  <c r="AH8" i="16"/>
  <c r="AH7" i="16" s="1"/>
  <c r="Z8" i="16"/>
  <c r="U52" i="15"/>
  <c r="J9" i="13"/>
  <c r="N31" i="12"/>
  <c r="C96" i="12"/>
  <c r="K96" i="12" s="1"/>
  <c r="C57" i="12"/>
  <c r="K57" i="12" s="1"/>
  <c r="D74" i="12"/>
  <c r="C74" i="12" s="1"/>
  <c r="C18" i="12"/>
  <c r="K18" i="12" s="1"/>
  <c r="F8" i="12"/>
  <c r="F7" i="12" s="1"/>
  <c r="C33" i="10"/>
  <c r="K33" i="10" s="1"/>
  <c r="M100" i="9"/>
  <c r="C15" i="10"/>
  <c r="K15" i="10" s="1"/>
  <c r="I8" i="9"/>
  <c r="Q8" i="9" s="1"/>
  <c r="M53" i="8"/>
  <c r="M24" i="11"/>
  <c r="K14" i="9"/>
  <c r="C53" i="7"/>
  <c r="K53" i="7" s="1"/>
  <c r="X8" i="6"/>
  <c r="X7" i="6" s="1"/>
  <c r="AA8" i="7"/>
  <c r="AA7" i="7" s="1"/>
  <c r="K37" i="7"/>
  <c r="Y74" i="2"/>
  <c r="M40" i="6"/>
  <c r="E8" i="5"/>
  <c r="E7" i="5" s="1"/>
  <c r="D89" i="6"/>
  <c r="D9" i="6" s="1"/>
  <c r="M9" i="6" s="1"/>
  <c r="AC74" i="3"/>
  <c r="C57" i="6"/>
  <c r="K57" i="6" s="1"/>
  <c r="M76" i="3"/>
  <c r="C96" i="3"/>
  <c r="K96" i="3" s="1"/>
  <c r="M47" i="1"/>
  <c r="M62" i="2"/>
  <c r="C102" i="1"/>
  <c r="K102" i="1" s="1"/>
  <c r="D31" i="2"/>
  <c r="C31" i="2" s="1"/>
  <c r="C59" i="1"/>
  <c r="K59" i="1" s="1"/>
  <c r="BC8" i="17"/>
  <c r="X8" i="16"/>
  <c r="X7" i="16" s="1"/>
  <c r="AB52" i="17"/>
  <c r="BT31" i="17"/>
  <c r="BH8" i="17"/>
  <c r="BH7" i="17" s="1"/>
  <c r="S8" i="15"/>
  <c r="AD7" i="14"/>
  <c r="AD6" i="14" s="1"/>
  <c r="AB13" i="16"/>
  <c r="AA8" i="12"/>
  <c r="AA7" i="12" s="1"/>
  <c r="N52" i="11"/>
  <c r="Y8" i="9"/>
  <c r="Y7" i="9" s="1"/>
  <c r="M85" i="7"/>
  <c r="C85" i="7"/>
  <c r="K85" i="7" s="1"/>
  <c r="M92" i="7"/>
  <c r="C92" i="7"/>
  <c r="K92" i="7" s="1"/>
  <c r="BK13" i="7"/>
  <c r="BT31" i="7"/>
  <c r="AB31" i="7"/>
  <c r="J52" i="6"/>
  <c r="AA74" i="4"/>
  <c r="Z68" i="1"/>
  <c r="R8" i="4"/>
  <c r="U13" i="4"/>
  <c r="Z8" i="3"/>
  <c r="Z7" i="3" s="1"/>
  <c r="N74" i="4"/>
  <c r="Y31" i="3"/>
  <c r="AA31" i="4"/>
  <c r="AB49" i="1"/>
  <c r="N52" i="4"/>
  <c r="Z49" i="1"/>
  <c r="AB20" i="1"/>
  <c r="S8" i="4"/>
  <c r="AM8" i="19"/>
  <c r="AM7" i="19" s="1"/>
  <c r="AF8" i="19"/>
  <c r="AF7" i="19" s="1"/>
  <c r="AE74" i="16"/>
  <c r="W74" i="14"/>
  <c r="Y74" i="14" s="1"/>
  <c r="D31" i="12"/>
  <c r="C31" i="12" s="1"/>
  <c r="M57" i="12"/>
  <c r="W52" i="12"/>
  <c r="C24" i="12"/>
  <c r="K24" i="12" s="1"/>
  <c r="G8" i="11"/>
  <c r="G7" i="11" s="1"/>
  <c r="P7" i="11" s="1"/>
  <c r="M95" i="10"/>
  <c r="J52" i="9"/>
  <c r="M73" i="7"/>
  <c r="M105" i="6"/>
  <c r="C67" i="5"/>
  <c r="K67" i="5" s="1"/>
  <c r="M66" i="6"/>
  <c r="M43" i="7"/>
  <c r="D52" i="5"/>
  <c r="M52" i="5" s="1"/>
  <c r="C76" i="3"/>
  <c r="K76" i="3" s="1"/>
  <c r="M105" i="2"/>
  <c r="D52" i="3"/>
  <c r="C52" i="3" s="1"/>
  <c r="K52" i="3" s="1"/>
  <c r="F8" i="2"/>
  <c r="F7" i="2" s="1"/>
  <c r="U74" i="1"/>
  <c r="E8" i="1"/>
  <c r="E7" i="1" s="1"/>
  <c r="C56" i="3"/>
  <c r="K56" i="3" s="1"/>
  <c r="D89" i="2"/>
  <c r="D9" i="2" s="1"/>
  <c r="C9" i="2" s="1"/>
  <c r="M59" i="1"/>
  <c r="AA8" i="19"/>
  <c r="AA7" i="19" s="1"/>
  <c r="AE31" i="17"/>
  <c r="BK8" i="17"/>
  <c r="BK7" i="17" s="1"/>
  <c r="R8" i="15"/>
  <c r="R7" i="15" s="1"/>
  <c r="AE8" i="15"/>
  <c r="AE7" i="15" s="1"/>
  <c r="AJ8" i="16"/>
  <c r="AJ7" i="16" s="1"/>
  <c r="BD8" i="17"/>
  <c r="BD7" i="17" s="1"/>
  <c r="AW8" i="16"/>
  <c r="AW7" i="16" s="1"/>
  <c r="U74" i="15"/>
  <c r="M21" i="13"/>
  <c r="C21" i="13"/>
  <c r="K21" i="13" s="1"/>
  <c r="AA7" i="14"/>
  <c r="AA6" i="14" s="1"/>
  <c r="J9" i="11"/>
  <c r="C104" i="8"/>
  <c r="K104" i="8" s="1"/>
  <c r="M104" i="8"/>
  <c r="M55" i="8"/>
  <c r="C55" i="8"/>
  <c r="K55" i="8" s="1"/>
  <c r="J74" i="11"/>
  <c r="AT8" i="7"/>
  <c r="J31" i="7"/>
  <c r="F8" i="6"/>
  <c r="F7" i="6" s="1"/>
  <c r="M69" i="4"/>
  <c r="C69" i="4"/>
  <c r="K69" i="4" s="1"/>
  <c r="L8" i="7"/>
  <c r="L7" i="7" s="1"/>
  <c r="BR8" i="7"/>
  <c r="J9" i="5"/>
  <c r="F8" i="4"/>
  <c r="F7" i="4" s="1"/>
  <c r="X8" i="3"/>
  <c r="X7" i="3" s="1"/>
  <c r="AN8" i="1"/>
  <c r="AN7" i="1" s="1"/>
  <c r="I8" i="4"/>
  <c r="AH8" i="1"/>
  <c r="AH7" i="1" s="1"/>
  <c r="O8" i="1"/>
  <c r="O7" i="1" s="1"/>
  <c r="AD8" i="4"/>
  <c r="AG13" i="4"/>
  <c r="E8" i="2"/>
  <c r="E7" i="2" s="1"/>
  <c r="BF8" i="7"/>
  <c r="X8" i="2"/>
  <c r="X7" i="2" s="1"/>
  <c r="AE52" i="20"/>
  <c r="AK31" i="20"/>
  <c r="AZ8" i="19"/>
  <c r="AZ7" i="19" s="1"/>
  <c r="AX8" i="19"/>
  <c r="AX7" i="19" s="1"/>
  <c r="AP8" i="18"/>
  <c r="U31" i="18"/>
  <c r="AC9" i="14"/>
  <c r="AC7" i="14" s="1"/>
  <c r="P89" i="13"/>
  <c r="G8" i="12"/>
  <c r="G7" i="12" s="1"/>
  <c r="P7" i="12" s="1"/>
  <c r="M43" i="12"/>
  <c r="C81" i="12"/>
  <c r="K81" i="12" s="1"/>
  <c r="C66" i="12"/>
  <c r="K66" i="12" s="1"/>
  <c r="D74" i="10"/>
  <c r="M74" i="10" s="1"/>
  <c r="K88" i="10"/>
  <c r="C71" i="9"/>
  <c r="K71" i="9" s="1"/>
  <c r="C60" i="10"/>
  <c r="K60" i="10" s="1"/>
  <c r="C83" i="9"/>
  <c r="K83" i="9" s="1"/>
  <c r="W31" i="9"/>
  <c r="C16" i="9"/>
  <c r="K16" i="9" s="1"/>
  <c r="K104" i="10"/>
  <c r="M50" i="7"/>
  <c r="D31" i="7"/>
  <c r="C31" i="7" s="1"/>
  <c r="AQ31" i="7"/>
  <c r="Y8" i="4"/>
  <c r="Y7" i="4" s="1"/>
  <c r="M18" i="6"/>
  <c r="K27" i="7"/>
  <c r="D52" i="2"/>
  <c r="M52" i="2" s="1"/>
  <c r="J52" i="3"/>
  <c r="J74" i="1"/>
  <c r="Y74" i="1"/>
  <c r="W52" i="1"/>
  <c r="M33" i="2"/>
  <c r="M14" i="2"/>
  <c r="M62" i="1"/>
  <c r="Y52" i="17"/>
  <c r="AE13" i="19"/>
  <c r="U52" i="18"/>
  <c r="AL31" i="19"/>
  <c r="BI8" i="17"/>
  <c r="BI7" i="17" s="1"/>
  <c r="AV8" i="17"/>
  <c r="AV7" i="17" s="1"/>
  <c r="AI8" i="18"/>
  <c r="AI7" i="18" s="1"/>
  <c r="AB74" i="16"/>
  <c r="X8" i="17"/>
  <c r="X7" i="17" s="1"/>
  <c r="AQ8" i="17"/>
  <c r="AQ7" i="17" s="1"/>
  <c r="U52" i="16"/>
  <c r="C84" i="11"/>
  <c r="K84" i="11" s="1"/>
  <c r="M84" i="11"/>
  <c r="T8" i="6"/>
  <c r="T7" i="6" s="1"/>
  <c r="AH31" i="7"/>
  <c r="BE31" i="7"/>
  <c r="Z8" i="7"/>
  <c r="N31" i="4"/>
  <c r="Z48" i="1"/>
  <c r="W8" i="4"/>
  <c r="W7" i="4" s="1"/>
  <c r="X8" i="4"/>
  <c r="AA13" i="4"/>
  <c r="AU8" i="16"/>
  <c r="AU7" i="16" s="1"/>
  <c r="U31" i="16"/>
  <c r="T8" i="19"/>
  <c r="T7" i="19" s="1"/>
  <c r="AH8" i="19"/>
  <c r="AH7" i="19" s="1"/>
  <c r="AT13" i="19"/>
  <c r="T8" i="15"/>
  <c r="T7" i="15" s="1"/>
  <c r="Y74" i="13"/>
  <c r="C67" i="13"/>
  <c r="K67" i="13" s="1"/>
  <c r="E8" i="13"/>
  <c r="E7" i="13" s="1"/>
  <c r="W8" i="10"/>
  <c r="W7" i="10" s="1"/>
  <c r="C24" i="10"/>
  <c r="K24" i="10" s="1"/>
  <c r="E8" i="8"/>
  <c r="E7" i="8" s="1"/>
  <c r="H8" i="8"/>
  <c r="N8" i="8" s="1"/>
  <c r="O8" i="8"/>
  <c r="O7" i="8" s="1"/>
  <c r="H8" i="7"/>
  <c r="H7" i="7" s="1"/>
  <c r="P13" i="4"/>
  <c r="X31" i="1"/>
  <c r="Y13" i="1"/>
  <c r="AA13" i="1"/>
  <c r="H8" i="1"/>
  <c r="H7" i="1" s="1"/>
  <c r="AG8" i="17"/>
  <c r="AG7" i="17" s="1"/>
  <c r="W8" i="18"/>
  <c r="Y13" i="18"/>
  <c r="Y31" i="18"/>
  <c r="BT52" i="17"/>
  <c r="AV8" i="16"/>
  <c r="AV7" i="16" s="1"/>
  <c r="AP8" i="17"/>
  <c r="AP7" i="17" s="1"/>
  <c r="U52" i="17"/>
  <c r="BP8" i="17"/>
  <c r="BP7" i="17" s="1"/>
  <c r="AN13" i="17"/>
  <c r="AS8" i="16"/>
  <c r="AS7" i="16" s="1"/>
  <c r="O8" i="11"/>
  <c r="O7" i="11" s="1"/>
  <c r="N74" i="11"/>
  <c r="E8" i="7"/>
  <c r="E7" i="7" s="1"/>
  <c r="BM8" i="7"/>
  <c r="BX8" i="7"/>
  <c r="M78" i="4"/>
  <c r="C78" i="4"/>
  <c r="K78" i="4" s="1"/>
  <c r="AB8" i="4"/>
  <c r="AB7" i="4" s="1"/>
  <c r="AJ8" i="4"/>
  <c r="AL13" i="4"/>
  <c r="AE8" i="1"/>
  <c r="AE7" i="1" s="1"/>
  <c r="J13" i="3"/>
  <c r="AB39" i="1"/>
  <c r="T8" i="1"/>
  <c r="T7" i="1" s="1"/>
  <c r="X8" i="19"/>
  <c r="AB13" i="19"/>
  <c r="M89" i="18"/>
  <c r="Y8" i="19"/>
  <c r="Y7" i="19" s="1"/>
  <c r="C52" i="17"/>
  <c r="K52" i="17" s="1"/>
  <c r="M52" i="17"/>
  <c r="D8" i="17"/>
  <c r="AY8" i="19"/>
  <c r="BA13" i="19"/>
  <c r="AB74" i="17"/>
  <c r="Z8" i="17"/>
  <c r="AM52" i="16"/>
  <c r="Y52" i="16"/>
  <c r="AK52" i="16"/>
  <c r="AI52" i="16"/>
  <c r="AG52" i="16"/>
  <c r="S8" i="16"/>
  <c r="W8" i="15"/>
  <c r="Z8" i="14"/>
  <c r="Z7" i="14" s="1"/>
  <c r="T13" i="12"/>
  <c r="R8" i="12"/>
  <c r="H8" i="11"/>
  <c r="C37" i="10"/>
  <c r="K37" i="10" s="1"/>
  <c r="M37" i="10"/>
  <c r="M49" i="10"/>
  <c r="C49" i="10"/>
  <c r="K49" i="10" s="1"/>
  <c r="J74" i="9"/>
  <c r="N74" i="9"/>
  <c r="AC52" i="10"/>
  <c r="Z52" i="10"/>
  <c r="C103" i="8"/>
  <c r="K103" i="8" s="1"/>
  <c r="M103" i="8"/>
  <c r="K90" i="7"/>
  <c r="C20" i="5"/>
  <c r="K20" i="5" s="1"/>
  <c r="M20" i="5"/>
  <c r="AA8" i="20"/>
  <c r="AA7" i="20" s="1"/>
  <c r="AK13" i="20"/>
  <c r="AG8" i="20"/>
  <c r="M89" i="19"/>
  <c r="U13" i="19"/>
  <c r="R8" i="19"/>
  <c r="Z13" i="19"/>
  <c r="AP13" i="19"/>
  <c r="AN8" i="19"/>
  <c r="AO31" i="18"/>
  <c r="Z31" i="19"/>
  <c r="W8" i="19"/>
  <c r="AE31" i="20"/>
  <c r="S8" i="17"/>
  <c r="V13" i="17"/>
  <c r="C89" i="16"/>
  <c r="K90" i="16"/>
  <c r="K89" i="16" s="1"/>
  <c r="AL8" i="17"/>
  <c r="AM74" i="16"/>
  <c r="AG74" i="16"/>
  <c r="AK74" i="16"/>
  <c r="Y74" i="16"/>
  <c r="AI74" i="16"/>
  <c r="C13" i="16"/>
  <c r="K13" i="16" s="1"/>
  <c r="D8" i="16"/>
  <c r="M13" i="16"/>
  <c r="H7" i="16"/>
  <c r="N7" i="16" s="1"/>
  <c r="N8" i="16"/>
  <c r="K90" i="14"/>
  <c r="K89" i="14" s="1"/>
  <c r="C89" i="14"/>
  <c r="M13" i="14"/>
  <c r="D8" i="14"/>
  <c r="C13" i="14"/>
  <c r="K13" i="14" s="1"/>
  <c r="N8" i="14"/>
  <c r="H7" i="14"/>
  <c r="N7" i="14" s="1"/>
  <c r="N52" i="12"/>
  <c r="AC74" i="13"/>
  <c r="C16" i="13"/>
  <c r="K16" i="13" s="1"/>
  <c r="M16" i="13"/>
  <c r="P13" i="13"/>
  <c r="G8" i="13"/>
  <c r="D52" i="11"/>
  <c r="M53" i="11"/>
  <c r="C53" i="11"/>
  <c r="K53" i="11" s="1"/>
  <c r="M50" i="11"/>
  <c r="C50" i="11"/>
  <c r="K50" i="11" s="1"/>
  <c r="M44" i="11"/>
  <c r="C44" i="11"/>
  <c r="K44" i="11" s="1"/>
  <c r="Q13" i="13"/>
  <c r="I8" i="13"/>
  <c r="N9" i="12"/>
  <c r="Z52" i="9"/>
  <c r="AB52" i="9"/>
  <c r="C29" i="9"/>
  <c r="K29" i="9" s="1"/>
  <c r="M29" i="9"/>
  <c r="W13" i="9"/>
  <c r="J9" i="8"/>
  <c r="C16" i="8"/>
  <c r="K16" i="8" s="1"/>
  <c r="M16" i="8"/>
  <c r="C95" i="7"/>
  <c r="K95" i="7" s="1"/>
  <c r="M95" i="7"/>
  <c r="F8" i="9"/>
  <c r="F7" i="9" s="1"/>
  <c r="Y52" i="6"/>
  <c r="M15" i="6"/>
  <c r="C15" i="6"/>
  <c r="K15" i="6" s="1"/>
  <c r="BW31" i="7"/>
  <c r="BU8" i="7"/>
  <c r="G8" i="6"/>
  <c r="P13" i="6"/>
  <c r="W8" i="5"/>
  <c r="Y13" i="5"/>
  <c r="Q13" i="5"/>
  <c r="I8" i="5"/>
  <c r="G8" i="3"/>
  <c r="J31" i="5"/>
  <c r="X13" i="1"/>
  <c r="AD8" i="1"/>
  <c r="Z8" i="2"/>
  <c r="AG8" i="19"/>
  <c r="AI13" i="19"/>
  <c r="C89" i="18"/>
  <c r="K90" i="18"/>
  <c r="K89" i="18" s="1"/>
  <c r="U13" i="10"/>
  <c r="R8" i="10"/>
  <c r="AB74" i="9"/>
  <c r="Z74" i="9"/>
  <c r="C15" i="8"/>
  <c r="K15" i="8" s="1"/>
  <c r="M15" i="8"/>
  <c r="C33" i="8"/>
  <c r="K33" i="8" s="1"/>
  <c r="M33" i="8"/>
  <c r="L8" i="8"/>
  <c r="J13" i="8"/>
  <c r="J9" i="7"/>
  <c r="M81" i="7"/>
  <c r="C81" i="7"/>
  <c r="K81" i="7" s="1"/>
  <c r="N13" i="9"/>
  <c r="H8" i="9"/>
  <c r="BE74" i="7"/>
  <c r="BC8" i="7"/>
  <c r="N13" i="6"/>
  <c r="H8" i="6"/>
  <c r="CJ8" i="7"/>
  <c r="W8" i="3"/>
  <c r="Y13" i="3"/>
  <c r="C30" i="5"/>
  <c r="K30" i="5" s="1"/>
  <c r="M30" i="5"/>
  <c r="M75" i="2"/>
  <c r="C75" i="2"/>
  <c r="K75" i="2" s="1"/>
  <c r="D74" i="2"/>
  <c r="K90" i="6"/>
  <c r="U74" i="2"/>
  <c r="L8" i="5"/>
  <c r="K90" i="3"/>
  <c r="L8" i="1"/>
  <c r="J13" i="1"/>
  <c r="W8" i="2"/>
  <c r="N13" i="1"/>
  <c r="I8" i="2"/>
  <c r="N74" i="1"/>
  <c r="C31" i="18"/>
  <c r="K31" i="18" s="1"/>
  <c r="M31" i="18"/>
  <c r="AO13" i="18"/>
  <c r="AL8" i="18"/>
  <c r="C74" i="15"/>
  <c r="K74" i="15" s="1"/>
  <c r="M74" i="15"/>
  <c r="N13" i="13"/>
  <c r="H8" i="13"/>
  <c r="K90" i="11"/>
  <c r="CI74" i="7"/>
  <c r="CG8" i="7"/>
  <c r="AY74" i="7"/>
  <c r="AW8" i="7"/>
  <c r="BK31" i="7"/>
  <c r="BI8" i="7"/>
  <c r="N9" i="7"/>
  <c r="C42" i="5"/>
  <c r="K42" i="5" s="1"/>
  <c r="M42" i="5"/>
  <c r="K76" i="5"/>
  <c r="S8" i="3"/>
  <c r="I8" i="1"/>
  <c r="AK8" i="1"/>
  <c r="AK7" i="1" s="1"/>
  <c r="K94" i="19"/>
  <c r="K89" i="19" s="1"/>
  <c r="C89" i="19"/>
  <c r="AC8" i="16"/>
  <c r="L8" i="13"/>
  <c r="J13" i="13"/>
  <c r="R8" i="20"/>
  <c r="U13" i="20"/>
  <c r="C52" i="20"/>
  <c r="K52" i="20" s="1"/>
  <c r="M52" i="20"/>
  <c r="Z74" i="19"/>
  <c r="AH8" i="18"/>
  <c r="AK31" i="18"/>
  <c r="M52" i="15"/>
  <c r="C52" i="15"/>
  <c r="K52" i="15" s="1"/>
  <c r="L7" i="14"/>
  <c r="J7" i="14" s="1"/>
  <c r="J8" i="14"/>
  <c r="H8" i="12"/>
  <c r="N13" i="12"/>
  <c r="M48" i="11"/>
  <c r="C48" i="11"/>
  <c r="K48" i="11" s="1"/>
  <c r="M42" i="11"/>
  <c r="C42" i="11"/>
  <c r="K42" i="11" s="1"/>
  <c r="M57" i="10"/>
  <c r="C57" i="10"/>
  <c r="K57" i="10" s="1"/>
  <c r="M59" i="10"/>
  <c r="C59" i="10"/>
  <c r="K59" i="10" s="1"/>
  <c r="I8" i="11"/>
  <c r="V13" i="10"/>
  <c r="S8" i="10"/>
  <c r="C90" i="9"/>
  <c r="M90" i="9"/>
  <c r="D89" i="9"/>
  <c r="D9" i="9" s="1"/>
  <c r="AB31" i="9"/>
  <c r="Z31" i="9"/>
  <c r="C26" i="9"/>
  <c r="K26" i="9" s="1"/>
  <c r="M26" i="9"/>
  <c r="V13" i="20"/>
  <c r="S8" i="20"/>
  <c r="AD8" i="20"/>
  <c r="AD7" i="20" s="1"/>
  <c r="AE74" i="19"/>
  <c r="AW31" i="19"/>
  <c r="AU8" i="19"/>
  <c r="U52" i="19"/>
  <c r="AL13" i="19"/>
  <c r="AJ8" i="19"/>
  <c r="AV8" i="19"/>
  <c r="AV7" i="19" s="1"/>
  <c r="BB8" i="19"/>
  <c r="BB7" i="19" s="1"/>
  <c r="AC13" i="18"/>
  <c r="Z8" i="18"/>
  <c r="G7" i="18"/>
  <c r="P7" i="18" s="1"/>
  <c r="P8" i="18"/>
  <c r="Y74" i="17"/>
  <c r="W8" i="17"/>
  <c r="AB31" i="20"/>
  <c r="AE74" i="17"/>
  <c r="AC8" i="17"/>
  <c r="AP8" i="16"/>
  <c r="AR13" i="16"/>
  <c r="Y31" i="15"/>
  <c r="V31" i="14"/>
  <c r="S8" i="14"/>
  <c r="N74" i="13"/>
  <c r="R8" i="14"/>
  <c r="U13" i="14"/>
  <c r="C75" i="13"/>
  <c r="K75" i="13" s="1"/>
  <c r="M75" i="13"/>
  <c r="D74" i="13"/>
  <c r="U52" i="13"/>
  <c r="L8" i="11"/>
  <c r="J31" i="11"/>
  <c r="Z8" i="13"/>
  <c r="AC13" i="13"/>
  <c r="E8" i="11"/>
  <c r="E7" i="11" s="1"/>
  <c r="Y13" i="13"/>
  <c r="V8" i="13"/>
  <c r="C95" i="12"/>
  <c r="K95" i="12" s="1"/>
  <c r="M95" i="12"/>
  <c r="D89" i="12"/>
  <c r="D9" i="12" s="1"/>
  <c r="M35" i="10"/>
  <c r="C35" i="10"/>
  <c r="K35" i="10" s="1"/>
  <c r="M41" i="10"/>
  <c r="C41" i="10"/>
  <c r="K41" i="10" s="1"/>
  <c r="P13" i="10"/>
  <c r="G8" i="10"/>
  <c r="C75" i="9"/>
  <c r="K75" i="9" s="1"/>
  <c r="D74" i="9"/>
  <c r="M75" i="9"/>
  <c r="N31" i="9"/>
  <c r="L8" i="9"/>
  <c r="J13" i="9"/>
  <c r="Y74" i="8"/>
  <c r="J52" i="8"/>
  <c r="S8" i="8"/>
  <c r="V13" i="8"/>
  <c r="G8" i="9"/>
  <c r="P31" i="9"/>
  <c r="R8" i="9"/>
  <c r="T13" i="9"/>
  <c r="C28" i="8"/>
  <c r="K28" i="8" s="1"/>
  <c r="M28" i="8"/>
  <c r="CC74" i="7"/>
  <c r="CA8" i="7"/>
  <c r="V74" i="7"/>
  <c r="S8" i="7"/>
  <c r="M14" i="6"/>
  <c r="D13" i="6"/>
  <c r="C14" i="6"/>
  <c r="K14" i="6" s="1"/>
  <c r="M33" i="6"/>
  <c r="C33" i="6"/>
  <c r="K33" i="6" s="1"/>
  <c r="D31" i="5"/>
  <c r="M32" i="5"/>
  <c r="C32" i="5"/>
  <c r="K32" i="5" s="1"/>
  <c r="M24" i="5"/>
  <c r="C24" i="5"/>
  <c r="K24" i="5" s="1"/>
  <c r="AL8" i="7"/>
  <c r="I8" i="6"/>
  <c r="AZ8" i="7"/>
  <c r="N9" i="6"/>
  <c r="D13" i="5"/>
  <c r="N9" i="4"/>
  <c r="M73" i="2"/>
  <c r="C73" i="2"/>
  <c r="K73" i="2" s="1"/>
  <c r="S8" i="1"/>
  <c r="V13" i="1"/>
  <c r="Z36" i="1"/>
  <c r="K90" i="2"/>
  <c r="N31" i="2"/>
  <c r="G8" i="2"/>
  <c r="N9" i="1"/>
  <c r="AB13" i="20"/>
  <c r="Z8" i="20"/>
  <c r="L7" i="18"/>
  <c r="J7" i="18" s="1"/>
  <c r="J8" i="18"/>
  <c r="C74" i="17"/>
  <c r="K74" i="17" s="1"/>
  <c r="M74" i="17"/>
  <c r="C76" i="12"/>
  <c r="K76" i="12" s="1"/>
  <c r="M76" i="12"/>
  <c r="Z31" i="10"/>
  <c r="AC31" i="10"/>
  <c r="AF8" i="20"/>
  <c r="AI13" i="20"/>
  <c r="C52" i="19"/>
  <c r="K52" i="19" s="1"/>
  <c r="M52" i="19"/>
  <c r="N8" i="19"/>
  <c r="H7" i="19"/>
  <c r="N7" i="19" s="1"/>
  <c r="V13" i="18"/>
  <c r="S8" i="18"/>
  <c r="AR8" i="19"/>
  <c r="AM31" i="16"/>
  <c r="AG31" i="16"/>
  <c r="AK31" i="16"/>
  <c r="Y31" i="16"/>
  <c r="AI31" i="16"/>
  <c r="F8" i="13"/>
  <c r="F7" i="13" s="1"/>
  <c r="M43" i="10"/>
  <c r="C43" i="10"/>
  <c r="K43" i="10" s="1"/>
  <c r="M50" i="9"/>
  <c r="C50" i="9"/>
  <c r="K50" i="9" s="1"/>
  <c r="E8" i="9"/>
  <c r="E7" i="9" s="1"/>
  <c r="AI13" i="10"/>
  <c r="AD8" i="10"/>
  <c r="C90" i="8"/>
  <c r="D89" i="8"/>
  <c r="D9" i="8" s="1"/>
  <c r="M90" i="8"/>
  <c r="C94" i="7"/>
  <c r="K94" i="7" s="1"/>
  <c r="M94" i="7"/>
  <c r="U31" i="20"/>
  <c r="J8" i="20"/>
  <c r="L7" i="20"/>
  <c r="J7" i="20" s="1"/>
  <c r="C13" i="20"/>
  <c r="K13" i="20" s="1"/>
  <c r="M13" i="20"/>
  <c r="D8" i="20"/>
  <c r="W8" i="20"/>
  <c r="Y13" i="20"/>
  <c r="AC8" i="20"/>
  <c r="AE13" i="20"/>
  <c r="C74" i="19"/>
  <c r="K74" i="19" s="1"/>
  <c r="M74" i="19"/>
  <c r="AP31" i="19"/>
  <c r="AO8" i="19"/>
  <c r="AO7" i="19" s="1"/>
  <c r="C31" i="20"/>
  <c r="K31" i="20" s="1"/>
  <c r="M31" i="20"/>
  <c r="AE31" i="19"/>
  <c r="AC8" i="19"/>
  <c r="S8" i="19"/>
  <c r="V13" i="19"/>
  <c r="C13" i="18"/>
  <c r="K13" i="18" s="1"/>
  <c r="M13" i="18"/>
  <c r="D8" i="18"/>
  <c r="AK8" i="19"/>
  <c r="AK7" i="19" s="1"/>
  <c r="BB8" i="17"/>
  <c r="BE13" i="17"/>
  <c r="C52" i="16"/>
  <c r="K52" i="16" s="1"/>
  <c r="M52" i="16"/>
  <c r="R8" i="16"/>
  <c r="U13" i="16"/>
  <c r="J31" i="13"/>
  <c r="N31" i="13"/>
  <c r="M32" i="13"/>
  <c r="D31" i="13"/>
  <c r="C32" i="13"/>
  <c r="K32" i="13" s="1"/>
  <c r="W13" i="14"/>
  <c r="D13" i="13"/>
  <c r="J13" i="12"/>
  <c r="L8" i="12"/>
  <c r="M46" i="11"/>
  <c r="C46" i="11"/>
  <c r="K46" i="11" s="1"/>
  <c r="V8" i="12"/>
  <c r="V7" i="12" s="1"/>
  <c r="S8" i="11"/>
  <c r="M47" i="10"/>
  <c r="C47" i="10"/>
  <c r="K47" i="10" s="1"/>
  <c r="T8" i="8"/>
  <c r="T7" i="8" s="1"/>
  <c r="Q13" i="10"/>
  <c r="I8" i="10"/>
  <c r="M38" i="10"/>
  <c r="C38" i="10"/>
  <c r="K38" i="10" s="1"/>
  <c r="M44" i="9"/>
  <c r="C44" i="9"/>
  <c r="K44" i="9" s="1"/>
  <c r="N9" i="8"/>
  <c r="J13" i="10"/>
  <c r="L8" i="10"/>
  <c r="R8" i="8"/>
  <c r="U13" i="8"/>
  <c r="D31" i="10"/>
  <c r="D31" i="8"/>
  <c r="Y31" i="8"/>
  <c r="M80" i="7"/>
  <c r="C80" i="7"/>
  <c r="K80" i="7" s="1"/>
  <c r="N52" i="9"/>
  <c r="U74" i="8"/>
  <c r="X8" i="9"/>
  <c r="AB13" i="9"/>
  <c r="Z13" i="9"/>
  <c r="C75" i="8"/>
  <c r="K75" i="8" s="1"/>
  <c r="M75" i="8"/>
  <c r="D74" i="8"/>
  <c r="C57" i="8"/>
  <c r="K57" i="8" s="1"/>
  <c r="M57" i="8"/>
  <c r="D52" i="8"/>
  <c r="G8" i="8"/>
  <c r="P13" i="8"/>
  <c r="D89" i="7"/>
  <c r="D9" i="7" s="1"/>
  <c r="D13" i="8"/>
  <c r="P74" i="7"/>
  <c r="G8" i="7"/>
  <c r="M75" i="6"/>
  <c r="D74" i="6"/>
  <c r="C75" i="6"/>
  <c r="K75" i="6" s="1"/>
  <c r="C36" i="5"/>
  <c r="K36" i="5" s="1"/>
  <c r="M36" i="5"/>
  <c r="J74" i="3"/>
  <c r="L8" i="3"/>
  <c r="BO8" i="7"/>
  <c r="V13" i="5"/>
  <c r="S8" i="5"/>
  <c r="G8" i="1"/>
  <c r="P13" i="1"/>
  <c r="AA8" i="3"/>
  <c r="I8" i="3"/>
  <c r="U13" i="2"/>
  <c r="R8" i="2"/>
  <c r="AQ13" i="1"/>
  <c r="AO8" i="1"/>
  <c r="AC8" i="2"/>
  <c r="M31" i="19"/>
  <c r="C31" i="19"/>
  <c r="K31" i="19" s="1"/>
  <c r="D8" i="19"/>
  <c r="BT74" i="17"/>
  <c r="BR8" i="17"/>
  <c r="C89" i="15"/>
  <c r="K90" i="15"/>
  <c r="K89" i="15" s="1"/>
  <c r="C13" i="15"/>
  <c r="K13" i="15" s="1"/>
  <c r="D8" i="15"/>
  <c r="M13" i="15"/>
  <c r="R8" i="13"/>
  <c r="U13" i="13"/>
  <c r="C97" i="12"/>
  <c r="K97" i="12" s="1"/>
  <c r="M97" i="12"/>
  <c r="AA8" i="13"/>
  <c r="AA7" i="13" s="1"/>
  <c r="H8" i="10"/>
  <c r="N13" i="10"/>
  <c r="D52" i="10"/>
  <c r="M53" i="10"/>
  <c r="C53" i="10"/>
  <c r="K53" i="10" s="1"/>
  <c r="C32" i="9"/>
  <c r="K32" i="9" s="1"/>
  <c r="M32" i="9"/>
  <c r="D31" i="9"/>
  <c r="AA8" i="10"/>
  <c r="AF13" i="10"/>
  <c r="U8" i="9"/>
  <c r="I8" i="8"/>
  <c r="Q13" i="8"/>
  <c r="X8" i="10"/>
  <c r="Y13" i="8"/>
  <c r="W8" i="8"/>
  <c r="W8" i="6"/>
  <c r="Y13" i="6"/>
  <c r="M32" i="6"/>
  <c r="D31" i="6"/>
  <c r="C32" i="6"/>
  <c r="K32" i="6" s="1"/>
  <c r="S8" i="6"/>
  <c r="V13" i="6"/>
  <c r="P13" i="5"/>
  <c r="G8" i="5"/>
  <c r="U13" i="1"/>
  <c r="R8" i="1"/>
  <c r="H8" i="5"/>
  <c r="C79" i="2"/>
  <c r="K79" i="2" s="1"/>
  <c r="M79" i="2"/>
  <c r="J13" i="2"/>
  <c r="L8" i="2"/>
  <c r="AC8" i="1"/>
  <c r="AC7" i="1" s="1"/>
  <c r="W13" i="1"/>
  <c r="AL8" i="1"/>
  <c r="AL7" i="1" s="1"/>
  <c r="S8" i="2"/>
  <c r="N52" i="2"/>
  <c r="N9" i="2"/>
  <c r="C31" i="3" l="1"/>
  <c r="K31" i="3" s="1"/>
  <c r="M9" i="1"/>
  <c r="K13" i="4"/>
  <c r="C13" i="11"/>
  <c r="K13" i="11" s="1"/>
  <c r="C13" i="9"/>
  <c r="K13" i="9" s="1"/>
  <c r="K31" i="1"/>
  <c r="C13" i="2"/>
  <c r="K13" i="2" s="1"/>
  <c r="N8" i="4"/>
  <c r="K74" i="7"/>
  <c r="K31" i="2"/>
  <c r="AB8" i="16"/>
  <c r="AQ7" i="7"/>
  <c r="C52" i="6"/>
  <c r="K52" i="6" s="1"/>
  <c r="M9" i="11"/>
  <c r="AQ8" i="7"/>
  <c r="K9" i="1"/>
  <c r="M13" i="3"/>
  <c r="M74" i="3"/>
  <c r="C74" i="10"/>
  <c r="K74" i="10" s="1"/>
  <c r="M52" i="9"/>
  <c r="M9" i="13"/>
  <c r="H7" i="4"/>
  <c r="N7" i="4" s="1"/>
  <c r="N8" i="1"/>
  <c r="AB31" i="1"/>
  <c r="M74" i="4"/>
  <c r="C52" i="13"/>
  <c r="K52" i="13" s="1"/>
  <c r="M13" i="4"/>
  <c r="C74" i="1"/>
  <c r="K74" i="1" s="1"/>
  <c r="I7" i="7"/>
  <c r="Q7" i="7" s="1"/>
  <c r="Z74" i="1"/>
  <c r="N8" i="3"/>
  <c r="C31" i="11"/>
  <c r="K31" i="11" s="1"/>
  <c r="U8" i="3"/>
  <c r="U8" i="7"/>
  <c r="U8" i="18"/>
  <c r="Q8" i="12"/>
  <c r="C89" i="6"/>
  <c r="K89" i="5"/>
  <c r="AI7" i="4"/>
  <c r="AB52" i="1"/>
  <c r="AB74" i="1"/>
  <c r="M89" i="13"/>
  <c r="M89" i="4"/>
  <c r="M31" i="1"/>
  <c r="AI8" i="4"/>
  <c r="C74" i="11"/>
  <c r="K74" i="11" s="1"/>
  <c r="M9" i="4"/>
  <c r="CF7" i="7"/>
  <c r="K74" i="4"/>
  <c r="J8" i="4"/>
  <c r="M74" i="7"/>
  <c r="AH7" i="7"/>
  <c r="P8" i="12"/>
  <c r="C89" i="11"/>
  <c r="K9" i="4"/>
  <c r="M13" i="1"/>
  <c r="C9" i="6"/>
  <c r="K9" i="6" s="1"/>
  <c r="Y8" i="16"/>
  <c r="R7" i="3"/>
  <c r="U7" i="3" s="1"/>
  <c r="AA8" i="1"/>
  <c r="AA7" i="1" s="1"/>
  <c r="D8" i="9"/>
  <c r="M8" i="9" s="1"/>
  <c r="M74" i="5"/>
  <c r="AS8" i="18"/>
  <c r="D8" i="3"/>
  <c r="C8" i="3" s="1"/>
  <c r="K8" i="3" s="1"/>
  <c r="C89" i="5"/>
  <c r="J7" i="7"/>
  <c r="M89" i="1"/>
  <c r="K52" i="7"/>
  <c r="M89" i="3"/>
  <c r="M89" i="9"/>
  <c r="K89" i="11"/>
  <c r="Z31" i="1"/>
  <c r="C89" i="3"/>
  <c r="K52" i="12"/>
  <c r="M89" i="5"/>
  <c r="M89" i="11"/>
  <c r="AG8" i="18"/>
  <c r="C89" i="4"/>
  <c r="AP7" i="18"/>
  <c r="AS7" i="18" s="1"/>
  <c r="J8" i="7"/>
  <c r="K89" i="4"/>
  <c r="D8" i="4"/>
  <c r="D7" i="4" s="1"/>
  <c r="M52" i="3"/>
  <c r="K31" i="12"/>
  <c r="AD7" i="18"/>
  <c r="AG7" i="18" s="1"/>
  <c r="R7" i="18"/>
  <c r="U7" i="18" s="1"/>
  <c r="AK8" i="7"/>
  <c r="J7" i="4"/>
  <c r="Z52" i="1"/>
  <c r="K9" i="13"/>
  <c r="P8" i="11"/>
  <c r="Y8" i="7"/>
  <c r="D8" i="1"/>
  <c r="D7" i="1" s="1"/>
  <c r="K13" i="7"/>
  <c r="C31" i="4"/>
  <c r="K31" i="4" s="1"/>
  <c r="K31" i="7"/>
  <c r="M89" i="2"/>
  <c r="U8" i="6"/>
  <c r="AB13" i="1"/>
  <c r="H7" i="8"/>
  <c r="M13" i="10"/>
  <c r="M13" i="7"/>
  <c r="K74" i="12"/>
  <c r="C52" i="4"/>
  <c r="K52" i="4" s="1"/>
  <c r="AC8" i="4"/>
  <c r="K89" i="6"/>
  <c r="K52" i="9"/>
  <c r="M52" i="7"/>
  <c r="W7" i="7"/>
  <c r="Y7" i="7" s="1"/>
  <c r="N7" i="7"/>
  <c r="K89" i="13"/>
  <c r="D8" i="12"/>
  <c r="D7" i="12" s="1"/>
  <c r="Z7" i="16"/>
  <c r="AB7" i="16" s="1"/>
  <c r="M89" i="10"/>
  <c r="R7" i="7"/>
  <c r="U7" i="7" s="1"/>
  <c r="AH8" i="7"/>
  <c r="C9" i="10"/>
  <c r="K9" i="10" s="1"/>
  <c r="AI7" i="7"/>
  <c r="AK7" i="7" s="1"/>
  <c r="I7" i="9"/>
  <c r="Q7" i="9" s="1"/>
  <c r="Y8" i="1"/>
  <c r="Y7" i="1" s="1"/>
  <c r="M89" i="7"/>
  <c r="K89" i="2"/>
  <c r="K89" i="10"/>
  <c r="C89" i="2"/>
  <c r="C52" i="1"/>
  <c r="K52" i="1" s="1"/>
  <c r="C89" i="1"/>
  <c r="R7" i="5"/>
  <c r="U7" i="5" s="1"/>
  <c r="C89" i="13"/>
  <c r="C89" i="10"/>
  <c r="M52" i="12"/>
  <c r="M31" i="12"/>
  <c r="M52" i="1"/>
  <c r="K89" i="1"/>
  <c r="M9" i="3"/>
  <c r="K9" i="2"/>
  <c r="M89" i="6"/>
  <c r="C52" i="5"/>
  <c r="K52" i="5" s="1"/>
  <c r="M74" i="12"/>
  <c r="K13" i="1"/>
  <c r="M13" i="12"/>
  <c r="AK8" i="16"/>
  <c r="M9" i="2"/>
  <c r="D8" i="11"/>
  <c r="D7" i="11" s="1"/>
  <c r="D8" i="7"/>
  <c r="C8" i="7" s="1"/>
  <c r="K9" i="11"/>
  <c r="N8" i="7"/>
  <c r="U7" i="15"/>
  <c r="D8" i="2"/>
  <c r="C8" i="2" s="1"/>
  <c r="C13" i="12"/>
  <c r="K13" i="12" s="1"/>
  <c r="AG8" i="16"/>
  <c r="M31" i="2"/>
  <c r="C52" i="2"/>
  <c r="K52" i="2" s="1"/>
  <c r="P8" i="4"/>
  <c r="G7" i="4"/>
  <c r="P7" i="4" s="1"/>
  <c r="AM8" i="16"/>
  <c r="J7" i="6"/>
  <c r="K74" i="5"/>
  <c r="AC7" i="4"/>
  <c r="M31" i="7"/>
  <c r="AI8" i="16"/>
  <c r="J8" i="6"/>
  <c r="C9" i="5"/>
  <c r="K9" i="5" s="1"/>
  <c r="CF8" i="7"/>
  <c r="AL8" i="4"/>
  <c r="AJ7" i="4"/>
  <c r="AL7" i="4" s="1"/>
  <c r="BT8" i="7"/>
  <c r="BR7" i="7"/>
  <c r="BT7" i="7" s="1"/>
  <c r="AT7" i="7"/>
  <c r="AV7" i="7" s="1"/>
  <c r="AV8" i="7"/>
  <c r="BG8" i="17"/>
  <c r="BC7" i="17"/>
  <c r="BG7" i="17" s="1"/>
  <c r="U8" i="17"/>
  <c r="R7" i="17"/>
  <c r="U7" i="17" s="1"/>
  <c r="M89" i="8"/>
  <c r="K13" i="10"/>
  <c r="K89" i="12"/>
  <c r="K89" i="3"/>
  <c r="AB8" i="7"/>
  <c r="Z7" i="7"/>
  <c r="AB7" i="7" s="1"/>
  <c r="BH8" i="7"/>
  <c r="BF7" i="7"/>
  <c r="BH7" i="7" s="1"/>
  <c r="Q8" i="4"/>
  <c r="I7" i="4"/>
  <c r="Q7" i="4" s="1"/>
  <c r="S7" i="15"/>
  <c r="V7" i="15" s="1"/>
  <c r="V8" i="15"/>
  <c r="W7" i="12"/>
  <c r="Y8" i="18"/>
  <c r="W7" i="18"/>
  <c r="Y7" i="18" s="1"/>
  <c r="AA8" i="4"/>
  <c r="X7" i="4"/>
  <c r="AA7" i="4" s="1"/>
  <c r="R7" i="4"/>
  <c r="U7" i="4" s="1"/>
  <c r="U8" i="4"/>
  <c r="BA8" i="17"/>
  <c r="AW7" i="17"/>
  <c r="BA7" i="17" s="1"/>
  <c r="BZ8" i="7"/>
  <c r="BX7" i="7"/>
  <c r="BZ7" i="7" s="1"/>
  <c r="AG8" i="4"/>
  <c r="AD7" i="4"/>
  <c r="AG7" i="4" s="1"/>
  <c r="U8" i="15"/>
  <c r="BM7" i="7"/>
  <c r="BN7" i="7" s="1"/>
  <c r="BN8" i="7"/>
  <c r="V8" i="4"/>
  <c r="S7" i="4"/>
  <c r="V7" i="4" s="1"/>
  <c r="S7" i="11"/>
  <c r="T7" i="11" s="1"/>
  <c r="T8" i="11"/>
  <c r="J8" i="2"/>
  <c r="L7" i="2"/>
  <c r="J7" i="2" s="1"/>
  <c r="W7" i="8"/>
  <c r="Y7" i="8" s="1"/>
  <c r="Y8" i="8"/>
  <c r="BT8" i="17"/>
  <c r="BR7" i="17"/>
  <c r="BT7" i="17" s="1"/>
  <c r="AC8" i="3"/>
  <c r="AA7" i="3"/>
  <c r="AC7" i="3" s="1"/>
  <c r="G7" i="7"/>
  <c r="P7" i="7" s="1"/>
  <c r="P8" i="7"/>
  <c r="M31" i="13"/>
  <c r="C31" i="13"/>
  <c r="K31" i="13" s="1"/>
  <c r="AE8" i="19"/>
  <c r="AC7" i="19"/>
  <c r="AE7" i="19" s="1"/>
  <c r="U8" i="1"/>
  <c r="R7" i="1"/>
  <c r="U7" i="1" s="1"/>
  <c r="Y8" i="6"/>
  <c r="W7" i="6"/>
  <c r="Y7" i="6" s="1"/>
  <c r="M52" i="10"/>
  <c r="C52" i="10"/>
  <c r="K52" i="10" s="1"/>
  <c r="BO7" i="7"/>
  <c r="BQ7" i="7" s="1"/>
  <c r="BQ8" i="7"/>
  <c r="J8" i="10"/>
  <c r="L7" i="10"/>
  <c r="J7" i="10" s="1"/>
  <c r="J8" i="12"/>
  <c r="L7" i="12"/>
  <c r="J7" i="12" s="1"/>
  <c r="C8" i="18"/>
  <c r="K8" i="18" s="1"/>
  <c r="D7" i="18"/>
  <c r="M8" i="18"/>
  <c r="P8" i="2"/>
  <c r="G7" i="2"/>
  <c r="P7" i="2" s="1"/>
  <c r="C13" i="5"/>
  <c r="K13" i="5" s="1"/>
  <c r="D8" i="5"/>
  <c r="M13" i="5"/>
  <c r="V8" i="2"/>
  <c r="S7" i="2"/>
  <c r="V7" i="2" s="1"/>
  <c r="X7" i="10"/>
  <c r="Z8" i="10"/>
  <c r="AC8" i="10"/>
  <c r="M31" i="9"/>
  <c r="C31" i="9"/>
  <c r="K31" i="9" s="1"/>
  <c r="P8" i="1"/>
  <c r="G7" i="1"/>
  <c r="P7" i="1" s="1"/>
  <c r="L7" i="3"/>
  <c r="J7" i="3" s="1"/>
  <c r="J8" i="3"/>
  <c r="M74" i="6"/>
  <c r="C74" i="6"/>
  <c r="K74" i="6" s="1"/>
  <c r="M13" i="8"/>
  <c r="C13" i="8"/>
  <c r="K13" i="8" s="1"/>
  <c r="D8" i="8"/>
  <c r="AB8" i="9"/>
  <c r="X7" i="9"/>
  <c r="Z8" i="9"/>
  <c r="I7" i="10"/>
  <c r="Q7" i="10" s="1"/>
  <c r="Q8" i="10"/>
  <c r="I7" i="6"/>
  <c r="Q7" i="6" s="1"/>
  <c r="Q8" i="6"/>
  <c r="G7" i="9"/>
  <c r="P7" i="9" s="1"/>
  <c r="P8" i="9"/>
  <c r="J8" i="9"/>
  <c r="L7" i="9"/>
  <c r="J7" i="9" s="1"/>
  <c r="M9" i="12"/>
  <c r="C9" i="12"/>
  <c r="K9" i="12" s="1"/>
  <c r="Y8" i="17"/>
  <c r="W7" i="17"/>
  <c r="Y7" i="17" s="1"/>
  <c r="C89" i="9"/>
  <c r="K90" i="9"/>
  <c r="K89" i="9" s="1"/>
  <c r="U8" i="20"/>
  <c r="R7" i="20"/>
  <c r="U7" i="20" s="1"/>
  <c r="H7" i="13"/>
  <c r="N8" i="13"/>
  <c r="J8" i="5"/>
  <c r="L7" i="5"/>
  <c r="J7" i="5" s="1"/>
  <c r="H7" i="9"/>
  <c r="N8" i="9"/>
  <c r="U8" i="10"/>
  <c r="R7" i="10"/>
  <c r="U7" i="10" s="1"/>
  <c r="D7" i="16"/>
  <c r="C8" i="16"/>
  <c r="K8" i="16" s="1"/>
  <c r="M8" i="16"/>
  <c r="AP8" i="19"/>
  <c r="AN7" i="19"/>
  <c r="AP7" i="19" s="1"/>
  <c r="AG7" i="20"/>
  <c r="AK7" i="20" s="1"/>
  <c r="AK8" i="20"/>
  <c r="C89" i="7"/>
  <c r="V8" i="16"/>
  <c r="S7" i="16"/>
  <c r="V7" i="16" s="1"/>
  <c r="AB8" i="17"/>
  <c r="Z7" i="17"/>
  <c r="AB7" i="17" s="1"/>
  <c r="BE8" i="17"/>
  <c r="BB7" i="17"/>
  <c r="BE7" i="17" s="1"/>
  <c r="AC7" i="20"/>
  <c r="AE7" i="20" s="1"/>
  <c r="AE8" i="20"/>
  <c r="AR7" i="19"/>
  <c r="AT7" i="19" s="1"/>
  <c r="AT8" i="19"/>
  <c r="AN8" i="7"/>
  <c r="AL7" i="7"/>
  <c r="AN7" i="7" s="1"/>
  <c r="S7" i="7"/>
  <c r="V7" i="7" s="1"/>
  <c r="V8" i="7"/>
  <c r="M89" i="12"/>
  <c r="AC8" i="13"/>
  <c r="Z7" i="13"/>
  <c r="AC7" i="13" s="1"/>
  <c r="V8" i="10"/>
  <c r="S7" i="10"/>
  <c r="V7" i="10" s="1"/>
  <c r="N8" i="12"/>
  <c r="H7" i="12"/>
  <c r="AH7" i="18"/>
  <c r="AK7" i="18" s="1"/>
  <c r="AK8" i="18"/>
  <c r="AW7" i="7"/>
  <c r="AY7" i="7" s="1"/>
  <c r="AY8" i="7"/>
  <c r="J8" i="1"/>
  <c r="L7" i="1"/>
  <c r="J7" i="1" s="1"/>
  <c r="L7" i="8"/>
  <c r="J7" i="8" s="1"/>
  <c r="J8" i="8"/>
  <c r="AI8" i="19"/>
  <c r="AG7" i="19"/>
  <c r="AI7" i="19" s="1"/>
  <c r="P8" i="3"/>
  <c r="G7" i="3"/>
  <c r="P7" i="3" s="1"/>
  <c r="AN8" i="17"/>
  <c r="AL7" i="17"/>
  <c r="AN7" i="17" s="1"/>
  <c r="Z8" i="19"/>
  <c r="W7" i="19"/>
  <c r="Z7" i="19" s="1"/>
  <c r="K89" i="7"/>
  <c r="R7" i="12"/>
  <c r="T7" i="12" s="1"/>
  <c r="T8" i="12"/>
  <c r="M9" i="7"/>
  <c r="C9" i="7"/>
  <c r="K9" i="7" s="1"/>
  <c r="M9" i="8"/>
  <c r="C9" i="8"/>
  <c r="K9" i="8" s="1"/>
  <c r="Z13" i="1"/>
  <c r="W8" i="1"/>
  <c r="C31" i="6"/>
  <c r="K31" i="6" s="1"/>
  <c r="M31" i="6"/>
  <c r="I7" i="8"/>
  <c r="Q7" i="8" s="1"/>
  <c r="Q8" i="8"/>
  <c r="R7" i="13"/>
  <c r="U7" i="13" s="1"/>
  <c r="U8" i="13"/>
  <c r="C8" i="19"/>
  <c r="K8" i="19" s="1"/>
  <c r="M8" i="19"/>
  <c r="D7" i="19"/>
  <c r="M31" i="10"/>
  <c r="C31" i="10"/>
  <c r="K31" i="10" s="1"/>
  <c r="W8" i="14"/>
  <c r="Y13" i="14"/>
  <c r="C89" i="8"/>
  <c r="K90" i="8"/>
  <c r="K89" i="8" s="1"/>
  <c r="S7" i="18"/>
  <c r="V7" i="18" s="1"/>
  <c r="V8" i="18"/>
  <c r="Z7" i="20"/>
  <c r="AB7" i="20" s="1"/>
  <c r="AB8" i="20"/>
  <c r="S7" i="8"/>
  <c r="V7" i="8" s="1"/>
  <c r="V8" i="8"/>
  <c r="D8" i="10"/>
  <c r="M74" i="13"/>
  <c r="C74" i="13"/>
  <c r="K74" i="13" s="1"/>
  <c r="R7" i="14"/>
  <c r="U7" i="14" s="1"/>
  <c r="U8" i="14"/>
  <c r="AR8" i="16"/>
  <c r="AP7" i="16"/>
  <c r="AR7" i="16" s="1"/>
  <c r="AL8" i="19"/>
  <c r="AJ7" i="19"/>
  <c r="AL7" i="19" s="1"/>
  <c r="J8" i="13"/>
  <c r="L7" i="13"/>
  <c r="J7" i="13" s="1"/>
  <c r="V8" i="3"/>
  <c r="S7" i="3"/>
  <c r="V7" i="3" s="1"/>
  <c r="C74" i="2"/>
  <c r="K74" i="2" s="1"/>
  <c r="M74" i="2"/>
  <c r="W7" i="3"/>
  <c r="Y7" i="3" s="1"/>
  <c r="Y8" i="3"/>
  <c r="H7" i="6"/>
  <c r="N7" i="6" s="1"/>
  <c r="N8" i="6"/>
  <c r="Q8" i="5"/>
  <c r="I7" i="5"/>
  <c r="Q7" i="5" s="1"/>
  <c r="D7" i="14"/>
  <c r="M8" i="14"/>
  <c r="C8" i="14"/>
  <c r="K8" i="14" s="1"/>
  <c r="P8" i="5"/>
  <c r="G7" i="5"/>
  <c r="P7" i="5" s="1"/>
  <c r="Q8" i="3"/>
  <c r="I7" i="3"/>
  <c r="Q7" i="3" s="1"/>
  <c r="C74" i="8"/>
  <c r="K74" i="8" s="1"/>
  <c r="M74" i="8"/>
  <c r="M13" i="13"/>
  <c r="D8" i="13"/>
  <c r="C13" i="13"/>
  <c r="K13" i="13" s="1"/>
  <c r="U7" i="9"/>
  <c r="W7" i="9" s="1"/>
  <c r="W8" i="9"/>
  <c r="AQ8" i="1"/>
  <c r="AO7" i="1"/>
  <c r="AQ7" i="1" s="1"/>
  <c r="V8" i="5"/>
  <c r="S7" i="5"/>
  <c r="V7" i="5" s="1"/>
  <c r="G7" i="8"/>
  <c r="P7" i="8" s="1"/>
  <c r="P8" i="8"/>
  <c r="U8" i="16"/>
  <c r="R7" i="16"/>
  <c r="U7" i="16" s="1"/>
  <c r="S7" i="19"/>
  <c r="V7" i="19" s="1"/>
  <c r="V8" i="19"/>
  <c r="W7" i="20"/>
  <c r="Y7" i="20" s="1"/>
  <c r="Y8" i="20"/>
  <c r="AD7" i="10"/>
  <c r="AI7" i="10" s="1"/>
  <c r="AI8" i="10"/>
  <c r="AI8" i="20"/>
  <c r="AF7" i="20"/>
  <c r="AI7" i="20" s="1"/>
  <c r="BB8" i="7"/>
  <c r="AZ7" i="7"/>
  <c r="BB7" i="7" s="1"/>
  <c r="C13" i="6"/>
  <c r="K13" i="6" s="1"/>
  <c r="D8" i="6"/>
  <c r="M13" i="6"/>
  <c r="CA7" i="7"/>
  <c r="CC7" i="7" s="1"/>
  <c r="CC8" i="7"/>
  <c r="M74" i="9"/>
  <c r="C74" i="9"/>
  <c r="K74" i="9" s="1"/>
  <c r="P8" i="10"/>
  <c r="G7" i="10"/>
  <c r="P7" i="10" s="1"/>
  <c r="Y8" i="13"/>
  <c r="V7" i="13"/>
  <c r="Y7" i="13" s="1"/>
  <c r="L7" i="11"/>
  <c r="J7" i="11" s="1"/>
  <c r="J8" i="11"/>
  <c r="W8" i="12"/>
  <c r="AE8" i="17"/>
  <c r="AC7" i="17"/>
  <c r="AE7" i="17" s="1"/>
  <c r="V8" i="20"/>
  <c r="S7" i="20"/>
  <c r="V7" i="20" s="1"/>
  <c r="Q8" i="11"/>
  <c r="I7" i="11"/>
  <c r="Q7" i="11" s="1"/>
  <c r="AC7" i="16"/>
  <c r="AE7" i="16" s="1"/>
  <c r="AE8" i="16"/>
  <c r="AI7" i="16"/>
  <c r="AM7" i="16"/>
  <c r="AG7" i="16"/>
  <c r="AK7" i="16"/>
  <c r="Y7" i="16"/>
  <c r="I7" i="1"/>
  <c r="Q7" i="1" s="1"/>
  <c r="Q8" i="1"/>
  <c r="BI7" i="7"/>
  <c r="BK7" i="7" s="1"/>
  <c r="BK8" i="7"/>
  <c r="CG7" i="7"/>
  <c r="CI7" i="7" s="1"/>
  <c r="CI8" i="7"/>
  <c r="Q8" i="2"/>
  <c r="I7" i="2"/>
  <c r="Q7" i="2" s="1"/>
  <c r="Y8" i="2"/>
  <c r="W7" i="2"/>
  <c r="Y7" i="2" s="1"/>
  <c r="CL8" i="7"/>
  <c r="CJ7" i="7"/>
  <c r="CL7" i="7" s="1"/>
  <c r="G7" i="6"/>
  <c r="P7" i="6" s="1"/>
  <c r="P8" i="6"/>
  <c r="U8" i="19"/>
  <c r="R7" i="19"/>
  <c r="U7" i="19" s="1"/>
  <c r="BA8" i="19"/>
  <c r="AY7" i="19"/>
  <c r="BA7" i="19" s="1"/>
  <c r="M31" i="8"/>
  <c r="C31" i="8"/>
  <c r="K31" i="8" s="1"/>
  <c r="S7" i="6"/>
  <c r="V7" i="6" s="1"/>
  <c r="V8" i="6"/>
  <c r="R7" i="9"/>
  <c r="T7" i="9" s="1"/>
  <c r="T8" i="9"/>
  <c r="S7" i="14"/>
  <c r="V7" i="14" s="1"/>
  <c r="V8" i="14"/>
  <c r="Z7" i="18"/>
  <c r="AC7" i="18" s="1"/>
  <c r="AC8" i="18"/>
  <c r="C9" i="9"/>
  <c r="K9" i="9" s="1"/>
  <c r="M9" i="9"/>
  <c r="N8" i="2"/>
  <c r="AL7" i="18"/>
  <c r="AO7" i="18" s="1"/>
  <c r="AO8" i="18"/>
  <c r="BC7" i="7"/>
  <c r="BE7" i="7" s="1"/>
  <c r="BE8" i="7"/>
  <c r="AD7" i="1"/>
  <c r="X7" i="1" s="1"/>
  <c r="X8" i="1"/>
  <c r="BU7" i="7"/>
  <c r="BW7" i="7" s="1"/>
  <c r="BW8" i="7"/>
  <c r="M52" i="11"/>
  <c r="C52" i="11"/>
  <c r="K52" i="11" s="1"/>
  <c r="N8" i="11"/>
  <c r="H7" i="11"/>
  <c r="Y8" i="15"/>
  <c r="W7" i="15"/>
  <c r="Y7" i="15" s="1"/>
  <c r="M8" i="17"/>
  <c r="D7" i="17"/>
  <c r="C8" i="17"/>
  <c r="K8" i="17" s="1"/>
  <c r="X7" i="19"/>
  <c r="AB7" i="19" s="1"/>
  <c r="AB8" i="19"/>
  <c r="N8" i="10"/>
  <c r="H7" i="10"/>
  <c r="AE8" i="2"/>
  <c r="AC7" i="2"/>
  <c r="AE7" i="2" s="1"/>
  <c r="H7" i="5"/>
  <c r="N8" i="5"/>
  <c r="M8" i="15"/>
  <c r="D7" i="15"/>
  <c r="C8" i="15"/>
  <c r="K8" i="15" s="1"/>
  <c r="C52" i="8"/>
  <c r="K52" i="8" s="1"/>
  <c r="M52" i="8"/>
  <c r="U8" i="8"/>
  <c r="R7" i="8"/>
  <c r="U7" i="8" s="1"/>
  <c r="D7" i="20"/>
  <c r="C8" i="20"/>
  <c r="K8" i="20" s="1"/>
  <c r="M8" i="20"/>
  <c r="AF8" i="10"/>
  <c r="AA7" i="10"/>
  <c r="AF7" i="10" s="1"/>
  <c r="U8" i="2"/>
  <c r="R7" i="2"/>
  <c r="U7" i="2" s="1"/>
  <c r="V8" i="1"/>
  <c r="S7" i="1"/>
  <c r="V7" i="1" s="1"/>
  <c r="C31" i="5"/>
  <c r="K31" i="5" s="1"/>
  <c r="M31" i="5"/>
  <c r="AW8" i="19"/>
  <c r="AU7" i="19"/>
  <c r="AW7" i="19" s="1"/>
  <c r="C89" i="12"/>
  <c r="AB8" i="2"/>
  <c r="Z7" i="2"/>
  <c r="AB7" i="2" s="1"/>
  <c r="W7" i="5"/>
  <c r="Y7" i="5" s="1"/>
  <c r="Y8" i="5"/>
  <c r="I7" i="13"/>
  <c r="Q7" i="13" s="1"/>
  <c r="Q8" i="13"/>
  <c r="P8" i="13"/>
  <c r="G7" i="13"/>
  <c r="P7" i="13" s="1"/>
  <c r="V8" i="17"/>
  <c r="S7" i="17"/>
  <c r="V7" i="17" s="1"/>
  <c r="AB8" i="1" l="1"/>
  <c r="K8" i="7"/>
  <c r="C8" i="1"/>
  <c r="K8" i="1" s="1"/>
  <c r="C8" i="9"/>
  <c r="K8" i="9" s="1"/>
  <c r="D7" i="3"/>
  <c r="M7" i="3" s="1"/>
  <c r="C8" i="12"/>
  <c r="K8" i="12" s="1"/>
  <c r="D7" i="2"/>
  <c r="M7" i="2" s="1"/>
  <c r="D7" i="9"/>
  <c r="M7" i="9" s="1"/>
  <c r="N7" i="5"/>
  <c r="M8" i="1"/>
  <c r="AB7" i="1"/>
  <c r="M8" i="2"/>
  <c r="M8" i="3"/>
  <c r="M8" i="11"/>
  <c r="C8" i="11"/>
  <c r="K8" i="11" s="1"/>
  <c r="D7" i="7"/>
  <c r="M7" i="7" s="1"/>
  <c r="M8" i="4"/>
  <c r="C8" i="4"/>
  <c r="K8" i="4" s="1"/>
  <c r="N7" i="2"/>
  <c r="M8" i="12"/>
  <c r="M8" i="7"/>
  <c r="K8" i="2"/>
  <c r="N7" i="8"/>
  <c r="N7" i="10"/>
  <c r="N7" i="11"/>
  <c r="M8" i="6"/>
  <c r="C8" i="6"/>
  <c r="K8" i="6" s="1"/>
  <c r="D7" i="6"/>
  <c r="M7" i="14"/>
  <c r="C7" i="14"/>
  <c r="K7" i="14" s="1"/>
  <c r="N7" i="12"/>
  <c r="C7" i="1"/>
  <c r="K7" i="1" s="1"/>
  <c r="M7" i="1"/>
  <c r="N7" i="9"/>
  <c r="C7" i="12"/>
  <c r="K7" i="12" s="1"/>
  <c r="M7" i="12"/>
  <c r="C7" i="11"/>
  <c r="K7" i="11" s="1"/>
  <c r="M7" i="11"/>
  <c r="M7" i="19"/>
  <c r="C7" i="19"/>
  <c r="K7" i="19" s="1"/>
  <c r="N7" i="1"/>
  <c r="C7" i="16"/>
  <c r="K7" i="16" s="1"/>
  <c r="M7" i="16"/>
  <c r="Z7" i="9"/>
  <c r="AB7" i="9"/>
  <c r="M8" i="13"/>
  <c r="D7" i="13"/>
  <c r="C8" i="13"/>
  <c r="K8" i="13" s="1"/>
  <c r="C7" i="4"/>
  <c r="K7" i="4" s="1"/>
  <c r="M7" i="4"/>
  <c r="C7" i="18"/>
  <c r="K7" i="18" s="1"/>
  <c r="M7" i="18"/>
  <c r="C7" i="20"/>
  <c r="K7" i="20" s="1"/>
  <c r="M7" i="20"/>
  <c r="M7" i="15"/>
  <c r="C7" i="15"/>
  <c r="K7" i="15" s="1"/>
  <c r="C8" i="10"/>
  <c r="K8" i="10" s="1"/>
  <c r="M8" i="10"/>
  <c r="D7" i="10"/>
  <c r="C8" i="8"/>
  <c r="K8" i="8" s="1"/>
  <c r="D7" i="8"/>
  <c r="M8" i="8"/>
  <c r="D7" i="5"/>
  <c r="C8" i="5"/>
  <c r="K8" i="5" s="1"/>
  <c r="M8" i="5"/>
  <c r="C7" i="17"/>
  <c r="K7" i="17" s="1"/>
  <c r="M7" i="17"/>
  <c r="W7" i="14"/>
  <c r="Y7" i="14" s="1"/>
  <c r="Y8" i="14"/>
  <c r="Z8" i="1"/>
  <c r="W7" i="1"/>
  <c r="Z7" i="1" s="1"/>
  <c r="N7" i="13"/>
  <c r="AC7" i="10"/>
  <c r="Z7" i="10"/>
  <c r="C7" i="9" l="1"/>
  <c r="K7" i="9" s="1"/>
  <c r="C7" i="3"/>
  <c r="K7" i="3" s="1"/>
  <c r="C7" i="2"/>
  <c r="K7" i="2" s="1"/>
  <c r="C7" i="7"/>
  <c r="K7" i="7" s="1"/>
  <c r="M7" i="10"/>
  <c r="C7" i="10"/>
  <c r="K7" i="10" s="1"/>
  <c r="C7" i="6"/>
  <c r="K7" i="6" s="1"/>
  <c r="M7" i="6"/>
  <c r="C7" i="5"/>
  <c r="K7" i="5" s="1"/>
  <c r="M7" i="5"/>
  <c r="C7" i="13"/>
  <c r="K7" i="13" s="1"/>
  <c r="M7" i="13"/>
  <c r="C7" i="8"/>
  <c r="K7" i="8" s="1"/>
  <c r="M7" i="8"/>
</calcChain>
</file>

<file path=xl/sharedStrings.xml><?xml version="1.0" encoding="utf-8"?>
<sst xmlns="http://schemas.openxmlformats.org/spreadsheetml/2006/main" count="3255" uniqueCount="290">
  <si>
    <t>งบประมาณ - ผลการใช้จ่าย และ แผนงาน - ผลการดำเนินงาน ประจำปีงบประมาณ 2567</t>
  </si>
  <si>
    <t>จังหวัด</t>
  </si>
  <si>
    <t xml:space="preserve">กิจกรรมส่งเสริมเกษตรแบบแปลงใหญ่  </t>
  </si>
  <si>
    <t>เงินงบประมาณ (งบดำเนินงาน)</t>
  </si>
  <si>
    <t>เงินกองทุน</t>
  </si>
  <si>
    <t>อบรมเกษตรกร</t>
  </si>
  <si>
    <t>สนับสนุนปัจจัยการผลิต</t>
  </si>
  <si>
    <t>แผนงบประมาณ (บาท)</t>
  </si>
  <si>
    <t>โอนจัดสรร</t>
  </si>
  <si>
    <t>ผลการเบิกจ่าย</t>
  </si>
  <si>
    <t>ได้รับอนุมัติ</t>
  </si>
  <si>
    <t>จัดสรร</t>
  </si>
  <si>
    <t>เบิกจ่าย</t>
  </si>
  <si>
    <t>ร้อยละ
(ได้รับ)</t>
  </si>
  <si>
    <t>ร้อยละ
(จัดสรร)</t>
  </si>
  <si>
    <t xml:space="preserve">รวม
</t>
  </si>
  <si>
    <t>แปลงใหญ่ ปี 2567</t>
  </si>
  <si>
    <t>แปลงใหญ่ ปี 2566</t>
  </si>
  <si>
    <t>แปลงใหญ่ ปี 2565</t>
  </si>
  <si>
    <t>รวม
(1)+(2)+(3)</t>
  </si>
  <si>
    <t>รวม
(1)+(2)</t>
  </si>
  <si>
    <t>ค่าบริหาร
สำนักงาน 
(1)</t>
  </si>
  <si>
    <t>เนื้องาน
(2)</t>
  </si>
  <si>
    <t>งบลงทุน
(3)</t>
  </si>
  <si>
    <t>งบดำเนินงาน</t>
  </si>
  <si>
    <t>งบลงทุน</t>
  </si>
  <si>
    <t>งบดำเนินงาน+งบลงทุน</t>
  </si>
  <si>
    <t>แผนงาน</t>
  </si>
  <si>
    <t>ผลงาน</t>
  </si>
  <si>
    <t>บาท</t>
  </si>
  <si>
    <t>ร้อยละ</t>
  </si>
  <si>
    <t>ร้อยละ(ได้รับ)</t>
  </si>
  <si>
    <t>ร้อยละ(จัดสรร)</t>
  </si>
  <si>
    <t>แปลง</t>
  </si>
  <si>
    <t>ราย</t>
  </si>
  <si>
    <t>(แปลง)</t>
  </si>
  <si>
    <t xml:space="preserve">ร้อยละ </t>
  </si>
  <si>
    <t>1. รวม ส.ป.ก.จังหวัด</t>
  </si>
  <si>
    <t>2. รวมส่วนกลาง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</si>
  <si>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</si>
  <si>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</si>
  <si>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</si>
  <si>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</si>
  <si>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</si>
  <si>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</si>
  <si>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</si>
  <si>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</si>
  <si>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</si>
  <si>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</si>
  <si>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</si>
  <si>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</si>
  <si>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</si>
  <si>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</si>
  <si>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</si>
  <si>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</si>
  <si>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</si>
  <si>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</si>
  <si>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</si>
  <si>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</si>
  <si>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</si>
  <si>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</si>
  <si>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</si>
  <si>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</si>
  <si>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</si>
  <si>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</si>
  <si>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</si>
  <si>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</si>
  <si>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</si>
  <si>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</si>
  <si>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</si>
  <si>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</si>
  <si>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</si>
  <si>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</si>
  <si>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</si>
  <si>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</si>
  <si>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</si>
  <si>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</si>
  <si>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</si>
  <si>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</si>
  <si>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</si>
  <si>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</si>
  <si>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</si>
  <si>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</si>
  <si>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</si>
  <si>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</si>
  <si>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</si>
  <si>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</si>
  <si>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</si>
  <si>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</si>
  <si>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</si>
  <si>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</si>
  <si>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</si>
  <si>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</si>
  <si>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</si>
  <si>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</si>
  <si>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</si>
  <si>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</si>
  <si>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</si>
  <si>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</si>
  <si>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</si>
  <si>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</si>
  <si>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</si>
  <si>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</si>
  <si>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</si>
  <si>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</si>
  <si>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</si>
  <si>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</si>
  <si>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</si>
  <si>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</si>
  <si>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</si>
  <si>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</si>
  <si>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</si>
  <si>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</si>
  <si>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</si>
  <si>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</si>
  <si>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</si>
  <si>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กตน.</t>
  </si>
  <si>
    <t>กพร.</t>
  </si>
  <si>
    <t>กกจ.</t>
  </si>
  <si>
    <t>สบก.</t>
  </si>
  <si>
    <t>สกม.</t>
  </si>
  <si>
    <t>สวผ.</t>
  </si>
  <si>
    <t>สจก.</t>
  </si>
  <si>
    <t>สบท.</t>
  </si>
  <si>
    <t>สพป.</t>
  </si>
  <si>
    <t>ศทส.</t>
  </si>
  <si>
    <t>สผส.</t>
  </si>
  <si>
    <t>สพท.</t>
  </si>
  <si>
    <t>ศพส.</t>
  </si>
  <si>
    <t>กปร.</t>
  </si>
  <si>
    <t>สำรองนโยบาย</t>
  </si>
  <si>
    <t>รายการบุคลากรภาครัฐ</t>
  </si>
  <si>
    <t>งบบุคลากร (เงินเดือน)</t>
  </si>
  <si>
    <t>กิจกรรมส่งเสริมและพัฒนาเกษตรทฤษฎีใหม่ในเขตปฏิรูปที่ดิน</t>
  </si>
  <si>
    <t>พื้นที่ที่ได้รับการส่งเสริมเป็นเกษตรทฤษฎีใหม่</t>
  </si>
  <si>
    <t>เกษตรกรได้รับการส่งเสริมองค์ความรู้เกี่ยวกับเกษตรทฤษฎีใหม่</t>
  </si>
  <si>
    <t>ไร่</t>
  </si>
  <si>
    <t>กิจกรรมพัฒนาธุรกิจชุมชนในเขตปฏิรูปที่ดิน</t>
  </si>
  <si>
    <t>หลักสูตร การเสริมสร้างความเข้มแข็งและการบริหารจัดการธุรกิจ</t>
  </si>
  <si>
    <t>หลักสูตร การเพิ่มมูลค่าสินค้าและการพัฒนาช่องทางด้านการตลาด</t>
  </si>
  <si>
    <t>หลักสูตร แนวทางการขับเคลื่อนการพัฒนาธุรกิจชุมชนสู่ความสำเร็จ (โดย สพท.)</t>
  </si>
  <si>
    <t>กลุ่ม</t>
  </si>
  <si>
    <t>* ยังไม่มีรายละเอียดของเงินงบประมาณ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</si>
  <si>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</si>
  <si>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การ
เตรียมการ</t>
  </si>
  <si>
    <t>หลักสูตรที่ 1 การดูแลรักษาโรงอบ ฯ</t>
  </si>
  <si>
    <t>หลักสูตรที่ 2 การแปรรูปสมุนไพรด้วยโรงอบ ฯ</t>
  </si>
  <si>
    <t>จัดทำโรงอบ
(งบลงทุน)</t>
  </si>
  <si>
    <t>แห่ง</t>
  </si>
  <si>
    <t xml:space="preserve">กิจกรรมตรวจรับรองสินค้าเกษตรในเขตปฏิรูปที่ดินตามมาตรฐาน GAP </t>
  </si>
  <si>
    <t>เกษตรกรยื่นขอรับการรับรองมาตรฐานสินค้า 
(โดย ส.ป.ก.จังหวัด)</t>
  </si>
  <si>
    <t xml:space="preserve">กิจกรรมพัฒนาและส่งเสริมศิลปหัตถกรรม  </t>
  </si>
  <si>
    <t xml:space="preserve">หลักสูตรศิลปาชีพเพื่อเกษตรในเขตปฏิรูปที่ดิน 
(โดย ส.ป.ก.จังหวัด)  </t>
  </si>
  <si>
    <t xml:space="preserve">หลักสูตรศิลปาชีพเพื่อผู้สนใจ (โดย ศพส.) 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</si>
  <si>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</si>
  <si>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</si>
  <si>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(2) โครงการอนุรักษ์พันธุกรรมพืชฯ (อพ.สธ.)</t>
  </si>
  <si>
    <t>(3) โครงการเพิ่มศักยภาพระบบงานเกษตรภายใต้แผนพัฒนาเด็ก ฯ</t>
  </si>
  <si>
    <t xml:space="preserve">(4) โครงการพัฒนาและรณรงค์การใช้หญ้าแฝก </t>
  </si>
  <si>
    <t>(5) โครงการอันเนื่องมาจากพระราชดำริพัฒนาความรู้ 12 โครงการ</t>
  </si>
  <si>
    <t>งบประมาณ</t>
  </si>
  <si>
    <t>ออกหน่วยบริการคลินิกเกษตรเคลื่อนที่</t>
  </si>
  <si>
    <t>เกษตรกรใช้บริการ</t>
  </si>
  <si>
    <t>งบประมาณ
ค่าบริหารโครงการ</t>
  </si>
  <si>
    <t>งบประมาณ
งบอบรม</t>
  </si>
  <si>
    <t>งบประมาณ
วัสดุการเกษตร</t>
  </si>
  <si>
    <t>อบรม</t>
  </si>
  <si>
    <t>สนับสนุนวัสดุการเกษตร</t>
  </si>
  <si>
    <t>ฝึกอบรมเด็กและเยาวชน</t>
  </si>
  <si>
    <t>งบประมาณ
ค่าใช้จ่ายในการบริหารงาน</t>
  </si>
  <si>
    <t>งบประมาณ
ค่าใช้จ่ายในการปฏิบัติงาน</t>
  </si>
  <si>
    <t>ประสานขอรับพันธุ์กล้าจากสำนักงานพัฒนาที่ดิน</t>
  </si>
  <si>
    <t>ปลูกหญ้าแฝก</t>
  </si>
  <si>
    <t>การฝึกอบรมการพัฒนาผลิตภัณฑ์และเชื่อมโยงการตลาด</t>
  </si>
  <si>
    <t>งบประมาณ
บริหารโครงการ</t>
  </si>
  <si>
    <t>งบประมาณ
ค่าเบี้ยเลี้ยง/ที่พัก/พาหนะ</t>
  </si>
  <si>
    <t>งบประมาณ
ค่าวัสดุการเกษตร</t>
  </si>
  <si>
    <t>การฝึกอบรม</t>
  </si>
  <si>
    <t>ได้รับ</t>
  </si>
  <si>
    <t>รวม</t>
  </si>
  <si>
    <t>เบ็ดเสร็จ</t>
  </si>
  <si>
    <t>ต่อเนื่อง</t>
  </si>
  <si>
    <t>ครั้ง</t>
  </si>
  <si>
    <t>โรงเรียน</t>
  </si>
  <si>
    <t>โรงเรียน/ราย</t>
  </si>
  <si>
    <t>กล้า</t>
  </si>
  <si>
    <t>กิจกรรมพัฒนาผู้แทนเกษตรกรในเขตปฏิรูปที่ดิน</t>
  </si>
  <si>
    <t>หลักสูตรการพัฒนาผู้แทนเกษตรกรในระดับพื้นที่ (โดย ส.ป.ก.จังหวัด)</t>
  </si>
  <si>
    <t>หลักสูตรการพัฒนาภาวะผู้นำแก่ผู้นำเกษตรกร (สพท.)</t>
  </si>
  <si>
    <t>กิจกรรมเฝ้าระวังการเผาซากพืช วัชพืช และวัสดุทางการเกษตร ฯ</t>
  </si>
  <si>
    <t>พื้นที่ที่ได้รับการส่งเสริมและเฝ้าระวังให้มีการลดการเผา</t>
  </si>
  <si>
    <t>หลักสูตร แนวทางการเฝ้าระวังการเผาไหม้ฯ</t>
  </si>
  <si>
    <r>
      <rPr>
        <b/>
        <sz val="15"/>
        <color rgb="FF000000"/>
        <rFont val="Arial"/>
      </rPr>
      <t xml:space="preserve">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</si>
  <si>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b/>
        <sz val="15"/>
        <color rgb="FF000000"/>
        <rFont val="Arial"/>
      </rPr>
      <t xml:space="preserve">เกษตรกร </t>
    </r>
    <r>
      <rPr>
        <b/>
        <sz val="15"/>
        <color rgb="FFFF0000"/>
        <rFont val="Arial"/>
      </rPr>
      <t>เฉพาะ</t>
    </r>
    <r>
      <rPr>
        <b/>
        <sz val="15"/>
        <color rgb="FF000000"/>
        <rFont val="Arial"/>
      </rPr>
      <t xml:space="preserve"> ที่ได้รับการอบรม</t>
    </r>
  </si>
  <si>
    <t>กิจกรรมพัฒนาเกษตรกรปราดเปรื่องในเขตปฏิรูปที่ดิน (Smart Farmer)</t>
  </si>
  <si>
    <t>เตรียมความพร้อม</t>
  </si>
  <si>
    <t>ผู้ประกอบการต้นแบบ</t>
  </si>
  <si>
    <t>คัดเลือกเกษตรกรปราดเปรื่องต้นแบบ</t>
  </si>
  <si>
    <t>กิจกรรมบริหารจัดการพื้นที่ที่ดินแปลงรวม</t>
  </si>
  <si>
    <t>ประสาน/สำรวจพื้นที่/ประสานหน่วยงานที่เกี่ยวข้อง</t>
  </si>
  <si>
    <t>พื้นที่</t>
  </si>
  <si>
    <t>กิจกรรมศูนย์บริการประชาชน</t>
  </si>
  <si>
    <t>ให้บริการเกษตรกรด้านอื่น ๆ</t>
  </si>
  <si>
    <t>ให้บริการรับคำร้องแสดงความประสงค์ขอออกโฉนดเพื่อการเกษตร</t>
  </si>
  <si>
    <t>ให้บริการเกษตรกร ณ 
ศูนย์บริการประชาชน</t>
  </si>
  <si>
    <t>ออกศูนย์บริการเคลื่อนที่
ในเขตปฏิรูปที่ดิน</t>
  </si>
  <si>
    <t>จากระบบออนไลน์</t>
  </si>
  <si>
    <t>จากการออกรับบริการร่วมกับหน่วยงานภายนอกอื่น ๆ</t>
  </si>
  <si>
    <t xml:space="preserve"> เจ้าหน้าที่ยังไม่ได้รับเรื่อง</t>
  </si>
  <si>
    <t>อยู่ระหว่างตรวจสอบตามขั้นตอนออกโฉนด (ขั้นตอน 1-10)</t>
  </si>
  <si>
    <t>ผู้มารับบริการ</t>
  </si>
  <si>
    <t>ตำบล</t>
  </si>
  <si>
    <t>กิจกรรมจัดที่ดิน</t>
  </si>
  <si>
    <t>รังวัด</t>
  </si>
  <si>
    <t>สอบสวนสิทธิ</t>
  </si>
  <si>
    <t>มอบ ส.ป.ก.4-01</t>
  </si>
  <si>
    <t>ร้อยละ (ไร่)</t>
  </si>
  <si>
    <t>ร้อยละ (ราย)</t>
  </si>
  <si>
    <t>กิจกรรมแผนที่แปลงที่ดินตามมาตรฐาน RTK GNSS Network</t>
  </si>
  <si>
    <t>ผลการดำเนินงาน</t>
  </si>
  <si>
    <t>ดำเนินการโดย ส.ป.ก. จังหวัด
(ข้อมูลจาก สผส.)</t>
  </si>
  <si>
    <t>ดำเนินการโดย สผส.</t>
  </si>
  <si>
    <t>จัดฝึกอบรมเกษตรกรตามหลักสูตร</t>
  </si>
  <si>
    <t>รวมผลงานฝึกอบรม</t>
  </si>
  <si>
    <t>หลักสูตร จัดทำ และสรุปทบทวนแผนชุมชน</t>
  </si>
  <si>
    <t>หลักสูตร ส่งเสริมพัฒนาอาชีพและการตลาด</t>
  </si>
  <si>
    <t>หลักสูตร การพัฒนาสถาบันเกษตรกรในพื้นที่ คทช.</t>
  </si>
  <si>
    <t>หลักสูตร ศึกษาดูงานเพื่อพัฒนาศักยภาพคณะกรรมการและสมาชิกฯ</t>
  </si>
  <si>
    <t>หลักสูตร พัฒนาผู้นำเกษตรกร และเชื่อมโยงภาคีเครือข่าย (สพท.)</t>
  </si>
  <si>
    <t>โครงการบริหารจัดการที่ดินเอกชน - กิจกรรมการจัดหาที่ดินเอกชน</t>
  </si>
  <si>
    <t>1. การจัดหาที่ดินเพื่อการจัดซื้อที่ดินเอกชน ปี 2566</t>
  </si>
  <si>
    <t>จัดทำป้ายประชาสัมพันธ์เพื่อประกาศพื้นที่</t>
  </si>
  <si>
    <t>ปิดป้ายประชาสัมพันธ์เพื่อประกาศพื้นที่</t>
  </si>
  <si>
    <t>รับคำเสนอขาย/ตรวจสอบความถูกต้องหนังสือแสดงสิทธิในที่ดิน</t>
  </si>
  <si>
    <t>ตรวจสอบสภาพพื้นที่ แปลงที่ดิน การทำประโยชน์/ต่อรองราคา</t>
  </si>
  <si>
    <t>คณะอนุกรรมการจัดซื้อที่ดินพิจารณาความเหมาะสมของที่ดิน</t>
  </si>
  <si>
    <t>นำเสนอ คปจ./อกก.คง.</t>
  </si>
  <si>
    <t>อำนาจ คปจ. เห็นชอบและอนุมัติ กรณีราคาไม่เกิน 1.5 เท่า</t>
  </si>
  <si>
    <t>อำนาจ อกก.คง. เห็นชอบและอนุมัติ กรณีราคาเกิน 1.5 เท่า</t>
  </si>
  <si>
    <t>2. จัดซื้อที่ดินงานต่อเนื่อง</t>
  </si>
  <si>
    <t>นำเสนอ คปจ.</t>
  </si>
  <si>
    <t>ประกาศเขตปฏิรูปที่ดิน</t>
  </si>
  <si>
    <t>จดทะเบียนสิทธิและนิติกรรม และชำระมูลค่าที่ดิน</t>
  </si>
  <si>
    <t>โครงการบริหารจัดการที่ดินเอกชน - จัดที่ดินเอกชน 7 กิจกรรม</t>
  </si>
  <si>
    <t>1. สำรวจรังวัดปูผังแบ่งแปลงที่ดิน 
(แปลงว่าง) *</t>
  </si>
  <si>
    <t>2. จัดทำสัญญาเช่า/เช่าซื้อ
(แปลงว่าง) *</t>
  </si>
  <si>
    <t>3. ปรับปรุงสิทธิ</t>
  </si>
  <si>
    <t>4. การสำรวจรังวัดแบ่งแยกในนามเดิมยื่นคำขอออกโฉนดที่ดินกับ สนง.ที่ดิน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</si>
  <si>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</si>
  <si>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</si>
  <si>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7. การเจรจาไกล่เกลี่ยข้อพิพาท</t>
  </si>
  <si>
    <t>การเช่าไปสู่การเช่าซื้อ</t>
  </si>
  <si>
    <t>การเช่าซื้อไปสู่การเช่า</t>
  </si>
  <si>
    <t>แปลงต้นขั้ว</t>
  </si>
  <si>
    <t>แปลงยื่นสำรวจรังวัดแบ่งแยก
(อยู่ระหว่างดำเนินการ)</t>
  </si>
  <si>
    <t>แปลงยื่นสำรวจรังวัดแบ่งแยก
(ดำเนินการเรียบร้อยแล้ว)</t>
  </si>
  <si>
    <t>เต็มแปลง</t>
  </si>
  <si>
    <t>แบ่งแปลง</t>
  </si>
  <si>
    <t>อยู่ระหว่างแก้ไขปัญหา</t>
  </si>
  <si>
    <t>ยุติเรื่อง</t>
  </si>
  <si>
    <t>วงรอบชุมชนใหม่
(แปลงว่าง) *</t>
  </si>
  <si>
    <t>คปจ.</t>
  </si>
  <si>
    <t>จัดทำสัญญาเข้าทำประโยชน์ (ส.ป.ก. 4-118)
(กิจการสนับสนุนฯ)</t>
  </si>
  <si>
    <t>หนังสืออนุญาตเข้าทำประโยชน์ (ส.ป.ก. 4-31)
(กิจการสาธารณูปโภค)</t>
  </si>
  <si>
    <t>กิจการสนับสนุน</t>
  </si>
  <si>
    <t>กิจการสาธารณูปโภค</t>
  </si>
  <si>
    <t>ชุมชน</t>
  </si>
  <si>
    <t>โครงการส่งเสริมระบบวนเกษตรในเขตปฏิรูปที่ดิน</t>
  </si>
  <si>
    <t>รวมผลงาน</t>
  </si>
  <si>
    <t>อบรมเกษตรกร ขั้นที่ 1</t>
  </si>
  <si>
    <t>อบรมเกษตรกร ขั้นที่ 2</t>
  </si>
  <si>
    <t>อบรมเกษตรกร ขั้นที่ 3</t>
  </si>
  <si>
    <t>สนับสนุนปัจจัยการผลิต ขั้นที่ 1</t>
  </si>
  <si>
    <t>สนับสนุนปัจจัยการผลิต ขั้นที่ 2</t>
  </si>
  <si>
    <t>พื้นที่ที่ได้รับการส่งเสริม
เป็นวนเกษตร</t>
  </si>
  <si>
    <r>
      <rPr>
        <b/>
        <sz val="14"/>
        <color rgb="FF000000"/>
        <rFont val="Arial"/>
      </rPr>
      <t>เกษตรกรที่เข้าร่วมโครงการขั้นที่ 1</t>
    </r>
    <r>
      <rPr>
        <b/>
        <sz val="14"/>
        <color rgb="FF000000"/>
        <rFont val="Arial"/>
      </rPr>
      <t xml:space="preserve"> ทั้งหมด</t>
    </r>
  </si>
  <si>
    <r>
      <rPr>
        <b/>
        <sz val="15"/>
        <color rgb="FF000000"/>
        <rFont val="Arial"/>
      </rPr>
      <t>เกษตรก</t>
    </r>
    <r>
      <rPr>
        <b/>
        <sz val="15"/>
        <color rgb="FF000000"/>
        <rFont val="Arial"/>
      </rPr>
      <t>รเฉพา</t>
    </r>
    <r>
      <rPr>
        <b/>
        <sz val="15"/>
        <color rgb="FF000000"/>
        <rFont val="Arial"/>
      </rPr>
      <t>ะที่ได้รับการอบรม 
ขั้นที่ 1</t>
    </r>
  </si>
  <si>
    <r>
      <rPr>
        <b/>
        <sz val="14"/>
        <color rgb="FF000000"/>
        <rFont val="Arial"/>
      </rPr>
      <t>เกษตรกรที่เข้าร่วมโครงการขั้นที่ 2</t>
    </r>
    <r>
      <rPr>
        <b/>
        <sz val="14"/>
        <color rgb="FF000000"/>
        <rFont val="Arial"/>
      </rPr>
      <t xml:space="preserve"> ทั้งหมด</t>
    </r>
  </si>
  <si>
    <r>
      <rPr>
        <b/>
        <sz val="15"/>
        <color rgb="FF000000"/>
        <rFont val="Arial"/>
      </rPr>
      <t>เกษตรก</t>
    </r>
    <r>
      <rPr>
        <b/>
        <sz val="15"/>
        <color rgb="FF000000"/>
        <rFont val="Arial"/>
      </rPr>
      <t>รเฉพา</t>
    </r>
    <r>
      <rPr>
        <b/>
        <sz val="15"/>
        <color rgb="FF000000"/>
        <rFont val="Arial"/>
      </rPr>
      <t>ะที่ได้รับการอบรม 
ขั้นที่ 2</t>
    </r>
  </si>
  <si>
    <r>
      <rPr>
        <b/>
        <sz val="14"/>
        <color rgb="FF000000"/>
        <rFont val="Arial"/>
      </rPr>
      <t>เกษตรกรที่เข้าร่วมโครงการขั้นที่ 3</t>
    </r>
    <r>
      <rPr>
        <b/>
        <sz val="14"/>
        <color rgb="FF000000"/>
        <rFont val="Arial"/>
      </rPr>
      <t xml:space="preserve"> ทั้งหมด</t>
    </r>
  </si>
  <si>
    <r>
      <rPr>
        <b/>
        <sz val="15"/>
        <color rgb="FF000000"/>
        <rFont val="Arial"/>
      </rPr>
      <t>เกษตรก</t>
    </r>
    <r>
      <rPr>
        <b/>
        <sz val="15"/>
        <color rgb="FF000000"/>
        <rFont val="Arial"/>
      </rPr>
      <t>รเฉพา</t>
    </r>
    <r>
      <rPr>
        <b/>
        <sz val="15"/>
        <color rgb="FF000000"/>
        <rFont val="Arial"/>
      </rPr>
      <t>ะที่ได้รับการอบรม 
ขั้นที่ 3</t>
    </r>
  </si>
  <si>
    <r>
      <rPr>
        <b/>
        <sz val="15"/>
        <color rgb="FF000000"/>
        <rFont val="Arial"/>
      </rPr>
      <t xml:space="preserve">เกษตรกรขั้นที่ 1 </t>
    </r>
    <r>
      <rPr>
        <b/>
        <sz val="15"/>
        <color rgb="FF000000"/>
        <rFont val="Arial"/>
      </rPr>
      <t>(เฉพา</t>
    </r>
    <r>
      <rPr>
        <b/>
        <sz val="15"/>
        <color rgb="FF000000"/>
        <rFont val="Arial"/>
      </rPr>
      <t>ะ)
ที่ได้รับการอบรม</t>
    </r>
  </si>
  <si>
    <r>
      <rPr>
        <b/>
        <sz val="14"/>
        <color rgb="FF000000"/>
        <rFont val="Arial"/>
      </rPr>
      <t>เกษตรกรขั้นที่ 1
(เกษตรกรที่เข้าร่วมโครงกา</t>
    </r>
    <r>
      <rPr>
        <b/>
        <sz val="14"/>
        <color rgb="FF000000"/>
        <rFont val="Arial"/>
      </rPr>
      <t>รทั้งหม</t>
    </r>
    <r>
      <rPr>
        <b/>
        <sz val="14"/>
        <color rgb="FF000000"/>
        <rFont val="Arial"/>
      </rPr>
      <t>ด)</t>
    </r>
  </si>
  <si>
    <r>
      <rPr>
        <b/>
        <sz val="15"/>
        <color rgb="FF000000"/>
        <rFont val="Arial"/>
      </rPr>
      <t xml:space="preserve">เกษตรกรขั้นที่ 2 </t>
    </r>
    <r>
      <rPr>
        <b/>
        <sz val="15"/>
        <color rgb="FF000000"/>
        <rFont val="Arial"/>
      </rPr>
      <t>(เฉพา</t>
    </r>
    <r>
      <rPr>
        <b/>
        <sz val="15"/>
        <color rgb="FF000000"/>
        <rFont val="Arial"/>
      </rPr>
      <t>ะ)
ที่ได้รับการอบรม</t>
    </r>
  </si>
  <si>
    <r>
      <rPr>
        <b/>
        <sz val="14"/>
        <color rgb="FF000000"/>
        <rFont val="Arial"/>
      </rPr>
      <t>เกษตรกรขั้นที่ 2
(เกษตรกรที่เข้าร่วมโครงกา</t>
    </r>
    <r>
      <rPr>
        <b/>
        <sz val="14"/>
        <color rgb="FF000000"/>
        <rFont val="Arial"/>
      </rPr>
      <t>รทั้งหม</t>
    </r>
    <r>
      <rPr>
        <b/>
        <sz val="14"/>
        <color rgb="FF000000"/>
        <rFont val="Arial"/>
      </rPr>
      <t>ด)</t>
    </r>
  </si>
  <si>
    <t>โครงการส่งเสริมเกษตรอินทรีย์ในเขตปฏิรูปที่ดิน</t>
  </si>
  <si>
    <t>อบรม หลักสูตรสำหรับพัฒนากลไกผู้นำเกษตรกรและเจ้าหน้าที่ด้านส่งเสริมเกษตรอินทรีย์ (โดย สพท.)</t>
  </si>
  <si>
    <t>อบรม หลักสูตรสำหรับส่งเสริมเกษตรอินทรีย์โดยใช้กระบวนการโรงเรียนเกษตรกร (โดย ส.ป.ก.จังหวัด)</t>
  </si>
  <si>
    <t>พื้นที่ในเขตปฏิรูปที่ดินได้รับการส่งเสริมเกษตรอินทรีย์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</si>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</sst>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_-;_-@"/>
    <numFmt numFmtId="188" formatCode="_-* #,##0.00_-;\-* #,##0.00_-;_-* &quot;-&quot;??_-;_-@"/>
    <numFmt numFmtId="189" formatCode="_-* #,##0_-;\-* #,##0_-;_-* &quot;-&quot;??_-;_-@"/>
    <numFmt numFmtId="190" formatCode="_-* #,##0.00_-;\-* #,##0.00_-;_-* &quot;-&quot;_-;_-@"/>
  </numFmts>
  <fonts count="23" x14ac:knownFonts="1">
    <font>
      <sz val="10"/>
      <color rgb="FF000000"/>
      <name val="Arial"/>
      <scheme val="minor"/>
    </font>
    <font>
      <b/>
      <sz val="15"/>
      <color theme="1"/>
      <name val="Arial"/>
      <scheme val="minor"/>
    </font>
    <font>
      <sz val="10"/>
      <name val="Arial"/>
    </font>
    <font>
      <b/>
      <sz val="15"/>
      <color rgb="FFFFFFFF"/>
      <name val="Arial"/>
      <scheme val="minor"/>
    </font>
    <font>
      <b/>
      <sz val="14"/>
      <color theme="1"/>
      <name val="Arial"/>
      <scheme val="minor"/>
    </font>
    <font>
      <b/>
      <sz val="13"/>
      <color theme="1"/>
      <name val="Arial"/>
      <scheme val="minor"/>
    </font>
    <font>
      <b/>
      <sz val="15"/>
      <color theme="1"/>
      <name val="Arial"/>
    </font>
    <font>
      <b/>
      <sz val="14"/>
      <color theme="1"/>
      <name val="Tahoma"/>
    </font>
    <font>
      <sz val="10"/>
      <color theme="1"/>
      <name val="Arial"/>
    </font>
    <font>
      <b/>
      <sz val="14"/>
      <color theme="1"/>
      <name val="Arial"/>
    </font>
    <font>
      <b/>
      <sz val="13"/>
      <color theme="1"/>
      <name val="Arial"/>
    </font>
    <font>
      <b/>
      <sz val="15"/>
      <color rgb="FFFF0000"/>
      <name val="Arial"/>
      <scheme val="minor"/>
    </font>
    <font>
      <b/>
      <sz val="15"/>
      <color rgb="FFFFFFFF"/>
      <name val="Arial"/>
    </font>
    <font>
      <sz val="15"/>
      <color theme="1"/>
      <name val="Arial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b/>
      <sz val="14"/>
      <color rgb="FF000000"/>
      <name val="Arial"/>
      <scheme val="minor"/>
    </font>
    <font>
      <b/>
      <sz val="12"/>
      <color theme="1"/>
      <name val="Arial"/>
    </font>
    <font>
      <sz val="15"/>
      <color theme="1"/>
      <name val="Arial"/>
      <scheme val="minor"/>
    </font>
    <font>
      <b/>
      <sz val="15"/>
      <color rgb="FF000000"/>
      <name val="Arial"/>
    </font>
    <font>
      <b/>
      <sz val="14"/>
      <color rgb="FF000000"/>
      <name val="Arial"/>
    </font>
    <font>
      <sz val="10"/>
      <color theme="1"/>
      <name val="Arial"/>
      <scheme val="minor"/>
    </font>
    <font>
      <b/>
      <sz val="15"/>
      <color rgb="FFFF0000"/>
      <name val="Arial"/>
    </font>
  </fonts>
  <fills count="37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theme="9"/>
        <bgColor theme="9"/>
      </patternFill>
    </fill>
    <fill>
      <patternFill patternType="solid">
        <fgColor rgb="FFA8D08D"/>
        <bgColor rgb="FFA8D08D"/>
      </patternFill>
    </fill>
    <fill>
      <patternFill patternType="solid">
        <fgColor rgb="FFFCBCEB"/>
        <bgColor rgb="FFFCBCEB"/>
      </patternFill>
    </fill>
    <fill>
      <patternFill patternType="solid">
        <fgColor rgb="FFB4A7D6"/>
        <bgColor rgb="FFB4A7D6"/>
      </patternFill>
    </fill>
    <fill>
      <patternFill patternType="solid">
        <fgColor rgb="FFDADADA"/>
        <bgColor rgb="FFDADADA"/>
      </patternFill>
    </fill>
    <fill>
      <patternFill patternType="solid">
        <fgColor rgb="FFBAF9B1"/>
        <bgColor rgb="FFBAF9B1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46BDC6"/>
        <bgColor rgb="FF46BDC6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B45F06"/>
        <bgColor rgb="FFB45F06"/>
      </patternFill>
    </fill>
    <fill>
      <patternFill patternType="solid">
        <fgColor rgb="FFE69138"/>
        <bgColor rgb="FFE69138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EAD1DC"/>
        <bgColor rgb="FFEAD1DC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77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187" fontId="1" fillId="0" borderId="0" xfId="0" applyNumberFormat="1" applyFont="1"/>
    <xf numFmtId="188" fontId="1" fillId="0" borderId="0" xfId="0" applyNumberFormat="1" applyFont="1" applyAlignment="1">
      <alignment horizontal="right" vertical="center"/>
    </xf>
    <xf numFmtId="189" fontId="1" fillId="0" borderId="0" xfId="0" applyNumberFormat="1" applyFont="1" applyAlignment="1">
      <alignment horizontal="right" vertical="center"/>
    </xf>
    <xf numFmtId="187" fontId="1" fillId="8" borderId="22" xfId="0" applyNumberFormat="1" applyFont="1" applyFill="1" applyBorder="1" applyAlignment="1">
      <alignment horizontal="center" vertical="center" shrinkToFit="1"/>
    </xf>
    <xf numFmtId="187" fontId="1" fillId="16" borderId="27" xfId="0" applyNumberFormat="1" applyFont="1" applyFill="1" applyBorder="1" applyAlignment="1">
      <alignment horizontal="center" vertical="center" wrapText="1"/>
    </xf>
    <xf numFmtId="187" fontId="1" fillId="16" borderId="33" xfId="0" applyNumberFormat="1" applyFont="1" applyFill="1" applyBorder="1" applyAlignment="1">
      <alignment horizontal="center" vertical="center"/>
    </xf>
    <xf numFmtId="187" fontId="1" fillId="16" borderId="3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/>
    </xf>
    <xf numFmtId="188" fontId="4" fillId="2" borderId="32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 wrapText="1"/>
    </xf>
    <xf numFmtId="187" fontId="1" fillId="16" borderId="3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/>
    </xf>
    <xf numFmtId="188" fontId="4" fillId="2" borderId="32" xfId="0" applyNumberFormat="1" applyFont="1" applyFill="1" applyBorder="1" applyAlignment="1">
      <alignment horizontal="center" vertical="center" wrapText="1"/>
    </xf>
    <xf numFmtId="187" fontId="1" fillId="11" borderId="32" xfId="0" applyNumberFormat="1" applyFont="1" applyFill="1" applyBorder="1" applyAlignment="1">
      <alignment horizontal="center" vertical="center" shrinkToFit="1"/>
    </xf>
    <xf numFmtId="187" fontId="1" fillId="7" borderId="35" xfId="0" applyNumberFormat="1" applyFont="1" applyFill="1" applyBorder="1" applyAlignment="1">
      <alignment horizontal="center" vertical="center" shrinkToFit="1"/>
    </xf>
    <xf numFmtId="187" fontId="1" fillId="12" borderId="36" xfId="0" applyNumberFormat="1" applyFont="1" applyFill="1" applyBorder="1" applyAlignment="1">
      <alignment horizontal="center" vertical="center" shrinkToFit="1"/>
    </xf>
    <xf numFmtId="187" fontId="1" fillId="13" borderId="36" xfId="0" applyNumberFormat="1" applyFont="1" applyFill="1" applyBorder="1" applyAlignment="1">
      <alignment horizontal="center" vertical="center" shrinkToFit="1"/>
    </xf>
    <xf numFmtId="187" fontId="1" fillId="17" borderId="36" xfId="0" applyNumberFormat="1" applyFont="1" applyFill="1" applyBorder="1" applyAlignment="1">
      <alignment horizontal="center" vertical="center" shrinkToFit="1"/>
    </xf>
    <xf numFmtId="187" fontId="1" fillId="8" borderId="36" xfId="0" applyNumberFormat="1" applyFont="1" applyFill="1" applyBorder="1" applyAlignment="1">
      <alignment horizontal="center" vertical="center" shrinkToFit="1"/>
    </xf>
    <xf numFmtId="187" fontId="1" fillId="18" borderId="36" xfId="0" applyNumberFormat="1" applyFont="1" applyFill="1" applyBorder="1" applyAlignment="1">
      <alignment horizontal="center" vertical="center" shrinkToFit="1"/>
    </xf>
    <xf numFmtId="190" fontId="1" fillId="18" borderId="36" xfId="0" applyNumberFormat="1" applyFont="1" applyFill="1" applyBorder="1" applyAlignment="1">
      <alignment horizontal="center" vertical="center" shrinkToFit="1"/>
    </xf>
    <xf numFmtId="188" fontId="1" fillId="18" borderId="36" xfId="0" applyNumberFormat="1" applyFont="1" applyFill="1" applyBorder="1" applyAlignment="1">
      <alignment horizontal="right" vertical="center" shrinkToFit="1"/>
    </xf>
    <xf numFmtId="189" fontId="1" fillId="18" borderId="36" xfId="0" applyNumberFormat="1" applyFont="1" applyFill="1" applyBorder="1" applyAlignment="1">
      <alignment horizontal="right" vertical="center" shrinkToFit="1"/>
    </xf>
    <xf numFmtId="189" fontId="6" fillId="18" borderId="37" xfId="0" applyNumberFormat="1" applyFont="1" applyFill="1" applyBorder="1" applyAlignment="1">
      <alignment horizontal="right"/>
    </xf>
    <xf numFmtId="188" fontId="6" fillId="18" borderId="37" xfId="0" applyNumberFormat="1" applyFont="1" applyFill="1" applyBorder="1" applyAlignment="1">
      <alignment horizontal="right"/>
    </xf>
    <xf numFmtId="187" fontId="1" fillId="16" borderId="36" xfId="0" applyNumberFormat="1" applyFont="1" applyFill="1" applyBorder="1" applyAlignment="1">
      <alignment horizontal="center" vertical="center" shrinkToFit="1"/>
    </xf>
    <xf numFmtId="187" fontId="1" fillId="2" borderId="36" xfId="0" applyNumberFormat="1" applyFont="1" applyFill="1" applyBorder="1" applyAlignment="1">
      <alignment horizontal="center" vertical="center" shrinkToFit="1"/>
    </xf>
    <xf numFmtId="188" fontId="1" fillId="2" borderId="36" xfId="0" applyNumberFormat="1" applyFont="1" applyFill="1" applyBorder="1" applyAlignment="1">
      <alignment horizontal="right" vertical="center" shrinkToFit="1"/>
    </xf>
    <xf numFmtId="0" fontId="1" fillId="9" borderId="38" xfId="0" applyFont="1" applyFill="1" applyBorder="1" applyAlignment="1">
      <alignment horizontal="left" vertical="center"/>
    </xf>
    <xf numFmtId="0" fontId="1" fillId="9" borderId="39" xfId="0" applyFont="1" applyFill="1" applyBorder="1" applyAlignment="1">
      <alignment horizontal="left" vertical="center"/>
    </xf>
    <xf numFmtId="187" fontId="1" fillId="9" borderId="40" xfId="0" applyNumberFormat="1" applyFont="1" applyFill="1" applyBorder="1" applyAlignment="1">
      <alignment vertical="center" shrinkToFit="1"/>
    </xf>
    <xf numFmtId="187" fontId="1" fillId="9" borderId="17" xfId="0" applyNumberFormat="1" applyFont="1" applyFill="1" applyBorder="1" applyAlignment="1">
      <alignment vertical="center" shrinkToFit="1"/>
    </xf>
    <xf numFmtId="187" fontId="1" fillId="9" borderId="41" xfId="0" applyNumberFormat="1" applyFont="1" applyFill="1" applyBorder="1" applyAlignment="1">
      <alignment vertical="center" shrinkToFit="1"/>
    </xf>
    <xf numFmtId="190" fontId="1" fillId="9" borderId="41" xfId="0" applyNumberFormat="1" applyFont="1" applyFill="1" applyBorder="1" applyAlignment="1">
      <alignment vertical="center" shrinkToFit="1"/>
    </xf>
    <xf numFmtId="188" fontId="1" fillId="9" borderId="41" xfId="0" applyNumberFormat="1" applyFont="1" applyFill="1" applyBorder="1" applyAlignment="1">
      <alignment horizontal="right" vertical="center" shrinkToFit="1"/>
    </xf>
    <xf numFmtId="189" fontId="1" fillId="9" borderId="41" xfId="0" applyNumberFormat="1" applyFont="1" applyFill="1" applyBorder="1" applyAlignment="1">
      <alignment horizontal="right" vertical="center" shrinkToFit="1"/>
    </xf>
    <xf numFmtId="189" fontId="6" fillId="9" borderId="21" xfId="0" applyNumberFormat="1" applyFont="1" applyFill="1" applyBorder="1" applyAlignment="1">
      <alignment horizontal="right"/>
    </xf>
    <xf numFmtId="188" fontId="6" fillId="9" borderId="21" xfId="0" applyNumberFormat="1" applyFont="1" applyFill="1" applyBorder="1" applyAlignment="1">
      <alignment horizontal="right"/>
    </xf>
    <xf numFmtId="187" fontId="1" fillId="9" borderId="42" xfId="0" applyNumberFormat="1" applyFont="1" applyFill="1" applyBorder="1" applyAlignment="1">
      <alignment vertical="center" shrinkToFit="1"/>
    </xf>
    <xf numFmtId="188" fontId="1" fillId="9" borderId="42" xfId="0" applyNumberFormat="1" applyFont="1" applyFill="1" applyBorder="1" applyAlignment="1">
      <alignment horizontal="right" vertical="center" shrinkToFit="1"/>
    </xf>
    <xf numFmtId="0" fontId="1" fillId="19" borderId="43" xfId="0" applyFont="1" applyFill="1" applyBorder="1" applyAlignment="1">
      <alignment horizontal="left" vertical="center"/>
    </xf>
    <xf numFmtId="0" fontId="1" fillId="19" borderId="26" xfId="0" applyFont="1" applyFill="1" applyBorder="1" applyAlignment="1">
      <alignment horizontal="left" vertical="center"/>
    </xf>
    <xf numFmtId="187" fontId="1" fillId="19" borderId="44" xfId="0" applyNumberFormat="1" applyFont="1" applyFill="1" applyBorder="1" applyAlignment="1">
      <alignment vertical="center" shrinkToFit="1"/>
    </xf>
    <xf numFmtId="187" fontId="1" fillId="19" borderId="11" xfId="0" applyNumberFormat="1" applyFont="1" applyFill="1" applyBorder="1" applyAlignment="1">
      <alignment vertical="center" shrinkToFit="1"/>
    </xf>
    <xf numFmtId="190" fontId="1" fillId="19" borderId="44" xfId="0" applyNumberFormat="1" applyFont="1" applyFill="1" applyBorder="1" applyAlignment="1">
      <alignment vertical="center" shrinkToFit="1"/>
    </xf>
    <xf numFmtId="188" fontId="1" fillId="19" borderId="44" xfId="0" applyNumberFormat="1" applyFont="1" applyFill="1" applyBorder="1" applyAlignment="1">
      <alignment horizontal="right" vertical="center" shrinkToFit="1"/>
    </xf>
    <xf numFmtId="189" fontId="1" fillId="19" borderId="44" xfId="0" applyNumberFormat="1" applyFont="1" applyFill="1" applyBorder="1" applyAlignment="1">
      <alignment horizontal="right" vertical="center" shrinkToFit="1"/>
    </xf>
    <xf numFmtId="189" fontId="6" fillId="19" borderId="21" xfId="0" applyNumberFormat="1" applyFont="1" applyFill="1" applyBorder="1" applyAlignment="1">
      <alignment horizontal="right"/>
    </xf>
    <xf numFmtId="188" fontId="6" fillId="19" borderId="21" xfId="0" applyNumberFormat="1" applyFont="1" applyFill="1" applyBorder="1" applyAlignment="1">
      <alignment horizontal="right"/>
    </xf>
    <xf numFmtId="187" fontId="1" fillId="19" borderId="45" xfId="0" applyNumberFormat="1" applyFont="1" applyFill="1" applyBorder="1" applyAlignment="1">
      <alignment vertical="center" shrinkToFit="1"/>
    </xf>
    <xf numFmtId="188" fontId="1" fillId="19" borderId="45" xfId="0" applyNumberFormat="1" applyFont="1" applyFill="1" applyBorder="1" applyAlignment="1">
      <alignment horizontal="right" vertical="center" shrinkToFit="1"/>
    </xf>
    <xf numFmtId="0" fontId="1" fillId="20" borderId="43" xfId="0" applyFont="1" applyFill="1" applyBorder="1" applyAlignment="1">
      <alignment horizontal="left" vertical="center"/>
    </xf>
    <xf numFmtId="0" fontId="1" fillId="20" borderId="26" xfId="0" applyFont="1" applyFill="1" applyBorder="1" applyAlignment="1">
      <alignment horizontal="left" vertical="center"/>
    </xf>
    <xf numFmtId="187" fontId="1" fillId="20" borderId="44" xfId="0" applyNumberFormat="1" applyFont="1" applyFill="1" applyBorder="1" applyAlignment="1">
      <alignment vertical="center" shrinkToFit="1"/>
    </xf>
    <xf numFmtId="187" fontId="1" fillId="20" borderId="11" xfId="0" applyNumberFormat="1" applyFont="1" applyFill="1" applyBorder="1" applyAlignment="1">
      <alignment vertical="center" shrinkToFit="1"/>
    </xf>
    <xf numFmtId="190" fontId="1" fillId="20" borderId="44" xfId="0" applyNumberFormat="1" applyFont="1" applyFill="1" applyBorder="1" applyAlignment="1">
      <alignment vertical="center" shrinkToFit="1"/>
    </xf>
    <xf numFmtId="188" fontId="1" fillId="20" borderId="44" xfId="0" applyNumberFormat="1" applyFont="1" applyFill="1" applyBorder="1" applyAlignment="1">
      <alignment horizontal="right" vertical="center" shrinkToFit="1"/>
    </xf>
    <xf numFmtId="189" fontId="1" fillId="20" borderId="44" xfId="0" applyNumberFormat="1" applyFont="1" applyFill="1" applyBorder="1" applyAlignment="1">
      <alignment horizontal="right" vertical="center" shrinkToFit="1"/>
    </xf>
    <xf numFmtId="189" fontId="6" fillId="20" borderId="21" xfId="0" applyNumberFormat="1" applyFont="1" applyFill="1" applyBorder="1" applyAlignment="1">
      <alignment horizontal="right"/>
    </xf>
    <xf numFmtId="188" fontId="6" fillId="20" borderId="21" xfId="0" applyNumberFormat="1" applyFont="1" applyFill="1" applyBorder="1" applyAlignment="1">
      <alignment horizontal="right"/>
    </xf>
    <xf numFmtId="187" fontId="1" fillId="20" borderId="45" xfId="0" applyNumberFormat="1" applyFont="1" applyFill="1" applyBorder="1" applyAlignment="1">
      <alignment vertical="center" shrinkToFit="1"/>
    </xf>
    <xf numFmtId="188" fontId="1" fillId="20" borderId="45" xfId="0" applyNumberFormat="1" applyFont="1" applyFill="1" applyBorder="1" applyAlignment="1">
      <alignment horizontal="right" vertical="center" shrinkToFit="1"/>
    </xf>
    <xf numFmtId="0" fontId="1" fillId="20" borderId="43" xfId="0" applyFont="1" applyFill="1" applyBorder="1" applyAlignment="1">
      <alignment horizontal="left" vertical="center"/>
    </xf>
    <xf numFmtId="187" fontId="1" fillId="20" borderId="46" xfId="0" applyNumberFormat="1" applyFont="1" applyFill="1" applyBorder="1" applyAlignment="1">
      <alignment vertical="center" shrinkToFit="1"/>
    </xf>
    <xf numFmtId="187" fontId="1" fillId="20" borderId="47" xfId="0" applyNumberFormat="1" applyFont="1" applyFill="1" applyBorder="1" applyAlignment="1">
      <alignment vertical="center" shrinkToFit="1"/>
    </xf>
    <xf numFmtId="190" fontId="1" fillId="20" borderId="47" xfId="0" applyNumberFormat="1" applyFont="1" applyFill="1" applyBorder="1" applyAlignment="1">
      <alignment vertical="center" shrinkToFit="1"/>
    </xf>
    <xf numFmtId="188" fontId="1" fillId="20" borderId="47" xfId="0" applyNumberFormat="1" applyFont="1" applyFill="1" applyBorder="1" applyAlignment="1">
      <alignment horizontal="right" vertical="center" shrinkToFit="1"/>
    </xf>
    <xf numFmtId="189" fontId="1" fillId="20" borderId="47" xfId="0" applyNumberFormat="1" applyFont="1" applyFill="1" applyBorder="1" applyAlignment="1">
      <alignment horizontal="right" vertical="center" shrinkToFit="1"/>
    </xf>
    <xf numFmtId="187" fontId="1" fillId="9" borderId="44" xfId="0" applyNumberFormat="1" applyFont="1" applyFill="1" applyBorder="1" applyAlignment="1">
      <alignment vertical="center" shrinkToFit="1"/>
    </xf>
    <xf numFmtId="187" fontId="1" fillId="9" borderId="4" xfId="0" applyNumberFormat="1" applyFont="1" applyFill="1" applyBorder="1" applyAlignment="1">
      <alignment vertical="center" shrinkToFit="1"/>
    </xf>
    <xf numFmtId="187" fontId="1" fillId="9" borderId="27" xfId="0" applyNumberFormat="1" applyFont="1" applyFill="1" applyBorder="1" applyAlignment="1">
      <alignment vertical="center" shrinkToFit="1"/>
    </xf>
    <xf numFmtId="190" fontId="1" fillId="9" borderId="27" xfId="0" applyNumberFormat="1" applyFont="1" applyFill="1" applyBorder="1" applyAlignment="1">
      <alignment vertical="center" shrinkToFit="1"/>
    </xf>
    <xf numFmtId="188" fontId="1" fillId="9" borderId="27" xfId="0" applyNumberFormat="1" applyFont="1" applyFill="1" applyBorder="1" applyAlignment="1">
      <alignment horizontal="right" vertical="center" shrinkToFit="1"/>
    </xf>
    <xf numFmtId="189" fontId="1" fillId="9" borderId="27" xfId="0" applyNumberFormat="1" applyFont="1" applyFill="1" applyBorder="1" applyAlignment="1">
      <alignment horizontal="right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left" vertical="center" shrinkToFit="1"/>
    </xf>
    <xf numFmtId="187" fontId="1" fillId="11" borderId="51" xfId="0" applyNumberFormat="1" applyFont="1" applyFill="1" applyBorder="1" applyAlignment="1">
      <alignment vertical="center" shrinkToFit="1"/>
    </xf>
    <xf numFmtId="187" fontId="1" fillId="7" borderId="52" xfId="0" applyNumberFormat="1" applyFont="1" applyFill="1" applyBorder="1" applyAlignment="1">
      <alignment vertical="center" shrinkToFit="1"/>
    </xf>
    <xf numFmtId="187" fontId="1" fillId="0" borderId="52" xfId="0" applyNumberFormat="1" applyFont="1" applyBorder="1" applyAlignment="1">
      <alignment vertical="center" shrinkToFit="1"/>
    </xf>
    <xf numFmtId="187" fontId="1" fillId="15" borderId="52" xfId="0" applyNumberFormat="1" applyFont="1" applyFill="1" applyBorder="1" applyAlignment="1">
      <alignment vertical="center" shrinkToFit="1"/>
    </xf>
    <xf numFmtId="190" fontId="1" fillId="15" borderId="52" xfId="0" applyNumberFormat="1" applyFont="1" applyFill="1" applyBorder="1" applyAlignment="1">
      <alignment vertical="center" shrinkToFit="1"/>
    </xf>
    <xf numFmtId="188" fontId="1" fillId="0" borderId="52" xfId="0" applyNumberFormat="1" applyFont="1" applyBorder="1" applyAlignment="1">
      <alignment horizontal="right" vertical="center" shrinkToFit="1"/>
    </xf>
    <xf numFmtId="189" fontId="1" fillId="0" borderId="52" xfId="0" applyNumberFormat="1" applyFont="1" applyBorder="1" applyAlignment="1">
      <alignment horizontal="right" vertical="center" shrinkToFit="1"/>
    </xf>
    <xf numFmtId="189" fontId="6" fillId="0" borderId="53" xfId="0" applyNumberFormat="1" applyFont="1" applyBorder="1" applyAlignment="1">
      <alignment horizontal="right"/>
    </xf>
    <xf numFmtId="188" fontId="6" fillId="0" borderId="53" xfId="0" applyNumberFormat="1" applyFont="1" applyBorder="1" applyAlignment="1">
      <alignment horizontal="right"/>
    </xf>
    <xf numFmtId="188" fontId="1" fillId="15" borderId="52" xfId="0" applyNumberFormat="1" applyFont="1" applyFill="1" applyBorder="1" applyAlignment="1">
      <alignment horizontal="right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left" vertical="center" shrinkToFit="1"/>
    </xf>
    <xf numFmtId="187" fontId="1" fillId="11" borderId="55" xfId="0" applyNumberFormat="1" applyFont="1" applyFill="1" applyBorder="1" applyAlignment="1">
      <alignment vertical="center" shrinkToFit="1"/>
    </xf>
    <xf numFmtId="187" fontId="1" fillId="7" borderId="56" xfId="0" applyNumberFormat="1" applyFont="1" applyFill="1" applyBorder="1" applyAlignment="1">
      <alignment vertical="center" shrinkToFit="1"/>
    </xf>
    <xf numFmtId="187" fontId="1" fillId="0" borderId="56" xfId="0" applyNumberFormat="1" applyFont="1" applyBorder="1" applyAlignment="1">
      <alignment vertical="center" shrinkToFit="1"/>
    </xf>
    <xf numFmtId="190" fontId="1" fillId="0" borderId="56" xfId="0" applyNumberFormat="1" applyFont="1" applyBorder="1" applyAlignment="1">
      <alignment vertical="center" shrinkToFit="1"/>
    </xf>
    <xf numFmtId="188" fontId="1" fillId="0" borderId="56" xfId="0" applyNumberFormat="1" applyFont="1" applyBorder="1" applyAlignment="1">
      <alignment horizontal="right" vertical="center" shrinkToFit="1"/>
    </xf>
    <xf numFmtId="189" fontId="1" fillId="0" borderId="56" xfId="0" applyNumberFormat="1" applyFont="1" applyBorder="1" applyAlignment="1">
      <alignment horizontal="right" vertical="center" shrinkToFit="1"/>
    </xf>
    <xf numFmtId="187" fontId="1" fillId="15" borderId="56" xfId="0" applyNumberFormat="1" applyFont="1" applyFill="1" applyBorder="1" applyAlignment="1">
      <alignment vertical="center" shrinkToFit="1"/>
    </xf>
    <xf numFmtId="188" fontId="1" fillId="15" borderId="56" xfId="0" applyNumberFormat="1" applyFont="1" applyFill="1" applyBorder="1" applyAlignment="1">
      <alignment horizontal="right" vertical="center" shrinkToFit="1"/>
    </xf>
    <xf numFmtId="187" fontId="1" fillId="15" borderId="56" xfId="0" applyNumberFormat="1" applyFont="1" applyFill="1" applyBorder="1" applyAlignment="1">
      <alignment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left" vertical="center" shrinkToFit="1"/>
    </xf>
    <xf numFmtId="187" fontId="1" fillId="11" borderId="58" xfId="0" applyNumberFormat="1" applyFont="1" applyFill="1" applyBorder="1" applyAlignment="1">
      <alignment vertical="center" shrinkToFit="1"/>
    </xf>
    <xf numFmtId="187" fontId="1" fillId="7" borderId="59" xfId="0" applyNumberFormat="1" applyFont="1" applyFill="1" applyBorder="1" applyAlignment="1">
      <alignment vertical="center" shrinkToFit="1"/>
    </xf>
    <xf numFmtId="187" fontId="1" fillId="0" borderId="59" xfId="0" applyNumberFormat="1" applyFont="1" applyBorder="1" applyAlignment="1">
      <alignment vertical="center" shrinkToFit="1"/>
    </xf>
    <xf numFmtId="190" fontId="1" fillId="0" borderId="59" xfId="0" applyNumberFormat="1" applyFont="1" applyBorder="1" applyAlignment="1">
      <alignment vertical="center" shrinkToFit="1"/>
    </xf>
    <xf numFmtId="188" fontId="1" fillId="0" borderId="59" xfId="0" applyNumberFormat="1" applyFont="1" applyBorder="1" applyAlignment="1">
      <alignment horizontal="right" vertical="center" shrinkToFit="1"/>
    </xf>
    <xf numFmtId="189" fontId="1" fillId="0" borderId="59" xfId="0" applyNumberFormat="1" applyFont="1" applyBorder="1" applyAlignment="1">
      <alignment horizontal="right" vertical="center" shrinkToFit="1"/>
    </xf>
    <xf numFmtId="189" fontId="6" fillId="0" borderId="21" xfId="0" applyNumberFormat="1" applyFont="1" applyBorder="1" applyAlignment="1">
      <alignment horizontal="right"/>
    </xf>
    <xf numFmtId="188" fontId="6" fillId="0" borderId="21" xfId="0" applyNumberFormat="1" applyFont="1" applyBorder="1" applyAlignment="1">
      <alignment horizontal="right"/>
    </xf>
    <xf numFmtId="187" fontId="1" fillId="15" borderId="59" xfId="0" applyNumberFormat="1" applyFont="1" applyFill="1" applyBorder="1" applyAlignment="1">
      <alignment vertical="center" shrinkToFit="1"/>
    </xf>
    <xf numFmtId="188" fontId="1" fillId="15" borderId="59" xfId="0" applyNumberFormat="1" applyFont="1" applyFill="1" applyBorder="1" applyAlignment="1">
      <alignment horizontal="right" vertical="center" shrinkToFit="1"/>
    </xf>
    <xf numFmtId="187" fontId="1" fillId="9" borderId="20" xfId="0" applyNumberFormat="1" applyFont="1" applyFill="1" applyBorder="1" applyAlignment="1">
      <alignment vertical="center" shrinkToFit="1"/>
    </xf>
    <xf numFmtId="190" fontId="1" fillId="9" borderId="44" xfId="0" applyNumberFormat="1" applyFont="1" applyFill="1" applyBorder="1" applyAlignment="1">
      <alignment vertical="center" shrinkToFit="1"/>
    </xf>
    <xf numFmtId="188" fontId="1" fillId="9" borderId="44" xfId="0" applyNumberFormat="1" applyFont="1" applyFill="1" applyBorder="1" applyAlignment="1">
      <alignment horizontal="right" vertical="center" shrinkToFit="1"/>
    </xf>
    <xf numFmtId="189" fontId="1" fillId="9" borderId="44" xfId="0" applyNumberFormat="1" applyFont="1" applyFill="1" applyBorder="1" applyAlignment="1">
      <alignment horizontal="right" vertical="center" shrinkToFit="1"/>
    </xf>
    <xf numFmtId="187" fontId="1" fillId="11" borderId="50" xfId="0" applyNumberFormat="1" applyFont="1" applyFill="1" applyBorder="1" applyAlignment="1">
      <alignment vertical="center" shrinkToFit="1"/>
    </xf>
    <xf numFmtId="189" fontId="6" fillId="0" borderId="24" xfId="0" applyNumberFormat="1" applyFont="1" applyBorder="1" applyAlignment="1">
      <alignment horizontal="right"/>
    </xf>
    <xf numFmtId="188" fontId="6" fillId="0" borderId="24" xfId="0" applyNumberFormat="1" applyFont="1" applyBorder="1" applyAlignment="1">
      <alignment horizontal="right"/>
    </xf>
    <xf numFmtId="189" fontId="6" fillId="9" borderId="44" xfId="0" applyNumberFormat="1" applyFont="1" applyFill="1" applyBorder="1" applyAlignment="1">
      <alignment horizontal="right"/>
    </xf>
    <xf numFmtId="188" fontId="6" fillId="9" borderId="44" xfId="0" applyNumberFormat="1" applyFont="1" applyFill="1" applyBorder="1" applyAlignment="1">
      <alignment horizontal="right"/>
    </xf>
    <xf numFmtId="187" fontId="1" fillId="9" borderId="7" xfId="0" applyNumberFormat="1" applyFont="1" applyFill="1" applyBorder="1" applyAlignment="1">
      <alignment vertical="center" shrinkToFit="1"/>
    </xf>
    <xf numFmtId="187" fontId="1" fillId="0" borderId="62" xfId="0" applyNumberFormat="1" applyFont="1" applyBorder="1" applyAlignment="1">
      <alignment vertical="center" shrinkToFit="1"/>
    </xf>
    <xf numFmtId="190" fontId="1" fillId="0" borderId="62" xfId="0" applyNumberFormat="1" applyFont="1" applyBorder="1" applyAlignment="1">
      <alignment vertical="center" shrinkToFit="1"/>
    </xf>
    <xf numFmtId="0" fontId="1" fillId="0" borderId="49" xfId="0" applyFont="1" applyBorder="1" applyAlignment="1">
      <alignment horizontal="center" vertical="center"/>
    </xf>
    <xf numFmtId="0" fontId="7" fillId="0" borderId="52" xfId="0" applyFont="1" applyBorder="1" applyAlignment="1"/>
    <xf numFmtId="190" fontId="1" fillId="0" borderId="52" xfId="0" applyNumberFormat="1" applyFont="1" applyBorder="1" applyAlignment="1">
      <alignment vertical="center" shrinkToFit="1"/>
    </xf>
    <xf numFmtId="189" fontId="1" fillId="0" borderId="52" xfId="0" applyNumberFormat="1" applyFont="1" applyBorder="1" applyAlignment="1">
      <alignment horizontal="right" vertical="center" shrinkToFit="1"/>
    </xf>
    <xf numFmtId="0" fontId="1" fillId="0" borderId="54" xfId="0" applyFont="1" applyBorder="1" applyAlignment="1">
      <alignment horizontal="center" vertical="center"/>
    </xf>
    <xf numFmtId="0" fontId="7" fillId="0" borderId="56" xfId="0" applyFont="1" applyBorder="1" applyAlignment="1"/>
    <xf numFmtId="189" fontId="1" fillId="0" borderId="56" xfId="0" applyNumberFormat="1" applyFont="1" applyBorder="1" applyAlignment="1">
      <alignment horizontal="right" vertical="center" shrinkToFit="1"/>
    </xf>
    <xf numFmtId="189" fontId="1" fillId="0" borderId="63" xfId="0" applyNumberFormat="1" applyFont="1" applyBorder="1" applyAlignment="1">
      <alignment horizontal="right" vertical="center" shrinkToFit="1"/>
    </xf>
    <xf numFmtId="188" fontId="1" fillId="0" borderId="63" xfId="0" applyNumberFormat="1" applyFont="1" applyBorder="1" applyAlignment="1">
      <alignment horizontal="right" vertical="center" shrinkToFit="1"/>
    </xf>
    <xf numFmtId="0" fontId="7" fillId="21" borderId="56" xfId="0" applyFont="1" applyFill="1" applyBorder="1" applyAlignment="1"/>
    <xf numFmtId="189" fontId="1" fillId="0" borderId="62" xfId="0" applyNumberFormat="1" applyFont="1" applyBorder="1" applyAlignment="1">
      <alignment horizontal="right" vertical="center" shrinkToFit="1"/>
    </xf>
    <xf numFmtId="188" fontId="1" fillId="0" borderId="62" xfId="0" applyNumberFormat="1" applyFont="1" applyBorder="1" applyAlignment="1">
      <alignment horizontal="right" vertical="center" shrinkToFit="1"/>
    </xf>
    <xf numFmtId="0" fontId="1" fillId="0" borderId="57" xfId="0" applyFont="1" applyBorder="1" applyAlignment="1">
      <alignment horizontal="center" vertical="center"/>
    </xf>
    <xf numFmtId="0" fontId="7" fillId="21" borderId="59" xfId="0" applyFont="1" applyFill="1" applyBorder="1" applyAlignment="1"/>
    <xf numFmtId="189" fontId="1" fillId="0" borderId="59" xfId="0" applyNumberFormat="1" applyFont="1" applyBorder="1" applyAlignment="1">
      <alignment horizontal="right" vertical="center" shrinkToFit="1"/>
    </xf>
    <xf numFmtId="0" fontId="8" fillId="0" borderId="20" xfId="0" applyFont="1" applyBorder="1" applyAlignment="1"/>
    <xf numFmtId="187" fontId="8" fillId="0" borderId="20" xfId="0" applyNumberFormat="1" applyFont="1" applyBorder="1" applyAlignment="1"/>
    <xf numFmtId="188" fontId="8" fillId="0" borderId="20" xfId="0" applyNumberFormat="1" applyFont="1" applyBorder="1"/>
    <xf numFmtId="189" fontId="8" fillId="0" borderId="20" xfId="0" applyNumberFormat="1" applyFont="1" applyBorder="1"/>
    <xf numFmtId="187" fontId="6" fillId="22" borderId="24" xfId="0" applyNumberFormat="1" applyFont="1" applyFill="1" applyBorder="1" applyAlignment="1">
      <alignment horizontal="center"/>
    </xf>
    <xf numFmtId="187" fontId="6" fillId="16" borderId="21" xfId="0" applyNumberFormat="1" applyFont="1" applyFill="1" applyBorder="1" applyAlignment="1">
      <alignment horizontal="center" wrapText="1"/>
    </xf>
    <xf numFmtId="187" fontId="8" fillId="22" borderId="37" xfId="0" applyNumberFormat="1" applyFont="1" applyFill="1" applyBorder="1" applyAlignment="1">
      <alignment vertical="top"/>
    </xf>
    <xf numFmtId="187" fontId="6" fillId="16" borderId="37" xfId="0" applyNumberFormat="1" applyFont="1" applyFill="1" applyBorder="1" applyAlignment="1">
      <alignment horizontal="center" vertical="top"/>
    </xf>
    <xf numFmtId="187" fontId="6" fillId="2" borderId="37" xfId="0" applyNumberFormat="1" applyFont="1" applyFill="1" applyBorder="1" applyAlignment="1">
      <alignment horizontal="center" vertical="top"/>
    </xf>
    <xf numFmtId="187" fontId="6" fillId="16" borderId="37" xfId="0" applyNumberFormat="1" applyFont="1" applyFill="1" applyBorder="1" applyAlignment="1">
      <alignment horizontal="center" vertical="top"/>
    </xf>
    <xf numFmtId="187" fontId="6" fillId="2" borderId="37" xfId="0" applyNumberFormat="1" applyFont="1" applyFill="1" applyBorder="1" applyAlignment="1">
      <alignment horizontal="center" vertical="top"/>
    </xf>
    <xf numFmtId="187" fontId="6" fillId="11" borderId="37" xfId="0" applyNumberFormat="1" applyFont="1" applyFill="1" applyBorder="1" applyAlignment="1">
      <alignment horizontal="center"/>
    </xf>
    <xf numFmtId="187" fontId="6" fillId="7" borderId="37" xfId="0" applyNumberFormat="1" applyFont="1" applyFill="1" applyBorder="1" applyAlignment="1">
      <alignment horizontal="center"/>
    </xf>
    <xf numFmtId="187" fontId="6" fillId="12" borderId="37" xfId="0" applyNumberFormat="1" applyFont="1" applyFill="1" applyBorder="1" applyAlignment="1">
      <alignment horizontal="center"/>
    </xf>
    <xf numFmtId="187" fontId="6" fillId="13" borderId="37" xfId="0" applyNumberFormat="1" applyFont="1" applyFill="1" applyBorder="1" applyAlignment="1">
      <alignment horizontal="center"/>
    </xf>
    <xf numFmtId="187" fontId="6" fillId="17" borderId="37" xfId="0" applyNumberFormat="1" applyFont="1" applyFill="1" applyBorder="1" applyAlignment="1">
      <alignment horizontal="center"/>
    </xf>
    <xf numFmtId="187" fontId="6" fillId="22" borderId="37" xfId="0" applyNumberFormat="1" applyFont="1" applyFill="1" applyBorder="1" applyAlignment="1">
      <alignment horizontal="center"/>
    </xf>
    <xf numFmtId="187" fontId="6" fillId="18" borderId="37" xfId="0" applyNumberFormat="1" applyFont="1" applyFill="1" applyBorder="1" applyAlignment="1">
      <alignment horizontal="center"/>
    </xf>
    <xf numFmtId="190" fontId="6" fillId="18" borderId="37" xfId="0" applyNumberFormat="1" applyFont="1" applyFill="1" applyBorder="1" applyAlignment="1">
      <alignment horizontal="center"/>
    </xf>
    <xf numFmtId="187" fontId="6" fillId="2" borderId="37" xfId="0" applyNumberFormat="1" applyFont="1" applyFill="1" applyBorder="1" applyAlignment="1">
      <alignment horizontal="center"/>
    </xf>
    <xf numFmtId="0" fontId="6" fillId="9" borderId="67" xfId="0" applyFont="1" applyFill="1" applyBorder="1" applyAlignment="1"/>
    <xf numFmtId="0" fontId="8" fillId="9" borderId="20" xfId="0" applyFont="1" applyFill="1" applyBorder="1"/>
    <xf numFmtId="187" fontId="6" fillId="9" borderId="21" xfId="0" applyNumberFormat="1" applyFont="1" applyFill="1" applyBorder="1" applyAlignment="1">
      <alignment horizontal="right"/>
    </xf>
    <xf numFmtId="190" fontId="6" fillId="9" borderId="21" xfId="0" applyNumberFormat="1" applyFont="1" applyFill="1" applyBorder="1" applyAlignment="1">
      <alignment horizontal="right"/>
    </xf>
    <xf numFmtId="0" fontId="8" fillId="19" borderId="20" xfId="0" applyFont="1" applyFill="1" applyBorder="1"/>
    <xf numFmtId="187" fontId="6" fillId="19" borderId="21" xfId="0" applyNumberFormat="1" applyFont="1" applyFill="1" applyBorder="1" applyAlignment="1">
      <alignment horizontal="right"/>
    </xf>
    <xf numFmtId="190" fontId="6" fillId="19" borderId="21" xfId="0" applyNumberFormat="1" applyFont="1" applyFill="1" applyBorder="1" applyAlignment="1">
      <alignment horizontal="right"/>
    </xf>
    <xf numFmtId="0" fontId="6" fillId="20" borderId="67" xfId="0" applyFont="1" applyFill="1" applyBorder="1" applyAlignment="1"/>
    <xf numFmtId="0" fontId="8" fillId="20" borderId="20" xfId="0" applyFont="1" applyFill="1" applyBorder="1"/>
    <xf numFmtId="187" fontId="6" fillId="20" borderId="21" xfId="0" applyNumberFormat="1" applyFont="1" applyFill="1" applyBorder="1" applyAlignment="1">
      <alignment horizontal="right"/>
    </xf>
    <xf numFmtId="190" fontId="6" fillId="20" borderId="21" xfId="0" applyNumberFormat="1" applyFont="1" applyFill="1" applyBorder="1" applyAlignment="1">
      <alignment horizontal="right"/>
    </xf>
    <xf numFmtId="0" fontId="6" fillId="20" borderId="67" xfId="0" applyFont="1" applyFill="1" applyBorder="1" applyAlignment="1"/>
    <xf numFmtId="0" fontId="8" fillId="20" borderId="21" xfId="0" applyFont="1" applyFill="1" applyBorder="1"/>
    <xf numFmtId="0" fontId="6" fillId="0" borderId="69" xfId="0" applyFont="1" applyBorder="1" applyAlignment="1">
      <alignment horizontal="center"/>
    </xf>
    <xf numFmtId="0" fontId="6" fillId="0" borderId="53" xfId="0" applyFont="1" applyBorder="1"/>
    <xf numFmtId="187" fontId="6" fillId="11" borderId="53" xfId="0" applyNumberFormat="1" applyFont="1" applyFill="1" applyBorder="1" applyAlignment="1">
      <alignment horizontal="right"/>
    </xf>
    <xf numFmtId="187" fontId="6" fillId="7" borderId="53" xfId="0" applyNumberFormat="1" applyFont="1" applyFill="1" applyBorder="1" applyAlignment="1">
      <alignment horizontal="right"/>
    </xf>
    <xf numFmtId="187" fontId="6" fillId="0" borderId="53" xfId="0" applyNumberFormat="1" applyFont="1" applyBorder="1" applyAlignment="1">
      <alignment horizontal="right"/>
    </xf>
    <xf numFmtId="187" fontId="6" fillId="21" borderId="53" xfId="0" applyNumberFormat="1" applyFont="1" applyFill="1" applyBorder="1" applyAlignment="1">
      <alignment horizontal="right"/>
    </xf>
    <xf numFmtId="190" fontId="6" fillId="21" borderId="53" xfId="0" applyNumberFormat="1" applyFont="1" applyFill="1" applyBorder="1" applyAlignment="1">
      <alignment horizontal="right"/>
    </xf>
    <xf numFmtId="190" fontId="6" fillId="0" borderId="53" xfId="0" applyNumberFormat="1" applyFont="1" applyBorder="1" applyAlignment="1">
      <alignment horizontal="right"/>
    </xf>
    <xf numFmtId="0" fontId="6" fillId="0" borderId="70" xfId="0" applyFont="1" applyBorder="1" applyAlignment="1">
      <alignment horizontal="center"/>
    </xf>
    <xf numFmtId="0" fontId="6" fillId="0" borderId="21" xfId="0" applyFont="1" applyBorder="1"/>
    <xf numFmtId="187" fontId="6" fillId="11" borderId="21" xfId="0" applyNumberFormat="1" applyFont="1" applyFill="1" applyBorder="1" applyAlignment="1">
      <alignment horizontal="right"/>
    </xf>
    <xf numFmtId="187" fontId="6" fillId="7" borderId="21" xfId="0" applyNumberFormat="1" applyFont="1" applyFill="1" applyBorder="1" applyAlignment="1">
      <alignment horizontal="right"/>
    </xf>
    <xf numFmtId="187" fontId="6" fillId="0" borderId="21" xfId="0" applyNumberFormat="1" applyFont="1" applyBorder="1" applyAlignment="1">
      <alignment horizontal="right"/>
    </xf>
    <xf numFmtId="190" fontId="6" fillId="0" borderId="21" xfId="0" applyNumberFormat="1" applyFont="1" applyBorder="1" applyAlignment="1">
      <alignment horizontal="right"/>
    </xf>
    <xf numFmtId="187" fontId="6" fillId="21" borderId="21" xfId="0" applyNumberFormat="1" applyFont="1" applyFill="1" applyBorder="1" applyAlignment="1">
      <alignment horizontal="right"/>
    </xf>
    <xf numFmtId="0" fontId="6" fillId="0" borderId="71" xfId="0" applyFont="1" applyBorder="1" applyAlignment="1">
      <alignment horizontal="center"/>
    </xf>
    <xf numFmtId="0" fontId="6" fillId="0" borderId="24" xfId="0" applyFont="1" applyBorder="1"/>
    <xf numFmtId="187" fontId="6" fillId="11" borderId="24" xfId="0" applyNumberFormat="1" applyFont="1" applyFill="1" applyBorder="1" applyAlignment="1">
      <alignment horizontal="right"/>
    </xf>
    <xf numFmtId="187" fontId="6" fillId="7" borderId="24" xfId="0" applyNumberFormat="1" applyFont="1" applyFill="1" applyBorder="1" applyAlignment="1">
      <alignment horizontal="right"/>
    </xf>
    <xf numFmtId="187" fontId="6" fillId="0" borderId="24" xfId="0" applyNumberFormat="1" applyFont="1" applyBorder="1" applyAlignment="1">
      <alignment horizontal="right"/>
    </xf>
    <xf numFmtId="190" fontId="6" fillId="0" borderId="24" xfId="0" applyNumberFormat="1" applyFont="1" applyBorder="1" applyAlignment="1">
      <alignment horizontal="right"/>
    </xf>
    <xf numFmtId="187" fontId="6" fillId="21" borderId="24" xfId="0" applyNumberFormat="1" applyFont="1" applyFill="1" applyBorder="1" applyAlignment="1">
      <alignment horizontal="right"/>
    </xf>
    <xf numFmtId="187" fontId="6" fillId="9" borderId="44" xfId="0" applyNumberFormat="1" applyFont="1" applyFill="1" applyBorder="1" applyAlignment="1">
      <alignment horizontal="right"/>
    </xf>
    <xf numFmtId="190" fontId="6" fillId="9" borderId="44" xfId="0" applyNumberFormat="1" applyFont="1" applyFill="1" applyBorder="1" applyAlignment="1">
      <alignment horizontal="right"/>
    </xf>
    <xf numFmtId="187" fontId="8" fillId="19" borderId="21" xfId="0" applyNumberFormat="1" applyFont="1" applyFill="1" applyBorder="1"/>
    <xf numFmtId="0" fontId="1" fillId="0" borderId="52" xfId="0" applyFont="1" applyBorder="1" applyAlignment="1">
      <alignment horizontal="center" vertical="center"/>
    </xf>
    <xf numFmtId="187" fontId="6" fillId="11" borderId="72" xfId="0" applyNumberFormat="1" applyFont="1" applyFill="1" applyBorder="1" applyAlignment="1">
      <alignment horizontal="right"/>
    </xf>
    <xf numFmtId="187" fontId="6" fillId="7" borderId="72" xfId="0" applyNumberFormat="1" applyFont="1" applyFill="1" applyBorder="1" applyAlignment="1">
      <alignment horizontal="right"/>
    </xf>
    <xf numFmtId="187" fontId="8" fillId="0" borderId="72" xfId="0" applyNumberFormat="1" applyFont="1" applyBorder="1"/>
    <xf numFmtId="0" fontId="1" fillId="0" borderId="56" xfId="0" applyFont="1" applyBorder="1" applyAlignment="1">
      <alignment horizontal="center" vertical="center"/>
    </xf>
    <xf numFmtId="187" fontId="6" fillId="11" borderId="73" xfId="0" applyNumberFormat="1" applyFont="1" applyFill="1" applyBorder="1" applyAlignment="1">
      <alignment horizontal="right"/>
    </xf>
    <xf numFmtId="187" fontId="6" fillId="7" borderId="73" xfId="0" applyNumberFormat="1" applyFont="1" applyFill="1" applyBorder="1" applyAlignment="1">
      <alignment horizontal="right"/>
    </xf>
    <xf numFmtId="187" fontId="8" fillId="0" borderId="73" xfId="0" applyNumberFormat="1" applyFont="1" applyBorder="1"/>
    <xf numFmtId="0" fontId="1" fillId="0" borderId="59" xfId="0" applyFont="1" applyBorder="1" applyAlignment="1">
      <alignment horizontal="center" vertical="center"/>
    </xf>
    <xf numFmtId="187" fontId="6" fillId="11" borderId="74" xfId="0" applyNumberFormat="1" applyFont="1" applyFill="1" applyBorder="1" applyAlignment="1">
      <alignment horizontal="right"/>
    </xf>
    <xf numFmtId="187" fontId="6" fillId="7" borderId="74" xfId="0" applyNumberFormat="1" applyFont="1" applyFill="1" applyBorder="1" applyAlignment="1">
      <alignment horizontal="right"/>
    </xf>
    <xf numFmtId="187" fontId="6" fillId="2" borderId="21" xfId="0" applyNumberFormat="1" applyFont="1" applyFill="1" applyBorder="1" applyAlignment="1">
      <alignment horizontal="center" wrapText="1"/>
    </xf>
    <xf numFmtId="187" fontId="1" fillId="19" borderId="44" xfId="0" applyNumberFormat="1" applyFont="1" applyFill="1" applyBorder="1" applyAlignment="1">
      <alignment vertical="center" shrinkToFit="1"/>
    </xf>
    <xf numFmtId="187" fontId="6" fillId="19" borderId="21" xfId="0" applyNumberFormat="1" applyFont="1" applyFill="1" applyBorder="1" applyAlignment="1">
      <alignment horizontal="right"/>
    </xf>
    <xf numFmtId="187" fontId="6" fillId="20" borderId="24" xfId="0" applyNumberFormat="1" applyFont="1" applyFill="1" applyBorder="1" applyAlignment="1">
      <alignment horizontal="right"/>
    </xf>
    <xf numFmtId="187" fontId="6" fillId="9" borderId="11" xfId="0" applyNumberFormat="1" applyFont="1" applyFill="1" applyBorder="1" applyAlignment="1">
      <alignment horizontal="right"/>
    </xf>
    <xf numFmtId="187" fontId="1" fillId="9" borderId="27" xfId="0" applyNumberFormat="1" applyFont="1" applyFill="1" applyBorder="1" applyAlignment="1">
      <alignment vertical="center" shrinkToFit="1"/>
    </xf>
    <xf numFmtId="187" fontId="6" fillId="9" borderId="21" xfId="0" applyNumberFormat="1" applyFont="1" applyFill="1" applyBorder="1" applyAlignment="1">
      <alignment horizontal="right"/>
    </xf>
    <xf numFmtId="187" fontId="1" fillId="0" borderId="52" xfId="0" applyNumberFormat="1" applyFont="1" applyBorder="1" applyAlignment="1">
      <alignment vertical="center" shrinkToFit="1"/>
    </xf>
    <xf numFmtId="187" fontId="1" fillId="0" borderId="56" xfId="0" applyNumberFormat="1" applyFont="1" applyBorder="1" applyAlignment="1">
      <alignment vertical="center" shrinkToFit="1"/>
    </xf>
    <xf numFmtId="187" fontId="1" fillId="0" borderId="59" xfId="0" applyNumberFormat="1" applyFont="1" applyBorder="1" applyAlignment="1">
      <alignment vertical="center" shrinkToFit="1"/>
    </xf>
    <xf numFmtId="187" fontId="1" fillId="9" borderId="44" xfId="0" applyNumberFormat="1" applyFont="1" applyFill="1" applyBorder="1" applyAlignment="1">
      <alignment vertical="center" shrinkToFit="1"/>
    </xf>
    <xf numFmtId="187" fontId="6" fillId="21" borderId="53" xfId="0" applyNumberFormat="1" applyFont="1" applyFill="1" applyBorder="1" applyAlignment="1">
      <alignment horizontal="right"/>
    </xf>
    <xf numFmtId="187" fontId="6" fillId="21" borderId="24" xfId="0" applyNumberFormat="1" applyFont="1" applyFill="1" applyBorder="1" applyAlignment="1">
      <alignment horizontal="right"/>
    </xf>
    <xf numFmtId="187" fontId="6" fillId="9" borderId="44" xfId="0" applyNumberFormat="1" applyFont="1" applyFill="1" applyBorder="1" applyAlignment="1">
      <alignment horizontal="right"/>
    </xf>
    <xf numFmtId="187" fontId="6" fillId="21" borderId="21" xfId="0" applyNumberFormat="1" applyFont="1" applyFill="1" applyBorder="1" applyAlignment="1">
      <alignment horizontal="right"/>
    </xf>
    <xf numFmtId="0" fontId="11" fillId="0" borderId="0" xfId="0" applyFont="1" applyAlignment="1"/>
    <xf numFmtId="187" fontId="1" fillId="16" borderId="44" xfId="0" applyNumberFormat="1" applyFont="1" applyFill="1" applyBorder="1" applyAlignment="1">
      <alignment horizontal="center" vertical="center" wrapText="1"/>
    </xf>
    <xf numFmtId="187" fontId="1" fillId="16" borderId="31" xfId="0" applyNumberFormat="1" applyFont="1" applyFill="1" applyBorder="1" applyAlignment="1">
      <alignment horizontal="center" vertical="center" wrapText="1"/>
    </xf>
    <xf numFmtId="188" fontId="4" fillId="2" borderId="31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 wrapText="1"/>
    </xf>
    <xf numFmtId="187" fontId="6" fillId="22" borderId="44" xfId="0" applyNumberFormat="1" applyFont="1" applyFill="1" applyBorder="1" applyAlignment="1">
      <alignment horizontal="center"/>
    </xf>
    <xf numFmtId="189" fontId="6" fillId="18" borderId="31" xfId="0" applyNumberFormat="1" applyFont="1" applyFill="1" applyBorder="1" applyAlignment="1">
      <alignment horizontal="right"/>
    </xf>
    <xf numFmtId="189" fontId="6" fillId="18" borderId="37" xfId="0" applyNumberFormat="1" applyFont="1" applyFill="1" applyBorder="1" applyAlignment="1">
      <alignment horizontal="right"/>
    </xf>
    <xf numFmtId="188" fontId="6" fillId="18" borderId="37" xfId="0" applyNumberFormat="1" applyFont="1" applyFill="1" applyBorder="1" applyAlignment="1">
      <alignment horizontal="right"/>
    </xf>
    <xf numFmtId="189" fontId="6" fillId="9" borderId="40" xfId="0" applyNumberFormat="1" applyFont="1" applyFill="1" applyBorder="1" applyAlignment="1">
      <alignment horizontal="right"/>
    </xf>
    <xf numFmtId="189" fontId="6" fillId="9" borderId="21" xfId="0" applyNumberFormat="1" applyFont="1" applyFill="1" applyBorder="1" applyAlignment="1">
      <alignment horizontal="right"/>
    </xf>
    <xf numFmtId="188" fontId="6" fillId="9" borderId="21" xfId="0" applyNumberFormat="1" applyFont="1" applyFill="1" applyBorder="1" applyAlignment="1">
      <alignment horizontal="right"/>
    </xf>
    <xf numFmtId="189" fontId="6" fillId="19" borderId="40" xfId="0" applyNumberFormat="1" applyFont="1" applyFill="1" applyBorder="1" applyAlignment="1">
      <alignment horizontal="right"/>
    </xf>
    <xf numFmtId="189" fontId="6" fillId="19" borderId="21" xfId="0" applyNumberFormat="1" applyFont="1" applyFill="1" applyBorder="1" applyAlignment="1">
      <alignment horizontal="right"/>
    </xf>
    <xf numFmtId="188" fontId="6" fillId="19" borderId="21" xfId="0" applyNumberFormat="1" applyFont="1" applyFill="1" applyBorder="1" applyAlignment="1">
      <alignment horizontal="right"/>
    </xf>
    <xf numFmtId="189" fontId="8" fillId="20" borderId="40" xfId="0" applyNumberFormat="1" applyFont="1" applyFill="1" applyBorder="1" applyAlignment="1"/>
    <xf numFmtId="189" fontId="8" fillId="20" borderId="21" xfId="0" applyNumberFormat="1" applyFont="1" applyFill="1" applyBorder="1" applyAlignment="1"/>
    <xf numFmtId="188" fontId="8" fillId="20" borderId="21" xfId="0" applyNumberFormat="1" applyFont="1" applyFill="1" applyBorder="1" applyAlignment="1"/>
    <xf numFmtId="189" fontId="6" fillId="0" borderId="62" xfId="0" applyNumberFormat="1" applyFont="1" applyBorder="1" applyAlignment="1">
      <alignment horizontal="right"/>
    </xf>
    <xf numFmtId="189" fontId="6" fillId="0" borderId="53" xfId="0" applyNumberFormat="1" applyFont="1" applyBorder="1" applyAlignment="1">
      <alignment horizontal="right"/>
    </xf>
    <xf numFmtId="188" fontId="6" fillId="0" borderId="53" xfId="0" applyNumberFormat="1" applyFont="1" applyBorder="1" applyAlignment="1">
      <alignment horizontal="right"/>
    </xf>
    <xf numFmtId="189" fontId="6" fillId="0" borderId="40" xfId="0" applyNumberFormat="1" applyFont="1" applyBorder="1" applyAlignment="1">
      <alignment horizontal="right"/>
    </xf>
    <xf numFmtId="189" fontId="6" fillId="0" borderId="21" xfId="0" applyNumberFormat="1" applyFont="1" applyBorder="1" applyAlignment="1">
      <alignment horizontal="right"/>
    </xf>
    <xf numFmtId="188" fontId="6" fillId="0" borderId="21" xfId="0" applyNumberFormat="1" applyFont="1" applyBorder="1" applyAlignment="1">
      <alignment horizontal="right"/>
    </xf>
    <xf numFmtId="187" fontId="6" fillId="19" borderId="40" xfId="0" applyNumberFormat="1" applyFont="1" applyFill="1" applyBorder="1" applyAlignment="1">
      <alignment horizontal="right"/>
    </xf>
    <xf numFmtId="189" fontId="6" fillId="0" borderId="62" xfId="0" applyNumberFormat="1" applyFont="1" applyBorder="1" applyAlignment="1">
      <alignment horizontal="right"/>
    </xf>
    <xf numFmtId="187" fontId="1" fillId="0" borderId="63" xfId="0" applyNumberFormat="1" applyFont="1" applyBorder="1" applyAlignment="1">
      <alignment vertical="center" shrinkToFit="1"/>
    </xf>
    <xf numFmtId="189" fontId="6" fillId="0" borderId="40" xfId="0" applyNumberFormat="1" applyFont="1" applyBorder="1" applyAlignment="1">
      <alignment horizontal="right"/>
    </xf>
    <xf numFmtId="188" fontId="8" fillId="0" borderId="20" xfId="0" applyNumberFormat="1" applyFont="1" applyBorder="1" applyAlignment="1"/>
    <xf numFmtId="189" fontId="8" fillId="0" borderId="20" xfId="0" applyNumberFormat="1" applyFont="1" applyBorder="1" applyAlignment="1"/>
    <xf numFmtId="187" fontId="6" fillId="22" borderId="24" xfId="0" applyNumberFormat="1" applyFont="1" applyFill="1" applyBorder="1" applyAlignment="1">
      <alignment horizontal="center"/>
    </xf>
    <xf numFmtId="187" fontId="6" fillId="16" borderId="21" xfId="0" applyNumberFormat="1" applyFont="1" applyFill="1" applyBorder="1" applyAlignment="1">
      <alignment horizontal="center" wrapText="1"/>
    </xf>
    <xf numFmtId="187" fontId="8" fillId="22" borderId="37" xfId="0" applyNumberFormat="1" applyFont="1" applyFill="1" applyBorder="1" applyAlignment="1"/>
    <xf numFmtId="187" fontId="6" fillId="16" borderId="37" xfId="0" applyNumberFormat="1" applyFont="1" applyFill="1" applyBorder="1" applyAlignment="1">
      <alignment horizontal="center" wrapText="1"/>
    </xf>
    <xf numFmtId="187" fontId="6" fillId="2" borderId="37" xfId="0" applyNumberFormat="1" applyFont="1" applyFill="1" applyBorder="1" applyAlignment="1">
      <alignment horizontal="center" wrapText="1"/>
    </xf>
    <xf numFmtId="188" fontId="9" fillId="2" borderId="37" xfId="0" applyNumberFormat="1" applyFont="1" applyFill="1" applyBorder="1" applyAlignment="1">
      <alignment horizontal="center" wrapText="1"/>
    </xf>
    <xf numFmtId="187" fontId="6" fillId="16" borderId="37" xfId="0" applyNumberFormat="1" applyFont="1" applyFill="1" applyBorder="1" applyAlignment="1">
      <alignment horizontal="center"/>
    </xf>
    <xf numFmtId="187" fontId="6" fillId="2" borderId="37" xfId="0" applyNumberFormat="1" applyFont="1" applyFill="1" applyBorder="1" applyAlignment="1">
      <alignment horizontal="center"/>
    </xf>
    <xf numFmtId="188" fontId="6" fillId="2" borderId="37" xfId="0" applyNumberFormat="1" applyFont="1" applyFill="1" applyBorder="1" applyAlignment="1">
      <alignment horizontal="right"/>
    </xf>
    <xf numFmtId="187" fontId="6" fillId="9" borderId="21" xfId="0" applyNumberFormat="1" applyFont="1" applyFill="1" applyBorder="1" applyAlignment="1">
      <alignment horizontal="right"/>
    </xf>
    <xf numFmtId="187" fontId="6" fillId="19" borderId="21" xfId="0" applyNumberFormat="1" applyFont="1" applyFill="1" applyBorder="1" applyAlignment="1">
      <alignment horizontal="right"/>
    </xf>
    <xf numFmtId="187" fontId="8" fillId="20" borderId="21" xfId="0" applyNumberFormat="1" applyFont="1" applyFill="1" applyBorder="1" applyAlignment="1"/>
    <xf numFmtId="188" fontId="6" fillId="20" borderId="21" xfId="0" applyNumberFormat="1" applyFont="1" applyFill="1" applyBorder="1" applyAlignment="1">
      <alignment horizontal="right"/>
    </xf>
    <xf numFmtId="187" fontId="6" fillId="20" borderId="21" xfId="0" applyNumberFormat="1" applyFont="1" applyFill="1" applyBorder="1" applyAlignment="1">
      <alignment horizontal="right"/>
    </xf>
    <xf numFmtId="187" fontId="6" fillId="9" borderId="21" xfId="0" applyNumberFormat="1" applyFont="1" applyFill="1" applyBorder="1" applyAlignment="1">
      <alignment horizontal="right"/>
    </xf>
    <xf numFmtId="188" fontId="6" fillId="9" borderId="21" xfId="0" applyNumberFormat="1" applyFont="1" applyFill="1" applyBorder="1" applyAlignment="1">
      <alignment horizontal="right"/>
    </xf>
    <xf numFmtId="187" fontId="13" fillId="21" borderId="53" xfId="0" applyNumberFormat="1" applyFont="1" applyFill="1" applyBorder="1" applyAlignment="1"/>
    <xf numFmtId="188" fontId="6" fillId="21" borderId="53" xfId="0" applyNumberFormat="1" applyFont="1" applyFill="1" applyBorder="1" applyAlignment="1">
      <alignment horizontal="right"/>
    </xf>
    <xf numFmtId="187" fontId="13" fillId="21" borderId="21" xfId="0" applyNumberFormat="1" applyFont="1" applyFill="1" applyBorder="1" applyAlignment="1"/>
    <xf numFmtId="188" fontId="6" fillId="21" borderId="21" xfId="0" applyNumberFormat="1" applyFont="1" applyFill="1" applyBorder="1" applyAlignment="1">
      <alignment horizontal="right"/>
    </xf>
    <xf numFmtId="187" fontId="8" fillId="19" borderId="21" xfId="0" applyNumberFormat="1" applyFont="1" applyFill="1" applyBorder="1" applyAlignment="1"/>
    <xf numFmtId="187" fontId="8" fillId="0" borderId="53" xfId="0" applyNumberFormat="1" applyFont="1" applyBorder="1" applyAlignment="1"/>
    <xf numFmtId="187" fontId="8" fillId="0" borderId="24" xfId="0" applyNumberFormat="1" applyFont="1" applyBorder="1" applyAlignment="1"/>
    <xf numFmtId="188" fontId="6" fillId="0" borderId="24" xfId="0" applyNumberFormat="1" applyFont="1" applyBorder="1" applyAlignment="1">
      <alignment horizontal="right"/>
    </xf>
    <xf numFmtId="187" fontId="8" fillId="0" borderId="73" xfId="0" applyNumberFormat="1" applyFont="1" applyBorder="1" applyAlignment="1"/>
    <xf numFmtId="188" fontId="6" fillId="0" borderId="73" xfId="0" applyNumberFormat="1" applyFont="1" applyBorder="1" applyAlignment="1">
      <alignment horizontal="right"/>
    </xf>
    <xf numFmtId="187" fontId="8" fillId="0" borderId="21" xfId="0" applyNumberFormat="1" applyFont="1" applyBorder="1" applyAlignment="1"/>
    <xf numFmtId="187" fontId="1" fillId="23" borderId="44" xfId="0" applyNumberFormat="1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/>
    </xf>
    <xf numFmtId="0" fontId="1" fillId="24" borderId="44" xfId="0" applyFont="1" applyFill="1" applyBorder="1" applyAlignment="1">
      <alignment horizontal="center"/>
    </xf>
    <xf numFmtId="187" fontId="1" fillId="23" borderId="33" xfId="0" applyNumberFormat="1" applyFont="1" applyFill="1" applyBorder="1" applyAlignment="1">
      <alignment horizontal="center" vertical="center" wrapText="1"/>
    </xf>
    <xf numFmtId="187" fontId="1" fillId="24" borderId="32" xfId="0" applyNumberFormat="1" applyFont="1" applyFill="1" applyBorder="1" applyAlignment="1">
      <alignment horizontal="center" vertical="center" wrapText="1"/>
    </xf>
    <xf numFmtId="188" fontId="4" fillId="24" borderId="32" xfId="0" applyNumberFormat="1" applyFont="1" applyFill="1" applyBorder="1" applyAlignment="1">
      <alignment horizontal="center" vertical="center" wrapText="1"/>
    </xf>
    <xf numFmtId="187" fontId="1" fillId="23" borderId="31" xfId="0" applyNumberFormat="1" applyFont="1" applyFill="1" applyBorder="1" applyAlignment="1">
      <alignment horizontal="center" vertical="center" wrapText="1"/>
    </xf>
    <xf numFmtId="187" fontId="1" fillId="24" borderId="32" xfId="0" applyNumberFormat="1" applyFont="1" applyFill="1" applyBorder="1" applyAlignment="1">
      <alignment horizontal="center" vertical="center"/>
    </xf>
    <xf numFmtId="188" fontId="4" fillId="24" borderId="32" xfId="0" applyNumberFormat="1" applyFont="1" applyFill="1" applyBorder="1" applyAlignment="1">
      <alignment horizontal="center" vertical="center"/>
    </xf>
    <xf numFmtId="187" fontId="1" fillId="23" borderId="31" xfId="0" applyNumberFormat="1" applyFont="1" applyFill="1" applyBorder="1" applyAlignment="1">
      <alignment horizontal="center" vertical="center"/>
    </xf>
    <xf numFmtId="187" fontId="1" fillId="23" borderId="36" xfId="0" applyNumberFormat="1" applyFont="1" applyFill="1" applyBorder="1" applyAlignment="1">
      <alignment horizontal="center" vertical="center" shrinkToFit="1"/>
    </xf>
    <xf numFmtId="187" fontId="1" fillId="24" borderId="36" xfId="0" applyNumberFormat="1" applyFont="1" applyFill="1" applyBorder="1" applyAlignment="1">
      <alignment horizontal="center" vertical="center" shrinkToFit="1"/>
    </xf>
    <xf numFmtId="188" fontId="1" fillId="24" borderId="36" xfId="0" applyNumberFormat="1" applyFont="1" applyFill="1" applyBorder="1" applyAlignment="1">
      <alignment horizontal="right" vertical="center" shrinkToFit="1"/>
    </xf>
    <xf numFmtId="187" fontId="8" fillId="19" borderId="40" xfId="0" applyNumberFormat="1" applyFont="1" applyFill="1" applyBorder="1"/>
    <xf numFmtId="187" fontId="8" fillId="0" borderId="62" xfId="0" applyNumberFormat="1" applyFont="1" applyBorder="1"/>
    <xf numFmtId="187" fontId="8" fillId="0" borderId="22" xfId="0" applyNumberFormat="1" applyFont="1" applyBorder="1"/>
    <xf numFmtId="187" fontId="8" fillId="0" borderId="56" xfId="0" applyNumberFormat="1" applyFont="1" applyBorder="1"/>
    <xf numFmtId="187" fontId="8" fillId="0" borderId="40" xfId="0" applyNumberFormat="1" applyFont="1" applyBorder="1"/>
    <xf numFmtId="0" fontId="14" fillId="0" borderId="0" xfId="0" applyFont="1"/>
    <xf numFmtId="0" fontId="15" fillId="0" borderId="0" xfId="0" applyFont="1"/>
    <xf numFmtId="187" fontId="14" fillId="16" borderId="44" xfId="0" applyNumberFormat="1" applyFont="1" applyFill="1" applyBorder="1" applyAlignment="1">
      <alignment horizontal="center" vertical="center" wrapText="1"/>
    </xf>
    <xf numFmtId="187" fontId="14" fillId="16" borderId="33" xfId="0" applyNumberFormat="1" applyFont="1" applyFill="1" applyBorder="1" applyAlignment="1">
      <alignment horizontal="center" vertical="center" wrapText="1"/>
    </xf>
    <xf numFmtId="187" fontId="14" fillId="2" borderId="32" xfId="0" applyNumberFormat="1" applyFont="1" applyFill="1" applyBorder="1" applyAlignment="1">
      <alignment horizontal="center" vertical="center" wrapText="1"/>
    </xf>
    <xf numFmtId="187" fontId="14" fillId="2" borderId="31" xfId="0" applyNumberFormat="1" applyFont="1" applyFill="1" applyBorder="1" applyAlignment="1">
      <alignment horizontal="center" vertical="center" wrapText="1"/>
    </xf>
    <xf numFmtId="187" fontId="14" fillId="16" borderId="33" xfId="0" applyNumberFormat="1" applyFont="1" applyFill="1" applyBorder="1" applyAlignment="1">
      <alignment horizontal="center" vertical="center" wrapText="1"/>
    </xf>
    <xf numFmtId="187" fontId="14" fillId="2" borderId="32" xfId="0" applyNumberFormat="1" applyFont="1" applyFill="1" applyBorder="1" applyAlignment="1">
      <alignment horizontal="center" vertical="center" wrapText="1"/>
    </xf>
    <xf numFmtId="188" fontId="16" fillId="2" borderId="32" xfId="0" applyNumberFormat="1" applyFont="1" applyFill="1" applyBorder="1" applyAlignment="1">
      <alignment horizontal="center" vertical="center" wrapText="1"/>
    </xf>
    <xf numFmtId="187" fontId="14" fillId="2" borderId="36" xfId="0" applyNumberFormat="1" applyFont="1" applyFill="1" applyBorder="1" applyAlignment="1">
      <alignment horizontal="center" vertical="center" shrinkToFit="1"/>
    </xf>
    <xf numFmtId="188" fontId="14" fillId="2" borderId="36" xfId="0" applyNumberFormat="1" applyFont="1" applyFill="1" applyBorder="1" applyAlignment="1">
      <alignment horizontal="right" vertical="center" shrinkToFit="1"/>
    </xf>
    <xf numFmtId="187" fontId="14" fillId="9" borderId="41" xfId="0" applyNumberFormat="1" applyFont="1" applyFill="1" applyBorder="1" applyAlignment="1">
      <alignment vertical="center" shrinkToFit="1"/>
    </xf>
    <xf numFmtId="188" fontId="14" fillId="9" borderId="41" xfId="0" applyNumberFormat="1" applyFont="1" applyFill="1" applyBorder="1" applyAlignment="1">
      <alignment horizontal="right" vertical="center" shrinkToFit="1"/>
    </xf>
    <xf numFmtId="187" fontId="14" fillId="19" borderId="44" xfId="0" applyNumberFormat="1" applyFont="1" applyFill="1" applyBorder="1" applyAlignment="1">
      <alignment vertical="center" shrinkToFit="1"/>
    </xf>
    <xf numFmtId="188" fontId="14" fillId="19" borderId="44" xfId="0" applyNumberFormat="1" applyFont="1" applyFill="1" applyBorder="1" applyAlignment="1">
      <alignment horizontal="right" vertical="center" shrinkToFit="1"/>
    </xf>
    <xf numFmtId="187" fontId="14" fillId="20" borderId="44" xfId="0" applyNumberFormat="1" applyFont="1" applyFill="1" applyBorder="1" applyAlignment="1">
      <alignment vertical="center" shrinkToFit="1"/>
    </xf>
    <xf numFmtId="188" fontId="14" fillId="20" borderId="44" xfId="0" applyNumberFormat="1" applyFont="1" applyFill="1" applyBorder="1" applyAlignment="1">
      <alignment horizontal="right" vertical="center" shrinkToFit="1"/>
    </xf>
    <xf numFmtId="187" fontId="14" fillId="20" borderId="47" xfId="0" applyNumberFormat="1" applyFont="1" applyFill="1" applyBorder="1" applyAlignment="1">
      <alignment vertical="center" shrinkToFit="1"/>
    </xf>
    <xf numFmtId="188" fontId="14" fillId="20" borderId="47" xfId="0" applyNumberFormat="1" applyFont="1" applyFill="1" applyBorder="1" applyAlignment="1">
      <alignment horizontal="right" vertical="center" shrinkToFit="1"/>
    </xf>
    <xf numFmtId="187" fontId="14" fillId="9" borderId="27" xfId="0" applyNumberFormat="1" applyFont="1" applyFill="1" applyBorder="1" applyAlignment="1">
      <alignment vertical="center" shrinkToFit="1"/>
    </xf>
    <xf numFmtId="188" fontId="14" fillId="9" borderId="27" xfId="0" applyNumberFormat="1" applyFont="1" applyFill="1" applyBorder="1" applyAlignment="1">
      <alignment horizontal="right" vertical="center" shrinkToFit="1"/>
    </xf>
    <xf numFmtId="187" fontId="14" fillId="15" borderId="52" xfId="0" applyNumberFormat="1" applyFont="1" applyFill="1" applyBorder="1" applyAlignment="1">
      <alignment vertical="center" shrinkToFit="1"/>
    </xf>
    <xf numFmtId="188" fontId="14" fillId="15" borderId="52" xfId="0" applyNumberFormat="1" applyFont="1" applyFill="1" applyBorder="1" applyAlignment="1">
      <alignment horizontal="right" vertical="center" shrinkToFit="1"/>
    </xf>
    <xf numFmtId="187" fontId="14" fillId="15" borderId="56" xfId="0" applyNumberFormat="1" applyFont="1" applyFill="1" applyBorder="1" applyAlignment="1">
      <alignment vertical="center" shrinkToFit="1"/>
    </xf>
    <xf numFmtId="188" fontId="14" fillId="15" borderId="56" xfId="0" applyNumberFormat="1" applyFont="1" applyFill="1" applyBorder="1" applyAlignment="1">
      <alignment horizontal="right" vertical="center" shrinkToFit="1"/>
    </xf>
    <xf numFmtId="187" fontId="14" fillId="15" borderId="59" xfId="0" applyNumberFormat="1" applyFont="1" applyFill="1" applyBorder="1" applyAlignment="1">
      <alignment vertical="center" shrinkToFit="1"/>
    </xf>
    <xf numFmtId="188" fontId="14" fillId="15" borderId="59" xfId="0" applyNumberFormat="1" applyFont="1" applyFill="1" applyBorder="1" applyAlignment="1">
      <alignment horizontal="right" vertical="center" shrinkToFit="1"/>
    </xf>
    <xf numFmtId="187" fontId="14" fillId="9" borderId="44" xfId="0" applyNumberFormat="1" applyFont="1" applyFill="1" applyBorder="1" applyAlignment="1">
      <alignment vertical="center" shrinkToFit="1"/>
    </xf>
    <xf numFmtId="188" fontId="14" fillId="9" borderId="44" xfId="0" applyNumberFormat="1" applyFont="1" applyFill="1" applyBorder="1" applyAlignment="1">
      <alignment horizontal="right" vertical="center" shrinkToFit="1"/>
    </xf>
    <xf numFmtId="187" fontId="14" fillId="0" borderId="52" xfId="0" applyNumberFormat="1" applyFont="1" applyBorder="1" applyAlignment="1">
      <alignment vertical="center" shrinkToFit="1"/>
    </xf>
    <xf numFmtId="188" fontId="14" fillId="0" borderId="52" xfId="0" applyNumberFormat="1" applyFont="1" applyBorder="1" applyAlignment="1">
      <alignment horizontal="right" vertical="center" shrinkToFit="1"/>
    </xf>
    <xf numFmtId="187" fontId="14" fillId="0" borderId="56" xfId="0" applyNumberFormat="1" applyFont="1" applyBorder="1" applyAlignment="1">
      <alignment vertical="center" shrinkToFit="1"/>
    </xf>
    <xf numFmtId="188" fontId="14" fillId="0" borderId="56" xfId="0" applyNumberFormat="1" applyFont="1" applyBorder="1" applyAlignment="1">
      <alignment horizontal="right" vertical="center" shrinkToFit="1"/>
    </xf>
    <xf numFmtId="187" fontId="14" fillId="0" borderId="63" xfId="0" applyNumberFormat="1" applyFont="1" applyBorder="1" applyAlignment="1">
      <alignment vertical="center" shrinkToFit="1"/>
    </xf>
    <xf numFmtId="188" fontId="14" fillId="0" borderId="63" xfId="0" applyNumberFormat="1" applyFont="1" applyBorder="1" applyAlignment="1">
      <alignment horizontal="right" vertical="center" shrinkToFit="1"/>
    </xf>
    <xf numFmtId="187" fontId="14" fillId="0" borderId="62" xfId="0" applyNumberFormat="1" applyFont="1" applyBorder="1" applyAlignment="1">
      <alignment vertical="center" shrinkToFit="1"/>
    </xf>
    <xf numFmtId="187" fontId="14" fillId="0" borderId="59" xfId="0" applyNumberFormat="1" applyFont="1" applyBorder="1" applyAlignment="1">
      <alignment vertical="center" shrinkToFit="1"/>
    </xf>
    <xf numFmtId="0" fontId="8" fillId="0" borderId="20" xfId="0" applyFont="1" applyBorder="1" applyAlignment="1"/>
    <xf numFmtId="0" fontId="1" fillId="2" borderId="45" xfId="0" applyFont="1" applyFill="1" applyBorder="1" applyAlignment="1">
      <alignment horizontal="center"/>
    </xf>
    <xf numFmtId="187" fontId="6" fillId="16" borderId="40" xfId="0" applyNumberFormat="1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/>
    </xf>
    <xf numFmtId="187" fontId="6" fillId="16" borderId="31" xfId="0" applyNumberFormat="1" applyFont="1" applyFill="1" applyBorder="1" applyAlignment="1">
      <alignment horizontal="center" wrapText="1"/>
    </xf>
    <xf numFmtId="187" fontId="6" fillId="2" borderId="37" xfId="0" applyNumberFormat="1" applyFont="1" applyFill="1" applyBorder="1" applyAlignment="1">
      <alignment horizontal="center" wrapText="1"/>
    </xf>
    <xf numFmtId="188" fontId="9" fillId="2" borderId="37" xfId="0" applyNumberFormat="1" applyFont="1" applyFill="1" applyBorder="1" applyAlignment="1">
      <alignment horizontal="center" wrapText="1"/>
    </xf>
    <xf numFmtId="187" fontId="6" fillId="2" borderId="36" xfId="0" applyNumberFormat="1" applyFont="1" applyFill="1" applyBorder="1" applyAlignment="1">
      <alignment horizontal="center"/>
    </xf>
    <xf numFmtId="187" fontId="6" fillId="16" borderId="36" xfId="0" applyNumberFormat="1" applyFont="1" applyFill="1" applyBorder="1" applyAlignment="1">
      <alignment horizontal="center"/>
    </xf>
    <xf numFmtId="187" fontId="6" fillId="2" borderId="35" xfId="0" applyNumberFormat="1" applyFont="1" applyFill="1" applyBorder="1" applyAlignment="1">
      <alignment horizontal="center"/>
    </xf>
    <xf numFmtId="188" fontId="6" fillId="2" borderId="35" xfId="0" applyNumberFormat="1" applyFont="1" applyFill="1" applyBorder="1" applyAlignment="1">
      <alignment horizontal="right"/>
    </xf>
    <xf numFmtId="188" fontId="6" fillId="2" borderId="37" xfId="0" applyNumberFormat="1" applyFont="1" applyFill="1" applyBorder="1" applyAlignment="1">
      <alignment horizontal="right"/>
    </xf>
    <xf numFmtId="187" fontId="6" fillId="9" borderId="40" xfId="0" applyNumberFormat="1" applyFont="1" applyFill="1" applyBorder="1" applyAlignment="1">
      <alignment horizontal="right"/>
    </xf>
    <xf numFmtId="187" fontId="6" fillId="9" borderId="40" xfId="0" applyNumberFormat="1" applyFont="1" applyFill="1" applyBorder="1" applyAlignment="1">
      <alignment horizontal="center"/>
    </xf>
    <xf numFmtId="188" fontId="8" fillId="19" borderId="21" xfId="0" applyNumberFormat="1" applyFont="1" applyFill="1" applyBorder="1"/>
    <xf numFmtId="187" fontId="8" fillId="20" borderId="40" xfId="0" applyNumberFormat="1" applyFont="1" applyFill="1" applyBorder="1"/>
    <xf numFmtId="187" fontId="8" fillId="20" borderId="21" xfId="0" applyNumberFormat="1" applyFont="1" applyFill="1" applyBorder="1"/>
    <xf numFmtId="188" fontId="8" fillId="20" borderId="21" xfId="0" applyNumberFormat="1" applyFont="1" applyFill="1" applyBorder="1"/>
    <xf numFmtId="187" fontId="6" fillId="21" borderId="62" xfId="0" applyNumberFormat="1" applyFont="1" applyFill="1" applyBorder="1" applyAlignment="1">
      <alignment horizontal="right"/>
    </xf>
    <xf numFmtId="188" fontId="6" fillId="21" borderId="53" xfId="0" applyNumberFormat="1" applyFont="1" applyFill="1" applyBorder="1" applyAlignment="1">
      <alignment horizontal="right"/>
    </xf>
    <xf numFmtId="187" fontId="6" fillId="21" borderId="62" xfId="0" applyNumberFormat="1" applyFont="1" applyFill="1" applyBorder="1" applyAlignment="1">
      <alignment horizontal="center"/>
    </xf>
    <xf numFmtId="187" fontId="6" fillId="21" borderId="40" xfId="0" applyNumberFormat="1" applyFont="1" applyFill="1" applyBorder="1" applyAlignment="1">
      <alignment horizontal="right"/>
    </xf>
    <xf numFmtId="188" fontId="6" fillId="21" borderId="21" xfId="0" applyNumberFormat="1" applyFont="1" applyFill="1" applyBorder="1" applyAlignment="1">
      <alignment horizontal="right"/>
    </xf>
    <xf numFmtId="187" fontId="6" fillId="19" borderId="40" xfId="0" applyNumberFormat="1" applyFont="1" applyFill="1" applyBorder="1" applyAlignment="1">
      <alignment horizontal="right"/>
    </xf>
    <xf numFmtId="187" fontId="6" fillId="19" borderId="21" xfId="0" applyNumberFormat="1" applyFont="1" applyFill="1" applyBorder="1" applyAlignment="1">
      <alignment horizontal="right"/>
    </xf>
    <xf numFmtId="187" fontId="8" fillId="0" borderId="53" xfId="0" applyNumberFormat="1" applyFont="1" applyBorder="1"/>
    <xf numFmtId="188" fontId="8" fillId="0" borderId="53" xfId="0" applyNumberFormat="1" applyFont="1" applyBorder="1"/>
    <xf numFmtId="187" fontId="8" fillId="0" borderId="24" xfId="0" applyNumberFormat="1" applyFont="1" applyBorder="1"/>
    <xf numFmtId="188" fontId="8" fillId="0" borderId="24" xfId="0" applyNumberFormat="1" applyFont="1" applyBorder="1"/>
    <xf numFmtId="187" fontId="1" fillId="21" borderId="56" xfId="0" applyNumberFormat="1" applyFont="1" applyFill="1" applyBorder="1" applyAlignment="1">
      <alignment vertical="center" shrinkToFit="1"/>
    </xf>
    <xf numFmtId="187" fontId="8" fillId="21" borderId="56" xfId="0" applyNumberFormat="1" applyFont="1" applyFill="1" applyBorder="1"/>
    <xf numFmtId="187" fontId="8" fillId="21" borderId="73" xfId="0" applyNumberFormat="1" applyFont="1" applyFill="1" applyBorder="1"/>
    <xf numFmtId="187" fontId="8" fillId="0" borderId="21" xfId="0" applyNumberFormat="1" applyFont="1" applyBorder="1"/>
    <xf numFmtId="0" fontId="4" fillId="2" borderId="45" xfId="0" applyFont="1" applyFill="1" applyBorder="1" applyAlignment="1">
      <alignment horizontal="center"/>
    </xf>
    <xf numFmtId="0" fontId="1" fillId="21" borderId="56" xfId="0" applyFont="1" applyFill="1" applyBorder="1" applyAlignment="1">
      <alignment horizontal="center" vertical="center"/>
    </xf>
    <xf numFmtId="0" fontId="7" fillId="21" borderId="56" xfId="0" applyFont="1" applyFill="1" applyBorder="1" applyAlignment="1"/>
    <xf numFmtId="190" fontId="1" fillId="21" borderId="56" xfId="0" applyNumberFormat="1" applyFont="1" applyFill="1" applyBorder="1" applyAlignment="1">
      <alignment vertical="center" shrinkToFit="1"/>
    </xf>
    <xf numFmtId="188" fontId="1" fillId="21" borderId="56" xfId="0" applyNumberFormat="1" applyFont="1" applyFill="1" applyBorder="1" applyAlignment="1">
      <alignment horizontal="right" vertical="center" shrinkToFit="1"/>
    </xf>
    <xf numFmtId="189" fontId="1" fillId="21" borderId="56" xfId="0" applyNumberFormat="1" applyFont="1" applyFill="1" applyBorder="1" applyAlignment="1">
      <alignment horizontal="right" vertical="center" shrinkToFit="1"/>
    </xf>
    <xf numFmtId="188" fontId="17" fillId="2" borderId="37" xfId="0" applyNumberFormat="1" applyFont="1" applyFill="1" applyBorder="1" applyAlignment="1">
      <alignment horizontal="center" wrapText="1"/>
    </xf>
    <xf numFmtId="188" fontId="6" fillId="21" borderId="53" xfId="0" applyNumberFormat="1" applyFont="1" applyFill="1" applyBorder="1" applyAlignment="1">
      <alignment horizontal="right"/>
    </xf>
    <xf numFmtId="188" fontId="6" fillId="21" borderId="21" xfId="0" applyNumberFormat="1" applyFont="1" applyFill="1" applyBorder="1" applyAlignment="1">
      <alignment horizontal="right"/>
    </xf>
    <xf numFmtId="187" fontId="6" fillId="21" borderId="73" xfId="0" applyNumberFormat="1" applyFont="1" applyFill="1" applyBorder="1" applyAlignment="1">
      <alignment horizontal="right"/>
    </xf>
    <xf numFmtId="187" fontId="8" fillId="21" borderId="73" xfId="0" applyNumberFormat="1" applyFont="1" applyFill="1" applyBorder="1" applyAlignment="1"/>
    <xf numFmtId="187" fontId="6" fillId="30" borderId="44" xfId="0" applyNumberFormat="1" applyFont="1" applyFill="1" applyBorder="1" applyAlignment="1">
      <alignment horizontal="center" wrapText="1"/>
    </xf>
    <xf numFmtId="187" fontId="6" fillId="31" borderId="44" xfId="0" applyNumberFormat="1" applyFont="1" applyFill="1" applyBorder="1" applyAlignment="1">
      <alignment horizontal="center" wrapText="1"/>
    </xf>
    <xf numFmtId="187" fontId="6" fillId="31" borderId="44" xfId="0" applyNumberFormat="1" applyFont="1" applyFill="1" applyBorder="1" applyAlignment="1">
      <alignment horizontal="center" wrapText="1"/>
    </xf>
    <xf numFmtId="187" fontId="6" fillId="30" borderId="44" xfId="0" applyNumberFormat="1" applyFont="1" applyFill="1" applyBorder="1" applyAlignment="1">
      <alignment horizontal="center" vertical="top"/>
    </xf>
    <xf numFmtId="187" fontId="6" fillId="32" borderId="44" xfId="0" applyNumberFormat="1" applyFont="1" applyFill="1" applyBorder="1" applyAlignment="1">
      <alignment horizontal="center" vertical="top"/>
    </xf>
    <xf numFmtId="187" fontId="6" fillId="31" borderId="44" xfId="0" applyNumberFormat="1" applyFont="1" applyFill="1" applyBorder="1" applyAlignment="1">
      <alignment horizontal="center" vertical="top"/>
    </xf>
    <xf numFmtId="187" fontId="6" fillId="33" borderId="31" xfId="0" applyNumberFormat="1" applyFont="1" applyFill="1" applyBorder="1" applyAlignment="1">
      <alignment horizontal="center" wrapText="1"/>
    </xf>
    <xf numFmtId="187" fontId="6" fillId="33" borderId="37" xfId="0" applyNumberFormat="1" applyFont="1" applyFill="1" applyBorder="1" applyAlignment="1">
      <alignment horizontal="center" wrapText="1"/>
    </xf>
    <xf numFmtId="187" fontId="6" fillId="31" borderId="40" xfId="0" applyNumberFormat="1" applyFont="1" applyFill="1" applyBorder="1" applyAlignment="1">
      <alignment horizontal="center" vertical="top"/>
    </xf>
    <xf numFmtId="187" fontId="1" fillId="30" borderId="37" xfId="0" applyNumberFormat="1" applyFont="1" applyFill="1" applyBorder="1" applyAlignment="1">
      <alignment horizontal="center" vertical="center" shrinkToFit="1"/>
    </xf>
    <xf numFmtId="187" fontId="1" fillId="32" borderId="37" xfId="0" applyNumberFormat="1" applyFont="1" applyFill="1" applyBorder="1" applyAlignment="1">
      <alignment horizontal="center" vertical="center" shrinkToFit="1"/>
    </xf>
    <xf numFmtId="190" fontId="1" fillId="32" borderId="37" xfId="0" applyNumberFormat="1" applyFont="1" applyFill="1" applyBorder="1" applyAlignment="1">
      <alignment horizontal="center" vertical="center" shrinkToFit="1"/>
    </xf>
    <xf numFmtId="187" fontId="1" fillId="31" borderId="37" xfId="0" applyNumberFormat="1" applyFont="1" applyFill="1" applyBorder="1" applyAlignment="1">
      <alignment horizontal="center" vertical="center" shrinkToFit="1"/>
    </xf>
    <xf numFmtId="187" fontId="1" fillId="33" borderId="36" xfId="0" applyNumberFormat="1" applyFont="1" applyFill="1" applyBorder="1" applyAlignment="1">
      <alignment horizontal="center" vertical="center" shrinkToFit="1"/>
    </xf>
    <xf numFmtId="187" fontId="6" fillId="31" borderId="31" xfId="0" applyNumberFormat="1" applyFont="1" applyFill="1" applyBorder="1" applyAlignment="1">
      <alignment horizontal="center"/>
    </xf>
    <xf numFmtId="187" fontId="1" fillId="9" borderId="21" xfId="0" applyNumberFormat="1" applyFont="1" applyFill="1" applyBorder="1" applyAlignment="1">
      <alignment vertical="center" shrinkToFit="1"/>
    </xf>
    <xf numFmtId="190" fontId="1" fillId="9" borderId="21" xfId="0" applyNumberFormat="1" applyFont="1" applyFill="1" applyBorder="1" applyAlignment="1">
      <alignment vertical="center" shrinkToFit="1"/>
    </xf>
    <xf numFmtId="187" fontId="6" fillId="9" borderId="40" xfId="0" applyNumberFormat="1" applyFont="1" applyFill="1" applyBorder="1" applyAlignment="1">
      <alignment horizontal="right"/>
    </xf>
    <xf numFmtId="187" fontId="1" fillId="19" borderId="21" xfId="0" applyNumberFormat="1" applyFont="1" applyFill="1" applyBorder="1" applyAlignment="1">
      <alignment vertical="center" shrinkToFit="1"/>
    </xf>
    <xf numFmtId="190" fontId="1" fillId="19" borderId="21" xfId="0" applyNumberFormat="1" applyFont="1" applyFill="1" applyBorder="1" applyAlignment="1">
      <alignment vertical="center" shrinkToFit="1"/>
    </xf>
    <xf numFmtId="187" fontId="1" fillId="20" borderId="21" xfId="0" applyNumberFormat="1" applyFont="1" applyFill="1" applyBorder="1" applyAlignment="1">
      <alignment vertical="center" shrinkToFit="1"/>
    </xf>
    <xf numFmtId="190" fontId="1" fillId="20" borderId="21" xfId="0" applyNumberFormat="1" applyFont="1" applyFill="1" applyBorder="1" applyAlignment="1">
      <alignment vertical="center" shrinkToFit="1"/>
    </xf>
    <xf numFmtId="187" fontId="1" fillId="20" borderId="24" xfId="0" applyNumberFormat="1" applyFont="1" applyFill="1" applyBorder="1" applyAlignment="1">
      <alignment vertical="center" shrinkToFit="1"/>
    </xf>
    <xf numFmtId="190" fontId="1" fillId="20" borderId="24" xfId="0" applyNumberFormat="1" applyFont="1" applyFill="1" applyBorder="1" applyAlignment="1">
      <alignment vertical="center" shrinkToFit="1"/>
    </xf>
    <xf numFmtId="187" fontId="6" fillId="0" borderId="53" xfId="0" applyNumberFormat="1" applyFont="1" applyBorder="1" applyAlignment="1">
      <alignment horizontal="right"/>
    </xf>
    <xf numFmtId="187" fontId="1" fillId="0" borderId="53" xfId="0" applyNumberFormat="1" applyFont="1" applyBorder="1" applyAlignment="1">
      <alignment vertical="center" shrinkToFit="1"/>
    </xf>
    <xf numFmtId="190" fontId="1" fillId="0" borderId="53" xfId="0" applyNumberFormat="1" applyFont="1" applyBorder="1" applyAlignment="1">
      <alignment vertical="center" shrinkToFit="1"/>
    </xf>
    <xf numFmtId="187" fontId="6" fillId="0" borderId="62" xfId="0" applyNumberFormat="1" applyFont="1" applyBorder="1" applyAlignment="1">
      <alignment horizontal="right"/>
    </xf>
    <xf numFmtId="187" fontId="1" fillId="15" borderId="53" xfId="0" applyNumberFormat="1" applyFont="1" applyFill="1" applyBorder="1" applyAlignment="1">
      <alignment vertical="center" shrinkToFit="1"/>
    </xf>
    <xf numFmtId="190" fontId="1" fillId="15" borderId="53" xfId="0" applyNumberFormat="1" applyFont="1" applyFill="1" applyBorder="1" applyAlignment="1">
      <alignment vertical="center" shrinkToFit="1"/>
    </xf>
    <xf numFmtId="187" fontId="6" fillId="0" borderId="21" xfId="0" applyNumberFormat="1" applyFont="1" applyBorder="1" applyAlignment="1">
      <alignment horizontal="right"/>
    </xf>
    <xf numFmtId="187" fontId="1" fillId="0" borderId="21" xfId="0" applyNumberFormat="1" applyFont="1" applyBorder="1" applyAlignment="1">
      <alignment vertical="center" shrinkToFit="1"/>
    </xf>
    <xf numFmtId="190" fontId="1" fillId="0" borderId="21" xfId="0" applyNumberFormat="1" applyFont="1" applyBorder="1" applyAlignment="1">
      <alignment vertical="center" shrinkToFit="1"/>
    </xf>
    <xf numFmtId="187" fontId="6" fillId="0" borderId="40" xfId="0" applyNumberFormat="1" applyFont="1" applyBorder="1" applyAlignment="1">
      <alignment horizontal="right"/>
    </xf>
    <xf numFmtId="187" fontId="1" fillId="15" borderId="53" xfId="0" applyNumberFormat="1" applyFont="1" applyFill="1" applyBorder="1" applyAlignment="1">
      <alignment vertical="center" shrinkToFit="1"/>
    </xf>
    <xf numFmtId="190" fontId="1" fillId="15" borderId="53" xfId="0" applyNumberFormat="1" applyFont="1" applyFill="1" applyBorder="1" applyAlignment="1">
      <alignment vertical="center" shrinkToFit="1"/>
    </xf>
    <xf numFmtId="187" fontId="6" fillId="0" borderId="24" xfId="0" applyNumberFormat="1" applyFont="1" applyBorder="1" applyAlignment="1">
      <alignment horizontal="right"/>
    </xf>
    <xf numFmtId="187" fontId="1" fillId="0" borderId="24" xfId="0" applyNumberFormat="1" applyFont="1" applyBorder="1" applyAlignment="1">
      <alignment vertical="center" shrinkToFit="1"/>
    </xf>
    <xf numFmtId="190" fontId="1" fillId="0" borderId="24" xfId="0" applyNumberFormat="1" applyFont="1" applyBorder="1" applyAlignment="1">
      <alignment vertical="center" shrinkToFit="1"/>
    </xf>
    <xf numFmtId="187" fontId="1" fillId="0" borderId="52" xfId="0" applyNumberFormat="1" applyFont="1" applyBorder="1" applyAlignment="1">
      <alignment horizontal="right" vertical="center" shrinkToFit="1"/>
    </xf>
    <xf numFmtId="187" fontId="1" fillId="0" borderId="56" xfId="0" applyNumberFormat="1" applyFont="1" applyBorder="1" applyAlignment="1">
      <alignment horizontal="right" vertical="center" shrinkToFit="1"/>
    </xf>
    <xf numFmtId="187" fontId="1" fillId="0" borderId="59" xfId="0" applyNumberFormat="1" applyFont="1" applyBorder="1" applyAlignment="1">
      <alignment horizontal="right" vertical="center" shrinkToFit="1"/>
    </xf>
    <xf numFmtId="187" fontId="1" fillId="6" borderId="32" xfId="0" applyNumberFormat="1" applyFont="1" applyFill="1" applyBorder="1" applyAlignment="1">
      <alignment horizontal="center" vertical="center" wrapText="1"/>
    </xf>
    <xf numFmtId="188" fontId="4" fillId="6" borderId="32" xfId="0" applyNumberFormat="1" applyFont="1" applyFill="1" applyBorder="1" applyAlignment="1">
      <alignment horizontal="center" vertical="center" wrapText="1"/>
    </xf>
    <xf numFmtId="187" fontId="18" fillId="2" borderId="32" xfId="0" applyNumberFormat="1" applyFont="1" applyFill="1" applyBorder="1" applyAlignment="1">
      <alignment horizontal="center" vertical="center" wrapText="1"/>
    </xf>
    <xf numFmtId="187" fontId="6" fillId="6" borderId="35" xfId="0" applyNumberFormat="1" applyFont="1" applyFill="1" applyBorder="1" applyAlignment="1">
      <alignment horizontal="center"/>
    </xf>
    <xf numFmtId="188" fontId="6" fillId="6" borderId="35" xfId="0" applyNumberFormat="1" applyFont="1" applyFill="1" applyBorder="1" applyAlignment="1">
      <alignment horizontal="right"/>
    </xf>
    <xf numFmtId="189" fontId="1" fillId="3" borderId="0" xfId="0" applyNumberFormat="1" applyFont="1" applyFill="1" applyAlignment="1">
      <alignment horizontal="center" vertical="top" shrinkToFit="1"/>
    </xf>
    <xf numFmtId="187" fontId="6" fillId="31" borderId="40" xfId="0" applyNumberFormat="1" applyFont="1" applyFill="1" applyBorder="1" applyAlignment="1">
      <alignment horizontal="center" wrapText="1"/>
    </xf>
    <xf numFmtId="187" fontId="6" fillId="32" borderId="21" xfId="0" applyNumberFormat="1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/>
    </xf>
    <xf numFmtId="187" fontId="6" fillId="26" borderId="21" xfId="0" applyNumberFormat="1" applyFont="1" applyFill="1" applyBorder="1" applyAlignment="1">
      <alignment horizontal="center" wrapText="1"/>
    </xf>
    <xf numFmtId="187" fontId="6" fillId="31" borderId="31" xfId="0" applyNumberFormat="1" applyFont="1" applyFill="1" applyBorder="1" applyAlignment="1">
      <alignment horizontal="center" wrapText="1"/>
    </xf>
    <xf numFmtId="187" fontId="6" fillId="32" borderId="37" xfId="0" applyNumberFormat="1" applyFont="1" applyFill="1" applyBorder="1" applyAlignment="1">
      <alignment horizontal="center" wrapText="1"/>
    </xf>
    <xf numFmtId="187" fontId="6" fillId="26" borderId="37" xfId="0" applyNumberFormat="1" applyFont="1" applyFill="1" applyBorder="1" applyAlignment="1">
      <alignment horizontal="center" wrapText="1"/>
    </xf>
    <xf numFmtId="187" fontId="6" fillId="32" borderId="37" xfId="0" applyNumberFormat="1" applyFont="1" applyFill="1" applyBorder="1" applyAlignment="1">
      <alignment horizontal="center"/>
    </xf>
    <xf numFmtId="187" fontId="6" fillId="26" borderId="37" xfId="0" applyNumberFormat="1" applyFont="1" applyFill="1" applyBorder="1" applyAlignment="1">
      <alignment horizontal="center"/>
    </xf>
    <xf numFmtId="187" fontId="6" fillId="20" borderId="40" xfId="0" applyNumberFormat="1" applyFont="1" applyFill="1" applyBorder="1" applyAlignment="1">
      <alignment horizontal="right"/>
    </xf>
    <xf numFmtId="188" fontId="8" fillId="21" borderId="53" xfId="0" applyNumberFormat="1" applyFont="1" applyFill="1" applyBorder="1"/>
    <xf numFmtId="187" fontId="8" fillId="21" borderId="21" xfId="0" applyNumberFormat="1" applyFont="1" applyFill="1" applyBorder="1"/>
    <xf numFmtId="187" fontId="6" fillId="32" borderId="40" xfId="0" applyNumberFormat="1" applyFont="1" applyFill="1" applyBorder="1" applyAlignment="1">
      <alignment horizontal="center" wrapText="1"/>
    </xf>
    <xf numFmtId="187" fontId="6" fillId="31" borderId="21" xfId="0" applyNumberFormat="1" applyFont="1" applyFill="1" applyBorder="1" applyAlignment="1">
      <alignment horizontal="center" wrapText="1"/>
    </xf>
    <xf numFmtId="0" fontId="6" fillId="31" borderId="21" xfId="0" applyFont="1" applyFill="1" applyBorder="1" applyAlignment="1">
      <alignment horizontal="center"/>
    </xf>
    <xf numFmtId="187" fontId="6" fillId="32" borderId="31" xfId="0" applyNumberFormat="1" applyFont="1" applyFill="1" applyBorder="1" applyAlignment="1">
      <alignment horizontal="center" wrapText="1"/>
    </xf>
    <xf numFmtId="187" fontId="6" fillId="16" borderId="37" xfId="0" applyNumberFormat="1" applyFont="1" applyFill="1" applyBorder="1" applyAlignment="1">
      <alignment horizontal="center" wrapText="1"/>
    </xf>
    <xf numFmtId="187" fontId="6" fillId="31" borderId="37" xfId="0" applyNumberFormat="1" applyFont="1" applyFill="1" applyBorder="1" applyAlignment="1">
      <alignment horizontal="center" wrapText="1"/>
    </xf>
    <xf numFmtId="187" fontId="6" fillId="32" borderId="31" xfId="0" applyNumberFormat="1" applyFont="1" applyFill="1" applyBorder="1" applyAlignment="1">
      <alignment horizontal="center"/>
    </xf>
    <xf numFmtId="187" fontId="6" fillId="16" borderId="37" xfId="0" applyNumberFormat="1" applyFont="1" applyFill="1" applyBorder="1" applyAlignment="1">
      <alignment horizontal="center"/>
    </xf>
    <xf numFmtId="187" fontId="6" fillId="31" borderId="37" xfId="0" applyNumberFormat="1" applyFont="1" applyFill="1" applyBorder="1" applyAlignment="1">
      <alignment horizontal="center"/>
    </xf>
    <xf numFmtId="188" fontId="6" fillId="2" borderId="66" xfId="0" applyNumberFormat="1" applyFont="1" applyFill="1" applyBorder="1" applyAlignment="1">
      <alignment horizontal="right"/>
    </xf>
    <xf numFmtId="187" fontId="6" fillId="31" borderId="66" xfId="0" applyNumberFormat="1" applyFont="1" applyFill="1" applyBorder="1" applyAlignment="1">
      <alignment horizontal="center"/>
    </xf>
    <xf numFmtId="187" fontId="6" fillId="2" borderId="66" xfId="0" applyNumberFormat="1" applyFont="1" applyFill="1" applyBorder="1" applyAlignment="1">
      <alignment horizontal="center"/>
    </xf>
    <xf numFmtId="187" fontId="6" fillId="9" borderId="21" xfId="0" applyNumberFormat="1" applyFont="1" applyFill="1" applyBorder="1" applyAlignment="1">
      <alignment horizontal="center"/>
    </xf>
    <xf numFmtId="187" fontId="6" fillId="21" borderId="53" xfId="0" applyNumberFormat="1" applyFont="1" applyFill="1" applyBorder="1" applyAlignment="1">
      <alignment horizontal="center"/>
    </xf>
    <xf numFmtId="187" fontId="13" fillId="21" borderId="53" xfId="0" applyNumberFormat="1" applyFont="1" applyFill="1" applyBorder="1"/>
    <xf numFmtId="187" fontId="8" fillId="21" borderId="53" xfId="0" applyNumberFormat="1" applyFont="1" applyFill="1" applyBorder="1"/>
    <xf numFmtId="188" fontId="8" fillId="0" borderId="0" xfId="0" applyNumberFormat="1" applyFont="1" applyAlignment="1"/>
    <xf numFmtId="188" fontId="8" fillId="0" borderId="0" xfId="0" applyNumberFormat="1" applyFont="1"/>
    <xf numFmtId="187" fontId="6" fillId="25" borderId="40" xfId="0" applyNumberFormat="1" applyFont="1" applyFill="1" applyBorder="1" applyAlignment="1">
      <alignment horizontal="center" wrapText="1"/>
    </xf>
    <xf numFmtId="187" fontId="6" fillId="26" borderId="40" xfId="0" applyNumberFormat="1" applyFont="1" applyFill="1" applyBorder="1" applyAlignment="1">
      <alignment horizontal="center" wrapText="1"/>
    </xf>
    <xf numFmtId="187" fontId="6" fillId="26" borderId="40" xfId="0" applyNumberFormat="1" applyFont="1" applyFill="1" applyBorder="1" applyAlignment="1">
      <alignment horizontal="center" wrapText="1"/>
    </xf>
    <xf numFmtId="187" fontId="6" fillId="34" borderId="40" xfId="0" applyNumberFormat="1" applyFont="1" applyFill="1" applyBorder="1" applyAlignment="1">
      <alignment horizontal="center" wrapText="1"/>
    </xf>
    <xf numFmtId="187" fontId="6" fillId="34" borderId="40" xfId="0" applyNumberFormat="1" applyFont="1" applyFill="1" applyBorder="1" applyAlignment="1">
      <alignment horizontal="center" wrapText="1"/>
    </xf>
    <xf numFmtId="187" fontId="6" fillId="32" borderId="31" xfId="0" applyNumberFormat="1" applyFont="1" applyFill="1" applyBorder="1" applyAlignment="1">
      <alignment horizontal="center" wrapText="1"/>
    </xf>
    <xf numFmtId="187" fontId="6" fillId="25" borderId="31" xfId="0" applyNumberFormat="1" applyFont="1" applyFill="1" applyBorder="1" applyAlignment="1">
      <alignment horizontal="center" wrapText="1"/>
    </xf>
    <xf numFmtId="187" fontId="6" fillId="24" borderId="31" xfId="0" applyNumberFormat="1" applyFont="1" applyFill="1" applyBorder="1" applyAlignment="1">
      <alignment horizontal="center" wrapText="1"/>
    </xf>
    <xf numFmtId="188" fontId="9" fillId="24" borderId="37" xfId="0" applyNumberFormat="1" applyFont="1" applyFill="1" applyBorder="1" applyAlignment="1">
      <alignment horizontal="center" wrapText="1"/>
    </xf>
    <xf numFmtId="187" fontId="6" fillId="26" borderId="31" xfId="0" applyNumberFormat="1" applyFont="1" applyFill="1" applyBorder="1" applyAlignment="1">
      <alignment horizontal="center" wrapText="1"/>
    </xf>
    <xf numFmtId="187" fontId="6" fillId="26" borderId="31" xfId="0" applyNumberFormat="1" applyFont="1" applyFill="1" applyBorder="1" applyAlignment="1">
      <alignment horizontal="center" wrapText="1"/>
    </xf>
    <xf numFmtId="187" fontId="6" fillId="24" borderId="37" xfId="0" applyNumberFormat="1" applyFont="1" applyFill="1" applyBorder="1" applyAlignment="1">
      <alignment horizontal="center" wrapText="1"/>
    </xf>
    <xf numFmtId="188" fontId="9" fillId="24" borderId="37" xfId="0" applyNumberFormat="1" applyFont="1" applyFill="1" applyBorder="1" applyAlignment="1">
      <alignment horizontal="center" wrapText="1"/>
    </xf>
    <xf numFmtId="187" fontId="6" fillId="34" borderId="31" xfId="0" applyNumberFormat="1" applyFont="1" applyFill="1" applyBorder="1" applyAlignment="1">
      <alignment horizontal="center" wrapText="1"/>
    </xf>
    <xf numFmtId="187" fontId="6" fillId="35" borderId="31" xfId="0" applyNumberFormat="1" applyFont="1" applyFill="1" applyBorder="1" applyAlignment="1">
      <alignment horizontal="center" wrapText="1"/>
    </xf>
    <xf numFmtId="188" fontId="9" fillId="35" borderId="37" xfId="0" applyNumberFormat="1" applyFont="1" applyFill="1" applyBorder="1" applyAlignment="1">
      <alignment horizontal="center" wrapText="1"/>
    </xf>
    <xf numFmtId="187" fontId="6" fillId="34" borderId="31" xfId="0" applyNumberFormat="1" applyFont="1" applyFill="1" applyBorder="1" applyAlignment="1">
      <alignment horizontal="center" wrapText="1"/>
    </xf>
    <xf numFmtId="187" fontId="6" fillId="35" borderId="37" xfId="0" applyNumberFormat="1" applyFont="1" applyFill="1" applyBorder="1" applyAlignment="1">
      <alignment horizontal="center" wrapText="1"/>
    </xf>
    <xf numFmtId="188" fontId="9" fillId="35" borderId="37" xfId="0" applyNumberFormat="1" applyFont="1" applyFill="1" applyBorder="1" applyAlignment="1">
      <alignment horizontal="center" wrapText="1"/>
    </xf>
    <xf numFmtId="187" fontId="6" fillId="25" borderId="31" xfId="0" applyNumberFormat="1" applyFont="1" applyFill="1" applyBorder="1" applyAlignment="1">
      <alignment horizontal="center"/>
    </xf>
    <xf numFmtId="187" fontId="6" fillId="24" borderId="37" xfId="0" applyNumberFormat="1" applyFont="1" applyFill="1" applyBorder="1" applyAlignment="1">
      <alignment horizontal="center"/>
    </xf>
    <xf numFmtId="188" fontId="6" fillId="24" borderId="37" xfId="0" applyNumberFormat="1" applyFont="1" applyFill="1" applyBorder="1" applyAlignment="1">
      <alignment horizontal="right"/>
    </xf>
    <xf numFmtId="187" fontId="6" fillId="26" borderId="31" xfId="0" applyNumberFormat="1" applyFont="1" applyFill="1" applyBorder="1" applyAlignment="1">
      <alignment horizontal="center"/>
    </xf>
    <xf numFmtId="187" fontId="6" fillId="26" borderId="31" xfId="0" applyNumberFormat="1" applyFont="1" applyFill="1" applyBorder="1" applyAlignment="1"/>
    <xf numFmtId="187" fontId="6" fillId="24" borderId="37" xfId="0" applyNumberFormat="1" applyFont="1" applyFill="1" applyBorder="1" applyAlignment="1"/>
    <xf numFmtId="188" fontId="6" fillId="24" borderId="37" xfId="0" applyNumberFormat="1" applyFont="1" applyFill="1" applyBorder="1" applyAlignment="1"/>
    <xf numFmtId="187" fontId="6" fillId="34" borderId="31" xfId="0" applyNumberFormat="1" applyFont="1" applyFill="1" applyBorder="1" applyAlignment="1">
      <alignment horizontal="center"/>
    </xf>
    <xf numFmtId="187" fontId="6" fillId="35" borderId="37" xfId="0" applyNumberFormat="1" applyFont="1" applyFill="1" applyBorder="1" applyAlignment="1">
      <alignment horizontal="center"/>
    </xf>
    <xf numFmtId="188" fontId="6" fillId="35" borderId="37" xfId="0" applyNumberFormat="1" applyFont="1" applyFill="1" applyBorder="1" applyAlignment="1">
      <alignment horizontal="right"/>
    </xf>
    <xf numFmtId="187" fontId="6" fillId="34" borderId="31" xfId="0" applyNumberFormat="1" applyFont="1" applyFill="1" applyBorder="1" applyAlignment="1"/>
    <xf numFmtId="187" fontId="6" fillId="35" borderId="37" xfId="0" applyNumberFormat="1" applyFont="1" applyFill="1" applyBorder="1" applyAlignment="1"/>
    <xf numFmtId="188" fontId="6" fillId="35" borderId="37" xfId="0" applyNumberFormat="1" applyFont="1" applyFill="1" applyBorder="1" applyAlignment="1"/>
    <xf numFmtId="187" fontId="6" fillId="9" borderId="40" xfId="0" applyNumberFormat="1" applyFont="1" applyFill="1" applyBorder="1" applyAlignment="1"/>
    <xf numFmtId="187" fontId="6" fillId="9" borderId="21" xfId="0" applyNumberFormat="1" applyFont="1" applyFill="1" applyBorder="1" applyAlignment="1"/>
    <xf numFmtId="188" fontId="6" fillId="9" borderId="21" xfId="0" applyNumberFormat="1" applyFont="1" applyFill="1" applyBorder="1" applyAlignment="1"/>
    <xf numFmtId="187" fontId="8" fillId="19" borderId="40" xfId="0" applyNumberFormat="1" applyFont="1" applyFill="1" applyBorder="1" applyAlignment="1"/>
    <xf numFmtId="188" fontId="8" fillId="19" borderId="21" xfId="0" applyNumberFormat="1" applyFont="1" applyFill="1" applyBorder="1" applyAlignment="1"/>
    <xf numFmtId="187" fontId="8" fillId="20" borderId="40" xfId="0" applyNumberFormat="1" applyFont="1" applyFill="1" applyBorder="1" applyAlignment="1"/>
    <xf numFmtId="187" fontId="6" fillId="21" borderId="62" xfId="0" applyNumberFormat="1" applyFont="1" applyFill="1" applyBorder="1" applyAlignment="1"/>
    <xf numFmtId="187" fontId="6" fillId="21" borderId="53" xfId="0" applyNumberFormat="1" applyFont="1" applyFill="1" applyBorder="1" applyAlignment="1"/>
    <xf numFmtId="188" fontId="6" fillId="21" borderId="53" xfId="0" applyNumberFormat="1" applyFont="1" applyFill="1" applyBorder="1" applyAlignment="1"/>
    <xf numFmtId="187" fontId="6" fillId="21" borderId="40" xfId="0" applyNumberFormat="1" applyFont="1" applyFill="1" applyBorder="1" applyAlignment="1"/>
    <xf numFmtId="187" fontId="6" fillId="21" borderId="21" xfId="0" applyNumberFormat="1" applyFont="1" applyFill="1" applyBorder="1" applyAlignment="1"/>
    <xf numFmtId="188" fontId="6" fillId="21" borderId="21" xfId="0" applyNumberFormat="1" applyFont="1" applyFill="1" applyBorder="1" applyAlignment="1"/>
    <xf numFmtId="187" fontId="8" fillId="21" borderId="62" xfId="0" applyNumberFormat="1" applyFont="1" applyFill="1" applyBorder="1"/>
    <xf numFmtId="0" fontId="8" fillId="0" borderId="0" xfId="0" applyFont="1" applyAlignment="1"/>
    <xf numFmtId="0" fontId="6" fillId="0" borderId="20" xfId="0" applyFont="1" applyBorder="1" applyAlignment="1"/>
    <xf numFmtId="189" fontId="20" fillId="6" borderId="21" xfId="0" applyNumberFormat="1" applyFont="1" applyFill="1" applyBorder="1" applyAlignment="1">
      <alignment horizontal="center" vertical="top" wrapText="1"/>
    </xf>
    <xf numFmtId="189" fontId="20" fillId="36" borderId="21" xfId="0" applyNumberFormat="1" applyFont="1" applyFill="1" applyBorder="1" applyAlignment="1">
      <alignment horizontal="center" vertical="top" wrapText="1"/>
    </xf>
    <xf numFmtId="187" fontId="6" fillId="2" borderId="21" xfId="0" applyNumberFormat="1" applyFont="1" applyFill="1" applyBorder="1" applyAlignment="1">
      <alignment horizontal="center"/>
    </xf>
    <xf numFmtId="187" fontId="8" fillId="22" borderId="21" xfId="0" applyNumberFormat="1" applyFont="1" applyFill="1" applyBorder="1"/>
    <xf numFmtId="187" fontId="6" fillId="16" borderId="31" xfId="0" applyNumberFormat="1" applyFont="1" applyFill="1" applyBorder="1" applyAlignment="1">
      <alignment horizontal="center" wrapText="1"/>
    </xf>
    <xf numFmtId="187" fontId="6" fillId="11" borderId="37" xfId="0" applyNumberFormat="1" applyFont="1" applyFill="1" applyBorder="1" applyAlignment="1"/>
    <xf numFmtId="187" fontId="6" fillId="7" borderId="37" xfId="0" applyNumberFormat="1" applyFont="1" applyFill="1" applyBorder="1" applyAlignment="1"/>
    <xf numFmtId="187" fontId="6" fillId="12" borderId="37" xfId="0" applyNumberFormat="1" applyFont="1" applyFill="1" applyBorder="1" applyAlignment="1"/>
    <xf numFmtId="187" fontId="6" fillId="13" borderId="37" xfId="0" applyNumberFormat="1" applyFont="1" applyFill="1" applyBorder="1" applyAlignment="1"/>
    <xf numFmtId="187" fontId="6" fillId="17" borderId="37" xfId="0" applyNumberFormat="1" applyFont="1" applyFill="1" applyBorder="1" applyAlignment="1"/>
    <xf numFmtId="187" fontId="6" fillId="22" borderId="21" xfId="0" applyNumberFormat="1" applyFont="1" applyFill="1" applyBorder="1" applyAlignment="1"/>
    <xf numFmtId="187" fontId="6" fillId="18" borderId="37" xfId="0" applyNumberFormat="1" applyFont="1" applyFill="1" applyBorder="1" applyAlignment="1"/>
    <xf numFmtId="190" fontId="6" fillId="18" borderId="37" xfId="0" applyNumberFormat="1" applyFont="1" applyFill="1" applyBorder="1" applyAlignment="1"/>
    <xf numFmtId="188" fontId="6" fillId="18" borderId="37" xfId="0" applyNumberFormat="1" applyFont="1" applyFill="1" applyBorder="1" applyAlignment="1"/>
    <xf numFmtId="189" fontId="6" fillId="18" borderId="37" xfId="0" applyNumberFormat="1" applyFont="1" applyFill="1" applyBorder="1" applyAlignment="1"/>
    <xf numFmtId="187" fontId="6" fillId="16" borderId="31" xfId="0" applyNumberFormat="1" applyFont="1" applyFill="1" applyBorder="1" applyAlignment="1">
      <alignment horizontal="center"/>
    </xf>
    <xf numFmtId="0" fontId="6" fillId="9" borderId="67" xfId="0" applyFont="1" applyFill="1" applyBorder="1" applyAlignment="1"/>
    <xf numFmtId="0" fontId="8" fillId="9" borderId="20" xfId="0" applyFont="1" applyFill="1" applyBorder="1"/>
    <xf numFmtId="190" fontId="6" fillId="9" borderId="21" xfId="0" applyNumberFormat="1" applyFont="1" applyFill="1" applyBorder="1" applyAlignment="1"/>
    <xf numFmtId="189" fontId="6" fillId="9" borderId="21" xfId="0" applyNumberFormat="1" applyFont="1" applyFill="1" applyBorder="1" applyAlignment="1"/>
    <xf numFmtId="187" fontId="6" fillId="9" borderId="40" xfId="0" applyNumberFormat="1" applyFont="1" applyFill="1" applyBorder="1" applyAlignment="1">
      <alignment horizontal="right"/>
    </xf>
    <xf numFmtId="0" fontId="6" fillId="19" borderId="67" xfId="0" applyFont="1" applyFill="1" applyBorder="1" applyAlignment="1"/>
    <xf numFmtId="0" fontId="8" fillId="19" borderId="20" xfId="0" applyFont="1" applyFill="1" applyBorder="1"/>
    <xf numFmtId="187" fontId="6" fillId="19" borderId="21" xfId="0" applyNumberFormat="1" applyFont="1" applyFill="1" applyBorder="1" applyAlignment="1"/>
    <xf numFmtId="190" fontId="6" fillId="19" borderId="21" xfId="0" applyNumberFormat="1" applyFont="1" applyFill="1" applyBorder="1" applyAlignment="1"/>
    <xf numFmtId="188" fontId="6" fillId="19" borderId="21" xfId="0" applyNumberFormat="1" applyFont="1" applyFill="1" applyBorder="1" applyAlignment="1"/>
    <xf numFmtId="189" fontId="6" fillId="19" borderId="21" xfId="0" applyNumberFormat="1" applyFont="1" applyFill="1" applyBorder="1" applyAlignment="1"/>
    <xf numFmtId="0" fontId="8" fillId="20" borderId="67" xfId="0" applyFont="1" applyFill="1" applyBorder="1"/>
    <xf numFmtId="0" fontId="8" fillId="20" borderId="20" xfId="0" applyFont="1" applyFill="1" applyBorder="1"/>
    <xf numFmtId="190" fontId="8" fillId="20" borderId="21" xfId="0" applyNumberFormat="1" applyFont="1" applyFill="1" applyBorder="1" applyAlignment="1"/>
    <xf numFmtId="187" fontId="6" fillId="20" borderId="40" xfId="0" applyNumberFormat="1" applyFont="1" applyFill="1" applyBorder="1" applyAlignment="1">
      <alignment horizontal="right"/>
    </xf>
    <xf numFmtId="0" fontId="6" fillId="0" borderId="69" xfId="0" applyFont="1" applyBorder="1" applyAlignment="1">
      <alignment horizontal="center"/>
    </xf>
    <xf numFmtId="0" fontId="6" fillId="0" borderId="76" xfId="0" applyFont="1" applyBorder="1"/>
    <xf numFmtId="187" fontId="6" fillId="11" borderId="53" xfId="0" applyNumberFormat="1" applyFont="1" applyFill="1" applyBorder="1" applyAlignment="1"/>
    <xf numFmtId="187" fontId="6" fillId="7" borderId="53" xfId="0" applyNumberFormat="1" applyFont="1" applyFill="1" applyBorder="1" applyAlignment="1"/>
    <xf numFmtId="187" fontId="6" fillId="0" borderId="53" xfId="0" applyNumberFormat="1" applyFont="1" applyBorder="1" applyAlignment="1">
      <alignment horizontal="right"/>
    </xf>
    <xf numFmtId="187" fontId="6" fillId="21" borderId="53" xfId="0" applyNumberFormat="1" applyFont="1" applyFill="1" applyBorder="1" applyAlignment="1">
      <alignment horizontal="right"/>
    </xf>
    <xf numFmtId="190" fontId="6" fillId="21" borderId="53" xfId="0" applyNumberFormat="1" applyFont="1" applyFill="1" applyBorder="1" applyAlignment="1"/>
    <xf numFmtId="188" fontId="6" fillId="0" borderId="53" xfId="0" applyNumberFormat="1" applyFont="1" applyBorder="1" applyAlignment="1"/>
    <xf numFmtId="189" fontId="6" fillId="0" borderId="53" xfId="0" applyNumberFormat="1" applyFont="1" applyBorder="1" applyAlignment="1"/>
    <xf numFmtId="187" fontId="6" fillId="21" borderId="62" xfId="0" applyNumberFormat="1" applyFont="1" applyFill="1" applyBorder="1" applyAlignment="1">
      <alignment horizontal="right"/>
    </xf>
    <xf numFmtId="187" fontId="6" fillId="0" borderId="53" xfId="0" applyNumberFormat="1" applyFont="1" applyBorder="1" applyAlignment="1"/>
    <xf numFmtId="190" fontId="6" fillId="0" borderId="53" xfId="0" applyNumberFormat="1" applyFont="1" applyBorder="1" applyAlignment="1"/>
    <xf numFmtId="187" fontId="13" fillId="21" borderId="53" xfId="0" applyNumberFormat="1" applyFont="1" applyFill="1" applyBorder="1" applyAlignment="1">
      <alignment horizontal="right"/>
    </xf>
    <xf numFmtId="0" fontId="6" fillId="0" borderId="70" xfId="0" applyFont="1" applyBorder="1" applyAlignment="1">
      <alignment horizontal="center"/>
    </xf>
    <xf numFmtId="0" fontId="6" fillId="0" borderId="20" xfId="0" applyFont="1" applyBorder="1"/>
    <xf numFmtId="187" fontId="6" fillId="11" borderId="21" xfId="0" applyNumberFormat="1" applyFont="1" applyFill="1" applyBorder="1" applyAlignment="1"/>
    <xf numFmtId="187" fontId="6" fillId="7" borderId="21" xfId="0" applyNumberFormat="1" applyFont="1" applyFill="1" applyBorder="1" applyAlignment="1"/>
    <xf numFmtId="187" fontId="6" fillId="0" borderId="21" xfId="0" applyNumberFormat="1" applyFont="1" applyBorder="1" applyAlignment="1">
      <alignment horizontal="right"/>
    </xf>
    <xf numFmtId="187" fontId="6" fillId="0" borderId="21" xfId="0" applyNumberFormat="1" applyFont="1" applyBorder="1" applyAlignment="1"/>
    <xf numFmtId="190" fontId="6" fillId="0" borderId="21" xfId="0" applyNumberFormat="1" applyFont="1" applyBorder="1" applyAlignment="1"/>
    <xf numFmtId="188" fontId="6" fillId="0" borderId="21" xfId="0" applyNumberFormat="1" applyFont="1" applyBorder="1" applyAlignment="1"/>
    <xf numFmtId="189" fontId="6" fillId="0" borderId="21" xfId="0" applyNumberFormat="1" applyFont="1" applyBorder="1" applyAlignment="1"/>
    <xf numFmtId="187" fontId="6" fillId="21" borderId="40" xfId="0" applyNumberFormat="1" applyFont="1" applyFill="1" applyBorder="1" applyAlignment="1">
      <alignment horizontal="right"/>
    </xf>
    <xf numFmtId="187" fontId="6" fillId="21" borderId="21" xfId="0" applyNumberFormat="1" applyFont="1" applyFill="1" applyBorder="1" applyAlignment="1">
      <alignment horizontal="right"/>
    </xf>
    <xf numFmtId="187" fontId="13" fillId="21" borderId="53" xfId="0" applyNumberFormat="1" applyFont="1" applyFill="1" applyBorder="1" applyAlignment="1"/>
    <xf numFmtId="187" fontId="6" fillId="19" borderId="21" xfId="0" applyNumberFormat="1" applyFont="1" applyFill="1" applyBorder="1" applyAlignment="1"/>
    <xf numFmtId="190" fontId="6" fillId="19" borderId="21" xfId="0" applyNumberFormat="1" applyFont="1" applyFill="1" applyBorder="1" applyAlignment="1"/>
    <xf numFmtId="0" fontId="8" fillId="0" borderId="62" xfId="0" applyFont="1" applyBorder="1"/>
    <xf numFmtId="0" fontId="7" fillId="0" borderId="53" xfId="0" applyFont="1" applyBorder="1" applyAlignment="1"/>
    <xf numFmtId="187" fontId="6" fillId="0" borderId="53" xfId="0" applyNumberFormat="1" applyFont="1" applyBorder="1" applyAlignment="1"/>
    <xf numFmtId="190" fontId="6" fillId="0" borderId="53" xfId="0" applyNumberFormat="1" applyFont="1" applyBorder="1" applyAlignment="1"/>
    <xf numFmtId="188" fontId="6" fillId="0" borderId="53" xfId="0" applyNumberFormat="1" applyFont="1" applyBorder="1" applyAlignment="1"/>
    <xf numFmtId="189" fontId="6" fillId="0" borderId="53" xfId="0" applyNumberFormat="1" applyFont="1" applyBorder="1" applyAlignment="1"/>
    <xf numFmtId="188" fontId="8" fillId="0" borderId="53" xfId="0" applyNumberFormat="1" applyFont="1" applyBorder="1" applyAlignment="1"/>
    <xf numFmtId="187" fontId="8" fillId="21" borderId="53" xfId="0" applyNumberFormat="1" applyFont="1" applyFill="1" applyBorder="1" applyAlignment="1"/>
    <xf numFmtId="0" fontId="7" fillId="21" borderId="53" xfId="0" applyFont="1" applyFill="1" applyBorder="1" applyAlignment="1"/>
    <xf numFmtId="0" fontId="8" fillId="0" borderId="40" xfId="0" applyFont="1" applyBorder="1"/>
    <xf numFmtId="0" fontId="7" fillId="21" borderId="21" xfId="0" applyFont="1" applyFill="1" applyBorder="1" applyAlignment="1"/>
    <xf numFmtId="187" fontId="6" fillId="0" borderId="21" xfId="0" applyNumberFormat="1" applyFont="1" applyBorder="1" applyAlignment="1"/>
    <xf numFmtId="190" fontId="6" fillId="0" borderId="21" xfId="0" applyNumberFormat="1" applyFont="1" applyBorder="1" applyAlignment="1"/>
    <xf numFmtId="188" fontId="6" fillId="0" borderId="21" xfId="0" applyNumberFormat="1" applyFont="1" applyBorder="1" applyAlignment="1"/>
    <xf numFmtId="189" fontId="6" fillId="0" borderId="21" xfId="0" applyNumberFormat="1" applyFont="1" applyBorder="1" applyAlignment="1"/>
    <xf numFmtId="187" fontId="6" fillId="16" borderId="31" xfId="0" applyNumberFormat="1" applyFont="1" applyFill="1" applyBorder="1" applyAlignment="1">
      <alignment horizontal="center"/>
    </xf>
    <xf numFmtId="187" fontId="6" fillId="21" borderId="40" xfId="0" applyNumberFormat="1" applyFont="1" applyFill="1" applyBorder="1" applyAlignment="1">
      <alignment horizontal="center"/>
    </xf>
    <xf numFmtId="187" fontId="6" fillId="21" borderId="21" xfId="0" applyNumberFormat="1" applyFont="1" applyFill="1" applyBorder="1" applyAlignment="1">
      <alignment horizontal="center"/>
    </xf>
    <xf numFmtId="189" fontId="6" fillId="19" borderId="21" xfId="0" applyNumberFormat="1" applyFont="1" applyFill="1" applyBorder="1" applyAlignment="1"/>
    <xf numFmtId="189" fontId="21" fillId="0" borderId="0" xfId="0" applyNumberFormat="1" applyFont="1"/>
    <xf numFmtId="187" fontId="1" fillId="16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189" fontId="3" fillId="5" borderId="9" xfId="0" applyNumberFormat="1" applyFont="1" applyFill="1" applyBorder="1" applyAlignment="1">
      <alignment horizontal="center" vertical="top" shrinkToFit="1"/>
    </xf>
    <xf numFmtId="0" fontId="2" fillId="0" borderId="9" xfId="0" applyFont="1" applyBorder="1"/>
    <xf numFmtId="189" fontId="1" fillId="6" borderId="15" xfId="0" applyNumberFormat="1" applyFont="1" applyFill="1" applyBorder="1" applyAlignment="1">
      <alignment horizontal="center" vertical="top" wrapText="1"/>
    </xf>
    <xf numFmtId="0" fontId="2" fillId="0" borderId="16" xfId="0" applyFont="1" applyBorder="1"/>
    <xf numFmtId="0" fontId="2" fillId="0" borderId="17" xfId="0" applyFont="1" applyBorder="1"/>
    <xf numFmtId="187" fontId="1" fillId="15" borderId="23" xfId="0" applyNumberFormat="1" applyFont="1" applyFill="1" applyBorder="1" applyAlignment="1">
      <alignment horizontal="center" vertical="center" shrinkToFit="1"/>
    </xf>
    <xf numFmtId="0" fontId="2" fillId="0" borderId="24" xfId="0" applyFont="1" applyBorder="1"/>
    <xf numFmtId="187" fontId="1" fillId="15" borderId="25" xfId="0" applyNumberFormat="1" applyFont="1" applyFill="1" applyBorder="1" applyAlignment="1">
      <alignment horizontal="center" vertical="center" shrinkToFit="1"/>
    </xf>
    <xf numFmtId="0" fontId="2" fillId="0" borderId="20" xfId="0" applyFont="1" applyBorder="1"/>
    <xf numFmtId="0" fontId="2" fillId="0" borderId="21" xfId="0" applyFont="1" applyBorder="1"/>
    <xf numFmtId="187" fontId="1" fillId="9" borderId="14" xfId="0" applyNumberFormat="1" applyFont="1" applyFill="1" applyBorder="1" applyAlignment="1">
      <alignment horizontal="center" vertical="center" shrinkToFit="1"/>
    </xf>
    <xf numFmtId="0" fontId="2" fillId="0" borderId="22" xfId="0" applyFont="1" applyBorder="1"/>
    <xf numFmtId="0" fontId="2" fillId="0" borderId="31" xfId="0" applyFont="1" applyBorder="1"/>
    <xf numFmtId="0" fontId="1" fillId="2" borderId="26" xfId="0" applyFont="1" applyFill="1" applyBorder="1" applyAlignment="1">
      <alignment horizontal="center"/>
    </xf>
    <xf numFmtId="0" fontId="2" fillId="0" borderId="7" xfId="0" applyFont="1" applyBorder="1"/>
    <xf numFmtId="0" fontId="1" fillId="2" borderId="10" xfId="0" applyFont="1" applyFill="1" applyBorder="1" applyAlignment="1">
      <alignment horizontal="center"/>
    </xf>
    <xf numFmtId="189" fontId="1" fillId="3" borderId="3" xfId="0" applyNumberFormat="1" applyFont="1" applyFill="1" applyBorder="1" applyAlignment="1">
      <alignment horizontal="center" vertical="top" shrinkToFit="1"/>
    </xf>
    <xf numFmtId="0" fontId="2" fillId="0" borderId="3" xfId="0" applyFont="1" applyBorder="1"/>
    <xf numFmtId="0" fontId="2" fillId="0" borderId="4" xfId="0" applyFont="1" applyBorder="1"/>
    <xf numFmtId="189" fontId="3" fillId="4" borderId="7" xfId="0" applyNumberFormat="1" applyFont="1" applyFill="1" applyBorder="1" applyAlignment="1">
      <alignment horizontal="center" vertical="top" shrinkToFit="1"/>
    </xf>
    <xf numFmtId="0" fontId="2" fillId="0" borderId="8" xfId="0" applyFont="1" applyBorder="1"/>
    <xf numFmtId="189" fontId="1" fillId="6" borderId="10" xfId="0" applyNumberFormat="1" applyFont="1" applyFill="1" applyBorder="1" applyAlignment="1">
      <alignment horizontal="center" vertical="top" wrapText="1"/>
    </xf>
    <xf numFmtId="187" fontId="1" fillId="6" borderId="12" xfId="0" applyNumberFormat="1" applyFont="1" applyFill="1" applyBorder="1" applyAlignment="1">
      <alignment horizontal="center" vertical="top" shrinkToFit="1"/>
    </xf>
    <xf numFmtId="0" fontId="2" fillId="0" borderId="13" xfId="0" applyFont="1" applyBorder="1"/>
    <xf numFmtId="0" fontId="2" fillId="0" borderId="19" xfId="0" applyFont="1" applyBorder="1"/>
    <xf numFmtId="187" fontId="1" fillId="7" borderId="7" xfId="0" applyNumberFormat="1" applyFont="1" applyFill="1" applyBorder="1" applyAlignment="1">
      <alignment horizontal="center" vertical="center" shrinkToFit="1"/>
    </xf>
    <xf numFmtId="189" fontId="1" fillId="6" borderId="18" xfId="0" applyNumberFormat="1" applyFont="1" applyFill="1" applyBorder="1" applyAlignment="1">
      <alignment horizontal="center" vertical="top" wrapText="1"/>
    </xf>
    <xf numFmtId="189" fontId="1" fillId="15" borderId="25" xfId="0" applyNumberFormat="1" applyFont="1" applyFill="1" applyBorder="1" applyAlignment="1">
      <alignment horizontal="center" vertical="center" shrinkToFit="1"/>
    </xf>
    <xf numFmtId="187" fontId="1" fillId="8" borderId="10" xfId="0" applyNumberFormat="1" applyFont="1" applyFill="1" applyBorder="1" applyAlignment="1">
      <alignment horizontal="center" vertical="center" shrinkToFit="1"/>
    </xf>
    <xf numFmtId="187" fontId="1" fillId="9" borderId="10" xfId="0" applyNumberFormat="1" applyFont="1" applyFill="1" applyBorder="1" applyAlignment="1">
      <alignment horizontal="center" vertical="center" shrinkToFit="1"/>
    </xf>
    <xf numFmtId="187" fontId="1" fillId="10" borderId="14" xfId="0" applyNumberFormat="1" applyFont="1" applyFill="1" applyBorder="1" applyAlignment="1">
      <alignment horizontal="center" vertical="center" shrinkToFit="1"/>
    </xf>
    <xf numFmtId="187" fontId="1" fillId="8" borderId="14" xfId="0" applyNumberFormat="1" applyFont="1" applyFill="1" applyBorder="1" applyAlignment="1">
      <alignment horizontal="center" vertical="center" shrinkToFit="1"/>
    </xf>
    <xf numFmtId="187" fontId="1" fillId="2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8" xfId="0" applyFont="1" applyBorder="1"/>
    <xf numFmtId="0" fontId="2" fillId="0" borderId="29" xfId="0" applyFont="1" applyBorder="1"/>
    <xf numFmtId="0" fontId="1" fillId="7" borderId="34" xfId="0" applyFont="1" applyFill="1" applyBorder="1" applyAlignment="1">
      <alignment horizontal="center" vertical="center"/>
    </xf>
    <xf numFmtId="0" fontId="2" fillId="0" borderId="35" xfId="0" applyFont="1" applyBorder="1"/>
    <xf numFmtId="0" fontId="1" fillId="9" borderId="48" xfId="0" applyFont="1" applyFill="1" applyBorder="1" applyAlignment="1">
      <alignment horizontal="left" vertical="center"/>
    </xf>
    <xf numFmtId="0" fontId="1" fillId="9" borderId="60" xfId="0" applyFont="1" applyFill="1" applyBorder="1" applyAlignment="1">
      <alignment horizontal="left" vertical="center"/>
    </xf>
    <xf numFmtId="0" fontId="2" fillId="0" borderId="61" xfId="0" applyFont="1" applyBorder="1"/>
    <xf numFmtId="49" fontId="1" fillId="9" borderId="60" xfId="0" applyNumberFormat="1" applyFont="1" applyFill="1" applyBorder="1" applyAlignment="1">
      <alignment horizontal="left" vertical="center"/>
    </xf>
    <xf numFmtId="187" fontId="1" fillId="19" borderId="48" xfId="0" applyNumberFormat="1" applyFont="1" applyFill="1" applyBorder="1" applyAlignment="1">
      <alignment horizontal="left" vertical="center"/>
    </xf>
    <xf numFmtId="0" fontId="2" fillId="0" borderId="37" xfId="0" applyFont="1" applyBorder="1"/>
    <xf numFmtId="187" fontId="6" fillId="21" borderId="20" xfId="0" applyNumberFormat="1" applyFont="1" applyFill="1" applyBorder="1" applyAlignment="1">
      <alignment horizontal="center"/>
    </xf>
    <xf numFmtId="189" fontId="6" fillId="21" borderId="20" xfId="0" applyNumberFormat="1" applyFont="1" applyFill="1" applyBorder="1" applyAlignment="1">
      <alignment horizontal="center"/>
    </xf>
    <xf numFmtId="187" fontId="6" fillId="19" borderId="67" xfId="0" applyNumberFormat="1" applyFont="1" applyFill="1" applyBorder="1"/>
    <xf numFmtId="0" fontId="2" fillId="0" borderId="68" xfId="0" applyFont="1" applyBorder="1"/>
    <xf numFmtId="0" fontId="6" fillId="7" borderId="65" xfId="0" applyFont="1" applyFill="1" applyBorder="1" applyAlignment="1">
      <alignment horizontal="center"/>
    </xf>
    <xf numFmtId="0" fontId="2" fillId="0" borderId="66" xfId="0" applyFont="1" applyBorder="1"/>
    <xf numFmtId="0" fontId="6" fillId="9" borderId="67" xfId="0" applyFont="1" applyFill="1" applyBorder="1"/>
    <xf numFmtId="49" fontId="6" fillId="9" borderId="10" xfId="0" applyNumberFormat="1" applyFont="1" applyFill="1" applyBorder="1"/>
    <xf numFmtId="187" fontId="6" fillId="2" borderId="20" xfId="0" applyNumberFormat="1" applyFont="1" applyFill="1" applyBorder="1" applyAlignment="1">
      <alignment horizontal="center" wrapText="1"/>
    </xf>
    <xf numFmtId="187" fontId="6" fillId="2" borderId="64" xfId="0" applyNumberFormat="1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25" xfId="0" applyFont="1" applyBorder="1"/>
    <xf numFmtId="189" fontId="6" fillId="3" borderId="20" xfId="0" applyNumberFormat="1" applyFont="1" applyFill="1" applyBorder="1" applyAlignment="1">
      <alignment horizontal="center" vertical="top"/>
    </xf>
    <xf numFmtId="189" fontId="6" fillId="6" borderId="64" xfId="0" applyNumberFormat="1" applyFont="1" applyFill="1" applyBorder="1" applyAlignment="1">
      <alignment horizontal="center" vertical="top" wrapText="1"/>
    </xf>
    <xf numFmtId="187" fontId="6" fillId="9" borderId="20" xfId="0" applyNumberFormat="1" applyFont="1" applyFill="1" applyBorder="1" applyAlignment="1">
      <alignment horizontal="center"/>
    </xf>
    <xf numFmtId="187" fontId="6" fillId="7" borderId="20" xfId="0" applyNumberFormat="1" applyFont="1" applyFill="1" applyBorder="1" applyAlignment="1">
      <alignment horizontal="center"/>
    </xf>
    <xf numFmtId="187" fontId="6" fillId="22" borderId="20" xfId="0" applyNumberFormat="1" applyFont="1" applyFill="1" applyBorder="1" applyAlignment="1">
      <alignment horizontal="center"/>
    </xf>
    <xf numFmtId="187" fontId="1" fillId="2" borderId="64" xfId="0" applyNumberFormat="1" applyFont="1" applyFill="1" applyBorder="1" applyAlignment="1">
      <alignment horizontal="center" vertical="center" shrinkToFit="1"/>
    </xf>
    <xf numFmtId="189" fontId="1" fillId="2" borderId="10" xfId="0" applyNumberFormat="1" applyFont="1" applyFill="1" applyBorder="1" applyAlignment="1">
      <alignment horizontal="center" vertical="top" wrapText="1"/>
    </xf>
    <xf numFmtId="189" fontId="1" fillId="2" borderId="14" xfId="0" applyNumberFormat="1" applyFont="1" applyFill="1" applyBorder="1" applyAlignment="1">
      <alignment horizontal="center" vertical="top" wrapText="1"/>
    </xf>
    <xf numFmtId="49" fontId="1" fillId="9" borderId="10" xfId="0" applyNumberFormat="1" applyFont="1" applyFill="1" applyBorder="1" applyAlignment="1">
      <alignment horizontal="left" vertical="center"/>
    </xf>
    <xf numFmtId="0" fontId="1" fillId="7" borderId="65" xfId="0" applyFont="1" applyFill="1" applyBorder="1" applyAlignment="1">
      <alignment horizontal="center" vertical="center"/>
    </xf>
    <xf numFmtId="189" fontId="1" fillId="6" borderId="64" xfId="0" applyNumberFormat="1" applyFont="1" applyFill="1" applyBorder="1" applyAlignment="1">
      <alignment horizontal="center" vertical="top" wrapText="1"/>
    </xf>
    <xf numFmtId="189" fontId="12" fillId="5" borderId="7" xfId="0" applyNumberFormat="1" applyFont="1" applyFill="1" applyBorder="1" applyAlignment="1">
      <alignment horizontal="center" vertical="top"/>
    </xf>
    <xf numFmtId="0" fontId="6" fillId="2" borderId="20" xfId="0" applyFont="1" applyFill="1" applyBorder="1" applyAlignment="1">
      <alignment horizontal="center"/>
    </xf>
    <xf numFmtId="187" fontId="6" fillId="2" borderId="5" xfId="0" applyNumberFormat="1" applyFont="1" applyFill="1" applyBorder="1" applyAlignment="1">
      <alignment horizontal="center"/>
    </xf>
    <xf numFmtId="189" fontId="6" fillId="6" borderId="0" xfId="0" applyNumberFormat="1" applyFont="1" applyFill="1" applyAlignment="1">
      <alignment horizontal="center" vertical="top" wrapText="1"/>
    </xf>
    <xf numFmtId="0" fontId="0" fillId="0" borderId="0" xfId="0" applyFont="1" applyAlignment="1"/>
    <xf numFmtId="189" fontId="1" fillId="23" borderId="10" xfId="0" applyNumberFormat="1" applyFont="1" applyFill="1" applyBorder="1" applyAlignment="1">
      <alignment horizontal="center" vertical="top" wrapText="1"/>
    </xf>
    <xf numFmtId="0" fontId="1" fillId="24" borderId="10" xfId="0" applyFont="1" applyFill="1" applyBorder="1" applyAlignment="1">
      <alignment horizontal="center"/>
    </xf>
    <xf numFmtId="189" fontId="1" fillId="23" borderId="0" xfId="0" applyNumberFormat="1" applyFont="1" applyFill="1" applyAlignment="1">
      <alignment horizontal="center" vertical="top" wrapText="1"/>
    </xf>
    <xf numFmtId="0" fontId="1" fillId="24" borderId="26" xfId="0" applyFont="1" applyFill="1" applyBorder="1" applyAlignment="1">
      <alignment horizontal="center"/>
    </xf>
    <xf numFmtId="0" fontId="1" fillId="24" borderId="7" xfId="0" applyFont="1" applyFill="1" applyBorder="1" applyAlignment="1">
      <alignment horizontal="center"/>
    </xf>
    <xf numFmtId="189" fontId="14" fillId="2" borderId="10" xfId="0" applyNumberFormat="1" applyFont="1" applyFill="1" applyBorder="1" applyAlignment="1">
      <alignment horizontal="center" vertical="top" wrapText="1"/>
    </xf>
    <xf numFmtId="0" fontId="14" fillId="2" borderId="26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center" vertical="top" wrapText="1"/>
    </xf>
    <xf numFmtId="189" fontId="14" fillId="6" borderId="64" xfId="0" applyNumberFormat="1" applyFont="1" applyFill="1" applyBorder="1" applyAlignment="1">
      <alignment horizontal="center" vertical="top" wrapText="1"/>
    </xf>
    <xf numFmtId="189" fontId="1" fillId="6" borderId="14" xfId="0" applyNumberFormat="1" applyFont="1" applyFill="1" applyBorder="1" applyAlignment="1">
      <alignment horizontal="center" vertical="top" wrapText="1"/>
    </xf>
    <xf numFmtId="0" fontId="2" fillId="0" borderId="40" xfId="0" applyFont="1" applyBorder="1"/>
    <xf numFmtId="0" fontId="6" fillId="6" borderId="64" xfId="0" applyFont="1" applyFill="1" applyBorder="1" applyAlignment="1">
      <alignment horizontal="center" vertical="top"/>
    </xf>
    <xf numFmtId="0" fontId="6" fillId="6" borderId="64" xfId="0" applyFont="1" applyFill="1" applyBorder="1" applyAlignment="1">
      <alignment horizontal="center" vertical="top" wrapText="1"/>
    </xf>
    <xf numFmtId="0" fontId="1" fillId="6" borderId="13" xfId="0" applyFont="1" applyFill="1" applyBorder="1" applyAlignment="1">
      <alignment horizontal="center" vertical="top" wrapText="1"/>
    </xf>
    <xf numFmtId="189" fontId="1" fillId="25" borderId="9" xfId="0" applyNumberFormat="1" applyFont="1" applyFill="1" applyBorder="1" applyAlignment="1">
      <alignment horizontal="center" vertical="top" wrapText="1"/>
    </xf>
    <xf numFmtId="0" fontId="4" fillId="26" borderId="13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 wrapText="1"/>
    </xf>
    <xf numFmtId="189" fontId="12" fillId="27" borderId="20" xfId="0" applyNumberFormat="1" applyFont="1" applyFill="1" applyBorder="1" applyAlignment="1">
      <alignment horizontal="center" vertical="top"/>
    </xf>
    <xf numFmtId="189" fontId="6" fillId="28" borderId="20" xfId="0" applyNumberFormat="1" applyFont="1" applyFill="1" applyBorder="1" applyAlignment="1">
      <alignment horizontal="center"/>
    </xf>
    <xf numFmtId="189" fontId="6" fillId="6" borderId="20" xfId="0" applyNumberFormat="1" applyFont="1" applyFill="1" applyBorder="1" applyAlignment="1">
      <alignment horizontal="center" vertical="top" wrapText="1"/>
    </xf>
    <xf numFmtId="187" fontId="6" fillId="33" borderId="25" xfId="0" applyNumberFormat="1" applyFont="1" applyFill="1" applyBorder="1" applyAlignment="1">
      <alignment horizontal="center" wrapText="1"/>
    </xf>
    <xf numFmtId="187" fontId="6" fillId="33" borderId="20" xfId="0" applyNumberFormat="1" applyFont="1" applyFill="1" applyBorder="1" applyAlignment="1">
      <alignment horizontal="center" wrapText="1"/>
    </xf>
    <xf numFmtId="189" fontId="12" fillId="29" borderId="9" xfId="0" applyNumberFormat="1" applyFont="1" applyFill="1" applyBorder="1" applyAlignment="1">
      <alignment horizontal="center" vertical="top" wrapText="1"/>
    </xf>
    <xf numFmtId="189" fontId="6" fillId="31" borderId="7" xfId="0" applyNumberFormat="1" applyFont="1" applyFill="1" applyBorder="1" applyAlignment="1">
      <alignment horizontal="center" vertical="top" wrapText="1"/>
    </xf>
    <xf numFmtId="189" fontId="6" fillId="30" borderId="10" xfId="0" applyNumberFormat="1" applyFont="1" applyFill="1" applyBorder="1" applyAlignment="1">
      <alignment horizontal="center" vertical="top" wrapText="1"/>
    </xf>
    <xf numFmtId="189" fontId="6" fillId="31" borderId="10" xfId="0" applyNumberFormat="1" applyFont="1" applyFill="1" applyBorder="1" applyAlignment="1">
      <alignment horizontal="center" vertical="top" wrapText="1"/>
    </xf>
    <xf numFmtId="187" fontId="6" fillId="32" borderId="10" xfId="0" applyNumberFormat="1" applyFont="1" applyFill="1" applyBorder="1" applyAlignment="1">
      <alignment horizontal="center" wrapText="1"/>
    </xf>
    <xf numFmtId="189" fontId="1" fillId="16" borderId="64" xfId="0" applyNumberFormat="1" applyFont="1" applyFill="1" applyBorder="1" applyAlignment="1">
      <alignment horizontal="center" vertical="top" wrapText="1"/>
    </xf>
    <xf numFmtId="187" fontId="1" fillId="16" borderId="14" xfId="0" applyNumberFormat="1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189" fontId="1" fillId="3" borderId="9" xfId="0" applyNumberFormat="1" applyFont="1" applyFill="1" applyBorder="1" applyAlignment="1">
      <alignment horizontal="center" vertical="top" shrinkToFit="1"/>
    </xf>
    <xf numFmtId="189" fontId="6" fillId="31" borderId="64" xfId="0" applyNumberFormat="1" applyFont="1" applyFill="1" applyBorder="1" applyAlignment="1">
      <alignment horizontal="center" vertical="top" wrapText="1"/>
    </xf>
    <xf numFmtId="189" fontId="6" fillId="23" borderId="13" xfId="0" applyNumberFormat="1" applyFont="1" applyFill="1" applyBorder="1" applyAlignment="1">
      <alignment horizontal="center" vertical="top" wrapText="1"/>
    </xf>
    <xf numFmtId="189" fontId="13" fillId="24" borderId="13" xfId="0" applyNumberFormat="1" applyFont="1" applyFill="1" applyBorder="1" applyAlignment="1">
      <alignment horizontal="center" vertical="top" wrapText="1"/>
    </xf>
    <xf numFmtId="189" fontId="6" fillId="32" borderId="9" xfId="0" applyNumberFormat="1" applyFont="1" applyFill="1" applyBorder="1" applyAlignment="1">
      <alignment horizontal="center" vertical="top" wrapText="1"/>
    </xf>
    <xf numFmtId="189" fontId="13" fillId="33" borderId="13" xfId="0" applyNumberFormat="1" applyFont="1" applyFill="1" applyBorder="1" applyAlignment="1">
      <alignment horizontal="center" vertical="top" wrapText="1"/>
    </xf>
    <xf numFmtId="189" fontId="6" fillId="26" borderId="9" xfId="0" applyNumberFormat="1" applyFont="1" applyFill="1" applyBorder="1" applyAlignment="1">
      <alignment horizontal="center" vertical="top" wrapText="1"/>
    </xf>
    <xf numFmtId="189" fontId="6" fillId="32" borderId="64" xfId="0" applyNumberFormat="1" applyFont="1" applyFill="1" applyBorder="1" applyAlignment="1">
      <alignment horizontal="center" vertical="top" wrapText="1"/>
    </xf>
    <xf numFmtId="189" fontId="6" fillId="32" borderId="20" xfId="0" applyNumberFormat="1" applyFont="1" applyFill="1" applyBorder="1" applyAlignment="1">
      <alignment horizontal="center" vertical="top" wrapText="1"/>
    </xf>
    <xf numFmtId="0" fontId="6" fillId="31" borderId="20" xfId="0" applyFont="1" applyFill="1" applyBorder="1" applyAlignment="1">
      <alignment horizontal="center"/>
    </xf>
    <xf numFmtId="189" fontId="6" fillId="16" borderId="9" xfId="0" applyNumberFormat="1" applyFont="1" applyFill="1" applyBorder="1" applyAlignment="1">
      <alignment horizontal="center" vertical="top" wrapText="1"/>
    </xf>
    <xf numFmtId="189" fontId="6" fillId="32" borderId="7" xfId="0" applyNumberFormat="1" applyFont="1" applyFill="1" applyBorder="1" applyAlignment="1">
      <alignment horizontal="center" vertical="top" wrapText="1"/>
    </xf>
    <xf numFmtId="189" fontId="6" fillId="31" borderId="9" xfId="0" applyNumberFormat="1" applyFont="1" applyFill="1" applyBorder="1" applyAlignment="1">
      <alignment horizontal="center" vertical="top" wrapText="1"/>
    </xf>
    <xf numFmtId="189" fontId="6" fillId="31" borderId="20" xfId="0" applyNumberFormat="1" applyFont="1" applyFill="1" applyBorder="1" applyAlignment="1">
      <alignment horizontal="center" vertical="top" wrapText="1"/>
    </xf>
    <xf numFmtId="189" fontId="6" fillId="25" borderId="10" xfId="0" applyNumberFormat="1" applyFont="1" applyFill="1" applyBorder="1" applyAlignment="1">
      <alignment horizontal="center" vertical="top" wrapText="1"/>
    </xf>
    <xf numFmtId="189" fontId="6" fillId="26" borderId="10" xfId="0" applyNumberFormat="1" applyFont="1" applyFill="1" applyBorder="1" applyAlignment="1">
      <alignment horizontal="center" vertical="top" wrapText="1"/>
    </xf>
    <xf numFmtId="0" fontId="6" fillId="24" borderId="20" xfId="0" applyFont="1" applyFill="1" applyBorder="1" applyAlignment="1">
      <alignment horizontal="center"/>
    </xf>
    <xf numFmtId="0" fontId="6" fillId="35" borderId="20" xfId="0" applyFont="1" applyFill="1" applyBorder="1" applyAlignment="1">
      <alignment horizontal="center"/>
    </xf>
    <xf numFmtId="189" fontId="1" fillId="3" borderId="7" xfId="0" applyNumberFormat="1" applyFont="1" applyFill="1" applyBorder="1" applyAlignment="1">
      <alignment horizontal="center" vertical="top" shrinkToFit="1"/>
    </xf>
    <xf numFmtId="189" fontId="6" fillId="25" borderId="64" xfId="0" applyNumberFormat="1" applyFont="1" applyFill="1" applyBorder="1" applyAlignment="1">
      <alignment horizontal="center" vertical="top" wrapText="1"/>
    </xf>
    <xf numFmtId="189" fontId="6" fillId="34" borderId="64" xfId="0" applyNumberFormat="1" applyFont="1" applyFill="1" applyBorder="1" applyAlignment="1">
      <alignment horizontal="center" vertical="top" wrapText="1"/>
    </xf>
    <xf numFmtId="189" fontId="6" fillId="34" borderId="23" xfId="0" applyNumberFormat="1" applyFont="1" applyFill="1" applyBorder="1" applyAlignment="1">
      <alignment horizontal="center" vertical="top" wrapText="1"/>
    </xf>
    <xf numFmtId="189" fontId="6" fillId="6" borderId="7" xfId="0" applyNumberFormat="1" applyFont="1" applyFill="1" applyBorder="1" applyAlignment="1">
      <alignment horizontal="center" vertical="top" wrapText="1"/>
    </xf>
    <xf numFmtId="189" fontId="6" fillId="3" borderId="10" xfId="0" applyNumberFormat="1" applyFont="1" applyFill="1" applyBorder="1" applyAlignment="1">
      <alignment horizontal="center" vertical="top"/>
    </xf>
    <xf numFmtId="189" fontId="12" fillId="4" borderId="20" xfId="0" applyNumberFormat="1" applyFont="1" applyFill="1" applyBorder="1" applyAlignment="1">
      <alignment horizontal="center" vertical="top"/>
    </xf>
    <xf numFmtId="189" fontId="6" fillId="6" borderId="9" xfId="0" applyNumberFormat="1" applyFont="1" applyFill="1" applyBorder="1" applyAlignment="1">
      <alignment horizontal="center" vertical="top" wrapText="1"/>
    </xf>
    <xf numFmtId="189" fontId="19" fillId="36" borderId="20" xfId="0" applyNumberFormat="1" applyFont="1" applyFill="1" applyBorder="1" applyAlignment="1">
      <alignment horizontal="center" vertical="top" wrapText="1"/>
    </xf>
    <xf numFmtId="189" fontId="6" fillId="36" borderId="7" xfId="0" applyNumberFormat="1" applyFont="1" applyFill="1" applyBorder="1" applyAlignment="1">
      <alignment horizontal="center" vertical="top" wrapText="1"/>
    </xf>
    <xf numFmtId="189" fontId="12" fillId="5" borderId="20" xfId="0" applyNumberFormat="1" applyFont="1" applyFill="1" applyBorder="1" applyAlignment="1">
      <alignment horizontal="center" vertical="top"/>
    </xf>
    <xf numFmtId="189" fontId="19" fillId="6" borderId="20" xfId="0" applyNumberFormat="1" applyFont="1" applyFill="1" applyBorder="1" applyAlignment="1">
      <alignment horizontal="center" vertical="top" wrapText="1"/>
    </xf>
    <xf numFmtId="187" fontId="6" fillId="2" borderId="20" xfId="0" applyNumberFormat="1" applyFont="1" applyFill="1" applyBorder="1" applyAlignment="1">
      <alignment horizontal="center"/>
    </xf>
    <xf numFmtId="49" fontId="6" fillId="9" borderId="25" xfId="0" applyNumberFormat="1" applyFont="1" applyFill="1" applyBorder="1"/>
    <xf numFmtId="187" fontId="6" fillId="16" borderId="25" xfId="0" applyNumberFormat="1" applyFont="1" applyFill="1" applyBorder="1" applyAlignment="1">
      <alignment horizontal="center" wrapText="1"/>
    </xf>
    <xf numFmtId="187" fontId="6" fillId="19" borderId="67" xfId="0" applyNumberFormat="1" applyFont="1" applyFill="1" applyBorder="1" applyAlignment="1"/>
    <xf numFmtId="0" fontId="2" fillId="0" borderId="75" xfId="0" applyFont="1" applyBorder="1"/>
    <xf numFmtId="0" fontId="2" fillId="0" borderId="67" xfId="0" applyFont="1" applyBorder="1"/>
    <xf numFmtId="187" fontId="6" fillId="16" borderId="20" xfId="0" applyNumberFormat="1" applyFont="1" applyFill="1" applyBorder="1" applyAlignment="1">
      <alignment horizontal="center" wrapText="1"/>
    </xf>
    <xf numFmtId="187" fontId="1" fillId="11" borderId="0" xfId="0" applyNumberFormat="1" applyFont="1" applyFill="1" applyAlignment="1">
      <alignment horizontal="center" vertical="top" wrapText="1" shrinkToFit="1"/>
    </xf>
    <xf numFmtId="187" fontId="1" fillId="7" borderId="14" xfId="0" applyNumberFormat="1" applyFont="1" applyFill="1" applyBorder="1" applyAlignment="1">
      <alignment horizontal="center" vertical="top" wrapText="1" shrinkToFit="1"/>
    </xf>
    <xf numFmtId="187" fontId="4" fillId="12" borderId="14" xfId="0" applyNumberFormat="1" applyFont="1" applyFill="1" applyBorder="1" applyAlignment="1">
      <alignment horizontal="center" vertical="top" wrapText="1" shrinkToFit="1"/>
    </xf>
    <xf numFmtId="187" fontId="1" fillId="13" borderId="14" xfId="0" applyNumberFormat="1" applyFont="1" applyFill="1" applyBorder="1" applyAlignment="1">
      <alignment horizontal="center" vertical="top" wrapText="1" shrinkToFit="1"/>
    </xf>
    <xf numFmtId="187" fontId="1" fillId="14" borderId="14" xfId="0" applyNumberFormat="1" applyFont="1" applyFill="1" applyBorder="1" applyAlignment="1">
      <alignment horizontal="center" vertical="top" wrapText="1" shrinkToFi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187" fontId="6" fillId="11" borderId="24" xfId="0" applyNumberFormat="1" applyFont="1" applyFill="1" applyBorder="1" applyAlignment="1">
      <alignment horizontal="center" vertical="top" wrapText="1"/>
    </xf>
    <xf numFmtId="187" fontId="6" fillId="7" borderId="24" xfId="0" applyNumberFormat="1" applyFont="1" applyFill="1" applyBorder="1" applyAlignment="1">
      <alignment horizontal="center" vertical="top" wrapText="1"/>
    </xf>
    <xf numFmtId="187" fontId="9" fillId="12" borderId="24" xfId="0" applyNumberFormat="1" applyFont="1" applyFill="1" applyBorder="1" applyAlignment="1">
      <alignment horizontal="center" vertical="top" wrapText="1"/>
    </xf>
    <xf numFmtId="187" fontId="6" fillId="13" borderId="24" xfId="0" applyNumberFormat="1" applyFont="1" applyFill="1" applyBorder="1" applyAlignment="1">
      <alignment horizontal="center" vertical="top" wrapText="1"/>
    </xf>
    <xf numFmtId="187" fontId="6" fillId="14" borderId="24" xfId="0" applyNumberFormat="1" applyFont="1" applyFill="1" applyBorder="1" applyAlignment="1">
      <alignment horizontal="center" vertical="top" wrapText="1"/>
    </xf>
    <xf numFmtId="0" fontId="2" fillId="0" borderId="37" xfId="0" applyFont="1" applyBorder="1" applyAlignment="1">
      <alignment wrapText="1"/>
    </xf>
    <xf numFmtId="187" fontId="1" fillId="15" borderId="32" xfId="0" applyNumberFormat="1" applyFont="1" applyFill="1" applyBorder="1" applyAlignment="1">
      <alignment horizontal="center" vertical="center" wrapText="1" shrinkToFit="1"/>
    </xf>
    <xf numFmtId="188" fontId="1" fillId="15" borderId="32" xfId="0" applyNumberFormat="1" applyFont="1" applyFill="1" applyBorder="1" applyAlignment="1">
      <alignment horizontal="center" vertical="center" wrapText="1" shrinkToFit="1"/>
    </xf>
    <xf numFmtId="188" fontId="5" fillId="15" borderId="32" xfId="0" applyNumberFormat="1" applyFont="1" applyFill="1" applyBorder="1" applyAlignment="1">
      <alignment horizontal="center" vertical="center" wrapText="1" shrinkToFit="1"/>
    </xf>
    <xf numFmtId="188" fontId="5" fillId="15" borderId="31" xfId="0" applyNumberFormat="1" applyFont="1" applyFill="1" applyBorder="1" applyAlignment="1">
      <alignment horizontal="center" vertical="center" wrapText="1" shrinkToFit="1"/>
    </xf>
    <xf numFmtId="189" fontId="1" fillId="15" borderId="31" xfId="0" applyNumberFormat="1" applyFont="1" applyFill="1" applyBorder="1" applyAlignment="1">
      <alignment horizontal="center" vertical="center" wrapText="1" shrinkToFit="1"/>
    </xf>
    <xf numFmtId="187" fontId="6" fillId="21" borderId="37" xfId="0" applyNumberFormat="1" applyFont="1" applyFill="1" applyBorder="1" applyAlignment="1">
      <alignment horizontal="center" wrapText="1"/>
    </xf>
    <xf numFmtId="188" fontId="6" fillId="21" borderId="37" xfId="0" applyNumberFormat="1" applyFont="1" applyFill="1" applyBorder="1" applyAlignment="1">
      <alignment horizontal="center" wrapText="1"/>
    </xf>
    <xf numFmtId="188" fontId="10" fillId="21" borderId="37" xfId="0" applyNumberFormat="1" applyFont="1" applyFill="1" applyBorder="1" applyAlignment="1">
      <alignment horizontal="center" wrapText="1"/>
    </xf>
    <xf numFmtId="189" fontId="6" fillId="21" borderId="37" xfId="0" applyNumberFormat="1" applyFont="1" applyFill="1" applyBorder="1" applyAlignment="1">
      <alignment horizontal="center" wrapText="1"/>
    </xf>
    <xf numFmtId="187" fontId="6" fillId="21" borderId="37" xfId="0" applyNumberFormat="1" applyFont="1" applyFill="1" applyBorder="1" applyAlignment="1">
      <alignment horizontal="center" vertical="top" wrapText="1"/>
    </xf>
    <xf numFmtId="188" fontId="6" fillId="21" borderId="37" xfId="0" applyNumberFormat="1" applyFont="1" applyFill="1" applyBorder="1" applyAlignment="1">
      <alignment horizontal="center" vertical="top" wrapText="1"/>
    </xf>
    <xf numFmtId="188" fontId="10" fillId="21" borderId="37" xfId="0" applyNumberFormat="1" applyFont="1" applyFill="1" applyBorder="1" applyAlignment="1">
      <alignment horizontal="center" vertical="top" wrapText="1"/>
    </xf>
    <xf numFmtId="189" fontId="6" fillId="21" borderId="37" xfId="0" applyNumberFormat="1" applyFont="1" applyFill="1" applyBorder="1" applyAlignment="1">
      <alignment horizontal="center" vertical="top" wrapText="1"/>
    </xf>
    <xf numFmtId="187" fontId="1" fillId="9" borderId="14" xfId="0" applyNumberFormat="1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2" borderId="26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2" fillId="0" borderId="25" xfId="0" applyFont="1" applyBorder="1" applyAlignment="1">
      <alignment wrapText="1"/>
    </xf>
    <xf numFmtId="0" fontId="2" fillId="0" borderId="20" xfId="0" applyFont="1" applyBorder="1" applyAlignment="1">
      <alignment wrapText="1"/>
    </xf>
    <xf numFmtId="187" fontId="6" fillId="10" borderId="22" xfId="0" applyNumberFormat="1" applyFont="1" applyFill="1" applyBorder="1" applyAlignment="1">
      <alignment horizontal="center" vertical="center"/>
    </xf>
    <xf numFmtId="187" fontId="6" fillId="22" borderId="24" xfId="0" applyNumberFormat="1" applyFont="1" applyFill="1" applyBorder="1" applyAlignment="1">
      <alignment horizontal="center" vertical="center"/>
    </xf>
    <xf numFmtId="187" fontId="6" fillId="9" borderId="24" xfId="0" applyNumberFormat="1" applyFont="1" applyFill="1" applyBorder="1" applyAlignment="1">
      <alignment horizontal="center" vertical="center"/>
    </xf>
    <xf numFmtId="187" fontId="6" fillId="9" borderId="24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31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7" xfId="0" applyFont="1" applyBorder="1" applyAlignment="1">
      <alignment vertical="center" wrapText="1"/>
    </xf>
    <xf numFmtId="187" fontId="6" fillId="21" borderId="37" xfId="0" applyNumberFormat="1" applyFont="1" applyFill="1" applyBorder="1" applyAlignment="1">
      <alignment horizontal="center" vertical="center" wrapText="1"/>
    </xf>
    <xf numFmtId="188" fontId="6" fillId="21" borderId="37" xfId="0" applyNumberFormat="1" applyFont="1" applyFill="1" applyBorder="1" applyAlignment="1">
      <alignment horizontal="center" vertical="center" wrapText="1"/>
    </xf>
    <xf numFmtId="188" fontId="10" fillId="21" borderId="37" xfId="0" applyNumberFormat="1" applyFont="1" applyFill="1" applyBorder="1" applyAlignment="1">
      <alignment horizontal="center" vertical="center" wrapText="1"/>
    </xf>
    <xf numFmtId="189" fontId="6" fillId="21" borderId="37" xfId="0" applyNumberFormat="1" applyFont="1" applyFill="1" applyBorder="1" applyAlignment="1">
      <alignment horizontal="center" vertical="center" wrapText="1"/>
    </xf>
    <xf numFmtId="187" fontId="1" fillId="8" borderId="27" xfId="0" applyNumberFormat="1" applyFont="1" applyFill="1" applyBorder="1" applyAlignment="1">
      <alignment horizontal="center" vertical="center" wrapText="1" shrinkToFit="1"/>
    </xf>
    <xf numFmtId="187" fontId="1" fillId="8" borderId="41" xfId="0" applyNumberFormat="1" applyFont="1" applyFill="1" applyBorder="1" applyAlignment="1">
      <alignment horizontal="center" vertical="center" wrapText="1" shrinkToFit="1"/>
    </xf>
    <xf numFmtId="187" fontId="6" fillId="10" borderId="24" xfId="0" applyNumberFormat="1" applyFont="1" applyFill="1" applyBorder="1" applyAlignment="1">
      <alignment horizontal="center" vertical="center"/>
    </xf>
    <xf numFmtId="189" fontId="6" fillId="10" borderId="24" xfId="0" applyNumberFormat="1" applyFont="1" applyFill="1" applyBorder="1" applyAlignment="1">
      <alignment horizontal="center" vertical="center"/>
    </xf>
    <xf numFmtId="189" fontId="6" fillId="9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AQ106"/>
  <sheetViews>
    <sheetView tabSelected="1" view="pageBreakPreview" zoomScale="60" zoomScaleNormal="50" workbookViewId="0">
      <pane xSplit="2" ySplit="7" topLeftCell="C8" activePane="bottomRight" state="frozen"/>
      <selection activeCell="A13" sqref="A13:B13"/>
      <selection pane="topRight" activeCell="A13" sqref="A13:B13"/>
      <selection pane="bottomLeft" activeCell="A13" sqref="A13:B13"/>
      <selection pane="bottomRight" activeCell="AH22" sqref="AH22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1.42578125" customWidth="1"/>
    <col min="8" max="8" width="16.42578125" customWidth="1"/>
    <col min="9" max="9" width="11.4257812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4" width="15.140625" customWidth="1"/>
    <col min="15" max="15" width="10.42578125" customWidth="1"/>
    <col min="16" max="17" width="15.140625" customWidth="1"/>
    <col min="18" max="18" width="19.28515625" bestFit="1" customWidth="1"/>
    <col min="19" max="22" width="15.140625" customWidth="1"/>
    <col min="23" max="43" width="13.42578125" customWidth="1"/>
  </cols>
  <sheetData>
    <row r="1" spans="1:4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2"/>
      <c r="Z1" s="4"/>
      <c r="AA1" s="2"/>
      <c r="AB1" s="4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4"/>
    </row>
    <row r="2" spans="1:43" ht="24" customHeight="1" x14ac:dyDescent="0.2">
      <c r="A2" s="616" t="s">
        <v>1</v>
      </c>
      <c r="B2" s="617"/>
      <c r="C2" s="600" t="s">
        <v>2</v>
      </c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2"/>
    </row>
    <row r="3" spans="1:43" ht="30" customHeight="1" x14ac:dyDescent="0.2">
      <c r="A3" s="618"/>
      <c r="B3" s="619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584" t="s">
        <v>4</v>
      </c>
      <c r="S3" s="585"/>
      <c r="T3" s="585"/>
      <c r="U3" s="585"/>
      <c r="V3" s="585"/>
      <c r="W3" s="605" t="s">
        <v>5</v>
      </c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598"/>
      <c r="AL3" s="598"/>
      <c r="AM3" s="598"/>
      <c r="AN3" s="583"/>
      <c r="AO3" s="606" t="s">
        <v>6</v>
      </c>
      <c r="AP3" s="585"/>
      <c r="AQ3" s="607"/>
    </row>
    <row r="4" spans="1:43" ht="30" customHeight="1" x14ac:dyDescent="0.2">
      <c r="A4" s="618"/>
      <c r="B4" s="619"/>
      <c r="C4" s="609" t="s">
        <v>7</v>
      </c>
      <c r="D4" s="598"/>
      <c r="E4" s="598"/>
      <c r="F4" s="598"/>
      <c r="G4" s="583"/>
      <c r="H4" s="612" t="s">
        <v>8</v>
      </c>
      <c r="I4" s="583"/>
      <c r="J4" s="613" t="s">
        <v>9</v>
      </c>
      <c r="K4" s="598"/>
      <c r="L4" s="598"/>
      <c r="M4" s="598"/>
      <c r="N4" s="598"/>
      <c r="O4" s="598"/>
      <c r="P4" s="598"/>
      <c r="Q4" s="583"/>
      <c r="R4" s="614" t="s">
        <v>10</v>
      </c>
      <c r="S4" s="615" t="s">
        <v>11</v>
      </c>
      <c r="T4" s="594" t="s">
        <v>12</v>
      </c>
      <c r="U4" s="752" t="s">
        <v>13</v>
      </c>
      <c r="V4" s="752" t="s">
        <v>14</v>
      </c>
      <c r="W4" s="586" t="s">
        <v>15</v>
      </c>
      <c r="X4" s="587"/>
      <c r="Y4" s="587"/>
      <c r="Z4" s="587"/>
      <c r="AA4" s="587"/>
      <c r="AB4" s="588"/>
      <c r="AC4" s="586" t="s">
        <v>16</v>
      </c>
      <c r="AD4" s="587"/>
      <c r="AE4" s="587"/>
      <c r="AF4" s="588"/>
      <c r="AG4" s="586" t="s">
        <v>17</v>
      </c>
      <c r="AH4" s="587"/>
      <c r="AI4" s="587"/>
      <c r="AJ4" s="588"/>
      <c r="AK4" s="610" t="s">
        <v>18</v>
      </c>
      <c r="AL4" s="601"/>
      <c r="AM4" s="601"/>
      <c r="AN4" s="602"/>
      <c r="AO4" s="608"/>
      <c r="AP4" s="592"/>
      <c r="AQ4" s="593"/>
    </row>
    <row r="5" spans="1:43" ht="24" customHeight="1" x14ac:dyDescent="0.3">
      <c r="A5" s="618"/>
      <c r="B5" s="619"/>
      <c r="C5" s="726" t="s">
        <v>19</v>
      </c>
      <c r="D5" s="727" t="s">
        <v>20</v>
      </c>
      <c r="E5" s="728" t="s">
        <v>21</v>
      </c>
      <c r="F5" s="729" t="s">
        <v>22</v>
      </c>
      <c r="G5" s="730" t="s">
        <v>23</v>
      </c>
      <c r="H5" s="6" t="s">
        <v>24</v>
      </c>
      <c r="I5" s="6" t="s">
        <v>25</v>
      </c>
      <c r="J5" s="589" t="s">
        <v>26</v>
      </c>
      <c r="K5" s="590"/>
      <c r="L5" s="591" t="s">
        <v>24</v>
      </c>
      <c r="M5" s="592"/>
      <c r="N5" s="593"/>
      <c r="O5" s="611" t="s">
        <v>25</v>
      </c>
      <c r="P5" s="592"/>
      <c r="Q5" s="593"/>
      <c r="R5" s="595"/>
      <c r="S5" s="595"/>
      <c r="T5" s="595"/>
      <c r="U5" s="753"/>
      <c r="V5" s="753"/>
      <c r="W5" s="582" t="s">
        <v>27</v>
      </c>
      <c r="X5" s="583"/>
      <c r="Y5" s="597" t="s">
        <v>28</v>
      </c>
      <c r="Z5" s="598"/>
      <c r="AA5" s="598"/>
      <c r="AB5" s="583"/>
      <c r="AC5" s="582" t="s">
        <v>27</v>
      </c>
      <c r="AD5" s="583"/>
      <c r="AE5" s="599" t="s">
        <v>28</v>
      </c>
      <c r="AF5" s="583"/>
      <c r="AG5" s="582" t="s">
        <v>27</v>
      </c>
      <c r="AH5" s="583"/>
      <c r="AI5" s="599" t="s">
        <v>28</v>
      </c>
      <c r="AJ5" s="583"/>
      <c r="AK5" s="582" t="s">
        <v>27</v>
      </c>
      <c r="AL5" s="583"/>
      <c r="AM5" s="599" t="s">
        <v>28</v>
      </c>
      <c r="AN5" s="583"/>
      <c r="AO5" s="7" t="s">
        <v>27</v>
      </c>
      <c r="AP5" s="599" t="s">
        <v>28</v>
      </c>
      <c r="AQ5" s="583"/>
    </row>
    <row r="6" spans="1:43" ht="46.5" customHeight="1" x14ac:dyDescent="0.2">
      <c r="A6" s="620"/>
      <c r="B6" s="621"/>
      <c r="C6" s="731"/>
      <c r="D6" s="732"/>
      <c r="E6" s="732"/>
      <c r="F6" s="732"/>
      <c r="G6" s="732"/>
      <c r="H6" s="6"/>
      <c r="I6" s="6"/>
      <c r="J6" s="739" t="s">
        <v>29</v>
      </c>
      <c r="K6" s="740" t="s">
        <v>30</v>
      </c>
      <c r="L6" s="739" t="s">
        <v>29</v>
      </c>
      <c r="M6" s="741" t="s">
        <v>31</v>
      </c>
      <c r="N6" s="742" t="s">
        <v>32</v>
      </c>
      <c r="O6" s="743" t="s">
        <v>29</v>
      </c>
      <c r="P6" s="741" t="s">
        <v>31</v>
      </c>
      <c r="Q6" s="742" t="s">
        <v>32</v>
      </c>
      <c r="R6" s="596"/>
      <c r="S6" s="596"/>
      <c r="T6" s="596"/>
      <c r="U6" s="732"/>
      <c r="V6" s="732"/>
      <c r="W6" s="8" t="s">
        <v>33</v>
      </c>
      <c r="X6" s="9" t="s">
        <v>34</v>
      </c>
      <c r="Y6" s="10" t="s">
        <v>33</v>
      </c>
      <c r="Z6" s="11" t="s">
        <v>30</v>
      </c>
      <c r="AA6" s="12" t="s">
        <v>34</v>
      </c>
      <c r="AB6" s="11" t="s">
        <v>30</v>
      </c>
      <c r="AC6" s="8" t="s">
        <v>33</v>
      </c>
      <c r="AD6" s="9" t="s">
        <v>34</v>
      </c>
      <c r="AE6" s="10" t="s">
        <v>33</v>
      </c>
      <c r="AF6" s="12" t="s">
        <v>34</v>
      </c>
      <c r="AG6" s="8" t="s">
        <v>33</v>
      </c>
      <c r="AH6" s="9" t="s">
        <v>34</v>
      </c>
      <c r="AI6" s="10" t="s">
        <v>33</v>
      </c>
      <c r="AJ6" s="12" t="s">
        <v>34</v>
      </c>
      <c r="AK6" s="8" t="s">
        <v>33</v>
      </c>
      <c r="AL6" s="9" t="s">
        <v>34</v>
      </c>
      <c r="AM6" s="10" t="s">
        <v>33</v>
      </c>
      <c r="AN6" s="12" t="s">
        <v>34</v>
      </c>
      <c r="AO6" s="13" t="s">
        <v>35</v>
      </c>
      <c r="AP6" s="14" t="s">
        <v>33</v>
      </c>
      <c r="AQ6" s="15" t="s">
        <v>36</v>
      </c>
    </row>
    <row r="7" spans="1:43" ht="24" customHeight="1" x14ac:dyDescent="0.3">
      <c r="A7" s="622" t="s">
        <v>289</v>
      </c>
      <c r="B7" s="623"/>
      <c r="C7" s="16">
        <f t="shared" ref="C7:C9" ca="1" si="0">D7+G7</f>
        <v>11456200</v>
      </c>
      <c r="D7" s="17">
        <f t="shared" ref="D7:E7" ca="1" si="1">D8+D9+D12</f>
        <v>11456200</v>
      </c>
      <c r="E7" s="18">
        <f t="shared" ca="1" si="1"/>
        <v>5155200</v>
      </c>
      <c r="F7" s="19">
        <f ca="1">F8+F9</f>
        <v>6301000</v>
      </c>
      <c r="G7" s="20">
        <f t="shared" ref="G7:I7" ca="1" si="2">G8+G9+G12</f>
        <v>0</v>
      </c>
      <c r="H7" s="21">
        <f t="shared" ca="1" si="2"/>
        <v>11456200</v>
      </c>
      <c r="I7" s="21">
        <f t="shared" ca="1" si="2"/>
        <v>0</v>
      </c>
      <c r="J7" s="22">
        <f t="shared" ref="J7:J9" ca="1" si="3">L7+O7</f>
        <v>3656880.7399999998</v>
      </c>
      <c r="K7" s="23">
        <f t="shared" ref="K7:K9" ca="1" si="4">IF(C7&gt;0,J7*100/C7,0)</f>
        <v>31.920538572999774</v>
      </c>
      <c r="L7" s="22">
        <f ca="1">L8+L9+L12</f>
        <v>3656880.7399999998</v>
      </c>
      <c r="M7" s="24">
        <f t="shared" ref="M7:M9" ca="1" si="5">IF(D7&gt;0,L7*100/D7,0)</f>
        <v>31.920538572999774</v>
      </c>
      <c r="N7" s="24">
        <f t="shared" ref="N7:N9" ca="1" si="6">IF(H7&gt;0,L7*100/H7,0)</f>
        <v>31.920538572999774</v>
      </c>
      <c r="O7" s="25">
        <f ca="1">O8+O9+O12</f>
        <v>0</v>
      </c>
      <c r="P7" s="25">
        <f t="shared" ref="P7:P9" ca="1" si="7">IF(G7&gt;0,O7*100/G7,0)</f>
        <v>0</v>
      </c>
      <c r="Q7" s="24">
        <f t="shared" ref="Q7:Q9" ca="1" si="8">IF(I7&gt;0,O7*100/I7,0)</f>
        <v>0</v>
      </c>
      <c r="R7" s="26">
        <f t="shared" ref="R7:T7" ca="1" si="9">R8+R9</f>
        <v>23600000</v>
      </c>
      <c r="S7" s="26">
        <f t="shared" ca="1" si="9"/>
        <v>0</v>
      </c>
      <c r="T7" s="26">
        <f t="shared" ca="1" si="9"/>
        <v>0</v>
      </c>
      <c r="U7" s="27">
        <f t="shared" ref="U7:U9" ca="1" si="10">IF(R7&gt;0,T7*100/R7,0)</f>
        <v>0</v>
      </c>
      <c r="V7" s="27">
        <f t="shared" ref="V7:V9" ca="1" si="11">IF(S7&gt;0,T7*100/S7,0)</f>
        <v>0</v>
      </c>
      <c r="W7" s="28">
        <f ca="1">W8</f>
        <v>72</v>
      </c>
      <c r="X7" s="28">
        <f t="shared" ref="X7:X8" ca="1" si="12">+AD7+AH7+AL7</f>
        <v>1814</v>
      </c>
      <c r="Y7" s="29">
        <f ca="1">Y8+Y9+Y12</f>
        <v>2</v>
      </c>
      <c r="Z7" s="30">
        <f t="shared" ref="Z7:Z8" ca="1" si="13">IF(W7&gt;0,Y7*100/W7,0)</f>
        <v>2.7777777777777777</v>
      </c>
      <c r="AA7" s="29">
        <f ca="1">AA8+AA9+AA12</f>
        <v>64</v>
      </c>
      <c r="AB7" s="30">
        <f t="shared" ref="AB7:AB8" ca="1" si="14">IF(X7&gt;0,AA7*100/X7,0)</f>
        <v>3.528114663726571</v>
      </c>
      <c r="AC7" s="28">
        <f t="shared" ref="AC7:AD7" ca="1" si="15">AC8</f>
        <v>47</v>
      </c>
      <c r="AD7" s="28">
        <f t="shared" ca="1" si="15"/>
        <v>753</v>
      </c>
      <c r="AE7" s="29">
        <f t="shared" ref="AE7:AF7" ca="1" si="16">AE8+AE9+AE12</f>
        <v>0</v>
      </c>
      <c r="AF7" s="29">
        <f t="shared" ca="1" si="16"/>
        <v>0</v>
      </c>
      <c r="AG7" s="28">
        <f t="shared" ref="AG7:AH7" ca="1" si="17">AG8</f>
        <v>12</v>
      </c>
      <c r="AH7" s="28">
        <f t="shared" ca="1" si="17"/>
        <v>480</v>
      </c>
      <c r="AI7" s="29">
        <f t="shared" ref="AI7:AJ7" ca="1" si="18">AI8+AI9+AI12</f>
        <v>0</v>
      </c>
      <c r="AJ7" s="29">
        <f t="shared" ca="1" si="18"/>
        <v>0</v>
      </c>
      <c r="AK7" s="28">
        <f t="shared" ref="AK7:AL7" ca="1" si="19">AK8</f>
        <v>13</v>
      </c>
      <c r="AL7" s="28">
        <f t="shared" ca="1" si="19"/>
        <v>581</v>
      </c>
      <c r="AM7" s="29">
        <f t="shared" ref="AM7:AN7" ca="1" si="20">AM8+AM9+AM12</f>
        <v>2</v>
      </c>
      <c r="AN7" s="29">
        <f t="shared" ca="1" si="20"/>
        <v>64</v>
      </c>
      <c r="AO7" s="28">
        <f ca="1">AO8</f>
        <v>42</v>
      </c>
      <c r="AP7" s="29">
        <f ca="1">AP8+AP9+AP12</f>
        <v>2</v>
      </c>
      <c r="AQ7" s="30">
        <f t="shared" ref="AQ7:AQ8" ca="1" si="21">IF(AO7&gt;0,AP7*100/AO7,0)</f>
        <v>4.7619047619047619</v>
      </c>
    </row>
    <row r="8" spans="1:43" ht="28.5" customHeight="1" x14ac:dyDescent="0.3">
      <c r="A8" s="31" t="s">
        <v>37</v>
      </c>
      <c r="B8" s="32"/>
      <c r="C8" s="33">
        <f t="shared" ca="1" si="0"/>
        <v>6972000</v>
      </c>
      <c r="D8" s="34">
        <f t="shared" ref="D8:I8" ca="1" si="22">+D13+D31+D52+D74</f>
        <v>6972000</v>
      </c>
      <c r="E8" s="35">
        <f t="shared" ca="1" si="22"/>
        <v>3253600</v>
      </c>
      <c r="F8" s="35">
        <f t="shared" ca="1" si="22"/>
        <v>3718400</v>
      </c>
      <c r="G8" s="35">
        <f t="shared" ca="1" si="22"/>
        <v>0</v>
      </c>
      <c r="H8" s="35">
        <f t="shared" ca="1" si="22"/>
        <v>4764017</v>
      </c>
      <c r="I8" s="35">
        <f t="shared" ca="1" si="22"/>
        <v>0</v>
      </c>
      <c r="J8" s="35">
        <f t="shared" ca="1" si="3"/>
        <v>2499028.4299999997</v>
      </c>
      <c r="K8" s="36">
        <f t="shared" ca="1" si="4"/>
        <v>35.843781267928854</v>
      </c>
      <c r="L8" s="35">
        <f ca="1">+L13+L31+L52+L74</f>
        <v>2499028.4299999997</v>
      </c>
      <c r="M8" s="37">
        <f t="shared" ca="1" si="5"/>
        <v>35.843781267928854</v>
      </c>
      <c r="N8" s="37">
        <f t="shared" ca="1" si="6"/>
        <v>52.456328976156037</v>
      </c>
      <c r="O8" s="38">
        <f ca="1">+O13+O31+O52+O74</f>
        <v>0</v>
      </c>
      <c r="P8" s="38">
        <f t="shared" ca="1" si="7"/>
        <v>0</v>
      </c>
      <c r="Q8" s="37">
        <f t="shared" ca="1" si="8"/>
        <v>0</v>
      </c>
      <c r="R8" s="39">
        <f t="shared" ref="R8:T8" ca="1" si="23">+R13+R31+R52+R74</f>
        <v>22354785</v>
      </c>
      <c r="S8" s="39">
        <f t="shared" ca="1" si="23"/>
        <v>0</v>
      </c>
      <c r="T8" s="39">
        <f t="shared" ca="1" si="23"/>
        <v>0</v>
      </c>
      <c r="U8" s="40">
        <f t="shared" ca="1" si="10"/>
        <v>0</v>
      </c>
      <c r="V8" s="40">
        <f t="shared" ca="1" si="11"/>
        <v>0</v>
      </c>
      <c r="W8" s="35">
        <f ca="1">+W13+W31+W52+W74</f>
        <v>72</v>
      </c>
      <c r="X8" s="35">
        <f t="shared" ca="1" si="12"/>
        <v>1814</v>
      </c>
      <c r="Y8" s="35">
        <f ca="1">+Y13+Y31+Y52+Y74</f>
        <v>2</v>
      </c>
      <c r="Z8" s="37">
        <f t="shared" ca="1" si="13"/>
        <v>2.7777777777777777</v>
      </c>
      <c r="AA8" s="35">
        <f ca="1">+AA13+AA31+AA52+AA74</f>
        <v>64</v>
      </c>
      <c r="AB8" s="37">
        <f t="shared" ca="1" si="14"/>
        <v>3.528114663726571</v>
      </c>
      <c r="AC8" s="35">
        <f t="shared" ref="AC8:AP8" ca="1" si="24">+AC13+AC31+AC52+AC74</f>
        <v>47</v>
      </c>
      <c r="AD8" s="35">
        <f t="shared" ca="1" si="24"/>
        <v>753</v>
      </c>
      <c r="AE8" s="35">
        <f t="shared" ca="1" si="24"/>
        <v>0</v>
      </c>
      <c r="AF8" s="35">
        <f t="shared" ca="1" si="24"/>
        <v>0</v>
      </c>
      <c r="AG8" s="35">
        <f t="shared" ca="1" si="24"/>
        <v>12</v>
      </c>
      <c r="AH8" s="35">
        <f t="shared" ca="1" si="24"/>
        <v>480</v>
      </c>
      <c r="AI8" s="35">
        <f t="shared" ca="1" si="24"/>
        <v>0</v>
      </c>
      <c r="AJ8" s="35">
        <f t="shared" ca="1" si="24"/>
        <v>0</v>
      </c>
      <c r="AK8" s="35">
        <f t="shared" ca="1" si="24"/>
        <v>13</v>
      </c>
      <c r="AL8" s="35">
        <f t="shared" ca="1" si="24"/>
        <v>581</v>
      </c>
      <c r="AM8" s="35">
        <f t="shared" ca="1" si="24"/>
        <v>2</v>
      </c>
      <c r="AN8" s="35">
        <f t="shared" ca="1" si="24"/>
        <v>64</v>
      </c>
      <c r="AO8" s="35">
        <f t="shared" ca="1" si="24"/>
        <v>42</v>
      </c>
      <c r="AP8" s="41">
        <f t="shared" ca="1" si="24"/>
        <v>2</v>
      </c>
      <c r="AQ8" s="42">
        <f t="shared" ca="1" si="21"/>
        <v>4.7619047619047619</v>
      </c>
    </row>
    <row r="9" spans="1:43" ht="28.5" customHeight="1" x14ac:dyDescent="0.3">
      <c r="A9" s="43" t="s">
        <v>38</v>
      </c>
      <c r="B9" s="44"/>
      <c r="C9" s="45">
        <f t="shared" ca="1" si="0"/>
        <v>4484200</v>
      </c>
      <c r="D9" s="46">
        <f t="shared" ref="D9:I9" ca="1" si="25">+D89</f>
        <v>4484200</v>
      </c>
      <c r="E9" s="45">
        <f t="shared" ca="1" si="25"/>
        <v>1901600</v>
      </c>
      <c r="F9" s="45">
        <f t="shared" ca="1" si="25"/>
        <v>2582600</v>
      </c>
      <c r="G9" s="45">
        <f t="shared" ca="1" si="25"/>
        <v>0</v>
      </c>
      <c r="H9" s="45">
        <f t="shared" ca="1" si="25"/>
        <v>6692183</v>
      </c>
      <c r="I9" s="45">
        <f t="shared" ca="1" si="25"/>
        <v>0</v>
      </c>
      <c r="J9" s="45">
        <f t="shared" ca="1" si="3"/>
        <v>1157852.31</v>
      </c>
      <c r="K9" s="47">
        <f t="shared" ca="1" si="4"/>
        <v>25.820710717630792</v>
      </c>
      <c r="L9" s="45">
        <f ca="1">+L89</f>
        <v>1157852.31</v>
      </c>
      <c r="M9" s="48">
        <f t="shared" ca="1" si="5"/>
        <v>25.820710717630792</v>
      </c>
      <c r="N9" s="48">
        <f t="shared" ca="1" si="6"/>
        <v>17.301563779711344</v>
      </c>
      <c r="O9" s="49">
        <f ca="1">+O89</f>
        <v>0</v>
      </c>
      <c r="P9" s="49">
        <f t="shared" ca="1" si="7"/>
        <v>0</v>
      </c>
      <c r="Q9" s="48">
        <f t="shared" ca="1" si="8"/>
        <v>0</v>
      </c>
      <c r="R9" s="50">
        <f ca="1">IFERROR(__xludf.DUMMYFUNCTION("IMPORTRANGE(""https://docs.google.com/spreadsheets/d/1ItG2mGa2ceCfYo0BwxsXqNm01IGEUdYcSSLTEv9YCik/edit?usp=sharing"",""เบิกจ่ายกองทุน!AS11"")"),1245215)</f>
        <v>1245215</v>
      </c>
      <c r="S9" s="50">
        <f ca="1">IFERROR(__xludf.DUMMYFUNCTION("IMPORTRANGE(""https://docs.google.com/spreadsheets/d/1ItG2mGa2ceCfYo0BwxsXqNm01IGEUdYcSSLTEv9YCik/edit?usp=sharing"",""เบิกจ่ายกองทุน!AT11"")"),0)</f>
        <v>0</v>
      </c>
      <c r="T9" s="50">
        <f ca="1">IFERROR(__xludf.DUMMYFUNCTION("IMPORTRANGE(""https://docs.google.com/spreadsheets/d/1ItG2mGa2ceCfYo0BwxsXqNm01IGEUdYcSSLTEv9YCik/edit?usp=sharing"",""เบิกจ่ายกองทุน!AU11"")"),0)</f>
        <v>0</v>
      </c>
      <c r="U9" s="51">
        <f t="shared" ca="1" si="10"/>
        <v>0</v>
      </c>
      <c r="V9" s="51">
        <f t="shared" ca="1" si="11"/>
        <v>0</v>
      </c>
      <c r="W9" s="45"/>
      <c r="X9" s="45"/>
      <c r="Y9" s="45"/>
      <c r="Z9" s="48"/>
      <c r="AA9" s="45"/>
      <c r="AB9" s="48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52"/>
      <c r="AQ9" s="53"/>
    </row>
    <row r="10" spans="1:43" ht="28.5" hidden="1" customHeight="1" x14ac:dyDescent="0.3">
      <c r="A10" s="54"/>
      <c r="B10" s="55"/>
      <c r="C10" s="56"/>
      <c r="D10" s="57"/>
      <c r="E10" s="56"/>
      <c r="F10" s="56"/>
      <c r="G10" s="56"/>
      <c r="H10" s="56"/>
      <c r="I10" s="56"/>
      <c r="J10" s="56"/>
      <c r="K10" s="58"/>
      <c r="L10" s="56"/>
      <c r="M10" s="59"/>
      <c r="N10" s="59"/>
      <c r="O10" s="60"/>
      <c r="P10" s="60"/>
      <c r="Q10" s="59"/>
      <c r="R10" s="61"/>
      <c r="S10" s="61"/>
      <c r="T10" s="61"/>
      <c r="U10" s="62"/>
      <c r="V10" s="62"/>
      <c r="W10" s="56"/>
      <c r="X10" s="56"/>
      <c r="Y10" s="56"/>
      <c r="Z10" s="59"/>
      <c r="AA10" s="56"/>
      <c r="AB10" s="59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63"/>
      <c r="AQ10" s="64"/>
    </row>
    <row r="11" spans="1:43" ht="28.5" hidden="1" customHeight="1" x14ac:dyDescent="0.3">
      <c r="A11" s="65"/>
      <c r="B11" s="55"/>
      <c r="C11" s="56"/>
      <c r="D11" s="57"/>
      <c r="E11" s="56"/>
      <c r="F11" s="56"/>
      <c r="G11" s="56"/>
      <c r="H11" s="56"/>
      <c r="I11" s="56"/>
      <c r="J11" s="56"/>
      <c r="K11" s="58"/>
      <c r="L11" s="56"/>
      <c r="M11" s="59"/>
      <c r="N11" s="59"/>
      <c r="O11" s="60"/>
      <c r="P11" s="60"/>
      <c r="Q11" s="59"/>
      <c r="R11" s="61"/>
      <c r="S11" s="61"/>
      <c r="T11" s="61"/>
      <c r="U11" s="62"/>
      <c r="V11" s="62"/>
      <c r="W11" s="56"/>
      <c r="X11" s="56"/>
      <c r="Y11" s="56"/>
      <c r="Z11" s="59"/>
      <c r="AA11" s="56"/>
      <c r="AB11" s="59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63"/>
      <c r="AQ11" s="64"/>
    </row>
    <row r="12" spans="1:43" ht="28.5" hidden="1" customHeight="1" x14ac:dyDescent="0.3">
      <c r="A12" s="54"/>
      <c r="B12" s="55"/>
      <c r="C12" s="56"/>
      <c r="D12" s="66"/>
      <c r="E12" s="67"/>
      <c r="F12" s="67"/>
      <c r="G12" s="67"/>
      <c r="H12" s="67"/>
      <c r="I12" s="67"/>
      <c r="J12" s="67"/>
      <c r="K12" s="68"/>
      <c r="L12" s="67"/>
      <c r="M12" s="69"/>
      <c r="N12" s="69"/>
      <c r="O12" s="70"/>
      <c r="P12" s="70"/>
      <c r="Q12" s="69"/>
      <c r="R12" s="61"/>
      <c r="S12" s="61"/>
      <c r="T12" s="61"/>
      <c r="U12" s="62"/>
      <c r="V12" s="62"/>
      <c r="W12" s="67"/>
      <c r="X12" s="67"/>
      <c r="Y12" s="67"/>
      <c r="Z12" s="69"/>
      <c r="AA12" s="67"/>
      <c r="AB12" s="69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9"/>
    </row>
    <row r="13" spans="1:43" ht="28.5" customHeight="1" x14ac:dyDescent="0.3">
      <c r="A13" s="624" t="s">
        <v>39</v>
      </c>
      <c r="B13" s="583"/>
      <c r="C13" s="71">
        <f t="shared" ref="C13:C88" ca="1" si="26">D13+G13</f>
        <v>2308600</v>
      </c>
      <c r="D13" s="72">
        <f t="shared" ref="D13:I13" ca="1" si="27">SUM(D14:D30)</f>
        <v>2308600</v>
      </c>
      <c r="E13" s="73">
        <f t="shared" ca="1" si="27"/>
        <v>1253000</v>
      </c>
      <c r="F13" s="73">
        <f t="shared" ca="1" si="27"/>
        <v>1055600</v>
      </c>
      <c r="G13" s="73">
        <f t="shared" ca="1" si="27"/>
        <v>0</v>
      </c>
      <c r="H13" s="73">
        <f t="shared" ca="1" si="27"/>
        <v>1752692</v>
      </c>
      <c r="I13" s="73">
        <f t="shared" ca="1" si="27"/>
        <v>0</v>
      </c>
      <c r="J13" s="73">
        <f t="shared" ref="J13:J88" ca="1" si="28">L13+O13</f>
        <v>900498.31</v>
      </c>
      <c r="K13" s="74">
        <f t="shared" ref="K13:K88" ca="1" si="29">IF(C13&gt;0,J13*100/C13,0)</f>
        <v>39.006250974616648</v>
      </c>
      <c r="L13" s="73">
        <f ca="1">SUM(L14:L30)</f>
        <v>900498.31</v>
      </c>
      <c r="M13" s="75">
        <f t="shared" ref="M13:M88" ca="1" si="30">IF(D13&gt;0,L13*100/D13,0)</f>
        <v>39.006250974616648</v>
      </c>
      <c r="N13" s="75">
        <f t="shared" ref="N13:N88" ca="1" si="31">IF(H13&gt;0,L13*100/H13,0)</f>
        <v>51.378012223482507</v>
      </c>
      <c r="O13" s="76">
        <f ca="1">SUM(O14:O30)</f>
        <v>0</v>
      </c>
      <c r="P13" s="76">
        <f t="shared" ref="P13:P88" ca="1" si="32">IF(G13&gt;0,O13*100/G13,0)</f>
        <v>0</v>
      </c>
      <c r="Q13" s="75">
        <f t="shared" ref="Q13:Q88" ca="1" si="33">IF(I13&gt;0,O13*100/I13,0)</f>
        <v>0</v>
      </c>
      <c r="R13" s="39">
        <f t="shared" ref="R13:T13" ca="1" si="34">SUM(R14:R30)</f>
        <v>9330453</v>
      </c>
      <c r="S13" s="39">
        <f t="shared" ca="1" si="34"/>
        <v>0</v>
      </c>
      <c r="T13" s="39">
        <f t="shared" ca="1" si="34"/>
        <v>0</v>
      </c>
      <c r="U13" s="40">
        <f t="shared" ref="U13:U106" ca="1" si="35">IF(R13&gt;0,T13*100/R13,0)</f>
        <v>0</v>
      </c>
      <c r="V13" s="40">
        <f t="shared" ref="V13:V106" ca="1" si="36">IF(S13&gt;0,T13*100/S13,0)</f>
        <v>0</v>
      </c>
      <c r="W13" s="73">
        <f t="shared" ref="W13:W88" ca="1" si="37">SUM(AC13+AG13+AK13)</f>
        <v>16</v>
      </c>
      <c r="X13" s="73">
        <f t="shared" ref="X13:X88" ca="1" si="38">+AD13+AH13+AL13</f>
        <v>807</v>
      </c>
      <c r="Y13" s="73">
        <f ca="1">SUM(Y14:Y30)</f>
        <v>1</v>
      </c>
      <c r="Z13" s="75">
        <f t="shared" ref="Z13:Z88" ca="1" si="39">IF(W13&gt;0,Y13*100/W13,0)</f>
        <v>6.25</v>
      </c>
      <c r="AA13" s="73">
        <f ca="1">SUM(AA14:AA30)</f>
        <v>30</v>
      </c>
      <c r="AB13" s="75">
        <f t="shared" ref="AB13:AB88" ca="1" si="40">IF(X13&gt;0,AA13*100/X13,0)</f>
        <v>3.7174721189591078</v>
      </c>
      <c r="AC13" s="73">
        <f t="shared" ref="AC13:AP13" ca="1" si="41">SUM(AC14:AC30)</f>
        <v>8</v>
      </c>
      <c r="AD13" s="73">
        <f t="shared" ca="1" si="41"/>
        <v>466</v>
      </c>
      <c r="AE13" s="73">
        <f t="shared" ca="1" si="41"/>
        <v>0</v>
      </c>
      <c r="AF13" s="73">
        <f t="shared" ca="1" si="41"/>
        <v>0</v>
      </c>
      <c r="AG13" s="73">
        <f t="shared" ca="1" si="41"/>
        <v>4</v>
      </c>
      <c r="AH13" s="73">
        <f t="shared" ca="1" si="41"/>
        <v>184</v>
      </c>
      <c r="AI13" s="73">
        <f t="shared" ca="1" si="41"/>
        <v>0</v>
      </c>
      <c r="AJ13" s="73">
        <f t="shared" ca="1" si="41"/>
        <v>0</v>
      </c>
      <c r="AK13" s="73">
        <f t="shared" ca="1" si="41"/>
        <v>4</v>
      </c>
      <c r="AL13" s="73">
        <f t="shared" ca="1" si="41"/>
        <v>157</v>
      </c>
      <c r="AM13" s="73">
        <f t="shared" ca="1" si="41"/>
        <v>1</v>
      </c>
      <c r="AN13" s="73">
        <f t="shared" ca="1" si="41"/>
        <v>30</v>
      </c>
      <c r="AO13" s="73">
        <f t="shared" ca="1" si="41"/>
        <v>16</v>
      </c>
      <c r="AP13" s="73">
        <f t="shared" ca="1" si="41"/>
        <v>2</v>
      </c>
      <c r="AQ13" s="75">
        <f t="shared" ref="AQ13:AQ88" ca="1" si="42">IF(AO13&gt;0,AP13*100/AO13,0)</f>
        <v>12.5</v>
      </c>
    </row>
    <row r="14" spans="1:43" ht="24" customHeight="1" x14ac:dyDescent="0.3">
      <c r="A14" s="77">
        <v>1</v>
      </c>
      <c r="B14" s="78" t="s">
        <v>40</v>
      </c>
      <c r="C14" s="79">
        <f t="shared" ca="1" si="26"/>
        <v>0</v>
      </c>
      <c r="D14" s="80">
        <f t="shared" ref="D14:D30" ca="1" si="43">+E14+F14</f>
        <v>0</v>
      </c>
      <c r="E14" s="81">
        <f ca="1">IFERROR(__xludf.DUMMYFUNCTION("IMPORTRANGE(""https://docs.google.com/spreadsheets/d/1-uDff_7J0KD5mKrp0Vvzr7lt3OU09vwQwhkpOPPYv2Y/edit?usp=sharing"",""งบพรบ!AN14"")"),0)</f>
        <v>0</v>
      </c>
      <c r="F14" s="81">
        <f ca="1">IFERROR(__xludf.DUMMYFUNCTION("IMPORTRANGE(""https://docs.google.com/spreadsheets/d/1-uDff_7J0KD5mKrp0Vvzr7lt3OU09vwQwhkpOPPYv2Y/edit?usp=sharing"",""งบพรบ!AO14"")"),0)</f>
        <v>0</v>
      </c>
      <c r="G14" s="82">
        <f ca="1">IFERROR(__xludf.DUMMYFUNCTION("IMPORTRANGE(""https://docs.google.com/spreadsheets/d/1-uDff_7J0KD5mKrp0Vvzr7lt3OU09vwQwhkpOPPYv2Y/edit?usp=sharing"",""งบพรบ!AP14"")"),0)</f>
        <v>0</v>
      </c>
      <c r="H14" s="82">
        <f ca="1">IFERROR(__xludf.DUMMYFUNCTION("IMPORTRANGE(""https://docs.google.com/spreadsheets/d/1-uDff_7J0KD5mKrp0Vvzr7lt3OU09vwQwhkpOPPYv2Y/edit?usp=sharing"",""งบพรบ!AR14"")"),0)</f>
        <v>0</v>
      </c>
      <c r="I14" s="82">
        <f ca="1">IFERROR(__xludf.DUMMYFUNCTION("IMPORTRANGE(""https://docs.google.com/spreadsheets/d/1-uDff_7J0KD5mKrp0Vvzr7lt3OU09vwQwhkpOPPYv2Y/edit?usp=sharing"",""งบพรบ!AS14"")"),0)</f>
        <v>0</v>
      </c>
      <c r="J14" s="82">
        <f t="shared" ca="1" si="28"/>
        <v>0</v>
      </c>
      <c r="K14" s="83">
        <f t="shared" ca="1" si="29"/>
        <v>0</v>
      </c>
      <c r="L14" s="82">
        <f ca="1">IFERROR(__xludf.DUMMYFUNCTION("IMPORTRANGE(""https://docs.google.com/spreadsheets/d/1-uDff_7J0KD5mKrp0Vvzr7lt3OU09vwQwhkpOPPYv2Y/edit?usp=sharing"",""งบพรบ!AT14"")"),0)</f>
        <v>0</v>
      </c>
      <c r="M14" s="84">
        <f t="shared" ca="1" si="30"/>
        <v>0</v>
      </c>
      <c r="N14" s="84">
        <f t="shared" ca="1" si="31"/>
        <v>0</v>
      </c>
      <c r="O14" s="85">
        <f ca="1">IFERROR(__xludf.DUMMYFUNCTION("IMPORTRANGE(""https://docs.google.com/spreadsheets/d/1-uDff_7J0KD5mKrp0Vvzr7lt3OU09vwQwhkpOPPYv2Y/edit?usp=sharing"",""งบพรบ!AU14"")"),0)</f>
        <v>0</v>
      </c>
      <c r="P14" s="85">
        <f t="shared" ca="1" si="32"/>
        <v>0</v>
      </c>
      <c r="Q14" s="84">
        <f t="shared" ca="1" si="33"/>
        <v>0</v>
      </c>
      <c r="R14" s="86">
        <f ca="1">IFERROR(__xludf.DUMMYFUNCTION("IMPORTRANGE(""https://docs.google.com/spreadsheets/d/1jTcq05yEiRwXcBMLjiodW9e4biSGYWAHcDj22rKWQ3s/edit?usp=sharing"",""กำแพงเพชร!Q72"")"),0)</f>
        <v>0</v>
      </c>
      <c r="S14" s="86">
        <f ca="1">IFERROR(__xludf.DUMMYFUNCTION("IMPORTRANGE(""https://docs.google.com/spreadsheets/d/1jTcq05yEiRwXcBMLjiodW9e4biSGYWAHcDj22rKWQ3s/edit?usp=sharing"",""กำแพงเพชร!R72"")"),0)</f>
        <v>0</v>
      </c>
      <c r="T14" s="86">
        <f ca="1">IFERROR(__xludf.DUMMYFUNCTION("IMPORTRANGE(""https://docs.google.com/spreadsheets/d/1jTcq05yEiRwXcBMLjiodW9e4biSGYWAHcDj22rKWQ3s/edit?usp=sharing"",""กำแพงเพชร!S72"")"),0)</f>
        <v>0</v>
      </c>
      <c r="U14" s="87">
        <f t="shared" ca="1" si="35"/>
        <v>0</v>
      </c>
      <c r="V14" s="87">
        <f t="shared" ca="1" si="36"/>
        <v>0</v>
      </c>
      <c r="W14" s="82">
        <f t="shared" ca="1" si="37"/>
        <v>0</v>
      </c>
      <c r="X14" s="82">
        <f t="shared" ca="1" si="38"/>
        <v>0</v>
      </c>
      <c r="Y14" s="82">
        <f t="shared" ref="Y14:Y30" ca="1" si="44">AE14+AI14+AM14</f>
        <v>0</v>
      </c>
      <c r="Z14" s="88">
        <f t="shared" ca="1" si="39"/>
        <v>0</v>
      </c>
      <c r="AA14" s="82">
        <f t="shared" ref="AA14:AA30" ca="1" si="45">AF14+AJ14+AN14</f>
        <v>0</v>
      </c>
      <c r="AB14" s="88">
        <f t="shared" ca="1" si="40"/>
        <v>0</v>
      </c>
      <c r="AC14" s="81">
        <f ca="1">IFERROR(__xludf.DUMMYFUNCTION("IMPORTRANGE(""https://docs.google.com/spreadsheets/d/1jTcq05yEiRwXcBMLjiodW9e4biSGYWAHcDj22rKWQ3s/edit?usp=sharing"",""กำแพงเพชร!I84"")"),0)</f>
        <v>0</v>
      </c>
      <c r="AD14" s="81">
        <f ca="1">IFERROR(__xludf.DUMMYFUNCTION("IMPORTRANGE(""https://docs.google.com/spreadsheets/d/1jTcq05yEiRwXcBMLjiodW9e4biSGYWAHcDj22rKWQ3s/edit?usp=sharing"",""กำแพงเพชร!I85"")"),0)</f>
        <v>0</v>
      </c>
      <c r="AE14" s="82">
        <f ca="1">IFERROR(__xludf.DUMMYFUNCTION("IMPORTRANGE(""https://docs.google.com/spreadsheets/d/1jTcq05yEiRwXcBMLjiodW9e4biSGYWAHcDj22rKWQ3s/edit?usp=sharing"",""กำแพงเพชร!J84"")"),0)</f>
        <v>0</v>
      </c>
      <c r="AF14" s="82">
        <f ca="1">IFERROR(__xludf.DUMMYFUNCTION("IMPORTRANGE(""https://docs.google.com/spreadsheets/d/1jTcq05yEiRwXcBMLjiodW9e4biSGYWAHcDj22rKWQ3s/edit?usp=sharing"",""กำแพงเพชร!J85"")"),0)</f>
        <v>0</v>
      </c>
      <c r="AG14" s="81">
        <f ca="1">IFERROR(__xludf.DUMMYFUNCTION("IMPORTRANGE(""https://docs.google.com/spreadsheets/d/1jTcq05yEiRwXcBMLjiodW9e4biSGYWAHcDj22rKWQ3s/edit?usp=sharing"",""กำแพงเพชร!I86"")"),0)</f>
        <v>0</v>
      </c>
      <c r="AH14" s="81">
        <f ca="1">IFERROR(__xludf.DUMMYFUNCTION("IMPORTRANGE(""https://docs.google.com/spreadsheets/d/1jTcq05yEiRwXcBMLjiodW9e4biSGYWAHcDj22rKWQ3s/edit?usp=sharing"",""กำแพงเพชร!I87"")"),0)</f>
        <v>0</v>
      </c>
      <c r="AI14" s="82">
        <f ca="1">IFERROR(__xludf.DUMMYFUNCTION("IMPORTRANGE(""https://docs.google.com/spreadsheets/d/1jTcq05yEiRwXcBMLjiodW9e4biSGYWAHcDj22rKWQ3s/edit?usp=sharing"",""กำแพงเพชร!J86"")"),0)</f>
        <v>0</v>
      </c>
      <c r="AJ14" s="82">
        <f ca="1">IFERROR(__xludf.DUMMYFUNCTION("IMPORTRANGE(""https://docs.google.com/spreadsheets/d/1jTcq05yEiRwXcBMLjiodW9e4biSGYWAHcDj22rKWQ3s/edit?usp=sharing"",""กำแพงเพชร!J87"")"),0)</f>
        <v>0</v>
      </c>
      <c r="AK14" s="81">
        <f ca="1">IFERROR(__xludf.DUMMYFUNCTION("IMPORTRANGE(""https://docs.google.com/spreadsheets/d/1jTcq05yEiRwXcBMLjiodW9e4biSGYWAHcDj22rKWQ3s/edit?usp=sharing"",""กำแพงเพชร!I88"")"),0)</f>
        <v>0</v>
      </c>
      <c r="AL14" s="81">
        <f ca="1">IFERROR(__xludf.DUMMYFUNCTION("IMPORTRANGE(""https://docs.google.com/spreadsheets/d/1jTcq05yEiRwXcBMLjiodW9e4biSGYWAHcDj22rKWQ3s/edit?usp=sharing"",""กำแพงเพชร!I89"")"),0)</f>
        <v>0</v>
      </c>
      <c r="AM14" s="82">
        <f ca="1">IFERROR(__xludf.DUMMYFUNCTION("IMPORTRANGE(""https://docs.google.com/spreadsheets/d/1jTcq05yEiRwXcBMLjiodW9e4biSGYWAHcDj22rKWQ3s/edit?usp=sharing"",""กำแพงเพชร!J88"")"),0)</f>
        <v>0</v>
      </c>
      <c r="AN14" s="82">
        <f ca="1">IFERROR(__xludf.DUMMYFUNCTION("IMPORTRANGE(""https://docs.google.com/spreadsheets/d/1jTcq05yEiRwXcBMLjiodW9e4biSGYWAHcDj22rKWQ3s/edit?usp=sharing"",""กำแพงเพชร!J89"")"),0)</f>
        <v>0</v>
      </c>
      <c r="AO14" s="81">
        <f ca="1">IFERROR(__xludf.DUMMYFUNCTION("IMPORTRANGE(""https://docs.google.com/spreadsheets/d/1jTcq05yEiRwXcBMLjiodW9e4biSGYWAHcDj22rKWQ3s/edit?usp=sharing"",""กำแพงเพชร!I90"")"),0)</f>
        <v>0</v>
      </c>
      <c r="AP14" s="82">
        <f ca="1">IFERROR(__xludf.DUMMYFUNCTION("IMPORTRANGE(""https://docs.google.com/spreadsheets/d/1jTcq05yEiRwXcBMLjiodW9e4biSGYWAHcDj22rKWQ3s/edit?usp=sharing"",""กำแพงเพชร!J90"")"),0)</f>
        <v>0</v>
      </c>
      <c r="AQ14" s="84">
        <f t="shared" ca="1" si="42"/>
        <v>0</v>
      </c>
    </row>
    <row r="15" spans="1:43" ht="24" customHeight="1" x14ac:dyDescent="0.3">
      <c r="A15" s="89">
        <v>2</v>
      </c>
      <c r="B15" s="90" t="s">
        <v>41</v>
      </c>
      <c r="C15" s="91">
        <f t="shared" ca="1" si="26"/>
        <v>791300</v>
      </c>
      <c r="D15" s="92">
        <f t="shared" ca="1" si="43"/>
        <v>791300</v>
      </c>
      <c r="E15" s="93">
        <f ca="1">IFERROR(__xludf.DUMMYFUNCTION("IMPORTRANGE(""https://docs.google.com/spreadsheets/d/1-uDff_7J0KD5mKrp0Vvzr7lt3OU09vwQwhkpOPPYv2Y/edit?usp=sharing"",""งบพรบ!AN15"")"),469300)</f>
        <v>469300</v>
      </c>
      <c r="F15" s="93">
        <f ca="1">IFERROR(__xludf.DUMMYFUNCTION("IMPORTRANGE(""https://docs.google.com/spreadsheets/d/1-uDff_7J0KD5mKrp0Vvzr7lt3OU09vwQwhkpOPPYv2Y/edit?usp=sharing"",""งบพรบ!AO15"")"),322000)</f>
        <v>322000</v>
      </c>
      <c r="G15" s="93">
        <f ca="1">IFERROR(__xludf.DUMMYFUNCTION("IMPORTRANGE(""https://docs.google.com/spreadsheets/d/1-uDff_7J0KD5mKrp0Vvzr7lt3OU09vwQwhkpOPPYv2Y/edit?usp=sharing"",""งบพรบ!AP15"")"),0)</f>
        <v>0</v>
      </c>
      <c r="H15" s="93">
        <f ca="1">IFERROR(__xludf.DUMMYFUNCTION("IMPORTRANGE(""https://docs.google.com/spreadsheets/d/1-uDff_7J0KD5mKrp0Vvzr7lt3OU09vwQwhkpOPPYv2Y/edit?usp=sharing"",""งบพรบ!AR15"")"),581740)</f>
        <v>581740</v>
      </c>
      <c r="I15" s="93">
        <f ca="1">IFERROR(__xludf.DUMMYFUNCTION("IMPORTRANGE(""https://docs.google.com/spreadsheets/d/1-uDff_7J0KD5mKrp0Vvzr7lt3OU09vwQwhkpOPPYv2Y/edit?usp=sharing"",""งบพรบ!AS15"")"),0)</f>
        <v>0</v>
      </c>
      <c r="J15" s="93">
        <f t="shared" ca="1" si="28"/>
        <v>327042.28999999998</v>
      </c>
      <c r="K15" s="94">
        <f t="shared" ca="1" si="29"/>
        <v>41.329747251358519</v>
      </c>
      <c r="L15" s="93">
        <f ca="1">IFERROR(__xludf.DUMMYFUNCTION("IMPORTRANGE(""https://docs.google.com/spreadsheets/d/1-uDff_7J0KD5mKrp0Vvzr7lt3OU09vwQwhkpOPPYv2Y/edit?usp=sharing"",""งบพรบ!AT15"")"),327042.29)</f>
        <v>327042.28999999998</v>
      </c>
      <c r="M15" s="95">
        <f t="shared" ca="1" si="30"/>
        <v>41.329747251358519</v>
      </c>
      <c r="N15" s="95">
        <f t="shared" ca="1" si="31"/>
        <v>56.217947880496432</v>
      </c>
      <c r="O15" s="96">
        <f ca="1">IFERROR(__xludf.DUMMYFUNCTION("IMPORTRANGE(""https://docs.google.com/spreadsheets/d/1-uDff_7J0KD5mKrp0Vvzr7lt3OU09vwQwhkpOPPYv2Y/edit?usp=sharing"",""งบพรบ!AU15"")"),0)</f>
        <v>0</v>
      </c>
      <c r="P15" s="96">
        <f t="shared" ca="1" si="32"/>
        <v>0</v>
      </c>
      <c r="Q15" s="95">
        <f t="shared" ca="1" si="33"/>
        <v>0</v>
      </c>
      <c r="R15" s="86">
        <f ca="1">IFERROR(__xludf.DUMMYFUNCTION("IMPORTRANGE(""https://docs.google.com/spreadsheets/d/1KS0zmDSZPk8KnTAbGN-Xk6MtX1YRZD0ldgdt20K4CRk/edit?usp=sharing"",""เชียงราย!Q72"")"),800860)</f>
        <v>800860</v>
      </c>
      <c r="S15" s="86">
        <f ca="1">IFERROR(__xludf.DUMMYFUNCTION("IMPORTRANGE(""https://docs.google.com/spreadsheets/d/1KS0zmDSZPk8KnTAbGN-Xk6MtX1YRZD0ldgdt20K4CRk/edit?usp=sharing"",""เชียงราย!R72"")"),0)</f>
        <v>0</v>
      </c>
      <c r="T15" s="86">
        <f ca="1">IFERROR(__xludf.DUMMYFUNCTION("IMPORTRANGE(""https://docs.google.com/spreadsheets/d/1KS0zmDSZPk8KnTAbGN-Xk6MtX1YRZD0ldgdt20K4CRk/edit?usp=sharing"",""เชียงราย!S72"")"),0)</f>
        <v>0</v>
      </c>
      <c r="U15" s="87">
        <f t="shared" ca="1" si="35"/>
        <v>0</v>
      </c>
      <c r="V15" s="87">
        <f t="shared" ca="1" si="36"/>
        <v>0</v>
      </c>
      <c r="W15" s="97">
        <f t="shared" ca="1" si="37"/>
        <v>1</v>
      </c>
      <c r="X15" s="97">
        <f t="shared" ca="1" si="38"/>
        <v>60</v>
      </c>
      <c r="Y15" s="97">
        <f t="shared" ca="1" si="44"/>
        <v>0</v>
      </c>
      <c r="Z15" s="98">
        <f t="shared" ca="1" si="39"/>
        <v>0</v>
      </c>
      <c r="AA15" s="97">
        <f t="shared" ca="1" si="45"/>
        <v>0</v>
      </c>
      <c r="AB15" s="98">
        <f t="shared" ca="1" si="40"/>
        <v>0</v>
      </c>
      <c r="AC15" s="99">
        <f ca="1">IFERROR(__xludf.DUMMYFUNCTION("IMPORTRANGE(""https://docs.google.com/spreadsheets/d/1KS0zmDSZPk8KnTAbGN-Xk6MtX1YRZD0ldgdt20K4CRk/edit?usp=sharing"",""เชียงราย!I84"")"),0)</f>
        <v>0</v>
      </c>
      <c r="AD15" s="99">
        <f ca="1">IFERROR(__xludf.DUMMYFUNCTION("IMPORTRANGE(""https://docs.google.com/spreadsheets/d/1KS0zmDSZPk8KnTAbGN-Xk6MtX1YRZD0ldgdt20K4CRk/edit?usp=sharing"",""เชียงราย!I85"")"),0)</f>
        <v>0</v>
      </c>
      <c r="AE15" s="97">
        <f ca="1">IFERROR(__xludf.DUMMYFUNCTION("IMPORTRANGE(""https://docs.google.com/spreadsheets/d/1KS0zmDSZPk8KnTAbGN-Xk6MtX1YRZD0ldgdt20K4CRk/edit?usp=sharing"",""เชียงราย!J84"")"),0)</f>
        <v>0</v>
      </c>
      <c r="AF15" s="97">
        <f ca="1">IFERROR(__xludf.DUMMYFUNCTION("IMPORTRANGE(""https://docs.google.com/spreadsheets/d/1KS0zmDSZPk8KnTAbGN-Xk6MtX1YRZD0ldgdt20K4CRk/edit?usp=sharing"",""เชียงราย!J85"")"),0)</f>
        <v>0</v>
      </c>
      <c r="AG15" s="99">
        <f ca="1">IFERROR(__xludf.DUMMYFUNCTION("IMPORTRANGE(""https://docs.google.com/spreadsheets/d/1KS0zmDSZPk8KnTAbGN-Xk6MtX1YRZD0ldgdt20K4CRk/edit?usp=sharing"",""เชียงราย!I86"")"),0)</f>
        <v>0</v>
      </c>
      <c r="AH15" s="99">
        <f ca="1">IFERROR(__xludf.DUMMYFUNCTION("IMPORTRANGE(""https://docs.google.com/spreadsheets/d/1KS0zmDSZPk8KnTAbGN-Xk6MtX1YRZD0ldgdt20K4CRk/edit?usp=sharing"",""เชียงราย!I87"")"),0)</f>
        <v>0</v>
      </c>
      <c r="AI15" s="97">
        <f ca="1">IFERROR(__xludf.DUMMYFUNCTION("IMPORTRANGE(""https://docs.google.com/spreadsheets/d/1KS0zmDSZPk8KnTAbGN-Xk6MtX1YRZD0ldgdt20K4CRk/edit?usp=sharing"",""เชียงราย!J86"")"),0)</f>
        <v>0</v>
      </c>
      <c r="AJ15" s="97">
        <f ca="1">IFERROR(__xludf.DUMMYFUNCTION("IMPORTRANGE(""https://docs.google.com/spreadsheets/d/1KS0zmDSZPk8KnTAbGN-Xk6MtX1YRZD0ldgdt20K4CRk/edit?usp=sharing"",""เชียงราย!J87"")"),0)</f>
        <v>0</v>
      </c>
      <c r="AK15" s="99">
        <f ca="1">IFERROR(__xludf.DUMMYFUNCTION("IMPORTRANGE(""https://docs.google.com/spreadsheets/d/1KS0zmDSZPk8KnTAbGN-Xk6MtX1YRZD0ldgdt20K4CRk/edit?usp=sharing"",""เชียงราย!I88"")"),1)</f>
        <v>1</v>
      </c>
      <c r="AL15" s="99">
        <f ca="1">IFERROR(__xludf.DUMMYFUNCTION("IMPORTRANGE(""https://docs.google.com/spreadsheets/d/1KS0zmDSZPk8KnTAbGN-Xk6MtX1YRZD0ldgdt20K4CRk/edit?usp=sharing"",""เชียงราย!I89"")"),60)</f>
        <v>60</v>
      </c>
      <c r="AM15" s="97">
        <f ca="1">IFERROR(__xludf.DUMMYFUNCTION("IMPORTRANGE(""https://docs.google.com/spreadsheets/d/1KS0zmDSZPk8KnTAbGN-Xk6MtX1YRZD0ldgdt20K4CRk/edit?usp=sharing"",""เชียงราย!J88"")"),0)</f>
        <v>0</v>
      </c>
      <c r="AN15" s="97">
        <f ca="1">IFERROR(__xludf.DUMMYFUNCTION("IMPORTRANGE(""https://docs.google.com/spreadsheets/d/1KS0zmDSZPk8KnTAbGN-Xk6MtX1YRZD0ldgdt20K4CRk/edit?usp=sharing"",""เชียงราย!J89"")"),0)</f>
        <v>0</v>
      </c>
      <c r="AO15" s="99">
        <f ca="1">IFERROR(__xludf.DUMMYFUNCTION("IMPORTRANGE(""https://docs.google.com/spreadsheets/d/1KS0zmDSZPk8KnTAbGN-Xk6MtX1YRZD0ldgdt20K4CRk/edit?usp=sharing"",""เชียงราย!I90"")"),1)</f>
        <v>1</v>
      </c>
      <c r="AP15" s="97">
        <f ca="1">IFERROR(__xludf.DUMMYFUNCTION("IMPORTRANGE(""https://docs.google.com/spreadsheets/d/1KS0zmDSZPk8KnTAbGN-Xk6MtX1YRZD0ldgdt20K4CRk/edit?usp=sharing"",""เชียงราย!J90"")"),1)</f>
        <v>1</v>
      </c>
      <c r="AQ15" s="98">
        <f t="shared" ca="1" si="42"/>
        <v>100</v>
      </c>
    </row>
    <row r="16" spans="1:43" ht="24" customHeight="1" x14ac:dyDescent="0.3">
      <c r="A16" s="89">
        <v>3</v>
      </c>
      <c r="B16" s="90" t="s">
        <v>42</v>
      </c>
      <c r="C16" s="91">
        <f t="shared" ca="1" si="26"/>
        <v>0</v>
      </c>
      <c r="D16" s="92">
        <f t="shared" ca="1" si="43"/>
        <v>0</v>
      </c>
      <c r="E16" s="93">
        <f ca="1">IFERROR(__xludf.DUMMYFUNCTION("IMPORTRANGE(""https://docs.google.com/spreadsheets/d/1-uDff_7J0KD5mKrp0Vvzr7lt3OU09vwQwhkpOPPYv2Y/edit?usp=sharing"",""งบพรบ!AN16"")"),0)</f>
        <v>0</v>
      </c>
      <c r="F16" s="93">
        <f ca="1">IFERROR(__xludf.DUMMYFUNCTION("IMPORTRANGE(""https://docs.google.com/spreadsheets/d/1-uDff_7J0KD5mKrp0Vvzr7lt3OU09vwQwhkpOPPYv2Y/edit?usp=sharing"",""งบพรบ!AO16"")"),0)</f>
        <v>0</v>
      </c>
      <c r="G16" s="93">
        <f ca="1">IFERROR(__xludf.DUMMYFUNCTION("IMPORTRANGE(""https://docs.google.com/spreadsheets/d/1-uDff_7J0KD5mKrp0Vvzr7lt3OU09vwQwhkpOPPYv2Y/edit?usp=sharing"",""งบพรบ!AP16"")"),0)</f>
        <v>0</v>
      </c>
      <c r="H16" s="93">
        <f ca="1">IFERROR(__xludf.DUMMYFUNCTION("IMPORTRANGE(""https://docs.google.com/spreadsheets/d/1-uDff_7J0KD5mKrp0Vvzr7lt3OU09vwQwhkpOPPYv2Y/edit?usp=sharing"",""งบพรบ!AR16"")"),80000)</f>
        <v>80000</v>
      </c>
      <c r="I16" s="93">
        <f ca="1">IFERROR(__xludf.DUMMYFUNCTION("IMPORTRANGE(""https://docs.google.com/spreadsheets/d/1-uDff_7J0KD5mKrp0Vvzr7lt3OU09vwQwhkpOPPYv2Y/edit?usp=sharing"",""งบพรบ!AS16"")"),0)</f>
        <v>0</v>
      </c>
      <c r="J16" s="93">
        <f t="shared" ca="1" si="28"/>
        <v>69803.95</v>
      </c>
      <c r="K16" s="94">
        <f t="shared" ca="1" si="29"/>
        <v>0</v>
      </c>
      <c r="L16" s="93">
        <f ca="1">IFERROR(__xludf.DUMMYFUNCTION("IMPORTRANGE(""https://docs.google.com/spreadsheets/d/1-uDff_7J0KD5mKrp0Vvzr7lt3OU09vwQwhkpOPPYv2Y/edit?usp=sharing"",""งบพรบ!AT16"")"),69803.95)</f>
        <v>69803.95</v>
      </c>
      <c r="M16" s="95">
        <f t="shared" ca="1" si="30"/>
        <v>0</v>
      </c>
      <c r="N16" s="95">
        <f t="shared" ca="1" si="31"/>
        <v>87.254937499999997</v>
      </c>
      <c r="O16" s="96">
        <f ca="1">IFERROR(__xludf.DUMMYFUNCTION("IMPORTRANGE(""https://docs.google.com/spreadsheets/d/1-uDff_7J0KD5mKrp0Vvzr7lt3OU09vwQwhkpOPPYv2Y/edit?usp=sharing"",""งบพรบ!AU16"")"),0)</f>
        <v>0</v>
      </c>
      <c r="P16" s="96">
        <f t="shared" ca="1" si="32"/>
        <v>0</v>
      </c>
      <c r="Q16" s="95">
        <f t="shared" ca="1" si="33"/>
        <v>0</v>
      </c>
      <c r="R16" s="86">
        <f ca="1">IFERROR(__xludf.DUMMYFUNCTION("IMPORTRANGE(""https://docs.google.com/spreadsheets/d/1rEDxBtusbi64tE0zunoIbsTVV16HeL0oJ6trHQeQ7K8/edit?usp=sharing"",""เชียงใหม่!Q72"")"),0)</f>
        <v>0</v>
      </c>
      <c r="S16" s="86">
        <f ca="1">IFERROR(__xludf.DUMMYFUNCTION("IMPORTRANGE(""https://docs.google.com/spreadsheets/d/1rEDxBtusbi64tE0zunoIbsTVV16HeL0oJ6trHQeQ7K8/edit?usp=sharing"",""เชียงใหม่!R72"")"),0)</f>
        <v>0</v>
      </c>
      <c r="T16" s="86">
        <f ca="1">IFERROR(__xludf.DUMMYFUNCTION("IMPORTRANGE(""https://docs.google.com/spreadsheets/d/1rEDxBtusbi64tE0zunoIbsTVV16HeL0oJ6trHQeQ7K8/edit?usp=sharing"",""เชียงใหม่!S72"")"),0)</f>
        <v>0</v>
      </c>
      <c r="U16" s="87">
        <f t="shared" ca="1" si="35"/>
        <v>0</v>
      </c>
      <c r="V16" s="87">
        <f t="shared" ca="1" si="36"/>
        <v>0</v>
      </c>
      <c r="W16" s="97">
        <f t="shared" ca="1" si="37"/>
        <v>0</v>
      </c>
      <c r="X16" s="97">
        <f t="shared" ca="1" si="38"/>
        <v>0</v>
      </c>
      <c r="Y16" s="97">
        <f t="shared" ca="1" si="44"/>
        <v>0</v>
      </c>
      <c r="Z16" s="98">
        <f t="shared" ca="1" si="39"/>
        <v>0</v>
      </c>
      <c r="AA16" s="97">
        <f t="shared" ca="1" si="45"/>
        <v>0</v>
      </c>
      <c r="AB16" s="98">
        <f t="shared" ca="1" si="40"/>
        <v>0</v>
      </c>
      <c r="AC16" s="93">
        <f ca="1">IFERROR(__xludf.DUMMYFUNCTION("IMPORTRANGE(""https://docs.google.com/spreadsheets/d/1rEDxBtusbi64tE0zunoIbsTVV16HeL0oJ6trHQeQ7K8/edit?usp=sharing"",""เชียงใหม่!I84"")"),0)</f>
        <v>0</v>
      </c>
      <c r="AD16" s="93">
        <f ca="1">IFERROR(__xludf.DUMMYFUNCTION("IMPORTRANGE(""https://docs.google.com/spreadsheets/d/1rEDxBtusbi64tE0zunoIbsTVV16HeL0oJ6trHQeQ7K8/edit?usp=sharing"",""เชียงใหม่!I85"")"),0)</f>
        <v>0</v>
      </c>
      <c r="AE16" s="97">
        <f ca="1">IFERROR(__xludf.DUMMYFUNCTION("IMPORTRANGE(""https://docs.google.com/spreadsheets/d/1rEDxBtusbi64tE0zunoIbsTVV16HeL0oJ6trHQeQ7K8/edit?usp=sharing"",""เชียงใหม่!J84"")"),0)</f>
        <v>0</v>
      </c>
      <c r="AF16" s="97">
        <f ca="1">IFERROR(__xludf.DUMMYFUNCTION("IMPORTRANGE(""https://docs.google.com/spreadsheets/d/1rEDxBtusbi64tE0zunoIbsTVV16HeL0oJ6trHQeQ7K8/edit?usp=sharing"",""เชียงใหม่!J85"")"),0)</f>
        <v>0</v>
      </c>
      <c r="AG16" s="93">
        <f ca="1">IFERROR(__xludf.DUMMYFUNCTION("IMPORTRANGE(""https://docs.google.com/spreadsheets/d/1rEDxBtusbi64tE0zunoIbsTVV16HeL0oJ6trHQeQ7K8/edit?usp=sharing"",""เชียงใหม่!I86"")"),0)</f>
        <v>0</v>
      </c>
      <c r="AH16" s="93">
        <f ca="1">IFERROR(__xludf.DUMMYFUNCTION("IMPORTRANGE(""https://docs.google.com/spreadsheets/d/1rEDxBtusbi64tE0zunoIbsTVV16HeL0oJ6trHQeQ7K8/edit?usp=sharing"",""เชียงใหม่!I87"")"),0)</f>
        <v>0</v>
      </c>
      <c r="AI16" s="97">
        <f ca="1">IFERROR(__xludf.DUMMYFUNCTION("IMPORTRANGE(""https://docs.google.com/spreadsheets/d/1rEDxBtusbi64tE0zunoIbsTVV16HeL0oJ6trHQeQ7K8/edit?usp=sharing"",""เชียงใหม่!J86"")"),0)</f>
        <v>0</v>
      </c>
      <c r="AJ16" s="97">
        <f ca="1">IFERROR(__xludf.DUMMYFUNCTION("IMPORTRANGE(""https://docs.google.com/spreadsheets/d/1rEDxBtusbi64tE0zunoIbsTVV16HeL0oJ6trHQeQ7K8/edit?usp=sharing"",""เชียงใหม่!J87"")"),0)</f>
        <v>0</v>
      </c>
      <c r="AK16" s="93">
        <f ca="1">IFERROR(__xludf.DUMMYFUNCTION("IMPORTRANGE(""https://docs.google.com/spreadsheets/d/1rEDxBtusbi64tE0zunoIbsTVV16HeL0oJ6trHQeQ7K8/edit?usp=sharing"",""เชียงใหม่!I88"")"),0)</f>
        <v>0</v>
      </c>
      <c r="AL16" s="93">
        <f ca="1">IFERROR(__xludf.DUMMYFUNCTION("IMPORTRANGE(""https://docs.google.com/spreadsheets/d/1rEDxBtusbi64tE0zunoIbsTVV16HeL0oJ6trHQeQ7K8/edit?usp=sharing"",""เชียงใหม่!I89"")"),0)</f>
        <v>0</v>
      </c>
      <c r="AM16" s="97">
        <f ca="1">IFERROR(__xludf.DUMMYFUNCTION("IMPORTRANGE(""https://docs.google.com/spreadsheets/d/1rEDxBtusbi64tE0zunoIbsTVV16HeL0oJ6trHQeQ7K8/edit?usp=sharing"",""เชียงใหม่!J88"")"),0)</f>
        <v>0</v>
      </c>
      <c r="AN16" s="97">
        <f ca="1">IFERROR(__xludf.DUMMYFUNCTION("IMPORTRANGE(""https://docs.google.com/spreadsheets/d/1rEDxBtusbi64tE0zunoIbsTVV16HeL0oJ6trHQeQ7K8/edit?usp=sharing"",""เชียงใหม่!J89"")"),0)</f>
        <v>0</v>
      </c>
      <c r="AO16" s="93">
        <f ca="1">IFERROR(__xludf.DUMMYFUNCTION("IMPORTRANGE(""https://docs.google.com/spreadsheets/d/1rEDxBtusbi64tE0zunoIbsTVV16HeL0oJ6trHQeQ7K8/edit?usp=sharing"",""เชียงใหม่!I90"")"),0)</f>
        <v>0</v>
      </c>
      <c r="AP16" s="97">
        <f ca="1">IFERROR(__xludf.DUMMYFUNCTION("IMPORTRANGE(""https://docs.google.com/spreadsheets/d/1rEDxBtusbi64tE0zunoIbsTVV16HeL0oJ6trHQeQ7K8/edit?usp=sharing"",""เชียงใหม่!J90"")"),0)</f>
        <v>0</v>
      </c>
      <c r="AQ16" s="95">
        <f t="shared" ca="1" si="42"/>
        <v>0</v>
      </c>
    </row>
    <row r="17" spans="1:43" ht="24" customHeight="1" x14ac:dyDescent="0.3">
      <c r="A17" s="89">
        <v>4</v>
      </c>
      <c r="B17" s="90" t="s">
        <v>43</v>
      </c>
      <c r="C17" s="91">
        <f t="shared" ca="1" si="26"/>
        <v>0</v>
      </c>
      <c r="D17" s="92">
        <f t="shared" ca="1" si="43"/>
        <v>0</v>
      </c>
      <c r="E17" s="93">
        <f ca="1">IFERROR(__xludf.DUMMYFUNCTION("IMPORTRANGE(""https://docs.google.com/spreadsheets/d/1-uDff_7J0KD5mKrp0Vvzr7lt3OU09vwQwhkpOPPYv2Y/edit?usp=sharing"",""งบพรบ!AN17"")"),0)</f>
        <v>0</v>
      </c>
      <c r="F17" s="93">
        <f ca="1">IFERROR(__xludf.DUMMYFUNCTION("IMPORTRANGE(""https://docs.google.com/spreadsheets/d/1-uDff_7J0KD5mKrp0Vvzr7lt3OU09vwQwhkpOPPYv2Y/edit?usp=sharing"",""งบพรบ!AO17"")"),0)</f>
        <v>0</v>
      </c>
      <c r="G17" s="93">
        <f ca="1">IFERROR(__xludf.DUMMYFUNCTION("IMPORTRANGE(""https://docs.google.com/spreadsheets/d/1-uDff_7J0KD5mKrp0Vvzr7lt3OU09vwQwhkpOPPYv2Y/edit?usp=sharing"",""งบพรบ!AP17"")"),0)</f>
        <v>0</v>
      </c>
      <c r="H17" s="93">
        <f ca="1">IFERROR(__xludf.DUMMYFUNCTION("IMPORTRANGE(""https://docs.google.com/spreadsheets/d/1-uDff_7J0KD5mKrp0Vvzr7lt3OU09vwQwhkpOPPYv2Y/edit?usp=sharing"",""งบพรบ!AR17"")"),0)</f>
        <v>0</v>
      </c>
      <c r="I17" s="93">
        <f ca="1">IFERROR(__xludf.DUMMYFUNCTION("IMPORTRANGE(""https://docs.google.com/spreadsheets/d/1-uDff_7J0KD5mKrp0Vvzr7lt3OU09vwQwhkpOPPYv2Y/edit?usp=sharing"",""งบพรบ!AS17"")"),0)</f>
        <v>0</v>
      </c>
      <c r="J17" s="93">
        <f t="shared" ca="1" si="28"/>
        <v>0</v>
      </c>
      <c r="K17" s="94">
        <f t="shared" ca="1" si="29"/>
        <v>0</v>
      </c>
      <c r="L17" s="93">
        <f ca="1">IFERROR(__xludf.DUMMYFUNCTION("IMPORTRANGE(""https://docs.google.com/spreadsheets/d/1-uDff_7J0KD5mKrp0Vvzr7lt3OU09vwQwhkpOPPYv2Y/edit?usp=sharing"",""งบพรบ!AT17"")"),0)</f>
        <v>0</v>
      </c>
      <c r="M17" s="95">
        <f t="shared" ca="1" si="30"/>
        <v>0</v>
      </c>
      <c r="N17" s="95">
        <f t="shared" ca="1" si="31"/>
        <v>0</v>
      </c>
      <c r="O17" s="96">
        <f ca="1">IFERROR(__xludf.DUMMYFUNCTION("IMPORTRANGE(""https://docs.google.com/spreadsheets/d/1-uDff_7J0KD5mKrp0Vvzr7lt3OU09vwQwhkpOPPYv2Y/edit?usp=sharing"",""งบพรบ!AU17"")"),0)</f>
        <v>0</v>
      </c>
      <c r="P17" s="96">
        <f t="shared" ca="1" si="32"/>
        <v>0</v>
      </c>
      <c r="Q17" s="95">
        <f t="shared" ca="1" si="33"/>
        <v>0</v>
      </c>
      <c r="R17" s="86">
        <f ca="1">IFERROR(__xludf.DUMMYFUNCTION("IMPORTRANGE(""https://docs.google.com/spreadsheets/d/1W6MnUbDkMi6xHnHko_XkFDO9kkuL6Wqyc-6OCDFjW9I/edit?usp=sharing"",""ตาก!Q72"")"),0)</f>
        <v>0</v>
      </c>
      <c r="S17" s="86">
        <f ca="1">IFERROR(__xludf.DUMMYFUNCTION("IMPORTRANGE(""https://docs.google.com/spreadsheets/d/1W6MnUbDkMi6xHnHko_XkFDO9kkuL6Wqyc-6OCDFjW9I/edit?usp=sharing"",""ตาก!R72"")"),0)</f>
        <v>0</v>
      </c>
      <c r="T17" s="86">
        <f ca="1">IFERROR(__xludf.DUMMYFUNCTION("IMPORTRANGE(""https://docs.google.com/spreadsheets/d/1W6MnUbDkMi6xHnHko_XkFDO9kkuL6Wqyc-6OCDFjW9I/edit?usp=sharing"",""ตาก!S72"")"),0)</f>
        <v>0</v>
      </c>
      <c r="U17" s="87">
        <f t="shared" ca="1" si="35"/>
        <v>0</v>
      </c>
      <c r="V17" s="87">
        <f t="shared" ca="1" si="36"/>
        <v>0</v>
      </c>
      <c r="W17" s="97">
        <f t="shared" ca="1" si="37"/>
        <v>0</v>
      </c>
      <c r="X17" s="97">
        <f t="shared" ca="1" si="38"/>
        <v>0</v>
      </c>
      <c r="Y17" s="97">
        <f t="shared" ca="1" si="44"/>
        <v>0</v>
      </c>
      <c r="Z17" s="98">
        <f t="shared" ca="1" si="39"/>
        <v>0</v>
      </c>
      <c r="AA17" s="97">
        <f t="shared" ca="1" si="45"/>
        <v>0</v>
      </c>
      <c r="AB17" s="98">
        <f t="shared" ca="1" si="40"/>
        <v>0</v>
      </c>
      <c r="AC17" s="93">
        <f ca="1">IFERROR(__xludf.DUMMYFUNCTION("IMPORTRANGE(""https://docs.google.com/spreadsheets/d/1W6MnUbDkMi6xHnHko_XkFDO9kkuL6Wqyc-6OCDFjW9I/edit?usp=sharing"",""ตาก!I84"")"),0)</f>
        <v>0</v>
      </c>
      <c r="AD17" s="93">
        <f ca="1">IFERROR(__xludf.DUMMYFUNCTION("IMPORTRANGE(""https://docs.google.com/spreadsheets/d/1W6MnUbDkMi6xHnHko_XkFDO9kkuL6Wqyc-6OCDFjW9I/edit?usp=sharing"",""ตาก!I85"")"),0)</f>
        <v>0</v>
      </c>
      <c r="AE17" s="97">
        <f ca="1">IFERROR(__xludf.DUMMYFUNCTION("IMPORTRANGE(""https://docs.google.com/spreadsheets/d/1W6MnUbDkMi6xHnHko_XkFDO9kkuL6Wqyc-6OCDFjW9I/edit?usp=sharing"",""ตาก!J84"")"),0)</f>
        <v>0</v>
      </c>
      <c r="AF17" s="97">
        <f ca="1">IFERROR(__xludf.DUMMYFUNCTION("IMPORTRANGE(""https://docs.google.com/spreadsheets/d/1W6MnUbDkMi6xHnHko_XkFDO9kkuL6Wqyc-6OCDFjW9I/edit?usp=sharing"",""ตาก!J85"")"),0)</f>
        <v>0</v>
      </c>
      <c r="AG17" s="93">
        <f ca="1">IFERROR(__xludf.DUMMYFUNCTION("IMPORTRANGE(""https://docs.google.com/spreadsheets/d/1W6MnUbDkMi6xHnHko_XkFDO9kkuL6Wqyc-6OCDFjW9I/edit?usp=sharing"",""ตาก!I86"")"),0)</f>
        <v>0</v>
      </c>
      <c r="AH17" s="93">
        <f ca="1">IFERROR(__xludf.DUMMYFUNCTION("IMPORTRANGE(""https://docs.google.com/spreadsheets/d/1W6MnUbDkMi6xHnHko_XkFDO9kkuL6Wqyc-6OCDFjW9I/edit?usp=sharing"",""ตาก!I87"")"),0)</f>
        <v>0</v>
      </c>
      <c r="AI17" s="97">
        <f ca="1">IFERROR(__xludf.DUMMYFUNCTION("IMPORTRANGE(""https://docs.google.com/spreadsheets/d/1W6MnUbDkMi6xHnHko_XkFDO9kkuL6Wqyc-6OCDFjW9I/edit?usp=sharing"",""ตาก!J86"")"),0)</f>
        <v>0</v>
      </c>
      <c r="AJ17" s="97">
        <f ca="1">IFERROR(__xludf.DUMMYFUNCTION("IMPORTRANGE(""https://docs.google.com/spreadsheets/d/1W6MnUbDkMi6xHnHko_XkFDO9kkuL6Wqyc-6OCDFjW9I/edit?usp=sharing"",""ตาก!J87"")"),0)</f>
        <v>0</v>
      </c>
      <c r="AK17" s="93">
        <f ca="1">IFERROR(__xludf.DUMMYFUNCTION("IMPORTRANGE(""https://docs.google.com/spreadsheets/d/1W6MnUbDkMi6xHnHko_XkFDO9kkuL6Wqyc-6OCDFjW9I/edit?usp=sharing"",""ตาก!I88"")"),0)</f>
        <v>0</v>
      </c>
      <c r="AL17" s="93">
        <f ca="1">IFERROR(__xludf.DUMMYFUNCTION("IMPORTRANGE(""https://docs.google.com/spreadsheets/d/1W6MnUbDkMi6xHnHko_XkFDO9kkuL6Wqyc-6OCDFjW9I/edit?usp=sharing"",""ตาก!I89"")"),0)</f>
        <v>0</v>
      </c>
      <c r="AM17" s="97">
        <f ca="1">IFERROR(__xludf.DUMMYFUNCTION("IMPORTRANGE(""https://docs.google.com/spreadsheets/d/1W6MnUbDkMi6xHnHko_XkFDO9kkuL6Wqyc-6OCDFjW9I/edit?usp=sharing"",""ตาก!J88"")"),0)</f>
        <v>0</v>
      </c>
      <c r="AN17" s="97">
        <f ca="1">IFERROR(__xludf.DUMMYFUNCTION("IMPORTRANGE(""https://docs.google.com/spreadsheets/d/1W6MnUbDkMi6xHnHko_XkFDO9kkuL6Wqyc-6OCDFjW9I/edit?usp=sharing"",""ตาก!J89"")"),0)</f>
        <v>0</v>
      </c>
      <c r="AO17" s="93">
        <f ca="1">IFERROR(__xludf.DUMMYFUNCTION("IMPORTRANGE(""https://docs.google.com/spreadsheets/d/1W6MnUbDkMi6xHnHko_XkFDO9kkuL6Wqyc-6OCDFjW9I/edit?usp=sharing"",""ตาก!I90"")"),0)</f>
        <v>0</v>
      </c>
      <c r="AP17" s="97">
        <f ca="1">IFERROR(__xludf.DUMMYFUNCTION("IMPORTRANGE(""https://docs.google.com/spreadsheets/d/1W6MnUbDkMi6xHnHko_XkFDO9kkuL6Wqyc-6OCDFjW9I/edit?usp=sharing"",""ตาก!J90"")"),0)</f>
        <v>0</v>
      </c>
      <c r="AQ17" s="95">
        <f t="shared" ca="1" si="42"/>
        <v>0</v>
      </c>
    </row>
    <row r="18" spans="1:43" ht="24" customHeight="1" x14ac:dyDescent="0.3">
      <c r="A18" s="89">
        <v>5</v>
      </c>
      <c r="B18" s="90" t="s">
        <v>44</v>
      </c>
      <c r="C18" s="91">
        <f t="shared" ca="1" si="26"/>
        <v>0</v>
      </c>
      <c r="D18" s="92">
        <f t="shared" ca="1" si="43"/>
        <v>0</v>
      </c>
      <c r="E18" s="93">
        <f ca="1">IFERROR(__xludf.DUMMYFUNCTION("IMPORTRANGE(""https://docs.google.com/spreadsheets/d/1-uDff_7J0KD5mKrp0Vvzr7lt3OU09vwQwhkpOPPYv2Y/edit?usp=sharing"",""งบพรบ!AN18"")"),0)</f>
        <v>0</v>
      </c>
      <c r="F18" s="93">
        <f ca="1">IFERROR(__xludf.DUMMYFUNCTION("IMPORTRANGE(""https://docs.google.com/spreadsheets/d/1-uDff_7J0KD5mKrp0Vvzr7lt3OU09vwQwhkpOPPYv2Y/edit?usp=sharing"",""งบพรบ!AO18"")"),0)</f>
        <v>0</v>
      </c>
      <c r="G18" s="93">
        <f ca="1">IFERROR(__xludf.DUMMYFUNCTION("IMPORTRANGE(""https://docs.google.com/spreadsheets/d/1-uDff_7J0KD5mKrp0Vvzr7lt3OU09vwQwhkpOPPYv2Y/edit?usp=sharing"",""งบพรบ!AP18"")"),0)</f>
        <v>0</v>
      </c>
      <c r="H18" s="93">
        <f ca="1">IFERROR(__xludf.DUMMYFUNCTION("IMPORTRANGE(""https://docs.google.com/spreadsheets/d/1-uDff_7J0KD5mKrp0Vvzr7lt3OU09vwQwhkpOPPYv2Y/edit?usp=sharing"",""งบพรบ!AR18"")"),0)</f>
        <v>0</v>
      </c>
      <c r="I18" s="93">
        <f ca="1">IFERROR(__xludf.DUMMYFUNCTION("IMPORTRANGE(""https://docs.google.com/spreadsheets/d/1-uDff_7J0KD5mKrp0Vvzr7lt3OU09vwQwhkpOPPYv2Y/edit?usp=sharing"",""งบพรบ!AS18"")"),0)</f>
        <v>0</v>
      </c>
      <c r="J18" s="93">
        <f t="shared" ca="1" si="28"/>
        <v>0</v>
      </c>
      <c r="K18" s="94">
        <f t="shared" ca="1" si="29"/>
        <v>0</v>
      </c>
      <c r="L18" s="93">
        <f ca="1">IFERROR(__xludf.DUMMYFUNCTION("IMPORTRANGE(""https://docs.google.com/spreadsheets/d/1-uDff_7J0KD5mKrp0Vvzr7lt3OU09vwQwhkpOPPYv2Y/edit?usp=sharing"",""งบพรบ!AT18"")"),0)</f>
        <v>0</v>
      </c>
      <c r="M18" s="95">
        <f t="shared" ca="1" si="30"/>
        <v>0</v>
      </c>
      <c r="N18" s="95">
        <f t="shared" ca="1" si="31"/>
        <v>0</v>
      </c>
      <c r="O18" s="96">
        <f ca="1">IFERROR(__xludf.DUMMYFUNCTION("IMPORTRANGE(""https://docs.google.com/spreadsheets/d/1-uDff_7J0KD5mKrp0Vvzr7lt3OU09vwQwhkpOPPYv2Y/edit?usp=sharing"",""งบพรบ!AU18"")"),0)</f>
        <v>0</v>
      </c>
      <c r="P18" s="96">
        <f t="shared" ca="1" si="32"/>
        <v>0</v>
      </c>
      <c r="Q18" s="95">
        <f t="shared" ca="1" si="33"/>
        <v>0</v>
      </c>
      <c r="R18" s="86">
        <f ca="1">IFERROR(__xludf.DUMMYFUNCTION("IMPORTRANGE(""https://docs.google.com/spreadsheets/d/1IQAWArduLkta9LpYo4a_ULsyqdta6-6aDDiwpUnQT6c/edit?usp=sharing"",""นครสวรรค์!Q72"")"),410120)</f>
        <v>410120</v>
      </c>
      <c r="S18" s="86">
        <f ca="1">IFERROR(__xludf.DUMMYFUNCTION("IMPORTRANGE(""https://docs.google.com/spreadsheets/d/1IQAWArduLkta9LpYo4a_ULsyqdta6-6aDDiwpUnQT6c/edit?usp=sharing"",""นครสวรรค์!R72"")"),0)</f>
        <v>0</v>
      </c>
      <c r="T18" s="86">
        <f ca="1">IFERROR(__xludf.DUMMYFUNCTION("IMPORTRANGE(""https://docs.google.com/spreadsheets/d/1IQAWArduLkta9LpYo4a_ULsyqdta6-6aDDiwpUnQT6c/edit?usp=sharing"",""นครสวรรค์!S72"")"),0)</f>
        <v>0</v>
      </c>
      <c r="U18" s="87">
        <f t="shared" ca="1" si="35"/>
        <v>0</v>
      </c>
      <c r="V18" s="87">
        <f t="shared" ca="1" si="36"/>
        <v>0</v>
      </c>
      <c r="W18" s="97">
        <f t="shared" ca="1" si="37"/>
        <v>1</v>
      </c>
      <c r="X18" s="97">
        <f t="shared" ca="1" si="38"/>
        <v>31</v>
      </c>
      <c r="Y18" s="97">
        <f t="shared" ca="1" si="44"/>
        <v>0</v>
      </c>
      <c r="Z18" s="98">
        <f t="shared" ca="1" si="39"/>
        <v>0</v>
      </c>
      <c r="AA18" s="97">
        <f t="shared" ca="1" si="45"/>
        <v>0</v>
      </c>
      <c r="AB18" s="98">
        <f t="shared" ca="1" si="40"/>
        <v>0</v>
      </c>
      <c r="AC18" s="93">
        <f ca="1">IFERROR(__xludf.DUMMYFUNCTION("IMPORTRANGE(""https://docs.google.com/spreadsheets/d/1IQAWArduLkta9LpYo4a_ULsyqdta6-6aDDiwpUnQT6c/edit?usp=sharing"",""นครสวรรค์!I84"")"),1)</f>
        <v>1</v>
      </c>
      <c r="AD18" s="93">
        <f ca="1">IFERROR(__xludf.DUMMYFUNCTION("IMPORTRANGE(""https://docs.google.com/spreadsheets/d/1IQAWArduLkta9LpYo4a_ULsyqdta6-6aDDiwpUnQT6c/edit?usp=sharing"",""นครสวรรค์!I85"")"),31)</f>
        <v>31</v>
      </c>
      <c r="AE18" s="97">
        <f ca="1">IFERROR(__xludf.DUMMYFUNCTION("IMPORTRANGE(""https://docs.google.com/spreadsheets/d/1IQAWArduLkta9LpYo4a_ULsyqdta6-6aDDiwpUnQT6c/edit?usp=sharing"",""นครสวรรค์!J84"")"),0)</f>
        <v>0</v>
      </c>
      <c r="AF18" s="97">
        <f ca="1">IFERROR(__xludf.DUMMYFUNCTION("IMPORTRANGE(""https://docs.google.com/spreadsheets/d/1IQAWArduLkta9LpYo4a_ULsyqdta6-6aDDiwpUnQT6c/edit?usp=sharing"",""นครสวรรค์!J85"")"),0)</f>
        <v>0</v>
      </c>
      <c r="AG18" s="93">
        <f ca="1">IFERROR(__xludf.DUMMYFUNCTION("IMPORTRANGE(""https://docs.google.com/spreadsheets/d/1IQAWArduLkta9LpYo4a_ULsyqdta6-6aDDiwpUnQT6c/edit?usp=sharing"",""นครสวรรค์!I86"")"),0)</f>
        <v>0</v>
      </c>
      <c r="AH18" s="93">
        <f ca="1">IFERROR(__xludf.DUMMYFUNCTION("IMPORTRANGE(""https://docs.google.com/spreadsheets/d/1IQAWArduLkta9LpYo4a_ULsyqdta6-6aDDiwpUnQT6c/edit?usp=sharing"",""นครสวรรค์!I87"")"),0)</f>
        <v>0</v>
      </c>
      <c r="AI18" s="97">
        <f ca="1">IFERROR(__xludf.DUMMYFUNCTION("IMPORTRANGE(""https://docs.google.com/spreadsheets/d/1IQAWArduLkta9LpYo4a_ULsyqdta6-6aDDiwpUnQT6c/edit?usp=sharing"",""นครสวรรค์!J86"")"),0)</f>
        <v>0</v>
      </c>
      <c r="AJ18" s="97">
        <f ca="1">IFERROR(__xludf.DUMMYFUNCTION("IMPORTRANGE(""https://docs.google.com/spreadsheets/d/1IQAWArduLkta9LpYo4a_ULsyqdta6-6aDDiwpUnQT6c/edit?usp=sharing"",""นครสวรรค์!J87"")"),0)</f>
        <v>0</v>
      </c>
      <c r="AK18" s="93">
        <f ca="1">IFERROR(__xludf.DUMMYFUNCTION("IMPORTRANGE(""https://docs.google.com/spreadsheets/d/1IQAWArduLkta9LpYo4a_ULsyqdta6-6aDDiwpUnQT6c/edit?usp=sharing"",""นครสวรรค์!I88"")"),0)</f>
        <v>0</v>
      </c>
      <c r="AL18" s="93">
        <f ca="1">IFERROR(__xludf.DUMMYFUNCTION("IMPORTRANGE(""https://docs.google.com/spreadsheets/d/1IQAWArduLkta9LpYo4a_ULsyqdta6-6aDDiwpUnQT6c/edit?usp=sharing"",""นครสวรรค์!I89"")"),0)</f>
        <v>0</v>
      </c>
      <c r="AM18" s="97">
        <f ca="1">IFERROR(__xludf.DUMMYFUNCTION("IMPORTRANGE(""https://docs.google.com/spreadsheets/d/1IQAWArduLkta9LpYo4a_ULsyqdta6-6aDDiwpUnQT6c/edit?usp=sharing"",""นครสวรรค์!J88"")"),0)</f>
        <v>0</v>
      </c>
      <c r="AN18" s="97">
        <f ca="1">IFERROR(__xludf.DUMMYFUNCTION("IMPORTRANGE(""https://docs.google.com/spreadsheets/d/1IQAWArduLkta9LpYo4a_ULsyqdta6-6aDDiwpUnQT6c/edit?usp=sharing"",""นครสวรรค์!J89"")"),0)</f>
        <v>0</v>
      </c>
      <c r="AO18" s="93">
        <f ca="1">IFERROR(__xludf.DUMMYFUNCTION("IMPORTRANGE(""https://docs.google.com/spreadsheets/d/1IQAWArduLkta9LpYo4a_ULsyqdta6-6aDDiwpUnQT6c/edit?usp=sharing"",""นครสวรรค์!I90"")"),1)</f>
        <v>1</v>
      </c>
      <c r="AP18" s="97">
        <f ca="1">IFERROR(__xludf.DUMMYFUNCTION("IMPORTRANGE(""https://docs.google.com/spreadsheets/d/1IQAWArduLkta9LpYo4a_ULsyqdta6-6aDDiwpUnQT6c/edit?usp=sharing"",""นครสวรรค์!J90"")"),0)</f>
        <v>0</v>
      </c>
      <c r="AQ18" s="95">
        <f t="shared" ca="1" si="42"/>
        <v>0</v>
      </c>
    </row>
    <row r="19" spans="1:43" ht="24" customHeight="1" x14ac:dyDescent="0.3">
      <c r="A19" s="89">
        <v>6</v>
      </c>
      <c r="B19" s="90" t="s">
        <v>45</v>
      </c>
      <c r="C19" s="91">
        <f t="shared" ca="1" si="26"/>
        <v>0</v>
      </c>
      <c r="D19" s="92">
        <f t="shared" ca="1" si="43"/>
        <v>0</v>
      </c>
      <c r="E19" s="93">
        <f ca="1">IFERROR(__xludf.DUMMYFUNCTION("IMPORTRANGE(""https://docs.google.com/spreadsheets/d/1-uDff_7J0KD5mKrp0Vvzr7lt3OU09vwQwhkpOPPYv2Y/edit?usp=sharing"",""งบพรบ!AN19"")"),0)</f>
        <v>0</v>
      </c>
      <c r="F19" s="93">
        <f ca="1">IFERROR(__xludf.DUMMYFUNCTION("IMPORTRANGE(""https://docs.google.com/spreadsheets/d/1-uDff_7J0KD5mKrp0Vvzr7lt3OU09vwQwhkpOPPYv2Y/edit?usp=sharing"",""งบพรบ!AO19"")"),0)</f>
        <v>0</v>
      </c>
      <c r="G19" s="93">
        <f ca="1">IFERROR(__xludf.DUMMYFUNCTION("IMPORTRANGE(""https://docs.google.com/spreadsheets/d/1-uDff_7J0KD5mKrp0Vvzr7lt3OU09vwQwhkpOPPYv2Y/edit?usp=sharing"",""งบพรบ!AP19"")"),0)</f>
        <v>0</v>
      </c>
      <c r="H19" s="93">
        <f ca="1">IFERROR(__xludf.DUMMYFUNCTION("IMPORTRANGE(""https://docs.google.com/spreadsheets/d/1-uDff_7J0KD5mKrp0Vvzr7lt3OU09vwQwhkpOPPYv2Y/edit?usp=sharing"",""งบพรบ!AR19"")"),0)</f>
        <v>0</v>
      </c>
      <c r="I19" s="93">
        <f ca="1">IFERROR(__xludf.DUMMYFUNCTION("IMPORTRANGE(""https://docs.google.com/spreadsheets/d/1-uDff_7J0KD5mKrp0Vvzr7lt3OU09vwQwhkpOPPYv2Y/edit?usp=sharing"",""งบพรบ!AS19"")"),0)</f>
        <v>0</v>
      </c>
      <c r="J19" s="93">
        <f t="shared" ca="1" si="28"/>
        <v>0</v>
      </c>
      <c r="K19" s="94">
        <f t="shared" ca="1" si="29"/>
        <v>0</v>
      </c>
      <c r="L19" s="93">
        <f ca="1">IFERROR(__xludf.DUMMYFUNCTION("IMPORTRANGE(""https://docs.google.com/spreadsheets/d/1-uDff_7J0KD5mKrp0Vvzr7lt3OU09vwQwhkpOPPYv2Y/edit?usp=sharing"",""งบพรบ!AT19"")"),0)</f>
        <v>0</v>
      </c>
      <c r="M19" s="95">
        <f t="shared" ca="1" si="30"/>
        <v>0</v>
      </c>
      <c r="N19" s="95">
        <f t="shared" ca="1" si="31"/>
        <v>0</v>
      </c>
      <c r="O19" s="96">
        <f ca="1">IFERROR(__xludf.DUMMYFUNCTION("IMPORTRANGE(""https://docs.google.com/spreadsheets/d/1-uDff_7J0KD5mKrp0Vvzr7lt3OU09vwQwhkpOPPYv2Y/edit?usp=sharing"",""งบพรบ!AU19"")"),0)</f>
        <v>0</v>
      </c>
      <c r="P19" s="96">
        <f t="shared" ca="1" si="32"/>
        <v>0</v>
      </c>
      <c r="Q19" s="95">
        <f t="shared" ca="1" si="33"/>
        <v>0</v>
      </c>
      <c r="R19" s="86">
        <f ca="1">IFERROR(__xludf.DUMMYFUNCTION("IMPORTRANGE(""https://docs.google.com/spreadsheets/d/10s13Sk5xrltsiR-Zkbmk5DwIaDIKO8XlbJAfqyT7Gvg/edit?usp=sharing"",""น่าน!Q72"")"),447900)</f>
        <v>447900</v>
      </c>
      <c r="S19" s="86">
        <f ca="1">IFERROR(__xludf.DUMMYFUNCTION("IMPORTRANGE(""https://docs.google.com/spreadsheets/d/10s13Sk5xrltsiR-Zkbmk5DwIaDIKO8XlbJAfqyT7Gvg/edit?usp=sharing"",""น่าน!R72"")"),0)</f>
        <v>0</v>
      </c>
      <c r="T19" s="86">
        <f ca="1">IFERROR(__xludf.DUMMYFUNCTION("IMPORTRANGE(""https://docs.google.com/spreadsheets/d/10s13Sk5xrltsiR-Zkbmk5DwIaDIKO8XlbJAfqyT7Gvg/edit?usp=sharing"",""น่าน!S72"")"),0)</f>
        <v>0</v>
      </c>
      <c r="U19" s="87">
        <f t="shared" ca="1" si="35"/>
        <v>0</v>
      </c>
      <c r="V19" s="87">
        <f t="shared" ca="1" si="36"/>
        <v>0</v>
      </c>
      <c r="W19" s="97">
        <f t="shared" ca="1" si="37"/>
        <v>1</v>
      </c>
      <c r="X19" s="97">
        <f t="shared" ca="1" si="38"/>
        <v>40</v>
      </c>
      <c r="Y19" s="97">
        <f t="shared" ca="1" si="44"/>
        <v>0</v>
      </c>
      <c r="Z19" s="98">
        <f t="shared" ca="1" si="39"/>
        <v>0</v>
      </c>
      <c r="AA19" s="97">
        <f t="shared" ca="1" si="45"/>
        <v>0</v>
      </c>
      <c r="AB19" s="98">
        <f t="shared" ca="1" si="40"/>
        <v>0</v>
      </c>
      <c r="AC19" s="93">
        <f ca="1">IFERROR(__xludf.DUMMYFUNCTION("IMPORTRANGE(""https://docs.google.com/spreadsheets/d/10s13Sk5xrltsiR-Zkbmk5DwIaDIKO8XlbJAfqyT7Gvg/edit?usp=sharing"",""น่าน!I84"")"),0)</f>
        <v>0</v>
      </c>
      <c r="AD19" s="93">
        <f ca="1">IFERROR(__xludf.DUMMYFUNCTION("IMPORTRANGE(""https://docs.google.com/spreadsheets/d/10s13Sk5xrltsiR-Zkbmk5DwIaDIKO8XlbJAfqyT7Gvg/edit?usp=sharing"",""น่าน!I85"")"),0)</f>
        <v>0</v>
      </c>
      <c r="AE19" s="97">
        <f ca="1">IFERROR(__xludf.DUMMYFUNCTION("IMPORTRANGE(""https://docs.google.com/spreadsheets/d/10s13Sk5xrltsiR-Zkbmk5DwIaDIKO8XlbJAfqyT7Gvg/edit?usp=sharing"",""น่าน!J84"")"),0)</f>
        <v>0</v>
      </c>
      <c r="AF19" s="97">
        <f ca="1">IFERROR(__xludf.DUMMYFUNCTION("IMPORTRANGE(""https://docs.google.com/spreadsheets/d/10s13Sk5xrltsiR-Zkbmk5DwIaDIKO8XlbJAfqyT7Gvg/edit?usp=sharing"",""น่าน!J85"")"),0)</f>
        <v>0</v>
      </c>
      <c r="AG19" s="93">
        <f ca="1">IFERROR(__xludf.DUMMYFUNCTION("IMPORTRANGE(""https://docs.google.com/spreadsheets/d/10s13Sk5xrltsiR-Zkbmk5DwIaDIKO8XlbJAfqyT7Gvg/edit?usp=sharing"",""น่าน!I86"")"),1)</f>
        <v>1</v>
      </c>
      <c r="AH19" s="93">
        <f ca="1">IFERROR(__xludf.DUMMYFUNCTION("IMPORTRANGE(""https://docs.google.com/spreadsheets/d/10s13Sk5xrltsiR-Zkbmk5DwIaDIKO8XlbJAfqyT7Gvg/edit?usp=sharing"",""น่าน!I87"")"),40)</f>
        <v>40</v>
      </c>
      <c r="AI19" s="97">
        <f ca="1">IFERROR(__xludf.DUMMYFUNCTION("IMPORTRANGE(""https://docs.google.com/spreadsheets/d/10s13Sk5xrltsiR-Zkbmk5DwIaDIKO8XlbJAfqyT7Gvg/edit?usp=sharing"",""น่าน!J86"")"),0)</f>
        <v>0</v>
      </c>
      <c r="AJ19" s="97">
        <f ca="1">IFERROR(__xludf.DUMMYFUNCTION("IMPORTRANGE(""https://docs.google.com/spreadsheets/d/10s13Sk5xrltsiR-Zkbmk5DwIaDIKO8XlbJAfqyT7Gvg/edit?usp=sharing"",""น่าน!J87"")"),0)</f>
        <v>0</v>
      </c>
      <c r="AK19" s="93">
        <f ca="1">IFERROR(__xludf.DUMMYFUNCTION("IMPORTRANGE(""https://docs.google.com/spreadsheets/d/10s13Sk5xrltsiR-Zkbmk5DwIaDIKO8XlbJAfqyT7Gvg/edit?usp=sharing"",""น่าน!I88"")"),0)</f>
        <v>0</v>
      </c>
      <c r="AL19" s="93">
        <f ca="1">IFERROR(__xludf.DUMMYFUNCTION("IMPORTRANGE(""https://docs.google.com/spreadsheets/d/10s13Sk5xrltsiR-Zkbmk5DwIaDIKO8XlbJAfqyT7Gvg/edit?usp=sharing"",""น่าน!I89"")"),0)</f>
        <v>0</v>
      </c>
      <c r="AM19" s="97">
        <f ca="1">IFERROR(__xludf.DUMMYFUNCTION("IMPORTRANGE(""https://docs.google.com/spreadsheets/d/10s13Sk5xrltsiR-Zkbmk5DwIaDIKO8XlbJAfqyT7Gvg/edit?usp=sharing"",""น่าน!J88"")"),0)</f>
        <v>0</v>
      </c>
      <c r="AN19" s="97">
        <f ca="1">IFERROR(__xludf.DUMMYFUNCTION("IMPORTRANGE(""https://docs.google.com/spreadsheets/d/10s13Sk5xrltsiR-Zkbmk5DwIaDIKO8XlbJAfqyT7Gvg/edit?usp=sharing"",""น่าน!J89"")"),0)</f>
        <v>0</v>
      </c>
      <c r="AO19" s="93">
        <f ca="1">IFERROR(__xludf.DUMMYFUNCTION("IMPORTRANGE(""https://docs.google.com/spreadsheets/d/10s13Sk5xrltsiR-Zkbmk5DwIaDIKO8XlbJAfqyT7Gvg/edit?usp=sharing"",""น่าน!I90"")"),1)</f>
        <v>1</v>
      </c>
      <c r="AP19" s="97">
        <f ca="1">IFERROR(__xludf.DUMMYFUNCTION("IMPORTRANGE(""https://docs.google.com/spreadsheets/d/10s13Sk5xrltsiR-Zkbmk5DwIaDIKO8XlbJAfqyT7Gvg/edit?usp=sharing"",""น่าน!J90"")"),0)</f>
        <v>0</v>
      </c>
      <c r="AQ19" s="95">
        <f t="shared" ca="1" si="42"/>
        <v>0</v>
      </c>
    </row>
    <row r="20" spans="1:43" ht="24" customHeight="1" x14ac:dyDescent="0.3">
      <c r="A20" s="89">
        <v>7</v>
      </c>
      <c r="B20" s="90" t="s">
        <v>46</v>
      </c>
      <c r="C20" s="91">
        <f t="shared" ca="1" si="26"/>
        <v>640200</v>
      </c>
      <c r="D20" s="92">
        <f t="shared" ca="1" si="43"/>
        <v>640200</v>
      </c>
      <c r="E20" s="93">
        <f ca="1">IFERROR(__xludf.DUMMYFUNCTION("IMPORTRANGE(""https://docs.google.com/spreadsheets/d/1-uDff_7J0KD5mKrp0Vvzr7lt3OU09vwQwhkpOPPYv2Y/edit?usp=sharing"",""งบพรบ!AN20"")"),402200)</f>
        <v>402200</v>
      </c>
      <c r="F20" s="93">
        <f ca="1">IFERROR(__xludf.DUMMYFUNCTION("IMPORTRANGE(""https://docs.google.com/spreadsheets/d/1-uDff_7J0KD5mKrp0Vvzr7lt3OU09vwQwhkpOPPYv2Y/edit?usp=sharing"",""งบพรบ!AO20"")"),238000)</f>
        <v>238000</v>
      </c>
      <c r="G20" s="93">
        <f ca="1">IFERROR(__xludf.DUMMYFUNCTION("IMPORTRANGE(""https://docs.google.com/spreadsheets/d/1-uDff_7J0KD5mKrp0Vvzr7lt3OU09vwQwhkpOPPYv2Y/edit?usp=sharing"",""งบพรบ!AP20"")"),0)</f>
        <v>0</v>
      </c>
      <c r="H20" s="93">
        <f ca="1">IFERROR(__xludf.DUMMYFUNCTION("IMPORTRANGE(""https://docs.google.com/spreadsheets/d/1-uDff_7J0KD5mKrp0Vvzr7lt3OU09vwQwhkpOPPYv2Y/edit?usp=sharing"",""งบพรบ!AR20"")"),524432)</f>
        <v>524432</v>
      </c>
      <c r="I20" s="93">
        <f ca="1">IFERROR(__xludf.DUMMYFUNCTION("IMPORTRANGE(""https://docs.google.com/spreadsheets/d/1-uDff_7J0KD5mKrp0Vvzr7lt3OU09vwQwhkpOPPYv2Y/edit?usp=sharing"",""งบพรบ!AS20"")"),0)</f>
        <v>0</v>
      </c>
      <c r="J20" s="93">
        <f t="shared" ca="1" si="28"/>
        <v>279561.78999999998</v>
      </c>
      <c r="K20" s="94">
        <f t="shared" ca="1" si="29"/>
        <v>43.667883473914394</v>
      </c>
      <c r="L20" s="93">
        <f ca="1">IFERROR(__xludf.DUMMYFUNCTION("IMPORTRANGE(""https://docs.google.com/spreadsheets/d/1-uDff_7J0KD5mKrp0Vvzr7lt3OU09vwQwhkpOPPYv2Y/edit?usp=sharing"",""งบพรบ!AT20"")"),279561.79)</f>
        <v>279561.78999999998</v>
      </c>
      <c r="M20" s="95">
        <f t="shared" ca="1" si="30"/>
        <v>43.667883473914394</v>
      </c>
      <c r="N20" s="95">
        <f t="shared" ca="1" si="31"/>
        <v>53.307538441590133</v>
      </c>
      <c r="O20" s="96">
        <f ca="1">IFERROR(__xludf.DUMMYFUNCTION("IMPORTRANGE(""https://docs.google.com/spreadsheets/d/1-uDff_7J0KD5mKrp0Vvzr7lt3OU09vwQwhkpOPPYv2Y/edit?usp=sharing"",""งบพรบ!AU20"")"),0)</f>
        <v>0</v>
      </c>
      <c r="P20" s="96">
        <f t="shared" ca="1" si="32"/>
        <v>0</v>
      </c>
      <c r="Q20" s="95">
        <f t="shared" ca="1" si="33"/>
        <v>0</v>
      </c>
      <c r="R20" s="86">
        <f ca="1">IFERROR(__xludf.DUMMYFUNCTION("IMPORTRANGE(""https://docs.google.com/spreadsheets/d/1uu4nAn4Dbi1XREnLKKotUANlKXa7yCgRcgq8HEzQYW8/edit?usp=sharing"",""พะเยา!Q72"")"),724430)</f>
        <v>724430</v>
      </c>
      <c r="S20" s="86">
        <f ca="1">IFERROR(__xludf.DUMMYFUNCTION("IMPORTRANGE(""https://docs.google.com/spreadsheets/d/1uu4nAn4Dbi1XREnLKKotUANlKXa7yCgRcgq8HEzQYW8/edit?usp=sharing"",""พะเยา!R72"")"),0)</f>
        <v>0</v>
      </c>
      <c r="T20" s="86">
        <f ca="1">IFERROR(__xludf.DUMMYFUNCTION("IMPORTRANGE(""https://docs.google.com/spreadsheets/d/1uu4nAn4Dbi1XREnLKKotUANlKXa7yCgRcgq8HEzQYW8/edit?usp=sharing"",""พะเยา!S72"")"),0)</f>
        <v>0</v>
      </c>
      <c r="U20" s="87">
        <f t="shared" ca="1" si="35"/>
        <v>0</v>
      </c>
      <c r="V20" s="87">
        <f t="shared" ca="1" si="36"/>
        <v>0</v>
      </c>
      <c r="W20" s="97">
        <f t="shared" ca="1" si="37"/>
        <v>2</v>
      </c>
      <c r="X20" s="97">
        <f t="shared" ca="1" si="38"/>
        <v>60</v>
      </c>
      <c r="Y20" s="97">
        <f t="shared" ca="1" si="44"/>
        <v>1</v>
      </c>
      <c r="Z20" s="98">
        <f t="shared" ca="1" si="39"/>
        <v>50</v>
      </c>
      <c r="AA20" s="97">
        <f t="shared" ca="1" si="45"/>
        <v>30</v>
      </c>
      <c r="AB20" s="98">
        <f t="shared" ca="1" si="40"/>
        <v>50</v>
      </c>
      <c r="AC20" s="93">
        <f ca="1">IFERROR(__xludf.DUMMYFUNCTION("IMPORTRANGE(""https://docs.google.com/spreadsheets/d/1uu4nAn4Dbi1XREnLKKotUANlKXa7yCgRcgq8HEzQYW8/edit?usp=sharing"",""พะเยา!I84"")"),1)</f>
        <v>1</v>
      </c>
      <c r="AD20" s="93">
        <f ca="1">IFERROR(__xludf.DUMMYFUNCTION("IMPORTRANGE(""https://docs.google.com/spreadsheets/d/1uu4nAn4Dbi1XREnLKKotUANlKXa7yCgRcgq8HEzQYW8/edit?usp=sharing"",""พะเยา!I85"")"),30)</f>
        <v>30</v>
      </c>
      <c r="AE20" s="97">
        <f ca="1">IFERROR(__xludf.DUMMYFUNCTION("IMPORTRANGE(""https://docs.google.com/spreadsheets/d/1uu4nAn4Dbi1XREnLKKotUANlKXa7yCgRcgq8HEzQYW8/edit?usp=sharing"",""พะเยา!J84"")"),0)</f>
        <v>0</v>
      </c>
      <c r="AF20" s="97">
        <f ca="1">IFERROR(__xludf.DUMMYFUNCTION("IMPORTRANGE(""https://docs.google.com/spreadsheets/d/1uu4nAn4Dbi1XREnLKKotUANlKXa7yCgRcgq8HEzQYW8/edit?usp=sharing"",""พะเยา!J85"")"),0)</f>
        <v>0</v>
      </c>
      <c r="AG20" s="93">
        <f ca="1">IFERROR(__xludf.DUMMYFUNCTION("IMPORTRANGE(""https://docs.google.com/spreadsheets/d/1uu4nAn4Dbi1XREnLKKotUANlKXa7yCgRcgq8HEzQYW8/edit?usp=sharing"",""พะเยา!I86"")"),0)</f>
        <v>0</v>
      </c>
      <c r="AH20" s="93">
        <f ca="1">IFERROR(__xludf.DUMMYFUNCTION("IMPORTRANGE(""https://docs.google.com/spreadsheets/d/1uu4nAn4Dbi1XREnLKKotUANlKXa7yCgRcgq8HEzQYW8/edit?usp=sharing"",""พะเยา!I87"")"),0)</f>
        <v>0</v>
      </c>
      <c r="AI20" s="97">
        <f ca="1">IFERROR(__xludf.DUMMYFUNCTION("IMPORTRANGE(""https://docs.google.com/spreadsheets/d/1uu4nAn4Dbi1XREnLKKotUANlKXa7yCgRcgq8HEzQYW8/edit?usp=sharing"",""พะเยา!J86"")"),0)</f>
        <v>0</v>
      </c>
      <c r="AJ20" s="97">
        <f ca="1">IFERROR(__xludf.DUMMYFUNCTION("IMPORTRANGE(""https://docs.google.com/spreadsheets/d/1uu4nAn4Dbi1XREnLKKotUANlKXa7yCgRcgq8HEzQYW8/edit?usp=sharing"",""พะเยา!J87"")"),0)</f>
        <v>0</v>
      </c>
      <c r="AK20" s="93">
        <f ca="1">IFERROR(__xludf.DUMMYFUNCTION("IMPORTRANGE(""https://docs.google.com/spreadsheets/d/1uu4nAn4Dbi1XREnLKKotUANlKXa7yCgRcgq8HEzQYW8/edit?usp=sharing"",""พะเยา!I88"")"),1)</f>
        <v>1</v>
      </c>
      <c r="AL20" s="93">
        <f ca="1">IFERROR(__xludf.DUMMYFUNCTION("IMPORTRANGE(""https://docs.google.com/spreadsheets/d/1uu4nAn4Dbi1XREnLKKotUANlKXa7yCgRcgq8HEzQYW8/edit?usp=sharing"",""พะเยา!I89"")"),30)</f>
        <v>30</v>
      </c>
      <c r="AM20" s="97">
        <f ca="1">IFERROR(__xludf.DUMMYFUNCTION("IMPORTRANGE(""https://docs.google.com/spreadsheets/d/1uu4nAn4Dbi1XREnLKKotUANlKXa7yCgRcgq8HEzQYW8/edit?usp=sharing"",""พะเยา!J88"")"),1)</f>
        <v>1</v>
      </c>
      <c r="AN20" s="97">
        <f ca="1">IFERROR(__xludf.DUMMYFUNCTION("IMPORTRANGE(""https://docs.google.com/spreadsheets/d/1uu4nAn4Dbi1XREnLKKotUANlKXa7yCgRcgq8HEzQYW8/edit?usp=sharing"",""พะเยา!J89"")"),30)</f>
        <v>30</v>
      </c>
      <c r="AO20" s="93">
        <f ca="1">IFERROR(__xludf.DUMMYFUNCTION("IMPORTRANGE(""https://docs.google.com/spreadsheets/d/1uu4nAn4Dbi1XREnLKKotUANlKXa7yCgRcgq8HEzQYW8/edit?usp=sharing"",""พะเยา!I90"")"),2)</f>
        <v>2</v>
      </c>
      <c r="AP20" s="97">
        <f ca="1">IFERROR(__xludf.DUMMYFUNCTION("IMPORTRANGE(""https://docs.google.com/spreadsheets/d/1uu4nAn4Dbi1XREnLKKotUANlKXa7yCgRcgq8HEzQYW8/edit?usp=sharing"",""พะเยา!J90"")"),1)</f>
        <v>1</v>
      </c>
      <c r="AQ20" s="95">
        <f t="shared" ca="1" si="42"/>
        <v>50</v>
      </c>
    </row>
    <row r="21" spans="1:43" ht="24" customHeight="1" x14ac:dyDescent="0.3">
      <c r="A21" s="89">
        <v>8</v>
      </c>
      <c r="B21" s="90" t="s">
        <v>47</v>
      </c>
      <c r="C21" s="91">
        <f t="shared" ca="1" si="26"/>
        <v>0</v>
      </c>
      <c r="D21" s="92">
        <f t="shared" ca="1" si="43"/>
        <v>0</v>
      </c>
      <c r="E21" s="93">
        <f ca="1">IFERROR(__xludf.DUMMYFUNCTION("IMPORTRANGE(""https://docs.google.com/spreadsheets/d/1-uDff_7J0KD5mKrp0Vvzr7lt3OU09vwQwhkpOPPYv2Y/edit?usp=sharing"",""งบพรบ!AN21"")"),0)</f>
        <v>0</v>
      </c>
      <c r="F21" s="93">
        <f ca="1">IFERROR(__xludf.DUMMYFUNCTION("IMPORTRANGE(""https://docs.google.com/spreadsheets/d/1-uDff_7J0KD5mKrp0Vvzr7lt3OU09vwQwhkpOPPYv2Y/edit?usp=sharing"",""งบพรบ!AO21"")"),0)</f>
        <v>0</v>
      </c>
      <c r="G21" s="93">
        <f ca="1">IFERROR(__xludf.DUMMYFUNCTION("IMPORTRANGE(""https://docs.google.com/spreadsheets/d/1-uDff_7J0KD5mKrp0Vvzr7lt3OU09vwQwhkpOPPYv2Y/edit?usp=sharing"",""งบพรบ!AP21"")"),0)</f>
        <v>0</v>
      </c>
      <c r="H21" s="93">
        <f ca="1">IFERROR(__xludf.DUMMYFUNCTION("IMPORTRANGE(""https://docs.google.com/spreadsheets/d/1-uDff_7J0KD5mKrp0Vvzr7lt3OU09vwQwhkpOPPYv2Y/edit?usp=sharing"",""งบพรบ!AR21"")"),0)</f>
        <v>0</v>
      </c>
      <c r="I21" s="93">
        <f ca="1">IFERROR(__xludf.DUMMYFUNCTION("IMPORTRANGE(""https://docs.google.com/spreadsheets/d/1-uDff_7J0KD5mKrp0Vvzr7lt3OU09vwQwhkpOPPYv2Y/edit?usp=sharing"",""งบพรบ!AS21"")"),0)</f>
        <v>0</v>
      </c>
      <c r="J21" s="93">
        <f t="shared" ca="1" si="28"/>
        <v>0</v>
      </c>
      <c r="K21" s="94">
        <f t="shared" ca="1" si="29"/>
        <v>0</v>
      </c>
      <c r="L21" s="93">
        <f ca="1">IFERROR(__xludf.DUMMYFUNCTION("IMPORTRANGE(""https://docs.google.com/spreadsheets/d/1-uDff_7J0KD5mKrp0Vvzr7lt3OU09vwQwhkpOPPYv2Y/edit?usp=sharing"",""งบพรบ!AT21"")"),0)</f>
        <v>0</v>
      </c>
      <c r="M21" s="95">
        <f t="shared" ca="1" si="30"/>
        <v>0</v>
      </c>
      <c r="N21" s="95">
        <f t="shared" ca="1" si="31"/>
        <v>0</v>
      </c>
      <c r="O21" s="96">
        <f ca="1">IFERROR(__xludf.DUMMYFUNCTION("IMPORTRANGE(""https://docs.google.com/spreadsheets/d/1-uDff_7J0KD5mKrp0Vvzr7lt3OU09vwQwhkpOPPYv2Y/edit?usp=sharing"",""งบพรบ!AU21"")"),0)</f>
        <v>0</v>
      </c>
      <c r="P21" s="96">
        <f t="shared" ca="1" si="32"/>
        <v>0</v>
      </c>
      <c r="Q21" s="95">
        <f t="shared" ca="1" si="33"/>
        <v>0</v>
      </c>
      <c r="R21" s="86">
        <f ca="1">IFERROR(__xludf.DUMMYFUNCTION("IMPORTRANGE(""https://docs.google.com/spreadsheets/d/1xfJKIQxVOaPDIICqsflNlLu3JacTDk1FP9RH4phX7mI/edit?usp=sharing"",""พิจิตร!Q72"")"),0)</f>
        <v>0</v>
      </c>
      <c r="S21" s="86">
        <f ca="1">IFERROR(__xludf.DUMMYFUNCTION("IMPORTRANGE(""https://docs.google.com/spreadsheets/d/1xfJKIQxVOaPDIICqsflNlLu3JacTDk1FP9RH4phX7mI/edit?usp=sharing"",""พิจิตร!R72"")"),0)</f>
        <v>0</v>
      </c>
      <c r="T21" s="86">
        <f ca="1">IFERROR(__xludf.DUMMYFUNCTION("IMPORTRANGE(""https://docs.google.com/spreadsheets/d/1xfJKIQxVOaPDIICqsflNlLu3JacTDk1FP9RH4phX7mI/edit?usp=sharing"",""พิจิตร!S72"")"),0)</f>
        <v>0</v>
      </c>
      <c r="U21" s="87">
        <f t="shared" ca="1" si="35"/>
        <v>0</v>
      </c>
      <c r="V21" s="87">
        <f t="shared" ca="1" si="36"/>
        <v>0</v>
      </c>
      <c r="W21" s="97">
        <f t="shared" ca="1" si="37"/>
        <v>0</v>
      </c>
      <c r="X21" s="97">
        <f t="shared" ca="1" si="38"/>
        <v>0</v>
      </c>
      <c r="Y21" s="97">
        <f t="shared" ca="1" si="44"/>
        <v>0</v>
      </c>
      <c r="Z21" s="98">
        <f t="shared" ca="1" si="39"/>
        <v>0</v>
      </c>
      <c r="AA21" s="97">
        <f t="shared" ca="1" si="45"/>
        <v>0</v>
      </c>
      <c r="AB21" s="98">
        <f t="shared" ca="1" si="40"/>
        <v>0</v>
      </c>
      <c r="AC21" s="93">
        <f ca="1">IFERROR(__xludf.DUMMYFUNCTION("IMPORTRANGE(""https://docs.google.com/spreadsheets/d/1xfJKIQxVOaPDIICqsflNlLu3JacTDk1FP9RH4phX7mI/edit?usp=sharing"",""พิจิตร!I84"")"),0)</f>
        <v>0</v>
      </c>
      <c r="AD21" s="93">
        <f ca="1">IFERROR(__xludf.DUMMYFUNCTION("IMPORTRANGE(""https://docs.google.com/spreadsheets/d/1xfJKIQxVOaPDIICqsflNlLu3JacTDk1FP9RH4phX7mI/edit?usp=sharing"",""พิจิตร!I85"")"),0)</f>
        <v>0</v>
      </c>
      <c r="AE21" s="97">
        <f ca="1">IFERROR(__xludf.DUMMYFUNCTION("IMPORTRANGE(""https://docs.google.com/spreadsheets/d/1xfJKIQxVOaPDIICqsflNlLu3JacTDk1FP9RH4phX7mI/edit?usp=sharing"",""พิจิตร!J84"")"),0)</f>
        <v>0</v>
      </c>
      <c r="AF21" s="97">
        <f ca="1">IFERROR(__xludf.DUMMYFUNCTION("IMPORTRANGE(""https://docs.google.com/spreadsheets/d/1xfJKIQxVOaPDIICqsflNlLu3JacTDk1FP9RH4phX7mI/edit?usp=sharing"",""พิจิตร!J85"")"),0)</f>
        <v>0</v>
      </c>
      <c r="AG21" s="93">
        <f ca="1">IFERROR(__xludf.DUMMYFUNCTION("IMPORTRANGE(""https://docs.google.com/spreadsheets/d/1xfJKIQxVOaPDIICqsflNlLu3JacTDk1FP9RH4phX7mI/edit?usp=sharing"",""พิจิตร!I86"")"),0)</f>
        <v>0</v>
      </c>
      <c r="AH21" s="93">
        <f ca="1">IFERROR(__xludf.DUMMYFUNCTION("IMPORTRANGE(""https://docs.google.com/spreadsheets/d/1xfJKIQxVOaPDIICqsflNlLu3JacTDk1FP9RH4phX7mI/edit?usp=sharing"",""พิจิตร!I87"")"),0)</f>
        <v>0</v>
      </c>
      <c r="AI21" s="97">
        <f ca="1">IFERROR(__xludf.DUMMYFUNCTION("IMPORTRANGE(""https://docs.google.com/spreadsheets/d/1xfJKIQxVOaPDIICqsflNlLu3JacTDk1FP9RH4phX7mI/edit?usp=sharing"",""พิจิตร!J86"")"),0)</f>
        <v>0</v>
      </c>
      <c r="AJ21" s="97">
        <f ca="1">IFERROR(__xludf.DUMMYFUNCTION("IMPORTRANGE(""https://docs.google.com/spreadsheets/d/1xfJKIQxVOaPDIICqsflNlLu3JacTDk1FP9RH4phX7mI/edit?usp=sharing"",""พิจิตร!J87"")"),0)</f>
        <v>0</v>
      </c>
      <c r="AK21" s="93">
        <f ca="1">IFERROR(__xludf.DUMMYFUNCTION("IMPORTRANGE(""https://docs.google.com/spreadsheets/d/1xfJKIQxVOaPDIICqsflNlLu3JacTDk1FP9RH4phX7mI/edit?usp=sharing"",""พิจิตร!I88"")"),0)</f>
        <v>0</v>
      </c>
      <c r="AL21" s="93">
        <f ca="1">IFERROR(__xludf.DUMMYFUNCTION("IMPORTRANGE(""https://docs.google.com/spreadsheets/d/1xfJKIQxVOaPDIICqsflNlLu3JacTDk1FP9RH4phX7mI/edit?usp=sharing"",""พิจิตร!I89"")"),0)</f>
        <v>0</v>
      </c>
      <c r="AM21" s="97">
        <f ca="1">IFERROR(__xludf.DUMMYFUNCTION("IMPORTRANGE(""https://docs.google.com/spreadsheets/d/1xfJKIQxVOaPDIICqsflNlLu3JacTDk1FP9RH4phX7mI/edit?usp=sharing"",""พิจิตร!J88"")"),0)</f>
        <v>0</v>
      </c>
      <c r="AN21" s="97">
        <f ca="1">IFERROR(__xludf.DUMMYFUNCTION("IMPORTRANGE(""https://docs.google.com/spreadsheets/d/1xfJKIQxVOaPDIICqsflNlLu3JacTDk1FP9RH4phX7mI/edit?usp=sharing"",""พิจิตร!J89"")"),0)</f>
        <v>0</v>
      </c>
      <c r="AO21" s="93">
        <f ca="1">IFERROR(__xludf.DUMMYFUNCTION("IMPORTRANGE(""https://docs.google.com/spreadsheets/d/1xfJKIQxVOaPDIICqsflNlLu3JacTDk1FP9RH4phX7mI/edit?usp=sharing"",""พิจิตร!I90"")"),0)</f>
        <v>0</v>
      </c>
      <c r="AP21" s="97">
        <f ca="1">IFERROR(__xludf.DUMMYFUNCTION("IMPORTRANGE(""https://docs.google.com/spreadsheets/d/1xfJKIQxVOaPDIICqsflNlLu3JacTDk1FP9RH4phX7mI/edit?usp=sharing"",""พิจิตร!J90"")"),0)</f>
        <v>0</v>
      </c>
      <c r="AQ21" s="95">
        <f t="shared" ca="1" si="42"/>
        <v>0</v>
      </c>
    </row>
    <row r="22" spans="1:43" ht="24" customHeight="1" x14ac:dyDescent="0.3">
      <c r="A22" s="89">
        <v>9</v>
      </c>
      <c r="B22" s="90" t="s">
        <v>48</v>
      </c>
      <c r="C22" s="91">
        <f t="shared" ca="1" si="26"/>
        <v>0</v>
      </c>
      <c r="D22" s="92">
        <f t="shared" ca="1" si="43"/>
        <v>0</v>
      </c>
      <c r="E22" s="93">
        <f ca="1">IFERROR(__xludf.DUMMYFUNCTION("IMPORTRANGE(""https://docs.google.com/spreadsheets/d/1-uDff_7J0KD5mKrp0Vvzr7lt3OU09vwQwhkpOPPYv2Y/edit?usp=sharing"",""งบพรบ!AN22"")"),0)</f>
        <v>0</v>
      </c>
      <c r="F22" s="93">
        <f ca="1">IFERROR(__xludf.DUMMYFUNCTION("IMPORTRANGE(""https://docs.google.com/spreadsheets/d/1-uDff_7J0KD5mKrp0Vvzr7lt3OU09vwQwhkpOPPYv2Y/edit?usp=sharing"",""งบพรบ!AO22"")"),0)</f>
        <v>0</v>
      </c>
      <c r="G22" s="93">
        <f ca="1">IFERROR(__xludf.DUMMYFUNCTION("IMPORTRANGE(""https://docs.google.com/spreadsheets/d/1-uDff_7J0KD5mKrp0Vvzr7lt3OU09vwQwhkpOPPYv2Y/edit?usp=sharing"",""งบพรบ!AP22"")"),0)</f>
        <v>0</v>
      </c>
      <c r="H22" s="93">
        <f ca="1">IFERROR(__xludf.DUMMYFUNCTION("IMPORTRANGE(""https://docs.google.com/spreadsheets/d/1-uDff_7J0KD5mKrp0Vvzr7lt3OU09vwQwhkpOPPYv2Y/edit?usp=sharing"",""งบพรบ!AR22"")"),0)</f>
        <v>0</v>
      </c>
      <c r="I22" s="93">
        <f ca="1">IFERROR(__xludf.DUMMYFUNCTION("IMPORTRANGE(""https://docs.google.com/spreadsheets/d/1-uDff_7J0KD5mKrp0Vvzr7lt3OU09vwQwhkpOPPYv2Y/edit?usp=sharing"",""งบพรบ!AS22"")"),0)</f>
        <v>0</v>
      </c>
      <c r="J22" s="93">
        <f t="shared" ca="1" si="28"/>
        <v>0</v>
      </c>
      <c r="K22" s="94">
        <f t="shared" ca="1" si="29"/>
        <v>0</v>
      </c>
      <c r="L22" s="93">
        <f ca="1">IFERROR(__xludf.DUMMYFUNCTION("IMPORTRANGE(""https://docs.google.com/spreadsheets/d/1-uDff_7J0KD5mKrp0Vvzr7lt3OU09vwQwhkpOPPYv2Y/edit?usp=sharing"",""งบพรบ!AT22"")"),0)</f>
        <v>0</v>
      </c>
      <c r="M22" s="95">
        <f t="shared" ca="1" si="30"/>
        <v>0</v>
      </c>
      <c r="N22" s="95">
        <f t="shared" ca="1" si="31"/>
        <v>0</v>
      </c>
      <c r="O22" s="96">
        <f ca="1">IFERROR(__xludf.DUMMYFUNCTION("IMPORTRANGE(""https://docs.google.com/spreadsheets/d/1-uDff_7J0KD5mKrp0Vvzr7lt3OU09vwQwhkpOPPYv2Y/edit?usp=sharing"",""งบพรบ!AU22"")"),0)</f>
        <v>0</v>
      </c>
      <c r="P22" s="96">
        <f t="shared" ca="1" si="32"/>
        <v>0</v>
      </c>
      <c r="Q22" s="95">
        <f t="shared" ca="1" si="33"/>
        <v>0</v>
      </c>
      <c r="R22" s="86">
        <f ca="1">IFERROR(__xludf.DUMMYFUNCTION("IMPORTRANGE(""https://docs.google.com/spreadsheets/d/1JtRfZkJMHtEhI5RdRHxYUG4FIZHqKDpNyIuN7A1Q0_k/edit?usp=sharing"",""พิษณุโลก!Q72"")"),1090780)</f>
        <v>1090780</v>
      </c>
      <c r="S22" s="86">
        <f ca="1">IFERROR(__xludf.DUMMYFUNCTION("IMPORTRANGE(""https://docs.google.com/spreadsheets/d/1JtRfZkJMHtEhI5RdRHxYUG4FIZHqKDpNyIuN7A1Q0_k/edit?usp=sharing"",""พิษณุโลก!R72"")"),0)</f>
        <v>0</v>
      </c>
      <c r="T22" s="86">
        <f ca="1">IFERROR(__xludf.DUMMYFUNCTION("IMPORTRANGE(""https://docs.google.com/spreadsheets/d/1JtRfZkJMHtEhI5RdRHxYUG4FIZHqKDpNyIuN7A1Q0_k/edit?usp=sharing"",""พิษณุโลก!S72"")"),0)</f>
        <v>0</v>
      </c>
      <c r="U22" s="87">
        <f t="shared" ca="1" si="35"/>
        <v>0</v>
      </c>
      <c r="V22" s="87">
        <f t="shared" ca="1" si="36"/>
        <v>0</v>
      </c>
      <c r="W22" s="97">
        <f t="shared" ca="1" si="37"/>
        <v>2</v>
      </c>
      <c r="X22" s="97">
        <f t="shared" ca="1" si="38"/>
        <v>114</v>
      </c>
      <c r="Y22" s="97">
        <f t="shared" ca="1" si="44"/>
        <v>0</v>
      </c>
      <c r="Z22" s="98">
        <f t="shared" ca="1" si="39"/>
        <v>0</v>
      </c>
      <c r="AA22" s="97">
        <f t="shared" ca="1" si="45"/>
        <v>0</v>
      </c>
      <c r="AB22" s="98">
        <f t="shared" ca="1" si="40"/>
        <v>0</v>
      </c>
      <c r="AC22" s="93">
        <f ca="1">IFERROR(__xludf.DUMMYFUNCTION("IMPORTRANGE(""https://docs.google.com/spreadsheets/d/1JtRfZkJMHtEhI5RdRHxYUG4FIZHqKDpNyIuN7A1Q0_k/edit?usp=sharing"",""พิษณุโลก!I84"")"),0)</f>
        <v>0</v>
      </c>
      <c r="AD22" s="93">
        <f ca="1">IFERROR(__xludf.DUMMYFUNCTION("IMPORTRANGE(""https://docs.google.com/spreadsheets/d/1JtRfZkJMHtEhI5RdRHxYUG4FIZHqKDpNyIuN7A1Q0_k/edit?usp=sharing"",""พิษณุโลก!I85"")"),0)</f>
        <v>0</v>
      </c>
      <c r="AE22" s="97">
        <f ca="1">IFERROR(__xludf.DUMMYFUNCTION("IMPORTRANGE(""https://docs.google.com/spreadsheets/d/1JtRfZkJMHtEhI5RdRHxYUG4FIZHqKDpNyIuN7A1Q0_k/edit?usp=sharing"",""พิษณุโลก!J84"")"),0)</f>
        <v>0</v>
      </c>
      <c r="AF22" s="97">
        <f ca="1">IFERROR(__xludf.DUMMYFUNCTION("IMPORTRANGE(""https://docs.google.com/spreadsheets/d/1JtRfZkJMHtEhI5RdRHxYUG4FIZHqKDpNyIuN7A1Q0_k/edit?usp=sharing"",""พิษณุโลก!J85"")"),0)</f>
        <v>0</v>
      </c>
      <c r="AG22" s="93">
        <f ca="1">IFERROR(__xludf.DUMMYFUNCTION("IMPORTRANGE(""https://docs.google.com/spreadsheets/d/1JtRfZkJMHtEhI5RdRHxYUG4FIZHqKDpNyIuN7A1Q0_k/edit?usp=sharing"",""พิษณุโลก!I86"")"),2)</f>
        <v>2</v>
      </c>
      <c r="AH22" s="93">
        <f ca="1">IFERROR(__xludf.DUMMYFUNCTION("IMPORTRANGE(""https://docs.google.com/spreadsheets/d/1JtRfZkJMHtEhI5RdRHxYUG4FIZHqKDpNyIuN7A1Q0_k/edit?usp=sharing"",""พิษณุโลก!I87"")"),114)</f>
        <v>114</v>
      </c>
      <c r="AI22" s="97">
        <f ca="1">IFERROR(__xludf.DUMMYFUNCTION("IMPORTRANGE(""https://docs.google.com/spreadsheets/d/1JtRfZkJMHtEhI5RdRHxYUG4FIZHqKDpNyIuN7A1Q0_k/edit?usp=sharing"",""พิษณุโลก!J86"")"),0)</f>
        <v>0</v>
      </c>
      <c r="AJ22" s="97">
        <f ca="1">IFERROR(__xludf.DUMMYFUNCTION("IMPORTRANGE(""https://docs.google.com/spreadsheets/d/1JtRfZkJMHtEhI5RdRHxYUG4FIZHqKDpNyIuN7A1Q0_k/edit?usp=sharing"",""พิษณุโลก!J87"")"),0)</f>
        <v>0</v>
      </c>
      <c r="AK22" s="93">
        <f ca="1">IFERROR(__xludf.DUMMYFUNCTION("IMPORTRANGE(""https://docs.google.com/spreadsheets/d/1JtRfZkJMHtEhI5RdRHxYUG4FIZHqKDpNyIuN7A1Q0_k/edit?usp=sharing"",""พิษณุโลก!I88"")"),0)</f>
        <v>0</v>
      </c>
      <c r="AL22" s="93">
        <f ca="1">IFERROR(__xludf.DUMMYFUNCTION("IMPORTRANGE(""https://docs.google.com/spreadsheets/d/1JtRfZkJMHtEhI5RdRHxYUG4FIZHqKDpNyIuN7A1Q0_k/edit?usp=sharing"",""พิษณุโลก!I89"")"),0)</f>
        <v>0</v>
      </c>
      <c r="AM22" s="97">
        <f ca="1">IFERROR(__xludf.DUMMYFUNCTION("IMPORTRANGE(""https://docs.google.com/spreadsheets/d/1JtRfZkJMHtEhI5RdRHxYUG4FIZHqKDpNyIuN7A1Q0_k/edit?usp=sharing"",""พิษณุโลก!J88"")"),0)</f>
        <v>0</v>
      </c>
      <c r="AN22" s="97">
        <f ca="1">IFERROR(__xludf.DUMMYFUNCTION("IMPORTRANGE(""https://docs.google.com/spreadsheets/d/1JtRfZkJMHtEhI5RdRHxYUG4FIZHqKDpNyIuN7A1Q0_k/edit?usp=sharing"",""พิษณุโลก!J89"")"),0)</f>
        <v>0</v>
      </c>
      <c r="AO22" s="93">
        <f ca="1">IFERROR(__xludf.DUMMYFUNCTION("IMPORTRANGE(""https://docs.google.com/spreadsheets/d/1JtRfZkJMHtEhI5RdRHxYUG4FIZHqKDpNyIuN7A1Q0_k/edit?usp=sharing"",""พิษณุโลก!I90"")"),2)</f>
        <v>2</v>
      </c>
      <c r="AP22" s="97">
        <f ca="1">IFERROR(__xludf.DUMMYFUNCTION("IMPORTRANGE(""https://docs.google.com/spreadsheets/d/1JtRfZkJMHtEhI5RdRHxYUG4FIZHqKDpNyIuN7A1Q0_k/edit?usp=sharing"",""พิษณุโลก!J90"")"),0)</f>
        <v>0</v>
      </c>
      <c r="AQ22" s="95">
        <f t="shared" ca="1" si="42"/>
        <v>0</v>
      </c>
    </row>
    <row r="23" spans="1:43" ht="24" customHeight="1" x14ac:dyDescent="0.3">
      <c r="A23" s="89">
        <v>10</v>
      </c>
      <c r="B23" s="90" t="s">
        <v>49</v>
      </c>
      <c r="C23" s="91">
        <f t="shared" ca="1" si="26"/>
        <v>0</v>
      </c>
      <c r="D23" s="92">
        <f t="shared" ca="1" si="43"/>
        <v>0</v>
      </c>
      <c r="E23" s="93">
        <f ca="1">IFERROR(__xludf.DUMMYFUNCTION("IMPORTRANGE(""https://docs.google.com/spreadsheets/d/1-uDff_7J0KD5mKrp0Vvzr7lt3OU09vwQwhkpOPPYv2Y/edit?usp=sharing"",""งบพรบ!AN23"")"),0)</f>
        <v>0</v>
      </c>
      <c r="F23" s="93">
        <f ca="1">IFERROR(__xludf.DUMMYFUNCTION("IMPORTRANGE(""https://docs.google.com/spreadsheets/d/1-uDff_7J0KD5mKrp0Vvzr7lt3OU09vwQwhkpOPPYv2Y/edit?usp=sharing"",""งบพรบ!AO23"")"),0)</f>
        <v>0</v>
      </c>
      <c r="G23" s="93">
        <f ca="1">IFERROR(__xludf.DUMMYFUNCTION("IMPORTRANGE(""https://docs.google.com/spreadsheets/d/1-uDff_7J0KD5mKrp0Vvzr7lt3OU09vwQwhkpOPPYv2Y/edit?usp=sharing"",""งบพรบ!AP23"")"),0)</f>
        <v>0</v>
      </c>
      <c r="H23" s="93">
        <f ca="1">IFERROR(__xludf.DUMMYFUNCTION("IMPORTRANGE(""https://docs.google.com/spreadsheets/d/1-uDff_7J0KD5mKrp0Vvzr7lt3OU09vwQwhkpOPPYv2Y/edit?usp=sharing"",""งบพรบ!AR23"")"),0)</f>
        <v>0</v>
      </c>
      <c r="I23" s="93">
        <f ca="1">IFERROR(__xludf.DUMMYFUNCTION("IMPORTRANGE(""https://docs.google.com/spreadsheets/d/1-uDff_7J0KD5mKrp0Vvzr7lt3OU09vwQwhkpOPPYv2Y/edit?usp=sharing"",""งบพรบ!AS23"")"),0)</f>
        <v>0</v>
      </c>
      <c r="J23" s="93">
        <f t="shared" ca="1" si="28"/>
        <v>0</v>
      </c>
      <c r="K23" s="94">
        <f t="shared" ca="1" si="29"/>
        <v>0</v>
      </c>
      <c r="L23" s="93">
        <f ca="1">IFERROR(__xludf.DUMMYFUNCTION("IMPORTRANGE(""https://docs.google.com/spreadsheets/d/1-uDff_7J0KD5mKrp0Vvzr7lt3OU09vwQwhkpOPPYv2Y/edit?usp=sharing"",""งบพรบ!AT23"")"),0)</f>
        <v>0</v>
      </c>
      <c r="M23" s="95">
        <f t="shared" ca="1" si="30"/>
        <v>0</v>
      </c>
      <c r="N23" s="95">
        <f t="shared" ca="1" si="31"/>
        <v>0</v>
      </c>
      <c r="O23" s="96">
        <f ca="1">IFERROR(__xludf.DUMMYFUNCTION("IMPORTRANGE(""https://docs.google.com/spreadsheets/d/1-uDff_7J0KD5mKrp0Vvzr7lt3OU09vwQwhkpOPPYv2Y/edit?usp=sharing"",""งบพรบ!AU23"")"),0)</f>
        <v>0</v>
      </c>
      <c r="P23" s="96">
        <f t="shared" ca="1" si="32"/>
        <v>0</v>
      </c>
      <c r="Q23" s="95">
        <f t="shared" ca="1" si="33"/>
        <v>0</v>
      </c>
      <c r="R23" s="86">
        <f ca="1">IFERROR(__xludf.DUMMYFUNCTION("IMPORTRANGE(""https://docs.google.com/spreadsheets/d/1xlcVZWUNn6SuWm0c307h32SiGkd9BaeQWlAktfD3KO8/edit?usp=sharing"",""เพชรบูรณ์!Q72"")"),422960)</f>
        <v>422960</v>
      </c>
      <c r="S23" s="86">
        <f ca="1">IFERROR(__xludf.DUMMYFUNCTION("IMPORTRANGE(""https://docs.google.com/spreadsheets/d/1xlcVZWUNn6SuWm0c307h32SiGkd9BaeQWlAktfD3KO8/edit?usp=sharing"",""เพชรบูรณ์!R72"")"),0)</f>
        <v>0</v>
      </c>
      <c r="T23" s="86">
        <f ca="1">IFERROR(__xludf.DUMMYFUNCTION("IMPORTRANGE(""https://docs.google.com/spreadsheets/d/1xlcVZWUNn6SuWm0c307h32SiGkd9BaeQWlAktfD3KO8/edit?usp=sharing"",""เพชรบูรณ์!S72"")"),0)</f>
        <v>0</v>
      </c>
      <c r="U23" s="87">
        <f t="shared" ca="1" si="35"/>
        <v>0</v>
      </c>
      <c r="V23" s="87">
        <f t="shared" ca="1" si="36"/>
        <v>0</v>
      </c>
      <c r="W23" s="97">
        <f t="shared" ca="1" si="37"/>
        <v>1</v>
      </c>
      <c r="X23" s="97">
        <f t="shared" ca="1" si="38"/>
        <v>33</v>
      </c>
      <c r="Y23" s="97">
        <f t="shared" ca="1" si="44"/>
        <v>0</v>
      </c>
      <c r="Z23" s="98">
        <f t="shared" ca="1" si="39"/>
        <v>0</v>
      </c>
      <c r="AA23" s="97">
        <f t="shared" ca="1" si="45"/>
        <v>0</v>
      </c>
      <c r="AB23" s="98">
        <f t="shared" ca="1" si="40"/>
        <v>0</v>
      </c>
      <c r="AC23" s="93">
        <f ca="1">IFERROR(__xludf.DUMMYFUNCTION("IMPORTRANGE(""https://docs.google.com/spreadsheets/d/1xlcVZWUNn6SuWm0c307h32SiGkd9BaeQWlAktfD3KO8/edit?usp=sharing"",""เพชรบูรณ์!I84"")"),1)</f>
        <v>1</v>
      </c>
      <c r="AD23" s="93">
        <f ca="1">IFERROR(__xludf.DUMMYFUNCTION("IMPORTRANGE(""https://docs.google.com/spreadsheets/d/1xlcVZWUNn6SuWm0c307h32SiGkd9BaeQWlAktfD3KO8/edit?usp=sharing"",""เพชรบูรณ์!I85"")"),33)</f>
        <v>33</v>
      </c>
      <c r="AE23" s="97">
        <f ca="1">IFERROR(__xludf.DUMMYFUNCTION("IMPORTRANGE(""https://docs.google.com/spreadsheets/d/1xlcVZWUNn6SuWm0c307h32SiGkd9BaeQWlAktfD3KO8/edit?usp=sharing"",""เพชรบูรณ์!J84"")"),0)</f>
        <v>0</v>
      </c>
      <c r="AF23" s="97">
        <f ca="1">IFERROR(__xludf.DUMMYFUNCTION("IMPORTRANGE(""https://docs.google.com/spreadsheets/d/1xlcVZWUNn6SuWm0c307h32SiGkd9BaeQWlAktfD3KO8/edit?usp=sharing"",""เพชรบูรณ์!J85"")"),0)</f>
        <v>0</v>
      </c>
      <c r="AG23" s="93">
        <f ca="1">IFERROR(__xludf.DUMMYFUNCTION("IMPORTRANGE(""https://docs.google.com/spreadsheets/d/1xlcVZWUNn6SuWm0c307h32SiGkd9BaeQWlAktfD3KO8/edit?usp=sharing"",""เพชรบูรณ์!I86"")"),0)</f>
        <v>0</v>
      </c>
      <c r="AH23" s="93">
        <f ca="1">IFERROR(__xludf.DUMMYFUNCTION("IMPORTRANGE(""https://docs.google.com/spreadsheets/d/1xlcVZWUNn6SuWm0c307h32SiGkd9BaeQWlAktfD3KO8/edit?usp=sharing"",""เพชรบูรณ์!I87"")"),0)</f>
        <v>0</v>
      </c>
      <c r="AI23" s="97">
        <f ca="1">IFERROR(__xludf.DUMMYFUNCTION("IMPORTRANGE(""https://docs.google.com/spreadsheets/d/1xlcVZWUNn6SuWm0c307h32SiGkd9BaeQWlAktfD3KO8/edit?usp=sharing"",""เพชรบูรณ์!J86"")"),0)</f>
        <v>0</v>
      </c>
      <c r="AJ23" s="97">
        <f ca="1">IFERROR(__xludf.DUMMYFUNCTION("IMPORTRANGE(""https://docs.google.com/spreadsheets/d/1xlcVZWUNn6SuWm0c307h32SiGkd9BaeQWlAktfD3KO8/edit?usp=sharing"",""เพชรบูรณ์!J87"")"),0)</f>
        <v>0</v>
      </c>
      <c r="AK23" s="93">
        <f ca="1">IFERROR(__xludf.DUMMYFUNCTION("IMPORTRANGE(""https://docs.google.com/spreadsheets/d/1xlcVZWUNn6SuWm0c307h32SiGkd9BaeQWlAktfD3KO8/edit?usp=sharing"",""เพชรบูรณ์!I88"")"),0)</f>
        <v>0</v>
      </c>
      <c r="AL23" s="93">
        <f ca="1">IFERROR(__xludf.DUMMYFUNCTION("IMPORTRANGE(""https://docs.google.com/spreadsheets/d/1xlcVZWUNn6SuWm0c307h32SiGkd9BaeQWlAktfD3KO8/edit?usp=sharing"",""เพชรบูรณ์!I89"")"),0)</f>
        <v>0</v>
      </c>
      <c r="AM23" s="97">
        <f ca="1">IFERROR(__xludf.DUMMYFUNCTION("IMPORTRANGE(""https://docs.google.com/spreadsheets/d/1xlcVZWUNn6SuWm0c307h32SiGkd9BaeQWlAktfD3KO8/edit?usp=sharing"",""เพชรบูรณ์!J88"")"),0)</f>
        <v>0</v>
      </c>
      <c r="AN23" s="97">
        <f ca="1">IFERROR(__xludf.DUMMYFUNCTION("IMPORTRANGE(""https://docs.google.com/spreadsheets/d/1xlcVZWUNn6SuWm0c307h32SiGkd9BaeQWlAktfD3KO8/edit?usp=sharing"",""เพชรบูรณ์!J89"")"),0)</f>
        <v>0</v>
      </c>
      <c r="AO23" s="93">
        <f ca="1">IFERROR(__xludf.DUMMYFUNCTION("IMPORTRANGE(""https://docs.google.com/spreadsheets/d/1xlcVZWUNn6SuWm0c307h32SiGkd9BaeQWlAktfD3KO8/edit?usp=sharing"",""เพชรบูรณ์!I90"")"),1)</f>
        <v>1</v>
      </c>
      <c r="AP23" s="97">
        <f ca="1">IFERROR(__xludf.DUMMYFUNCTION("IMPORTRANGE(""https://docs.google.com/spreadsheets/d/1xlcVZWUNn6SuWm0c307h32SiGkd9BaeQWlAktfD3KO8/edit?usp=sharing"",""เพชรบูรณ์!J90"")"),0)</f>
        <v>0</v>
      </c>
      <c r="AQ23" s="95">
        <f t="shared" ca="1" si="42"/>
        <v>0</v>
      </c>
    </row>
    <row r="24" spans="1:43" ht="24" customHeight="1" x14ac:dyDescent="0.3">
      <c r="A24" s="89">
        <v>11</v>
      </c>
      <c r="B24" s="90" t="s">
        <v>50</v>
      </c>
      <c r="C24" s="91">
        <f t="shared" ca="1" si="26"/>
        <v>0</v>
      </c>
      <c r="D24" s="92">
        <f t="shared" ca="1" si="43"/>
        <v>0</v>
      </c>
      <c r="E24" s="93">
        <f ca="1">IFERROR(__xludf.DUMMYFUNCTION("IMPORTRANGE(""https://docs.google.com/spreadsheets/d/1-uDff_7J0KD5mKrp0Vvzr7lt3OU09vwQwhkpOPPYv2Y/edit?usp=sharing"",""งบพรบ!AN24"")"),0)</f>
        <v>0</v>
      </c>
      <c r="F24" s="93">
        <f ca="1">IFERROR(__xludf.DUMMYFUNCTION("IMPORTRANGE(""https://docs.google.com/spreadsheets/d/1-uDff_7J0KD5mKrp0Vvzr7lt3OU09vwQwhkpOPPYv2Y/edit?usp=sharing"",""งบพรบ!AO24"")"),0)</f>
        <v>0</v>
      </c>
      <c r="G24" s="93">
        <f ca="1">IFERROR(__xludf.DUMMYFUNCTION("IMPORTRANGE(""https://docs.google.com/spreadsheets/d/1-uDff_7J0KD5mKrp0Vvzr7lt3OU09vwQwhkpOPPYv2Y/edit?usp=sharing"",""งบพรบ!AP24"")"),0)</f>
        <v>0</v>
      </c>
      <c r="H24" s="93">
        <f ca="1">IFERROR(__xludf.DUMMYFUNCTION("IMPORTRANGE(""https://docs.google.com/spreadsheets/d/1-uDff_7J0KD5mKrp0Vvzr7lt3OU09vwQwhkpOPPYv2Y/edit?usp=sharing"",""งบพรบ!AR24"")"),0)</f>
        <v>0</v>
      </c>
      <c r="I24" s="93">
        <f ca="1">IFERROR(__xludf.DUMMYFUNCTION("IMPORTRANGE(""https://docs.google.com/spreadsheets/d/1-uDff_7J0KD5mKrp0Vvzr7lt3OU09vwQwhkpOPPYv2Y/edit?usp=sharing"",""งบพรบ!AS24"")"),0)</f>
        <v>0</v>
      </c>
      <c r="J24" s="93">
        <f t="shared" ca="1" si="28"/>
        <v>0</v>
      </c>
      <c r="K24" s="94">
        <f t="shared" ca="1" si="29"/>
        <v>0</v>
      </c>
      <c r="L24" s="93">
        <f ca="1">IFERROR(__xludf.DUMMYFUNCTION("IMPORTRANGE(""https://docs.google.com/spreadsheets/d/1-uDff_7J0KD5mKrp0Vvzr7lt3OU09vwQwhkpOPPYv2Y/edit?usp=sharing"",""งบพรบ!AT24"")"),0)</f>
        <v>0</v>
      </c>
      <c r="M24" s="95">
        <f t="shared" ca="1" si="30"/>
        <v>0</v>
      </c>
      <c r="N24" s="95">
        <f t="shared" ca="1" si="31"/>
        <v>0</v>
      </c>
      <c r="O24" s="96">
        <f ca="1">IFERROR(__xludf.DUMMYFUNCTION("IMPORTRANGE(""https://docs.google.com/spreadsheets/d/1-uDff_7J0KD5mKrp0Vvzr7lt3OU09vwQwhkpOPPYv2Y/edit?usp=sharing"",""งบพรบ!AU24"")"),0)</f>
        <v>0</v>
      </c>
      <c r="P24" s="96">
        <f t="shared" ca="1" si="32"/>
        <v>0</v>
      </c>
      <c r="Q24" s="95">
        <f t="shared" ca="1" si="33"/>
        <v>0</v>
      </c>
      <c r="R24" s="86">
        <f ca="1">IFERROR(__xludf.DUMMYFUNCTION("IMPORTRANGE(""https://docs.google.com/spreadsheets/d/1lOVebEIsI9qjGXl6EX66luk7wiuP2tBaryw-wKvv4e0/edit?usp=sharing"",""แพร่!Q72"")"),410120)</f>
        <v>410120</v>
      </c>
      <c r="S24" s="86">
        <f ca="1">IFERROR(__xludf.DUMMYFUNCTION("IMPORTRANGE(""https://docs.google.com/spreadsheets/d/1lOVebEIsI9qjGXl6EX66luk7wiuP2tBaryw-wKvv4e0/edit?usp=sharing"",""แพร่!R72"")"),0)</f>
        <v>0</v>
      </c>
      <c r="T24" s="86">
        <f ca="1">IFERROR(__xludf.DUMMYFUNCTION("IMPORTRANGE(""https://docs.google.com/spreadsheets/d/1lOVebEIsI9qjGXl6EX66luk7wiuP2tBaryw-wKvv4e0/edit?usp=sharing"",""แพร่!S72"")"),0)</f>
        <v>0</v>
      </c>
      <c r="U24" s="87">
        <f t="shared" ca="1" si="35"/>
        <v>0</v>
      </c>
      <c r="V24" s="87">
        <f t="shared" ca="1" si="36"/>
        <v>0</v>
      </c>
      <c r="W24" s="97">
        <f t="shared" ca="1" si="37"/>
        <v>1</v>
      </c>
      <c r="X24" s="97">
        <f t="shared" ca="1" si="38"/>
        <v>31</v>
      </c>
      <c r="Y24" s="97">
        <f t="shared" ca="1" si="44"/>
        <v>0</v>
      </c>
      <c r="Z24" s="98">
        <f t="shared" ca="1" si="39"/>
        <v>0</v>
      </c>
      <c r="AA24" s="97">
        <f t="shared" ca="1" si="45"/>
        <v>0</v>
      </c>
      <c r="AB24" s="98">
        <f t="shared" ca="1" si="40"/>
        <v>0</v>
      </c>
      <c r="AC24" s="93">
        <f ca="1">IFERROR(__xludf.DUMMYFUNCTION("IMPORTRANGE(""https://docs.google.com/spreadsheets/d/1lOVebEIsI9qjGXl6EX66luk7wiuP2tBaryw-wKvv4e0/edit?usp=sharing"",""แพร่!I84"")"),1)</f>
        <v>1</v>
      </c>
      <c r="AD24" s="93">
        <f ca="1">IFERROR(__xludf.DUMMYFUNCTION("IMPORTRANGE(""https://docs.google.com/spreadsheets/d/1lOVebEIsI9qjGXl6EX66luk7wiuP2tBaryw-wKvv4e0/edit?usp=sharing"",""แพร่!I85"")"),31)</f>
        <v>31</v>
      </c>
      <c r="AE24" s="97">
        <f ca="1">IFERROR(__xludf.DUMMYFUNCTION("IMPORTRANGE(""https://docs.google.com/spreadsheets/d/1lOVebEIsI9qjGXl6EX66luk7wiuP2tBaryw-wKvv4e0/edit?usp=sharing"",""แพร่!J84"")"),0)</f>
        <v>0</v>
      </c>
      <c r="AF24" s="97">
        <f ca="1">IFERROR(__xludf.DUMMYFUNCTION("IMPORTRANGE(""https://docs.google.com/spreadsheets/d/1lOVebEIsI9qjGXl6EX66luk7wiuP2tBaryw-wKvv4e0/edit?usp=sharing"",""แพร่!J85"")"),0)</f>
        <v>0</v>
      </c>
      <c r="AG24" s="93">
        <f ca="1">IFERROR(__xludf.DUMMYFUNCTION("IMPORTRANGE(""https://docs.google.com/spreadsheets/d/1lOVebEIsI9qjGXl6EX66luk7wiuP2tBaryw-wKvv4e0/edit?usp=sharing"",""แพร่!I86"")"),0)</f>
        <v>0</v>
      </c>
      <c r="AH24" s="93">
        <f ca="1">IFERROR(__xludf.DUMMYFUNCTION("IMPORTRANGE(""https://docs.google.com/spreadsheets/d/1lOVebEIsI9qjGXl6EX66luk7wiuP2tBaryw-wKvv4e0/edit?usp=sharing"",""แพร่!I87"")"),0)</f>
        <v>0</v>
      </c>
      <c r="AI24" s="97">
        <f ca="1">IFERROR(__xludf.DUMMYFUNCTION("IMPORTRANGE(""https://docs.google.com/spreadsheets/d/1lOVebEIsI9qjGXl6EX66luk7wiuP2tBaryw-wKvv4e0/edit?usp=sharing"",""แพร่!J86"")"),0)</f>
        <v>0</v>
      </c>
      <c r="AJ24" s="97">
        <f ca="1">IFERROR(__xludf.DUMMYFUNCTION("IMPORTRANGE(""https://docs.google.com/spreadsheets/d/1lOVebEIsI9qjGXl6EX66luk7wiuP2tBaryw-wKvv4e0/edit?usp=sharing"",""แพร่!J87"")"),0)</f>
        <v>0</v>
      </c>
      <c r="AK24" s="93">
        <f ca="1">IFERROR(__xludf.DUMMYFUNCTION("IMPORTRANGE(""https://docs.google.com/spreadsheets/d/1lOVebEIsI9qjGXl6EX66luk7wiuP2tBaryw-wKvv4e0/edit?usp=sharing"",""แพร่!I88"")"),0)</f>
        <v>0</v>
      </c>
      <c r="AL24" s="93">
        <f ca="1">IFERROR(__xludf.DUMMYFUNCTION("IMPORTRANGE(""https://docs.google.com/spreadsheets/d/1lOVebEIsI9qjGXl6EX66luk7wiuP2tBaryw-wKvv4e0/edit?usp=sharing"",""แพร่!I89"")"),0)</f>
        <v>0</v>
      </c>
      <c r="AM24" s="97">
        <f ca="1">IFERROR(__xludf.DUMMYFUNCTION("IMPORTRANGE(""https://docs.google.com/spreadsheets/d/1lOVebEIsI9qjGXl6EX66luk7wiuP2tBaryw-wKvv4e0/edit?usp=sharing"",""แพร่!J88"")"),0)</f>
        <v>0</v>
      </c>
      <c r="AN24" s="97">
        <f ca="1">IFERROR(__xludf.DUMMYFUNCTION("IMPORTRANGE(""https://docs.google.com/spreadsheets/d/1lOVebEIsI9qjGXl6EX66luk7wiuP2tBaryw-wKvv4e0/edit?usp=sharing"",""แพร่!J89"")"),0)</f>
        <v>0</v>
      </c>
      <c r="AO24" s="93">
        <f ca="1">IFERROR(__xludf.DUMMYFUNCTION("IMPORTRANGE(""https://docs.google.com/spreadsheets/d/1lOVebEIsI9qjGXl6EX66luk7wiuP2tBaryw-wKvv4e0/edit?usp=sharing"",""แพร่!I90"")"),1)</f>
        <v>1</v>
      </c>
      <c r="AP24" s="97">
        <f ca="1">IFERROR(__xludf.DUMMYFUNCTION("IMPORTRANGE(""https://docs.google.com/spreadsheets/d/1lOVebEIsI9qjGXl6EX66luk7wiuP2tBaryw-wKvv4e0/edit?usp=sharing"",""แพร่!J90"")"),0)</f>
        <v>0</v>
      </c>
      <c r="AQ24" s="95">
        <f t="shared" ca="1" si="42"/>
        <v>0</v>
      </c>
    </row>
    <row r="25" spans="1:43" ht="24" customHeight="1" x14ac:dyDescent="0.3">
      <c r="A25" s="89">
        <v>12</v>
      </c>
      <c r="B25" s="90" t="s">
        <v>51</v>
      </c>
      <c r="C25" s="91">
        <f t="shared" ca="1" si="26"/>
        <v>0</v>
      </c>
      <c r="D25" s="92">
        <f t="shared" ca="1" si="43"/>
        <v>0</v>
      </c>
      <c r="E25" s="93">
        <f ca="1">IFERROR(__xludf.DUMMYFUNCTION("IMPORTRANGE(""https://docs.google.com/spreadsheets/d/1-uDff_7J0KD5mKrp0Vvzr7lt3OU09vwQwhkpOPPYv2Y/edit?usp=sharing"",""งบพรบ!AN25"")"),0)</f>
        <v>0</v>
      </c>
      <c r="F25" s="93">
        <f ca="1">IFERROR(__xludf.DUMMYFUNCTION("IMPORTRANGE(""https://docs.google.com/spreadsheets/d/1-uDff_7J0KD5mKrp0Vvzr7lt3OU09vwQwhkpOPPYv2Y/edit?usp=sharing"",""งบพรบ!AO25"")"),0)</f>
        <v>0</v>
      </c>
      <c r="G25" s="93">
        <f ca="1">IFERROR(__xludf.DUMMYFUNCTION("IMPORTRANGE(""https://docs.google.com/spreadsheets/d/1-uDff_7J0KD5mKrp0Vvzr7lt3OU09vwQwhkpOPPYv2Y/edit?usp=sharing"",""งบพรบ!AP25"")"),0)</f>
        <v>0</v>
      </c>
      <c r="H25" s="93">
        <f ca="1">IFERROR(__xludf.DUMMYFUNCTION("IMPORTRANGE(""https://docs.google.com/spreadsheets/d/1-uDff_7J0KD5mKrp0Vvzr7lt3OU09vwQwhkpOPPYv2Y/edit?usp=sharing"",""งบพรบ!AR25"")"),0)</f>
        <v>0</v>
      </c>
      <c r="I25" s="93">
        <f ca="1">IFERROR(__xludf.DUMMYFUNCTION("IMPORTRANGE(""https://docs.google.com/spreadsheets/d/1-uDff_7J0KD5mKrp0Vvzr7lt3OU09vwQwhkpOPPYv2Y/edit?usp=sharing"",""งบพรบ!AS25"")"),0)</f>
        <v>0</v>
      </c>
      <c r="J25" s="93">
        <f t="shared" ca="1" si="28"/>
        <v>0</v>
      </c>
      <c r="K25" s="94">
        <f t="shared" ca="1" si="29"/>
        <v>0</v>
      </c>
      <c r="L25" s="93">
        <f ca="1">IFERROR(__xludf.DUMMYFUNCTION("IMPORTRANGE(""https://docs.google.com/spreadsheets/d/1-uDff_7J0KD5mKrp0Vvzr7lt3OU09vwQwhkpOPPYv2Y/edit?usp=sharing"",""งบพรบ!AT25"")"),0)</f>
        <v>0</v>
      </c>
      <c r="M25" s="95">
        <f t="shared" ca="1" si="30"/>
        <v>0</v>
      </c>
      <c r="N25" s="95">
        <f t="shared" ca="1" si="31"/>
        <v>0</v>
      </c>
      <c r="O25" s="96">
        <f ca="1">IFERROR(__xludf.DUMMYFUNCTION("IMPORTRANGE(""https://docs.google.com/spreadsheets/d/1-uDff_7J0KD5mKrp0Vvzr7lt3OU09vwQwhkpOPPYv2Y/edit?usp=sharing"",""งบพรบ!AU25"")"),0)</f>
        <v>0</v>
      </c>
      <c r="P25" s="96">
        <f t="shared" ca="1" si="32"/>
        <v>0</v>
      </c>
      <c r="Q25" s="95">
        <f t="shared" ca="1" si="33"/>
        <v>0</v>
      </c>
      <c r="R25" s="86">
        <f ca="1">IFERROR(__xludf.DUMMYFUNCTION("IMPORTRANGE(""https://docs.google.com/spreadsheets/d/1dQrvX0vEcN7Gu0fnZ0B5S90AeR19zth4XlExFBeExMY/edit?usp=sharing"",""แม่ฮ่องสอน!Q72"")"),0)</f>
        <v>0</v>
      </c>
      <c r="S25" s="86">
        <f ca="1">IFERROR(__xludf.DUMMYFUNCTION("IMPORTRANGE(""https://docs.google.com/spreadsheets/d/1dQrvX0vEcN7Gu0fnZ0B5S90AeR19zth4XlExFBeExMY/edit?usp=sharing"",""แม่ฮ่องสอน!R72"")"),0)</f>
        <v>0</v>
      </c>
      <c r="T25" s="86">
        <f ca="1">IFERROR(__xludf.DUMMYFUNCTION("IMPORTRANGE(""https://docs.google.com/spreadsheets/d/1dQrvX0vEcN7Gu0fnZ0B5S90AeR19zth4XlExFBeExMY/edit?usp=sharing"",""แม่ฮ่องสอน!S72"")"),0)</f>
        <v>0</v>
      </c>
      <c r="U25" s="87">
        <f t="shared" ca="1" si="35"/>
        <v>0</v>
      </c>
      <c r="V25" s="87">
        <f t="shared" ca="1" si="36"/>
        <v>0</v>
      </c>
      <c r="W25" s="97">
        <f t="shared" ca="1" si="37"/>
        <v>0</v>
      </c>
      <c r="X25" s="97">
        <f t="shared" ca="1" si="38"/>
        <v>0</v>
      </c>
      <c r="Y25" s="97">
        <f t="shared" ca="1" si="44"/>
        <v>0</v>
      </c>
      <c r="Z25" s="98">
        <f t="shared" ca="1" si="39"/>
        <v>0</v>
      </c>
      <c r="AA25" s="97">
        <f t="shared" ca="1" si="45"/>
        <v>0</v>
      </c>
      <c r="AB25" s="98">
        <f t="shared" ca="1" si="40"/>
        <v>0</v>
      </c>
      <c r="AC25" s="93">
        <f ca="1">IFERROR(__xludf.DUMMYFUNCTION("IMPORTRANGE(""https://docs.google.com/spreadsheets/d/1dQrvX0vEcN7Gu0fnZ0B5S90AeR19zth4XlExFBeExMY/edit?usp=sharing"",""แม่ฮ่องสอน!I84"")"),0)</f>
        <v>0</v>
      </c>
      <c r="AD25" s="93">
        <f ca="1">IFERROR(__xludf.DUMMYFUNCTION("IMPORTRANGE(""https://docs.google.com/spreadsheets/d/1dQrvX0vEcN7Gu0fnZ0B5S90AeR19zth4XlExFBeExMY/edit?usp=sharing"",""แม่ฮ่องสอน!I85"")"),0)</f>
        <v>0</v>
      </c>
      <c r="AE25" s="97">
        <f ca="1">IFERROR(__xludf.DUMMYFUNCTION("IMPORTRANGE(""https://docs.google.com/spreadsheets/d/1dQrvX0vEcN7Gu0fnZ0B5S90AeR19zth4XlExFBeExMY/edit?usp=sharing"",""แม่ฮ่องสอน!J84"")"),0)</f>
        <v>0</v>
      </c>
      <c r="AF25" s="97">
        <f ca="1">IFERROR(__xludf.DUMMYFUNCTION("IMPORTRANGE(""https://docs.google.com/spreadsheets/d/1dQrvX0vEcN7Gu0fnZ0B5S90AeR19zth4XlExFBeExMY/edit?usp=sharing"",""แม่ฮ่องสอน!J85"")"),0)</f>
        <v>0</v>
      </c>
      <c r="AG25" s="93">
        <f ca="1">IFERROR(__xludf.DUMMYFUNCTION("IMPORTRANGE(""https://docs.google.com/spreadsheets/d/1dQrvX0vEcN7Gu0fnZ0B5S90AeR19zth4XlExFBeExMY/edit?usp=sharing"",""แม่ฮ่องสอน!I86"")"),0)</f>
        <v>0</v>
      </c>
      <c r="AH25" s="93">
        <f ca="1">IFERROR(__xludf.DUMMYFUNCTION("IMPORTRANGE(""https://docs.google.com/spreadsheets/d/1dQrvX0vEcN7Gu0fnZ0B5S90AeR19zth4XlExFBeExMY/edit?usp=sharing"",""แม่ฮ่องสอน!I87"")"),0)</f>
        <v>0</v>
      </c>
      <c r="AI25" s="97">
        <f ca="1">IFERROR(__xludf.DUMMYFUNCTION("IMPORTRANGE(""https://docs.google.com/spreadsheets/d/1dQrvX0vEcN7Gu0fnZ0B5S90AeR19zth4XlExFBeExMY/edit?usp=sharing"",""แม่ฮ่องสอน!J86"")"),0)</f>
        <v>0</v>
      </c>
      <c r="AJ25" s="97">
        <f ca="1">IFERROR(__xludf.DUMMYFUNCTION("IMPORTRANGE(""https://docs.google.com/spreadsheets/d/1dQrvX0vEcN7Gu0fnZ0B5S90AeR19zth4XlExFBeExMY/edit?usp=sharing"",""แม่ฮ่องสอน!J87"")"),0)</f>
        <v>0</v>
      </c>
      <c r="AK25" s="93">
        <f ca="1">IFERROR(__xludf.DUMMYFUNCTION("IMPORTRANGE(""https://docs.google.com/spreadsheets/d/1dQrvX0vEcN7Gu0fnZ0B5S90AeR19zth4XlExFBeExMY/edit?usp=sharing"",""แม่ฮ่องสอน!I88"")"),0)</f>
        <v>0</v>
      </c>
      <c r="AL25" s="93">
        <f ca="1">IFERROR(__xludf.DUMMYFUNCTION("IMPORTRANGE(""https://docs.google.com/spreadsheets/d/1dQrvX0vEcN7Gu0fnZ0B5S90AeR19zth4XlExFBeExMY/edit?usp=sharing"",""แม่ฮ่องสอน!I89"")"),0)</f>
        <v>0</v>
      </c>
      <c r="AM25" s="97">
        <f ca="1">IFERROR(__xludf.DUMMYFUNCTION("IMPORTRANGE(""https://docs.google.com/spreadsheets/d/1dQrvX0vEcN7Gu0fnZ0B5S90AeR19zth4XlExFBeExMY/edit?usp=sharing"",""แม่ฮ่องสอน!J88"")"),0)</f>
        <v>0</v>
      </c>
      <c r="AN25" s="97">
        <f ca="1">IFERROR(__xludf.DUMMYFUNCTION("IMPORTRANGE(""https://docs.google.com/spreadsheets/d/1dQrvX0vEcN7Gu0fnZ0B5S90AeR19zth4XlExFBeExMY/edit?usp=sharing"",""แม่ฮ่องสอน!J89"")"),0)</f>
        <v>0</v>
      </c>
      <c r="AO25" s="93">
        <f ca="1">IFERROR(__xludf.DUMMYFUNCTION("IMPORTRANGE(""https://docs.google.com/spreadsheets/d/1dQrvX0vEcN7Gu0fnZ0B5S90AeR19zth4XlExFBeExMY/edit?usp=sharing"",""แม่ฮ่องสอน!I90"")"),0)</f>
        <v>0</v>
      </c>
      <c r="AP25" s="97">
        <f ca="1">IFERROR(__xludf.DUMMYFUNCTION("IMPORTRANGE(""https://docs.google.com/spreadsheets/d/1dQrvX0vEcN7Gu0fnZ0B5S90AeR19zth4XlExFBeExMY/edit?usp=sharing"",""แม่ฮ่องสอน!J90"")"),0)</f>
        <v>0</v>
      </c>
      <c r="AQ25" s="95">
        <f t="shared" ca="1" si="42"/>
        <v>0</v>
      </c>
    </row>
    <row r="26" spans="1:43" ht="24" customHeight="1" x14ac:dyDescent="0.3">
      <c r="A26" s="89">
        <v>13</v>
      </c>
      <c r="B26" s="90" t="s">
        <v>52</v>
      </c>
      <c r="C26" s="91">
        <f t="shared" ca="1" si="26"/>
        <v>0</v>
      </c>
      <c r="D26" s="92">
        <f t="shared" ca="1" si="43"/>
        <v>0</v>
      </c>
      <c r="E26" s="93">
        <f ca="1">IFERROR(__xludf.DUMMYFUNCTION("IMPORTRANGE(""https://docs.google.com/spreadsheets/d/1-uDff_7J0KD5mKrp0Vvzr7lt3OU09vwQwhkpOPPYv2Y/edit?usp=sharing"",""งบพรบ!AN26"")"),0)</f>
        <v>0</v>
      </c>
      <c r="F26" s="93">
        <f ca="1">IFERROR(__xludf.DUMMYFUNCTION("IMPORTRANGE(""https://docs.google.com/spreadsheets/d/1-uDff_7J0KD5mKrp0Vvzr7lt3OU09vwQwhkpOPPYv2Y/edit?usp=sharing"",""งบพรบ!AO26"")"),0)</f>
        <v>0</v>
      </c>
      <c r="G26" s="93">
        <f ca="1">IFERROR(__xludf.DUMMYFUNCTION("IMPORTRANGE(""https://docs.google.com/spreadsheets/d/1-uDff_7J0KD5mKrp0Vvzr7lt3OU09vwQwhkpOPPYv2Y/edit?usp=sharing"",""งบพรบ!AP26"")"),0)</f>
        <v>0</v>
      </c>
      <c r="H26" s="93">
        <f ca="1">IFERROR(__xludf.DUMMYFUNCTION("IMPORTRANGE(""https://docs.google.com/spreadsheets/d/1-uDff_7J0KD5mKrp0Vvzr7lt3OU09vwQwhkpOPPYv2Y/edit?usp=sharing"",""งบพรบ!AR26"")"),0)</f>
        <v>0</v>
      </c>
      <c r="I26" s="93">
        <f ca="1">IFERROR(__xludf.DUMMYFUNCTION("IMPORTRANGE(""https://docs.google.com/spreadsheets/d/1-uDff_7J0KD5mKrp0Vvzr7lt3OU09vwQwhkpOPPYv2Y/edit?usp=sharing"",""งบพรบ!AS26"")"),0)</f>
        <v>0</v>
      </c>
      <c r="J26" s="93">
        <f t="shared" ca="1" si="28"/>
        <v>0</v>
      </c>
      <c r="K26" s="94">
        <f t="shared" ca="1" si="29"/>
        <v>0</v>
      </c>
      <c r="L26" s="93">
        <f ca="1">IFERROR(__xludf.DUMMYFUNCTION("IMPORTRANGE(""https://docs.google.com/spreadsheets/d/1-uDff_7J0KD5mKrp0Vvzr7lt3OU09vwQwhkpOPPYv2Y/edit?usp=sharing"",""งบพรบ!AT26"")"),0)</f>
        <v>0</v>
      </c>
      <c r="M26" s="95">
        <f t="shared" ca="1" si="30"/>
        <v>0</v>
      </c>
      <c r="N26" s="95">
        <f t="shared" ca="1" si="31"/>
        <v>0</v>
      </c>
      <c r="O26" s="96">
        <f ca="1">IFERROR(__xludf.DUMMYFUNCTION("IMPORTRANGE(""https://docs.google.com/spreadsheets/d/1-uDff_7J0KD5mKrp0Vvzr7lt3OU09vwQwhkpOPPYv2Y/edit?usp=sharing"",""งบพรบ!AU26"")"),0)</f>
        <v>0</v>
      </c>
      <c r="P26" s="96">
        <f t="shared" ca="1" si="32"/>
        <v>0</v>
      </c>
      <c r="Q26" s="95">
        <f t="shared" ca="1" si="33"/>
        <v>0</v>
      </c>
      <c r="R26" s="86">
        <f ca="1">IFERROR(__xludf.DUMMYFUNCTION("IMPORTRANGE(""https://docs.google.com/spreadsheets/d/1DY4XTNNwjluuxqdfdn6qvOSlMRrZqUtmYcZR0ttFiG4/edit?usp=sharing"",""ลำปาง!Q72"")"),1552240)</f>
        <v>1552240</v>
      </c>
      <c r="S26" s="86">
        <f ca="1">IFERROR(__xludf.DUMMYFUNCTION("IMPORTRANGE(""https://docs.google.com/spreadsheets/d/1DY4XTNNwjluuxqdfdn6qvOSlMRrZqUtmYcZR0ttFiG4/edit?usp=sharing"",""ลำปาง!R72"")"),0)</f>
        <v>0</v>
      </c>
      <c r="T26" s="86">
        <f ca="1">IFERROR(__xludf.DUMMYFUNCTION("IMPORTRANGE(""https://docs.google.com/spreadsheets/d/1DY4XTNNwjluuxqdfdn6qvOSlMRrZqUtmYcZR0ttFiG4/edit?usp=sharing"",""ลำปาง!S72"")"),0)</f>
        <v>0</v>
      </c>
      <c r="U26" s="87">
        <f t="shared" ca="1" si="35"/>
        <v>0</v>
      </c>
      <c r="V26" s="87">
        <f t="shared" ca="1" si="36"/>
        <v>0</v>
      </c>
      <c r="W26" s="97">
        <f t="shared" ca="1" si="37"/>
        <v>2</v>
      </c>
      <c r="X26" s="97">
        <f t="shared" ca="1" si="38"/>
        <v>177</v>
      </c>
      <c r="Y26" s="97">
        <f t="shared" ca="1" si="44"/>
        <v>0</v>
      </c>
      <c r="Z26" s="98">
        <f t="shared" ca="1" si="39"/>
        <v>0</v>
      </c>
      <c r="AA26" s="97">
        <f t="shared" ca="1" si="45"/>
        <v>0</v>
      </c>
      <c r="AB26" s="98">
        <f t="shared" ca="1" si="40"/>
        <v>0</v>
      </c>
      <c r="AC26" s="93">
        <f ca="1">IFERROR(__xludf.DUMMYFUNCTION("IMPORTRANGE(""https://docs.google.com/spreadsheets/d/1DY4XTNNwjluuxqdfdn6qvOSlMRrZqUtmYcZR0ttFiG4/edit?usp=sharing"",""ลำปาง!I84"")"),2)</f>
        <v>2</v>
      </c>
      <c r="AD26" s="93">
        <f ca="1">IFERROR(__xludf.DUMMYFUNCTION("IMPORTRANGE(""https://docs.google.com/spreadsheets/d/1DY4XTNNwjluuxqdfdn6qvOSlMRrZqUtmYcZR0ttFiG4/edit?usp=sharing"",""ลำปาง!I85"")"),177)</f>
        <v>177</v>
      </c>
      <c r="AE26" s="97">
        <f ca="1">IFERROR(__xludf.DUMMYFUNCTION("IMPORTRANGE(""https://docs.google.com/spreadsheets/d/1DY4XTNNwjluuxqdfdn6qvOSlMRrZqUtmYcZR0ttFiG4/edit?usp=sharing"",""ลำปาง!J84"")"),0)</f>
        <v>0</v>
      </c>
      <c r="AF26" s="97">
        <f ca="1">IFERROR(__xludf.DUMMYFUNCTION("IMPORTRANGE(""https://docs.google.com/spreadsheets/d/1DY4XTNNwjluuxqdfdn6qvOSlMRrZqUtmYcZR0ttFiG4/edit?usp=sharing"",""ลำปาง!J85"")"),0)</f>
        <v>0</v>
      </c>
      <c r="AG26" s="93">
        <f ca="1">IFERROR(__xludf.DUMMYFUNCTION("IMPORTRANGE(""https://docs.google.com/spreadsheets/d/1DY4XTNNwjluuxqdfdn6qvOSlMRrZqUtmYcZR0ttFiG4/edit?usp=sharing"",""ลำปาง!I86"")"),0)</f>
        <v>0</v>
      </c>
      <c r="AH26" s="93">
        <f ca="1">IFERROR(__xludf.DUMMYFUNCTION("IMPORTRANGE(""https://docs.google.com/spreadsheets/d/1DY4XTNNwjluuxqdfdn6qvOSlMRrZqUtmYcZR0ttFiG4/edit?usp=sharing"",""ลำปาง!I87"")"),0)</f>
        <v>0</v>
      </c>
      <c r="AI26" s="97">
        <f ca="1">IFERROR(__xludf.DUMMYFUNCTION("IMPORTRANGE(""https://docs.google.com/spreadsheets/d/1DY4XTNNwjluuxqdfdn6qvOSlMRrZqUtmYcZR0ttFiG4/edit?usp=sharing"",""ลำปาง!J86"")"),0)</f>
        <v>0</v>
      </c>
      <c r="AJ26" s="97">
        <f ca="1">IFERROR(__xludf.DUMMYFUNCTION("IMPORTRANGE(""https://docs.google.com/spreadsheets/d/1DY4XTNNwjluuxqdfdn6qvOSlMRrZqUtmYcZR0ttFiG4/edit?usp=sharing"",""ลำปาง!J87"")"),0)</f>
        <v>0</v>
      </c>
      <c r="AK26" s="93">
        <f ca="1">IFERROR(__xludf.DUMMYFUNCTION("IMPORTRANGE(""https://docs.google.com/spreadsheets/d/1DY4XTNNwjluuxqdfdn6qvOSlMRrZqUtmYcZR0ttFiG4/edit?usp=sharing"",""ลำปาง!I88"")"),0)</f>
        <v>0</v>
      </c>
      <c r="AL26" s="93">
        <f ca="1">IFERROR(__xludf.DUMMYFUNCTION("IMPORTRANGE(""https://docs.google.com/spreadsheets/d/1DY4XTNNwjluuxqdfdn6qvOSlMRrZqUtmYcZR0ttFiG4/edit?usp=sharing"",""ลำปาง!I89"")"),0)</f>
        <v>0</v>
      </c>
      <c r="AM26" s="97">
        <f ca="1">IFERROR(__xludf.DUMMYFUNCTION("IMPORTRANGE(""https://docs.google.com/spreadsheets/d/1DY4XTNNwjluuxqdfdn6qvOSlMRrZqUtmYcZR0ttFiG4/edit?usp=sharing"",""ลำปาง!J88"")"),0)</f>
        <v>0</v>
      </c>
      <c r="AN26" s="97">
        <f ca="1">IFERROR(__xludf.DUMMYFUNCTION("IMPORTRANGE(""https://docs.google.com/spreadsheets/d/1DY4XTNNwjluuxqdfdn6qvOSlMRrZqUtmYcZR0ttFiG4/edit?usp=sharing"",""ลำปาง!J89"")"),0)</f>
        <v>0</v>
      </c>
      <c r="AO26" s="93">
        <f ca="1">IFERROR(__xludf.DUMMYFUNCTION("IMPORTRANGE(""https://docs.google.com/spreadsheets/d/1DY4XTNNwjluuxqdfdn6qvOSlMRrZqUtmYcZR0ttFiG4/edit?usp=sharing"",""ลำปาง!I90"")"),2)</f>
        <v>2</v>
      </c>
      <c r="AP26" s="97">
        <f ca="1">IFERROR(__xludf.DUMMYFUNCTION("IMPORTRANGE(""https://docs.google.com/spreadsheets/d/1DY4XTNNwjluuxqdfdn6qvOSlMRrZqUtmYcZR0ttFiG4/edit?usp=sharing"",""ลำปาง!J90"")"),0)</f>
        <v>0</v>
      </c>
      <c r="AQ26" s="95">
        <f t="shared" ca="1" si="42"/>
        <v>0</v>
      </c>
    </row>
    <row r="27" spans="1:43" ht="24" customHeight="1" x14ac:dyDescent="0.3">
      <c r="A27" s="89">
        <v>14</v>
      </c>
      <c r="B27" s="90" t="s">
        <v>53</v>
      </c>
      <c r="C27" s="91">
        <f t="shared" ca="1" si="26"/>
        <v>633500</v>
      </c>
      <c r="D27" s="92">
        <f t="shared" ca="1" si="43"/>
        <v>633500</v>
      </c>
      <c r="E27" s="93">
        <f ca="1">IFERROR(__xludf.DUMMYFUNCTION("IMPORTRANGE(""https://docs.google.com/spreadsheets/d/1-uDff_7J0KD5mKrp0Vvzr7lt3OU09vwQwhkpOPPYv2Y/edit?usp=sharing"",""งบพรบ!AN27"")"),381500)</f>
        <v>381500</v>
      </c>
      <c r="F27" s="93">
        <f ca="1">IFERROR(__xludf.DUMMYFUNCTION("IMPORTRANGE(""https://docs.google.com/spreadsheets/d/1-uDff_7J0KD5mKrp0Vvzr7lt3OU09vwQwhkpOPPYv2Y/edit?usp=sharing"",""งบพรบ!AO27"")"),252000)</f>
        <v>252000</v>
      </c>
      <c r="G27" s="93">
        <f ca="1">IFERROR(__xludf.DUMMYFUNCTION("IMPORTRANGE(""https://docs.google.com/spreadsheets/d/1-uDff_7J0KD5mKrp0Vvzr7lt3OU09vwQwhkpOPPYv2Y/edit?usp=sharing"",""งบพรบ!AP27"")"),0)</f>
        <v>0</v>
      </c>
      <c r="H27" s="93">
        <f ca="1">IFERROR(__xludf.DUMMYFUNCTION("IMPORTRANGE(""https://docs.google.com/spreadsheets/d/1-uDff_7J0KD5mKrp0Vvzr7lt3OU09vwQwhkpOPPYv2Y/edit?usp=sharing"",""งบพรบ!AR27"")"),459950)</f>
        <v>459950</v>
      </c>
      <c r="I27" s="93">
        <f ca="1">IFERROR(__xludf.DUMMYFUNCTION("IMPORTRANGE(""https://docs.google.com/spreadsheets/d/1-uDff_7J0KD5mKrp0Vvzr7lt3OU09vwQwhkpOPPYv2Y/edit?usp=sharing"",""งบพรบ!AS27"")"),0)</f>
        <v>0</v>
      </c>
      <c r="J27" s="93">
        <f t="shared" ca="1" si="28"/>
        <v>135651.28</v>
      </c>
      <c r="K27" s="94">
        <f t="shared" ca="1" si="29"/>
        <v>21.412988161010261</v>
      </c>
      <c r="L27" s="93">
        <f ca="1">IFERROR(__xludf.DUMMYFUNCTION("IMPORTRANGE(""https://docs.google.com/spreadsheets/d/1-uDff_7J0KD5mKrp0Vvzr7lt3OU09vwQwhkpOPPYv2Y/edit?usp=sharing"",""งบพรบ!AT27"")"),135651.28)</f>
        <v>135651.28</v>
      </c>
      <c r="M27" s="95">
        <f t="shared" ca="1" si="30"/>
        <v>21.412988161010261</v>
      </c>
      <c r="N27" s="95">
        <f t="shared" ca="1" si="31"/>
        <v>29.492614414610284</v>
      </c>
      <c r="O27" s="96">
        <f ca="1">IFERROR(__xludf.DUMMYFUNCTION("IMPORTRANGE(""https://docs.google.com/spreadsheets/d/1-uDff_7J0KD5mKrp0Vvzr7lt3OU09vwQwhkpOPPYv2Y/edit?usp=sharing"",""งบพรบ!AU27"")"),0)</f>
        <v>0</v>
      </c>
      <c r="P27" s="96">
        <f t="shared" ca="1" si="32"/>
        <v>0</v>
      </c>
      <c r="Q27" s="95">
        <f t="shared" ca="1" si="33"/>
        <v>0</v>
      </c>
      <c r="R27" s="86">
        <f ca="1">IFERROR(__xludf.DUMMYFUNCTION("IMPORTRANGE(""https://docs.google.com/spreadsheets/d/1ICwG78r0OFT8biBlxnBF8r7she7gNSzOvJ958PWT09c/edit?usp=sharing"",""ลำพูน!Q72"")"),400800)</f>
        <v>400800</v>
      </c>
      <c r="S27" s="86">
        <f ca="1">IFERROR(__xludf.DUMMYFUNCTION("IMPORTRANGE(""https://docs.google.com/spreadsheets/d/1ICwG78r0OFT8biBlxnBF8r7she7gNSzOvJ958PWT09c/edit?usp=sharing"",""ลำพูน!R72"")"),0)</f>
        <v>0</v>
      </c>
      <c r="T27" s="86">
        <f ca="1">IFERROR(__xludf.DUMMYFUNCTION("IMPORTRANGE(""https://docs.google.com/spreadsheets/d/1ICwG78r0OFT8biBlxnBF8r7she7gNSzOvJ958PWT09c/edit?usp=sharing"",""ลำพูน!S72"")"),0)</f>
        <v>0</v>
      </c>
      <c r="U27" s="87">
        <f t="shared" ca="1" si="35"/>
        <v>0</v>
      </c>
      <c r="V27" s="87">
        <f t="shared" ca="1" si="36"/>
        <v>0</v>
      </c>
      <c r="W27" s="97">
        <f t="shared" ca="1" si="37"/>
        <v>1</v>
      </c>
      <c r="X27" s="97">
        <f t="shared" ca="1" si="38"/>
        <v>35</v>
      </c>
      <c r="Y27" s="97">
        <f t="shared" ca="1" si="44"/>
        <v>0</v>
      </c>
      <c r="Z27" s="98">
        <f t="shared" ca="1" si="39"/>
        <v>0</v>
      </c>
      <c r="AA27" s="97">
        <f t="shared" ca="1" si="45"/>
        <v>0</v>
      </c>
      <c r="AB27" s="98">
        <f t="shared" ca="1" si="40"/>
        <v>0</v>
      </c>
      <c r="AC27" s="93">
        <f ca="1">IFERROR(__xludf.DUMMYFUNCTION("IMPORTRANGE(""https://docs.google.com/spreadsheets/d/1ICwG78r0OFT8biBlxnBF8r7she7gNSzOvJ958PWT09c/edit?usp=sharing"",""ลำพูน!I84"")"),0)</f>
        <v>0</v>
      </c>
      <c r="AD27" s="93">
        <f ca="1">IFERROR(__xludf.DUMMYFUNCTION("IMPORTRANGE(""https://docs.google.com/spreadsheets/d/1ICwG78r0OFT8biBlxnBF8r7she7gNSzOvJ958PWT09c/edit?usp=sharing"",""ลำพูน!I85"")"),0)</f>
        <v>0</v>
      </c>
      <c r="AE27" s="97">
        <f ca="1">IFERROR(__xludf.DUMMYFUNCTION("IMPORTRANGE(""https://docs.google.com/spreadsheets/d/1ICwG78r0OFT8biBlxnBF8r7she7gNSzOvJ958PWT09c/edit?usp=sharing"",""ลำพูน!J84"")"),0)</f>
        <v>0</v>
      </c>
      <c r="AF27" s="97">
        <f ca="1">IFERROR(__xludf.DUMMYFUNCTION("IMPORTRANGE(""https://docs.google.com/spreadsheets/d/1ICwG78r0OFT8biBlxnBF8r7she7gNSzOvJ958PWT09c/edit?usp=sharing"",""ลำพูน!J85"")"),0)</f>
        <v>0</v>
      </c>
      <c r="AG27" s="93">
        <f ca="1">IFERROR(__xludf.DUMMYFUNCTION("IMPORTRANGE(""https://docs.google.com/spreadsheets/d/1ICwG78r0OFT8biBlxnBF8r7she7gNSzOvJ958PWT09c/edit?usp=sharing"",""ลำพูน!I86"")"),0)</f>
        <v>0</v>
      </c>
      <c r="AH27" s="93">
        <f ca="1">IFERROR(__xludf.DUMMYFUNCTION("IMPORTRANGE(""https://docs.google.com/spreadsheets/d/1ICwG78r0OFT8biBlxnBF8r7she7gNSzOvJ958PWT09c/edit?usp=sharing"",""ลำพูน!I87"")"),0)</f>
        <v>0</v>
      </c>
      <c r="AI27" s="97">
        <f ca="1">IFERROR(__xludf.DUMMYFUNCTION("IMPORTRANGE(""https://docs.google.com/spreadsheets/d/1ICwG78r0OFT8biBlxnBF8r7she7gNSzOvJ958PWT09c/edit?usp=sharing"",""ลำพูน!J86"")"),0)</f>
        <v>0</v>
      </c>
      <c r="AJ27" s="97">
        <f ca="1">IFERROR(__xludf.DUMMYFUNCTION("IMPORTRANGE(""https://docs.google.com/spreadsheets/d/1ICwG78r0OFT8biBlxnBF8r7she7gNSzOvJ958PWT09c/edit?usp=sharing"",""ลำพูน!J87"")"),0)</f>
        <v>0</v>
      </c>
      <c r="AK27" s="93">
        <f ca="1">IFERROR(__xludf.DUMMYFUNCTION("IMPORTRANGE(""https://docs.google.com/spreadsheets/d/1ICwG78r0OFT8biBlxnBF8r7she7gNSzOvJ958PWT09c/edit?usp=sharing"",""ลำพูน!I88"")"),1)</f>
        <v>1</v>
      </c>
      <c r="AL27" s="93">
        <f ca="1">IFERROR(__xludf.DUMMYFUNCTION("IMPORTRANGE(""https://docs.google.com/spreadsheets/d/1ICwG78r0OFT8biBlxnBF8r7she7gNSzOvJ958PWT09c/edit?usp=sharing"",""ลำพูน!I89"")"),35)</f>
        <v>35</v>
      </c>
      <c r="AM27" s="97">
        <f ca="1">IFERROR(__xludf.DUMMYFUNCTION("IMPORTRANGE(""https://docs.google.com/spreadsheets/d/1ICwG78r0OFT8biBlxnBF8r7she7gNSzOvJ958PWT09c/edit?usp=sharing"",""ลำพูน!J88"")"),0)</f>
        <v>0</v>
      </c>
      <c r="AN27" s="97">
        <f ca="1">IFERROR(__xludf.DUMMYFUNCTION("IMPORTRANGE(""https://docs.google.com/spreadsheets/d/1ICwG78r0OFT8biBlxnBF8r7she7gNSzOvJ958PWT09c/edit?usp=sharing"",""ลำพูน!J89"")"),0)</f>
        <v>0</v>
      </c>
      <c r="AO27" s="93">
        <f ca="1">IFERROR(__xludf.DUMMYFUNCTION("IMPORTRANGE(""https://docs.google.com/spreadsheets/d/1ICwG78r0OFT8biBlxnBF8r7she7gNSzOvJ958PWT09c/edit?usp=sharing"",""ลำพูน!I90"")"),1)</f>
        <v>1</v>
      </c>
      <c r="AP27" s="97">
        <f ca="1">IFERROR(__xludf.DUMMYFUNCTION("IMPORTRANGE(""https://docs.google.com/spreadsheets/d/1ICwG78r0OFT8biBlxnBF8r7she7gNSzOvJ958PWT09c/edit?usp=sharing"",""ลำพูน!J90"")"),0)</f>
        <v>0</v>
      </c>
      <c r="AQ27" s="95">
        <f t="shared" ca="1" si="42"/>
        <v>0</v>
      </c>
    </row>
    <row r="28" spans="1:43" ht="24" customHeight="1" x14ac:dyDescent="0.3">
      <c r="A28" s="89">
        <v>15</v>
      </c>
      <c r="B28" s="90" t="s">
        <v>54</v>
      </c>
      <c r="C28" s="91">
        <f t="shared" ca="1" si="26"/>
        <v>0</v>
      </c>
      <c r="D28" s="92">
        <f t="shared" ca="1" si="43"/>
        <v>0</v>
      </c>
      <c r="E28" s="93">
        <f ca="1">IFERROR(__xludf.DUMMYFUNCTION("IMPORTRANGE(""https://docs.google.com/spreadsheets/d/1-uDff_7J0KD5mKrp0Vvzr7lt3OU09vwQwhkpOPPYv2Y/edit?usp=sharing"",""งบพรบ!AN28"")"),0)</f>
        <v>0</v>
      </c>
      <c r="F28" s="93">
        <f ca="1">IFERROR(__xludf.DUMMYFUNCTION("IMPORTRANGE(""https://docs.google.com/spreadsheets/d/1-uDff_7J0KD5mKrp0Vvzr7lt3OU09vwQwhkpOPPYv2Y/edit?usp=sharing"",""งบพรบ!AO28"")"),0)</f>
        <v>0</v>
      </c>
      <c r="G28" s="93">
        <f ca="1">IFERROR(__xludf.DUMMYFUNCTION("IMPORTRANGE(""https://docs.google.com/spreadsheets/d/1-uDff_7J0KD5mKrp0Vvzr7lt3OU09vwQwhkpOPPYv2Y/edit?usp=sharing"",""งบพรบ!AP28"")"),0)</f>
        <v>0</v>
      </c>
      <c r="H28" s="93">
        <f ca="1">IFERROR(__xludf.DUMMYFUNCTION("IMPORTRANGE(""https://docs.google.com/spreadsheets/d/1-uDff_7J0KD5mKrp0Vvzr7lt3OU09vwQwhkpOPPYv2Y/edit?usp=sharing"",""งบพรบ!AR28"")"),0)</f>
        <v>0</v>
      </c>
      <c r="I28" s="93">
        <f ca="1">IFERROR(__xludf.DUMMYFUNCTION("IMPORTRANGE(""https://docs.google.com/spreadsheets/d/1-uDff_7J0KD5mKrp0Vvzr7lt3OU09vwQwhkpOPPYv2Y/edit?usp=sharing"",""งบพรบ!AS28"")"),0)</f>
        <v>0</v>
      </c>
      <c r="J28" s="93">
        <f t="shared" ca="1" si="28"/>
        <v>0</v>
      </c>
      <c r="K28" s="94">
        <f t="shared" ca="1" si="29"/>
        <v>0</v>
      </c>
      <c r="L28" s="93">
        <f ca="1">IFERROR(__xludf.DUMMYFUNCTION("IMPORTRANGE(""https://docs.google.com/spreadsheets/d/1-uDff_7J0KD5mKrp0Vvzr7lt3OU09vwQwhkpOPPYv2Y/edit?usp=sharing"",""งบพรบ!AT28"")"),0)</f>
        <v>0</v>
      </c>
      <c r="M28" s="95">
        <f t="shared" ca="1" si="30"/>
        <v>0</v>
      </c>
      <c r="N28" s="95">
        <f t="shared" ca="1" si="31"/>
        <v>0</v>
      </c>
      <c r="O28" s="96">
        <f ca="1">IFERROR(__xludf.DUMMYFUNCTION("IMPORTRANGE(""https://docs.google.com/spreadsheets/d/1-uDff_7J0KD5mKrp0Vvzr7lt3OU09vwQwhkpOPPYv2Y/edit?usp=sharing"",""งบพรบ!AU28"")"),0)</f>
        <v>0</v>
      </c>
      <c r="P28" s="96">
        <f t="shared" ca="1" si="32"/>
        <v>0</v>
      </c>
      <c r="Q28" s="95">
        <f t="shared" ca="1" si="33"/>
        <v>0</v>
      </c>
      <c r="R28" s="86">
        <f ca="1">IFERROR(__xludf.DUMMYFUNCTION("IMPORTRANGE(""https://docs.google.com/spreadsheets/d/1B0f2xJpZUC6Z0xXnqKlZtEPzsf6L84eP1r1Q15seqRM/edit?usp=sharing"",""สุโขทัย!Q72"")"),1729763)</f>
        <v>1729763</v>
      </c>
      <c r="S28" s="86">
        <f ca="1">IFERROR(__xludf.DUMMYFUNCTION("IMPORTRANGE(""https://docs.google.com/spreadsheets/d/1B0f2xJpZUC6Z0xXnqKlZtEPzsf6L84eP1r1Q15seqRM/edit?usp=sharing"",""สุโขทัย!R72"")"),0)</f>
        <v>0</v>
      </c>
      <c r="T28" s="86">
        <f ca="1">IFERROR(__xludf.DUMMYFUNCTION("IMPORTRANGE(""https://docs.google.com/spreadsheets/d/1B0f2xJpZUC6Z0xXnqKlZtEPzsf6L84eP1r1Q15seqRM/edit?usp=sharing"",""สุโขทัย!S72"")"),0)</f>
        <v>0</v>
      </c>
      <c r="U28" s="87">
        <f t="shared" ca="1" si="35"/>
        <v>0</v>
      </c>
      <c r="V28" s="87">
        <f t="shared" ca="1" si="36"/>
        <v>0</v>
      </c>
      <c r="W28" s="97">
        <f t="shared" ca="1" si="37"/>
        <v>2</v>
      </c>
      <c r="X28" s="97">
        <f t="shared" ca="1" si="38"/>
        <v>77</v>
      </c>
      <c r="Y28" s="97">
        <f t="shared" ca="1" si="44"/>
        <v>0</v>
      </c>
      <c r="Z28" s="98">
        <f t="shared" ca="1" si="39"/>
        <v>0</v>
      </c>
      <c r="AA28" s="97">
        <f t="shared" ca="1" si="45"/>
        <v>0</v>
      </c>
      <c r="AB28" s="98">
        <f t="shared" ca="1" si="40"/>
        <v>0</v>
      </c>
      <c r="AC28" s="93">
        <f ca="1">IFERROR(__xludf.DUMMYFUNCTION("IMPORTRANGE(""https://docs.google.com/spreadsheets/d/1B0f2xJpZUC6Z0xXnqKlZtEPzsf6L84eP1r1Q15seqRM/edit?usp=sharing"",""สุโขทัย!I84"")"),1)</f>
        <v>1</v>
      </c>
      <c r="AD28" s="93">
        <f ca="1">IFERROR(__xludf.DUMMYFUNCTION("IMPORTRANGE(""https://docs.google.com/spreadsheets/d/1B0f2xJpZUC6Z0xXnqKlZtEPzsf6L84eP1r1Q15seqRM/edit?usp=sharing"",""สุโขทัย!I85"")"),47)</f>
        <v>47</v>
      </c>
      <c r="AE28" s="97">
        <f ca="1">IFERROR(__xludf.DUMMYFUNCTION("IMPORTRANGE(""https://docs.google.com/spreadsheets/d/1B0f2xJpZUC6Z0xXnqKlZtEPzsf6L84eP1r1Q15seqRM/edit?usp=sharing"",""สุโขทัย!J84"")"),0)</f>
        <v>0</v>
      </c>
      <c r="AF28" s="97">
        <f ca="1">IFERROR(__xludf.DUMMYFUNCTION("IMPORTRANGE(""https://docs.google.com/spreadsheets/d/1B0f2xJpZUC6Z0xXnqKlZtEPzsf6L84eP1r1Q15seqRM/edit?usp=sharing"",""สุโขทัย!J85"")"),0)</f>
        <v>0</v>
      </c>
      <c r="AG28" s="93">
        <f ca="1">IFERROR(__xludf.DUMMYFUNCTION("IMPORTRANGE(""https://docs.google.com/spreadsheets/d/1B0f2xJpZUC6Z0xXnqKlZtEPzsf6L84eP1r1Q15seqRM/edit?usp=sharing"",""สุโขทัย!I86"")"),1)</f>
        <v>1</v>
      </c>
      <c r="AH28" s="93">
        <f ca="1">IFERROR(__xludf.DUMMYFUNCTION("IMPORTRANGE(""https://docs.google.com/spreadsheets/d/1B0f2xJpZUC6Z0xXnqKlZtEPzsf6L84eP1r1Q15seqRM/edit?usp=sharing"",""สุโขทัย!I87"")"),30)</f>
        <v>30</v>
      </c>
      <c r="AI28" s="97">
        <f ca="1">IFERROR(__xludf.DUMMYFUNCTION("IMPORTRANGE(""https://docs.google.com/spreadsheets/d/1B0f2xJpZUC6Z0xXnqKlZtEPzsf6L84eP1r1Q15seqRM/edit?usp=sharing"",""สุโขทัย!J86"")"),0)</f>
        <v>0</v>
      </c>
      <c r="AJ28" s="97">
        <f ca="1">IFERROR(__xludf.DUMMYFUNCTION("IMPORTRANGE(""https://docs.google.com/spreadsheets/d/1B0f2xJpZUC6Z0xXnqKlZtEPzsf6L84eP1r1Q15seqRM/edit?usp=sharing"",""สุโขทัย!J87"")"),0)</f>
        <v>0</v>
      </c>
      <c r="AK28" s="93">
        <f ca="1">IFERROR(__xludf.DUMMYFUNCTION("IMPORTRANGE(""https://docs.google.com/spreadsheets/d/1B0f2xJpZUC6Z0xXnqKlZtEPzsf6L84eP1r1Q15seqRM/edit?usp=sharing"",""สุโขทัย!I88"")"),0)</f>
        <v>0</v>
      </c>
      <c r="AL28" s="93">
        <f ca="1">IFERROR(__xludf.DUMMYFUNCTION("IMPORTRANGE(""https://docs.google.com/spreadsheets/d/1B0f2xJpZUC6Z0xXnqKlZtEPzsf6L84eP1r1Q15seqRM/edit?usp=sharing"",""สุโขทัย!I89"")"),0)</f>
        <v>0</v>
      </c>
      <c r="AM28" s="97">
        <f ca="1">IFERROR(__xludf.DUMMYFUNCTION("IMPORTRANGE(""https://docs.google.com/spreadsheets/d/1B0f2xJpZUC6Z0xXnqKlZtEPzsf6L84eP1r1Q15seqRM/edit?usp=sharing"",""สุโขทัย!J88"")"),0)</f>
        <v>0</v>
      </c>
      <c r="AN28" s="97">
        <f ca="1">IFERROR(__xludf.DUMMYFUNCTION("IMPORTRANGE(""https://docs.google.com/spreadsheets/d/1B0f2xJpZUC6Z0xXnqKlZtEPzsf6L84eP1r1Q15seqRM/edit?usp=sharing"",""สุโขทัย!J89"")"),0)</f>
        <v>0</v>
      </c>
      <c r="AO28" s="93">
        <f ca="1">IFERROR(__xludf.DUMMYFUNCTION("IMPORTRANGE(""https://docs.google.com/spreadsheets/d/1B0f2xJpZUC6Z0xXnqKlZtEPzsf6L84eP1r1Q15seqRM/edit?usp=sharing"",""สุโขทัย!I90"")"),2)</f>
        <v>2</v>
      </c>
      <c r="AP28" s="97">
        <f ca="1">IFERROR(__xludf.DUMMYFUNCTION("IMPORTRANGE(""https://docs.google.com/spreadsheets/d/1B0f2xJpZUC6Z0xXnqKlZtEPzsf6L84eP1r1Q15seqRM/edit?usp=sharing"",""สุโขทัย!J90"")"),0)</f>
        <v>0</v>
      </c>
      <c r="AQ28" s="95">
        <f t="shared" ca="1" si="42"/>
        <v>0</v>
      </c>
    </row>
    <row r="29" spans="1:43" ht="24" customHeight="1" x14ac:dyDescent="0.3">
      <c r="A29" s="89">
        <v>16</v>
      </c>
      <c r="B29" s="90" t="s">
        <v>55</v>
      </c>
      <c r="C29" s="91">
        <f t="shared" ca="1" si="26"/>
        <v>0</v>
      </c>
      <c r="D29" s="92">
        <f t="shared" ca="1" si="43"/>
        <v>0</v>
      </c>
      <c r="E29" s="93">
        <f ca="1">IFERROR(__xludf.DUMMYFUNCTION("IMPORTRANGE(""https://docs.google.com/spreadsheets/d/1-uDff_7J0KD5mKrp0Vvzr7lt3OU09vwQwhkpOPPYv2Y/edit?usp=sharing"",""งบพรบ!AN29"")"),0)</f>
        <v>0</v>
      </c>
      <c r="F29" s="93">
        <f ca="1">IFERROR(__xludf.DUMMYFUNCTION("IMPORTRANGE(""https://docs.google.com/spreadsheets/d/1-uDff_7J0KD5mKrp0Vvzr7lt3OU09vwQwhkpOPPYv2Y/edit?usp=sharing"",""งบพรบ!AO29"")"),0)</f>
        <v>0</v>
      </c>
      <c r="G29" s="93">
        <f ca="1">IFERROR(__xludf.DUMMYFUNCTION("IMPORTRANGE(""https://docs.google.com/spreadsheets/d/1-uDff_7J0KD5mKrp0Vvzr7lt3OU09vwQwhkpOPPYv2Y/edit?usp=sharing"",""งบพรบ!AP29"")"),0)</f>
        <v>0</v>
      </c>
      <c r="H29" s="93">
        <f ca="1">IFERROR(__xludf.DUMMYFUNCTION("IMPORTRANGE(""https://docs.google.com/spreadsheets/d/1-uDff_7J0KD5mKrp0Vvzr7lt3OU09vwQwhkpOPPYv2Y/edit?usp=sharing"",""งบพรบ!AR29"")"),0)</f>
        <v>0</v>
      </c>
      <c r="I29" s="93">
        <f ca="1">IFERROR(__xludf.DUMMYFUNCTION("IMPORTRANGE(""https://docs.google.com/spreadsheets/d/1-uDff_7J0KD5mKrp0Vvzr7lt3OU09vwQwhkpOPPYv2Y/edit?usp=sharing"",""งบพรบ!AS29"")"),0)</f>
        <v>0</v>
      </c>
      <c r="J29" s="93">
        <f t="shared" ca="1" si="28"/>
        <v>0</v>
      </c>
      <c r="K29" s="94">
        <f t="shared" ca="1" si="29"/>
        <v>0</v>
      </c>
      <c r="L29" s="93">
        <f ca="1">IFERROR(__xludf.DUMMYFUNCTION("IMPORTRANGE(""https://docs.google.com/spreadsheets/d/1-uDff_7J0KD5mKrp0Vvzr7lt3OU09vwQwhkpOPPYv2Y/edit?usp=sharing"",""งบพรบ!AT29"")"),0)</f>
        <v>0</v>
      </c>
      <c r="M29" s="95">
        <f t="shared" ca="1" si="30"/>
        <v>0</v>
      </c>
      <c r="N29" s="95">
        <f t="shared" ca="1" si="31"/>
        <v>0</v>
      </c>
      <c r="O29" s="96">
        <f ca="1">IFERROR(__xludf.DUMMYFUNCTION("IMPORTRANGE(""https://docs.google.com/spreadsheets/d/1-uDff_7J0KD5mKrp0Vvzr7lt3OU09vwQwhkpOPPYv2Y/edit?usp=sharing"",""งบพรบ!AU29"")"),0)</f>
        <v>0</v>
      </c>
      <c r="P29" s="96">
        <f t="shared" ca="1" si="32"/>
        <v>0</v>
      </c>
      <c r="Q29" s="95">
        <f t="shared" ca="1" si="33"/>
        <v>0</v>
      </c>
      <c r="R29" s="86">
        <f ca="1">IFERROR(__xludf.DUMMYFUNCTION("IMPORTRANGE(""https://docs.google.com/spreadsheets/d/1v0b9pFQCsKUVExMei7AgY2yQkdeNQvtOssygGsXbiKo/edit?usp=sharing"",""อุตรดิตถ์!Q72"")"),0)</f>
        <v>0</v>
      </c>
      <c r="S29" s="86">
        <f ca="1">IFERROR(__xludf.DUMMYFUNCTION("IMPORTRANGE(""https://docs.google.com/spreadsheets/d/1v0b9pFQCsKUVExMei7AgY2yQkdeNQvtOssygGsXbiKo/edit?usp=sharing"",""อุตรดิตถ์!R72"")"),0)</f>
        <v>0</v>
      </c>
      <c r="T29" s="86">
        <f ca="1">IFERROR(__xludf.DUMMYFUNCTION("IMPORTRANGE(""https://docs.google.com/spreadsheets/d/1v0b9pFQCsKUVExMei7AgY2yQkdeNQvtOssygGsXbiKo/edit?usp=sharing"",""อุตรดิตถ์!S72"")"),0)</f>
        <v>0</v>
      </c>
      <c r="U29" s="87">
        <f t="shared" ca="1" si="35"/>
        <v>0</v>
      </c>
      <c r="V29" s="87">
        <f t="shared" ca="1" si="36"/>
        <v>0</v>
      </c>
      <c r="W29" s="97">
        <f t="shared" ca="1" si="37"/>
        <v>0</v>
      </c>
      <c r="X29" s="97">
        <f t="shared" ca="1" si="38"/>
        <v>0</v>
      </c>
      <c r="Y29" s="97">
        <f t="shared" ca="1" si="44"/>
        <v>0</v>
      </c>
      <c r="Z29" s="98">
        <f t="shared" ca="1" si="39"/>
        <v>0</v>
      </c>
      <c r="AA29" s="97">
        <f t="shared" ca="1" si="45"/>
        <v>0</v>
      </c>
      <c r="AB29" s="98">
        <f t="shared" ca="1" si="40"/>
        <v>0</v>
      </c>
      <c r="AC29" s="93">
        <f ca="1">IFERROR(__xludf.DUMMYFUNCTION("IMPORTRANGE(""https://docs.google.com/spreadsheets/d/1v0b9pFQCsKUVExMei7AgY2yQkdeNQvtOssygGsXbiKo/edit?usp=sharing"",""อุตรดิตถ์!I84"")"),0)</f>
        <v>0</v>
      </c>
      <c r="AD29" s="93">
        <f ca="1">IFERROR(__xludf.DUMMYFUNCTION("IMPORTRANGE(""https://docs.google.com/spreadsheets/d/1v0b9pFQCsKUVExMei7AgY2yQkdeNQvtOssygGsXbiKo/edit?usp=sharing"",""อุตรดิตถ์!I85"")"),0)</f>
        <v>0</v>
      </c>
      <c r="AE29" s="97">
        <f ca="1">IFERROR(__xludf.DUMMYFUNCTION("IMPORTRANGE(""https://docs.google.com/spreadsheets/d/1v0b9pFQCsKUVExMei7AgY2yQkdeNQvtOssygGsXbiKo/edit?usp=sharing"",""อุตรดิตถ์!J84"")"),0)</f>
        <v>0</v>
      </c>
      <c r="AF29" s="97">
        <f ca="1">IFERROR(__xludf.DUMMYFUNCTION("IMPORTRANGE(""https://docs.google.com/spreadsheets/d/1v0b9pFQCsKUVExMei7AgY2yQkdeNQvtOssygGsXbiKo/edit?usp=sharing"",""อุตรดิตถ์!J85"")"),0)</f>
        <v>0</v>
      </c>
      <c r="AG29" s="93">
        <f ca="1">IFERROR(__xludf.DUMMYFUNCTION("IMPORTRANGE(""https://docs.google.com/spreadsheets/d/1v0b9pFQCsKUVExMei7AgY2yQkdeNQvtOssygGsXbiKo/edit?usp=sharing"",""อุตรดิตถ์!I86"")"),0)</f>
        <v>0</v>
      </c>
      <c r="AH29" s="93">
        <f ca="1">IFERROR(__xludf.DUMMYFUNCTION("IMPORTRANGE(""https://docs.google.com/spreadsheets/d/1v0b9pFQCsKUVExMei7AgY2yQkdeNQvtOssygGsXbiKo/edit?usp=sharing"",""อุตรดิตถ์!I87"")"),0)</f>
        <v>0</v>
      </c>
      <c r="AI29" s="97">
        <f ca="1">IFERROR(__xludf.DUMMYFUNCTION("IMPORTRANGE(""https://docs.google.com/spreadsheets/d/1v0b9pFQCsKUVExMei7AgY2yQkdeNQvtOssygGsXbiKo/edit?usp=sharing"",""อุตรดิตถ์!J86"")"),0)</f>
        <v>0</v>
      </c>
      <c r="AJ29" s="97">
        <f ca="1">IFERROR(__xludf.DUMMYFUNCTION("IMPORTRANGE(""https://docs.google.com/spreadsheets/d/1v0b9pFQCsKUVExMei7AgY2yQkdeNQvtOssygGsXbiKo/edit?usp=sharing"",""อุตรดิตถ์!J87"")"),0)</f>
        <v>0</v>
      </c>
      <c r="AK29" s="93">
        <f ca="1">IFERROR(__xludf.DUMMYFUNCTION("IMPORTRANGE(""https://docs.google.com/spreadsheets/d/1v0b9pFQCsKUVExMei7AgY2yQkdeNQvtOssygGsXbiKo/edit?usp=sharing"",""อุตรดิตถ์!I88"")"),0)</f>
        <v>0</v>
      </c>
      <c r="AL29" s="93">
        <f ca="1">IFERROR(__xludf.DUMMYFUNCTION("IMPORTRANGE(""https://docs.google.com/spreadsheets/d/1v0b9pFQCsKUVExMei7AgY2yQkdeNQvtOssygGsXbiKo/edit?usp=sharing"",""อุตรดิตถ์!I89"")"),0)</f>
        <v>0</v>
      </c>
      <c r="AM29" s="97">
        <f ca="1">IFERROR(__xludf.DUMMYFUNCTION("IMPORTRANGE(""https://docs.google.com/spreadsheets/d/1v0b9pFQCsKUVExMei7AgY2yQkdeNQvtOssygGsXbiKo/edit?usp=sharing"",""อุตรดิตถ์!J88"")"),0)</f>
        <v>0</v>
      </c>
      <c r="AN29" s="97">
        <f ca="1">IFERROR(__xludf.DUMMYFUNCTION("IMPORTRANGE(""https://docs.google.com/spreadsheets/d/1v0b9pFQCsKUVExMei7AgY2yQkdeNQvtOssygGsXbiKo/edit?usp=sharing"",""อุตรดิตถ์!J89"")"),0)</f>
        <v>0</v>
      </c>
      <c r="AO29" s="93">
        <f ca="1">IFERROR(__xludf.DUMMYFUNCTION("IMPORTRANGE(""https://docs.google.com/spreadsheets/d/1v0b9pFQCsKUVExMei7AgY2yQkdeNQvtOssygGsXbiKo/edit?usp=sharing"",""อุตรดิตถ์!I90"")"),0)</f>
        <v>0</v>
      </c>
      <c r="AP29" s="97">
        <f ca="1">IFERROR(__xludf.DUMMYFUNCTION("IMPORTRANGE(""https://docs.google.com/spreadsheets/d/1v0b9pFQCsKUVExMei7AgY2yQkdeNQvtOssygGsXbiKo/edit?usp=sharing"",""อุตรดิตถ์!J90"")"),0)</f>
        <v>0</v>
      </c>
      <c r="AQ29" s="95">
        <f t="shared" ca="1" si="42"/>
        <v>0</v>
      </c>
    </row>
    <row r="30" spans="1:43" ht="24" customHeight="1" x14ac:dyDescent="0.3">
      <c r="A30" s="100">
        <v>17</v>
      </c>
      <c r="B30" s="101" t="s">
        <v>56</v>
      </c>
      <c r="C30" s="102">
        <f t="shared" ca="1" si="26"/>
        <v>243600</v>
      </c>
      <c r="D30" s="103">
        <f t="shared" ca="1" si="43"/>
        <v>243600</v>
      </c>
      <c r="E30" s="104">
        <f ca="1">IFERROR(__xludf.DUMMYFUNCTION("IMPORTRANGE(""https://docs.google.com/spreadsheets/d/1-uDff_7J0KD5mKrp0Vvzr7lt3OU09vwQwhkpOPPYv2Y/edit?usp=sharing"",""งบพรบ!AN30"")"),0)</f>
        <v>0</v>
      </c>
      <c r="F30" s="104">
        <f ca="1">IFERROR(__xludf.DUMMYFUNCTION("IMPORTRANGE(""https://docs.google.com/spreadsheets/d/1-uDff_7J0KD5mKrp0Vvzr7lt3OU09vwQwhkpOPPYv2Y/edit?usp=sharing"",""งบพรบ!AO30"")"),243600)</f>
        <v>243600</v>
      </c>
      <c r="G30" s="104">
        <f ca="1">IFERROR(__xludf.DUMMYFUNCTION("IMPORTRANGE(""https://docs.google.com/spreadsheets/d/1-uDff_7J0KD5mKrp0Vvzr7lt3OU09vwQwhkpOPPYv2Y/edit?usp=sharing"",""งบพรบ!AP30"")"),0)</f>
        <v>0</v>
      </c>
      <c r="H30" s="104">
        <f ca="1">IFERROR(__xludf.DUMMYFUNCTION("IMPORTRANGE(""https://docs.google.com/spreadsheets/d/1-uDff_7J0KD5mKrp0Vvzr7lt3OU09vwQwhkpOPPYv2Y/edit?usp=sharing"",""งบพรบ!AR30"")"),106570)</f>
        <v>106570</v>
      </c>
      <c r="I30" s="104">
        <f ca="1">IFERROR(__xludf.DUMMYFUNCTION("IMPORTRANGE(""https://docs.google.com/spreadsheets/d/1-uDff_7J0KD5mKrp0Vvzr7lt3OU09vwQwhkpOPPYv2Y/edit?usp=sharing"",""งบพรบ!AS30"")"),0)</f>
        <v>0</v>
      </c>
      <c r="J30" s="104">
        <f t="shared" ca="1" si="28"/>
        <v>88439</v>
      </c>
      <c r="K30" s="105">
        <f t="shared" ca="1" si="29"/>
        <v>36.305008210180624</v>
      </c>
      <c r="L30" s="104">
        <f ca="1">IFERROR(__xludf.DUMMYFUNCTION("IMPORTRANGE(""https://docs.google.com/spreadsheets/d/1-uDff_7J0KD5mKrp0Vvzr7lt3OU09vwQwhkpOPPYv2Y/edit?usp=sharing"",""งบพรบ!AT30"")"),88439)</f>
        <v>88439</v>
      </c>
      <c r="M30" s="106">
        <f t="shared" ca="1" si="30"/>
        <v>36.305008210180624</v>
      </c>
      <c r="N30" s="106">
        <f t="shared" ca="1" si="31"/>
        <v>82.986769259641548</v>
      </c>
      <c r="O30" s="107">
        <f ca="1">IFERROR(__xludf.DUMMYFUNCTION("IMPORTRANGE(""https://docs.google.com/spreadsheets/d/1-uDff_7J0KD5mKrp0Vvzr7lt3OU09vwQwhkpOPPYv2Y/edit?usp=sharing"",""งบพรบ!AU30"")"),0)</f>
        <v>0</v>
      </c>
      <c r="P30" s="107">
        <f t="shared" ca="1" si="32"/>
        <v>0</v>
      </c>
      <c r="Q30" s="106">
        <f t="shared" ca="1" si="33"/>
        <v>0</v>
      </c>
      <c r="R30" s="108">
        <f ca="1">IFERROR(__xludf.DUMMYFUNCTION("IMPORTRANGE(""https://docs.google.com/spreadsheets/d/1UsNK1e-WWiCo2PvGqdNfdme4m17_Ezd3J69EeeiQPD0/edit?usp=sharing"",""อุทัยธานี!Q72"")"),1340480)</f>
        <v>1340480</v>
      </c>
      <c r="S30" s="108">
        <f ca="1">IFERROR(__xludf.DUMMYFUNCTION("IMPORTRANGE(""https://docs.google.com/spreadsheets/d/1UsNK1e-WWiCo2PvGqdNfdme4m17_Ezd3J69EeeiQPD0/edit?usp=sharing"",""อุทัยธานี!R72"")"),0)</f>
        <v>0</v>
      </c>
      <c r="T30" s="108">
        <f ca="1">IFERROR(__xludf.DUMMYFUNCTION("IMPORTRANGE(""https://docs.google.com/spreadsheets/d/1UsNK1e-WWiCo2PvGqdNfdme4m17_Ezd3J69EeeiQPD0/edit?usp=sharing"",""อุทัยธานี!S72"")"),0)</f>
        <v>0</v>
      </c>
      <c r="U30" s="109">
        <f t="shared" ca="1" si="35"/>
        <v>0</v>
      </c>
      <c r="V30" s="109">
        <f t="shared" ca="1" si="36"/>
        <v>0</v>
      </c>
      <c r="W30" s="110">
        <f t="shared" ca="1" si="37"/>
        <v>2</v>
      </c>
      <c r="X30" s="110">
        <f t="shared" ca="1" si="38"/>
        <v>149</v>
      </c>
      <c r="Y30" s="110">
        <f t="shared" ca="1" si="44"/>
        <v>0</v>
      </c>
      <c r="Z30" s="111">
        <f t="shared" ca="1" si="39"/>
        <v>0</v>
      </c>
      <c r="AA30" s="110">
        <f t="shared" ca="1" si="45"/>
        <v>0</v>
      </c>
      <c r="AB30" s="111">
        <f t="shared" ca="1" si="40"/>
        <v>0</v>
      </c>
      <c r="AC30" s="104">
        <f ca="1">IFERROR(__xludf.DUMMYFUNCTION("IMPORTRANGE(""https://docs.google.com/spreadsheets/d/1UsNK1e-WWiCo2PvGqdNfdme4m17_Ezd3J69EeeiQPD0/edit?usp=sharing"",""อุทัยธานี!I84"")"),1)</f>
        <v>1</v>
      </c>
      <c r="AD30" s="104">
        <f ca="1">IFERROR(__xludf.DUMMYFUNCTION("IMPORTRANGE(""https://docs.google.com/spreadsheets/d/1UsNK1e-WWiCo2PvGqdNfdme4m17_Ezd3J69EeeiQPD0/edit?usp=sharing"",""อุทัยธานี!I85"")"),117)</f>
        <v>117</v>
      </c>
      <c r="AE30" s="110">
        <f ca="1">IFERROR(__xludf.DUMMYFUNCTION("IMPORTRANGE(""https://docs.google.com/spreadsheets/d/1UsNK1e-WWiCo2PvGqdNfdme4m17_Ezd3J69EeeiQPD0/edit?usp=sharing"",""อุทัยธานี!J84"")"),0)</f>
        <v>0</v>
      </c>
      <c r="AF30" s="110">
        <f ca="1">IFERROR(__xludf.DUMMYFUNCTION("IMPORTRANGE(""https://docs.google.com/spreadsheets/d/1UsNK1e-WWiCo2PvGqdNfdme4m17_Ezd3J69EeeiQPD0/edit?usp=sharing"",""อุทัยธานี!J85"")"),0)</f>
        <v>0</v>
      </c>
      <c r="AG30" s="104">
        <f ca="1">IFERROR(__xludf.DUMMYFUNCTION("IMPORTRANGE(""https://docs.google.com/spreadsheets/d/1UsNK1e-WWiCo2PvGqdNfdme4m17_Ezd3J69EeeiQPD0/edit?usp=sharing"",""อุทัยธานี!I86"")"),0)</f>
        <v>0</v>
      </c>
      <c r="AH30" s="104">
        <f ca="1">IFERROR(__xludf.DUMMYFUNCTION("IMPORTRANGE(""https://docs.google.com/spreadsheets/d/1UsNK1e-WWiCo2PvGqdNfdme4m17_Ezd3J69EeeiQPD0/edit?usp=sharing"",""อุทัยธานี!I87"")"),0)</f>
        <v>0</v>
      </c>
      <c r="AI30" s="110">
        <f ca="1">IFERROR(__xludf.DUMMYFUNCTION("IMPORTRANGE(""https://docs.google.com/spreadsheets/d/1UsNK1e-WWiCo2PvGqdNfdme4m17_Ezd3J69EeeiQPD0/edit?usp=sharing"",""อุทัยธานี!J86"")"),0)</f>
        <v>0</v>
      </c>
      <c r="AJ30" s="110">
        <f ca="1">IFERROR(__xludf.DUMMYFUNCTION("IMPORTRANGE(""https://docs.google.com/spreadsheets/d/1UsNK1e-WWiCo2PvGqdNfdme4m17_Ezd3J69EeeiQPD0/edit?usp=sharing"",""อุทัยธานี!J87"")"),0)</f>
        <v>0</v>
      </c>
      <c r="AK30" s="104">
        <f ca="1">IFERROR(__xludf.DUMMYFUNCTION("IMPORTRANGE(""https://docs.google.com/spreadsheets/d/1UsNK1e-WWiCo2PvGqdNfdme4m17_Ezd3J69EeeiQPD0/edit?usp=sharing"",""อุทัยธานี!I88"")"),1)</f>
        <v>1</v>
      </c>
      <c r="AL30" s="104">
        <f ca="1">IFERROR(__xludf.DUMMYFUNCTION("IMPORTRANGE(""https://docs.google.com/spreadsheets/d/1UsNK1e-WWiCo2PvGqdNfdme4m17_Ezd3J69EeeiQPD0/edit?usp=sharing"",""อุทัยธานี!I89"")"),32)</f>
        <v>32</v>
      </c>
      <c r="AM30" s="110">
        <f ca="1">IFERROR(__xludf.DUMMYFUNCTION("IMPORTRANGE(""https://docs.google.com/spreadsheets/d/1UsNK1e-WWiCo2PvGqdNfdme4m17_Ezd3J69EeeiQPD0/edit?usp=sharing"",""อุทัยธานี!J88"")"),0)</f>
        <v>0</v>
      </c>
      <c r="AN30" s="110">
        <f ca="1">IFERROR(__xludf.DUMMYFUNCTION("IMPORTRANGE(""https://docs.google.com/spreadsheets/d/1UsNK1e-WWiCo2PvGqdNfdme4m17_Ezd3J69EeeiQPD0/edit?usp=sharing"",""อุทัยธานี!J89"")"),0)</f>
        <v>0</v>
      </c>
      <c r="AO30" s="104">
        <f ca="1">IFERROR(__xludf.DUMMYFUNCTION("IMPORTRANGE(""https://docs.google.com/spreadsheets/d/1UsNK1e-WWiCo2PvGqdNfdme4m17_Ezd3J69EeeiQPD0/edit?usp=sharing"",""อุทัยธานี!I90"")"),2)</f>
        <v>2</v>
      </c>
      <c r="AP30" s="110">
        <f ca="1">IFERROR(__xludf.DUMMYFUNCTION("IMPORTRANGE(""https://docs.google.com/spreadsheets/d/1UsNK1e-WWiCo2PvGqdNfdme4m17_Ezd3J69EeeiQPD0/edit?usp=sharing"",""อุทัยธานี!J90"")"),0)</f>
        <v>0</v>
      </c>
      <c r="AQ30" s="106">
        <f t="shared" ca="1" si="42"/>
        <v>0</v>
      </c>
    </row>
    <row r="31" spans="1:43" ht="21" customHeight="1" x14ac:dyDescent="0.3">
      <c r="A31" s="625" t="s">
        <v>57</v>
      </c>
      <c r="B31" s="626"/>
      <c r="C31" s="112">
        <f t="shared" ca="1" si="26"/>
        <v>2912200</v>
      </c>
      <c r="D31" s="71">
        <f t="shared" ref="D31:I31" ca="1" si="46">SUM(D32:D51)</f>
        <v>2912200</v>
      </c>
      <c r="E31" s="71">
        <f t="shared" ca="1" si="46"/>
        <v>1131400</v>
      </c>
      <c r="F31" s="71">
        <f t="shared" ca="1" si="46"/>
        <v>1780800</v>
      </c>
      <c r="G31" s="71">
        <f t="shared" ca="1" si="46"/>
        <v>0</v>
      </c>
      <c r="H31" s="71">
        <f t="shared" ca="1" si="46"/>
        <v>1790541</v>
      </c>
      <c r="I31" s="71">
        <f t="shared" ca="1" si="46"/>
        <v>0</v>
      </c>
      <c r="J31" s="71">
        <f t="shared" ca="1" si="28"/>
        <v>1010572.03</v>
      </c>
      <c r="K31" s="113">
        <f t="shared" ca="1" si="29"/>
        <v>34.701326488565343</v>
      </c>
      <c r="L31" s="71">
        <f ca="1">SUM(L32:L51)</f>
        <v>1010572.03</v>
      </c>
      <c r="M31" s="114">
        <f t="shared" ca="1" si="30"/>
        <v>34.701326488565343</v>
      </c>
      <c r="N31" s="114">
        <f t="shared" ca="1" si="31"/>
        <v>56.439480023076825</v>
      </c>
      <c r="O31" s="115">
        <f ca="1">SUM(O32:O51)</f>
        <v>0</v>
      </c>
      <c r="P31" s="115">
        <f t="shared" ca="1" si="32"/>
        <v>0</v>
      </c>
      <c r="Q31" s="114">
        <f t="shared" ca="1" si="33"/>
        <v>0</v>
      </c>
      <c r="R31" s="39">
        <f t="shared" ref="R31:T31" ca="1" si="47">SUM(R32:R51)</f>
        <v>7372260</v>
      </c>
      <c r="S31" s="39">
        <f t="shared" ca="1" si="47"/>
        <v>0</v>
      </c>
      <c r="T31" s="39">
        <f t="shared" ca="1" si="47"/>
        <v>0</v>
      </c>
      <c r="U31" s="40">
        <f t="shared" ca="1" si="35"/>
        <v>0</v>
      </c>
      <c r="V31" s="40">
        <f t="shared" ca="1" si="36"/>
        <v>0</v>
      </c>
      <c r="W31" s="71">
        <f t="shared" ca="1" si="37"/>
        <v>15</v>
      </c>
      <c r="X31" s="71">
        <f t="shared" ca="1" si="38"/>
        <v>612</v>
      </c>
      <c r="Y31" s="71">
        <f ca="1">SUM(Y32:Y51)</f>
        <v>1</v>
      </c>
      <c r="Z31" s="114">
        <f t="shared" ca="1" si="39"/>
        <v>6.666666666666667</v>
      </c>
      <c r="AA31" s="71">
        <f ca="1">SUM(AA32:AA51)</f>
        <v>34</v>
      </c>
      <c r="AB31" s="114">
        <f t="shared" ca="1" si="40"/>
        <v>5.5555555555555554</v>
      </c>
      <c r="AC31" s="71">
        <f t="shared" ref="AC31:AP31" ca="1" si="48">SUM(AC32:AC51)</f>
        <v>7</v>
      </c>
      <c r="AD31" s="71">
        <f t="shared" ca="1" si="48"/>
        <v>236</v>
      </c>
      <c r="AE31" s="71">
        <f t="shared" ca="1" si="48"/>
        <v>0</v>
      </c>
      <c r="AF31" s="71">
        <f t="shared" ca="1" si="48"/>
        <v>0</v>
      </c>
      <c r="AG31" s="71">
        <f t="shared" ca="1" si="48"/>
        <v>2</v>
      </c>
      <c r="AH31" s="71">
        <f t="shared" ca="1" si="48"/>
        <v>102</v>
      </c>
      <c r="AI31" s="71">
        <f t="shared" ca="1" si="48"/>
        <v>0</v>
      </c>
      <c r="AJ31" s="71">
        <f t="shared" ca="1" si="48"/>
        <v>0</v>
      </c>
      <c r="AK31" s="71">
        <f t="shared" ca="1" si="48"/>
        <v>6</v>
      </c>
      <c r="AL31" s="71">
        <f t="shared" ca="1" si="48"/>
        <v>274</v>
      </c>
      <c r="AM31" s="71">
        <f t="shared" ca="1" si="48"/>
        <v>1</v>
      </c>
      <c r="AN31" s="71">
        <f t="shared" ca="1" si="48"/>
        <v>34</v>
      </c>
      <c r="AO31" s="71">
        <f t="shared" ca="1" si="48"/>
        <v>15</v>
      </c>
      <c r="AP31" s="71">
        <f t="shared" ca="1" si="48"/>
        <v>0</v>
      </c>
      <c r="AQ31" s="114">
        <f t="shared" ca="1" si="42"/>
        <v>0</v>
      </c>
    </row>
    <row r="32" spans="1:43" ht="21" customHeight="1" x14ac:dyDescent="0.3">
      <c r="A32" s="77">
        <v>1</v>
      </c>
      <c r="B32" s="78" t="s">
        <v>58</v>
      </c>
      <c r="C32" s="116">
        <f t="shared" ca="1" si="26"/>
        <v>0</v>
      </c>
      <c r="D32" s="80">
        <f t="shared" ref="D32:D51" ca="1" si="49">+E32+F32</f>
        <v>0</v>
      </c>
      <c r="E32" s="81">
        <f ca="1">IFERROR(__xludf.DUMMYFUNCTION("IMPORTRANGE(""https://docs.google.com/spreadsheets/d/1-uDff_7J0KD5mKrp0Vvzr7lt3OU09vwQwhkpOPPYv2Y/edit?usp=sharing"",""งบพรบ!AN32"")"),0)</f>
        <v>0</v>
      </c>
      <c r="F32" s="81">
        <f ca="1">IFERROR(__xludf.DUMMYFUNCTION("IMPORTRANGE(""https://docs.google.com/spreadsheets/d/1-uDff_7J0KD5mKrp0Vvzr7lt3OU09vwQwhkpOPPYv2Y/edit?usp=sharing"",""งบพรบ!AO32"")"),0)</f>
        <v>0</v>
      </c>
      <c r="G32" s="82">
        <f ca="1">IFERROR(__xludf.DUMMYFUNCTION("IMPORTRANGE(""https://docs.google.com/spreadsheets/d/1-uDff_7J0KD5mKrp0Vvzr7lt3OU09vwQwhkpOPPYv2Y/edit?usp=sharing"",""งบพรบ!AP32"")"),0)</f>
        <v>0</v>
      </c>
      <c r="H32" s="82">
        <f ca="1">IFERROR(__xludf.DUMMYFUNCTION("IMPORTRANGE(""https://docs.google.com/spreadsheets/d/1-uDff_7J0KD5mKrp0Vvzr7lt3OU09vwQwhkpOPPYv2Y/edit?usp=sharing"",""งบพรบ!AR32"")"),0)</f>
        <v>0</v>
      </c>
      <c r="I32" s="82">
        <f ca="1">IFERROR(__xludf.DUMMYFUNCTION("IMPORTRANGE(""https://docs.google.com/spreadsheets/d/1-uDff_7J0KD5mKrp0Vvzr7lt3OU09vwQwhkpOPPYv2Y/edit?usp=sharing"",""งบพรบ!AS32"")"),0)</f>
        <v>0</v>
      </c>
      <c r="J32" s="82">
        <f t="shared" ca="1" si="28"/>
        <v>0</v>
      </c>
      <c r="K32" s="83">
        <f t="shared" ca="1" si="29"/>
        <v>0</v>
      </c>
      <c r="L32" s="82">
        <f ca="1">IFERROR(__xludf.DUMMYFUNCTION("IMPORTRANGE(""https://docs.google.com/spreadsheets/d/1-uDff_7J0KD5mKrp0Vvzr7lt3OU09vwQwhkpOPPYv2Y/edit?usp=sharing"",""งบพรบ!AT32"")"),0)</f>
        <v>0</v>
      </c>
      <c r="M32" s="84">
        <f t="shared" ca="1" si="30"/>
        <v>0</v>
      </c>
      <c r="N32" s="84">
        <f t="shared" ca="1" si="31"/>
        <v>0</v>
      </c>
      <c r="O32" s="85">
        <f ca="1">IFERROR(__xludf.DUMMYFUNCTION("IMPORTRANGE(""https://docs.google.com/spreadsheets/d/1-uDff_7J0KD5mKrp0Vvzr7lt3OU09vwQwhkpOPPYv2Y/edit?usp=sharing"",""งบพรบ!AU32"")"),0)</f>
        <v>0</v>
      </c>
      <c r="P32" s="85">
        <f t="shared" ca="1" si="32"/>
        <v>0</v>
      </c>
      <c r="Q32" s="84">
        <f t="shared" ca="1" si="33"/>
        <v>0</v>
      </c>
      <c r="R32" s="86">
        <f ca="1">IFERROR(__xludf.DUMMYFUNCTION("IMPORTRANGE(""https://docs.google.com/spreadsheets/d/1yhBcrRPreicbMKl9Bu_Snb2-OcQAF62RKfhTLhJ2eAA/edit?usp=sharing"",""กาฬสินธุ์!Q72"")"),0)</f>
        <v>0</v>
      </c>
      <c r="S32" s="86">
        <f ca="1">IFERROR(__xludf.DUMMYFUNCTION("IMPORTRANGE(""https://docs.google.com/spreadsheets/d/1yhBcrRPreicbMKl9Bu_Snb2-OcQAF62RKfhTLhJ2eAA/edit?usp=sharing"",""กาฬสินธุ์!R72"")"),0)</f>
        <v>0</v>
      </c>
      <c r="T32" s="86">
        <f ca="1">IFERROR(__xludf.DUMMYFUNCTION("IMPORTRANGE(""https://docs.google.com/spreadsheets/d/1yhBcrRPreicbMKl9Bu_Snb2-OcQAF62RKfhTLhJ2eAA/edit?usp=sharing"",""กาฬสินธุ์!S72"")"),0)</f>
        <v>0</v>
      </c>
      <c r="U32" s="87">
        <f t="shared" ca="1" si="35"/>
        <v>0</v>
      </c>
      <c r="V32" s="87">
        <f t="shared" ca="1" si="36"/>
        <v>0</v>
      </c>
      <c r="W32" s="82">
        <f t="shared" ca="1" si="37"/>
        <v>0</v>
      </c>
      <c r="X32" s="82">
        <f t="shared" ca="1" si="38"/>
        <v>0</v>
      </c>
      <c r="Y32" s="82">
        <f t="shared" ref="Y32:Y51" ca="1" si="50">AE32+AI32+AM32</f>
        <v>0</v>
      </c>
      <c r="Z32" s="88">
        <f t="shared" ca="1" si="39"/>
        <v>0</v>
      </c>
      <c r="AA32" s="82">
        <f t="shared" ref="AA32:AA51" ca="1" si="51">AF32+AJ32+AN32</f>
        <v>0</v>
      </c>
      <c r="AB32" s="88">
        <f t="shared" ca="1" si="40"/>
        <v>0</v>
      </c>
      <c r="AC32" s="81">
        <f ca="1">IFERROR(__xludf.DUMMYFUNCTION("IMPORTRANGE(""https://docs.google.com/spreadsheets/d/1yhBcrRPreicbMKl9Bu_Snb2-OcQAF62RKfhTLhJ2eAA/edit?usp=sharing"",""กาฬสินธุ์!I84"")"),0)</f>
        <v>0</v>
      </c>
      <c r="AD32" s="81">
        <f ca="1">IFERROR(__xludf.DUMMYFUNCTION("IMPORTRANGE(""https://docs.google.com/spreadsheets/d/1yhBcrRPreicbMKl9Bu_Snb2-OcQAF62RKfhTLhJ2eAA/edit?usp=sharing"",""กาฬสินธุ์!I85"")"),0)</f>
        <v>0</v>
      </c>
      <c r="AE32" s="82">
        <f ca="1">IFERROR(__xludf.DUMMYFUNCTION("IMPORTRANGE(""https://docs.google.com/spreadsheets/d/1yhBcrRPreicbMKl9Bu_Snb2-OcQAF62RKfhTLhJ2eAA/edit?usp=sharing"",""กาฬสินธุ์!J84"")"),0)</f>
        <v>0</v>
      </c>
      <c r="AF32" s="82">
        <f ca="1">IFERROR(__xludf.DUMMYFUNCTION("IMPORTRANGE(""https://docs.google.com/spreadsheets/d/1yhBcrRPreicbMKl9Bu_Snb2-OcQAF62RKfhTLhJ2eAA/edit?usp=sharing"",""กาฬสินธุ์!J85"")"),0)</f>
        <v>0</v>
      </c>
      <c r="AG32" s="81">
        <f ca="1">IFERROR(__xludf.DUMMYFUNCTION("IMPORTRANGE(""https://docs.google.com/spreadsheets/d/1yhBcrRPreicbMKl9Bu_Snb2-OcQAF62RKfhTLhJ2eAA/edit?usp=sharing"",""กาฬสินธุ์!I86"")"),0)</f>
        <v>0</v>
      </c>
      <c r="AH32" s="81">
        <f ca="1">IFERROR(__xludf.DUMMYFUNCTION("IMPORTRANGE(""https://docs.google.com/spreadsheets/d/1yhBcrRPreicbMKl9Bu_Snb2-OcQAF62RKfhTLhJ2eAA/edit?usp=sharing"",""กาฬสินธุ์!I87"")"),0)</f>
        <v>0</v>
      </c>
      <c r="AI32" s="82">
        <f ca="1">IFERROR(__xludf.DUMMYFUNCTION("IMPORTRANGE(""https://docs.google.com/spreadsheets/d/1yhBcrRPreicbMKl9Bu_Snb2-OcQAF62RKfhTLhJ2eAA/edit?usp=sharing"",""กาฬสินธุ์!J86"")"),0)</f>
        <v>0</v>
      </c>
      <c r="AJ32" s="82">
        <f ca="1">IFERROR(__xludf.DUMMYFUNCTION("IMPORTRANGE(""https://docs.google.com/spreadsheets/d/1yhBcrRPreicbMKl9Bu_Snb2-OcQAF62RKfhTLhJ2eAA/edit?usp=sharing"",""กาฬสินธุ์!J87"")"),0)</f>
        <v>0</v>
      </c>
      <c r="AK32" s="81">
        <f ca="1">IFERROR(__xludf.DUMMYFUNCTION("IMPORTRANGE(""https://docs.google.com/spreadsheets/d/1yhBcrRPreicbMKl9Bu_Snb2-OcQAF62RKfhTLhJ2eAA/edit?usp=sharing"",""กาฬสินธุ์!I88"")"),0)</f>
        <v>0</v>
      </c>
      <c r="AL32" s="81">
        <f ca="1">IFERROR(__xludf.DUMMYFUNCTION("IMPORTRANGE(""https://docs.google.com/spreadsheets/d/1yhBcrRPreicbMKl9Bu_Snb2-OcQAF62RKfhTLhJ2eAA/edit?usp=sharing"",""กาฬสินธุ์!I89"")"),0)</f>
        <v>0</v>
      </c>
      <c r="AM32" s="82">
        <f ca="1">IFERROR(__xludf.DUMMYFUNCTION("IMPORTRANGE(""https://docs.google.com/spreadsheets/d/1yhBcrRPreicbMKl9Bu_Snb2-OcQAF62RKfhTLhJ2eAA/edit?usp=sharing"",""กาฬสินธุ์!J88"")"),0)</f>
        <v>0</v>
      </c>
      <c r="AN32" s="82">
        <f ca="1">IFERROR(__xludf.DUMMYFUNCTION("IMPORTRANGE(""https://docs.google.com/spreadsheets/d/1yhBcrRPreicbMKl9Bu_Snb2-OcQAF62RKfhTLhJ2eAA/edit?usp=sharing"",""กาฬสินธุ์!J89"")"),0)</f>
        <v>0</v>
      </c>
      <c r="AO32" s="81">
        <f ca="1">IFERROR(__xludf.DUMMYFUNCTION("IMPORTRANGE(""https://docs.google.com/spreadsheets/d/1yhBcrRPreicbMKl9Bu_Snb2-OcQAF62RKfhTLhJ2eAA/edit?usp=sharing"",""กาฬสินธุ์!I90"")"),0)</f>
        <v>0</v>
      </c>
      <c r="AP32" s="82">
        <f ca="1">IFERROR(__xludf.DUMMYFUNCTION("IMPORTRANGE(""https://docs.google.com/spreadsheets/d/1yhBcrRPreicbMKl9Bu_Snb2-OcQAF62RKfhTLhJ2eAA/edit?usp=sharing"",""กาฬสินธุ์!J90"")"),0)</f>
        <v>0</v>
      </c>
      <c r="AQ32" s="84">
        <f t="shared" ca="1" si="42"/>
        <v>0</v>
      </c>
    </row>
    <row r="33" spans="1:43" ht="21" customHeight="1" x14ac:dyDescent="0.3">
      <c r="A33" s="89">
        <v>2</v>
      </c>
      <c r="B33" s="90" t="s">
        <v>59</v>
      </c>
      <c r="C33" s="91">
        <f t="shared" ca="1" si="26"/>
        <v>522300</v>
      </c>
      <c r="D33" s="92">
        <f t="shared" ca="1" si="49"/>
        <v>522300</v>
      </c>
      <c r="E33" s="93">
        <f ca="1">IFERROR(__xludf.DUMMYFUNCTION("IMPORTRANGE(""https://docs.google.com/spreadsheets/d/1-uDff_7J0KD5mKrp0Vvzr7lt3OU09vwQwhkpOPPYv2Y/edit?usp=sharing"",""งบพรบ!AN33"")"),273100)</f>
        <v>273100</v>
      </c>
      <c r="F33" s="93">
        <f ca="1">IFERROR(__xludf.DUMMYFUNCTION("IMPORTRANGE(""https://docs.google.com/spreadsheets/d/1-uDff_7J0KD5mKrp0Vvzr7lt3OU09vwQwhkpOPPYv2Y/edit?usp=sharing"",""งบพรบ!AO33"")"),249200)</f>
        <v>249200</v>
      </c>
      <c r="G33" s="93">
        <f ca="1">IFERROR(__xludf.DUMMYFUNCTION("IMPORTRANGE(""https://docs.google.com/spreadsheets/d/1-uDff_7J0KD5mKrp0Vvzr7lt3OU09vwQwhkpOPPYv2Y/edit?usp=sharing"",""งบพรบ!AP33"")"),0)</f>
        <v>0</v>
      </c>
      <c r="H33" s="93">
        <f ca="1">IFERROR(__xludf.DUMMYFUNCTION("IMPORTRANGE(""https://docs.google.com/spreadsheets/d/1-uDff_7J0KD5mKrp0Vvzr7lt3OU09vwQwhkpOPPYv2Y/edit?usp=sharing"",""งบพรบ!AR33"")"),374350)</f>
        <v>374350</v>
      </c>
      <c r="I33" s="93">
        <f ca="1">IFERROR(__xludf.DUMMYFUNCTION("IMPORTRANGE(""https://docs.google.com/spreadsheets/d/1-uDff_7J0KD5mKrp0Vvzr7lt3OU09vwQwhkpOPPYv2Y/edit?usp=sharing"",""งบพรบ!AS33"")"),0)</f>
        <v>0</v>
      </c>
      <c r="J33" s="93">
        <f t="shared" ca="1" si="28"/>
        <v>260750</v>
      </c>
      <c r="K33" s="94">
        <f t="shared" ca="1" si="29"/>
        <v>49.923415661497224</v>
      </c>
      <c r="L33" s="93">
        <f ca="1">IFERROR(__xludf.DUMMYFUNCTION("IMPORTRANGE(""https://docs.google.com/spreadsheets/d/1-uDff_7J0KD5mKrp0Vvzr7lt3OU09vwQwhkpOPPYv2Y/edit?usp=sharing"",""งบพรบ!AT33"")"),260750)</f>
        <v>260750</v>
      </c>
      <c r="M33" s="95">
        <f t="shared" ca="1" si="30"/>
        <v>49.923415661497224</v>
      </c>
      <c r="N33" s="95">
        <f t="shared" ca="1" si="31"/>
        <v>69.654067049552552</v>
      </c>
      <c r="O33" s="96">
        <f ca="1">IFERROR(__xludf.DUMMYFUNCTION("IMPORTRANGE(""https://docs.google.com/spreadsheets/d/1-uDff_7J0KD5mKrp0Vvzr7lt3OU09vwQwhkpOPPYv2Y/edit?usp=sharing"",""งบพรบ!AU33"")"),0)</f>
        <v>0</v>
      </c>
      <c r="P33" s="96">
        <f t="shared" ca="1" si="32"/>
        <v>0</v>
      </c>
      <c r="Q33" s="95">
        <f t="shared" ca="1" si="33"/>
        <v>0</v>
      </c>
      <c r="R33" s="86">
        <f ca="1">IFERROR(__xludf.DUMMYFUNCTION("IMPORTRANGE(""https://docs.google.com/spreadsheets/d/1aHkj4IaQMThhwWwevcOymEh837vdxeC_PycurhTbGFA/edit?usp=sharing"",""ขอนแก่น!Q72"")"),518360)</f>
        <v>518360</v>
      </c>
      <c r="S33" s="86">
        <f ca="1">IFERROR(__xludf.DUMMYFUNCTION("IMPORTRANGE(""https://docs.google.com/spreadsheets/d/1aHkj4IaQMThhwWwevcOymEh837vdxeC_PycurhTbGFA/edit?usp=sharing"",""ขอนแก่น!R72"")"),0)</f>
        <v>0</v>
      </c>
      <c r="T33" s="86">
        <f ca="1">IFERROR(__xludf.DUMMYFUNCTION("IMPORTRANGE(""https://docs.google.com/spreadsheets/d/1aHkj4IaQMThhwWwevcOymEh837vdxeC_PycurhTbGFA/edit?usp=sharing"",""ขอนแก่น!S72"")"),0)</f>
        <v>0</v>
      </c>
      <c r="U33" s="87">
        <f t="shared" ca="1" si="35"/>
        <v>0</v>
      </c>
      <c r="V33" s="87">
        <f t="shared" ca="1" si="36"/>
        <v>0</v>
      </c>
      <c r="W33" s="97">
        <f t="shared" ca="1" si="37"/>
        <v>1</v>
      </c>
      <c r="X33" s="97">
        <f t="shared" ca="1" si="38"/>
        <v>34</v>
      </c>
      <c r="Y33" s="97">
        <f t="shared" ca="1" si="50"/>
        <v>1</v>
      </c>
      <c r="Z33" s="98">
        <f t="shared" ca="1" si="39"/>
        <v>100</v>
      </c>
      <c r="AA33" s="97">
        <f t="shared" ca="1" si="51"/>
        <v>34</v>
      </c>
      <c r="AB33" s="98">
        <f t="shared" ca="1" si="40"/>
        <v>100</v>
      </c>
      <c r="AC33" s="93">
        <f ca="1">IFERROR(__xludf.DUMMYFUNCTION("IMPORTRANGE(""https://docs.google.com/spreadsheets/d/1aHkj4IaQMThhwWwevcOymEh837vdxeC_PycurhTbGFA/edit?usp=sharing"",""ขอนแก่น!I84"")"),0)</f>
        <v>0</v>
      </c>
      <c r="AD33" s="93">
        <f ca="1">IFERROR(__xludf.DUMMYFUNCTION("IMPORTRANGE(""https://docs.google.com/spreadsheets/d/1aHkj4IaQMThhwWwevcOymEh837vdxeC_PycurhTbGFA/edit?usp=sharing"",""ขอนแก่น!I85"")"),0)</f>
        <v>0</v>
      </c>
      <c r="AE33" s="97">
        <f ca="1">IFERROR(__xludf.DUMMYFUNCTION("IMPORTRANGE(""https://docs.google.com/spreadsheets/d/1aHkj4IaQMThhwWwevcOymEh837vdxeC_PycurhTbGFA/edit?usp=sharing"",""ขอนแก่น!J84"")"),0)</f>
        <v>0</v>
      </c>
      <c r="AF33" s="97">
        <f ca="1">IFERROR(__xludf.DUMMYFUNCTION("IMPORTRANGE(""https://docs.google.com/spreadsheets/d/1aHkj4IaQMThhwWwevcOymEh837vdxeC_PycurhTbGFA/edit?usp=sharing"",""ขอนแก่น!J85"")"),0)</f>
        <v>0</v>
      </c>
      <c r="AG33" s="93">
        <f ca="1">IFERROR(__xludf.DUMMYFUNCTION("IMPORTRANGE(""https://docs.google.com/spreadsheets/d/1aHkj4IaQMThhwWwevcOymEh837vdxeC_PycurhTbGFA/edit?usp=sharing"",""ขอนแก่น!I86"")"),0)</f>
        <v>0</v>
      </c>
      <c r="AH33" s="93">
        <f ca="1">IFERROR(__xludf.DUMMYFUNCTION("IMPORTRANGE(""https://docs.google.com/spreadsheets/d/1aHkj4IaQMThhwWwevcOymEh837vdxeC_PycurhTbGFA/edit?usp=sharing"",""ขอนแก่น!I87"")"),0)</f>
        <v>0</v>
      </c>
      <c r="AI33" s="97">
        <f ca="1">IFERROR(__xludf.DUMMYFUNCTION("IMPORTRANGE(""https://docs.google.com/spreadsheets/d/1aHkj4IaQMThhwWwevcOymEh837vdxeC_PycurhTbGFA/edit?usp=sharing"",""ขอนแก่น!J86"")"),0)</f>
        <v>0</v>
      </c>
      <c r="AJ33" s="97">
        <f ca="1">IFERROR(__xludf.DUMMYFUNCTION("IMPORTRANGE(""https://docs.google.com/spreadsheets/d/1aHkj4IaQMThhwWwevcOymEh837vdxeC_PycurhTbGFA/edit?usp=sharing"",""ขอนแก่น!J87"")"),0)</f>
        <v>0</v>
      </c>
      <c r="AK33" s="93">
        <f ca="1">IFERROR(__xludf.DUMMYFUNCTION("IMPORTRANGE(""https://docs.google.com/spreadsheets/d/1aHkj4IaQMThhwWwevcOymEh837vdxeC_PycurhTbGFA/edit?usp=sharing"",""ขอนแก่น!I88"")"),1)</f>
        <v>1</v>
      </c>
      <c r="AL33" s="93">
        <f ca="1">IFERROR(__xludf.DUMMYFUNCTION("IMPORTRANGE(""https://docs.google.com/spreadsheets/d/1aHkj4IaQMThhwWwevcOymEh837vdxeC_PycurhTbGFA/edit?usp=sharing"",""ขอนแก่น!I89"")"),34)</f>
        <v>34</v>
      </c>
      <c r="AM33" s="97">
        <f ca="1">IFERROR(__xludf.DUMMYFUNCTION("IMPORTRANGE(""https://docs.google.com/spreadsheets/d/1aHkj4IaQMThhwWwevcOymEh837vdxeC_PycurhTbGFA/edit?usp=sharing"",""ขอนแก่น!J88"")"),1)</f>
        <v>1</v>
      </c>
      <c r="AN33" s="97">
        <f ca="1">IFERROR(__xludf.DUMMYFUNCTION("IMPORTRANGE(""https://docs.google.com/spreadsheets/d/1aHkj4IaQMThhwWwevcOymEh837vdxeC_PycurhTbGFA/edit?usp=sharing"",""ขอนแก่น!J89"")"),34)</f>
        <v>34</v>
      </c>
      <c r="AO33" s="93">
        <f ca="1">IFERROR(__xludf.DUMMYFUNCTION("IMPORTRANGE(""https://docs.google.com/spreadsheets/d/1aHkj4IaQMThhwWwevcOymEh837vdxeC_PycurhTbGFA/edit?usp=sharing"",""ขอนแก่น!I90"")"),1)</f>
        <v>1</v>
      </c>
      <c r="AP33" s="97">
        <f ca="1">IFERROR(__xludf.DUMMYFUNCTION("IMPORTRANGE(""https://docs.google.com/spreadsheets/d/1aHkj4IaQMThhwWwevcOymEh837vdxeC_PycurhTbGFA/edit?usp=sharing"",""ขอนแก่น!J90"")"),0)</f>
        <v>0</v>
      </c>
      <c r="AQ33" s="95">
        <f t="shared" ca="1" si="42"/>
        <v>0</v>
      </c>
    </row>
    <row r="34" spans="1:43" ht="21" customHeight="1" x14ac:dyDescent="0.3">
      <c r="A34" s="89">
        <v>3</v>
      </c>
      <c r="B34" s="90" t="s">
        <v>60</v>
      </c>
      <c r="C34" s="91">
        <f t="shared" ca="1" si="26"/>
        <v>0</v>
      </c>
      <c r="D34" s="92">
        <f t="shared" ca="1" si="49"/>
        <v>0</v>
      </c>
      <c r="E34" s="93">
        <f ca="1">IFERROR(__xludf.DUMMYFUNCTION("IMPORTRANGE(""https://docs.google.com/spreadsheets/d/1-uDff_7J0KD5mKrp0Vvzr7lt3OU09vwQwhkpOPPYv2Y/edit?usp=sharing"",""งบพรบ!AN34"")"),0)</f>
        <v>0</v>
      </c>
      <c r="F34" s="93">
        <f ca="1">IFERROR(__xludf.DUMMYFUNCTION("IMPORTRANGE(""https://docs.google.com/spreadsheets/d/1-uDff_7J0KD5mKrp0Vvzr7lt3OU09vwQwhkpOPPYv2Y/edit?usp=sharing"",""งบพรบ!AO34"")"),0)</f>
        <v>0</v>
      </c>
      <c r="G34" s="93">
        <f ca="1">IFERROR(__xludf.DUMMYFUNCTION("IMPORTRANGE(""https://docs.google.com/spreadsheets/d/1-uDff_7J0KD5mKrp0Vvzr7lt3OU09vwQwhkpOPPYv2Y/edit?usp=sharing"",""งบพรบ!AP34"")"),0)</f>
        <v>0</v>
      </c>
      <c r="H34" s="93">
        <f ca="1">IFERROR(__xludf.DUMMYFUNCTION("IMPORTRANGE(""https://docs.google.com/spreadsheets/d/1-uDff_7J0KD5mKrp0Vvzr7lt3OU09vwQwhkpOPPYv2Y/edit?usp=sharing"",""งบพรบ!AR34"")"),0)</f>
        <v>0</v>
      </c>
      <c r="I34" s="93">
        <f ca="1">IFERROR(__xludf.DUMMYFUNCTION("IMPORTRANGE(""https://docs.google.com/spreadsheets/d/1-uDff_7J0KD5mKrp0Vvzr7lt3OU09vwQwhkpOPPYv2Y/edit?usp=sharing"",""งบพรบ!AS34"")"),0)</f>
        <v>0</v>
      </c>
      <c r="J34" s="93">
        <f t="shared" ca="1" si="28"/>
        <v>0</v>
      </c>
      <c r="K34" s="94">
        <f t="shared" ca="1" si="29"/>
        <v>0</v>
      </c>
      <c r="L34" s="93">
        <f ca="1">IFERROR(__xludf.DUMMYFUNCTION("IMPORTRANGE(""https://docs.google.com/spreadsheets/d/1-uDff_7J0KD5mKrp0Vvzr7lt3OU09vwQwhkpOPPYv2Y/edit?usp=sharing"",""งบพรบ!AT34"")"),0)</f>
        <v>0</v>
      </c>
      <c r="M34" s="95">
        <f t="shared" ca="1" si="30"/>
        <v>0</v>
      </c>
      <c r="N34" s="95">
        <f t="shared" ca="1" si="31"/>
        <v>0</v>
      </c>
      <c r="O34" s="96">
        <f ca="1">IFERROR(__xludf.DUMMYFUNCTION("IMPORTRANGE(""https://docs.google.com/spreadsheets/d/1-uDff_7J0KD5mKrp0Vvzr7lt3OU09vwQwhkpOPPYv2Y/edit?usp=sharing"",""งบพรบ!AU34"")"),0)</f>
        <v>0</v>
      </c>
      <c r="P34" s="96">
        <f t="shared" ca="1" si="32"/>
        <v>0</v>
      </c>
      <c r="Q34" s="95">
        <f t="shared" ca="1" si="33"/>
        <v>0</v>
      </c>
      <c r="R34" s="86">
        <f ca="1">IFERROR(__xludf.DUMMYFUNCTION("IMPORTRANGE(""https://docs.google.com/spreadsheets/d/1FvTu2DsIWUjP6WCWra38Bkj_oOl_sOMf14r5Fg5srxU/edit?usp=sharing"",""ชัยภูมิ!Q72"")"),0)</f>
        <v>0</v>
      </c>
      <c r="S34" s="86">
        <f ca="1">IFERROR(__xludf.DUMMYFUNCTION("IMPORTRANGE(""https://docs.google.com/spreadsheets/d/1FvTu2DsIWUjP6WCWra38Bkj_oOl_sOMf14r5Fg5srxU/edit?usp=sharing"",""ชัยภูมิ!R72"")"),0)</f>
        <v>0</v>
      </c>
      <c r="T34" s="86">
        <f ca="1">IFERROR(__xludf.DUMMYFUNCTION("IMPORTRANGE(""https://docs.google.com/spreadsheets/d/1FvTu2DsIWUjP6WCWra38Bkj_oOl_sOMf14r5Fg5srxU/edit?usp=sharing"",""ชัยภูมิ!S72"")"),0)</f>
        <v>0</v>
      </c>
      <c r="U34" s="87">
        <f t="shared" ca="1" si="35"/>
        <v>0</v>
      </c>
      <c r="V34" s="87">
        <f t="shared" ca="1" si="36"/>
        <v>0</v>
      </c>
      <c r="W34" s="97">
        <f t="shared" ca="1" si="37"/>
        <v>0</v>
      </c>
      <c r="X34" s="97">
        <f t="shared" ca="1" si="38"/>
        <v>0</v>
      </c>
      <c r="Y34" s="97">
        <f t="shared" ca="1" si="50"/>
        <v>0</v>
      </c>
      <c r="Z34" s="98">
        <f t="shared" ca="1" si="39"/>
        <v>0</v>
      </c>
      <c r="AA34" s="97">
        <f t="shared" ca="1" si="51"/>
        <v>0</v>
      </c>
      <c r="AB34" s="98">
        <f t="shared" ca="1" si="40"/>
        <v>0</v>
      </c>
      <c r="AC34" s="93">
        <f ca="1">IFERROR(__xludf.DUMMYFUNCTION("IMPORTRANGE(""https://docs.google.com/spreadsheets/d/1FvTu2DsIWUjP6WCWra38Bkj_oOl_sOMf14r5Fg5srxU/edit?usp=sharing"",""ชัยภูมิ!I84"")"),0)</f>
        <v>0</v>
      </c>
      <c r="AD34" s="93">
        <f ca="1">IFERROR(__xludf.DUMMYFUNCTION("IMPORTRANGE(""https://docs.google.com/spreadsheets/d/1FvTu2DsIWUjP6WCWra38Bkj_oOl_sOMf14r5Fg5srxU/edit?usp=sharing"",""ชัยภูมิ!I85"")"),0)</f>
        <v>0</v>
      </c>
      <c r="AE34" s="97">
        <f ca="1">IFERROR(__xludf.DUMMYFUNCTION("IMPORTRANGE(""https://docs.google.com/spreadsheets/d/1FvTu2DsIWUjP6WCWra38Bkj_oOl_sOMf14r5Fg5srxU/edit?usp=sharing"",""ชัยภูมิ!J84"")"),0)</f>
        <v>0</v>
      </c>
      <c r="AF34" s="97">
        <f ca="1">IFERROR(__xludf.DUMMYFUNCTION("IMPORTRANGE(""https://docs.google.com/spreadsheets/d/1FvTu2DsIWUjP6WCWra38Bkj_oOl_sOMf14r5Fg5srxU/edit?usp=sharing"",""ชัยภูมิ!J85"")"),0)</f>
        <v>0</v>
      </c>
      <c r="AG34" s="93">
        <f ca="1">IFERROR(__xludf.DUMMYFUNCTION("IMPORTRANGE(""https://docs.google.com/spreadsheets/d/1FvTu2DsIWUjP6WCWra38Bkj_oOl_sOMf14r5Fg5srxU/edit?usp=sharing"",""ชัยภูมิ!I86"")"),0)</f>
        <v>0</v>
      </c>
      <c r="AH34" s="93">
        <f ca="1">IFERROR(__xludf.DUMMYFUNCTION("IMPORTRANGE(""https://docs.google.com/spreadsheets/d/1FvTu2DsIWUjP6WCWra38Bkj_oOl_sOMf14r5Fg5srxU/edit?usp=sharing"",""ชัยภูมิ!I87"")"),0)</f>
        <v>0</v>
      </c>
      <c r="AI34" s="97">
        <f ca="1">IFERROR(__xludf.DUMMYFUNCTION("IMPORTRANGE(""https://docs.google.com/spreadsheets/d/1FvTu2DsIWUjP6WCWra38Bkj_oOl_sOMf14r5Fg5srxU/edit?usp=sharing"",""ชัยภูมิ!J86"")"),0)</f>
        <v>0</v>
      </c>
      <c r="AJ34" s="97">
        <f ca="1">IFERROR(__xludf.DUMMYFUNCTION("IMPORTRANGE(""https://docs.google.com/spreadsheets/d/1FvTu2DsIWUjP6WCWra38Bkj_oOl_sOMf14r5Fg5srxU/edit?usp=sharing"",""ชัยภูมิ!J87"")"),0)</f>
        <v>0</v>
      </c>
      <c r="AK34" s="93">
        <f ca="1">IFERROR(__xludf.DUMMYFUNCTION("IMPORTRANGE(""https://docs.google.com/spreadsheets/d/1FvTu2DsIWUjP6WCWra38Bkj_oOl_sOMf14r5Fg5srxU/edit?usp=sharing"",""ชัยภูมิ!I88"")"),0)</f>
        <v>0</v>
      </c>
      <c r="AL34" s="93">
        <f ca="1">IFERROR(__xludf.DUMMYFUNCTION("IMPORTRANGE(""https://docs.google.com/spreadsheets/d/1FvTu2DsIWUjP6WCWra38Bkj_oOl_sOMf14r5Fg5srxU/edit?usp=sharing"",""ชัยภูมิ!I89"")"),0)</f>
        <v>0</v>
      </c>
      <c r="AM34" s="97">
        <f ca="1">IFERROR(__xludf.DUMMYFUNCTION("IMPORTRANGE(""https://docs.google.com/spreadsheets/d/1FvTu2DsIWUjP6WCWra38Bkj_oOl_sOMf14r5Fg5srxU/edit?usp=sharing"",""ชัยภูมิ!J88"")"),0)</f>
        <v>0</v>
      </c>
      <c r="AN34" s="97">
        <f ca="1">IFERROR(__xludf.DUMMYFUNCTION("IMPORTRANGE(""https://docs.google.com/spreadsheets/d/1FvTu2DsIWUjP6WCWra38Bkj_oOl_sOMf14r5Fg5srxU/edit?usp=sharing"",""ชัยภูมิ!J89"")"),0)</f>
        <v>0</v>
      </c>
      <c r="AO34" s="93">
        <f ca="1">IFERROR(__xludf.DUMMYFUNCTION("IMPORTRANGE(""https://docs.google.com/spreadsheets/d/1FvTu2DsIWUjP6WCWra38Bkj_oOl_sOMf14r5Fg5srxU/edit?usp=sharing"",""ชัยภูมิ!I90"")"),0)</f>
        <v>0</v>
      </c>
      <c r="AP34" s="97">
        <f ca="1">IFERROR(__xludf.DUMMYFUNCTION("IMPORTRANGE(""https://docs.google.com/spreadsheets/d/1FvTu2DsIWUjP6WCWra38Bkj_oOl_sOMf14r5Fg5srxU/edit?usp=sharing"",""ชัยภูมิ!J90"")"),0)</f>
        <v>0</v>
      </c>
      <c r="AQ34" s="95">
        <f t="shared" ca="1" si="42"/>
        <v>0</v>
      </c>
    </row>
    <row r="35" spans="1:43" ht="21" customHeight="1" x14ac:dyDescent="0.3">
      <c r="A35" s="89">
        <v>4</v>
      </c>
      <c r="B35" s="90" t="s">
        <v>61</v>
      </c>
      <c r="C35" s="91">
        <f t="shared" ca="1" si="26"/>
        <v>0</v>
      </c>
      <c r="D35" s="92">
        <f t="shared" ca="1" si="49"/>
        <v>0</v>
      </c>
      <c r="E35" s="93">
        <f ca="1">IFERROR(__xludf.DUMMYFUNCTION("IMPORTRANGE(""https://docs.google.com/spreadsheets/d/1-uDff_7J0KD5mKrp0Vvzr7lt3OU09vwQwhkpOPPYv2Y/edit?usp=sharing"",""งบพรบ!AN35"")"),0)</f>
        <v>0</v>
      </c>
      <c r="F35" s="93">
        <f ca="1">IFERROR(__xludf.DUMMYFUNCTION("IMPORTRANGE(""https://docs.google.com/spreadsheets/d/1-uDff_7J0KD5mKrp0Vvzr7lt3OU09vwQwhkpOPPYv2Y/edit?usp=sharing"",""งบพรบ!AO35"")"),0)</f>
        <v>0</v>
      </c>
      <c r="G35" s="93">
        <f ca="1">IFERROR(__xludf.DUMMYFUNCTION("IMPORTRANGE(""https://docs.google.com/spreadsheets/d/1-uDff_7J0KD5mKrp0Vvzr7lt3OU09vwQwhkpOPPYv2Y/edit?usp=sharing"",""งบพรบ!AP35"")"),0)</f>
        <v>0</v>
      </c>
      <c r="H35" s="93">
        <f ca="1">IFERROR(__xludf.DUMMYFUNCTION("IMPORTRANGE(""https://docs.google.com/spreadsheets/d/1-uDff_7J0KD5mKrp0Vvzr7lt3OU09vwQwhkpOPPYv2Y/edit?usp=sharing"",""งบพรบ!AR35"")"),0)</f>
        <v>0</v>
      </c>
      <c r="I35" s="93">
        <f ca="1">IFERROR(__xludf.DUMMYFUNCTION("IMPORTRANGE(""https://docs.google.com/spreadsheets/d/1-uDff_7J0KD5mKrp0Vvzr7lt3OU09vwQwhkpOPPYv2Y/edit?usp=sharing"",""งบพรบ!AS35"")"),0)</f>
        <v>0</v>
      </c>
      <c r="J35" s="93">
        <f t="shared" ca="1" si="28"/>
        <v>0</v>
      </c>
      <c r="K35" s="94">
        <f t="shared" ca="1" si="29"/>
        <v>0</v>
      </c>
      <c r="L35" s="93">
        <f ca="1">IFERROR(__xludf.DUMMYFUNCTION("IMPORTRANGE(""https://docs.google.com/spreadsheets/d/1-uDff_7J0KD5mKrp0Vvzr7lt3OU09vwQwhkpOPPYv2Y/edit?usp=sharing"",""งบพรบ!AT35"")"),0)</f>
        <v>0</v>
      </c>
      <c r="M35" s="95">
        <f t="shared" ca="1" si="30"/>
        <v>0</v>
      </c>
      <c r="N35" s="95">
        <f t="shared" ca="1" si="31"/>
        <v>0</v>
      </c>
      <c r="O35" s="96">
        <f ca="1">IFERROR(__xludf.DUMMYFUNCTION("IMPORTRANGE(""https://docs.google.com/spreadsheets/d/1-uDff_7J0KD5mKrp0Vvzr7lt3OU09vwQwhkpOPPYv2Y/edit?usp=sharing"",""งบพรบ!AU35"")"),0)</f>
        <v>0</v>
      </c>
      <c r="P35" s="96">
        <f t="shared" ca="1" si="32"/>
        <v>0</v>
      </c>
      <c r="Q35" s="95">
        <f t="shared" ca="1" si="33"/>
        <v>0</v>
      </c>
      <c r="R35" s="86">
        <f ca="1">IFERROR(__xludf.DUMMYFUNCTION("IMPORTRANGE(""https://docs.google.com/spreadsheets/d/1XVB7oCJ3pr-vBUdflwPQ8Z2LlzhnCvZaaYjAfP-647E/edit?usp=sharing"",""นครพนม!Q72"")"),0)</f>
        <v>0</v>
      </c>
      <c r="S35" s="86">
        <f ca="1">IFERROR(__xludf.DUMMYFUNCTION("IMPORTRANGE(""https://docs.google.com/spreadsheets/d/1XVB7oCJ3pr-vBUdflwPQ8Z2LlzhnCvZaaYjAfP-647E/edit?usp=sharing"",""นครพนม!R72"")"),0)</f>
        <v>0</v>
      </c>
      <c r="T35" s="86">
        <f ca="1">IFERROR(__xludf.DUMMYFUNCTION("IMPORTRANGE(""https://docs.google.com/spreadsheets/d/1XVB7oCJ3pr-vBUdflwPQ8Z2LlzhnCvZaaYjAfP-647E/edit?usp=sharing"",""นครพนม!S72"")"),0)</f>
        <v>0</v>
      </c>
      <c r="U35" s="87">
        <f t="shared" ca="1" si="35"/>
        <v>0</v>
      </c>
      <c r="V35" s="87">
        <f t="shared" ca="1" si="36"/>
        <v>0</v>
      </c>
      <c r="W35" s="97">
        <f t="shared" ca="1" si="37"/>
        <v>0</v>
      </c>
      <c r="X35" s="97">
        <f t="shared" ca="1" si="38"/>
        <v>0</v>
      </c>
      <c r="Y35" s="97">
        <f t="shared" ca="1" si="50"/>
        <v>0</v>
      </c>
      <c r="Z35" s="98">
        <f t="shared" ca="1" si="39"/>
        <v>0</v>
      </c>
      <c r="AA35" s="97">
        <f t="shared" ca="1" si="51"/>
        <v>0</v>
      </c>
      <c r="AB35" s="98">
        <f t="shared" ca="1" si="40"/>
        <v>0</v>
      </c>
      <c r="AC35" s="93">
        <f ca="1">IFERROR(__xludf.DUMMYFUNCTION("IMPORTRANGE(""https://docs.google.com/spreadsheets/d/1XVB7oCJ3pr-vBUdflwPQ8Z2LlzhnCvZaaYjAfP-647E/edit?usp=sharing"",""นครพนม!I84"")"),0)</f>
        <v>0</v>
      </c>
      <c r="AD35" s="93">
        <f ca="1">IFERROR(__xludf.DUMMYFUNCTION("IMPORTRANGE(""https://docs.google.com/spreadsheets/d/1XVB7oCJ3pr-vBUdflwPQ8Z2LlzhnCvZaaYjAfP-647E/edit?usp=sharing"",""นครพนม!I85"")"),0)</f>
        <v>0</v>
      </c>
      <c r="AE35" s="97">
        <f ca="1">IFERROR(__xludf.DUMMYFUNCTION("IMPORTRANGE(""https://docs.google.com/spreadsheets/d/1XVB7oCJ3pr-vBUdflwPQ8Z2LlzhnCvZaaYjAfP-647E/edit?usp=sharing"",""นครพนม!J84"")"),0)</f>
        <v>0</v>
      </c>
      <c r="AF35" s="97">
        <f ca="1">IFERROR(__xludf.DUMMYFUNCTION("IMPORTRANGE(""https://docs.google.com/spreadsheets/d/1XVB7oCJ3pr-vBUdflwPQ8Z2LlzhnCvZaaYjAfP-647E/edit?usp=sharing"",""นครพนม!J85"")"),0)</f>
        <v>0</v>
      </c>
      <c r="AG35" s="93">
        <f ca="1">IFERROR(__xludf.DUMMYFUNCTION("IMPORTRANGE(""https://docs.google.com/spreadsheets/d/1XVB7oCJ3pr-vBUdflwPQ8Z2LlzhnCvZaaYjAfP-647E/edit?usp=sharing"",""นครพนม!I86"")"),0)</f>
        <v>0</v>
      </c>
      <c r="AH35" s="93">
        <f ca="1">IFERROR(__xludf.DUMMYFUNCTION("IMPORTRANGE(""https://docs.google.com/spreadsheets/d/1XVB7oCJ3pr-vBUdflwPQ8Z2LlzhnCvZaaYjAfP-647E/edit?usp=sharing"",""นครพนม!I87"")"),0)</f>
        <v>0</v>
      </c>
      <c r="AI35" s="97">
        <f ca="1">IFERROR(__xludf.DUMMYFUNCTION("IMPORTRANGE(""https://docs.google.com/spreadsheets/d/1XVB7oCJ3pr-vBUdflwPQ8Z2LlzhnCvZaaYjAfP-647E/edit?usp=sharing"",""นครพนม!J86"")"),0)</f>
        <v>0</v>
      </c>
      <c r="AJ35" s="97">
        <f ca="1">IFERROR(__xludf.DUMMYFUNCTION("IMPORTRANGE(""https://docs.google.com/spreadsheets/d/1XVB7oCJ3pr-vBUdflwPQ8Z2LlzhnCvZaaYjAfP-647E/edit?usp=sharing"",""นครพนม!J87"")"),0)</f>
        <v>0</v>
      </c>
      <c r="AK35" s="93">
        <f ca="1">IFERROR(__xludf.DUMMYFUNCTION("IMPORTRANGE(""https://docs.google.com/spreadsheets/d/1XVB7oCJ3pr-vBUdflwPQ8Z2LlzhnCvZaaYjAfP-647E/edit?usp=sharing"",""นครพนม!I88"")"),0)</f>
        <v>0</v>
      </c>
      <c r="AL35" s="93">
        <f ca="1">IFERROR(__xludf.DUMMYFUNCTION("IMPORTRANGE(""https://docs.google.com/spreadsheets/d/1XVB7oCJ3pr-vBUdflwPQ8Z2LlzhnCvZaaYjAfP-647E/edit?usp=sharing"",""นครพนม!I89"")"),0)</f>
        <v>0</v>
      </c>
      <c r="AM35" s="97">
        <f ca="1">IFERROR(__xludf.DUMMYFUNCTION("IMPORTRANGE(""https://docs.google.com/spreadsheets/d/1XVB7oCJ3pr-vBUdflwPQ8Z2LlzhnCvZaaYjAfP-647E/edit?usp=sharing"",""นครพนม!J88"")"),0)</f>
        <v>0</v>
      </c>
      <c r="AN35" s="97">
        <f ca="1">IFERROR(__xludf.DUMMYFUNCTION("IMPORTRANGE(""https://docs.google.com/spreadsheets/d/1XVB7oCJ3pr-vBUdflwPQ8Z2LlzhnCvZaaYjAfP-647E/edit?usp=sharing"",""นครพนม!J89"")"),0)</f>
        <v>0</v>
      </c>
      <c r="AO35" s="93">
        <f ca="1">IFERROR(__xludf.DUMMYFUNCTION("IMPORTRANGE(""https://docs.google.com/spreadsheets/d/1XVB7oCJ3pr-vBUdflwPQ8Z2LlzhnCvZaaYjAfP-647E/edit?usp=sharing"",""นครพนม!I90"")"),0)</f>
        <v>0</v>
      </c>
      <c r="AP35" s="97">
        <f ca="1">IFERROR(__xludf.DUMMYFUNCTION("IMPORTRANGE(""https://docs.google.com/spreadsheets/d/1XVB7oCJ3pr-vBUdflwPQ8Z2LlzhnCvZaaYjAfP-647E/edit?usp=sharing"",""นครพนม!J90"")"),0)</f>
        <v>0</v>
      </c>
      <c r="AQ35" s="95">
        <f t="shared" ca="1" si="42"/>
        <v>0</v>
      </c>
    </row>
    <row r="36" spans="1:43" ht="21" customHeight="1" x14ac:dyDescent="0.3">
      <c r="A36" s="89">
        <v>5</v>
      </c>
      <c r="B36" s="90" t="s">
        <v>62</v>
      </c>
      <c r="C36" s="91">
        <f t="shared" ca="1" si="26"/>
        <v>0</v>
      </c>
      <c r="D36" s="92">
        <f t="shared" ca="1" si="49"/>
        <v>0</v>
      </c>
      <c r="E36" s="93">
        <f ca="1">IFERROR(__xludf.DUMMYFUNCTION("IMPORTRANGE(""https://docs.google.com/spreadsheets/d/1-uDff_7J0KD5mKrp0Vvzr7lt3OU09vwQwhkpOPPYv2Y/edit?usp=sharing"",""งบพรบ!AN36"")"),0)</f>
        <v>0</v>
      </c>
      <c r="F36" s="93">
        <f ca="1">IFERROR(__xludf.DUMMYFUNCTION("IMPORTRANGE(""https://docs.google.com/spreadsheets/d/1-uDff_7J0KD5mKrp0Vvzr7lt3OU09vwQwhkpOPPYv2Y/edit?usp=sharing"",""งบพรบ!AO36"")"),0)</f>
        <v>0</v>
      </c>
      <c r="G36" s="93">
        <f ca="1">IFERROR(__xludf.DUMMYFUNCTION("IMPORTRANGE(""https://docs.google.com/spreadsheets/d/1-uDff_7J0KD5mKrp0Vvzr7lt3OU09vwQwhkpOPPYv2Y/edit?usp=sharing"",""งบพรบ!AP36"")"),0)</f>
        <v>0</v>
      </c>
      <c r="H36" s="93">
        <f ca="1">IFERROR(__xludf.DUMMYFUNCTION("IMPORTRANGE(""https://docs.google.com/spreadsheets/d/1-uDff_7J0KD5mKrp0Vvzr7lt3OU09vwQwhkpOPPYv2Y/edit?usp=sharing"",""งบพรบ!AR36"")"),0)</f>
        <v>0</v>
      </c>
      <c r="I36" s="93">
        <f ca="1">IFERROR(__xludf.DUMMYFUNCTION("IMPORTRANGE(""https://docs.google.com/spreadsheets/d/1-uDff_7J0KD5mKrp0Vvzr7lt3OU09vwQwhkpOPPYv2Y/edit?usp=sharing"",""งบพรบ!AS36"")"),0)</f>
        <v>0</v>
      </c>
      <c r="J36" s="93">
        <f t="shared" ca="1" si="28"/>
        <v>0</v>
      </c>
      <c r="K36" s="94">
        <f t="shared" ca="1" si="29"/>
        <v>0</v>
      </c>
      <c r="L36" s="93">
        <f ca="1">IFERROR(__xludf.DUMMYFUNCTION("IMPORTRANGE(""https://docs.google.com/spreadsheets/d/1-uDff_7J0KD5mKrp0Vvzr7lt3OU09vwQwhkpOPPYv2Y/edit?usp=sharing"",""งบพรบ!AT36"")"),0)</f>
        <v>0</v>
      </c>
      <c r="M36" s="95">
        <f t="shared" ca="1" si="30"/>
        <v>0</v>
      </c>
      <c r="N36" s="95">
        <f t="shared" ca="1" si="31"/>
        <v>0</v>
      </c>
      <c r="O36" s="96">
        <f ca="1">IFERROR(__xludf.DUMMYFUNCTION("IMPORTRANGE(""https://docs.google.com/spreadsheets/d/1-uDff_7J0KD5mKrp0Vvzr7lt3OU09vwQwhkpOPPYv2Y/edit?usp=sharing"",""งบพรบ!AU36"")"),0)</f>
        <v>0</v>
      </c>
      <c r="P36" s="96">
        <f t="shared" ca="1" si="32"/>
        <v>0</v>
      </c>
      <c r="Q36" s="95">
        <f t="shared" ca="1" si="33"/>
        <v>0</v>
      </c>
      <c r="R36" s="86">
        <f ca="1">IFERROR(__xludf.DUMMYFUNCTION("IMPORTRANGE(""https://docs.google.com/spreadsheets/d/1Mnpb-8PYAgn85W6KOTD40hc_Xc55CaLfHoGAbrZ8tls/edit?usp=sharing"",""นครราชสีมา!Q72"")"),410120)</f>
        <v>410120</v>
      </c>
      <c r="S36" s="86">
        <f ca="1">IFERROR(__xludf.DUMMYFUNCTION("IMPORTRANGE(""https://docs.google.com/spreadsheets/d/1Mnpb-8PYAgn85W6KOTD40hc_Xc55CaLfHoGAbrZ8tls/edit?usp=sharing"",""นครราชสีมา!R72"")"),0)</f>
        <v>0</v>
      </c>
      <c r="T36" s="86">
        <f ca="1">IFERROR(__xludf.DUMMYFUNCTION("IMPORTRANGE(""https://docs.google.com/spreadsheets/d/1Mnpb-8PYAgn85W6KOTD40hc_Xc55CaLfHoGAbrZ8tls/edit?usp=sharing"",""นครราชสีมา!S72"")"),0)</f>
        <v>0</v>
      </c>
      <c r="U36" s="87">
        <f t="shared" ca="1" si="35"/>
        <v>0</v>
      </c>
      <c r="V36" s="87">
        <f t="shared" ca="1" si="36"/>
        <v>0</v>
      </c>
      <c r="W36" s="97">
        <f t="shared" ca="1" si="37"/>
        <v>1</v>
      </c>
      <c r="X36" s="97">
        <f t="shared" ca="1" si="38"/>
        <v>31</v>
      </c>
      <c r="Y36" s="97">
        <f t="shared" ca="1" si="50"/>
        <v>0</v>
      </c>
      <c r="Z36" s="98">
        <f t="shared" ca="1" si="39"/>
        <v>0</v>
      </c>
      <c r="AA36" s="97">
        <f t="shared" ca="1" si="51"/>
        <v>0</v>
      </c>
      <c r="AB36" s="98">
        <f t="shared" ca="1" si="40"/>
        <v>0</v>
      </c>
      <c r="AC36" s="93">
        <f ca="1">IFERROR(__xludf.DUMMYFUNCTION("IMPORTRANGE(""https://docs.google.com/spreadsheets/d/1Mnpb-8PYAgn85W6KOTD40hc_Xc55CaLfHoGAbrZ8tls/edit?usp=sharing"",""นครราชสีมา!I84"")"),1)</f>
        <v>1</v>
      </c>
      <c r="AD36" s="93">
        <f ca="1">IFERROR(__xludf.DUMMYFUNCTION("IMPORTRANGE(""https://docs.google.com/spreadsheets/d/1Mnpb-8PYAgn85W6KOTD40hc_Xc55CaLfHoGAbrZ8tls/edit?usp=sharing"",""นครราชสีมา!I85"")"),31)</f>
        <v>31</v>
      </c>
      <c r="AE36" s="97">
        <f ca="1">IFERROR(__xludf.DUMMYFUNCTION("IMPORTRANGE(""https://docs.google.com/spreadsheets/d/1Mnpb-8PYAgn85W6KOTD40hc_Xc55CaLfHoGAbrZ8tls/edit?usp=sharing"",""นครราชสีมา!J84"")"),0)</f>
        <v>0</v>
      </c>
      <c r="AF36" s="97">
        <f ca="1">IFERROR(__xludf.DUMMYFUNCTION("IMPORTRANGE(""https://docs.google.com/spreadsheets/d/1Mnpb-8PYAgn85W6KOTD40hc_Xc55CaLfHoGAbrZ8tls/edit?usp=sharing"",""นครราชสีมา!J85"")"),0)</f>
        <v>0</v>
      </c>
      <c r="AG36" s="93">
        <f ca="1">IFERROR(__xludf.DUMMYFUNCTION("IMPORTRANGE(""https://docs.google.com/spreadsheets/d/1Mnpb-8PYAgn85W6KOTD40hc_Xc55CaLfHoGAbrZ8tls/edit?usp=sharing"",""นครราชสีมา!I86"")"),0)</f>
        <v>0</v>
      </c>
      <c r="AH36" s="93">
        <f ca="1">IFERROR(__xludf.DUMMYFUNCTION("IMPORTRANGE(""https://docs.google.com/spreadsheets/d/1Mnpb-8PYAgn85W6KOTD40hc_Xc55CaLfHoGAbrZ8tls/edit?usp=sharing"",""นครราชสีมา!I87"")"),0)</f>
        <v>0</v>
      </c>
      <c r="AI36" s="97">
        <f ca="1">IFERROR(__xludf.DUMMYFUNCTION("IMPORTRANGE(""https://docs.google.com/spreadsheets/d/1Mnpb-8PYAgn85W6KOTD40hc_Xc55CaLfHoGAbrZ8tls/edit?usp=sharing"",""นครราชสีมา!J86"")"),0)</f>
        <v>0</v>
      </c>
      <c r="AJ36" s="97">
        <f ca="1">IFERROR(__xludf.DUMMYFUNCTION("IMPORTRANGE(""https://docs.google.com/spreadsheets/d/1Mnpb-8PYAgn85W6KOTD40hc_Xc55CaLfHoGAbrZ8tls/edit?usp=sharing"",""นครราชสีมา!J87"")"),0)</f>
        <v>0</v>
      </c>
      <c r="AK36" s="93">
        <f ca="1">IFERROR(__xludf.DUMMYFUNCTION("IMPORTRANGE(""https://docs.google.com/spreadsheets/d/1Mnpb-8PYAgn85W6KOTD40hc_Xc55CaLfHoGAbrZ8tls/edit?usp=sharing"",""นครราชสีมา!I88"")"),0)</f>
        <v>0</v>
      </c>
      <c r="AL36" s="93">
        <f ca="1">IFERROR(__xludf.DUMMYFUNCTION("IMPORTRANGE(""https://docs.google.com/spreadsheets/d/1Mnpb-8PYAgn85W6KOTD40hc_Xc55CaLfHoGAbrZ8tls/edit?usp=sharing"",""นครราชสีมา!I89"")"),0)</f>
        <v>0</v>
      </c>
      <c r="AM36" s="97">
        <f ca="1">IFERROR(__xludf.DUMMYFUNCTION("IMPORTRANGE(""https://docs.google.com/spreadsheets/d/1Mnpb-8PYAgn85W6KOTD40hc_Xc55CaLfHoGAbrZ8tls/edit?usp=sharing"",""นครราชสีมา!J88"")"),0)</f>
        <v>0</v>
      </c>
      <c r="AN36" s="97">
        <f ca="1">IFERROR(__xludf.DUMMYFUNCTION("IMPORTRANGE(""https://docs.google.com/spreadsheets/d/1Mnpb-8PYAgn85W6KOTD40hc_Xc55CaLfHoGAbrZ8tls/edit?usp=sharing"",""นครราชสีมา!J89"")"),0)</f>
        <v>0</v>
      </c>
      <c r="AO36" s="93">
        <f ca="1">IFERROR(__xludf.DUMMYFUNCTION("IMPORTRANGE(""https://docs.google.com/spreadsheets/d/1Mnpb-8PYAgn85W6KOTD40hc_Xc55CaLfHoGAbrZ8tls/edit?usp=sharing"",""นครราชสีมา!I90"")"),1)</f>
        <v>1</v>
      </c>
      <c r="AP36" s="97">
        <f ca="1">IFERROR(__xludf.DUMMYFUNCTION("IMPORTRANGE(""https://docs.google.com/spreadsheets/d/1Mnpb-8PYAgn85W6KOTD40hc_Xc55CaLfHoGAbrZ8tls/edit?usp=sharing"",""นครราชสีมา!J90"")"),0)</f>
        <v>0</v>
      </c>
      <c r="AQ36" s="95">
        <f t="shared" ca="1" si="42"/>
        <v>0</v>
      </c>
    </row>
    <row r="37" spans="1:43" ht="21" customHeight="1" x14ac:dyDescent="0.3">
      <c r="A37" s="89">
        <v>6</v>
      </c>
      <c r="B37" s="90" t="s">
        <v>63</v>
      </c>
      <c r="C37" s="91">
        <f t="shared" ca="1" si="26"/>
        <v>0</v>
      </c>
      <c r="D37" s="92">
        <f t="shared" ca="1" si="49"/>
        <v>0</v>
      </c>
      <c r="E37" s="93">
        <f ca="1">IFERROR(__xludf.DUMMYFUNCTION("IMPORTRANGE(""https://docs.google.com/spreadsheets/d/1-uDff_7J0KD5mKrp0Vvzr7lt3OU09vwQwhkpOPPYv2Y/edit?usp=sharing"",""งบพรบ!AN37"")"),0)</f>
        <v>0</v>
      </c>
      <c r="F37" s="93">
        <f ca="1">IFERROR(__xludf.DUMMYFUNCTION("IMPORTRANGE(""https://docs.google.com/spreadsheets/d/1-uDff_7J0KD5mKrp0Vvzr7lt3OU09vwQwhkpOPPYv2Y/edit?usp=sharing"",""งบพรบ!AO37"")"),0)</f>
        <v>0</v>
      </c>
      <c r="G37" s="93">
        <f ca="1">IFERROR(__xludf.DUMMYFUNCTION("IMPORTRANGE(""https://docs.google.com/spreadsheets/d/1-uDff_7J0KD5mKrp0Vvzr7lt3OU09vwQwhkpOPPYv2Y/edit?usp=sharing"",""งบพรบ!AP37"")"),0)</f>
        <v>0</v>
      </c>
      <c r="H37" s="93">
        <f ca="1">IFERROR(__xludf.DUMMYFUNCTION("IMPORTRANGE(""https://docs.google.com/spreadsheets/d/1-uDff_7J0KD5mKrp0Vvzr7lt3OU09vwQwhkpOPPYv2Y/edit?usp=sharing"",""งบพรบ!AR37"")"),0)</f>
        <v>0</v>
      </c>
      <c r="I37" s="93">
        <f ca="1">IFERROR(__xludf.DUMMYFUNCTION("IMPORTRANGE(""https://docs.google.com/spreadsheets/d/1-uDff_7J0KD5mKrp0Vvzr7lt3OU09vwQwhkpOPPYv2Y/edit?usp=sharing"",""งบพรบ!AS37"")"),0)</f>
        <v>0</v>
      </c>
      <c r="J37" s="93">
        <f t="shared" ca="1" si="28"/>
        <v>0</v>
      </c>
      <c r="K37" s="94">
        <f t="shared" ca="1" si="29"/>
        <v>0</v>
      </c>
      <c r="L37" s="93">
        <f ca="1">IFERROR(__xludf.DUMMYFUNCTION("IMPORTRANGE(""https://docs.google.com/spreadsheets/d/1-uDff_7J0KD5mKrp0Vvzr7lt3OU09vwQwhkpOPPYv2Y/edit?usp=sharing"",""งบพรบ!AT37"")"),0)</f>
        <v>0</v>
      </c>
      <c r="M37" s="95">
        <f t="shared" ca="1" si="30"/>
        <v>0</v>
      </c>
      <c r="N37" s="95">
        <f t="shared" ca="1" si="31"/>
        <v>0</v>
      </c>
      <c r="O37" s="96">
        <f ca="1">IFERROR(__xludf.DUMMYFUNCTION("IMPORTRANGE(""https://docs.google.com/spreadsheets/d/1-uDff_7J0KD5mKrp0Vvzr7lt3OU09vwQwhkpOPPYv2Y/edit?usp=sharing"",""งบพรบ!AU37"")"),0)</f>
        <v>0</v>
      </c>
      <c r="P37" s="96">
        <f t="shared" ca="1" si="32"/>
        <v>0</v>
      </c>
      <c r="Q37" s="95">
        <f t="shared" ca="1" si="33"/>
        <v>0</v>
      </c>
      <c r="R37" s="86">
        <f ca="1">IFERROR(__xludf.DUMMYFUNCTION("IMPORTRANGE(""https://docs.google.com/spreadsheets/d/1xoDLGBv9CYbyosIhki0kTq6IpYNj-gpjxfobnaDiut0/edit?usp=sharing"",""บึงกาฬ!Q72"")"),0)</f>
        <v>0</v>
      </c>
      <c r="S37" s="86">
        <f ca="1">IFERROR(__xludf.DUMMYFUNCTION("IMPORTRANGE(""https://docs.google.com/spreadsheets/d/1xoDLGBv9CYbyosIhki0kTq6IpYNj-gpjxfobnaDiut0/edit?usp=sharing"",""บึงกาฬ!R72"")"),0)</f>
        <v>0</v>
      </c>
      <c r="T37" s="86">
        <f ca="1">IFERROR(__xludf.DUMMYFUNCTION("IMPORTRANGE(""https://docs.google.com/spreadsheets/d/1xoDLGBv9CYbyosIhki0kTq6IpYNj-gpjxfobnaDiut0/edit?usp=sharing"",""บึงกาฬ!S72"")"),0)</f>
        <v>0</v>
      </c>
      <c r="U37" s="87">
        <f t="shared" ca="1" si="35"/>
        <v>0</v>
      </c>
      <c r="V37" s="87">
        <f t="shared" ca="1" si="36"/>
        <v>0</v>
      </c>
      <c r="W37" s="97">
        <f t="shared" ca="1" si="37"/>
        <v>0</v>
      </c>
      <c r="X37" s="97">
        <f t="shared" ca="1" si="38"/>
        <v>0</v>
      </c>
      <c r="Y37" s="97">
        <f t="shared" ca="1" si="50"/>
        <v>0</v>
      </c>
      <c r="Z37" s="98">
        <f t="shared" ca="1" si="39"/>
        <v>0</v>
      </c>
      <c r="AA37" s="97">
        <f t="shared" ca="1" si="51"/>
        <v>0</v>
      </c>
      <c r="AB37" s="98">
        <f t="shared" ca="1" si="40"/>
        <v>0</v>
      </c>
      <c r="AC37" s="93">
        <f ca="1">IFERROR(__xludf.DUMMYFUNCTION("IMPORTRANGE(""https://docs.google.com/spreadsheets/d/1xoDLGBv9CYbyosIhki0kTq6IpYNj-gpjxfobnaDiut0/edit?usp=sharing"",""บึงกาฬ!I84"")"),0)</f>
        <v>0</v>
      </c>
      <c r="AD37" s="93">
        <f ca="1">IFERROR(__xludf.DUMMYFUNCTION("IMPORTRANGE(""https://docs.google.com/spreadsheets/d/1xoDLGBv9CYbyosIhki0kTq6IpYNj-gpjxfobnaDiut0/edit?usp=sharing"",""บึงกาฬ!I85"")"),0)</f>
        <v>0</v>
      </c>
      <c r="AE37" s="97">
        <f ca="1">IFERROR(__xludf.DUMMYFUNCTION("IMPORTRANGE(""https://docs.google.com/spreadsheets/d/1xoDLGBv9CYbyosIhki0kTq6IpYNj-gpjxfobnaDiut0/edit?usp=sharing"",""บึงกาฬ!J84"")"),0)</f>
        <v>0</v>
      </c>
      <c r="AF37" s="97">
        <f ca="1">IFERROR(__xludf.DUMMYFUNCTION("IMPORTRANGE(""https://docs.google.com/spreadsheets/d/1xoDLGBv9CYbyosIhki0kTq6IpYNj-gpjxfobnaDiut0/edit?usp=sharing"",""บึงกาฬ!J85"")"),0)</f>
        <v>0</v>
      </c>
      <c r="AG37" s="93">
        <f ca="1">IFERROR(__xludf.DUMMYFUNCTION("IMPORTRANGE(""https://docs.google.com/spreadsheets/d/1xoDLGBv9CYbyosIhki0kTq6IpYNj-gpjxfobnaDiut0/edit?usp=sharing"",""บึงกาฬ!I86"")"),0)</f>
        <v>0</v>
      </c>
      <c r="AH37" s="93">
        <f ca="1">IFERROR(__xludf.DUMMYFUNCTION("IMPORTRANGE(""https://docs.google.com/spreadsheets/d/1xoDLGBv9CYbyosIhki0kTq6IpYNj-gpjxfobnaDiut0/edit?usp=sharing"",""บึงกาฬ!I87"")"),0)</f>
        <v>0</v>
      </c>
      <c r="AI37" s="97">
        <f ca="1">IFERROR(__xludf.DUMMYFUNCTION("IMPORTRANGE(""https://docs.google.com/spreadsheets/d/1xoDLGBv9CYbyosIhki0kTq6IpYNj-gpjxfobnaDiut0/edit?usp=sharing"",""บึงกาฬ!J86"")"),0)</f>
        <v>0</v>
      </c>
      <c r="AJ37" s="97">
        <f ca="1">IFERROR(__xludf.DUMMYFUNCTION("IMPORTRANGE(""https://docs.google.com/spreadsheets/d/1xoDLGBv9CYbyosIhki0kTq6IpYNj-gpjxfobnaDiut0/edit?usp=sharing"",""บึงกาฬ!J87"")"),0)</f>
        <v>0</v>
      </c>
      <c r="AK37" s="93">
        <f ca="1">IFERROR(__xludf.DUMMYFUNCTION("IMPORTRANGE(""https://docs.google.com/spreadsheets/d/1xoDLGBv9CYbyosIhki0kTq6IpYNj-gpjxfobnaDiut0/edit?usp=sharing"",""บึงกาฬ!I88"")"),0)</f>
        <v>0</v>
      </c>
      <c r="AL37" s="93">
        <f ca="1">IFERROR(__xludf.DUMMYFUNCTION("IMPORTRANGE(""https://docs.google.com/spreadsheets/d/1xoDLGBv9CYbyosIhki0kTq6IpYNj-gpjxfobnaDiut0/edit?usp=sharing"",""บึงกาฬ!I89"")"),0)</f>
        <v>0</v>
      </c>
      <c r="AM37" s="97">
        <f ca="1">IFERROR(__xludf.DUMMYFUNCTION("IMPORTRANGE(""https://docs.google.com/spreadsheets/d/1xoDLGBv9CYbyosIhki0kTq6IpYNj-gpjxfobnaDiut0/edit?usp=sharing"",""บึงกาฬ!J88"")"),0)</f>
        <v>0</v>
      </c>
      <c r="AN37" s="97">
        <f ca="1">IFERROR(__xludf.DUMMYFUNCTION("IMPORTRANGE(""https://docs.google.com/spreadsheets/d/1xoDLGBv9CYbyosIhki0kTq6IpYNj-gpjxfobnaDiut0/edit?usp=sharing"",""บึงกาฬ!J89"")"),0)</f>
        <v>0</v>
      </c>
      <c r="AO37" s="93">
        <f ca="1">IFERROR(__xludf.DUMMYFUNCTION("IMPORTRANGE(""https://docs.google.com/spreadsheets/d/1xoDLGBv9CYbyosIhki0kTq6IpYNj-gpjxfobnaDiut0/edit?usp=sharing"",""บึงกาฬ!I90"")"),0)</f>
        <v>0</v>
      </c>
      <c r="AP37" s="97">
        <f ca="1">IFERROR(__xludf.DUMMYFUNCTION("IMPORTRANGE(""https://docs.google.com/spreadsheets/d/1xoDLGBv9CYbyosIhki0kTq6IpYNj-gpjxfobnaDiut0/edit?usp=sharing"",""บึงกาฬ!J90"")"),0)</f>
        <v>0</v>
      </c>
      <c r="AQ37" s="95">
        <f t="shared" ca="1" si="42"/>
        <v>0</v>
      </c>
    </row>
    <row r="38" spans="1:43" ht="21" customHeight="1" x14ac:dyDescent="0.3">
      <c r="A38" s="89">
        <v>7</v>
      </c>
      <c r="B38" s="90" t="s">
        <v>64</v>
      </c>
      <c r="C38" s="91">
        <f t="shared" ca="1" si="26"/>
        <v>330400</v>
      </c>
      <c r="D38" s="92">
        <f t="shared" ca="1" si="49"/>
        <v>330400</v>
      </c>
      <c r="E38" s="93">
        <f ca="1">IFERROR(__xludf.DUMMYFUNCTION("IMPORTRANGE(""https://docs.google.com/spreadsheets/d/1-uDff_7J0KD5mKrp0Vvzr7lt3OU09vwQwhkpOPPYv2Y/edit?usp=sharing"",""งบพรบ!AN38"")"),0)</f>
        <v>0</v>
      </c>
      <c r="F38" s="93">
        <f ca="1">IFERROR(__xludf.DUMMYFUNCTION("IMPORTRANGE(""https://docs.google.com/spreadsheets/d/1-uDff_7J0KD5mKrp0Vvzr7lt3OU09vwQwhkpOPPYv2Y/edit?usp=sharing"",""งบพรบ!AO38"")"),330400)</f>
        <v>330400</v>
      </c>
      <c r="G38" s="93">
        <f ca="1">IFERROR(__xludf.DUMMYFUNCTION("IMPORTRANGE(""https://docs.google.com/spreadsheets/d/1-uDff_7J0KD5mKrp0Vvzr7lt3OU09vwQwhkpOPPYv2Y/edit?usp=sharing"",""งบพรบ!AP38"")"),0)</f>
        <v>0</v>
      </c>
      <c r="H38" s="93">
        <f ca="1">IFERROR(__xludf.DUMMYFUNCTION("IMPORTRANGE(""https://docs.google.com/spreadsheets/d/1-uDff_7J0KD5mKrp0Vvzr7lt3OU09vwQwhkpOPPYv2Y/edit?usp=sharing"",""งบพรบ!AR38"")"),103645)</f>
        <v>103645</v>
      </c>
      <c r="I38" s="93">
        <f ca="1">IFERROR(__xludf.DUMMYFUNCTION("IMPORTRANGE(""https://docs.google.com/spreadsheets/d/1-uDff_7J0KD5mKrp0Vvzr7lt3OU09vwQwhkpOPPYv2Y/edit?usp=sharing"",""งบพรบ!AS38"")"),0)</f>
        <v>0</v>
      </c>
      <c r="J38" s="93">
        <f t="shared" ca="1" si="28"/>
        <v>54906.45</v>
      </c>
      <c r="K38" s="94">
        <f t="shared" ca="1" si="29"/>
        <v>16.618174939467313</v>
      </c>
      <c r="L38" s="93">
        <f ca="1">IFERROR(__xludf.DUMMYFUNCTION("IMPORTRANGE(""https://docs.google.com/spreadsheets/d/1-uDff_7J0KD5mKrp0Vvzr7lt3OU09vwQwhkpOPPYv2Y/edit?usp=sharing"",""งบพรบ!AT38"")"),54906.45)</f>
        <v>54906.45</v>
      </c>
      <c r="M38" s="95">
        <f t="shared" ca="1" si="30"/>
        <v>16.618174939467313</v>
      </c>
      <c r="N38" s="95">
        <f t="shared" ca="1" si="31"/>
        <v>52.975493270297648</v>
      </c>
      <c r="O38" s="96">
        <f ca="1">IFERROR(__xludf.DUMMYFUNCTION("IMPORTRANGE(""https://docs.google.com/spreadsheets/d/1-uDff_7J0KD5mKrp0Vvzr7lt3OU09vwQwhkpOPPYv2Y/edit?usp=sharing"",""งบพรบ!AU38"")"),0)</f>
        <v>0</v>
      </c>
      <c r="P38" s="96">
        <f t="shared" ca="1" si="32"/>
        <v>0</v>
      </c>
      <c r="Q38" s="95">
        <f t="shared" ca="1" si="33"/>
        <v>0</v>
      </c>
      <c r="R38" s="86">
        <f ca="1">IFERROR(__xludf.DUMMYFUNCTION("IMPORTRANGE(""https://docs.google.com/spreadsheets/d/1MMPq-JyI6DSgQETxuSiXkesP-P7JHuemnE6QJIa-Nlw/edit?usp=sharing"",""บุรีรัมย์!Q72"")"),769560)</f>
        <v>769560</v>
      </c>
      <c r="S38" s="86">
        <f ca="1">IFERROR(__xludf.DUMMYFUNCTION("IMPORTRANGE(""https://docs.google.com/spreadsheets/d/1MMPq-JyI6DSgQETxuSiXkesP-P7JHuemnE6QJIa-Nlw/edit?usp=sharing"",""บุรีรัมย์!R72"")"),0)</f>
        <v>0</v>
      </c>
      <c r="T38" s="86">
        <f ca="1">IFERROR(__xludf.DUMMYFUNCTION("IMPORTRANGE(""https://docs.google.com/spreadsheets/d/1MMPq-JyI6DSgQETxuSiXkesP-P7JHuemnE6QJIa-Nlw/edit?usp=sharing"",""บุรีรัมย์!S72"")"),0)</f>
        <v>0</v>
      </c>
      <c r="U38" s="87">
        <f t="shared" ca="1" si="35"/>
        <v>0</v>
      </c>
      <c r="V38" s="87">
        <f t="shared" ca="1" si="36"/>
        <v>0</v>
      </c>
      <c r="W38" s="97">
        <f t="shared" ca="1" si="37"/>
        <v>1</v>
      </c>
      <c r="X38" s="97">
        <f t="shared" ca="1" si="38"/>
        <v>63</v>
      </c>
      <c r="Y38" s="97">
        <f t="shared" ca="1" si="50"/>
        <v>0</v>
      </c>
      <c r="Z38" s="98">
        <f t="shared" ca="1" si="39"/>
        <v>0</v>
      </c>
      <c r="AA38" s="97">
        <f t="shared" ca="1" si="51"/>
        <v>0</v>
      </c>
      <c r="AB38" s="98">
        <f t="shared" ca="1" si="40"/>
        <v>0</v>
      </c>
      <c r="AC38" s="97">
        <f ca="1">IFERROR(__xludf.DUMMYFUNCTION("IMPORTRANGE(""https://docs.google.com/spreadsheets/d/1MMPq-JyI6DSgQETxuSiXkesP-P7JHuemnE6QJIa-Nlw/edit?usp=sharing"",""บุรีรัมย์!I84"")"),0)</f>
        <v>0</v>
      </c>
      <c r="AD38" s="97">
        <f ca="1">IFERROR(__xludf.DUMMYFUNCTION("IMPORTRANGE(""https://docs.google.com/spreadsheets/d/1MMPq-JyI6DSgQETxuSiXkesP-P7JHuemnE6QJIa-Nlw/edit?usp=sharing"",""บุรีรัมย์!I85"")"),0)</f>
        <v>0</v>
      </c>
      <c r="AE38" s="97">
        <f ca="1">IFERROR(__xludf.DUMMYFUNCTION("IMPORTRANGE(""https://docs.google.com/spreadsheets/d/1MMPq-JyI6DSgQETxuSiXkesP-P7JHuemnE6QJIa-Nlw/edit?usp=sharing"",""บุรีรัมย์!J84"")"),0)</f>
        <v>0</v>
      </c>
      <c r="AF38" s="97">
        <f ca="1">IFERROR(__xludf.DUMMYFUNCTION("IMPORTRANGE(""https://docs.google.com/spreadsheets/d/1MMPq-JyI6DSgQETxuSiXkesP-P7JHuemnE6QJIa-Nlw/edit?usp=sharing"",""บุรีรัมย์!J85"")"),0)</f>
        <v>0</v>
      </c>
      <c r="AG38" s="97">
        <f ca="1">IFERROR(__xludf.DUMMYFUNCTION("IMPORTRANGE(""https://docs.google.com/spreadsheets/d/1MMPq-JyI6DSgQETxuSiXkesP-P7JHuemnE6QJIa-Nlw/edit?usp=sharing"",""บุรีรัมย์!I86"")"),0)</f>
        <v>0</v>
      </c>
      <c r="AH38" s="97">
        <f ca="1">IFERROR(__xludf.DUMMYFUNCTION("IMPORTRANGE(""https://docs.google.com/spreadsheets/d/1MMPq-JyI6DSgQETxuSiXkesP-P7JHuemnE6QJIa-Nlw/edit?usp=sharing"",""บุรีรัมย์!I87"")"),0)</f>
        <v>0</v>
      </c>
      <c r="AI38" s="97">
        <f ca="1">IFERROR(__xludf.DUMMYFUNCTION("IMPORTRANGE(""https://docs.google.com/spreadsheets/d/1MMPq-JyI6DSgQETxuSiXkesP-P7JHuemnE6QJIa-Nlw/edit?usp=sharing"",""บุรีรัมย์!J86"")"),0)</f>
        <v>0</v>
      </c>
      <c r="AJ38" s="97">
        <f ca="1">IFERROR(__xludf.DUMMYFUNCTION("IMPORTRANGE(""https://docs.google.com/spreadsheets/d/1MMPq-JyI6DSgQETxuSiXkesP-P7JHuemnE6QJIa-Nlw/edit?usp=sharing"",""บุรีรัมย์!J87"")"),0)</f>
        <v>0</v>
      </c>
      <c r="AK38" s="97">
        <f ca="1">IFERROR(__xludf.DUMMYFUNCTION("IMPORTRANGE(""https://docs.google.com/spreadsheets/d/1MMPq-JyI6DSgQETxuSiXkesP-P7JHuemnE6QJIa-Nlw/edit?usp=sharing"",""บุรีรัมย์!I88"")"),1)</f>
        <v>1</v>
      </c>
      <c r="AL38" s="93">
        <f ca="1">IFERROR(__xludf.DUMMYFUNCTION("IMPORTRANGE(""https://docs.google.com/spreadsheets/d/1MMPq-JyI6DSgQETxuSiXkesP-P7JHuemnE6QJIa-Nlw/edit?usp=sharing"",""บุรีรัมย์!I89"")"),63)</f>
        <v>63</v>
      </c>
      <c r="AM38" s="97">
        <f ca="1">IFERROR(__xludf.DUMMYFUNCTION("IMPORTRANGE(""https://docs.google.com/spreadsheets/d/1MMPq-JyI6DSgQETxuSiXkesP-P7JHuemnE6QJIa-Nlw/edit?usp=sharing"",""บุรีรัมย์!J88"")"),0)</f>
        <v>0</v>
      </c>
      <c r="AN38" s="97">
        <f ca="1">IFERROR(__xludf.DUMMYFUNCTION("IMPORTRANGE(""https://docs.google.com/spreadsheets/d/1MMPq-JyI6DSgQETxuSiXkesP-P7JHuemnE6QJIa-Nlw/edit?usp=sharing"",""บุรีรัมย์!J89"")"),0)</f>
        <v>0</v>
      </c>
      <c r="AO38" s="97">
        <f ca="1">IFERROR(__xludf.DUMMYFUNCTION("IMPORTRANGE(""https://docs.google.com/spreadsheets/d/1MMPq-JyI6DSgQETxuSiXkesP-P7JHuemnE6QJIa-Nlw/edit?usp=sharing"",""บุรีรัมย์!I90"")"),1)</f>
        <v>1</v>
      </c>
      <c r="AP38" s="97">
        <f ca="1">IFERROR(__xludf.DUMMYFUNCTION("IMPORTRANGE(""https://docs.google.com/spreadsheets/d/1MMPq-JyI6DSgQETxuSiXkesP-P7JHuemnE6QJIa-Nlw/edit?usp=sharing"",""บุรีรัมย์!J90"")"),0)</f>
        <v>0</v>
      </c>
      <c r="AQ38" s="98">
        <f t="shared" ca="1" si="42"/>
        <v>0</v>
      </c>
    </row>
    <row r="39" spans="1:43" ht="21" customHeight="1" x14ac:dyDescent="0.3">
      <c r="A39" s="89">
        <v>8</v>
      </c>
      <c r="B39" s="90" t="s">
        <v>65</v>
      </c>
      <c r="C39" s="91">
        <f t="shared" ca="1" si="26"/>
        <v>655300</v>
      </c>
      <c r="D39" s="92">
        <f t="shared" ca="1" si="49"/>
        <v>655300</v>
      </c>
      <c r="E39" s="93">
        <f ca="1">IFERROR(__xludf.DUMMYFUNCTION("IMPORTRANGE(""https://docs.google.com/spreadsheets/d/1-uDff_7J0KD5mKrp0Vvzr7lt3OU09vwQwhkpOPPYv2Y/edit?usp=sharing"",""งบพรบ!AN39"")"),308100)</f>
        <v>308100</v>
      </c>
      <c r="F39" s="93">
        <f ca="1">IFERROR(__xludf.DUMMYFUNCTION("IMPORTRANGE(""https://docs.google.com/spreadsheets/d/1-uDff_7J0KD5mKrp0Vvzr7lt3OU09vwQwhkpOPPYv2Y/edit?usp=sharing"",""งบพรบ!AO39"")"),347200)</f>
        <v>347200</v>
      </c>
      <c r="G39" s="93">
        <f ca="1">IFERROR(__xludf.DUMMYFUNCTION("IMPORTRANGE(""https://docs.google.com/spreadsheets/d/1-uDff_7J0KD5mKrp0Vvzr7lt3OU09vwQwhkpOPPYv2Y/edit?usp=sharing"",""งบพรบ!AP39"")"),0)</f>
        <v>0</v>
      </c>
      <c r="H39" s="93">
        <f ca="1">IFERROR(__xludf.DUMMYFUNCTION("IMPORTRANGE(""https://docs.google.com/spreadsheets/d/1-uDff_7J0KD5mKrp0Vvzr7lt3OU09vwQwhkpOPPYv2Y/edit?usp=sharing"",""งบพรบ!AR39"")"),400320)</f>
        <v>400320</v>
      </c>
      <c r="I39" s="93">
        <f ca="1">IFERROR(__xludf.DUMMYFUNCTION("IMPORTRANGE(""https://docs.google.com/spreadsheets/d/1-uDff_7J0KD5mKrp0Vvzr7lt3OU09vwQwhkpOPPYv2Y/edit?usp=sharing"",""งบพรบ!AS39"")"),0)</f>
        <v>0</v>
      </c>
      <c r="J39" s="93">
        <f t="shared" ca="1" si="28"/>
        <v>167488.34</v>
      </c>
      <c r="K39" s="94">
        <f t="shared" ca="1" si="29"/>
        <v>25.559032504196551</v>
      </c>
      <c r="L39" s="93">
        <f ca="1">IFERROR(__xludf.DUMMYFUNCTION("IMPORTRANGE(""https://docs.google.com/spreadsheets/d/1-uDff_7J0KD5mKrp0Vvzr7lt3OU09vwQwhkpOPPYv2Y/edit?usp=sharing"",""งบพรบ!AT39"")"),167488.34)</f>
        <v>167488.34</v>
      </c>
      <c r="M39" s="95">
        <f t="shared" ca="1" si="30"/>
        <v>25.559032504196551</v>
      </c>
      <c r="N39" s="95">
        <f t="shared" ca="1" si="31"/>
        <v>41.838614108713031</v>
      </c>
      <c r="O39" s="96">
        <f ca="1">IFERROR(__xludf.DUMMYFUNCTION("IMPORTRANGE(""https://docs.google.com/spreadsheets/d/1-uDff_7J0KD5mKrp0Vvzr7lt3OU09vwQwhkpOPPYv2Y/edit?usp=sharing"",""งบพรบ!AU39"")"),0)</f>
        <v>0</v>
      </c>
      <c r="P39" s="96">
        <f t="shared" ca="1" si="32"/>
        <v>0</v>
      </c>
      <c r="Q39" s="95">
        <f t="shared" ca="1" si="33"/>
        <v>0</v>
      </c>
      <c r="R39" s="86">
        <f ca="1">IFERROR(__xludf.DUMMYFUNCTION("IMPORTRANGE(""https://docs.google.com/spreadsheets/d/1l6IZ8xUPgMrESzcTYwhA1k_tPjeQjJPTqlm8Gd9eU5g/edit?usp=sharing"",""มหาสารคาม!Q72"")"),1044880)</f>
        <v>1044880</v>
      </c>
      <c r="S39" s="86">
        <f ca="1">IFERROR(__xludf.DUMMYFUNCTION("IMPORTRANGE(""https://docs.google.com/spreadsheets/d/1l6IZ8xUPgMrESzcTYwhA1k_tPjeQjJPTqlm8Gd9eU5g/edit?usp=sharing"",""มหาสารคาม!R72"")"),0)</f>
        <v>0</v>
      </c>
      <c r="T39" s="86">
        <f ca="1">IFERROR(__xludf.DUMMYFUNCTION("IMPORTRANGE(""https://docs.google.com/spreadsheets/d/1l6IZ8xUPgMrESzcTYwhA1k_tPjeQjJPTqlm8Gd9eU5g/edit?usp=sharing"",""มหาสารคาม!S72"")"),0)</f>
        <v>0</v>
      </c>
      <c r="U39" s="87">
        <f t="shared" ca="1" si="35"/>
        <v>0</v>
      </c>
      <c r="V39" s="87">
        <f t="shared" ca="1" si="36"/>
        <v>0</v>
      </c>
      <c r="W39" s="97">
        <f t="shared" ca="1" si="37"/>
        <v>2</v>
      </c>
      <c r="X39" s="97">
        <f t="shared" ca="1" si="38"/>
        <v>69</v>
      </c>
      <c r="Y39" s="97">
        <f t="shared" ca="1" si="50"/>
        <v>0</v>
      </c>
      <c r="Z39" s="98">
        <f t="shared" ca="1" si="39"/>
        <v>0</v>
      </c>
      <c r="AA39" s="97">
        <f t="shared" ca="1" si="51"/>
        <v>0</v>
      </c>
      <c r="AB39" s="98">
        <f t="shared" ca="1" si="40"/>
        <v>0</v>
      </c>
      <c r="AC39" s="97">
        <f ca="1">IFERROR(__xludf.DUMMYFUNCTION("IMPORTRANGE(""https://docs.google.com/spreadsheets/d/1l6IZ8xUPgMrESzcTYwhA1k_tPjeQjJPTqlm8Gd9eU5g/edit?usp=sharing"",""มหาสารคาม!I84"")"),0)</f>
        <v>0</v>
      </c>
      <c r="AD39" s="97">
        <f ca="1">IFERROR(__xludf.DUMMYFUNCTION("IMPORTRANGE(""https://docs.google.com/spreadsheets/d/1l6IZ8xUPgMrESzcTYwhA1k_tPjeQjJPTqlm8Gd9eU5g/edit?usp=sharing"",""มหาสารคาม!I85"")"),0)</f>
        <v>0</v>
      </c>
      <c r="AE39" s="97">
        <f ca="1">IFERROR(__xludf.DUMMYFUNCTION("IMPORTRANGE(""https://docs.google.com/spreadsheets/d/1l6IZ8xUPgMrESzcTYwhA1k_tPjeQjJPTqlm8Gd9eU5g/edit?usp=sharing"",""มหาสารคาม!J84"")"),0)</f>
        <v>0</v>
      </c>
      <c r="AF39" s="97">
        <f ca="1">IFERROR(__xludf.DUMMYFUNCTION("IMPORTRANGE(""https://docs.google.com/spreadsheets/d/1l6IZ8xUPgMrESzcTYwhA1k_tPjeQjJPTqlm8Gd9eU5g/edit?usp=sharing"",""มหาสารคาม!J85"")"),0)</f>
        <v>0</v>
      </c>
      <c r="AG39" s="97">
        <f ca="1">IFERROR(__xludf.DUMMYFUNCTION("IMPORTRANGE(""https://docs.google.com/spreadsheets/d/1l6IZ8xUPgMrESzcTYwhA1k_tPjeQjJPTqlm8Gd9eU5g/edit?usp=sharing"",""มหาสารคาม!I86"")"),1)</f>
        <v>1</v>
      </c>
      <c r="AH39" s="97">
        <f ca="1">IFERROR(__xludf.DUMMYFUNCTION("IMPORTRANGE(""https://docs.google.com/spreadsheets/d/1l6IZ8xUPgMrESzcTYwhA1k_tPjeQjJPTqlm8Gd9eU5g/edit?usp=sharing"",""มหาสารคาม!I87"")"),32)</f>
        <v>32</v>
      </c>
      <c r="AI39" s="97">
        <f ca="1">IFERROR(__xludf.DUMMYFUNCTION("IMPORTRANGE(""https://docs.google.com/spreadsheets/d/1l6IZ8xUPgMrESzcTYwhA1k_tPjeQjJPTqlm8Gd9eU5g/edit?usp=sharing"",""มหาสารคาม!J86"")"),0)</f>
        <v>0</v>
      </c>
      <c r="AJ39" s="97">
        <f ca="1">IFERROR(__xludf.DUMMYFUNCTION("IMPORTRANGE(""https://docs.google.com/spreadsheets/d/1l6IZ8xUPgMrESzcTYwhA1k_tPjeQjJPTqlm8Gd9eU5g/edit?usp=sharing"",""มหาสารคาม!J87"")"),0)</f>
        <v>0</v>
      </c>
      <c r="AK39" s="97">
        <f ca="1">IFERROR(__xludf.DUMMYFUNCTION("IMPORTRANGE(""https://docs.google.com/spreadsheets/d/1l6IZ8xUPgMrESzcTYwhA1k_tPjeQjJPTqlm8Gd9eU5g/edit?usp=sharing"",""มหาสารคาม!I88"")"),1)</f>
        <v>1</v>
      </c>
      <c r="AL39" s="93">
        <f ca="1">IFERROR(__xludf.DUMMYFUNCTION("IMPORTRANGE(""https://docs.google.com/spreadsheets/d/1l6IZ8xUPgMrESzcTYwhA1k_tPjeQjJPTqlm8Gd9eU5g/edit?usp=sharing"",""มหาสารคาม!I89"")"),37)</f>
        <v>37</v>
      </c>
      <c r="AM39" s="97">
        <f ca="1">IFERROR(__xludf.DUMMYFUNCTION("IMPORTRANGE(""https://docs.google.com/spreadsheets/d/1l6IZ8xUPgMrESzcTYwhA1k_tPjeQjJPTqlm8Gd9eU5g/edit?usp=sharing"",""มหาสารคาม!J88"")"),0)</f>
        <v>0</v>
      </c>
      <c r="AN39" s="97">
        <f ca="1">IFERROR(__xludf.DUMMYFUNCTION("IMPORTRANGE(""https://docs.google.com/spreadsheets/d/1l6IZ8xUPgMrESzcTYwhA1k_tPjeQjJPTqlm8Gd9eU5g/edit?usp=sharing"",""มหาสารคาม!J89"")"),0)</f>
        <v>0</v>
      </c>
      <c r="AO39" s="97">
        <f ca="1">IFERROR(__xludf.DUMMYFUNCTION("IMPORTRANGE(""https://docs.google.com/spreadsheets/d/1l6IZ8xUPgMrESzcTYwhA1k_tPjeQjJPTqlm8Gd9eU5g/edit?usp=sharing"",""มหาสารคาม!I90"")"),2)</f>
        <v>2</v>
      </c>
      <c r="AP39" s="97">
        <f ca="1">IFERROR(__xludf.DUMMYFUNCTION("IMPORTRANGE(""https://docs.google.com/spreadsheets/d/1l6IZ8xUPgMrESzcTYwhA1k_tPjeQjJPTqlm8Gd9eU5g/edit?usp=sharing"",""มหาสารคาม!J90"")"),0)</f>
        <v>0</v>
      </c>
      <c r="AQ39" s="98">
        <f t="shared" ca="1" si="42"/>
        <v>0</v>
      </c>
    </row>
    <row r="40" spans="1:43" ht="21" customHeight="1" x14ac:dyDescent="0.3">
      <c r="A40" s="89">
        <v>9</v>
      </c>
      <c r="B40" s="90" t="s">
        <v>66</v>
      </c>
      <c r="C40" s="91">
        <f t="shared" ca="1" si="26"/>
        <v>0</v>
      </c>
      <c r="D40" s="92">
        <f t="shared" ca="1" si="49"/>
        <v>0</v>
      </c>
      <c r="E40" s="93">
        <f ca="1">IFERROR(__xludf.DUMMYFUNCTION("IMPORTRANGE(""https://docs.google.com/spreadsheets/d/1-uDff_7J0KD5mKrp0Vvzr7lt3OU09vwQwhkpOPPYv2Y/edit?usp=sharing"",""งบพรบ!AN40"")"),0)</f>
        <v>0</v>
      </c>
      <c r="F40" s="93">
        <f ca="1">IFERROR(__xludf.DUMMYFUNCTION("IMPORTRANGE(""https://docs.google.com/spreadsheets/d/1-uDff_7J0KD5mKrp0Vvzr7lt3OU09vwQwhkpOPPYv2Y/edit?usp=sharing"",""งบพรบ!AO40"")"),0)</f>
        <v>0</v>
      </c>
      <c r="G40" s="93">
        <f ca="1">IFERROR(__xludf.DUMMYFUNCTION("IMPORTRANGE(""https://docs.google.com/spreadsheets/d/1-uDff_7J0KD5mKrp0Vvzr7lt3OU09vwQwhkpOPPYv2Y/edit?usp=sharing"",""งบพรบ!AP40"")"),0)</f>
        <v>0</v>
      </c>
      <c r="H40" s="93">
        <f ca="1">IFERROR(__xludf.DUMMYFUNCTION("IMPORTRANGE(""https://docs.google.com/spreadsheets/d/1-uDff_7J0KD5mKrp0Vvzr7lt3OU09vwQwhkpOPPYv2Y/edit?usp=sharing"",""งบพรบ!AR40"")"),0)</f>
        <v>0</v>
      </c>
      <c r="I40" s="93">
        <f ca="1">IFERROR(__xludf.DUMMYFUNCTION("IMPORTRANGE(""https://docs.google.com/spreadsheets/d/1-uDff_7J0KD5mKrp0Vvzr7lt3OU09vwQwhkpOPPYv2Y/edit?usp=sharing"",""งบพรบ!AS40"")"),0)</f>
        <v>0</v>
      </c>
      <c r="J40" s="93">
        <f t="shared" ca="1" si="28"/>
        <v>0</v>
      </c>
      <c r="K40" s="94">
        <f t="shared" ca="1" si="29"/>
        <v>0</v>
      </c>
      <c r="L40" s="93">
        <f ca="1">IFERROR(__xludf.DUMMYFUNCTION("IMPORTRANGE(""https://docs.google.com/spreadsheets/d/1-uDff_7J0KD5mKrp0Vvzr7lt3OU09vwQwhkpOPPYv2Y/edit?usp=sharing"",""งบพรบ!AT40"")"),0)</f>
        <v>0</v>
      </c>
      <c r="M40" s="95">
        <f t="shared" ca="1" si="30"/>
        <v>0</v>
      </c>
      <c r="N40" s="95">
        <f t="shared" ca="1" si="31"/>
        <v>0</v>
      </c>
      <c r="O40" s="96">
        <f ca="1">IFERROR(__xludf.DUMMYFUNCTION("IMPORTRANGE(""https://docs.google.com/spreadsheets/d/1-uDff_7J0KD5mKrp0Vvzr7lt3OU09vwQwhkpOPPYv2Y/edit?usp=sharing"",""งบพรบ!AU40"")"),0)</f>
        <v>0</v>
      </c>
      <c r="P40" s="96">
        <f t="shared" ca="1" si="32"/>
        <v>0</v>
      </c>
      <c r="Q40" s="95">
        <f t="shared" ca="1" si="33"/>
        <v>0</v>
      </c>
      <c r="R40" s="86">
        <f ca="1">IFERROR(__xludf.DUMMYFUNCTION("IMPORTRANGE(""https://docs.google.com/spreadsheets/d/1uB74YLqNjWX6FObjekfB2NtSYigTQyR2rq9u4Ub2Sq4/edit?usp=sharing"",""มุกดาหาร!Q72"")"),500000)</f>
        <v>500000</v>
      </c>
      <c r="S40" s="86">
        <f ca="1">IFERROR(__xludf.DUMMYFUNCTION("IMPORTRANGE(""https://docs.google.com/spreadsheets/d/1uB74YLqNjWX6FObjekfB2NtSYigTQyR2rq9u4Ub2Sq4/edit?usp=sharing"",""มุกดาหาร!R72"")"),0)</f>
        <v>0</v>
      </c>
      <c r="T40" s="86">
        <f ca="1">IFERROR(__xludf.DUMMYFUNCTION("IMPORTRANGE(""https://docs.google.com/spreadsheets/d/1uB74YLqNjWX6FObjekfB2NtSYigTQyR2rq9u4Ub2Sq4/edit?usp=sharing"",""มุกดาหาร!S72"")"),0)</f>
        <v>0</v>
      </c>
      <c r="U40" s="87">
        <f t="shared" ca="1" si="35"/>
        <v>0</v>
      </c>
      <c r="V40" s="87">
        <f t="shared" ca="1" si="36"/>
        <v>0</v>
      </c>
      <c r="W40" s="97">
        <f t="shared" ca="1" si="37"/>
        <v>1</v>
      </c>
      <c r="X40" s="97">
        <f t="shared" ca="1" si="38"/>
        <v>45</v>
      </c>
      <c r="Y40" s="97">
        <f t="shared" ca="1" si="50"/>
        <v>0</v>
      </c>
      <c r="Z40" s="98">
        <f t="shared" ca="1" si="39"/>
        <v>0</v>
      </c>
      <c r="AA40" s="97">
        <f t="shared" ca="1" si="51"/>
        <v>0</v>
      </c>
      <c r="AB40" s="98">
        <f t="shared" ca="1" si="40"/>
        <v>0</v>
      </c>
      <c r="AC40" s="97">
        <f ca="1">IFERROR(__xludf.DUMMYFUNCTION("IMPORTRANGE(""https://docs.google.com/spreadsheets/d/1uB74YLqNjWX6FObjekfB2NtSYigTQyR2rq9u4Ub2Sq4/edit?usp=sharing"",""มุกดาหาร!I84"")"),1)</f>
        <v>1</v>
      </c>
      <c r="AD40" s="97">
        <f ca="1">IFERROR(__xludf.DUMMYFUNCTION("IMPORTRANGE(""https://docs.google.com/spreadsheets/d/1uB74YLqNjWX6FObjekfB2NtSYigTQyR2rq9u4Ub2Sq4/edit?usp=sharing"",""มุกดาหาร!I85"")"),45)</f>
        <v>45</v>
      </c>
      <c r="AE40" s="97">
        <f ca="1">IFERROR(__xludf.DUMMYFUNCTION("IMPORTRANGE(""https://docs.google.com/spreadsheets/d/1uB74YLqNjWX6FObjekfB2NtSYigTQyR2rq9u4Ub2Sq4/edit?usp=sharing"",""มุกดาหาร!J84"")"),0)</f>
        <v>0</v>
      </c>
      <c r="AF40" s="97">
        <f ca="1">IFERROR(__xludf.DUMMYFUNCTION("IMPORTRANGE(""https://docs.google.com/spreadsheets/d/1uB74YLqNjWX6FObjekfB2NtSYigTQyR2rq9u4Ub2Sq4/edit?usp=sharing"",""มุกดาหาร!J85"")"),0)</f>
        <v>0</v>
      </c>
      <c r="AG40" s="97">
        <f ca="1">IFERROR(__xludf.DUMMYFUNCTION("IMPORTRANGE(""https://docs.google.com/spreadsheets/d/1uB74YLqNjWX6FObjekfB2NtSYigTQyR2rq9u4Ub2Sq4/edit?usp=sharing"",""มุกดาหาร!I86"")"),0)</f>
        <v>0</v>
      </c>
      <c r="AH40" s="97">
        <f ca="1">IFERROR(__xludf.DUMMYFUNCTION("IMPORTRANGE(""https://docs.google.com/spreadsheets/d/1uB74YLqNjWX6FObjekfB2NtSYigTQyR2rq9u4Ub2Sq4/edit?usp=sharing"",""มุกดาหาร!I87"")"),0)</f>
        <v>0</v>
      </c>
      <c r="AI40" s="97">
        <f ca="1">IFERROR(__xludf.DUMMYFUNCTION("IMPORTRANGE(""https://docs.google.com/spreadsheets/d/1uB74YLqNjWX6FObjekfB2NtSYigTQyR2rq9u4Ub2Sq4/edit?usp=sharing"",""มุกดาหาร!J86"")"),0)</f>
        <v>0</v>
      </c>
      <c r="AJ40" s="97">
        <f ca="1">IFERROR(__xludf.DUMMYFUNCTION("IMPORTRANGE(""https://docs.google.com/spreadsheets/d/1uB74YLqNjWX6FObjekfB2NtSYigTQyR2rq9u4Ub2Sq4/edit?usp=sharing"",""มุกดาหาร!J87"")"),0)</f>
        <v>0</v>
      </c>
      <c r="AK40" s="97">
        <f ca="1">IFERROR(__xludf.DUMMYFUNCTION("IMPORTRANGE(""https://docs.google.com/spreadsheets/d/1uB74YLqNjWX6FObjekfB2NtSYigTQyR2rq9u4Ub2Sq4/edit?usp=sharing"",""มุกดาหาร!I88"")"),0)</f>
        <v>0</v>
      </c>
      <c r="AL40" s="93">
        <f ca="1">IFERROR(__xludf.DUMMYFUNCTION("IMPORTRANGE(""https://docs.google.com/spreadsheets/d/1uB74YLqNjWX6FObjekfB2NtSYigTQyR2rq9u4Ub2Sq4/edit?usp=sharing"",""มุกดาหาร!I89"")"),0)</f>
        <v>0</v>
      </c>
      <c r="AM40" s="97">
        <f ca="1">IFERROR(__xludf.DUMMYFUNCTION("IMPORTRANGE(""https://docs.google.com/spreadsheets/d/1uB74YLqNjWX6FObjekfB2NtSYigTQyR2rq9u4Ub2Sq4/edit?usp=sharing"",""มุกดาหาร!J88"")"),0)</f>
        <v>0</v>
      </c>
      <c r="AN40" s="97">
        <f ca="1">IFERROR(__xludf.DUMMYFUNCTION("IMPORTRANGE(""https://docs.google.com/spreadsheets/d/1uB74YLqNjWX6FObjekfB2NtSYigTQyR2rq9u4Ub2Sq4/edit?usp=sharing"",""มุกดาหาร!J89"")"),0)</f>
        <v>0</v>
      </c>
      <c r="AO40" s="97">
        <f ca="1">IFERROR(__xludf.DUMMYFUNCTION("IMPORTRANGE(""https://docs.google.com/spreadsheets/d/1uB74YLqNjWX6FObjekfB2NtSYigTQyR2rq9u4Ub2Sq4/edit?usp=sharing"",""มุกดาหาร!I90"")"),1)</f>
        <v>1</v>
      </c>
      <c r="AP40" s="97">
        <f ca="1">IFERROR(__xludf.DUMMYFUNCTION("IMPORTRANGE(""https://docs.google.com/spreadsheets/d/1uB74YLqNjWX6FObjekfB2NtSYigTQyR2rq9u4Ub2Sq4/edit?usp=sharing"",""มุกดาหาร!J90"")"),0)</f>
        <v>0</v>
      </c>
      <c r="AQ40" s="98">
        <f t="shared" ca="1" si="42"/>
        <v>0</v>
      </c>
    </row>
    <row r="41" spans="1:43" ht="21" customHeight="1" x14ac:dyDescent="0.3">
      <c r="A41" s="89">
        <v>10</v>
      </c>
      <c r="B41" s="90" t="s">
        <v>67</v>
      </c>
      <c r="C41" s="91">
        <f t="shared" ca="1" si="26"/>
        <v>506900</v>
      </c>
      <c r="D41" s="92">
        <f t="shared" ca="1" si="49"/>
        <v>506900</v>
      </c>
      <c r="E41" s="93">
        <f ca="1">IFERROR(__xludf.DUMMYFUNCTION("IMPORTRANGE(""https://docs.google.com/spreadsheets/d/1-uDff_7J0KD5mKrp0Vvzr7lt3OU09vwQwhkpOPPYv2Y/edit?usp=sharing"",""งบพรบ!AN41"")"),240900)</f>
        <v>240900</v>
      </c>
      <c r="F41" s="93">
        <f ca="1">IFERROR(__xludf.DUMMYFUNCTION("IMPORTRANGE(""https://docs.google.com/spreadsheets/d/1-uDff_7J0KD5mKrp0Vvzr7lt3OU09vwQwhkpOPPYv2Y/edit?usp=sharing"",""งบพรบ!AO41"")"),266000)</f>
        <v>266000</v>
      </c>
      <c r="G41" s="93">
        <f ca="1">IFERROR(__xludf.DUMMYFUNCTION("IMPORTRANGE(""https://docs.google.com/spreadsheets/d/1-uDff_7J0KD5mKrp0Vvzr7lt3OU09vwQwhkpOPPYv2Y/edit?usp=sharing"",""งบพรบ!AP41"")"),0)</f>
        <v>0</v>
      </c>
      <c r="H41" s="93">
        <f ca="1">IFERROR(__xludf.DUMMYFUNCTION("IMPORTRANGE(""https://docs.google.com/spreadsheets/d/1-uDff_7J0KD5mKrp0Vvzr7lt3OU09vwQwhkpOPPYv2Y/edit?usp=sharing"",""งบพรบ!AR41"")"),318900)</f>
        <v>318900</v>
      </c>
      <c r="I41" s="93">
        <f ca="1">IFERROR(__xludf.DUMMYFUNCTION("IMPORTRANGE(""https://docs.google.com/spreadsheets/d/1-uDff_7J0KD5mKrp0Vvzr7lt3OU09vwQwhkpOPPYv2Y/edit?usp=sharing"",""งบพรบ!AS41"")"),0)</f>
        <v>0</v>
      </c>
      <c r="J41" s="93">
        <f t="shared" ca="1" si="28"/>
        <v>172478</v>
      </c>
      <c r="K41" s="94">
        <f t="shared" ca="1" si="29"/>
        <v>34.026040639179328</v>
      </c>
      <c r="L41" s="93">
        <f ca="1">IFERROR(__xludf.DUMMYFUNCTION("IMPORTRANGE(""https://docs.google.com/spreadsheets/d/1-uDff_7J0KD5mKrp0Vvzr7lt3OU09vwQwhkpOPPYv2Y/edit?usp=sharing"",""งบพรบ!AT41"")"),172478)</f>
        <v>172478</v>
      </c>
      <c r="M41" s="95">
        <f t="shared" ca="1" si="30"/>
        <v>34.026040639179328</v>
      </c>
      <c r="N41" s="95">
        <f t="shared" ca="1" si="31"/>
        <v>54.08529319535905</v>
      </c>
      <c r="O41" s="96">
        <f ca="1">IFERROR(__xludf.DUMMYFUNCTION("IMPORTRANGE(""https://docs.google.com/spreadsheets/d/1-uDff_7J0KD5mKrp0Vvzr7lt3OU09vwQwhkpOPPYv2Y/edit?usp=sharing"",""งบพรบ!AU41"")"),0)</f>
        <v>0</v>
      </c>
      <c r="P41" s="96">
        <f t="shared" ca="1" si="32"/>
        <v>0</v>
      </c>
      <c r="Q41" s="95">
        <f t="shared" ca="1" si="33"/>
        <v>0</v>
      </c>
      <c r="R41" s="86">
        <f ca="1">IFERROR(__xludf.DUMMYFUNCTION("IMPORTRANGE(""https://docs.google.com/spreadsheets/d/1NexK3geCPxCTO1fzNF8dPec7yZyUx3OaWkFBC9HsQOo/edit?usp=sharing"",""ยโสธร!Q72"")"),543460)</f>
        <v>543460</v>
      </c>
      <c r="S41" s="86">
        <f ca="1">IFERROR(__xludf.DUMMYFUNCTION("IMPORTRANGE(""https://docs.google.com/spreadsheets/d/1NexK3geCPxCTO1fzNF8dPec7yZyUx3OaWkFBC9HsQOo/edit?usp=sharing"",""ยโสธร!R72"")"),0)</f>
        <v>0</v>
      </c>
      <c r="T41" s="86">
        <f ca="1">IFERROR(__xludf.DUMMYFUNCTION("IMPORTRANGE(""https://docs.google.com/spreadsheets/d/1NexK3geCPxCTO1fzNF8dPec7yZyUx3OaWkFBC9HsQOo/edit?usp=sharing"",""ยโสธร!S72"")"),0)</f>
        <v>0</v>
      </c>
      <c r="U41" s="87">
        <f t="shared" ca="1" si="35"/>
        <v>0</v>
      </c>
      <c r="V41" s="87">
        <f t="shared" ca="1" si="36"/>
        <v>0</v>
      </c>
      <c r="W41" s="97">
        <f t="shared" ca="1" si="37"/>
        <v>1</v>
      </c>
      <c r="X41" s="97">
        <f t="shared" ca="1" si="38"/>
        <v>40</v>
      </c>
      <c r="Y41" s="97">
        <f t="shared" ca="1" si="50"/>
        <v>0</v>
      </c>
      <c r="Z41" s="98">
        <f t="shared" ca="1" si="39"/>
        <v>0</v>
      </c>
      <c r="AA41" s="97">
        <f t="shared" ca="1" si="51"/>
        <v>0</v>
      </c>
      <c r="AB41" s="98">
        <f t="shared" ca="1" si="40"/>
        <v>0</v>
      </c>
      <c r="AC41" s="97">
        <f ca="1">IFERROR(__xludf.DUMMYFUNCTION("IMPORTRANGE(""https://docs.google.com/spreadsheets/d/1NexK3geCPxCTO1fzNF8dPec7yZyUx3OaWkFBC9HsQOo/edit?usp=sharing"",""ยโสธร!I84"")"),0)</f>
        <v>0</v>
      </c>
      <c r="AD41" s="97">
        <f ca="1">IFERROR(__xludf.DUMMYFUNCTION("IMPORTRANGE(""https://docs.google.com/spreadsheets/d/1NexK3geCPxCTO1fzNF8dPec7yZyUx3OaWkFBC9HsQOo/edit?usp=sharing"",""ยโสธร!I85"")"),0)</f>
        <v>0</v>
      </c>
      <c r="AE41" s="97">
        <f ca="1">IFERROR(__xludf.DUMMYFUNCTION("IMPORTRANGE(""https://docs.google.com/spreadsheets/d/1NexK3geCPxCTO1fzNF8dPec7yZyUx3OaWkFBC9HsQOo/edit?usp=sharing"",""ยโสธร!J84"")"),0)</f>
        <v>0</v>
      </c>
      <c r="AF41" s="97">
        <f ca="1">IFERROR(__xludf.DUMMYFUNCTION("IMPORTRANGE(""https://docs.google.com/spreadsheets/d/1NexK3geCPxCTO1fzNF8dPec7yZyUx3OaWkFBC9HsQOo/edit?usp=sharing"",""ยโสธร!J85"")"),0)</f>
        <v>0</v>
      </c>
      <c r="AG41" s="97">
        <f ca="1">IFERROR(__xludf.DUMMYFUNCTION("IMPORTRANGE(""https://docs.google.com/spreadsheets/d/1NexK3geCPxCTO1fzNF8dPec7yZyUx3OaWkFBC9HsQOo/edit?usp=sharing"",""ยโสธร!I86"")"),0)</f>
        <v>0</v>
      </c>
      <c r="AH41" s="97">
        <f ca="1">IFERROR(__xludf.DUMMYFUNCTION("IMPORTRANGE(""https://docs.google.com/spreadsheets/d/1NexK3geCPxCTO1fzNF8dPec7yZyUx3OaWkFBC9HsQOo/edit?usp=sharing"",""ยโสธร!I87"")"),0)</f>
        <v>0</v>
      </c>
      <c r="AI41" s="97">
        <f ca="1">IFERROR(__xludf.DUMMYFUNCTION("IMPORTRANGE(""https://docs.google.com/spreadsheets/d/1NexK3geCPxCTO1fzNF8dPec7yZyUx3OaWkFBC9HsQOo/edit?usp=sharing"",""ยโสธร!J86"")"),0)</f>
        <v>0</v>
      </c>
      <c r="AJ41" s="97">
        <f ca="1">IFERROR(__xludf.DUMMYFUNCTION("IMPORTRANGE(""https://docs.google.com/spreadsheets/d/1NexK3geCPxCTO1fzNF8dPec7yZyUx3OaWkFBC9HsQOo/edit?usp=sharing"",""ยโสธร!J87"")"),0)</f>
        <v>0</v>
      </c>
      <c r="AK41" s="97">
        <f ca="1">IFERROR(__xludf.DUMMYFUNCTION("IMPORTRANGE(""https://docs.google.com/spreadsheets/d/1NexK3geCPxCTO1fzNF8dPec7yZyUx3OaWkFBC9HsQOo/edit?usp=sharing"",""ยโสธร!I88"")"),1)</f>
        <v>1</v>
      </c>
      <c r="AL41" s="93">
        <f ca="1">IFERROR(__xludf.DUMMYFUNCTION("IMPORTRANGE(""https://docs.google.com/spreadsheets/d/1NexK3geCPxCTO1fzNF8dPec7yZyUx3OaWkFBC9HsQOo/edit?usp=sharing"",""ยโสธร!I89"")"),40)</f>
        <v>40</v>
      </c>
      <c r="AM41" s="97">
        <f ca="1">IFERROR(__xludf.DUMMYFUNCTION("IMPORTRANGE(""https://docs.google.com/spreadsheets/d/1NexK3geCPxCTO1fzNF8dPec7yZyUx3OaWkFBC9HsQOo/edit?usp=sharing"",""ยโสธร!J88"")"),0)</f>
        <v>0</v>
      </c>
      <c r="AN41" s="97">
        <f ca="1">IFERROR(__xludf.DUMMYFUNCTION("IMPORTRANGE(""https://docs.google.com/spreadsheets/d/1NexK3geCPxCTO1fzNF8dPec7yZyUx3OaWkFBC9HsQOo/edit?usp=sharing"",""ยโสธร!J89"")"),0)</f>
        <v>0</v>
      </c>
      <c r="AO41" s="97">
        <f ca="1">IFERROR(__xludf.DUMMYFUNCTION("IMPORTRANGE(""https://docs.google.com/spreadsheets/d/1NexK3geCPxCTO1fzNF8dPec7yZyUx3OaWkFBC9HsQOo/edit?usp=sharing"",""ยโสธร!I90"")"),1)</f>
        <v>1</v>
      </c>
      <c r="AP41" s="97">
        <f ca="1">IFERROR(__xludf.DUMMYFUNCTION("IMPORTRANGE(""https://docs.google.com/spreadsheets/d/1NexK3geCPxCTO1fzNF8dPec7yZyUx3OaWkFBC9HsQOo/edit?usp=sharing"",""ยโสธร!J90"")"),0)</f>
        <v>0</v>
      </c>
      <c r="AQ41" s="98">
        <f t="shared" ca="1" si="42"/>
        <v>0</v>
      </c>
    </row>
    <row r="42" spans="1:43" ht="21" customHeight="1" x14ac:dyDescent="0.3">
      <c r="A42" s="89">
        <v>11</v>
      </c>
      <c r="B42" s="90" t="s">
        <v>68</v>
      </c>
      <c r="C42" s="91">
        <f t="shared" ca="1" si="26"/>
        <v>0</v>
      </c>
      <c r="D42" s="92">
        <f t="shared" ca="1" si="49"/>
        <v>0</v>
      </c>
      <c r="E42" s="93">
        <f ca="1">IFERROR(__xludf.DUMMYFUNCTION("IMPORTRANGE(""https://docs.google.com/spreadsheets/d/1-uDff_7J0KD5mKrp0Vvzr7lt3OU09vwQwhkpOPPYv2Y/edit?usp=sharing"",""งบพรบ!AN42"")"),0)</f>
        <v>0</v>
      </c>
      <c r="F42" s="93">
        <f ca="1">IFERROR(__xludf.DUMMYFUNCTION("IMPORTRANGE(""https://docs.google.com/spreadsheets/d/1-uDff_7J0KD5mKrp0Vvzr7lt3OU09vwQwhkpOPPYv2Y/edit?usp=sharing"",""งบพรบ!AO42"")"),0)</f>
        <v>0</v>
      </c>
      <c r="G42" s="93">
        <f ca="1">IFERROR(__xludf.DUMMYFUNCTION("IMPORTRANGE(""https://docs.google.com/spreadsheets/d/1-uDff_7J0KD5mKrp0Vvzr7lt3OU09vwQwhkpOPPYv2Y/edit?usp=sharing"",""งบพรบ!AP42"")"),0)</f>
        <v>0</v>
      </c>
      <c r="H42" s="93">
        <f ca="1">IFERROR(__xludf.DUMMYFUNCTION("IMPORTRANGE(""https://docs.google.com/spreadsheets/d/1-uDff_7J0KD5mKrp0Vvzr7lt3OU09vwQwhkpOPPYv2Y/edit?usp=sharing"",""งบพรบ!AR42"")"),0)</f>
        <v>0</v>
      </c>
      <c r="I42" s="93">
        <f ca="1">IFERROR(__xludf.DUMMYFUNCTION("IMPORTRANGE(""https://docs.google.com/spreadsheets/d/1-uDff_7J0KD5mKrp0Vvzr7lt3OU09vwQwhkpOPPYv2Y/edit?usp=sharing"",""งบพรบ!AS42"")"),0)</f>
        <v>0</v>
      </c>
      <c r="J42" s="93">
        <f t="shared" ca="1" si="28"/>
        <v>0</v>
      </c>
      <c r="K42" s="94">
        <f t="shared" ca="1" si="29"/>
        <v>0</v>
      </c>
      <c r="L42" s="93">
        <f ca="1">IFERROR(__xludf.DUMMYFUNCTION("IMPORTRANGE(""https://docs.google.com/spreadsheets/d/1-uDff_7J0KD5mKrp0Vvzr7lt3OU09vwQwhkpOPPYv2Y/edit?usp=sharing"",""งบพรบ!AT42"")"),0)</f>
        <v>0</v>
      </c>
      <c r="M42" s="95">
        <f t="shared" ca="1" si="30"/>
        <v>0</v>
      </c>
      <c r="N42" s="95">
        <f t="shared" ca="1" si="31"/>
        <v>0</v>
      </c>
      <c r="O42" s="96">
        <f ca="1">IFERROR(__xludf.DUMMYFUNCTION("IMPORTRANGE(""https://docs.google.com/spreadsheets/d/1-uDff_7J0KD5mKrp0Vvzr7lt3OU09vwQwhkpOPPYv2Y/edit?usp=sharing"",""งบพรบ!AU42"")"),0)</f>
        <v>0</v>
      </c>
      <c r="P42" s="96">
        <f t="shared" ca="1" si="32"/>
        <v>0</v>
      </c>
      <c r="Q42" s="95">
        <f t="shared" ca="1" si="33"/>
        <v>0</v>
      </c>
      <c r="R42" s="86">
        <f ca="1">IFERROR(__xludf.DUMMYFUNCTION("IMPORTRANGE(""https://docs.google.com/spreadsheets/d/1v_cJrbBlyqmnHPReHk44g9NrMRdENNlSy_E_c5M9fIg/edit?usp=sharing"",""ร้อยเอ็ด!Q72"")"),435800)</f>
        <v>435800</v>
      </c>
      <c r="S42" s="86">
        <f ca="1">IFERROR(__xludf.DUMMYFUNCTION("IMPORTRANGE(""https://docs.google.com/spreadsheets/d/1v_cJrbBlyqmnHPReHk44g9NrMRdENNlSy_E_c5M9fIg/edit?usp=sharing"",""ร้อยเอ็ด!R72"")"),0)</f>
        <v>0</v>
      </c>
      <c r="T42" s="86">
        <f ca="1">IFERROR(__xludf.DUMMYFUNCTION("IMPORTRANGE(""https://docs.google.com/spreadsheets/d/1v_cJrbBlyqmnHPReHk44g9NrMRdENNlSy_E_c5M9fIg/edit?usp=sharing"",""ร้อยเอ็ด!S72"")"),0)</f>
        <v>0</v>
      </c>
      <c r="U42" s="87">
        <f t="shared" ca="1" si="35"/>
        <v>0</v>
      </c>
      <c r="V42" s="87">
        <f t="shared" ca="1" si="36"/>
        <v>0</v>
      </c>
      <c r="W42" s="97">
        <f t="shared" ca="1" si="37"/>
        <v>1</v>
      </c>
      <c r="X42" s="97">
        <f t="shared" ca="1" si="38"/>
        <v>35</v>
      </c>
      <c r="Y42" s="97">
        <f t="shared" ca="1" si="50"/>
        <v>0</v>
      </c>
      <c r="Z42" s="98">
        <f t="shared" ca="1" si="39"/>
        <v>0</v>
      </c>
      <c r="AA42" s="97">
        <f t="shared" ca="1" si="51"/>
        <v>0</v>
      </c>
      <c r="AB42" s="98">
        <f t="shared" ca="1" si="40"/>
        <v>0</v>
      </c>
      <c r="AC42" s="93">
        <f ca="1">IFERROR(__xludf.DUMMYFUNCTION("IMPORTRANGE(""https://docs.google.com/spreadsheets/d/1v_cJrbBlyqmnHPReHk44g9NrMRdENNlSy_E_c5M9fIg/edit?usp=sharing"",""ร้อยเอ็ด!I84"")"),1)</f>
        <v>1</v>
      </c>
      <c r="AD42" s="93">
        <f ca="1">IFERROR(__xludf.DUMMYFUNCTION("IMPORTRANGE(""https://docs.google.com/spreadsheets/d/1v_cJrbBlyqmnHPReHk44g9NrMRdENNlSy_E_c5M9fIg/edit?usp=sharing"",""ร้อยเอ็ด!I85"")"),35)</f>
        <v>35</v>
      </c>
      <c r="AE42" s="97">
        <f ca="1">IFERROR(__xludf.DUMMYFUNCTION("IMPORTRANGE(""https://docs.google.com/spreadsheets/d/1v_cJrbBlyqmnHPReHk44g9NrMRdENNlSy_E_c5M9fIg/edit?usp=sharing"",""ร้อยเอ็ด!J84"")"),0)</f>
        <v>0</v>
      </c>
      <c r="AF42" s="97">
        <f ca="1">IFERROR(__xludf.DUMMYFUNCTION("IMPORTRANGE(""https://docs.google.com/spreadsheets/d/1v_cJrbBlyqmnHPReHk44g9NrMRdENNlSy_E_c5M9fIg/edit?usp=sharing"",""ร้อยเอ็ด!J85"")"),0)</f>
        <v>0</v>
      </c>
      <c r="AG42" s="93">
        <f ca="1">IFERROR(__xludf.DUMMYFUNCTION("IMPORTRANGE(""https://docs.google.com/spreadsheets/d/1v_cJrbBlyqmnHPReHk44g9NrMRdENNlSy_E_c5M9fIg/edit?usp=sharing"",""ร้อยเอ็ด!I86"")"),0)</f>
        <v>0</v>
      </c>
      <c r="AH42" s="93">
        <f ca="1">IFERROR(__xludf.DUMMYFUNCTION("IMPORTRANGE(""https://docs.google.com/spreadsheets/d/1v_cJrbBlyqmnHPReHk44g9NrMRdENNlSy_E_c5M9fIg/edit?usp=sharing"",""ร้อยเอ็ด!I87"")"),0)</f>
        <v>0</v>
      </c>
      <c r="AI42" s="97">
        <f ca="1">IFERROR(__xludf.DUMMYFUNCTION("IMPORTRANGE(""https://docs.google.com/spreadsheets/d/1v_cJrbBlyqmnHPReHk44g9NrMRdENNlSy_E_c5M9fIg/edit?usp=sharing"",""ร้อยเอ็ด!J86"")"),0)</f>
        <v>0</v>
      </c>
      <c r="AJ42" s="97">
        <f ca="1">IFERROR(__xludf.DUMMYFUNCTION("IMPORTRANGE(""https://docs.google.com/spreadsheets/d/1v_cJrbBlyqmnHPReHk44g9NrMRdENNlSy_E_c5M9fIg/edit?usp=sharing"",""ร้อยเอ็ด!J87"")"),0)</f>
        <v>0</v>
      </c>
      <c r="AK42" s="93">
        <f ca="1">IFERROR(__xludf.DUMMYFUNCTION("IMPORTRANGE(""https://docs.google.com/spreadsheets/d/1v_cJrbBlyqmnHPReHk44g9NrMRdENNlSy_E_c5M9fIg/edit?usp=sharing"",""ร้อยเอ็ด!I88"")"),0)</f>
        <v>0</v>
      </c>
      <c r="AL42" s="93">
        <f ca="1">IFERROR(__xludf.DUMMYFUNCTION("IMPORTRANGE(""https://docs.google.com/spreadsheets/d/1v_cJrbBlyqmnHPReHk44g9NrMRdENNlSy_E_c5M9fIg/edit?usp=sharing"",""ร้อยเอ็ด!I89"")"),0)</f>
        <v>0</v>
      </c>
      <c r="AM42" s="97">
        <f ca="1">IFERROR(__xludf.DUMMYFUNCTION("IMPORTRANGE(""https://docs.google.com/spreadsheets/d/1v_cJrbBlyqmnHPReHk44g9NrMRdENNlSy_E_c5M9fIg/edit?usp=sharing"",""ร้อยเอ็ด!J88"")"),0)</f>
        <v>0</v>
      </c>
      <c r="AN42" s="97">
        <f ca="1">IFERROR(__xludf.DUMMYFUNCTION("IMPORTRANGE(""https://docs.google.com/spreadsheets/d/1v_cJrbBlyqmnHPReHk44g9NrMRdENNlSy_E_c5M9fIg/edit?usp=sharing"",""ร้อยเอ็ด!J89"")"),0)</f>
        <v>0</v>
      </c>
      <c r="AO42" s="93">
        <f ca="1">IFERROR(__xludf.DUMMYFUNCTION("IMPORTRANGE(""https://docs.google.com/spreadsheets/d/1v_cJrbBlyqmnHPReHk44g9NrMRdENNlSy_E_c5M9fIg/edit?usp=sharing"",""ร้อยเอ็ด!I90"")"),1)</f>
        <v>1</v>
      </c>
      <c r="AP42" s="97">
        <f ca="1">IFERROR(__xludf.DUMMYFUNCTION("IMPORTRANGE(""https://docs.google.com/spreadsheets/d/1v_cJrbBlyqmnHPReHk44g9NrMRdENNlSy_E_c5M9fIg/edit?usp=sharing"",""ร้อยเอ็ด!J90"")"),0)</f>
        <v>0</v>
      </c>
      <c r="AQ42" s="95">
        <f t="shared" ca="1" si="42"/>
        <v>0</v>
      </c>
    </row>
    <row r="43" spans="1:43" ht="21" customHeight="1" x14ac:dyDescent="0.3">
      <c r="A43" s="89">
        <v>12</v>
      </c>
      <c r="B43" s="90" t="s">
        <v>69</v>
      </c>
      <c r="C43" s="91">
        <f t="shared" ca="1" si="26"/>
        <v>0</v>
      </c>
      <c r="D43" s="92">
        <f t="shared" ca="1" si="49"/>
        <v>0</v>
      </c>
      <c r="E43" s="93">
        <f ca="1">IFERROR(__xludf.DUMMYFUNCTION("IMPORTRANGE(""https://docs.google.com/spreadsheets/d/1-uDff_7J0KD5mKrp0Vvzr7lt3OU09vwQwhkpOPPYv2Y/edit?usp=sharing"",""งบพรบ!AN43"")"),0)</f>
        <v>0</v>
      </c>
      <c r="F43" s="93">
        <f ca="1">IFERROR(__xludf.DUMMYFUNCTION("IMPORTRANGE(""https://docs.google.com/spreadsheets/d/1-uDff_7J0KD5mKrp0Vvzr7lt3OU09vwQwhkpOPPYv2Y/edit?usp=sharing"",""งบพรบ!AO43"")"),0)</f>
        <v>0</v>
      </c>
      <c r="G43" s="93">
        <f ca="1">IFERROR(__xludf.DUMMYFUNCTION("IMPORTRANGE(""https://docs.google.com/spreadsheets/d/1-uDff_7J0KD5mKrp0Vvzr7lt3OU09vwQwhkpOPPYv2Y/edit?usp=sharing"",""งบพรบ!AP43"")"),0)</f>
        <v>0</v>
      </c>
      <c r="H43" s="93">
        <f ca="1">IFERROR(__xludf.DUMMYFUNCTION("IMPORTRANGE(""https://docs.google.com/spreadsheets/d/1-uDff_7J0KD5mKrp0Vvzr7lt3OU09vwQwhkpOPPYv2Y/edit?usp=sharing"",""งบพรบ!AR43"")"),0)</f>
        <v>0</v>
      </c>
      <c r="I43" s="93">
        <f ca="1">IFERROR(__xludf.DUMMYFUNCTION("IMPORTRANGE(""https://docs.google.com/spreadsheets/d/1-uDff_7J0KD5mKrp0Vvzr7lt3OU09vwQwhkpOPPYv2Y/edit?usp=sharing"",""งบพรบ!AS43"")"),0)</f>
        <v>0</v>
      </c>
      <c r="J43" s="93">
        <f t="shared" ca="1" si="28"/>
        <v>0</v>
      </c>
      <c r="K43" s="94">
        <f t="shared" ca="1" si="29"/>
        <v>0</v>
      </c>
      <c r="L43" s="93">
        <f ca="1">IFERROR(__xludf.DUMMYFUNCTION("IMPORTRANGE(""https://docs.google.com/spreadsheets/d/1-uDff_7J0KD5mKrp0Vvzr7lt3OU09vwQwhkpOPPYv2Y/edit?usp=sharing"",""งบพรบ!AT43"")"),0)</f>
        <v>0</v>
      </c>
      <c r="M43" s="95">
        <f t="shared" ca="1" si="30"/>
        <v>0</v>
      </c>
      <c r="N43" s="95">
        <f t="shared" ca="1" si="31"/>
        <v>0</v>
      </c>
      <c r="O43" s="96">
        <f ca="1">IFERROR(__xludf.DUMMYFUNCTION("IMPORTRANGE(""https://docs.google.com/spreadsheets/d/1-uDff_7J0KD5mKrp0Vvzr7lt3OU09vwQwhkpOPPYv2Y/edit?usp=sharing"",""งบพรบ!AU43"")"),0)</f>
        <v>0</v>
      </c>
      <c r="P43" s="96">
        <f t="shared" ca="1" si="32"/>
        <v>0</v>
      </c>
      <c r="Q43" s="95">
        <f t="shared" ca="1" si="33"/>
        <v>0</v>
      </c>
      <c r="R43" s="86">
        <f ca="1">IFERROR(__xludf.DUMMYFUNCTION("IMPORTRANGE(""https://docs.google.com/spreadsheets/d/1Ul4RCpCX66NxYADU1QpwAPjOmBzW64SsT11s1wzXw_c/edit?usp=sharing"",""เลย!Q72"")"),0)</f>
        <v>0</v>
      </c>
      <c r="S43" s="86">
        <f ca="1">IFERROR(__xludf.DUMMYFUNCTION("IMPORTRANGE(""https://docs.google.com/spreadsheets/d/1Ul4RCpCX66NxYADU1QpwAPjOmBzW64SsT11s1wzXw_c/edit?usp=sharing"",""เลย!R72"")"),0)</f>
        <v>0</v>
      </c>
      <c r="T43" s="86">
        <f ca="1">IFERROR(__xludf.DUMMYFUNCTION("IMPORTRANGE(""https://docs.google.com/spreadsheets/d/1Ul4RCpCX66NxYADU1QpwAPjOmBzW64SsT11s1wzXw_c/edit?usp=sharing"",""เลย!S72"")"),0)</f>
        <v>0</v>
      </c>
      <c r="U43" s="87">
        <f t="shared" ca="1" si="35"/>
        <v>0</v>
      </c>
      <c r="V43" s="87">
        <f t="shared" ca="1" si="36"/>
        <v>0</v>
      </c>
      <c r="W43" s="97">
        <f t="shared" ca="1" si="37"/>
        <v>0</v>
      </c>
      <c r="X43" s="97">
        <f t="shared" ca="1" si="38"/>
        <v>0</v>
      </c>
      <c r="Y43" s="97">
        <f t="shared" ca="1" si="50"/>
        <v>0</v>
      </c>
      <c r="Z43" s="98">
        <f t="shared" ca="1" si="39"/>
        <v>0</v>
      </c>
      <c r="AA43" s="97">
        <f t="shared" ca="1" si="51"/>
        <v>0</v>
      </c>
      <c r="AB43" s="98">
        <f t="shared" ca="1" si="40"/>
        <v>0</v>
      </c>
      <c r="AC43" s="93">
        <f ca="1">IFERROR(__xludf.DUMMYFUNCTION("IMPORTRANGE(""https://docs.google.com/spreadsheets/d/1Ul4RCpCX66NxYADU1QpwAPjOmBzW64SsT11s1wzXw_c/edit?usp=sharing"",""เลย!I84"")"),0)</f>
        <v>0</v>
      </c>
      <c r="AD43" s="93">
        <f ca="1">IFERROR(__xludf.DUMMYFUNCTION("IMPORTRANGE(""https://docs.google.com/spreadsheets/d/1Ul4RCpCX66NxYADU1QpwAPjOmBzW64SsT11s1wzXw_c/edit?usp=sharing"",""เลย!I85"")"),0)</f>
        <v>0</v>
      </c>
      <c r="AE43" s="97">
        <f ca="1">IFERROR(__xludf.DUMMYFUNCTION("IMPORTRANGE(""https://docs.google.com/spreadsheets/d/1Ul4RCpCX66NxYADU1QpwAPjOmBzW64SsT11s1wzXw_c/edit?usp=sharing"",""เลย!J84"")"),0)</f>
        <v>0</v>
      </c>
      <c r="AF43" s="97">
        <f ca="1">IFERROR(__xludf.DUMMYFUNCTION("IMPORTRANGE(""https://docs.google.com/spreadsheets/d/1Ul4RCpCX66NxYADU1QpwAPjOmBzW64SsT11s1wzXw_c/edit?usp=sharing"",""เลย!J85"")"),0)</f>
        <v>0</v>
      </c>
      <c r="AG43" s="93">
        <f ca="1">IFERROR(__xludf.DUMMYFUNCTION("IMPORTRANGE(""https://docs.google.com/spreadsheets/d/1Ul4RCpCX66NxYADU1QpwAPjOmBzW64SsT11s1wzXw_c/edit?usp=sharing"",""เลย!I86"")"),0)</f>
        <v>0</v>
      </c>
      <c r="AH43" s="93">
        <f ca="1">IFERROR(__xludf.DUMMYFUNCTION("IMPORTRANGE(""https://docs.google.com/spreadsheets/d/1Ul4RCpCX66NxYADU1QpwAPjOmBzW64SsT11s1wzXw_c/edit?usp=sharing"",""เลย!I87"")"),0)</f>
        <v>0</v>
      </c>
      <c r="AI43" s="97">
        <f ca="1">IFERROR(__xludf.DUMMYFUNCTION("IMPORTRANGE(""https://docs.google.com/spreadsheets/d/1Ul4RCpCX66NxYADU1QpwAPjOmBzW64SsT11s1wzXw_c/edit?usp=sharing"",""เลย!J86"")"),0)</f>
        <v>0</v>
      </c>
      <c r="AJ43" s="97">
        <f ca="1">IFERROR(__xludf.DUMMYFUNCTION("IMPORTRANGE(""https://docs.google.com/spreadsheets/d/1Ul4RCpCX66NxYADU1QpwAPjOmBzW64SsT11s1wzXw_c/edit?usp=sharing"",""เลย!J87"")"),0)</f>
        <v>0</v>
      </c>
      <c r="AK43" s="93">
        <f ca="1">IFERROR(__xludf.DUMMYFUNCTION("IMPORTRANGE(""https://docs.google.com/spreadsheets/d/1Ul4RCpCX66NxYADU1QpwAPjOmBzW64SsT11s1wzXw_c/edit?usp=sharing"",""เลย!I88"")"),0)</f>
        <v>0</v>
      </c>
      <c r="AL43" s="93">
        <f ca="1">IFERROR(__xludf.DUMMYFUNCTION("IMPORTRANGE(""https://docs.google.com/spreadsheets/d/1Ul4RCpCX66NxYADU1QpwAPjOmBzW64SsT11s1wzXw_c/edit?usp=sharing"",""เลย!I89"")"),0)</f>
        <v>0</v>
      </c>
      <c r="AM43" s="97">
        <f ca="1">IFERROR(__xludf.DUMMYFUNCTION("IMPORTRANGE(""https://docs.google.com/spreadsheets/d/1Ul4RCpCX66NxYADU1QpwAPjOmBzW64SsT11s1wzXw_c/edit?usp=sharing"",""เลย!J88"")"),0)</f>
        <v>0</v>
      </c>
      <c r="AN43" s="97">
        <f ca="1">IFERROR(__xludf.DUMMYFUNCTION("IMPORTRANGE(""https://docs.google.com/spreadsheets/d/1Ul4RCpCX66NxYADU1QpwAPjOmBzW64SsT11s1wzXw_c/edit?usp=sharing"",""เลย!J89"")"),0)</f>
        <v>0</v>
      </c>
      <c r="AO43" s="93">
        <f ca="1">IFERROR(__xludf.DUMMYFUNCTION("IMPORTRANGE(""https://docs.google.com/spreadsheets/d/1Ul4RCpCX66NxYADU1QpwAPjOmBzW64SsT11s1wzXw_c/edit?usp=sharing"",""เลย!I90"")"),0)</f>
        <v>0</v>
      </c>
      <c r="AP43" s="97">
        <f ca="1">IFERROR(__xludf.DUMMYFUNCTION("IMPORTRANGE(""https://docs.google.com/spreadsheets/d/1Ul4RCpCX66NxYADU1QpwAPjOmBzW64SsT11s1wzXw_c/edit?usp=sharing"",""เลย!J90"")"),0)</f>
        <v>0</v>
      </c>
      <c r="AQ43" s="95">
        <f t="shared" ca="1" si="42"/>
        <v>0</v>
      </c>
    </row>
    <row r="44" spans="1:43" ht="21" customHeight="1" x14ac:dyDescent="0.3">
      <c r="A44" s="89">
        <v>13</v>
      </c>
      <c r="B44" s="90" t="s">
        <v>70</v>
      </c>
      <c r="C44" s="91">
        <f t="shared" ca="1" si="26"/>
        <v>0</v>
      </c>
      <c r="D44" s="92">
        <f t="shared" ca="1" si="49"/>
        <v>0</v>
      </c>
      <c r="E44" s="93">
        <f ca="1">IFERROR(__xludf.DUMMYFUNCTION("IMPORTRANGE(""https://docs.google.com/spreadsheets/d/1-uDff_7J0KD5mKrp0Vvzr7lt3OU09vwQwhkpOPPYv2Y/edit?usp=sharing"",""งบพรบ!AN44"")"),0)</f>
        <v>0</v>
      </c>
      <c r="F44" s="93">
        <f ca="1">IFERROR(__xludf.DUMMYFUNCTION("IMPORTRANGE(""https://docs.google.com/spreadsheets/d/1-uDff_7J0KD5mKrp0Vvzr7lt3OU09vwQwhkpOPPYv2Y/edit?usp=sharing"",""งบพรบ!AO44"")"),0)</f>
        <v>0</v>
      </c>
      <c r="G44" s="93">
        <f ca="1">IFERROR(__xludf.DUMMYFUNCTION("IMPORTRANGE(""https://docs.google.com/spreadsheets/d/1-uDff_7J0KD5mKrp0Vvzr7lt3OU09vwQwhkpOPPYv2Y/edit?usp=sharing"",""งบพรบ!AP44"")"),0)</f>
        <v>0</v>
      </c>
      <c r="H44" s="93">
        <f ca="1">IFERROR(__xludf.DUMMYFUNCTION("IMPORTRANGE(""https://docs.google.com/spreadsheets/d/1-uDff_7J0KD5mKrp0Vvzr7lt3OU09vwQwhkpOPPYv2Y/edit?usp=sharing"",""งบพรบ!AR44"")"),0)</f>
        <v>0</v>
      </c>
      <c r="I44" s="93">
        <f ca="1">IFERROR(__xludf.DUMMYFUNCTION("IMPORTRANGE(""https://docs.google.com/spreadsheets/d/1-uDff_7J0KD5mKrp0Vvzr7lt3OU09vwQwhkpOPPYv2Y/edit?usp=sharing"",""งบพรบ!AS44"")"),0)</f>
        <v>0</v>
      </c>
      <c r="J44" s="93">
        <f t="shared" ca="1" si="28"/>
        <v>0</v>
      </c>
      <c r="K44" s="94">
        <f t="shared" ca="1" si="29"/>
        <v>0</v>
      </c>
      <c r="L44" s="93">
        <f ca="1">IFERROR(__xludf.DUMMYFUNCTION("IMPORTRANGE(""https://docs.google.com/spreadsheets/d/1-uDff_7J0KD5mKrp0Vvzr7lt3OU09vwQwhkpOPPYv2Y/edit?usp=sharing"",""งบพรบ!AT44"")"),0)</f>
        <v>0</v>
      </c>
      <c r="M44" s="95">
        <f t="shared" ca="1" si="30"/>
        <v>0</v>
      </c>
      <c r="N44" s="95">
        <f t="shared" ca="1" si="31"/>
        <v>0</v>
      </c>
      <c r="O44" s="96">
        <f ca="1">IFERROR(__xludf.DUMMYFUNCTION("IMPORTRANGE(""https://docs.google.com/spreadsheets/d/1-uDff_7J0KD5mKrp0Vvzr7lt3OU09vwQwhkpOPPYv2Y/edit?usp=sharing"",""งบพรบ!AU44"")"),0)</f>
        <v>0</v>
      </c>
      <c r="P44" s="96">
        <f t="shared" ca="1" si="32"/>
        <v>0</v>
      </c>
      <c r="Q44" s="95">
        <f t="shared" ca="1" si="33"/>
        <v>0</v>
      </c>
      <c r="R44" s="86">
        <f ca="1">IFERROR(__xludf.DUMMYFUNCTION("IMPORTRANGE(""https://docs.google.com/spreadsheets/d/1bRrNKwbHDVktQG10isr5vbWRtt5spIZPpkOSWgbT5ug/edit?usp=sharing"",""ศรีสะเกษ!Q72"")"),0)</f>
        <v>0</v>
      </c>
      <c r="S44" s="86">
        <f ca="1">IFERROR(__xludf.DUMMYFUNCTION("IMPORTRANGE(""https://docs.google.com/spreadsheets/d/1bRrNKwbHDVktQG10isr5vbWRtt5spIZPpkOSWgbT5ug/edit?usp=sharing"",""ศรีสะเกษ!R72"")"),0)</f>
        <v>0</v>
      </c>
      <c r="T44" s="86">
        <f ca="1">IFERROR(__xludf.DUMMYFUNCTION("IMPORTRANGE(""https://docs.google.com/spreadsheets/d/1bRrNKwbHDVktQG10isr5vbWRtt5spIZPpkOSWgbT5ug/edit?usp=sharing"",""ศรีสะเกษ!S72"")"),0)</f>
        <v>0</v>
      </c>
      <c r="U44" s="87">
        <f t="shared" ca="1" si="35"/>
        <v>0</v>
      </c>
      <c r="V44" s="87">
        <f t="shared" ca="1" si="36"/>
        <v>0</v>
      </c>
      <c r="W44" s="97">
        <f t="shared" ca="1" si="37"/>
        <v>0</v>
      </c>
      <c r="X44" s="97">
        <f t="shared" ca="1" si="38"/>
        <v>0</v>
      </c>
      <c r="Y44" s="97">
        <f t="shared" ca="1" si="50"/>
        <v>0</v>
      </c>
      <c r="Z44" s="98">
        <f t="shared" ca="1" si="39"/>
        <v>0</v>
      </c>
      <c r="AA44" s="97">
        <f t="shared" ca="1" si="51"/>
        <v>0</v>
      </c>
      <c r="AB44" s="98">
        <f t="shared" ca="1" si="40"/>
        <v>0</v>
      </c>
      <c r="AC44" s="93">
        <f ca="1">IFERROR(__xludf.DUMMYFUNCTION("IMPORTRANGE(""https://docs.google.com/spreadsheets/d/1bRrNKwbHDVktQG10isr5vbWRtt5spIZPpkOSWgbT5ug/edit?usp=sharing"",""ศรีสะเกษ!I84"")"),0)</f>
        <v>0</v>
      </c>
      <c r="AD44" s="93">
        <f ca="1">IFERROR(__xludf.DUMMYFUNCTION("IMPORTRANGE(""https://docs.google.com/spreadsheets/d/1bRrNKwbHDVktQG10isr5vbWRtt5spIZPpkOSWgbT5ug/edit?usp=sharing"",""ศรีสะเกษ!I85"")"),0)</f>
        <v>0</v>
      </c>
      <c r="AE44" s="97">
        <f ca="1">IFERROR(__xludf.DUMMYFUNCTION("IMPORTRANGE(""https://docs.google.com/spreadsheets/d/1bRrNKwbHDVktQG10isr5vbWRtt5spIZPpkOSWgbT5ug/edit?usp=sharing"",""ศรีสะเกษ!J84"")"),0)</f>
        <v>0</v>
      </c>
      <c r="AF44" s="97">
        <f ca="1">IFERROR(__xludf.DUMMYFUNCTION("IMPORTRANGE(""https://docs.google.com/spreadsheets/d/1bRrNKwbHDVktQG10isr5vbWRtt5spIZPpkOSWgbT5ug/edit?usp=sharing"",""ศรีสะเกษ!J85"")"),0)</f>
        <v>0</v>
      </c>
      <c r="AG44" s="93">
        <f ca="1">IFERROR(__xludf.DUMMYFUNCTION("IMPORTRANGE(""https://docs.google.com/spreadsheets/d/1bRrNKwbHDVktQG10isr5vbWRtt5spIZPpkOSWgbT5ug/edit?usp=sharing"",""ศรีสะเกษ!I86"")"),0)</f>
        <v>0</v>
      </c>
      <c r="AH44" s="93">
        <f ca="1">IFERROR(__xludf.DUMMYFUNCTION("IMPORTRANGE(""https://docs.google.com/spreadsheets/d/1bRrNKwbHDVktQG10isr5vbWRtt5spIZPpkOSWgbT5ug/edit?usp=sharing"",""ศรีสะเกษ!I87"")"),0)</f>
        <v>0</v>
      </c>
      <c r="AI44" s="97">
        <f ca="1">IFERROR(__xludf.DUMMYFUNCTION("IMPORTRANGE(""https://docs.google.com/spreadsheets/d/1bRrNKwbHDVktQG10isr5vbWRtt5spIZPpkOSWgbT5ug/edit?usp=sharing"",""ศรีสะเกษ!J86"")"),0)</f>
        <v>0</v>
      </c>
      <c r="AJ44" s="97">
        <f ca="1">IFERROR(__xludf.DUMMYFUNCTION("IMPORTRANGE(""https://docs.google.com/spreadsheets/d/1bRrNKwbHDVktQG10isr5vbWRtt5spIZPpkOSWgbT5ug/edit?usp=sharing"",""ศรีสะเกษ!J87"")"),0)</f>
        <v>0</v>
      </c>
      <c r="AK44" s="93">
        <f ca="1">IFERROR(__xludf.DUMMYFUNCTION("IMPORTRANGE(""https://docs.google.com/spreadsheets/d/1bRrNKwbHDVktQG10isr5vbWRtt5spIZPpkOSWgbT5ug/edit?usp=sharing"",""ศรีสะเกษ!I88"")"),0)</f>
        <v>0</v>
      </c>
      <c r="AL44" s="93">
        <f ca="1">IFERROR(__xludf.DUMMYFUNCTION("IMPORTRANGE(""https://docs.google.com/spreadsheets/d/1bRrNKwbHDVktQG10isr5vbWRtt5spIZPpkOSWgbT5ug/edit?usp=sharing"",""ศรีสะเกษ!I89"")"),0)</f>
        <v>0</v>
      </c>
      <c r="AM44" s="97">
        <f ca="1">IFERROR(__xludf.DUMMYFUNCTION("IMPORTRANGE(""https://docs.google.com/spreadsheets/d/1bRrNKwbHDVktQG10isr5vbWRtt5spIZPpkOSWgbT5ug/edit?usp=sharing"",""ศรีสะเกษ!J88"")"),0)</f>
        <v>0</v>
      </c>
      <c r="AN44" s="97">
        <f ca="1">IFERROR(__xludf.DUMMYFUNCTION("IMPORTRANGE(""https://docs.google.com/spreadsheets/d/1bRrNKwbHDVktQG10isr5vbWRtt5spIZPpkOSWgbT5ug/edit?usp=sharing"",""ศรีสะเกษ!J89"")"),0)</f>
        <v>0</v>
      </c>
      <c r="AO44" s="93">
        <f ca="1">IFERROR(__xludf.DUMMYFUNCTION("IMPORTRANGE(""https://docs.google.com/spreadsheets/d/1bRrNKwbHDVktQG10isr5vbWRtt5spIZPpkOSWgbT5ug/edit?usp=sharing"",""ศรีสะเกษ!I90"")"),0)</f>
        <v>0</v>
      </c>
      <c r="AP44" s="97">
        <f ca="1">IFERROR(__xludf.DUMMYFUNCTION("IMPORTRANGE(""https://docs.google.com/spreadsheets/d/1bRrNKwbHDVktQG10isr5vbWRtt5spIZPpkOSWgbT5ug/edit?usp=sharing"",""ศรีสะเกษ!J90"")"),0)</f>
        <v>0</v>
      </c>
      <c r="AQ44" s="95">
        <f t="shared" ca="1" si="42"/>
        <v>0</v>
      </c>
    </row>
    <row r="45" spans="1:43" ht="21" customHeight="1" x14ac:dyDescent="0.3">
      <c r="A45" s="89">
        <v>14</v>
      </c>
      <c r="B45" s="90" t="s">
        <v>71</v>
      </c>
      <c r="C45" s="91">
        <f t="shared" ca="1" si="26"/>
        <v>0</v>
      </c>
      <c r="D45" s="92">
        <f t="shared" ca="1" si="49"/>
        <v>0</v>
      </c>
      <c r="E45" s="93">
        <f ca="1">IFERROR(__xludf.DUMMYFUNCTION("IMPORTRANGE(""https://docs.google.com/spreadsheets/d/1-uDff_7J0KD5mKrp0Vvzr7lt3OU09vwQwhkpOPPYv2Y/edit?usp=sharing"",""งบพรบ!AN45"")"),0)</f>
        <v>0</v>
      </c>
      <c r="F45" s="93">
        <f ca="1">IFERROR(__xludf.DUMMYFUNCTION("IMPORTRANGE(""https://docs.google.com/spreadsheets/d/1-uDff_7J0KD5mKrp0Vvzr7lt3OU09vwQwhkpOPPYv2Y/edit?usp=sharing"",""งบพรบ!AO45"")"),0)</f>
        <v>0</v>
      </c>
      <c r="G45" s="93">
        <f ca="1">IFERROR(__xludf.DUMMYFUNCTION("IMPORTRANGE(""https://docs.google.com/spreadsheets/d/1-uDff_7J0KD5mKrp0Vvzr7lt3OU09vwQwhkpOPPYv2Y/edit?usp=sharing"",""งบพรบ!AP45"")"),0)</f>
        <v>0</v>
      </c>
      <c r="H45" s="93">
        <f ca="1">IFERROR(__xludf.DUMMYFUNCTION("IMPORTRANGE(""https://docs.google.com/spreadsheets/d/1-uDff_7J0KD5mKrp0Vvzr7lt3OU09vwQwhkpOPPYv2Y/edit?usp=sharing"",""งบพรบ!AR45"")"),0)</f>
        <v>0</v>
      </c>
      <c r="I45" s="93">
        <f ca="1">IFERROR(__xludf.DUMMYFUNCTION("IMPORTRANGE(""https://docs.google.com/spreadsheets/d/1-uDff_7J0KD5mKrp0Vvzr7lt3OU09vwQwhkpOPPYv2Y/edit?usp=sharing"",""งบพรบ!AS45"")"),0)</f>
        <v>0</v>
      </c>
      <c r="J45" s="93">
        <f t="shared" ca="1" si="28"/>
        <v>0</v>
      </c>
      <c r="K45" s="94">
        <f t="shared" ca="1" si="29"/>
        <v>0</v>
      </c>
      <c r="L45" s="93">
        <f ca="1">IFERROR(__xludf.DUMMYFUNCTION("IMPORTRANGE(""https://docs.google.com/spreadsheets/d/1-uDff_7J0KD5mKrp0Vvzr7lt3OU09vwQwhkpOPPYv2Y/edit?usp=sharing"",""งบพรบ!AT45"")"),0)</f>
        <v>0</v>
      </c>
      <c r="M45" s="95">
        <f t="shared" ca="1" si="30"/>
        <v>0</v>
      </c>
      <c r="N45" s="95">
        <f t="shared" ca="1" si="31"/>
        <v>0</v>
      </c>
      <c r="O45" s="96">
        <f ca="1">IFERROR(__xludf.DUMMYFUNCTION("IMPORTRANGE(""https://docs.google.com/spreadsheets/d/1-uDff_7J0KD5mKrp0Vvzr7lt3OU09vwQwhkpOPPYv2Y/edit?usp=sharing"",""งบพรบ!AU45"")"),0)</f>
        <v>0</v>
      </c>
      <c r="P45" s="96">
        <f t="shared" ca="1" si="32"/>
        <v>0</v>
      </c>
      <c r="Q45" s="95">
        <f t="shared" ca="1" si="33"/>
        <v>0</v>
      </c>
      <c r="R45" s="86">
        <f ca="1">IFERROR(__xludf.DUMMYFUNCTION("IMPORTRANGE(""https://docs.google.com/spreadsheets/d/17P34_Ow5kFBfdQD0qspb2UuPX5zpi6WMrQzslghyvrI/edit?usp=sharing"",""สกลนคร!Q72"")"),403700)</f>
        <v>403700</v>
      </c>
      <c r="S45" s="86">
        <f ca="1">IFERROR(__xludf.DUMMYFUNCTION("IMPORTRANGE(""https://docs.google.com/spreadsheets/d/17P34_Ow5kFBfdQD0qspb2UuPX5zpi6WMrQzslghyvrI/edit?usp=sharing"",""สกลนคร!R72"")"),0)</f>
        <v>0</v>
      </c>
      <c r="T45" s="86">
        <f ca="1">IFERROR(__xludf.DUMMYFUNCTION("IMPORTRANGE(""https://docs.google.com/spreadsheets/d/17P34_Ow5kFBfdQD0qspb2UuPX5zpi6WMrQzslghyvrI/edit?usp=sharing"",""สกลนคร!S72"")"),0)</f>
        <v>0</v>
      </c>
      <c r="U45" s="87">
        <f t="shared" ca="1" si="35"/>
        <v>0</v>
      </c>
      <c r="V45" s="87">
        <f t="shared" ca="1" si="36"/>
        <v>0</v>
      </c>
      <c r="W45" s="97">
        <f t="shared" ca="1" si="37"/>
        <v>1</v>
      </c>
      <c r="X45" s="97">
        <f t="shared" ca="1" si="38"/>
        <v>30</v>
      </c>
      <c r="Y45" s="97">
        <f t="shared" ca="1" si="50"/>
        <v>0</v>
      </c>
      <c r="Z45" s="98">
        <f t="shared" ca="1" si="39"/>
        <v>0</v>
      </c>
      <c r="AA45" s="97">
        <f t="shared" ca="1" si="51"/>
        <v>0</v>
      </c>
      <c r="AB45" s="98">
        <f t="shared" ca="1" si="40"/>
        <v>0</v>
      </c>
      <c r="AC45" s="93">
        <f ca="1">IFERROR(__xludf.DUMMYFUNCTION("IMPORTRANGE(""https://docs.google.com/spreadsheets/d/17P34_Ow5kFBfdQD0qspb2UuPX5zpi6WMrQzslghyvrI/edit?usp=sharing"",""สกลนคร!I84"")"),1)</f>
        <v>1</v>
      </c>
      <c r="AD45" s="93">
        <f ca="1">IFERROR(__xludf.DUMMYFUNCTION("IMPORTRANGE(""https://docs.google.com/spreadsheets/d/17P34_Ow5kFBfdQD0qspb2UuPX5zpi6WMrQzslghyvrI/edit?usp=sharing"",""สกลนคร!I85"")"),30)</f>
        <v>30</v>
      </c>
      <c r="AE45" s="97">
        <f ca="1">IFERROR(__xludf.DUMMYFUNCTION("IMPORTRANGE(""https://docs.google.com/spreadsheets/d/17P34_Ow5kFBfdQD0qspb2UuPX5zpi6WMrQzslghyvrI/edit?usp=sharing"",""สกลนคร!J84"")"),0)</f>
        <v>0</v>
      </c>
      <c r="AF45" s="97">
        <f ca="1">IFERROR(__xludf.DUMMYFUNCTION("IMPORTRANGE(""https://docs.google.com/spreadsheets/d/17P34_Ow5kFBfdQD0qspb2UuPX5zpi6WMrQzslghyvrI/edit?usp=sharing"",""สกลนคร!J85"")"),0)</f>
        <v>0</v>
      </c>
      <c r="AG45" s="93">
        <f ca="1">IFERROR(__xludf.DUMMYFUNCTION("IMPORTRANGE(""https://docs.google.com/spreadsheets/d/17P34_Ow5kFBfdQD0qspb2UuPX5zpi6WMrQzslghyvrI/edit?usp=sharing"",""สกลนคร!I86"")"),0)</f>
        <v>0</v>
      </c>
      <c r="AH45" s="93">
        <f ca="1">IFERROR(__xludf.DUMMYFUNCTION("IMPORTRANGE(""https://docs.google.com/spreadsheets/d/17P34_Ow5kFBfdQD0qspb2UuPX5zpi6WMrQzslghyvrI/edit?usp=sharing"",""สกลนคร!I87"")"),0)</f>
        <v>0</v>
      </c>
      <c r="AI45" s="97">
        <f ca="1">IFERROR(__xludf.DUMMYFUNCTION("IMPORTRANGE(""https://docs.google.com/spreadsheets/d/17P34_Ow5kFBfdQD0qspb2UuPX5zpi6WMrQzslghyvrI/edit?usp=sharing"",""สกลนคร!J86"")"),0)</f>
        <v>0</v>
      </c>
      <c r="AJ45" s="97">
        <f ca="1">IFERROR(__xludf.DUMMYFUNCTION("IMPORTRANGE(""https://docs.google.com/spreadsheets/d/17P34_Ow5kFBfdQD0qspb2UuPX5zpi6WMrQzslghyvrI/edit?usp=sharing"",""สกลนคร!J87"")"),0)</f>
        <v>0</v>
      </c>
      <c r="AK45" s="93">
        <f ca="1">IFERROR(__xludf.DUMMYFUNCTION("IMPORTRANGE(""https://docs.google.com/spreadsheets/d/17P34_Ow5kFBfdQD0qspb2UuPX5zpi6WMrQzslghyvrI/edit?usp=sharing"",""สกลนคร!I88"")"),0)</f>
        <v>0</v>
      </c>
      <c r="AL45" s="93">
        <f ca="1">IFERROR(__xludf.DUMMYFUNCTION("IMPORTRANGE(""https://docs.google.com/spreadsheets/d/17P34_Ow5kFBfdQD0qspb2UuPX5zpi6WMrQzslghyvrI/edit?usp=sharing"",""สกลนคร!I89"")"),0)</f>
        <v>0</v>
      </c>
      <c r="AM45" s="97">
        <f ca="1">IFERROR(__xludf.DUMMYFUNCTION("IMPORTRANGE(""https://docs.google.com/spreadsheets/d/17P34_Ow5kFBfdQD0qspb2UuPX5zpi6WMrQzslghyvrI/edit?usp=sharing"",""สกลนคร!J88"")"),0)</f>
        <v>0</v>
      </c>
      <c r="AN45" s="97">
        <f ca="1">IFERROR(__xludf.DUMMYFUNCTION("IMPORTRANGE(""https://docs.google.com/spreadsheets/d/17P34_Ow5kFBfdQD0qspb2UuPX5zpi6WMrQzslghyvrI/edit?usp=sharing"",""สกลนคร!J89"")"),0)</f>
        <v>0</v>
      </c>
      <c r="AO45" s="93">
        <f ca="1">IFERROR(__xludf.DUMMYFUNCTION("IMPORTRANGE(""https://docs.google.com/spreadsheets/d/17P34_Ow5kFBfdQD0qspb2UuPX5zpi6WMrQzslghyvrI/edit?usp=sharing"",""สกลนคร!I90"")"),1)</f>
        <v>1</v>
      </c>
      <c r="AP45" s="97">
        <f ca="1">IFERROR(__xludf.DUMMYFUNCTION("IMPORTRANGE(""https://docs.google.com/spreadsheets/d/17P34_Ow5kFBfdQD0qspb2UuPX5zpi6WMrQzslghyvrI/edit?usp=sharing"",""สกลนคร!J90"")"),0)</f>
        <v>0</v>
      </c>
      <c r="AQ45" s="95">
        <f t="shared" ca="1" si="42"/>
        <v>0</v>
      </c>
    </row>
    <row r="46" spans="1:43" ht="21" customHeight="1" x14ac:dyDescent="0.3">
      <c r="A46" s="89">
        <v>15</v>
      </c>
      <c r="B46" s="90" t="s">
        <v>72</v>
      </c>
      <c r="C46" s="91">
        <f t="shared" ca="1" si="26"/>
        <v>0</v>
      </c>
      <c r="D46" s="92">
        <f t="shared" ca="1" si="49"/>
        <v>0</v>
      </c>
      <c r="E46" s="93">
        <f ca="1">IFERROR(__xludf.DUMMYFUNCTION("IMPORTRANGE(""https://docs.google.com/spreadsheets/d/1-uDff_7J0KD5mKrp0Vvzr7lt3OU09vwQwhkpOPPYv2Y/edit?usp=sharing"",""งบพรบ!AN46"")"),0)</f>
        <v>0</v>
      </c>
      <c r="F46" s="93">
        <f ca="1">IFERROR(__xludf.DUMMYFUNCTION("IMPORTRANGE(""https://docs.google.com/spreadsheets/d/1-uDff_7J0KD5mKrp0Vvzr7lt3OU09vwQwhkpOPPYv2Y/edit?usp=sharing"",""งบพรบ!AO46"")"),0)</f>
        <v>0</v>
      </c>
      <c r="G46" s="93">
        <f ca="1">IFERROR(__xludf.DUMMYFUNCTION("IMPORTRANGE(""https://docs.google.com/spreadsheets/d/1-uDff_7J0KD5mKrp0Vvzr7lt3OU09vwQwhkpOPPYv2Y/edit?usp=sharing"",""งบพรบ!AP46"")"),0)</f>
        <v>0</v>
      </c>
      <c r="H46" s="93">
        <f ca="1">IFERROR(__xludf.DUMMYFUNCTION("IMPORTRANGE(""https://docs.google.com/spreadsheets/d/1-uDff_7J0KD5mKrp0Vvzr7lt3OU09vwQwhkpOPPYv2Y/edit?usp=sharing"",""งบพรบ!AR46"")"),0)</f>
        <v>0</v>
      </c>
      <c r="I46" s="93">
        <f ca="1">IFERROR(__xludf.DUMMYFUNCTION("IMPORTRANGE(""https://docs.google.com/spreadsheets/d/1-uDff_7J0KD5mKrp0Vvzr7lt3OU09vwQwhkpOPPYv2Y/edit?usp=sharing"",""งบพรบ!AS46"")"),0)</f>
        <v>0</v>
      </c>
      <c r="J46" s="93">
        <f t="shared" ca="1" si="28"/>
        <v>0</v>
      </c>
      <c r="K46" s="94">
        <f t="shared" ca="1" si="29"/>
        <v>0</v>
      </c>
      <c r="L46" s="93">
        <f ca="1">IFERROR(__xludf.DUMMYFUNCTION("IMPORTRANGE(""https://docs.google.com/spreadsheets/d/1-uDff_7J0KD5mKrp0Vvzr7lt3OU09vwQwhkpOPPYv2Y/edit?usp=sharing"",""งบพรบ!AT46"")"),0)</f>
        <v>0</v>
      </c>
      <c r="M46" s="95">
        <f t="shared" ca="1" si="30"/>
        <v>0</v>
      </c>
      <c r="N46" s="95">
        <f t="shared" ca="1" si="31"/>
        <v>0</v>
      </c>
      <c r="O46" s="96">
        <f ca="1">IFERROR(__xludf.DUMMYFUNCTION("IMPORTRANGE(""https://docs.google.com/spreadsheets/d/1-uDff_7J0KD5mKrp0Vvzr7lt3OU09vwQwhkpOPPYv2Y/edit?usp=sharing"",""งบพรบ!AU46"")"),0)</f>
        <v>0</v>
      </c>
      <c r="P46" s="96">
        <f t="shared" ca="1" si="32"/>
        <v>0</v>
      </c>
      <c r="Q46" s="95">
        <f t="shared" ca="1" si="33"/>
        <v>0</v>
      </c>
      <c r="R46" s="86">
        <f ca="1">IFERROR(__xludf.DUMMYFUNCTION("IMPORTRANGE(""https://docs.google.com/spreadsheets/d/1yswqbM3-AEpThF3ZSUa1AcmHnmRTF1vlJ1CZGcJ8YuU/edit?usp=sharing"",""สุรินทร์!Q72"")"),0)</f>
        <v>0</v>
      </c>
      <c r="S46" s="86">
        <f ca="1">IFERROR(__xludf.DUMMYFUNCTION("IMPORTRANGE(""https://docs.google.com/spreadsheets/d/1yswqbM3-AEpThF3ZSUa1AcmHnmRTF1vlJ1CZGcJ8YuU/edit?usp=sharing"",""สุรินทร์!R72"")"),0)</f>
        <v>0</v>
      </c>
      <c r="T46" s="86">
        <f ca="1">IFERROR(__xludf.DUMMYFUNCTION("IMPORTRANGE(""https://docs.google.com/spreadsheets/d/1yswqbM3-AEpThF3ZSUa1AcmHnmRTF1vlJ1CZGcJ8YuU/edit?usp=sharing"",""สุรินทร์!S72"")"),0)</f>
        <v>0</v>
      </c>
      <c r="U46" s="87">
        <f t="shared" ca="1" si="35"/>
        <v>0</v>
      </c>
      <c r="V46" s="87">
        <f t="shared" ca="1" si="36"/>
        <v>0</v>
      </c>
      <c r="W46" s="97">
        <f t="shared" ca="1" si="37"/>
        <v>0</v>
      </c>
      <c r="X46" s="97">
        <f t="shared" ca="1" si="38"/>
        <v>0</v>
      </c>
      <c r="Y46" s="97">
        <f t="shared" ca="1" si="50"/>
        <v>0</v>
      </c>
      <c r="Z46" s="98">
        <f t="shared" ca="1" si="39"/>
        <v>0</v>
      </c>
      <c r="AA46" s="97">
        <f t="shared" ca="1" si="51"/>
        <v>0</v>
      </c>
      <c r="AB46" s="98">
        <f t="shared" ca="1" si="40"/>
        <v>0</v>
      </c>
      <c r="AC46" s="93">
        <f ca="1">IFERROR(__xludf.DUMMYFUNCTION("IMPORTRANGE(""https://docs.google.com/spreadsheets/d/1yswqbM3-AEpThF3ZSUa1AcmHnmRTF1vlJ1CZGcJ8YuU/edit?usp=sharing"",""สุรินทร์!I84"")"),0)</f>
        <v>0</v>
      </c>
      <c r="AD46" s="93">
        <f ca="1">IFERROR(__xludf.DUMMYFUNCTION("IMPORTRANGE(""https://docs.google.com/spreadsheets/d/1yswqbM3-AEpThF3ZSUa1AcmHnmRTF1vlJ1CZGcJ8YuU/edit?usp=sharing"",""สุรินทร์!I85"")"),0)</f>
        <v>0</v>
      </c>
      <c r="AE46" s="97">
        <f ca="1">IFERROR(__xludf.DUMMYFUNCTION("IMPORTRANGE(""https://docs.google.com/spreadsheets/d/1yswqbM3-AEpThF3ZSUa1AcmHnmRTF1vlJ1CZGcJ8YuU/edit?usp=sharing"",""สุรินทร์!J84"")"),0)</f>
        <v>0</v>
      </c>
      <c r="AF46" s="97">
        <f ca="1">IFERROR(__xludf.DUMMYFUNCTION("IMPORTRANGE(""https://docs.google.com/spreadsheets/d/1yswqbM3-AEpThF3ZSUa1AcmHnmRTF1vlJ1CZGcJ8YuU/edit?usp=sharing"",""สุรินทร์!J85"")"),0)</f>
        <v>0</v>
      </c>
      <c r="AG46" s="93">
        <f ca="1">IFERROR(__xludf.DUMMYFUNCTION("IMPORTRANGE(""https://docs.google.com/spreadsheets/d/1yswqbM3-AEpThF3ZSUa1AcmHnmRTF1vlJ1CZGcJ8YuU/edit?usp=sharing"",""สุรินทร์!I86"")"),0)</f>
        <v>0</v>
      </c>
      <c r="AH46" s="93">
        <f ca="1">IFERROR(__xludf.DUMMYFUNCTION("IMPORTRANGE(""https://docs.google.com/spreadsheets/d/1yswqbM3-AEpThF3ZSUa1AcmHnmRTF1vlJ1CZGcJ8YuU/edit?usp=sharing"",""สุรินทร์!I87"")"),0)</f>
        <v>0</v>
      </c>
      <c r="AI46" s="97">
        <f ca="1">IFERROR(__xludf.DUMMYFUNCTION("IMPORTRANGE(""https://docs.google.com/spreadsheets/d/1yswqbM3-AEpThF3ZSUa1AcmHnmRTF1vlJ1CZGcJ8YuU/edit?usp=sharing"",""สุรินทร์!J86"")"),0)</f>
        <v>0</v>
      </c>
      <c r="AJ46" s="97">
        <f ca="1">IFERROR(__xludf.DUMMYFUNCTION("IMPORTRANGE(""https://docs.google.com/spreadsheets/d/1yswqbM3-AEpThF3ZSUa1AcmHnmRTF1vlJ1CZGcJ8YuU/edit?usp=sharing"",""สุรินทร์!J87"")"),0)</f>
        <v>0</v>
      </c>
      <c r="AK46" s="93">
        <f ca="1">IFERROR(__xludf.DUMMYFUNCTION("IMPORTRANGE(""https://docs.google.com/spreadsheets/d/1yswqbM3-AEpThF3ZSUa1AcmHnmRTF1vlJ1CZGcJ8YuU/edit?usp=sharing"",""สุรินทร์!I88"")"),0)</f>
        <v>0</v>
      </c>
      <c r="AL46" s="93">
        <f ca="1">IFERROR(__xludf.DUMMYFUNCTION("IMPORTRANGE(""https://docs.google.com/spreadsheets/d/1yswqbM3-AEpThF3ZSUa1AcmHnmRTF1vlJ1CZGcJ8YuU/edit?usp=sharing"",""สุรินทร์!I89"")"),0)</f>
        <v>0</v>
      </c>
      <c r="AM46" s="97">
        <f ca="1">IFERROR(__xludf.DUMMYFUNCTION("IMPORTRANGE(""https://docs.google.com/spreadsheets/d/1yswqbM3-AEpThF3ZSUa1AcmHnmRTF1vlJ1CZGcJ8YuU/edit?usp=sharing"",""สุรินทร์!J88"")"),0)</f>
        <v>0</v>
      </c>
      <c r="AN46" s="97">
        <f ca="1">IFERROR(__xludf.DUMMYFUNCTION("IMPORTRANGE(""https://docs.google.com/spreadsheets/d/1yswqbM3-AEpThF3ZSUa1AcmHnmRTF1vlJ1CZGcJ8YuU/edit?usp=sharing"",""สุรินทร์!J89"")"),0)</f>
        <v>0</v>
      </c>
      <c r="AO46" s="93">
        <f ca="1">IFERROR(__xludf.DUMMYFUNCTION("IMPORTRANGE(""https://docs.google.com/spreadsheets/d/1yswqbM3-AEpThF3ZSUa1AcmHnmRTF1vlJ1CZGcJ8YuU/edit?usp=sharing"",""สุรินทร์!I90"")"),0)</f>
        <v>0</v>
      </c>
      <c r="AP46" s="97">
        <f ca="1">IFERROR(__xludf.DUMMYFUNCTION("IMPORTRANGE(""https://docs.google.com/spreadsheets/d/1yswqbM3-AEpThF3ZSUa1AcmHnmRTF1vlJ1CZGcJ8YuU/edit?usp=sharing"",""สุรินทร์!J90"")"),0)</f>
        <v>0</v>
      </c>
      <c r="AQ46" s="95">
        <f t="shared" ca="1" si="42"/>
        <v>0</v>
      </c>
    </row>
    <row r="47" spans="1:43" ht="21" customHeight="1" x14ac:dyDescent="0.3">
      <c r="A47" s="89">
        <v>16</v>
      </c>
      <c r="B47" s="90" t="s">
        <v>73</v>
      </c>
      <c r="C47" s="91">
        <f t="shared" ca="1" si="26"/>
        <v>0</v>
      </c>
      <c r="D47" s="92">
        <f t="shared" ca="1" si="49"/>
        <v>0</v>
      </c>
      <c r="E47" s="93">
        <f ca="1">IFERROR(__xludf.DUMMYFUNCTION("IMPORTRANGE(""https://docs.google.com/spreadsheets/d/1-uDff_7J0KD5mKrp0Vvzr7lt3OU09vwQwhkpOPPYv2Y/edit?usp=sharing"",""งบพรบ!AN47"")"),0)</f>
        <v>0</v>
      </c>
      <c r="F47" s="93">
        <f ca="1">IFERROR(__xludf.DUMMYFUNCTION("IMPORTRANGE(""https://docs.google.com/spreadsheets/d/1-uDff_7J0KD5mKrp0Vvzr7lt3OU09vwQwhkpOPPYv2Y/edit?usp=sharing"",""งบพรบ!AO47"")"),0)</f>
        <v>0</v>
      </c>
      <c r="G47" s="93">
        <f ca="1">IFERROR(__xludf.DUMMYFUNCTION("IMPORTRANGE(""https://docs.google.com/spreadsheets/d/1-uDff_7J0KD5mKrp0Vvzr7lt3OU09vwQwhkpOPPYv2Y/edit?usp=sharing"",""งบพรบ!AP47"")"),0)</f>
        <v>0</v>
      </c>
      <c r="H47" s="93">
        <f ca="1">IFERROR(__xludf.DUMMYFUNCTION("IMPORTRANGE(""https://docs.google.com/spreadsheets/d/1-uDff_7J0KD5mKrp0Vvzr7lt3OU09vwQwhkpOPPYv2Y/edit?usp=sharing"",""งบพรบ!AR47"")"),0)</f>
        <v>0</v>
      </c>
      <c r="I47" s="93">
        <f ca="1">IFERROR(__xludf.DUMMYFUNCTION("IMPORTRANGE(""https://docs.google.com/spreadsheets/d/1-uDff_7J0KD5mKrp0Vvzr7lt3OU09vwQwhkpOPPYv2Y/edit?usp=sharing"",""งบพรบ!AS47"")"),0)</f>
        <v>0</v>
      </c>
      <c r="J47" s="93">
        <f t="shared" ca="1" si="28"/>
        <v>0</v>
      </c>
      <c r="K47" s="94">
        <f t="shared" ca="1" si="29"/>
        <v>0</v>
      </c>
      <c r="L47" s="93">
        <f ca="1">IFERROR(__xludf.DUMMYFUNCTION("IMPORTRANGE(""https://docs.google.com/spreadsheets/d/1-uDff_7J0KD5mKrp0Vvzr7lt3OU09vwQwhkpOPPYv2Y/edit?usp=sharing"",""งบพรบ!AT47"")"),0)</f>
        <v>0</v>
      </c>
      <c r="M47" s="95">
        <f t="shared" ca="1" si="30"/>
        <v>0</v>
      </c>
      <c r="N47" s="95">
        <f t="shared" ca="1" si="31"/>
        <v>0</v>
      </c>
      <c r="O47" s="96">
        <f ca="1">IFERROR(__xludf.DUMMYFUNCTION("IMPORTRANGE(""https://docs.google.com/spreadsheets/d/1-uDff_7J0KD5mKrp0Vvzr7lt3OU09vwQwhkpOPPYv2Y/edit?usp=sharing"",""งบพรบ!AU47"")"),0)</f>
        <v>0</v>
      </c>
      <c r="P47" s="96">
        <f t="shared" ca="1" si="32"/>
        <v>0</v>
      </c>
      <c r="Q47" s="95">
        <f t="shared" ca="1" si="33"/>
        <v>0</v>
      </c>
      <c r="R47" s="86">
        <f ca="1">IFERROR(__xludf.DUMMYFUNCTION("IMPORTRANGE(""https://docs.google.com/spreadsheets/d/13JHU_EFbsQOUQ0JSQ3dWy1VTRosIWcDq6Nc99z2qzdc/edit?usp=sharing"",""หนองคาย!Q72"")"),625500)</f>
        <v>625500</v>
      </c>
      <c r="S47" s="86">
        <f ca="1">IFERROR(__xludf.DUMMYFUNCTION("IMPORTRANGE(""https://docs.google.com/spreadsheets/d/13JHU_EFbsQOUQ0JSQ3dWy1VTRosIWcDq6Nc99z2qzdc/edit?usp=sharing"",""หนองคาย!R72"")"),0)</f>
        <v>0</v>
      </c>
      <c r="T47" s="86">
        <f ca="1">IFERROR(__xludf.DUMMYFUNCTION("IMPORTRANGE(""https://docs.google.com/spreadsheets/d/13JHU_EFbsQOUQ0JSQ3dWy1VTRosIWcDq6Nc99z2qzdc/edit?usp=sharing"",""หนองคาย!S72"")"),0)</f>
        <v>0</v>
      </c>
      <c r="U47" s="87">
        <f t="shared" ca="1" si="35"/>
        <v>0</v>
      </c>
      <c r="V47" s="87">
        <f t="shared" ca="1" si="36"/>
        <v>0</v>
      </c>
      <c r="W47" s="97">
        <f t="shared" ca="1" si="37"/>
        <v>1</v>
      </c>
      <c r="X47" s="97">
        <f t="shared" ca="1" si="38"/>
        <v>70</v>
      </c>
      <c r="Y47" s="97">
        <f t="shared" ca="1" si="50"/>
        <v>0</v>
      </c>
      <c r="Z47" s="98">
        <f t="shared" ca="1" si="39"/>
        <v>0</v>
      </c>
      <c r="AA47" s="97">
        <f t="shared" ca="1" si="51"/>
        <v>0</v>
      </c>
      <c r="AB47" s="98">
        <f t="shared" ca="1" si="40"/>
        <v>0</v>
      </c>
      <c r="AC47" s="93">
        <f ca="1">IFERROR(__xludf.DUMMYFUNCTION("IMPORTRANGE(""https://docs.google.com/spreadsheets/d/13JHU_EFbsQOUQ0JSQ3dWy1VTRosIWcDq6Nc99z2qzdc/edit?usp=sharing"",""หนองคาย!I84"")"),0)</f>
        <v>0</v>
      </c>
      <c r="AD47" s="93">
        <f ca="1">IFERROR(__xludf.DUMMYFUNCTION("IMPORTRANGE(""https://docs.google.com/spreadsheets/d/13JHU_EFbsQOUQ0JSQ3dWy1VTRosIWcDq6Nc99z2qzdc/edit?usp=sharing"",""หนองคาย!I85"")"),0)</f>
        <v>0</v>
      </c>
      <c r="AE47" s="97">
        <f ca="1">IFERROR(__xludf.DUMMYFUNCTION("IMPORTRANGE(""https://docs.google.com/spreadsheets/d/13JHU_EFbsQOUQ0JSQ3dWy1VTRosIWcDq6Nc99z2qzdc/edit?usp=sharing"",""หนองคาย!J84"")"),0)</f>
        <v>0</v>
      </c>
      <c r="AF47" s="97">
        <f ca="1">IFERROR(__xludf.DUMMYFUNCTION("IMPORTRANGE(""https://docs.google.com/spreadsheets/d/13JHU_EFbsQOUQ0JSQ3dWy1VTRosIWcDq6Nc99z2qzdc/edit?usp=sharing"",""หนองคาย!J85"")"),0)</f>
        <v>0</v>
      </c>
      <c r="AG47" s="93">
        <f ca="1">IFERROR(__xludf.DUMMYFUNCTION("IMPORTRANGE(""https://docs.google.com/spreadsheets/d/13JHU_EFbsQOUQ0JSQ3dWy1VTRosIWcDq6Nc99z2qzdc/edit?usp=sharing"",""หนองคาย!I86"")"),1)</f>
        <v>1</v>
      </c>
      <c r="AH47" s="93">
        <f ca="1">IFERROR(__xludf.DUMMYFUNCTION("IMPORTRANGE(""https://docs.google.com/spreadsheets/d/13JHU_EFbsQOUQ0JSQ3dWy1VTRosIWcDq6Nc99z2qzdc/edit?usp=sharing"",""หนองคาย!I87"")"),70)</f>
        <v>70</v>
      </c>
      <c r="AI47" s="97">
        <f ca="1">IFERROR(__xludf.DUMMYFUNCTION("IMPORTRANGE(""https://docs.google.com/spreadsheets/d/13JHU_EFbsQOUQ0JSQ3dWy1VTRosIWcDq6Nc99z2qzdc/edit?usp=sharing"",""หนองคาย!J86"")"),0)</f>
        <v>0</v>
      </c>
      <c r="AJ47" s="97">
        <f ca="1">IFERROR(__xludf.DUMMYFUNCTION("IMPORTRANGE(""https://docs.google.com/spreadsheets/d/13JHU_EFbsQOUQ0JSQ3dWy1VTRosIWcDq6Nc99z2qzdc/edit?usp=sharing"",""หนองคาย!J87"")"),0)</f>
        <v>0</v>
      </c>
      <c r="AK47" s="93">
        <f ca="1">IFERROR(__xludf.DUMMYFUNCTION("IMPORTRANGE(""https://docs.google.com/spreadsheets/d/13JHU_EFbsQOUQ0JSQ3dWy1VTRosIWcDq6Nc99z2qzdc/edit?usp=sharing"",""หนองคาย!I88"")"),0)</f>
        <v>0</v>
      </c>
      <c r="AL47" s="93">
        <f ca="1">IFERROR(__xludf.DUMMYFUNCTION("IMPORTRANGE(""https://docs.google.com/spreadsheets/d/13JHU_EFbsQOUQ0JSQ3dWy1VTRosIWcDq6Nc99z2qzdc/edit?usp=sharing"",""หนองคาย!I89"")"),0)</f>
        <v>0</v>
      </c>
      <c r="AM47" s="97">
        <f ca="1">IFERROR(__xludf.DUMMYFUNCTION("IMPORTRANGE(""https://docs.google.com/spreadsheets/d/13JHU_EFbsQOUQ0JSQ3dWy1VTRosIWcDq6Nc99z2qzdc/edit?usp=sharing"",""หนองคาย!J88"")"),0)</f>
        <v>0</v>
      </c>
      <c r="AN47" s="97">
        <f ca="1">IFERROR(__xludf.DUMMYFUNCTION("IMPORTRANGE(""https://docs.google.com/spreadsheets/d/13JHU_EFbsQOUQ0JSQ3dWy1VTRosIWcDq6Nc99z2qzdc/edit?usp=sharing"",""หนองคาย!J89"")"),0)</f>
        <v>0</v>
      </c>
      <c r="AO47" s="93">
        <f ca="1">IFERROR(__xludf.DUMMYFUNCTION("IMPORTRANGE(""https://docs.google.com/spreadsheets/d/13JHU_EFbsQOUQ0JSQ3dWy1VTRosIWcDq6Nc99z2qzdc/edit?usp=sharing"",""หนองคาย!I90"")"),1)</f>
        <v>1</v>
      </c>
      <c r="AP47" s="97">
        <f ca="1">IFERROR(__xludf.DUMMYFUNCTION("IMPORTRANGE(""https://docs.google.com/spreadsheets/d/13JHU_EFbsQOUQ0JSQ3dWy1VTRosIWcDq6Nc99z2qzdc/edit?usp=sharing"",""หนองคาย!J90"")"),0)</f>
        <v>0</v>
      </c>
      <c r="AQ47" s="95">
        <f t="shared" ca="1" si="42"/>
        <v>0</v>
      </c>
    </row>
    <row r="48" spans="1:43" ht="21" customHeight="1" x14ac:dyDescent="0.3">
      <c r="A48" s="89">
        <v>17</v>
      </c>
      <c r="B48" s="90" t="s">
        <v>74</v>
      </c>
      <c r="C48" s="91">
        <f t="shared" ca="1" si="26"/>
        <v>324000</v>
      </c>
      <c r="D48" s="92">
        <f t="shared" ca="1" si="49"/>
        <v>324000</v>
      </c>
      <c r="E48" s="93">
        <f ca="1">IFERROR(__xludf.DUMMYFUNCTION("IMPORTRANGE(""https://docs.google.com/spreadsheets/d/1-uDff_7J0KD5mKrp0Vvzr7lt3OU09vwQwhkpOPPYv2Y/edit?usp=sharing"",""งบพรบ!AN48"")"),86000)</f>
        <v>86000</v>
      </c>
      <c r="F48" s="93">
        <f ca="1">IFERROR(__xludf.DUMMYFUNCTION("IMPORTRANGE(""https://docs.google.com/spreadsheets/d/1-uDff_7J0KD5mKrp0Vvzr7lt3OU09vwQwhkpOPPYv2Y/edit?usp=sharing"",""งบพรบ!AO48"")"),238000)</f>
        <v>238000</v>
      </c>
      <c r="G48" s="93">
        <f ca="1">IFERROR(__xludf.DUMMYFUNCTION("IMPORTRANGE(""https://docs.google.com/spreadsheets/d/1-uDff_7J0KD5mKrp0Vvzr7lt3OU09vwQwhkpOPPYv2Y/edit?usp=sharing"",""งบพรบ!AP48"")"),0)</f>
        <v>0</v>
      </c>
      <c r="H48" s="93">
        <f ca="1">IFERROR(__xludf.DUMMYFUNCTION("IMPORTRANGE(""https://docs.google.com/spreadsheets/d/1-uDff_7J0KD5mKrp0Vvzr7lt3OU09vwQwhkpOPPYv2Y/edit?usp=sharing"",""งบพรบ!AR48"")"),226965)</f>
        <v>226965</v>
      </c>
      <c r="I48" s="93">
        <f ca="1">IFERROR(__xludf.DUMMYFUNCTION("IMPORTRANGE(""https://docs.google.com/spreadsheets/d/1-uDff_7J0KD5mKrp0Vvzr7lt3OU09vwQwhkpOPPYv2Y/edit?usp=sharing"",""งบพรบ!AS48"")"),0)</f>
        <v>0</v>
      </c>
      <c r="J48" s="93">
        <f t="shared" ca="1" si="28"/>
        <v>171105.18</v>
      </c>
      <c r="K48" s="94">
        <f t="shared" ca="1" si="29"/>
        <v>52.810240740740738</v>
      </c>
      <c r="L48" s="93">
        <f ca="1">IFERROR(__xludf.DUMMYFUNCTION("IMPORTRANGE(""https://docs.google.com/spreadsheets/d/1-uDff_7J0KD5mKrp0Vvzr7lt3OU09vwQwhkpOPPYv2Y/edit?usp=sharing"",""งบพรบ!AT48"")"),171105.18)</f>
        <v>171105.18</v>
      </c>
      <c r="M48" s="95">
        <f t="shared" ca="1" si="30"/>
        <v>52.810240740740738</v>
      </c>
      <c r="N48" s="95">
        <f t="shared" ca="1" si="31"/>
        <v>75.388355032714301</v>
      </c>
      <c r="O48" s="96">
        <f ca="1">IFERROR(__xludf.DUMMYFUNCTION("IMPORTRANGE(""https://docs.google.com/spreadsheets/d/1-uDff_7J0KD5mKrp0Vvzr7lt3OU09vwQwhkpOPPYv2Y/edit?usp=sharing"",""งบพรบ!AU48"")"),0)</f>
        <v>0</v>
      </c>
      <c r="P48" s="96">
        <f t="shared" ca="1" si="32"/>
        <v>0</v>
      </c>
      <c r="Q48" s="95">
        <f t="shared" ca="1" si="33"/>
        <v>0</v>
      </c>
      <c r="R48" s="86">
        <f ca="1">IFERROR(__xludf.DUMMYFUNCTION("IMPORTRANGE(""https://docs.google.com/spreadsheets/d/1Hx73zIEgVdDZZaYSTc46Dqv64atFhpr3GelxLbaIN8A/edit?usp=sharing"",""หนองบัวลำภู!Q72"")"),310980)</f>
        <v>310980</v>
      </c>
      <c r="S48" s="86">
        <f ca="1">IFERROR(__xludf.DUMMYFUNCTION("IMPORTRANGE(""https://docs.google.com/spreadsheets/d/1Hx73zIEgVdDZZaYSTc46Dqv64atFhpr3GelxLbaIN8A/edit?usp=sharing"",""หนองบัวลำภู!R72"")"),0)</f>
        <v>0</v>
      </c>
      <c r="T48" s="86">
        <f ca="1">IFERROR(__xludf.DUMMYFUNCTION("IMPORTRANGE(""https://docs.google.com/spreadsheets/d/1Hx73zIEgVdDZZaYSTc46Dqv64atFhpr3GelxLbaIN8A/edit?usp=sharing"",""หนองบัวลำภู!S72"")"),0)</f>
        <v>0</v>
      </c>
      <c r="U48" s="87">
        <f t="shared" ca="1" si="35"/>
        <v>0</v>
      </c>
      <c r="V48" s="87">
        <f t="shared" ca="1" si="36"/>
        <v>0</v>
      </c>
      <c r="W48" s="97">
        <f t="shared" ca="1" si="37"/>
        <v>1</v>
      </c>
      <c r="X48" s="97">
        <f t="shared" ca="1" si="38"/>
        <v>30</v>
      </c>
      <c r="Y48" s="97">
        <f t="shared" ca="1" si="50"/>
        <v>0</v>
      </c>
      <c r="Z48" s="98">
        <f t="shared" ca="1" si="39"/>
        <v>0</v>
      </c>
      <c r="AA48" s="97">
        <f t="shared" ca="1" si="51"/>
        <v>0</v>
      </c>
      <c r="AB48" s="98">
        <f t="shared" ca="1" si="40"/>
        <v>0</v>
      </c>
      <c r="AC48" s="93">
        <f ca="1">IFERROR(__xludf.DUMMYFUNCTION("IMPORTRANGE(""https://docs.google.com/spreadsheets/d/1Hx73zIEgVdDZZaYSTc46Dqv64atFhpr3GelxLbaIN8A/edit?usp=sharing"",""หนองบัวลำภู!I84"")"),0)</f>
        <v>0</v>
      </c>
      <c r="AD48" s="93">
        <f ca="1">IFERROR(__xludf.DUMMYFUNCTION("IMPORTRANGE(""https://docs.google.com/spreadsheets/d/1Hx73zIEgVdDZZaYSTc46Dqv64atFhpr3GelxLbaIN8A/edit?usp=sharing"",""หนองบัวลำภู!I85"")"),0)</f>
        <v>0</v>
      </c>
      <c r="AE48" s="97">
        <f ca="1">IFERROR(__xludf.DUMMYFUNCTION("IMPORTRANGE(""https://docs.google.com/spreadsheets/d/1Hx73zIEgVdDZZaYSTc46Dqv64atFhpr3GelxLbaIN8A/edit?usp=sharing"",""หนองบัวลำภู!J84"")"),0)</f>
        <v>0</v>
      </c>
      <c r="AF48" s="97">
        <f ca="1">IFERROR(__xludf.DUMMYFUNCTION("IMPORTRANGE(""https://docs.google.com/spreadsheets/d/1Hx73zIEgVdDZZaYSTc46Dqv64atFhpr3GelxLbaIN8A/edit?usp=sharing"",""หนองบัวลำภู!J85"")"),0)</f>
        <v>0</v>
      </c>
      <c r="AG48" s="93">
        <f ca="1">IFERROR(__xludf.DUMMYFUNCTION("IMPORTRANGE(""https://docs.google.com/spreadsheets/d/1Hx73zIEgVdDZZaYSTc46Dqv64atFhpr3GelxLbaIN8A/edit?usp=sharing"",""หนองบัวลำภู!I86"")"),0)</f>
        <v>0</v>
      </c>
      <c r="AH48" s="93">
        <f ca="1">IFERROR(__xludf.DUMMYFUNCTION("IMPORTRANGE(""https://docs.google.com/spreadsheets/d/1Hx73zIEgVdDZZaYSTc46Dqv64atFhpr3GelxLbaIN8A/edit?usp=sharing"",""หนองบัวลำภู!I87"")"),0)</f>
        <v>0</v>
      </c>
      <c r="AI48" s="97">
        <f ca="1">IFERROR(__xludf.DUMMYFUNCTION("IMPORTRANGE(""https://docs.google.com/spreadsheets/d/1Hx73zIEgVdDZZaYSTc46Dqv64atFhpr3GelxLbaIN8A/edit?usp=sharing"",""หนองบัวลำภู!J86"")"),0)</f>
        <v>0</v>
      </c>
      <c r="AJ48" s="97">
        <f ca="1">IFERROR(__xludf.DUMMYFUNCTION("IMPORTRANGE(""https://docs.google.com/spreadsheets/d/1Hx73zIEgVdDZZaYSTc46Dqv64atFhpr3GelxLbaIN8A/edit?usp=sharing"",""หนองบัวลำภู!J87"")"),0)</f>
        <v>0</v>
      </c>
      <c r="AK48" s="93">
        <f ca="1">IFERROR(__xludf.DUMMYFUNCTION("IMPORTRANGE(""https://docs.google.com/spreadsheets/d/1Hx73zIEgVdDZZaYSTc46Dqv64atFhpr3GelxLbaIN8A/edit?usp=sharing"",""หนองบัวลำภู!I88"")"),1)</f>
        <v>1</v>
      </c>
      <c r="AL48" s="93">
        <f ca="1">IFERROR(__xludf.DUMMYFUNCTION("IMPORTRANGE(""https://docs.google.com/spreadsheets/d/1Hx73zIEgVdDZZaYSTc46Dqv64atFhpr3GelxLbaIN8A/edit?usp=sharing"",""หนองบัวลำภู!I89"")"),30)</f>
        <v>30</v>
      </c>
      <c r="AM48" s="97">
        <f ca="1">IFERROR(__xludf.DUMMYFUNCTION("IMPORTRANGE(""https://docs.google.com/spreadsheets/d/1Hx73zIEgVdDZZaYSTc46Dqv64atFhpr3GelxLbaIN8A/edit?usp=sharing"",""หนองบัวลำภู!J88"")"),0)</f>
        <v>0</v>
      </c>
      <c r="AN48" s="97">
        <f ca="1">IFERROR(__xludf.DUMMYFUNCTION("IMPORTRANGE(""https://docs.google.com/spreadsheets/d/1Hx73zIEgVdDZZaYSTc46Dqv64atFhpr3GelxLbaIN8A/edit?usp=sharing"",""หนองบัวลำภู!J89"")"),0)</f>
        <v>0</v>
      </c>
      <c r="AO48" s="93">
        <f ca="1">IFERROR(__xludf.DUMMYFUNCTION("IMPORTRANGE(""https://docs.google.com/spreadsheets/d/1Hx73zIEgVdDZZaYSTc46Dqv64atFhpr3GelxLbaIN8A/edit?usp=sharing"",""หนองบัวลำภู!I90"")"),1)</f>
        <v>1</v>
      </c>
      <c r="AP48" s="97">
        <f ca="1">IFERROR(__xludf.DUMMYFUNCTION("IMPORTRANGE(""https://docs.google.com/spreadsheets/d/1Hx73zIEgVdDZZaYSTc46Dqv64atFhpr3GelxLbaIN8A/edit?usp=sharing"",""หนองบัวลำภู!J90"")"),0)</f>
        <v>0</v>
      </c>
      <c r="AQ48" s="95">
        <f t="shared" ca="1" si="42"/>
        <v>0</v>
      </c>
    </row>
    <row r="49" spans="1:43" ht="21" customHeight="1" x14ac:dyDescent="0.3">
      <c r="A49" s="89">
        <v>18</v>
      </c>
      <c r="B49" s="90" t="s">
        <v>75</v>
      </c>
      <c r="C49" s="91">
        <f t="shared" ca="1" si="26"/>
        <v>0</v>
      </c>
      <c r="D49" s="92">
        <f t="shared" ca="1" si="49"/>
        <v>0</v>
      </c>
      <c r="E49" s="93">
        <f ca="1">IFERROR(__xludf.DUMMYFUNCTION("IMPORTRANGE(""https://docs.google.com/spreadsheets/d/1-uDff_7J0KD5mKrp0Vvzr7lt3OU09vwQwhkpOPPYv2Y/edit?usp=sharing"",""งบพรบ!AN49"")"),0)</f>
        <v>0</v>
      </c>
      <c r="F49" s="93">
        <f ca="1">IFERROR(__xludf.DUMMYFUNCTION("IMPORTRANGE(""https://docs.google.com/spreadsheets/d/1-uDff_7J0KD5mKrp0Vvzr7lt3OU09vwQwhkpOPPYv2Y/edit?usp=sharing"",""งบพรบ!AO49"")"),0)</f>
        <v>0</v>
      </c>
      <c r="G49" s="93">
        <f ca="1">IFERROR(__xludf.DUMMYFUNCTION("IMPORTRANGE(""https://docs.google.com/spreadsheets/d/1-uDff_7J0KD5mKrp0Vvzr7lt3OU09vwQwhkpOPPYv2Y/edit?usp=sharing"",""งบพรบ!AP49"")"),0)</f>
        <v>0</v>
      </c>
      <c r="H49" s="93">
        <f ca="1">IFERROR(__xludf.DUMMYFUNCTION("IMPORTRANGE(""https://docs.google.com/spreadsheets/d/1-uDff_7J0KD5mKrp0Vvzr7lt3OU09vwQwhkpOPPYv2Y/edit?usp=sharing"",""งบพรบ!AR49"")"),0)</f>
        <v>0</v>
      </c>
      <c r="I49" s="93">
        <f ca="1">IFERROR(__xludf.DUMMYFUNCTION("IMPORTRANGE(""https://docs.google.com/spreadsheets/d/1-uDff_7J0KD5mKrp0Vvzr7lt3OU09vwQwhkpOPPYv2Y/edit?usp=sharing"",""งบพรบ!AS49"")"),0)</f>
        <v>0</v>
      </c>
      <c r="J49" s="93">
        <f t="shared" ca="1" si="28"/>
        <v>0</v>
      </c>
      <c r="K49" s="94">
        <f t="shared" ca="1" si="29"/>
        <v>0</v>
      </c>
      <c r="L49" s="93">
        <f ca="1">IFERROR(__xludf.DUMMYFUNCTION("IMPORTRANGE(""https://docs.google.com/spreadsheets/d/1-uDff_7J0KD5mKrp0Vvzr7lt3OU09vwQwhkpOPPYv2Y/edit?usp=sharing"",""งบพรบ!AT49"")"),0)</f>
        <v>0</v>
      </c>
      <c r="M49" s="95">
        <f t="shared" ca="1" si="30"/>
        <v>0</v>
      </c>
      <c r="N49" s="95">
        <f t="shared" ca="1" si="31"/>
        <v>0</v>
      </c>
      <c r="O49" s="96">
        <f ca="1">IFERROR(__xludf.DUMMYFUNCTION("IMPORTRANGE(""https://docs.google.com/spreadsheets/d/1-uDff_7J0KD5mKrp0Vvzr7lt3OU09vwQwhkpOPPYv2Y/edit?usp=sharing"",""งบพรบ!AU49"")"),0)</f>
        <v>0</v>
      </c>
      <c r="P49" s="96">
        <f t="shared" ca="1" si="32"/>
        <v>0</v>
      </c>
      <c r="Q49" s="95">
        <f t="shared" ca="1" si="33"/>
        <v>0</v>
      </c>
      <c r="R49" s="86">
        <f ca="1">IFERROR(__xludf.DUMMYFUNCTION("IMPORTRANGE(""https://docs.google.com/spreadsheets/d/1lFxr3ctmjFN90yc-xV6jrQ9Ty8BKYVBWnAZ15wcNIJc/edit?usp=sharing"",""อำนาจเจริญ!Q72"")"),403700)</f>
        <v>403700</v>
      </c>
      <c r="S49" s="86">
        <f ca="1">IFERROR(__xludf.DUMMYFUNCTION("IMPORTRANGE(""https://docs.google.com/spreadsheets/d/1lFxr3ctmjFN90yc-xV6jrQ9Ty8BKYVBWnAZ15wcNIJc/edit?usp=sharing"",""อำนาจเจริญ!R72"")"),0)</f>
        <v>0</v>
      </c>
      <c r="T49" s="86">
        <f ca="1">IFERROR(__xludf.DUMMYFUNCTION("IMPORTRANGE(""https://docs.google.com/spreadsheets/d/1lFxr3ctmjFN90yc-xV6jrQ9Ty8BKYVBWnAZ15wcNIJc/edit?usp=sharing"",""อำนาจเจริญ!S72"")"),0)</f>
        <v>0</v>
      </c>
      <c r="U49" s="87">
        <f t="shared" ca="1" si="35"/>
        <v>0</v>
      </c>
      <c r="V49" s="87">
        <f t="shared" ca="1" si="36"/>
        <v>0</v>
      </c>
      <c r="W49" s="97">
        <f t="shared" ca="1" si="37"/>
        <v>1</v>
      </c>
      <c r="X49" s="97">
        <f t="shared" ca="1" si="38"/>
        <v>30</v>
      </c>
      <c r="Y49" s="97">
        <f t="shared" ca="1" si="50"/>
        <v>0</v>
      </c>
      <c r="Z49" s="98">
        <f t="shared" ca="1" si="39"/>
        <v>0</v>
      </c>
      <c r="AA49" s="97">
        <f t="shared" ca="1" si="51"/>
        <v>0</v>
      </c>
      <c r="AB49" s="98">
        <f t="shared" ca="1" si="40"/>
        <v>0</v>
      </c>
      <c r="AC49" s="93">
        <f ca="1">IFERROR(__xludf.DUMMYFUNCTION("IMPORTRANGE(""https://docs.google.com/spreadsheets/d/1lFxr3ctmjFN90yc-xV6jrQ9Ty8BKYVBWnAZ15wcNIJc/edit?usp=sharing"",""อำนาจเจริญ!I84"")"),1)</f>
        <v>1</v>
      </c>
      <c r="AD49" s="93">
        <f ca="1">IFERROR(__xludf.DUMMYFUNCTION("IMPORTRANGE(""https://docs.google.com/spreadsheets/d/1lFxr3ctmjFN90yc-xV6jrQ9Ty8BKYVBWnAZ15wcNIJc/edit?usp=sharing"",""อำนาจเจริญ!I85"")"),30)</f>
        <v>30</v>
      </c>
      <c r="AE49" s="97">
        <f ca="1">IFERROR(__xludf.DUMMYFUNCTION("IMPORTRANGE(""https://docs.google.com/spreadsheets/d/1lFxr3ctmjFN90yc-xV6jrQ9Ty8BKYVBWnAZ15wcNIJc/edit?usp=sharing"",""อำนาจเจริญ!J84"")"),0)</f>
        <v>0</v>
      </c>
      <c r="AF49" s="97">
        <f ca="1">IFERROR(__xludf.DUMMYFUNCTION("IMPORTRANGE(""https://docs.google.com/spreadsheets/d/1lFxr3ctmjFN90yc-xV6jrQ9Ty8BKYVBWnAZ15wcNIJc/edit?usp=sharing"",""อำนาจเจริญ!J85"")"),0)</f>
        <v>0</v>
      </c>
      <c r="AG49" s="93">
        <f ca="1">IFERROR(__xludf.DUMMYFUNCTION("IMPORTRANGE(""https://docs.google.com/spreadsheets/d/1lFxr3ctmjFN90yc-xV6jrQ9Ty8BKYVBWnAZ15wcNIJc/edit?usp=sharing"",""อำนาจเจริญ!I86"")"),0)</f>
        <v>0</v>
      </c>
      <c r="AH49" s="93">
        <f ca="1">IFERROR(__xludf.DUMMYFUNCTION("IMPORTRANGE(""https://docs.google.com/spreadsheets/d/1lFxr3ctmjFN90yc-xV6jrQ9Ty8BKYVBWnAZ15wcNIJc/edit?usp=sharing"",""อำนาจเจริญ!I87"")"),0)</f>
        <v>0</v>
      </c>
      <c r="AI49" s="97">
        <f ca="1">IFERROR(__xludf.DUMMYFUNCTION("IMPORTRANGE(""https://docs.google.com/spreadsheets/d/1lFxr3ctmjFN90yc-xV6jrQ9Ty8BKYVBWnAZ15wcNIJc/edit?usp=sharing"",""อำนาจเจริญ!J86"")"),0)</f>
        <v>0</v>
      </c>
      <c r="AJ49" s="97">
        <f ca="1">IFERROR(__xludf.DUMMYFUNCTION("IMPORTRANGE(""https://docs.google.com/spreadsheets/d/1lFxr3ctmjFN90yc-xV6jrQ9Ty8BKYVBWnAZ15wcNIJc/edit?usp=sharing"",""อำนาจเจริญ!J87"")"),0)</f>
        <v>0</v>
      </c>
      <c r="AK49" s="93">
        <f ca="1">IFERROR(__xludf.DUMMYFUNCTION("IMPORTRANGE(""https://docs.google.com/spreadsheets/d/1lFxr3ctmjFN90yc-xV6jrQ9Ty8BKYVBWnAZ15wcNIJc/edit?usp=sharing"",""อำนาจเจริญ!I88"")"),0)</f>
        <v>0</v>
      </c>
      <c r="AL49" s="93">
        <f ca="1">IFERROR(__xludf.DUMMYFUNCTION("IMPORTRANGE(""https://docs.google.com/spreadsheets/d/1lFxr3ctmjFN90yc-xV6jrQ9Ty8BKYVBWnAZ15wcNIJc/edit?usp=sharing"",""อำนาจเจริญ!I89"")"),0)</f>
        <v>0</v>
      </c>
      <c r="AM49" s="97">
        <f ca="1">IFERROR(__xludf.DUMMYFUNCTION("IMPORTRANGE(""https://docs.google.com/spreadsheets/d/1lFxr3ctmjFN90yc-xV6jrQ9Ty8BKYVBWnAZ15wcNIJc/edit?usp=sharing"",""อำนาจเจริญ!J88"")"),0)</f>
        <v>0</v>
      </c>
      <c r="AN49" s="97">
        <f ca="1">IFERROR(__xludf.DUMMYFUNCTION("IMPORTRANGE(""https://docs.google.com/spreadsheets/d/1lFxr3ctmjFN90yc-xV6jrQ9Ty8BKYVBWnAZ15wcNIJc/edit?usp=sharing"",""อำนาจเจริญ!J89"")"),0)</f>
        <v>0</v>
      </c>
      <c r="AO49" s="93">
        <f ca="1">IFERROR(__xludf.DUMMYFUNCTION("IMPORTRANGE(""https://docs.google.com/spreadsheets/d/1lFxr3ctmjFN90yc-xV6jrQ9Ty8BKYVBWnAZ15wcNIJc/edit?usp=sharing"",""อำนาจเจริญ!I90"")"),1)</f>
        <v>1</v>
      </c>
      <c r="AP49" s="97">
        <f ca="1">IFERROR(__xludf.DUMMYFUNCTION("IMPORTRANGE(""https://docs.google.com/spreadsheets/d/1lFxr3ctmjFN90yc-xV6jrQ9Ty8BKYVBWnAZ15wcNIJc/edit?usp=sharing"",""อำนาจเจริญ!J90"")"),0)</f>
        <v>0</v>
      </c>
      <c r="AQ49" s="95">
        <f t="shared" ca="1" si="42"/>
        <v>0</v>
      </c>
    </row>
    <row r="50" spans="1:43" ht="21" customHeight="1" x14ac:dyDescent="0.3">
      <c r="A50" s="89">
        <v>19</v>
      </c>
      <c r="B50" s="90" t="s">
        <v>76</v>
      </c>
      <c r="C50" s="91">
        <f t="shared" ca="1" si="26"/>
        <v>573300</v>
      </c>
      <c r="D50" s="92">
        <f t="shared" ca="1" si="49"/>
        <v>573300</v>
      </c>
      <c r="E50" s="93">
        <f ca="1">IFERROR(__xludf.DUMMYFUNCTION("IMPORTRANGE(""https://docs.google.com/spreadsheets/d/1-uDff_7J0KD5mKrp0Vvzr7lt3OU09vwQwhkpOPPYv2Y/edit?usp=sharing"",""งบพรบ!AN50"")"),223300)</f>
        <v>223300</v>
      </c>
      <c r="F50" s="93">
        <f ca="1">IFERROR(__xludf.DUMMYFUNCTION("IMPORTRANGE(""https://docs.google.com/spreadsheets/d/1-uDff_7J0KD5mKrp0Vvzr7lt3OU09vwQwhkpOPPYv2Y/edit?usp=sharing"",""งบพรบ!AO50"")"),350000)</f>
        <v>350000</v>
      </c>
      <c r="G50" s="93">
        <f ca="1">IFERROR(__xludf.DUMMYFUNCTION("IMPORTRANGE(""https://docs.google.com/spreadsheets/d/1-uDff_7J0KD5mKrp0Vvzr7lt3OU09vwQwhkpOPPYv2Y/edit?usp=sharing"",""งบพรบ!AP50"")"),0)</f>
        <v>0</v>
      </c>
      <c r="H50" s="93">
        <f ca="1">IFERROR(__xludf.DUMMYFUNCTION("IMPORTRANGE(""https://docs.google.com/spreadsheets/d/1-uDff_7J0KD5mKrp0Vvzr7lt3OU09vwQwhkpOPPYv2Y/edit?usp=sharing"",""งบพรบ!AR50"")"),366361)</f>
        <v>366361</v>
      </c>
      <c r="I50" s="93">
        <f ca="1">IFERROR(__xludf.DUMMYFUNCTION("IMPORTRANGE(""https://docs.google.com/spreadsheets/d/1-uDff_7J0KD5mKrp0Vvzr7lt3OU09vwQwhkpOPPYv2Y/edit?usp=sharing"",""งบพรบ!AS50"")"),0)</f>
        <v>0</v>
      </c>
      <c r="J50" s="93">
        <f t="shared" ca="1" si="28"/>
        <v>183844.06</v>
      </c>
      <c r="K50" s="94">
        <f t="shared" ca="1" si="29"/>
        <v>32.067688819117393</v>
      </c>
      <c r="L50" s="93">
        <f ca="1">IFERROR(__xludf.DUMMYFUNCTION("IMPORTRANGE(""https://docs.google.com/spreadsheets/d/1-uDff_7J0KD5mKrp0Vvzr7lt3OU09vwQwhkpOPPYv2Y/edit?usp=sharing"",""งบพรบ!AT50"")"),183844.06)</f>
        <v>183844.06</v>
      </c>
      <c r="M50" s="95">
        <f t="shared" ca="1" si="30"/>
        <v>32.067688819117393</v>
      </c>
      <c r="N50" s="95">
        <f t="shared" ca="1" si="31"/>
        <v>50.181121898892073</v>
      </c>
      <c r="O50" s="96">
        <f ca="1">IFERROR(__xludf.DUMMYFUNCTION("IMPORTRANGE(""https://docs.google.com/spreadsheets/d/1-uDff_7J0KD5mKrp0Vvzr7lt3OU09vwQwhkpOPPYv2Y/edit?usp=sharing"",""งบพรบ!AU50"")"),0)</f>
        <v>0</v>
      </c>
      <c r="P50" s="96">
        <f t="shared" ca="1" si="32"/>
        <v>0</v>
      </c>
      <c r="Q50" s="95">
        <f t="shared" ca="1" si="33"/>
        <v>0</v>
      </c>
      <c r="R50" s="86">
        <f ca="1">IFERROR(__xludf.DUMMYFUNCTION("IMPORTRANGE(""https://docs.google.com/spreadsheets/d/1gF7RJpRnL-1oyjyeWxs5SFWEH7y8ahOZsQlyp2A2e-A/edit?usp=sharing"",""อุดรธานี!Q72"")"),987900)</f>
        <v>987900</v>
      </c>
      <c r="S50" s="86">
        <f ca="1">IFERROR(__xludf.DUMMYFUNCTION("IMPORTRANGE(""https://docs.google.com/spreadsheets/d/1gF7RJpRnL-1oyjyeWxs5SFWEH7y8ahOZsQlyp2A2e-A/edit?usp=sharing"",""อุดรธานี!R72"")"),0)</f>
        <v>0</v>
      </c>
      <c r="T50" s="86">
        <f ca="1">IFERROR(__xludf.DUMMYFUNCTION("IMPORTRANGE(""https://docs.google.com/spreadsheets/d/1gF7RJpRnL-1oyjyeWxs5SFWEH7y8ahOZsQlyp2A2e-A/edit?usp=sharing"",""อุดรธานี!S72"")"),0)</f>
        <v>0</v>
      </c>
      <c r="U50" s="87">
        <f t="shared" ca="1" si="35"/>
        <v>0</v>
      </c>
      <c r="V50" s="87">
        <f t="shared" ca="1" si="36"/>
        <v>0</v>
      </c>
      <c r="W50" s="97">
        <f t="shared" ca="1" si="37"/>
        <v>2</v>
      </c>
      <c r="X50" s="97">
        <f t="shared" ca="1" si="38"/>
        <v>100</v>
      </c>
      <c r="Y50" s="97">
        <f t="shared" ca="1" si="50"/>
        <v>0</v>
      </c>
      <c r="Z50" s="98">
        <f t="shared" ca="1" si="39"/>
        <v>0</v>
      </c>
      <c r="AA50" s="97">
        <f t="shared" ca="1" si="51"/>
        <v>0</v>
      </c>
      <c r="AB50" s="98">
        <f t="shared" ca="1" si="40"/>
        <v>0</v>
      </c>
      <c r="AC50" s="93">
        <f ca="1">IFERROR(__xludf.DUMMYFUNCTION("IMPORTRANGE(""https://docs.google.com/spreadsheets/d/1gF7RJpRnL-1oyjyeWxs5SFWEH7y8ahOZsQlyp2A2e-A/edit?usp=sharing"",""อุดรธานี!I84"")"),1)</f>
        <v>1</v>
      </c>
      <c r="AD50" s="93">
        <f ca="1">IFERROR(__xludf.DUMMYFUNCTION("IMPORTRANGE(""https://docs.google.com/spreadsheets/d/1gF7RJpRnL-1oyjyeWxs5SFWEH7y8ahOZsQlyp2A2e-A/edit?usp=sharing"",""อุดรธานี!I85"")"),30)</f>
        <v>30</v>
      </c>
      <c r="AE50" s="97">
        <f ca="1">IFERROR(__xludf.DUMMYFUNCTION("IMPORTRANGE(""https://docs.google.com/spreadsheets/d/1gF7RJpRnL-1oyjyeWxs5SFWEH7y8ahOZsQlyp2A2e-A/edit?usp=sharing"",""อุดรธานี!J84"")"),0)</f>
        <v>0</v>
      </c>
      <c r="AF50" s="97">
        <f ca="1">IFERROR(__xludf.DUMMYFUNCTION("IMPORTRANGE(""https://docs.google.com/spreadsheets/d/1gF7RJpRnL-1oyjyeWxs5SFWEH7y8ahOZsQlyp2A2e-A/edit?usp=sharing"",""อุดรธานี!J85"")"),0)</f>
        <v>0</v>
      </c>
      <c r="AG50" s="93">
        <f ca="1">IFERROR(__xludf.DUMMYFUNCTION("IMPORTRANGE(""https://docs.google.com/spreadsheets/d/1gF7RJpRnL-1oyjyeWxs5SFWEH7y8ahOZsQlyp2A2e-A/edit?usp=sharing"",""อุดรธานี!I86"")"),0)</f>
        <v>0</v>
      </c>
      <c r="AH50" s="93">
        <f ca="1">IFERROR(__xludf.DUMMYFUNCTION("IMPORTRANGE(""https://docs.google.com/spreadsheets/d/1gF7RJpRnL-1oyjyeWxs5SFWEH7y8ahOZsQlyp2A2e-A/edit?usp=sharing"",""อุดรธานี!I87"")"),0)</f>
        <v>0</v>
      </c>
      <c r="AI50" s="97">
        <f ca="1">IFERROR(__xludf.DUMMYFUNCTION("IMPORTRANGE(""https://docs.google.com/spreadsheets/d/1gF7RJpRnL-1oyjyeWxs5SFWEH7y8ahOZsQlyp2A2e-A/edit?usp=sharing"",""อุดรธานี!J86"")"),0)</f>
        <v>0</v>
      </c>
      <c r="AJ50" s="97">
        <f ca="1">IFERROR(__xludf.DUMMYFUNCTION("IMPORTRANGE(""https://docs.google.com/spreadsheets/d/1gF7RJpRnL-1oyjyeWxs5SFWEH7y8ahOZsQlyp2A2e-A/edit?usp=sharing"",""อุดรธานี!J87"")"),0)</f>
        <v>0</v>
      </c>
      <c r="AK50" s="93">
        <f ca="1">IFERROR(__xludf.DUMMYFUNCTION("IMPORTRANGE(""https://docs.google.com/spreadsheets/d/1gF7RJpRnL-1oyjyeWxs5SFWEH7y8ahOZsQlyp2A2e-A/edit?usp=sharing"",""อุดรธานี!I88"")"),1)</f>
        <v>1</v>
      </c>
      <c r="AL50" s="93">
        <f ca="1">IFERROR(__xludf.DUMMYFUNCTION("IMPORTRANGE(""https://docs.google.com/spreadsheets/d/1gF7RJpRnL-1oyjyeWxs5SFWEH7y8ahOZsQlyp2A2e-A/edit?usp=sharing"",""อุดรธานี!I89"")"),70)</f>
        <v>70</v>
      </c>
      <c r="AM50" s="97">
        <f ca="1">IFERROR(__xludf.DUMMYFUNCTION("IMPORTRANGE(""https://docs.google.com/spreadsheets/d/1gF7RJpRnL-1oyjyeWxs5SFWEH7y8ahOZsQlyp2A2e-A/edit?usp=sharing"",""อุดรธานี!J88"")"),0)</f>
        <v>0</v>
      </c>
      <c r="AN50" s="97">
        <f ca="1">IFERROR(__xludf.DUMMYFUNCTION("IMPORTRANGE(""https://docs.google.com/spreadsheets/d/1gF7RJpRnL-1oyjyeWxs5SFWEH7y8ahOZsQlyp2A2e-A/edit?usp=sharing"",""อุดรธานี!J89"")"),0)</f>
        <v>0</v>
      </c>
      <c r="AO50" s="93">
        <f ca="1">IFERROR(__xludf.DUMMYFUNCTION("IMPORTRANGE(""https://docs.google.com/spreadsheets/d/1gF7RJpRnL-1oyjyeWxs5SFWEH7y8ahOZsQlyp2A2e-A/edit?usp=sharing"",""อุดรธานี!I90"")"),2)</f>
        <v>2</v>
      </c>
      <c r="AP50" s="97">
        <f ca="1">IFERROR(__xludf.DUMMYFUNCTION("IMPORTRANGE(""https://docs.google.com/spreadsheets/d/1gF7RJpRnL-1oyjyeWxs5SFWEH7y8ahOZsQlyp2A2e-A/edit?usp=sharing"",""อุดรธานี!J90"")"),0)</f>
        <v>0</v>
      </c>
      <c r="AQ50" s="95">
        <f t="shared" ca="1" si="42"/>
        <v>0</v>
      </c>
    </row>
    <row r="51" spans="1:43" ht="21" customHeight="1" x14ac:dyDescent="0.3">
      <c r="A51" s="100">
        <v>20</v>
      </c>
      <c r="B51" s="101" t="s">
        <v>77</v>
      </c>
      <c r="C51" s="102">
        <f t="shared" ca="1" si="26"/>
        <v>0</v>
      </c>
      <c r="D51" s="103">
        <f t="shared" ca="1" si="49"/>
        <v>0</v>
      </c>
      <c r="E51" s="104">
        <f ca="1">IFERROR(__xludf.DUMMYFUNCTION("IMPORTRANGE(""https://docs.google.com/spreadsheets/d/1-uDff_7J0KD5mKrp0Vvzr7lt3OU09vwQwhkpOPPYv2Y/edit?usp=sharing"",""งบพรบ!AN51"")"),0)</f>
        <v>0</v>
      </c>
      <c r="F51" s="104">
        <f ca="1">IFERROR(__xludf.DUMMYFUNCTION("IMPORTRANGE(""https://docs.google.com/spreadsheets/d/1-uDff_7J0KD5mKrp0Vvzr7lt3OU09vwQwhkpOPPYv2Y/edit?usp=sharing"",""งบพรบ!AO51"")"),0)</f>
        <v>0</v>
      </c>
      <c r="G51" s="104">
        <f ca="1">IFERROR(__xludf.DUMMYFUNCTION("IMPORTRANGE(""https://docs.google.com/spreadsheets/d/1-uDff_7J0KD5mKrp0Vvzr7lt3OU09vwQwhkpOPPYv2Y/edit?usp=sharing"",""งบพรบ!AP51"")"),0)</f>
        <v>0</v>
      </c>
      <c r="H51" s="104">
        <f ca="1">IFERROR(__xludf.DUMMYFUNCTION("IMPORTRANGE(""https://docs.google.com/spreadsheets/d/1-uDff_7J0KD5mKrp0Vvzr7lt3OU09vwQwhkpOPPYv2Y/edit?usp=sharing"",""งบพรบ!AR51"")"),0)</f>
        <v>0</v>
      </c>
      <c r="I51" s="104">
        <f ca="1">IFERROR(__xludf.DUMMYFUNCTION("IMPORTRANGE(""https://docs.google.com/spreadsheets/d/1-uDff_7J0KD5mKrp0Vvzr7lt3OU09vwQwhkpOPPYv2Y/edit?usp=sharing"",""งบพรบ!AS51"")"),0)</f>
        <v>0</v>
      </c>
      <c r="J51" s="104">
        <f t="shared" ca="1" si="28"/>
        <v>0</v>
      </c>
      <c r="K51" s="105">
        <f t="shared" ca="1" si="29"/>
        <v>0</v>
      </c>
      <c r="L51" s="104">
        <f ca="1">IFERROR(__xludf.DUMMYFUNCTION("IMPORTRANGE(""https://docs.google.com/spreadsheets/d/1-uDff_7J0KD5mKrp0Vvzr7lt3OU09vwQwhkpOPPYv2Y/edit?usp=sharing"",""งบพรบ!AT51"")"),0)</f>
        <v>0</v>
      </c>
      <c r="M51" s="106">
        <f t="shared" ca="1" si="30"/>
        <v>0</v>
      </c>
      <c r="N51" s="106">
        <f t="shared" ca="1" si="31"/>
        <v>0</v>
      </c>
      <c r="O51" s="107">
        <f ca="1">IFERROR(__xludf.DUMMYFUNCTION("IMPORTRANGE(""https://docs.google.com/spreadsheets/d/1-uDff_7J0KD5mKrp0Vvzr7lt3OU09vwQwhkpOPPYv2Y/edit?usp=sharing"",""งบพรบ!AU51"")"),0)</f>
        <v>0</v>
      </c>
      <c r="P51" s="107">
        <f t="shared" ca="1" si="32"/>
        <v>0</v>
      </c>
      <c r="Q51" s="106">
        <f t="shared" ca="1" si="33"/>
        <v>0</v>
      </c>
      <c r="R51" s="117">
        <f ca="1">IFERROR(__xludf.DUMMYFUNCTION("IMPORTRANGE(""https://docs.google.com/spreadsheets/d/1kfLP0j3INXRa8bTDpcEmoWewMBV61jlFlfzczfjWIgc/edit?usp=sharing"",""อุบลราชธานี!Q72"")"),418300)</f>
        <v>418300</v>
      </c>
      <c r="S51" s="117">
        <f ca="1">IFERROR(__xludf.DUMMYFUNCTION("IMPORTRANGE(""https://docs.google.com/spreadsheets/d/1kfLP0j3INXRa8bTDpcEmoWewMBV61jlFlfzczfjWIgc/edit?usp=sharing"",""อุบลราชธานี!R72"")"),0)</f>
        <v>0</v>
      </c>
      <c r="T51" s="117">
        <f ca="1">IFERROR(__xludf.DUMMYFUNCTION("IMPORTRANGE(""https://docs.google.com/spreadsheets/d/1kfLP0j3INXRa8bTDpcEmoWewMBV61jlFlfzczfjWIgc/edit?usp=sharing"",""อุบลราชธานี!S72"")"),0)</f>
        <v>0</v>
      </c>
      <c r="U51" s="118">
        <f t="shared" ca="1" si="35"/>
        <v>0</v>
      </c>
      <c r="V51" s="118">
        <f t="shared" ca="1" si="36"/>
        <v>0</v>
      </c>
      <c r="W51" s="110">
        <f t="shared" ca="1" si="37"/>
        <v>1</v>
      </c>
      <c r="X51" s="110">
        <f t="shared" ca="1" si="38"/>
        <v>35</v>
      </c>
      <c r="Y51" s="110">
        <f t="shared" ca="1" si="50"/>
        <v>0</v>
      </c>
      <c r="Z51" s="111">
        <f t="shared" ca="1" si="39"/>
        <v>0</v>
      </c>
      <c r="AA51" s="110">
        <f t="shared" ca="1" si="51"/>
        <v>0</v>
      </c>
      <c r="AB51" s="111">
        <f t="shared" ca="1" si="40"/>
        <v>0</v>
      </c>
      <c r="AC51" s="104">
        <f ca="1">IFERROR(__xludf.DUMMYFUNCTION("IMPORTRANGE(""https://docs.google.com/spreadsheets/d/1kfLP0j3INXRa8bTDpcEmoWewMBV61jlFlfzczfjWIgc/edit?usp=sharing"",""อุบลราชธานี!I84"")"),1)</f>
        <v>1</v>
      </c>
      <c r="AD51" s="104">
        <f ca="1">IFERROR(__xludf.DUMMYFUNCTION("IMPORTRANGE(""https://docs.google.com/spreadsheets/d/1kfLP0j3INXRa8bTDpcEmoWewMBV61jlFlfzczfjWIgc/edit?usp=sharing"",""อุบลราชธานี!I85"")"),35)</f>
        <v>35</v>
      </c>
      <c r="AE51" s="110">
        <f ca="1">IFERROR(__xludf.DUMMYFUNCTION("IMPORTRANGE(""https://docs.google.com/spreadsheets/d/1kfLP0j3INXRa8bTDpcEmoWewMBV61jlFlfzczfjWIgc/edit?usp=sharing"",""อุบลราชธานี!J84"")"),0)</f>
        <v>0</v>
      </c>
      <c r="AF51" s="110">
        <f ca="1">IFERROR(__xludf.DUMMYFUNCTION("IMPORTRANGE(""https://docs.google.com/spreadsheets/d/1kfLP0j3INXRa8bTDpcEmoWewMBV61jlFlfzczfjWIgc/edit?usp=sharing"",""อุบลราชธานี!J85"")"),0)</f>
        <v>0</v>
      </c>
      <c r="AG51" s="104">
        <f ca="1">IFERROR(__xludf.DUMMYFUNCTION("IMPORTRANGE(""https://docs.google.com/spreadsheets/d/1kfLP0j3INXRa8bTDpcEmoWewMBV61jlFlfzczfjWIgc/edit?usp=sharing"",""อุบลราชธานี!I86"")"),0)</f>
        <v>0</v>
      </c>
      <c r="AH51" s="104">
        <f ca="1">IFERROR(__xludf.DUMMYFUNCTION("IMPORTRANGE(""https://docs.google.com/spreadsheets/d/1kfLP0j3INXRa8bTDpcEmoWewMBV61jlFlfzczfjWIgc/edit?usp=sharing"",""อุบลราชธานี!I87"")"),0)</f>
        <v>0</v>
      </c>
      <c r="AI51" s="110">
        <f ca="1">IFERROR(__xludf.DUMMYFUNCTION("IMPORTRANGE(""https://docs.google.com/spreadsheets/d/1kfLP0j3INXRa8bTDpcEmoWewMBV61jlFlfzczfjWIgc/edit?usp=sharing"",""อุบลราชธานี!J86"")"),0)</f>
        <v>0</v>
      </c>
      <c r="AJ51" s="110">
        <f ca="1">IFERROR(__xludf.DUMMYFUNCTION("IMPORTRANGE(""https://docs.google.com/spreadsheets/d/1kfLP0j3INXRa8bTDpcEmoWewMBV61jlFlfzczfjWIgc/edit?usp=sharing"",""อุบลราชธานี!J87"")"),0)</f>
        <v>0</v>
      </c>
      <c r="AK51" s="104">
        <f ca="1">IFERROR(__xludf.DUMMYFUNCTION("IMPORTRANGE(""https://docs.google.com/spreadsheets/d/1kfLP0j3INXRa8bTDpcEmoWewMBV61jlFlfzczfjWIgc/edit?usp=sharing"",""อุบลราชธานี!I88"")"),0)</f>
        <v>0</v>
      </c>
      <c r="AL51" s="104">
        <f ca="1">IFERROR(__xludf.DUMMYFUNCTION("IMPORTRANGE(""https://docs.google.com/spreadsheets/d/1kfLP0j3INXRa8bTDpcEmoWewMBV61jlFlfzczfjWIgc/edit?usp=sharing"",""อุบลราชธานี!I89"")"),0)</f>
        <v>0</v>
      </c>
      <c r="AM51" s="110">
        <f ca="1">IFERROR(__xludf.DUMMYFUNCTION("IMPORTRANGE(""https://docs.google.com/spreadsheets/d/1kfLP0j3INXRa8bTDpcEmoWewMBV61jlFlfzczfjWIgc/edit?usp=sharing"",""อุบลราชธานี!J88"")"),0)</f>
        <v>0</v>
      </c>
      <c r="AN51" s="110">
        <f ca="1">IFERROR(__xludf.DUMMYFUNCTION("IMPORTRANGE(""https://docs.google.com/spreadsheets/d/1kfLP0j3INXRa8bTDpcEmoWewMBV61jlFlfzczfjWIgc/edit?usp=sharing"",""อุบลราชธานี!J89"")"),0)</f>
        <v>0</v>
      </c>
      <c r="AO51" s="104">
        <f ca="1">IFERROR(__xludf.DUMMYFUNCTION("IMPORTRANGE(""https://docs.google.com/spreadsheets/d/1kfLP0j3INXRa8bTDpcEmoWewMBV61jlFlfzczfjWIgc/edit?usp=sharing"",""อุบลราชธานี!I90"")"),1)</f>
        <v>1</v>
      </c>
      <c r="AP51" s="110">
        <f ca="1">IFERROR(__xludf.DUMMYFUNCTION("IMPORTRANGE(""https://docs.google.com/spreadsheets/d/1kfLP0j3INXRa8bTDpcEmoWewMBV61jlFlfzczfjWIgc/edit?usp=sharing"",""อุบลราชธานี!J90"")"),0)</f>
        <v>0</v>
      </c>
      <c r="AQ51" s="106">
        <f t="shared" ca="1" si="42"/>
        <v>0</v>
      </c>
    </row>
    <row r="52" spans="1:43" ht="21" customHeight="1" x14ac:dyDescent="0.3">
      <c r="A52" s="627" t="s">
        <v>78</v>
      </c>
      <c r="B52" s="626"/>
      <c r="C52" s="112">
        <f t="shared" ca="1" si="26"/>
        <v>1206300</v>
      </c>
      <c r="D52" s="71">
        <f t="shared" ref="D52:I52" ca="1" si="52">SUM(D53:D73)</f>
        <v>1206300</v>
      </c>
      <c r="E52" s="71">
        <f t="shared" ca="1" si="52"/>
        <v>562300</v>
      </c>
      <c r="F52" s="71">
        <f t="shared" ca="1" si="52"/>
        <v>644000</v>
      </c>
      <c r="G52" s="71">
        <f t="shared" ca="1" si="52"/>
        <v>0</v>
      </c>
      <c r="H52" s="71">
        <f t="shared" ca="1" si="52"/>
        <v>803776</v>
      </c>
      <c r="I52" s="71">
        <f t="shared" ca="1" si="52"/>
        <v>0</v>
      </c>
      <c r="J52" s="71">
        <f t="shared" ca="1" si="28"/>
        <v>392767.20999999996</v>
      </c>
      <c r="K52" s="113">
        <f t="shared" ca="1" si="29"/>
        <v>32.559662604658875</v>
      </c>
      <c r="L52" s="71">
        <f ca="1">SUM(L53:L73)</f>
        <v>392767.20999999996</v>
      </c>
      <c r="M52" s="114">
        <f t="shared" ca="1" si="30"/>
        <v>32.559662604658875</v>
      </c>
      <c r="N52" s="114">
        <f t="shared" ca="1" si="31"/>
        <v>48.865257235846805</v>
      </c>
      <c r="O52" s="115">
        <f ca="1">SUM(O53:O73)</f>
        <v>0</v>
      </c>
      <c r="P52" s="115">
        <f t="shared" ca="1" si="32"/>
        <v>0</v>
      </c>
      <c r="Q52" s="114">
        <f t="shared" ca="1" si="33"/>
        <v>0</v>
      </c>
      <c r="R52" s="119">
        <f t="shared" ref="R52:T52" ca="1" si="53">SUM(R53:R73)</f>
        <v>4126260</v>
      </c>
      <c r="S52" s="119">
        <f t="shared" ca="1" si="53"/>
        <v>0</v>
      </c>
      <c r="T52" s="119">
        <f t="shared" ca="1" si="53"/>
        <v>0</v>
      </c>
      <c r="U52" s="120">
        <f t="shared" ca="1" si="35"/>
        <v>0</v>
      </c>
      <c r="V52" s="120">
        <f t="shared" ca="1" si="36"/>
        <v>0</v>
      </c>
      <c r="W52" s="71">
        <f t="shared" ca="1" si="37"/>
        <v>7</v>
      </c>
      <c r="X52" s="71">
        <f t="shared" ca="1" si="38"/>
        <v>304</v>
      </c>
      <c r="Y52" s="71">
        <f ca="1">SUM(Y53:Y73)</f>
        <v>0</v>
      </c>
      <c r="Z52" s="114">
        <f t="shared" ca="1" si="39"/>
        <v>0</v>
      </c>
      <c r="AA52" s="71">
        <f ca="1">SUM(AA53:AA73)</f>
        <v>0</v>
      </c>
      <c r="AB52" s="114">
        <f t="shared" ca="1" si="40"/>
        <v>0</v>
      </c>
      <c r="AC52" s="71">
        <f t="shared" ref="AC52:AP52" ca="1" si="54">SUM(AC53:AC73)</f>
        <v>1</v>
      </c>
      <c r="AD52" s="71">
        <f t="shared" ca="1" si="54"/>
        <v>50</v>
      </c>
      <c r="AE52" s="71">
        <f t="shared" ca="1" si="54"/>
        <v>0</v>
      </c>
      <c r="AF52" s="71">
        <f t="shared" ca="1" si="54"/>
        <v>0</v>
      </c>
      <c r="AG52" s="71">
        <f t="shared" ca="1" si="54"/>
        <v>4</v>
      </c>
      <c r="AH52" s="71">
        <f t="shared" ca="1" si="54"/>
        <v>134</v>
      </c>
      <c r="AI52" s="71">
        <f t="shared" ca="1" si="54"/>
        <v>0</v>
      </c>
      <c r="AJ52" s="71">
        <f t="shared" ca="1" si="54"/>
        <v>0</v>
      </c>
      <c r="AK52" s="71">
        <f t="shared" ca="1" si="54"/>
        <v>2</v>
      </c>
      <c r="AL52" s="71">
        <f t="shared" ca="1" si="54"/>
        <v>120</v>
      </c>
      <c r="AM52" s="71">
        <f t="shared" ca="1" si="54"/>
        <v>0</v>
      </c>
      <c r="AN52" s="71">
        <f t="shared" ca="1" si="54"/>
        <v>0</v>
      </c>
      <c r="AO52" s="71">
        <f t="shared" ca="1" si="54"/>
        <v>7</v>
      </c>
      <c r="AP52" s="71">
        <f t="shared" ca="1" si="54"/>
        <v>0</v>
      </c>
      <c r="AQ52" s="114">
        <f t="shared" ca="1" si="42"/>
        <v>0</v>
      </c>
    </row>
    <row r="53" spans="1:43" ht="21" customHeight="1" x14ac:dyDescent="0.3">
      <c r="A53" s="77">
        <v>1</v>
      </c>
      <c r="B53" s="78" t="s">
        <v>79</v>
      </c>
      <c r="C53" s="116">
        <f t="shared" ca="1" si="26"/>
        <v>0</v>
      </c>
      <c r="D53" s="80">
        <f t="shared" ref="D53:D73" ca="1" si="55">+E53+F53</f>
        <v>0</v>
      </c>
      <c r="E53" s="81">
        <f ca="1">IFERROR(__xludf.DUMMYFUNCTION("IMPORTRANGE(""https://docs.google.com/spreadsheets/d/1-uDff_7J0KD5mKrp0Vvzr7lt3OU09vwQwhkpOPPYv2Y/edit?usp=sharing"",""งบพรบ!AN53"")"),0)</f>
        <v>0</v>
      </c>
      <c r="F53" s="81">
        <f ca="1">IFERROR(__xludf.DUMMYFUNCTION("IMPORTRANGE(""https://docs.google.com/spreadsheets/d/1-uDff_7J0KD5mKrp0Vvzr7lt3OU09vwQwhkpOPPYv2Y/edit?usp=sharing"",""งบพรบ!AO53"")"),0)</f>
        <v>0</v>
      </c>
      <c r="G53" s="82">
        <f ca="1">IFERROR(__xludf.DUMMYFUNCTION("IMPORTRANGE(""https://docs.google.com/spreadsheets/d/1-uDff_7J0KD5mKrp0Vvzr7lt3OU09vwQwhkpOPPYv2Y/edit?usp=sharing"",""งบพรบ!AP53"")"),0)</f>
        <v>0</v>
      </c>
      <c r="H53" s="82">
        <f ca="1">IFERROR(__xludf.DUMMYFUNCTION("IMPORTRANGE(""https://docs.google.com/spreadsheets/d/1-uDff_7J0KD5mKrp0Vvzr7lt3OU09vwQwhkpOPPYv2Y/edit?usp=sharing"",""งบพรบ!AR53"")"),0)</f>
        <v>0</v>
      </c>
      <c r="I53" s="82">
        <f ca="1">IFERROR(__xludf.DUMMYFUNCTION("IMPORTRANGE(""https://docs.google.com/spreadsheets/d/1-uDff_7J0KD5mKrp0Vvzr7lt3OU09vwQwhkpOPPYv2Y/edit?usp=sharing"",""งบพรบ!AS53"")"),0)</f>
        <v>0</v>
      </c>
      <c r="J53" s="82">
        <f t="shared" ca="1" si="28"/>
        <v>0</v>
      </c>
      <c r="K53" s="83">
        <f t="shared" ca="1" si="29"/>
        <v>0</v>
      </c>
      <c r="L53" s="82">
        <f ca="1">IFERROR(__xludf.DUMMYFUNCTION("IMPORTRANGE(""https://docs.google.com/spreadsheets/d/1-uDff_7J0KD5mKrp0Vvzr7lt3OU09vwQwhkpOPPYv2Y/edit?usp=sharing"",""งบพรบ!AT53"")"),0)</f>
        <v>0</v>
      </c>
      <c r="M53" s="84">
        <f t="shared" ca="1" si="30"/>
        <v>0</v>
      </c>
      <c r="N53" s="84">
        <f t="shared" ca="1" si="31"/>
        <v>0</v>
      </c>
      <c r="O53" s="85">
        <f ca="1">IFERROR(__xludf.DUMMYFUNCTION("IMPORTRANGE(""https://docs.google.com/spreadsheets/d/1-uDff_7J0KD5mKrp0Vvzr7lt3OU09vwQwhkpOPPYv2Y/edit?usp=sharing"",""งบพรบ!AU53"")"),0)</f>
        <v>0</v>
      </c>
      <c r="P53" s="85">
        <f t="shared" ca="1" si="32"/>
        <v>0</v>
      </c>
      <c r="Q53" s="84">
        <f t="shared" ca="1" si="33"/>
        <v>0</v>
      </c>
      <c r="R53" s="86">
        <f ca="1">IFERROR(__xludf.DUMMYFUNCTION("IMPORTRANGE(""https://docs.google.com/spreadsheets/d/13wPX838HrBrQMCywv1BsuMkt4PEKTChp52zj44s2izQ/edit?usp=sharing"",""กาญจนบุรี!Q72"")"),0)</f>
        <v>0</v>
      </c>
      <c r="S53" s="86">
        <f ca="1">IFERROR(__xludf.DUMMYFUNCTION("IMPORTRANGE(""https://docs.google.com/spreadsheets/d/13wPX838HrBrQMCywv1BsuMkt4PEKTChp52zj44s2izQ/edit?usp=sharing"",""กาญจนบุรี!R72"")"),0)</f>
        <v>0</v>
      </c>
      <c r="T53" s="86">
        <f ca="1">IFERROR(__xludf.DUMMYFUNCTION("IMPORTRANGE(""https://docs.google.com/spreadsheets/d/13wPX838HrBrQMCywv1BsuMkt4PEKTChp52zj44s2izQ/edit?usp=sharing"",""กาญจนบุรี!S72"")"),0)</f>
        <v>0</v>
      </c>
      <c r="U53" s="87">
        <f t="shared" ca="1" si="35"/>
        <v>0</v>
      </c>
      <c r="V53" s="87">
        <f t="shared" ca="1" si="36"/>
        <v>0</v>
      </c>
      <c r="W53" s="82">
        <f t="shared" ca="1" si="37"/>
        <v>0</v>
      </c>
      <c r="X53" s="82">
        <f t="shared" ca="1" si="38"/>
        <v>0</v>
      </c>
      <c r="Y53" s="82">
        <f t="shared" ref="Y53:Y73" ca="1" si="56">AE53+AI53+AM53</f>
        <v>0</v>
      </c>
      <c r="Z53" s="88">
        <f t="shared" ca="1" si="39"/>
        <v>0</v>
      </c>
      <c r="AA53" s="82">
        <f t="shared" ref="AA53:AA73" ca="1" si="57">AF53+AJ53+AN53</f>
        <v>0</v>
      </c>
      <c r="AB53" s="88">
        <f t="shared" ca="1" si="40"/>
        <v>0</v>
      </c>
      <c r="AC53" s="81">
        <f ca="1">IFERROR(__xludf.DUMMYFUNCTION("IMPORTRANGE(""https://docs.google.com/spreadsheets/d/13wPX838HrBrQMCywv1BsuMkt4PEKTChp52zj44s2izQ/edit?usp=sharing"",""กาญจนบุรี!I84"")"),0)</f>
        <v>0</v>
      </c>
      <c r="AD53" s="81">
        <f ca="1">IFERROR(__xludf.DUMMYFUNCTION("IMPORTRANGE(""https://docs.google.com/spreadsheets/d/13wPX838HrBrQMCywv1BsuMkt4PEKTChp52zj44s2izQ/edit?usp=sharing"",""กาญจนบุรี!I85"")"),0)</f>
        <v>0</v>
      </c>
      <c r="AE53" s="82">
        <f ca="1">IFERROR(__xludf.DUMMYFUNCTION("IMPORTRANGE(""https://docs.google.com/spreadsheets/d/13wPX838HrBrQMCywv1BsuMkt4PEKTChp52zj44s2izQ/edit?usp=sharing"",""กาญจนบุรี!J84"")"),0)</f>
        <v>0</v>
      </c>
      <c r="AF53" s="82">
        <f ca="1">IFERROR(__xludf.DUMMYFUNCTION("IMPORTRANGE(""https://docs.google.com/spreadsheets/d/13wPX838HrBrQMCywv1BsuMkt4PEKTChp52zj44s2izQ/edit?usp=sharing"",""กาญจนบุรี!J85"")"),0)</f>
        <v>0</v>
      </c>
      <c r="AG53" s="81">
        <f ca="1">IFERROR(__xludf.DUMMYFUNCTION("IMPORTRANGE(""https://docs.google.com/spreadsheets/d/13wPX838HrBrQMCywv1BsuMkt4PEKTChp52zj44s2izQ/edit?usp=sharing"",""กาญจนบุรี!I86"")"),0)</f>
        <v>0</v>
      </c>
      <c r="AH53" s="81">
        <f ca="1">IFERROR(__xludf.DUMMYFUNCTION("IMPORTRANGE(""https://docs.google.com/spreadsheets/d/13wPX838HrBrQMCywv1BsuMkt4PEKTChp52zj44s2izQ/edit?usp=sharing"",""กาญจนบุรี!I87"")"),0)</f>
        <v>0</v>
      </c>
      <c r="AI53" s="82">
        <f ca="1">IFERROR(__xludf.DUMMYFUNCTION("IMPORTRANGE(""https://docs.google.com/spreadsheets/d/13wPX838HrBrQMCywv1BsuMkt4PEKTChp52zj44s2izQ/edit?usp=sharing"",""กาญจนบุรี!J86"")"),0)</f>
        <v>0</v>
      </c>
      <c r="AJ53" s="82">
        <f ca="1">IFERROR(__xludf.DUMMYFUNCTION("IMPORTRANGE(""https://docs.google.com/spreadsheets/d/13wPX838HrBrQMCywv1BsuMkt4PEKTChp52zj44s2izQ/edit?usp=sharing"",""กาญจนบุรี!J87"")"),0)</f>
        <v>0</v>
      </c>
      <c r="AK53" s="81">
        <f ca="1">IFERROR(__xludf.DUMMYFUNCTION("IMPORTRANGE(""https://docs.google.com/spreadsheets/d/13wPX838HrBrQMCywv1BsuMkt4PEKTChp52zj44s2izQ/edit?usp=sharing"",""กาญจนบุรี!I88"")"),0)</f>
        <v>0</v>
      </c>
      <c r="AL53" s="81">
        <f ca="1">IFERROR(__xludf.DUMMYFUNCTION("IMPORTRANGE(""https://docs.google.com/spreadsheets/d/13wPX838HrBrQMCywv1BsuMkt4PEKTChp52zj44s2izQ/edit?usp=sharing"",""กาญจนบุรี!I89"")"),0)</f>
        <v>0</v>
      </c>
      <c r="AM53" s="82">
        <f ca="1">IFERROR(__xludf.DUMMYFUNCTION("IMPORTRANGE(""https://docs.google.com/spreadsheets/d/13wPX838HrBrQMCywv1BsuMkt4PEKTChp52zj44s2izQ/edit?usp=sharing"",""กาญจนบุรี!J88"")"),0)</f>
        <v>0</v>
      </c>
      <c r="AN53" s="82">
        <f ca="1">IFERROR(__xludf.DUMMYFUNCTION("IMPORTRANGE(""https://docs.google.com/spreadsheets/d/13wPX838HrBrQMCywv1BsuMkt4PEKTChp52zj44s2izQ/edit?usp=sharing"",""กาญจนบุรี!J89"")"),0)</f>
        <v>0</v>
      </c>
      <c r="AO53" s="81">
        <f ca="1">IFERROR(__xludf.DUMMYFUNCTION("IMPORTRANGE(""https://docs.google.com/spreadsheets/d/13wPX838HrBrQMCywv1BsuMkt4PEKTChp52zj44s2izQ/edit?usp=sharing"",""กาญจนบุรี!I90"")"),0)</f>
        <v>0</v>
      </c>
      <c r="AP53" s="82">
        <f ca="1">IFERROR(__xludf.DUMMYFUNCTION("IMPORTRANGE(""https://docs.google.com/spreadsheets/d/13wPX838HrBrQMCywv1BsuMkt4PEKTChp52zj44s2izQ/edit?usp=sharing"",""กาญจนบุรี!J90"")"),0)</f>
        <v>0</v>
      </c>
      <c r="AQ53" s="84">
        <f t="shared" ca="1" si="42"/>
        <v>0</v>
      </c>
    </row>
    <row r="54" spans="1:43" ht="21" customHeight="1" x14ac:dyDescent="0.3">
      <c r="A54" s="89">
        <v>2</v>
      </c>
      <c r="B54" s="90" t="s">
        <v>80</v>
      </c>
      <c r="C54" s="91">
        <f t="shared" ca="1" si="26"/>
        <v>0</v>
      </c>
      <c r="D54" s="92">
        <f t="shared" ca="1" si="55"/>
        <v>0</v>
      </c>
      <c r="E54" s="93">
        <f ca="1">IFERROR(__xludf.DUMMYFUNCTION("IMPORTRANGE(""https://docs.google.com/spreadsheets/d/1-uDff_7J0KD5mKrp0Vvzr7lt3OU09vwQwhkpOPPYv2Y/edit?usp=sharing"",""งบพรบ!AN54"")"),0)</f>
        <v>0</v>
      </c>
      <c r="F54" s="93">
        <f ca="1">IFERROR(__xludf.DUMMYFUNCTION("IMPORTRANGE(""https://docs.google.com/spreadsheets/d/1-uDff_7J0KD5mKrp0Vvzr7lt3OU09vwQwhkpOPPYv2Y/edit?usp=sharing"",""งบพรบ!AO54"")"),0)</f>
        <v>0</v>
      </c>
      <c r="G54" s="93">
        <f ca="1">IFERROR(__xludf.DUMMYFUNCTION("IMPORTRANGE(""https://docs.google.com/spreadsheets/d/1-uDff_7J0KD5mKrp0Vvzr7lt3OU09vwQwhkpOPPYv2Y/edit?usp=sharing"",""งบพรบ!AP54"")"),0)</f>
        <v>0</v>
      </c>
      <c r="H54" s="93">
        <f ca="1">IFERROR(__xludf.DUMMYFUNCTION("IMPORTRANGE(""https://docs.google.com/spreadsheets/d/1-uDff_7J0KD5mKrp0Vvzr7lt3OU09vwQwhkpOPPYv2Y/edit?usp=sharing"",""งบพรบ!AR54"")"),0)</f>
        <v>0</v>
      </c>
      <c r="I54" s="93">
        <f ca="1">IFERROR(__xludf.DUMMYFUNCTION("IMPORTRANGE(""https://docs.google.com/spreadsheets/d/1-uDff_7J0KD5mKrp0Vvzr7lt3OU09vwQwhkpOPPYv2Y/edit?usp=sharing"",""งบพรบ!AS54"")"),0)</f>
        <v>0</v>
      </c>
      <c r="J54" s="93">
        <f t="shared" ca="1" si="28"/>
        <v>0</v>
      </c>
      <c r="K54" s="94">
        <f t="shared" ca="1" si="29"/>
        <v>0</v>
      </c>
      <c r="L54" s="93">
        <f ca="1">IFERROR(__xludf.DUMMYFUNCTION("IMPORTRANGE(""https://docs.google.com/spreadsheets/d/1-uDff_7J0KD5mKrp0Vvzr7lt3OU09vwQwhkpOPPYv2Y/edit?usp=sharing"",""งบพรบ!AT54"")"),0)</f>
        <v>0</v>
      </c>
      <c r="M54" s="95">
        <f t="shared" ca="1" si="30"/>
        <v>0</v>
      </c>
      <c r="N54" s="95">
        <f t="shared" ca="1" si="31"/>
        <v>0</v>
      </c>
      <c r="O54" s="96">
        <f ca="1">IFERROR(__xludf.DUMMYFUNCTION("IMPORTRANGE(""https://docs.google.com/spreadsheets/d/1-uDff_7J0KD5mKrp0Vvzr7lt3OU09vwQwhkpOPPYv2Y/edit?usp=sharing"",""งบพรบ!AU54"")"),0)</f>
        <v>0</v>
      </c>
      <c r="P54" s="96">
        <f t="shared" ca="1" si="32"/>
        <v>0</v>
      </c>
      <c r="Q54" s="95">
        <f t="shared" ca="1" si="33"/>
        <v>0</v>
      </c>
      <c r="R54" s="86">
        <f ca="1">IFERROR(__xludf.DUMMYFUNCTION("IMPORTRANGE(""https://docs.google.com/spreadsheets/d/1ddFKvqj1W1NEiWytbGlB1zMx_ykJDVtmfEQ-6-lIUBA/edit?usp=sharing"",""จันทบุรี!Q72"")"),0)</f>
        <v>0</v>
      </c>
      <c r="S54" s="86">
        <f ca="1">IFERROR(__xludf.DUMMYFUNCTION("IMPORTRANGE(""https://docs.google.com/spreadsheets/d/1ddFKvqj1W1NEiWytbGlB1zMx_ykJDVtmfEQ-6-lIUBA/edit?usp=sharing"",""จันทบุรี!R72"")"),0)</f>
        <v>0</v>
      </c>
      <c r="T54" s="86">
        <f ca="1">IFERROR(__xludf.DUMMYFUNCTION("IMPORTRANGE(""https://docs.google.com/spreadsheets/d/1ddFKvqj1W1NEiWytbGlB1zMx_ykJDVtmfEQ-6-lIUBA/edit?usp=sharing"",""จันทบุรี!S72"")"),0)</f>
        <v>0</v>
      </c>
      <c r="U54" s="87">
        <f t="shared" ca="1" si="35"/>
        <v>0</v>
      </c>
      <c r="V54" s="87">
        <f t="shared" ca="1" si="36"/>
        <v>0</v>
      </c>
      <c r="W54" s="97">
        <f t="shared" ca="1" si="37"/>
        <v>0</v>
      </c>
      <c r="X54" s="97">
        <f t="shared" ca="1" si="38"/>
        <v>0</v>
      </c>
      <c r="Y54" s="97">
        <f t="shared" ca="1" si="56"/>
        <v>0</v>
      </c>
      <c r="Z54" s="98">
        <f t="shared" ca="1" si="39"/>
        <v>0</v>
      </c>
      <c r="AA54" s="97">
        <f t="shared" ca="1" si="57"/>
        <v>0</v>
      </c>
      <c r="AB54" s="98">
        <f t="shared" ca="1" si="40"/>
        <v>0</v>
      </c>
      <c r="AC54" s="93">
        <f ca="1">IFERROR(__xludf.DUMMYFUNCTION("IMPORTRANGE(""https://docs.google.com/spreadsheets/d/1ddFKvqj1W1NEiWytbGlB1zMx_ykJDVtmfEQ-6-lIUBA/edit?usp=sharing"",""จันทบุรี!I84"")"),0)</f>
        <v>0</v>
      </c>
      <c r="AD54" s="93">
        <f ca="1">IFERROR(__xludf.DUMMYFUNCTION("IMPORTRANGE(""https://docs.google.com/spreadsheets/d/1ddFKvqj1W1NEiWytbGlB1zMx_ykJDVtmfEQ-6-lIUBA/edit?usp=sharing"",""จันทบุรี!I85"")"),0)</f>
        <v>0</v>
      </c>
      <c r="AE54" s="97">
        <f ca="1">IFERROR(__xludf.DUMMYFUNCTION("IMPORTRANGE(""https://docs.google.com/spreadsheets/d/1ddFKvqj1W1NEiWytbGlB1zMx_ykJDVtmfEQ-6-lIUBA/edit?usp=sharing"",""จันทบุรี!J84"")"),0)</f>
        <v>0</v>
      </c>
      <c r="AF54" s="97">
        <f ca="1">IFERROR(__xludf.DUMMYFUNCTION("IMPORTRANGE(""https://docs.google.com/spreadsheets/d/1ddFKvqj1W1NEiWytbGlB1zMx_ykJDVtmfEQ-6-lIUBA/edit?usp=sharing"",""จันทบุรี!J85"")"),0)</f>
        <v>0</v>
      </c>
      <c r="AG54" s="93">
        <f ca="1">IFERROR(__xludf.DUMMYFUNCTION("IMPORTRANGE(""https://docs.google.com/spreadsheets/d/1ddFKvqj1W1NEiWytbGlB1zMx_ykJDVtmfEQ-6-lIUBA/edit?usp=sharing"",""จันทบุรี!I86"")"),0)</f>
        <v>0</v>
      </c>
      <c r="AH54" s="93">
        <f ca="1">IFERROR(__xludf.DUMMYFUNCTION("IMPORTRANGE(""https://docs.google.com/spreadsheets/d/1ddFKvqj1W1NEiWytbGlB1zMx_ykJDVtmfEQ-6-lIUBA/edit?usp=sharing"",""จันทบุรี!I87"")"),0)</f>
        <v>0</v>
      </c>
      <c r="AI54" s="97">
        <f ca="1">IFERROR(__xludf.DUMMYFUNCTION("IMPORTRANGE(""https://docs.google.com/spreadsheets/d/1ddFKvqj1W1NEiWytbGlB1zMx_ykJDVtmfEQ-6-lIUBA/edit?usp=sharing"",""จันทบุรี!J86"")"),0)</f>
        <v>0</v>
      </c>
      <c r="AJ54" s="97">
        <f ca="1">IFERROR(__xludf.DUMMYFUNCTION("IMPORTRANGE(""https://docs.google.com/spreadsheets/d/1ddFKvqj1W1NEiWytbGlB1zMx_ykJDVtmfEQ-6-lIUBA/edit?usp=sharing"",""จันทบุรี!J87"")"),0)</f>
        <v>0</v>
      </c>
      <c r="AK54" s="93">
        <f ca="1">IFERROR(__xludf.DUMMYFUNCTION("IMPORTRANGE(""https://docs.google.com/spreadsheets/d/1ddFKvqj1W1NEiWytbGlB1zMx_ykJDVtmfEQ-6-lIUBA/edit?usp=sharing"",""จันทบุรี!I88"")"),0)</f>
        <v>0</v>
      </c>
      <c r="AL54" s="93">
        <f ca="1">IFERROR(__xludf.DUMMYFUNCTION("IMPORTRANGE(""https://docs.google.com/spreadsheets/d/1ddFKvqj1W1NEiWytbGlB1zMx_ykJDVtmfEQ-6-lIUBA/edit?usp=sharing"",""จันทบุรี!I89"")"),0)</f>
        <v>0</v>
      </c>
      <c r="AM54" s="97">
        <f ca="1">IFERROR(__xludf.DUMMYFUNCTION("IMPORTRANGE(""https://docs.google.com/spreadsheets/d/1ddFKvqj1W1NEiWytbGlB1zMx_ykJDVtmfEQ-6-lIUBA/edit?usp=sharing"",""จันทบุรี!J88"")"),0)</f>
        <v>0</v>
      </c>
      <c r="AN54" s="97">
        <f ca="1">IFERROR(__xludf.DUMMYFUNCTION("IMPORTRANGE(""https://docs.google.com/spreadsheets/d/1ddFKvqj1W1NEiWytbGlB1zMx_ykJDVtmfEQ-6-lIUBA/edit?usp=sharing"",""จันทบุรี!J89"")"),0)</f>
        <v>0</v>
      </c>
      <c r="AO54" s="93">
        <f ca="1">IFERROR(__xludf.DUMMYFUNCTION("IMPORTRANGE(""https://docs.google.com/spreadsheets/d/1ddFKvqj1W1NEiWytbGlB1zMx_ykJDVtmfEQ-6-lIUBA/edit?usp=sharing"",""จันทบุรี!I90"")"),0)</f>
        <v>0</v>
      </c>
      <c r="AP54" s="97">
        <f ca="1">IFERROR(__xludf.DUMMYFUNCTION("IMPORTRANGE(""https://docs.google.com/spreadsheets/d/1ddFKvqj1W1NEiWytbGlB1zMx_ykJDVtmfEQ-6-lIUBA/edit?usp=sharing"",""จันทบุรี!J90"")"),0)</f>
        <v>0</v>
      </c>
      <c r="AQ54" s="95">
        <f t="shared" ca="1" si="42"/>
        <v>0</v>
      </c>
    </row>
    <row r="55" spans="1:43" ht="21" customHeight="1" x14ac:dyDescent="0.3">
      <c r="A55" s="89">
        <v>3</v>
      </c>
      <c r="B55" s="90" t="s">
        <v>81</v>
      </c>
      <c r="C55" s="91">
        <f t="shared" ca="1" si="26"/>
        <v>0</v>
      </c>
      <c r="D55" s="92">
        <f t="shared" ca="1" si="55"/>
        <v>0</v>
      </c>
      <c r="E55" s="93">
        <f ca="1">IFERROR(__xludf.DUMMYFUNCTION("IMPORTRANGE(""https://docs.google.com/spreadsheets/d/1-uDff_7J0KD5mKrp0Vvzr7lt3OU09vwQwhkpOPPYv2Y/edit?usp=sharing"",""งบพรบ!AN55"")"),0)</f>
        <v>0</v>
      </c>
      <c r="F55" s="93">
        <f ca="1">IFERROR(__xludf.DUMMYFUNCTION("IMPORTRANGE(""https://docs.google.com/spreadsheets/d/1-uDff_7J0KD5mKrp0Vvzr7lt3OU09vwQwhkpOPPYv2Y/edit?usp=sharing"",""งบพรบ!AO55"")"),0)</f>
        <v>0</v>
      </c>
      <c r="G55" s="93">
        <f ca="1">IFERROR(__xludf.DUMMYFUNCTION("IMPORTRANGE(""https://docs.google.com/spreadsheets/d/1-uDff_7J0KD5mKrp0Vvzr7lt3OU09vwQwhkpOPPYv2Y/edit?usp=sharing"",""งบพรบ!AP55"")"),0)</f>
        <v>0</v>
      </c>
      <c r="H55" s="93">
        <f ca="1">IFERROR(__xludf.DUMMYFUNCTION("IMPORTRANGE(""https://docs.google.com/spreadsheets/d/1-uDff_7J0KD5mKrp0Vvzr7lt3OU09vwQwhkpOPPYv2Y/edit?usp=sharing"",""งบพรบ!AR55"")"),0)</f>
        <v>0</v>
      </c>
      <c r="I55" s="93">
        <f ca="1">IFERROR(__xludf.DUMMYFUNCTION("IMPORTRANGE(""https://docs.google.com/spreadsheets/d/1-uDff_7J0KD5mKrp0Vvzr7lt3OU09vwQwhkpOPPYv2Y/edit?usp=sharing"",""งบพรบ!AS55"")"),0)</f>
        <v>0</v>
      </c>
      <c r="J55" s="93">
        <f t="shared" ca="1" si="28"/>
        <v>0</v>
      </c>
      <c r="K55" s="94">
        <f t="shared" ca="1" si="29"/>
        <v>0</v>
      </c>
      <c r="L55" s="93">
        <f ca="1">IFERROR(__xludf.DUMMYFUNCTION("IMPORTRANGE(""https://docs.google.com/spreadsheets/d/1-uDff_7J0KD5mKrp0Vvzr7lt3OU09vwQwhkpOPPYv2Y/edit?usp=sharing"",""งบพรบ!AT55"")"),0)</f>
        <v>0</v>
      </c>
      <c r="M55" s="95">
        <f t="shared" ca="1" si="30"/>
        <v>0</v>
      </c>
      <c r="N55" s="95">
        <f t="shared" ca="1" si="31"/>
        <v>0</v>
      </c>
      <c r="O55" s="96">
        <f ca="1">IFERROR(__xludf.DUMMYFUNCTION("IMPORTRANGE(""https://docs.google.com/spreadsheets/d/1-uDff_7J0KD5mKrp0Vvzr7lt3OU09vwQwhkpOPPYv2Y/edit?usp=sharing"",""งบพรบ!AU55"")"),0)</f>
        <v>0</v>
      </c>
      <c r="P55" s="96">
        <f t="shared" ca="1" si="32"/>
        <v>0</v>
      </c>
      <c r="Q55" s="95">
        <f t="shared" ca="1" si="33"/>
        <v>0</v>
      </c>
      <c r="R55" s="86">
        <f ca="1">IFERROR(__xludf.DUMMYFUNCTION("IMPORTRANGE(""https://docs.google.com/spreadsheets/d/1T1PQvRODqOBZk8BRht_U031fIS1beLA0Ub2CEytj2q0/edit?usp=sharing"",""ฉะเชิงเทรา!Q72"")"),0)</f>
        <v>0</v>
      </c>
      <c r="S55" s="86">
        <f ca="1">IFERROR(__xludf.DUMMYFUNCTION("IMPORTRANGE(""https://docs.google.com/spreadsheets/d/1T1PQvRODqOBZk8BRht_U031fIS1beLA0Ub2CEytj2q0/edit?usp=sharing"",""ฉะเชิงเทรา!R72"")"),0)</f>
        <v>0</v>
      </c>
      <c r="T55" s="86">
        <f ca="1">IFERROR(__xludf.DUMMYFUNCTION("IMPORTRANGE(""https://docs.google.com/spreadsheets/d/1T1PQvRODqOBZk8BRht_U031fIS1beLA0Ub2CEytj2q0/edit?usp=sharing"",""ฉะเชิงเทรา!S72"")"),0)</f>
        <v>0</v>
      </c>
      <c r="U55" s="87">
        <f t="shared" ca="1" si="35"/>
        <v>0</v>
      </c>
      <c r="V55" s="87">
        <f t="shared" ca="1" si="36"/>
        <v>0</v>
      </c>
      <c r="W55" s="97">
        <f t="shared" ca="1" si="37"/>
        <v>0</v>
      </c>
      <c r="X55" s="97">
        <f t="shared" ca="1" si="38"/>
        <v>0</v>
      </c>
      <c r="Y55" s="97">
        <f t="shared" ca="1" si="56"/>
        <v>0</v>
      </c>
      <c r="Z55" s="98">
        <f t="shared" ca="1" si="39"/>
        <v>0</v>
      </c>
      <c r="AA55" s="97">
        <f t="shared" ca="1" si="57"/>
        <v>0</v>
      </c>
      <c r="AB55" s="98">
        <f t="shared" ca="1" si="40"/>
        <v>0</v>
      </c>
      <c r="AC55" s="93">
        <f ca="1">IFERROR(__xludf.DUMMYFUNCTION("IMPORTRANGE(""https://docs.google.com/spreadsheets/d/1T1PQvRODqOBZk8BRht_U031fIS1beLA0Ub2CEytj2q0/edit?usp=sharing"",""ฉะเชิงเทรา!I84"")"),0)</f>
        <v>0</v>
      </c>
      <c r="AD55" s="93">
        <f ca="1">IFERROR(__xludf.DUMMYFUNCTION("IMPORTRANGE(""https://docs.google.com/spreadsheets/d/1T1PQvRODqOBZk8BRht_U031fIS1beLA0Ub2CEytj2q0/edit?usp=sharing"",""ฉะเชิงเทรา!I85"")"),0)</f>
        <v>0</v>
      </c>
      <c r="AE55" s="97">
        <f ca="1">IFERROR(__xludf.DUMMYFUNCTION("IMPORTRANGE(""https://docs.google.com/spreadsheets/d/1T1PQvRODqOBZk8BRht_U031fIS1beLA0Ub2CEytj2q0/edit?usp=sharing"",""ฉะเชิงเทรา!J84"")"),0)</f>
        <v>0</v>
      </c>
      <c r="AF55" s="97">
        <f ca="1">IFERROR(__xludf.DUMMYFUNCTION("IMPORTRANGE(""https://docs.google.com/spreadsheets/d/1T1PQvRODqOBZk8BRht_U031fIS1beLA0Ub2CEytj2q0/edit?usp=sharing"",""ฉะเชิงเทรา!J85"")"),0)</f>
        <v>0</v>
      </c>
      <c r="AG55" s="93">
        <f ca="1">IFERROR(__xludf.DUMMYFUNCTION("IMPORTRANGE(""https://docs.google.com/spreadsheets/d/1T1PQvRODqOBZk8BRht_U031fIS1beLA0Ub2CEytj2q0/edit?usp=sharing"",""ฉะเชิงเทรา!I86"")"),0)</f>
        <v>0</v>
      </c>
      <c r="AH55" s="93">
        <f ca="1">IFERROR(__xludf.DUMMYFUNCTION("IMPORTRANGE(""https://docs.google.com/spreadsheets/d/1T1PQvRODqOBZk8BRht_U031fIS1beLA0Ub2CEytj2q0/edit?usp=sharing"",""ฉะเชิงเทรา!I87"")"),0)</f>
        <v>0</v>
      </c>
      <c r="AI55" s="97">
        <f ca="1">IFERROR(__xludf.DUMMYFUNCTION("IMPORTRANGE(""https://docs.google.com/spreadsheets/d/1T1PQvRODqOBZk8BRht_U031fIS1beLA0Ub2CEytj2q0/edit?usp=sharing"",""ฉะเชิงเทรา!J86"")"),0)</f>
        <v>0</v>
      </c>
      <c r="AJ55" s="97">
        <f ca="1">IFERROR(__xludf.DUMMYFUNCTION("IMPORTRANGE(""https://docs.google.com/spreadsheets/d/1T1PQvRODqOBZk8BRht_U031fIS1beLA0Ub2CEytj2q0/edit?usp=sharing"",""ฉะเชิงเทรา!J87"")"),0)</f>
        <v>0</v>
      </c>
      <c r="AK55" s="93">
        <f ca="1">IFERROR(__xludf.DUMMYFUNCTION("IMPORTRANGE(""https://docs.google.com/spreadsheets/d/1T1PQvRODqOBZk8BRht_U031fIS1beLA0Ub2CEytj2q0/edit?usp=sharing"",""ฉะเชิงเทรา!I88"")"),0)</f>
        <v>0</v>
      </c>
      <c r="AL55" s="93">
        <f ca="1">IFERROR(__xludf.DUMMYFUNCTION("IMPORTRANGE(""https://docs.google.com/spreadsheets/d/1T1PQvRODqOBZk8BRht_U031fIS1beLA0Ub2CEytj2q0/edit?usp=sharing"",""ฉะเชิงเทรา!I89"")"),0)</f>
        <v>0</v>
      </c>
      <c r="AM55" s="97">
        <f ca="1">IFERROR(__xludf.DUMMYFUNCTION("IMPORTRANGE(""https://docs.google.com/spreadsheets/d/1T1PQvRODqOBZk8BRht_U031fIS1beLA0Ub2CEytj2q0/edit?usp=sharing"",""ฉะเชิงเทรา!J88"")"),0)</f>
        <v>0</v>
      </c>
      <c r="AN55" s="97">
        <f ca="1">IFERROR(__xludf.DUMMYFUNCTION("IMPORTRANGE(""https://docs.google.com/spreadsheets/d/1T1PQvRODqOBZk8BRht_U031fIS1beLA0Ub2CEytj2q0/edit?usp=sharing"",""ฉะเชิงเทรา!J89"")"),0)</f>
        <v>0</v>
      </c>
      <c r="AO55" s="93">
        <f ca="1">IFERROR(__xludf.DUMMYFUNCTION("IMPORTRANGE(""https://docs.google.com/spreadsheets/d/1T1PQvRODqOBZk8BRht_U031fIS1beLA0Ub2CEytj2q0/edit?usp=sharing"",""ฉะเชิงเทรา!I90"")"),0)</f>
        <v>0</v>
      </c>
      <c r="AP55" s="97">
        <f ca="1">IFERROR(__xludf.DUMMYFUNCTION("IMPORTRANGE(""https://docs.google.com/spreadsheets/d/1T1PQvRODqOBZk8BRht_U031fIS1beLA0Ub2CEytj2q0/edit?usp=sharing"",""ฉะเชิงเทรา!J90"")"),0)</f>
        <v>0</v>
      </c>
      <c r="AQ55" s="95">
        <f t="shared" ca="1" si="42"/>
        <v>0</v>
      </c>
    </row>
    <row r="56" spans="1:43" ht="21" customHeight="1" x14ac:dyDescent="0.3">
      <c r="A56" s="89">
        <v>4</v>
      </c>
      <c r="B56" s="90" t="s">
        <v>82</v>
      </c>
      <c r="C56" s="91">
        <f t="shared" ca="1" si="26"/>
        <v>0</v>
      </c>
      <c r="D56" s="92">
        <f t="shared" ca="1" si="55"/>
        <v>0</v>
      </c>
      <c r="E56" s="93">
        <f ca="1">IFERROR(__xludf.DUMMYFUNCTION("IMPORTRANGE(""https://docs.google.com/spreadsheets/d/1-uDff_7J0KD5mKrp0Vvzr7lt3OU09vwQwhkpOPPYv2Y/edit?usp=sharing"",""งบพรบ!AN56"")"),0)</f>
        <v>0</v>
      </c>
      <c r="F56" s="93">
        <f ca="1">IFERROR(__xludf.DUMMYFUNCTION("IMPORTRANGE(""https://docs.google.com/spreadsheets/d/1-uDff_7J0KD5mKrp0Vvzr7lt3OU09vwQwhkpOPPYv2Y/edit?usp=sharing"",""งบพรบ!AO56"")"),0)</f>
        <v>0</v>
      </c>
      <c r="G56" s="93">
        <f ca="1">IFERROR(__xludf.DUMMYFUNCTION("IMPORTRANGE(""https://docs.google.com/spreadsheets/d/1-uDff_7J0KD5mKrp0Vvzr7lt3OU09vwQwhkpOPPYv2Y/edit?usp=sharing"",""งบพรบ!AP56"")"),0)</f>
        <v>0</v>
      </c>
      <c r="H56" s="93">
        <f ca="1">IFERROR(__xludf.DUMMYFUNCTION("IMPORTRANGE(""https://docs.google.com/spreadsheets/d/1-uDff_7J0KD5mKrp0Vvzr7lt3OU09vwQwhkpOPPYv2Y/edit?usp=sharing"",""งบพรบ!AR56"")"),0)</f>
        <v>0</v>
      </c>
      <c r="I56" s="93">
        <f ca="1">IFERROR(__xludf.DUMMYFUNCTION("IMPORTRANGE(""https://docs.google.com/spreadsheets/d/1-uDff_7J0KD5mKrp0Vvzr7lt3OU09vwQwhkpOPPYv2Y/edit?usp=sharing"",""งบพรบ!AS56"")"),0)</f>
        <v>0</v>
      </c>
      <c r="J56" s="93">
        <f t="shared" ca="1" si="28"/>
        <v>0</v>
      </c>
      <c r="K56" s="94">
        <f t="shared" ca="1" si="29"/>
        <v>0</v>
      </c>
      <c r="L56" s="93">
        <f ca="1">IFERROR(__xludf.DUMMYFUNCTION("IMPORTRANGE(""https://docs.google.com/spreadsheets/d/1-uDff_7J0KD5mKrp0Vvzr7lt3OU09vwQwhkpOPPYv2Y/edit?usp=sharing"",""งบพรบ!AT56"")"),0)</f>
        <v>0</v>
      </c>
      <c r="M56" s="95">
        <f t="shared" ca="1" si="30"/>
        <v>0</v>
      </c>
      <c r="N56" s="95">
        <f t="shared" ca="1" si="31"/>
        <v>0</v>
      </c>
      <c r="O56" s="96">
        <f ca="1">IFERROR(__xludf.DUMMYFUNCTION("IMPORTRANGE(""https://docs.google.com/spreadsheets/d/1-uDff_7J0KD5mKrp0Vvzr7lt3OU09vwQwhkpOPPYv2Y/edit?usp=sharing"",""งบพรบ!AU56"")"),0)</f>
        <v>0</v>
      </c>
      <c r="P56" s="96">
        <f t="shared" ca="1" si="32"/>
        <v>0</v>
      </c>
      <c r="Q56" s="95">
        <f t="shared" ca="1" si="33"/>
        <v>0</v>
      </c>
      <c r="R56" s="86">
        <f ca="1">IFERROR(__xludf.DUMMYFUNCTION("IMPORTRANGE(""https://docs.google.com/spreadsheets/d/11tr1B-Bhyr79v2bkwVh5h_fR-PStkgjlZtkrZpYurG0/edit?usp=sharing"",""ชลบุรี!Q72"")"),0)</f>
        <v>0</v>
      </c>
      <c r="S56" s="86">
        <f ca="1">IFERROR(__xludf.DUMMYFUNCTION("IMPORTRANGE(""https://docs.google.com/spreadsheets/d/11tr1B-Bhyr79v2bkwVh5h_fR-PStkgjlZtkrZpYurG0/edit?usp=sharing"",""ชลบุรี!R72"")"),0)</f>
        <v>0</v>
      </c>
      <c r="T56" s="86">
        <f ca="1">IFERROR(__xludf.DUMMYFUNCTION("IMPORTRANGE(""https://docs.google.com/spreadsheets/d/11tr1B-Bhyr79v2bkwVh5h_fR-PStkgjlZtkrZpYurG0/edit?usp=sharing"",""ชลบุรี!S72"")"),0)</f>
        <v>0</v>
      </c>
      <c r="U56" s="87">
        <f t="shared" ca="1" si="35"/>
        <v>0</v>
      </c>
      <c r="V56" s="87">
        <f t="shared" ca="1" si="36"/>
        <v>0</v>
      </c>
      <c r="W56" s="97">
        <f t="shared" ca="1" si="37"/>
        <v>0</v>
      </c>
      <c r="X56" s="97">
        <f t="shared" ca="1" si="38"/>
        <v>0</v>
      </c>
      <c r="Y56" s="97">
        <f t="shared" ca="1" si="56"/>
        <v>0</v>
      </c>
      <c r="Z56" s="98">
        <f t="shared" ca="1" si="39"/>
        <v>0</v>
      </c>
      <c r="AA56" s="97">
        <f t="shared" ca="1" si="57"/>
        <v>0</v>
      </c>
      <c r="AB56" s="98">
        <f t="shared" ca="1" si="40"/>
        <v>0</v>
      </c>
      <c r="AC56" s="93">
        <f ca="1">IFERROR(__xludf.DUMMYFUNCTION("IMPORTRANGE(""https://docs.google.com/spreadsheets/d/11tr1B-Bhyr79v2bkwVh5h_fR-PStkgjlZtkrZpYurG0/edit?usp=sharing"",""ชลบุรี!I84"")"),0)</f>
        <v>0</v>
      </c>
      <c r="AD56" s="93">
        <f ca="1">IFERROR(__xludf.DUMMYFUNCTION("IMPORTRANGE(""https://docs.google.com/spreadsheets/d/11tr1B-Bhyr79v2bkwVh5h_fR-PStkgjlZtkrZpYurG0/edit?usp=sharing"",""ชลบุรี!I85"")"),0)</f>
        <v>0</v>
      </c>
      <c r="AE56" s="97">
        <f ca="1">IFERROR(__xludf.DUMMYFUNCTION("IMPORTRANGE(""https://docs.google.com/spreadsheets/d/11tr1B-Bhyr79v2bkwVh5h_fR-PStkgjlZtkrZpYurG0/edit?usp=sharing"",""ชลบุรี!J84"")"),0)</f>
        <v>0</v>
      </c>
      <c r="AF56" s="97">
        <f ca="1">IFERROR(__xludf.DUMMYFUNCTION("IMPORTRANGE(""https://docs.google.com/spreadsheets/d/11tr1B-Bhyr79v2bkwVh5h_fR-PStkgjlZtkrZpYurG0/edit?usp=sharing"",""ชลบุรี!J85"")"),0)</f>
        <v>0</v>
      </c>
      <c r="AG56" s="93">
        <f ca="1">IFERROR(__xludf.DUMMYFUNCTION("IMPORTRANGE(""https://docs.google.com/spreadsheets/d/11tr1B-Bhyr79v2bkwVh5h_fR-PStkgjlZtkrZpYurG0/edit?usp=sharing"",""ชลบุรี!I86"")"),0)</f>
        <v>0</v>
      </c>
      <c r="AH56" s="93">
        <f ca="1">IFERROR(__xludf.DUMMYFUNCTION("IMPORTRANGE(""https://docs.google.com/spreadsheets/d/11tr1B-Bhyr79v2bkwVh5h_fR-PStkgjlZtkrZpYurG0/edit?usp=sharing"",""ชลบุรี!I87"")"),0)</f>
        <v>0</v>
      </c>
      <c r="AI56" s="97">
        <f ca="1">IFERROR(__xludf.DUMMYFUNCTION("IMPORTRANGE(""https://docs.google.com/spreadsheets/d/11tr1B-Bhyr79v2bkwVh5h_fR-PStkgjlZtkrZpYurG0/edit?usp=sharing"",""ชลบุรี!J86"")"),0)</f>
        <v>0</v>
      </c>
      <c r="AJ56" s="97">
        <f ca="1">IFERROR(__xludf.DUMMYFUNCTION("IMPORTRANGE(""https://docs.google.com/spreadsheets/d/11tr1B-Bhyr79v2bkwVh5h_fR-PStkgjlZtkrZpYurG0/edit?usp=sharing"",""ชลบุรี!J87"")"),0)</f>
        <v>0</v>
      </c>
      <c r="AK56" s="93">
        <f ca="1">IFERROR(__xludf.DUMMYFUNCTION("IMPORTRANGE(""https://docs.google.com/spreadsheets/d/11tr1B-Bhyr79v2bkwVh5h_fR-PStkgjlZtkrZpYurG0/edit?usp=sharing"",""ชลบุรี!I88"")"),0)</f>
        <v>0</v>
      </c>
      <c r="AL56" s="93">
        <f ca="1">IFERROR(__xludf.DUMMYFUNCTION("IMPORTRANGE(""https://docs.google.com/spreadsheets/d/11tr1B-Bhyr79v2bkwVh5h_fR-PStkgjlZtkrZpYurG0/edit?usp=sharing"",""ชลบุรี!I89"")"),0)</f>
        <v>0</v>
      </c>
      <c r="AM56" s="97">
        <f ca="1">IFERROR(__xludf.DUMMYFUNCTION("IMPORTRANGE(""https://docs.google.com/spreadsheets/d/11tr1B-Bhyr79v2bkwVh5h_fR-PStkgjlZtkrZpYurG0/edit?usp=sharing"",""ชลบุรี!J88"")"),0)</f>
        <v>0</v>
      </c>
      <c r="AN56" s="97">
        <f ca="1">IFERROR(__xludf.DUMMYFUNCTION("IMPORTRANGE(""https://docs.google.com/spreadsheets/d/11tr1B-Bhyr79v2bkwVh5h_fR-PStkgjlZtkrZpYurG0/edit?usp=sharing"",""ชลบุรี!J89"")"),0)</f>
        <v>0</v>
      </c>
      <c r="AO56" s="93">
        <f ca="1">IFERROR(__xludf.DUMMYFUNCTION("IMPORTRANGE(""https://docs.google.com/spreadsheets/d/11tr1B-Bhyr79v2bkwVh5h_fR-PStkgjlZtkrZpYurG0/edit?usp=sharing"",""ชลบุรี!I90"")"),0)</f>
        <v>0</v>
      </c>
      <c r="AP56" s="97">
        <f ca="1">IFERROR(__xludf.DUMMYFUNCTION("IMPORTRANGE(""https://docs.google.com/spreadsheets/d/11tr1B-Bhyr79v2bkwVh5h_fR-PStkgjlZtkrZpYurG0/edit?usp=sharing"",""ชลบุรี!J90"")"),0)</f>
        <v>0</v>
      </c>
      <c r="AQ56" s="95">
        <f t="shared" ca="1" si="42"/>
        <v>0</v>
      </c>
    </row>
    <row r="57" spans="1:43" ht="21" customHeight="1" x14ac:dyDescent="0.3">
      <c r="A57" s="89">
        <v>5</v>
      </c>
      <c r="B57" s="90" t="s">
        <v>83</v>
      </c>
      <c r="C57" s="91">
        <f t="shared" ca="1" si="26"/>
        <v>0</v>
      </c>
      <c r="D57" s="92">
        <f t="shared" ca="1" si="55"/>
        <v>0</v>
      </c>
      <c r="E57" s="93">
        <f ca="1">IFERROR(__xludf.DUMMYFUNCTION("IMPORTRANGE(""https://docs.google.com/spreadsheets/d/1-uDff_7J0KD5mKrp0Vvzr7lt3OU09vwQwhkpOPPYv2Y/edit?usp=sharing"",""งบพรบ!AN57"")"),0)</f>
        <v>0</v>
      </c>
      <c r="F57" s="93">
        <f ca="1">IFERROR(__xludf.DUMMYFUNCTION("IMPORTRANGE(""https://docs.google.com/spreadsheets/d/1-uDff_7J0KD5mKrp0Vvzr7lt3OU09vwQwhkpOPPYv2Y/edit?usp=sharing"",""งบพรบ!AO57"")"),0)</f>
        <v>0</v>
      </c>
      <c r="G57" s="93">
        <f ca="1">IFERROR(__xludf.DUMMYFUNCTION("IMPORTRANGE(""https://docs.google.com/spreadsheets/d/1-uDff_7J0KD5mKrp0Vvzr7lt3OU09vwQwhkpOPPYv2Y/edit?usp=sharing"",""งบพรบ!AP57"")"),0)</f>
        <v>0</v>
      </c>
      <c r="H57" s="93">
        <f ca="1">IFERROR(__xludf.DUMMYFUNCTION("IMPORTRANGE(""https://docs.google.com/spreadsheets/d/1-uDff_7J0KD5mKrp0Vvzr7lt3OU09vwQwhkpOPPYv2Y/edit?usp=sharing"",""งบพรบ!AR57"")"),0)</f>
        <v>0</v>
      </c>
      <c r="I57" s="93">
        <f ca="1">IFERROR(__xludf.DUMMYFUNCTION("IMPORTRANGE(""https://docs.google.com/spreadsheets/d/1-uDff_7J0KD5mKrp0Vvzr7lt3OU09vwQwhkpOPPYv2Y/edit?usp=sharing"",""งบพรบ!AS57"")"),0)</f>
        <v>0</v>
      </c>
      <c r="J57" s="93">
        <f t="shared" ca="1" si="28"/>
        <v>0</v>
      </c>
      <c r="K57" s="94">
        <f t="shared" ca="1" si="29"/>
        <v>0</v>
      </c>
      <c r="L57" s="93">
        <f ca="1">IFERROR(__xludf.DUMMYFUNCTION("IMPORTRANGE(""https://docs.google.com/spreadsheets/d/1-uDff_7J0KD5mKrp0Vvzr7lt3OU09vwQwhkpOPPYv2Y/edit?usp=sharing"",""งบพรบ!AT57"")"),0)</f>
        <v>0</v>
      </c>
      <c r="M57" s="95">
        <f t="shared" ca="1" si="30"/>
        <v>0</v>
      </c>
      <c r="N57" s="95">
        <f t="shared" ca="1" si="31"/>
        <v>0</v>
      </c>
      <c r="O57" s="96">
        <f ca="1">IFERROR(__xludf.DUMMYFUNCTION("IMPORTRANGE(""https://docs.google.com/spreadsheets/d/1-uDff_7J0KD5mKrp0Vvzr7lt3OU09vwQwhkpOPPYv2Y/edit?usp=sharing"",""งบพรบ!AU57"")"),0)</f>
        <v>0</v>
      </c>
      <c r="P57" s="96">
        <f t="shared" ca="1" si="32"/>
        <v>0</v>
      </c>
      <c r="Q57" s="95">
        <f t="shared" ca="1" si="33"/>
        <v>0</v>
      </c>
      <c r="R57" s="86">
        <f ca="1">IFERROR(__xludf.DUMMYFUNCTION("IMPORTRANGE(""https://docs.google.com/spreadsheets/d/1hh-FVnSX0vozXhGluamEcS54Dw9_zqW0N7qJUWgJ0Sw/edit?usp=sharing"",""ชัยนาท!Q72"")"),412380)</f>
        <v>412380</v>
      </c>
      <c r="S57" s="86">
        <f ca="1">IFERROR(__xludf.DUMMYFUNCTION("IMPORTRANGE(""https://docs.google.com/spreadsheets/d/1hh-FVnSX0vozXhGluamEcS54Dw9_zqW0N7qJUWgJ0Sw/edit?usp=sharing"",""ชัยนาท!R72"")"),0)</f>
        <v>0</v>
      </c>
      <c r="T57" s="86">
        <f ca="1">IFERROR(__xludf.DUMMYFUNCTION("IMPORTRANGE(""https://docs.google.com/spreadsheets/d/1hh-FVnSX0vozXhGluamEcS54Dw9_zqW0N7qJUWgJ0Sw/edit?usp=sharing"",""ชัยนาท!S72"")"),0)</f>
        <v>0</v>
      </c>
      <c r="U57" s="87">
        <f t="shared" ca="1" si="35"/>
        <v>0</v>
      </c>
      <c r="V57" s="87">
        <f t="shared" ca="1" si="36"/>
        <v>0</v>
      </c>
      <c r="W57" s="97">
        <f t="shared" ca="1" si="37"/>
        <v>1</v>
      </c>
      <c r="X57" s="97">
        <f t="shared" ca="1" si="38"/>
        <v>34</v>
      </c>
      <c r="Y57" s="97">
        <f t="shared" ca="1" si="56"/>
        <v>0</v>
      </c>
      <c r="Z57" s="98">
        <f t="shared" ca="1" si="39"/>
        <v>0</v>
      </c>
      <c r="AA57" s="97">
        <f t="shared" ca="1" si="57"/>
        <v>0</v>
      </c>
      <c r="AB57" s="98">
        <f t="shared" ca="1" si="40"/>
        <v>0</v>
      </c>
      <c r="AC57" s="93">
        <f ca="1">IFERROR(__xludf.DUMMYFUNCTION("IMPORTRANGE(""https://docs.google.com/spreadsheets/d/1hh-FVnSX0vozXhGluamEcS54Dw9_zqW0N7qJUWgJ0Sw/edit?usp=sharing"",""ชัยนาท!I84"")"),0)</f>
        <v>0</v>
      </c>
      <c r="AD57" s="93">
        <f ca="1">IFERROR(__xludf.DUMMYFUNCTION("IMPORTRANGE(""https://docs.google.com/spreadsheets/d/1hh-FVnSX0vozXhGluamEcS54Dw9_zqW0N7qJUWgJ0Sw/edit?usp=sharing"",""ชัยนาท!I85"")"),0)</f>
        <v>0</v>
      </c>
      <c r="AE57" s="97">
        <f ca="1">IFERROR(__xludf.DUMMYFUNCTION("IMPORTRANGE(""https://docs.google.com/spreadsheets/d/1hh-FVnSX0vozXhGluamEcS54Dw9_zqW0N7qJUWgJ0Sw/edit?usp=sharing"",""ชัยนาท!J84"")"),0)</f>
        <v>0</v>
      </c>
      <c r="AF57" s="97">
        <f ca="1">IFERROR(__xludf.DUMMYFUNCTION("IMPORTRANGE(""https://docs.google.com/spreadsheets/d/1hh-FVnSX0vozXhGluamEcS54Dw9_zqW0N7qJUWgJ0Sw/edit?usp=sharing"",""ชัยนาท!J85"")"),0)</f>
        <v>0</v>
      </c>
      <c r="AG57" s="93">
        <f ca="1">IFERROR(__xludf.DUMMYFUNCTION("IMPORTRANGE(""https://docs.google.com/spreadsheets/d/1hh-FVnSX0vozXhGluamEcS54Dw9_zqW0N7qJUWgJ0Sw/edit?usp=sharing"",""ชัยนาท!I86"")"),1)</f>
        <v>1</v>
      </c>
      <c r="AH57" s="93">
        <f ca="1">IFERROR(__xludf.DUMMYFUNCTION("IMPORTRANGE(""https://docs.google.com/spreadsheets/d/1hh-FVnSX0vozXhGluamEcS54Dw9_zqW0N7qJUWgJ0Sw/edit?usp=sharing"",""ชัยนาท!I87"")"),34)</f>
        <v>34</v>
      </c>
      <c r="AI57" s="97">
        <f ca="1">IFERROR(__xludf.DUMMYFUNCTION("IMPORTRANGE(""https://docs.google.com/spreadsheets/d/1hh-FVnSX0vozXhGluamEcS54Dw9_zqW0N7qJUWgJ0Sw/edit?usp=sharing"",""ชัยนาท!J86"")"),0)</f>
        <v>0</v>
      </c>
      <c r="AJ57" s="97">
        <f ca="1">IFERROR(__xludf.DUMMYFUNCTION("IMPORTRANGE(""https://docs.google.com/spreadsheets/d/1hh-FVnSX0vozXhGluamEcS54Dw9_zqW0N7qJUWgJ0Sw/edit?usp=sharing"",""ชัยนาท!J87"")"),0)</f>
        <v>0</v>
      </c>
      <c r="AK57" s="93">
        <f ca="1">IFERROR(__xludf.DUMMYFUNCTION("IMPORTRANGE(""https://docs.google.com/spreadsheets/d/1hh-FVnSX0vozXhGluamEcS54Dw9_zqW0N7qJUWgJ0Sw/edit?usp=sharing"",""ชัยนาท!I88"")"),0)</f>
        <v>0</v>
      </c>
      <c r="AL57" s="93">
        <f ca="1">IFERROR(__xludf.DUMMYFUNCTION("IMPORTRANGE(""https://docs.google.com/spreadsheets/d/1hh-FVnSX0vozXhGluamEcS54Dw9_zqW0N7qJUWgJ0Sw/edit?usp=sharing"",""ชัยนาท!I89"")"),0)</f>
        <v>0</v>
      </c>
      <c r="AM57" s="97">
        <f ca="1">IFERROR(__xludf.DUMMYFUNCTION("IMPORTRANGE(""https://docs.google.com/spreadsheets/d/1hh-FVnSX0vozXhGluamEcS54Dw9_zqW0N7qJUWgJ0Sw/edit?usp=sharing"",""ชัยนาท!J88"")"),0)</f>
        <v>0</v>
      </c>
      <c r="AN57" s="97">
        <f ca="1">IFERROR(__xludf.DUMMYFUNCTION("IMPORTRANGE(""https://docs.google.com/spreadsheets/d/1hh-FVnSX0vozXhGluamEcS54Dw9_zqW0N7qJUWgJ0Sw/edit?usp=sharing"",""ชัยนาท!J89"")"),0)</f>
        <v>0</v>
      </c>
      <c r="AO57" s="93">
        <f ca="1">IFERROR(__xludf.DUMMYFUNCTION("IMPORTRANGE(""https://docs.google.com/spreadsheets/d/1hh-FVnSX0vozXhGluamEcS54Dw9_zqW0N7qJUWgJ0Sw/edit?usp=sharing"",""ชัยนาท!I90"")"),1)</f>
        <v>1</v>
      </c>
      <c r="AP57" s="97">
        <f ca="1">IFERROR(__xludf.DUMMYFUNCTION("IMPORTRANGE(""https://docs.google.com/spreadsheets/d/1hh-FVnSX0vozXhGluamEcS54Dw9_zqW0N7qJUWgJ0Sw/edit?usp=sharing"",""ชัยนาท!J90"")"),0)</f>
        <v>0</v>
      </c>
      <c r="AQ57" s="95">
        <f t="shared" ca="1" si="42"/>
        <v>0</v>
      </c>
    </row>
    <row r="58" spans="1:43" ht="21" customHeight="1" x14ac:dyDescent="0.3">
      <c r="A58" s="89">
        <v>6</v>
      </c>
      <c r="B58" s="90" t="s">
        <v>84</v>
      </c>
      <c r="C58" s="91">
        <f t="shared" ca="1" si="26"/>
        <v>0</v>
      </c>
      <c r="D58" s="92">
        <f t="shared" ca="1" si="55"/>
        <v>0</v>
      </c>
      <c r="E58" s="93">
        <f ca="1">IFERROR(__xludf.DUMMYFUNCTION("IMPORTRANGE(""https://docs.google.com/spreadsheets/d/1-uDff_7J0KD5mKrp0Vvzr7lt3OU09vwQwhkpOPPYv2Y/edit?usp=sharing"",""งบพรบ!AN58"")"),0)</f>
        <v>0</v>
      </c>
      <c r="F58" s="93">
        <f ca="1">IFERROR(__xludf.DUMMYFUNCTION("IMPORTRANGE(""https://docs.google.com/spreadsheets/d/1-uDff_7J0KD5mKrp0Vvzr7lt3OU09vwQwhkpOPPYv2Y/edit?usp=sharing"",""งบพรบ!AO58"")"),0)</f>
        <v>0</v>
      </c>
      <c r="G58" s="93">
        <f ca="1">IFERROR(__xludf.DUMMYFUNCTION("IMPORTRANGE(""https://docs.google.com/spreadsheets/d/1-uDff_7J0KD5mKrp0Vvzr7lt3OU09vwQwhkpOPPYv2Y/edit?usp=sharing"",""งบพรบ!AP58"")"),0)</f>
        <v>0</v>
      </c>
      <c r="H58" s="93">
        <f ca="1">IFERROR(__xludf.DUMMYFUNCTION("IMPORTRANGE(""https://docs.google.com/spreadsheets/d/1-uDff_7J0KD5mKrp0Vvzr7lt3OU09vwQwhkpOPPYv2Y/edit?usp=sharing"",""งบพรบ!AR58"")"),0)</f>
        <v>0</v>
      </c>
      <c r="I58" s="93">
        <f ca="1">IFERROR(__xludf.DUMMYFUNCTION("IMPORTRANGE(""https://docs.google.com/spreadsheets/d/1-uDff_7J0KD5mKrp0Vvzr7lt3OU09vwQwhkpOPPYv2Y/edit?usp=sharing"",""งบพรบ!AS58"")"),0)</f>
        <v>0</v>
      </c>
      <c r="J58" s="93">
        <f t="shared" ca="1" si="28"/>
        <v>0</v>
      </c>
      <c r="K58" s="94">
        <f t="shared" ca="1" si="29"/>
        <v>0</v>
      </c>
      <c r="L58" s="93">
        <f ca="1">IFERROR(__xludf.DUMMYFUNCTION("IMPORTRANGE(""https://docs.google.com/spreadsheets/d/1-uDff_7J0KD5mKrp0Vvzr7lt3OU09vwQwhkpOPPYv2Y/edit?usp=sharing"",""งบพรบ!AT58"")"),0)</f>
        <v>0</v>
      </c>
      <c r="M58" s="95">
        <f t="shared" ca="1" si="30"/>
        <v>0</v>
      </c>
      <c r="N58" s="95">
        <f t="shared" ca="1" si="31"/>
        <v>0</v>
      </c>
      <c r="O58" s="96">
        <f ca="1">IFERROR(__xludf.DUMMYFUNCTION("IMPORTRANGE(""https://docs.google.com/spreadsheets/d/1-uDff_7J0KD5mKrp0Vvzr7lt3OU09vwQwhkpOPPYv2Y/edit?usp=sharing"",""งบพรบ!AU58"")"),0)</f>
        <v>0</v>
      </c>
      <c r="P58" s="96">
        <f t="shared" ca="1" si="32"/>
        <v>0</v>
      </c>
      <c r="Q58" s="95">
        <f t="shared" ca="1" si="33"/>
        <v>0</v>
      </c>
      <c r="R58" s="86">
        <f ca="1">IFERROR(__xludf.DUMMYFUNCTION("IMPORTRANGE(""https://docs.google.com/spreadsheets/d/1jkqa6GXxSacMcY1eN8AHjMNJ_7dDXMJVRLDlaFSOdPM/edit?usp=sharing"",""ตราด!Q72"")"),0)</f>
        <v>0</v>
      </c>
      <c r="S58" s="86">
        <f ca="1">IFERROR(__xludf.DUMMYFUNCTION("IMPORTRANGE(""https://docs.google.com/spreadsheets/d/1jkqa6GXxSacMcY1eN8AHjMNJ_7dDXMJVRLDlaFSOdPM/edit?usp=sharing"",""ตราด!R72"")"),0)</f>
        <v>0</v>
      </c>
      <c r="T58" s="86">
        <f ca="1">IFERROR(__xludf.DUMMYFUNCTION("IMPORTRANGE(""https://docs.google.com/spreadsheets/d/1jkqa6GXxSacMcY1eN8AHjMNJ_7dDXMJVRLDlaFSOdPM/edit?usp=sharing"",""ตราด!S72"")"),0)</f>
        <v>0</v>
      </c>
      <c r="U58" s="87">
        <f t="shared" ca="1" si="35"/>
        <v>0</v>
      </c>
      <c r="V58" s="87">
        <f t="shared" ca="1" si="36"/>
        <v>0</v>
      </c>
      <c r="W58" s="97">
        <f t="shared" ca="1" si="37"/>
        <v>0</v>
      </c>
      <c r="X58" s="97">
        <f t="shared" ca="1" si="38"/>
        <v>0</v>
      </c>
      <c r="Y58" s="97">
        <f t="shared" ca="1" si="56"/>
        <v>0</v>
      </c>
      <c r="Z58" s="98">
        <f t="shared" ca="1" si="39"/>
        <v>0</v>
      </c>
      <c r="AA58" s="97">
        <f t="shared" ca="1" si="57"/>
        <v>0</v>
      </c>
      <c r="AB58" s="98">
        <f t="shared" ca="1" si="40"/>
        <v>0</v>
      </c>
      <c r="AC58" s="93">
        <f ca="1">IFERROR(__xludf.DUMMYFUNCTION("IMPORTRANGE(""https://docs.google.com/spreadsheets/d/1jkqa6GXxSacMcY1eN8AHjMNJ_7dDXMJVRLDlaFSOdPM/edit?usp=sharing"",""ตราด!I84"")"),0)</f>
        <v>0</v>
      </c>
      <c r="AD58" s="93">
        <f ca="1">IFERROR(__xludf.DUMMYFUNCTION("IMPORTRANGE(""https://docs.google.com/spreadsheets/d/1jkqa6GXxSacMcY1eN8AHjMNJ_7dDXMJVRLDlaFSOdPM/edit?usp=sharing"",""ตราด!I85"")"),0)</f>
        <v>0</v>
      </c>
      <c r="AE58" s="97">
        <f ca="1">IFERROR(__xludf.DUMMYFUNCTION("IMPORTRANGE(""https://docs.google.com/spreadsheets/d/1jkqa6GXxSacMcY1eN8AHjMNJ_7dDXMJVRLDlaFSOdPM/edit?usp=sharing"",""ตราด!J84"")"),0)</f>
        <v>0</v>
      </c>
      <c r="AF58" s="97">
        <f ca="1">IFERROR(__xludf.DUMMYFUNCTION("IMPORTRANGE(""https://docs.google.com/spreadsheets/d/1jkqa6GXxSacMcY1eN8AHjMNJ_7dDXMJVRLDlaFSOdPM/edit?usp=sharing"",""ตราด!J85"")"),0)</f>
        <v>0</v>
      </c>
      <c r="AG58" s="93">
        <f ca="1">IFERROR(__xludf.DUMMYFUNCTION("IMPORTRANGE(""https://docs.google.com/spreadsheets/d/1jkqa6GXxSacMcY1eN8AHjMNJ_7dDXMJVRLDlaFSOdPM/edit?usp=sharing"",""ตราด!I86"")"),0)</f>
        <v>0</v>
      </c>
      <c r="AH58" s="93">
        <f ca="1">IFERROR(__xludf.DUMMYFUNCTION("IMPORTRANGE(""https://docs.google.com/spreadsheets/d/1jkqa6GXxSacMcY1eN8AHjMNJ_7dDXMJVRLDlaFSOdPM/edit?usp=sharing"",""ตราด!I87"")"),0)</f>
        <v>0</v>
      </c>
      <c r="AI58" s="97">
        <f ca="1">IFERROR(__xludf.DUMMYFUNCTION("IMPORTRANGE(""https://docs.google.com/spreadsheets/d/1jkqa6GXxSacMcY1eN8AHjMNJ_7dDXMJVRLDlaFSOdPM/edit?usp=sharing"",""ตราด!J86"")"),0)</f>
        <v>0</v>
      </c>
      <c r="AJ58" s="97">
        <f ca="1">IFERROR(__xludf.DUMMYFUNCTION("IMPORTRANGE(""https://docs.google.com/spreadsheets/d/1jkqa6GXxSacMcY1eN8AHjMNJ_7dDXMJVRLDlaFSOdPM/edit?usp=sharing"",""ตราด!J87"")"),0)</f>
        <v>0</v>
      </c>
      <c r="AK58" s="93">
        <f ca="1">IFERROR(__xludf.DUMMYFUNCTION("IMPORTRANGE(""https://docs.google.com/spreadsheets/d/1jkqa6GXxSacMcY1eN8AHjMNJ_7dDXMJVRLDlaFSOdPM/edit?usp=sharing"",""ตราด!I88"")"),0)</f>
        <v>0</v>
      </c>
      <c r="AL58" s="93">
        <f ca="1">IFERROR(__xludf.DUMMYFUNCTION("IMPORTRANGE(""https://docs.google.com/spreadsheets/d/1jkqa6GXxSacMcY1eN8AHjMNJ_7dDXMJVRLDlaFSOdPM/edit?usp=sharing"",""ตราด!I89"")"),0)</f>
        <v>0</v>
      </c>
      <c r="AM58" s="97">
        <f ca="1">IFERROR(__xludf.DUMMYFUNCTION("IMPORTRANGE(""https://docs.google.com/spreadsheets/d/1jkqa6GXxSacMcY1eN8AHjMNJ_7dDXMJVRLDlaFSOdPM/edit?usp=sharing"",""ตราด!J88"")"),0)</f>
        <v>0</v>
      </c>
      <c r="AN58" s="97">
        <f ca="1">IFERROR(__xludf.DUMMYFUNCTION("IMPORTRANGE(""https://docs.google.com/spreadsheets/d/1jkqa6GXxSacMcY1eN8AHjMNJ_7dDXMJVRLDlaFSOdPM/edit?usp=sharing"",""ตราด!J89"")"),0)</f>
        <v>0</v>
      </c>
      <c r="AO58" s="93">
        <f ca="1">IFERROR(__xludf.DUMMYFUNCTION("IMPORTRANGE(""https://docs.google.com/spreadsheets/d/1jkqa6GXxSacMcY1eN8AHjMNJ_7dDXMJVRLDlaFSOdPM/edit?usp=sharing"",""ตราด!I90"")"),0)</f>
        <v>0</v>
      </c>
      <c r="AP58" s="97">
        <f ca="1">IFERROR(__xludf.DUMMYFUNCTION("IMPORTRANGE(""https://docs.google.com/spreadsheets/d/1jkqa6GXxSacMcY1eN8AHjMNJ_7dDXMJVRLDlaFSOdPM/edit?usp=sharing"",""ตราด!J90"")"),0)</f>
        <v>0</v>
      </c>
      <c r="AQ58" s="95">
        <f t="shared" ca="1" si="42"/>
        <v>0</v>
      </c>
    </row>
    <row r="59" spans="1:43" ht="21" customHeight="1" x14ac:dyDescent="0.3">
      <c r="A59" s="89">
        <v>7</v>
      </c>
      <c r="B59" s="90" t="s">
        <v>85</v>
      </c>
      <c r="C59" s="91">
        <f t="shared" ca="1" si="26"/>
        <v>0</v>
      </c>
      <c r="D59" s="92">
        <f t="shared" ca="1" si="55"/>
        <v>0</v>
      </c>
      <c r="E59" s="93">
        <f ca="1">IFERROR(__xludf.DUMMYFUNCTION("IMPORTRANGE(""https://docs.google.com/spreadsheets/d/1-uDff_7J0KD5mKrp0Vvzr7lt3OU09vwQwhkpOPPYv2Y/edit?usp=sharing"",""งบพรบ!AN59"")"),0)</f>
        <v>0</v>
      </c>
      <c r="F59" s="93">
        <f ca="1">IFERROR(__xludf.DUMMYFUNCTION("IMPORTRANGE(""https://docs.google.com/spreadsheets/d/1-uDff_7J0KD5mKrp0Vvzr7lt3OU09vwQwhkpOPPYv2Y/edit?usp=sharing"",""งบพรบ!AO59"")"),0)</f>
        <v>0</v>
      </c>
      <c r="G59" s="93">
        <f ca="1">IFERROR(__xludf.DUMMYFUNCTION("IMPORTRANGE(""https://docs.google.com/spreadsheets/d/1-uDff_7J0KD5mKrp0Vvzr7lt3OU09vwQwhkpOPPYv2Y/edit?usp=sharing"",""งบพรบ!AP59"")"),0)</f>
        <v>0</v>
      </c>
      <c r="H59" s="93">
        <f ca="1">IFERROR(__xludf.DUMMYFUNCTION("IMPORTRANGE(""https://docs.google.com/spreadsheets/d/1-uDff_7J0KD5mKrp0Vvzr7lt3OU09vwQwhkpOPPYv2Y/edit?usp=sharing"",""งบพรบ!AR59"")"),0)</f>
        <v>0</v>
      </c>
      <c r="I59" s="93">
        <f ca="1">IFERROR(__xludf.DUMMYFUNCTION("IMPORTRANGE(""https://docs.google.com/spreadsheets/d/1-uDff_7J0KD5mKrp0Vvzr7lt3OU09vwQwhkpOPPYv2Y/edit?usp=sharing"",""งบพรบ!AS59"")"),0)</f>
        <v>0</v>
      </c>
      <c r="J59" s="93">
        <f t="shared" ca="1" si="28"/>
        <v>0</v>
      </c>
      <c r="K59" s="94">
        <f t="shared" ca="1" si="29"/>
        <v>0</v>
      </c>
      <c r="L59" s="93">
        <f ca="1">IFERROR(__xludf.DUMMYFUNCTION("IMPORTRANGE(""https://docs.google.com/spreadsheets/d/1-uDff_7J0KD5mKrp0Vvzr7lt3OU09vwQwhkpOPPYv2Y/edit?usp=sharing"",""งบพรบ!AT59"")"),0)</f>
        <v>0</v>
      </c>
      <c r="M59" s="95">
        <f t="shared" ca="1" si="30"/>
        <v>0</v>
      </c>
      <c r="N59" s="95">
        <f t="shared" ca="1" si="31"/>
        <v>0</v>
      </c>
      <c r="O59" s="96">
        <f ca="1">IFERROR(__xludf.DUMMYFUNCTION("IMPORTRANGE(""https://docs.google.com/spreadsheets/d/1-uDff_7J0KD5mKrp0Vvzr7lt3OU09vwQwhkpOPPYv2Y/edit?usp=sharing"",""งบพรบ!AU59"")"),0)</f>
        <v>0</v>
      </c>
      <c r="P59" s="96">
        <f t="shared" ca="1" si="32"/>
        <v>0</v>
      </c>
      <c r="Q59" s="95">
        <f t="shared" ca="1" si="33"/>
        <v>0</v>
      </c>
      <c r="R59" s="86">
        <f ca="1">IFERROR(__xludf.DUMMYFUNCTION("IMPORTRANGE(""https://docs.google.com/spreadsheets/d/18hSgUJ3VwClqi_qtULmmW3cLr0oe3OKaSYoKzdpTsYQ/edit?usp=sharing"",""นครนายก!Q72"")"),0)</f>
        <v>0</v>
      </c>
      <c r="S59" s="86">
        <f ca="1">IFERROR(__xludf.DUMMYFUNCTION("IMPORTRANGE(""https://docs.google.com/spreadsheets/d/18hSgUJ3VwClqi_qtULmmW3cLr0oe3OKaSYoKzdpTsYQ/edit?usp=sharing"",""นครนายก!R72"")"),0)</f>
        <v>0</v>
      </c>
      <c r="T59" s="86">
        <f ca="1">IFERROR(__xludf.DUMMYFUNCTION("IMPORTRANGE(""https://docs.google.com/spreadsheets/d/18hSgUJ3VwClqi_qtULmmW3cLr0oe3OKaSYoKzdpTsYQ/edit?usp=sharing"",""นครนายก!S72"")"),0)</f>
        <v>0</v>
      </c>
      <c r="U59" s="87">
        <f t="shared" ca="1" si="35"/>
        <v>0</v>
      </c>
      <c r="V59" s="87">
        <f t="shared" ca="1" si="36"/>
        <v>0</v>
      </c>
      <c r="W59" s="97">
        <f t="shared" ca="1" si="37"/>
        <v>0</v>
      </c>
      <c r="X59" s="97">
        <f t="shared" ca="1" si="38"/>
        <v>0</v>
      </c>
      <c r="Y59" s="97">
        <f t="shared" ca="1" si="56"/>
        <v>0</v>
      </c>
      <c r="Z59" s="98">
        <f t="shared" ca="1" si="39"/>
        <v>0</v>
      </c>
      <c r="AA59" s="97">
        <f t="shared" ca="1" si="57"/>
        <v>0</v>
      </c>
      <c r="AB59" s="98">
        <f t="shared" ca="1" si="40"/>
        <v>0</v>
      </c>
      <c r="AC59" s="93">
        <f ca="1">IFERROR(__xludf.DUMMYFUNCTION("IMPORTRANGE(""https://docs.google.com/spreadsheets/d/18hSgUJ3VwClqi_qtULmmW3cLr0oe3OKaSYoKzdpTsYQ/edit?usp=sharing"",""นครนายก!I84"")"),0)</f>
        <v>0</v>
      </c>
      <c r="AD59" s="93">
        <f ca="1">IFERROR(__xludf.DUMMYFUNCTION("IMPORTRANGE(""https://docs.google.com/spreadsheets/d/18hSgUJ3VwClqi_qtULmmW3cLr0oe3OKaSYoKzdpTsYQ/edit?usp=sharing"",""นครนายก!I85"")"),0)</f>
        <v>0</v>
      </c>
      <c r="AE59" s="97">
        <f ca="1">IFERROR(__xludf.DUMMYFUNCTION("IMPORTRANGE(""https://docs.google.com/spreadsheets/d/18hSgUJ3VwClqi_qtULmmW3cLr0oe3OKaSYoKzdpTsYQ/edit?usp=sharing"",""นครนายก!J84"")"),0)</f>
        <v>0</v>
      </c>
      <c r="AF59" s="97">
        <f ca="1">IFERROR(__xludf.DUMMYFUNCTION("IMPORTRANGE(""https://docs.google.com/spreadsheets/d/18hSgUJ3VwClqi_qtULmmW3cLr0oe3OKaSYoKzdpTsYQ/edit?usp=sharing"",""นครนายก!J85"")"),0)</f>
        <v>0</v>
      </c>
      <c r="AG59" s="93">
        <f ca="1">IFERROR(__xludf.DUMMYFUNCTION("IMPORTRANGE(""https://docs.google.com/spreadsheets/d/18hSgUJ3VwClqi_qtULmmW3cLr0oe3OKaSYoKzdpTsYQ/edit?usp=sharing"",""นครนายก!I86"")"),0)</f>
        <v>0</v>
      </c>
      <c r="AH59" s="93">
        <f ca="1">IFERROR(__xludf.DUMMYFUNCTION("IMPORTRANGE(""https://docs.google.com/spreadsheets/d/18hSgUJ3VwClqi_qtULmmW3cLr0oe3OKaSYoKzdpTsYQ/edit?usp=sharing"",""นครนายก!I87"")"),0)</f>
        <v>0</v>
      </c>
      <c r="AI59" s="97">
        <f ca="1">IFERROR(__xludf.DUMMYFUNCTION("IMPORTRANGE(""https://docs.google.com/spreadsheets/d/18hSgUJ3VwClqi_qtULmmW3cLr0oe3OKaSYoKzdpTsYQ/edit?usp=sharing"",""นครนายก!J86"")"),0)</f>
        <v>0</v>
      </c>
      <c r="AJ59" s="97">
        <f ca="1">IFERROR(__xludf.DUMMYFUNCTION("IMPORTRANGE(""https://docs.google.com/spreadsheets/d/18hSgUJ3VwClqi_qtULmmW3cLr0oe3OKaSYoKzdpTsYQ/edit?usp=sharing"",""นครนายก!J87"")"),0)</f>
        <v>0</v>
      </c>
      <c r="AK59" s="93">
        <f ca="1">IFERROR(__xludf.DUMMYFUNCTION("IMPORTRANGE(""https://docs.google.com/spreadsheets/d/18hSgUJ3VwClqi_qtULmmW3cLr0oe3OKaSYoKzdpTsYQ/edit?usp=sharing"",""นครนายก!I88"")"),0)</f>
        <v>0</v>
      </c>
      <c r="AL59" s="93">
        <f ca="1">IFERROR(__xludf.DUMMYFUNCTION("IMPORTRANGE(""https://docs.google.com/spreadsheets/d/18hSgUJ3VwClqi_qtULmmW3cLr0oe3OKaSYoKzdpTsYQ/edit?usp=sharing"",""นครนายก!I89"")"),0)</f>
        <v>0</v>
      </c>
      <c r="AM59" s="97">
        <f ca="1">IFERROR(__xludf.DUMMYFUNCTION("IMPORTRANGE(""https://docs.google.com/spreadsheets/d/18hSgUJ3VwClqi_qtULmmW3cLr0oe3OKaSYoKzdpTsYQ/edit?usp=sharing"",""นครนายก!J88"")"),0)</f>
        <v>0</v>
      </c>
      <c r="AN59" s="97">
        <f ca="1">IFERROR(__xludf.DUMMYFUNCTION("IMPORTRANGE(""https://docs.google.com/spreadsheets/d/18hSgUJ3VwClqi_qtULmmW3cLr0oe3OKaSYoKzdpTsYQ/edit?usp=sharing"",""นครนายก!J89"")"),0)</f>
        <v>0</v>
      </c>
      <c r="AO59" s="93">
        <f ca="1">IFERROR(__xludf.DUMMYFUNCTION("IMPORTRANGE(""https://docs.google.com/spreadsheets/d/18hSgUJ3VwClqi_qtULmmW3cLr0oe3OKaSYoKzdpTsYQ/edit?usp=sharing"",""นครนายก!I90"")"),0)</f>
        <v>0</v>
      </c>
      <c r="AP59" s="97">
        <f ca="1">IFERROR(__xludf.DUMMYFUNCTION("IMPORTRANGE(""https://docs.google.com/spreadsheets/d/18hSgUJ3VwClqi_qtULmmW3cLr0oe3OKaSYoKzdpTsYQ/edit?usp=sharing"",""นครนายก!J90"")"),0)</f>
        <v>0</v>
      </c>
      <c r="AQ59" s="95">
        <f t="shared" ca="1" si="42"/>
        <v>0</v>
      </c>
    </row>
    <row r="60" spans="1:43" ht="21" customHeight="1" x14ac:dyDescent="0.3">
      <c r="A60" s="89">
        <v>8</v>
      </c>
      <c r="B60" s="90" t="s">
        <v>86</v>
      </c>
      <c r="C60" s="91">
        <f t="shared" ca="1" si="26"/>
        <v>0</v>
      </c>
      <c r="D60" s="92">
        <f t="shared" ca="1" si="55"/>
        <v>0</v>
      </c>
      <c r="E60" s="93">
        <f ca="1">IFERROR(__xludf.DUMMYFUNCTION("IMPORTRANGE(""https://docs.google.com/spreadsheets/d/1-uDff_7J0KD5mKrp0Vvzr7lt3OU09vwQwhkpOPPYv2Y/edit?usp=sharing"",""งบพรบ!AN60"")"),0)</f>
        <v>0</v>
      </c>
      <c r="F60" s="93">
        <f ca="1">IFERROR(__xludf.DUMMYFUNCTION("IMPORTRANGE(""https://docs.google.com/spreadsheets/d/1-uDff_7J0KD5mKrp0Vvzr7lt3OU09vwQwhkpOPPYv2Y/edit?usp=sharing"",""งบพรบ!AO60"")"),0)</f>
        <v>0</v>
      </c>
      <c r="G60" s="93">
        <f ca="1">IFERROR(__xludf.DUMMYFUNCTION("IMPORTRANGE(""https://docs.google.com/spreadsheets/d/1-uDff_7J0KD5mKrp0Vvzr7lt3OU09vwQwhkpOPPYv2Y/edit?usp=sharing"",""งบพรบ!AP60"")"),0)</f>
        <v>0</v>
      </c>
      <c r="H60" s="93">
        <f ca="1">IFERROR(__xludf.DUMMYFUNCTION("IMPORTRANGE(""https://docs.google.com/spreadsheets/d/1-uDff_7J0KD5mKrp0Vvzr7lt3OU09vwQwhkpOPPYv2Y/edit?usp=sharing"",""งบพรบ!AR60"")"),0)</f>
        <v>0</v>
      </c>
      <c r="I60" s="93">
        <f ca="1">IFERROR(__xludf.DUMMYFUNCTION("IMPORTRANGE(""https://docs.google.com/spreadsheets/d/1-uDff_7J0KD5mKrp0Vvzr7lt3OU09vwQwhkpOPPYv2Y/edit?usp=sharing"",""งบพรบ!AS60"")"),0)</f>
        <v>0</v>
      </c>
      <c r="J60" s="93">
        <f t="shared" ca="1" si="28"/>
        <v>0</v>
      </c>
      <c r="K60" s="94">
        <f t="shared" ca="1" si="29"/>
        <v>0</v>
      </c>
      <c r="L60" s="93">
        <f ca="1">IFERROR(__xludf.DUMMYFUNCTION("IMPORTRANGE(""https://docs.google.com/spreadsheets/d/1-uDff_7J0KD5mKrp0Vvzr7lt3OU09vwQwhkpOPPYv2Y/edit?usp=sharing"",""งบพรบ!AT60"")"),0)</f>
        <v>0</v>
      </c>
      <c r="M60" s="95">
        <f t="shared" ca="1" si="30"/>
        <v>0</v>
      </c>
      <c r="N60" s="95">
        <f t="shared" ca="1" si="31"/>
        <v>0</v>
      </c>
      <c r="O60" s="96">
        <f ca="1">IFERROR(__xludf.DUMMYFUNCTION("IMPORTRANGE(""https://docs.google.com/spreadsheets/d/1-uDff_7J0KD5mKrp0Vvzr7lt3OU09vwQwhkpOPPYv2Y/edit?usp=sharing"",""งบพรบ!AU60"")"),0)</f>
        <v>0</v>
      </c>
      <c r="P60" s="96">
        <f t="shared" ca="1" si="32"/>
        <v>0</v>
      </c>
      <c r="Q60" s="95">
        <f t="shared" ca="1" si="33"/>
        <v>0</v>
      </c>
      <c r="R60" s="86">
        <f ca="1">IFERROR(__xludf.DUMMYFUNCTION("IMPORTRANGE(""https://docs.google.com/spreadsheets/d/1YTZo6WM2dQ6Ix6FSdnL5P7uVnVKu40sxZu975tgG10E/edit?usp=sharing"",""นครปฐม!Q72"")"),0)</f>
        <v>0</v>
      </c>
      <c r="S60" s="86">
        <f ca="1">IFERROR(__xludf.DUMMYFUNCTION("IMPORTRANGE(""https://docs.google.com/spreadsheets/d/1YTZo6WM2dQ6Ix6FSdnL5P7uVnVKu40sxZu975tgG10E/edit?usp=sharing"",""นครปฐม!R72"")"),0)</f>
        <v>0</v>
      </c>
      <c r="T60" s="86">
        <f ca="1">IFERROR(__xludf.DUMMYFUNCTION("IMPORTRANGE(""https://docs.google.com/spreadsheets/d/1YTZo6WM2dQ6Ix6FSdnL5P7uVnVKu40sxZu975tgG10E/edit?usp=sharing"",""นครปฐม!S72"")"),0)</f>
        <v>0</v>
      </c>
      <c r="U60" s="87">
        <f t="shared" ca="1" si="35"/>
        <v>0</v>
      </c>
      <c r="V60" s="87">
        <f t="shared" ca="1" si="36"/>
        <v>0</v>
      </c>
      <c r="W60" s="97">
        <f t="shared" ca="1" si="37"/>
        <v>0</v>
      </c>
      <c r="X60" s="97">
        <f t="shared" ca="1" si="38"/>
        <v>0</v>
      </c>
      <c r="Y60" s="97">
        <f t="shared" ca="1" si="56"/>
        <v>0</v>
      </c>
      <c r="Z60" s="98">
        <f t="shared" ca="1" si="39"/>
        <v>0</v>
      </c>
      <c r="AA60" s="97">
        <f t="shared" ca="1" si="57"/>
        <v>0</v>
      </c>
      <c r="AB60" s="98">
        <f t="shared" ca="1" si="40"/>
        <v>0</v>
      </c>
      <c r="AC60" s="93">
        <f ca="1">IFERROR(__xludf.DUMMYFUNCTION("IMPORTRANGE(""https://docs.google.com/spreadsheets/d/1YTZo6WM2dQ6Ix6FSdnL5P7uVnVKu40sxZu975tgG10E/edit?usp=sharing"",""นครปฐม!I84"")"),0)</f>
        <v>0</v>
      </c>
      <c r="AD60" s="93">
        <f ca="1">IFERROR(__xludf.DUMMYFUNCTION("IMPORTRANGE(""https://docs.google.com/spreadsheets/d/1YTZo6WM2dQ6Ix6FSdnL5P7uVnVKu40sxZu975tgG10E/edit?usp=sharing"",""นครปฐม!I85"")"),0)</f>
        <v>0</v>
      </c>
      <c r="AE60" s="97">
        <f ca="1">IFERROR(__xludf.DUMMYFUNCTION("IMPORTRANGE(""https://docs.google.com/spreadsheets/d/1YTZo6WM2dQ6Ix6FSdnL5P7uVnVKu40sxZu975tgG10E/edit?usp=sharing"",""นครปฐม!J84"")"),0)</f>
        <v>0</v>
      </c>
      <c r="AF60" s="97">
        <f ca="1">IFERROR(__xludf.DUMMYFUNCTION("IMPORTRANGE(""https://docs.google.com/spreadsheets/d/1YTZo6WM2dQ6Ix6FSdnL5P7uVnVKu40sxZu975tgG10E/edit?usp=sharing"",""นครปฐม!J85"")"),0)</f>
        <v>0</v>
      </c>
      <c r="AG60" s="93">
        <f ca="1">IFERROR(__xludf.DUMMYFUNCTION("IMPORTRANGE(""https://docs.google.com/spreadsheets/d/1YTZo6WM2dQ6Ix6FSdnL5P7uVnVKu40sxZu975tgG10E/edit?usp=sharing"",""นครปฐม!I86"")"),0)</f>
        <v>0</v>
      </c>
      <c r="AH60" s="93">
        <f ca="1">IFERROR(__xludf.DUMMYFUNCTION("IMPORTRANGE(""https://docs.google.com/spreadsheets/d/1YTZo6WM2dQ6Ix6FSdnL5P7uVnVKu40sxZu975tgG10E/edit?usp=sharing"",""นครปฐม!I87"")"),0)</f>
        <v>0</v>
      </c>
      <c r="AI60" s="97">
        <f ca="1">IFERROR(__xludf.DUMMYFUNCTION("IMPORTRANGE(""https://docs.google.com/spreadsheets/d/1YTZo6WM2dQ6Ix6FSdnL5P7uVnVKu40sxZu975tgG10E/edit?usp=sharing"",""นครปฐม!J86"")"),0)</f>
        <v>0</v>
      </c>
      <c r="AJ60" s="97">
        <f ca="1">IFERROR(__xludf.DUMMYFUNCTION("IMPORTRANGE(""https://docs.google.com/spreadsheets/d/1YTZo6WM2dQ6Ix6FSdnL5P7uVnVKu40sxZu975tgG10E/edit?usp=sharing"",""นครปฐม!J87"")"),0)</f>
        <v>0</v>
      </c>
      <c r="AK60" s="93">
        <f ca="1">IFERROR(__xludf.DUMMYFUNCTION("IMPORTRANGE(""https://docs.google.com/spreadsheets/d/1YTZo6WM2dQ6Ix6FSdnL5P7uVnVKu40sxZu975tgG10E/edit?usp=sharing"",""นครปฐม!I88"")"),0)</f>
        <v>0</v>
      </c>
      <c r="AL60" s="93">
        <f ca="1">IFERROR(__xludf.DUMMYFUNCTION("IMPORTRANGE(""https://docs.google.com/spreadsheets/d/1YTZo6WM2dQ6Ix6FSdnL5P7uVnVKu40sxZu975tgG10E/edit?usp=sharing"",""นครปฐม!I89"")"),0)</f>
        <v>0</v>
      </c>
      <c r="AM60" s="97">
        <f ca="1">IFERROR(__xludf.DUMMYFUNCTION("IMPORTRANGE(""https://docs.google.com/spreadsheets/d/1YTZo6WM2dQ6Ix6FSdnL5P7uVnVKu40sxZu975tgG10E/edit?usp=sharing"",""นครปฐม!J88"")"),0)</f>
        <v>0</v>
      </c>
      <c r="AN60" s="97">
        <f ca="1">IFERROR(__xludf.DUMMYFUNCTION("IMPORTRANGE(""https://docs.google.com/spreadsheets/d/1YTZo6WM2dQ6Ix6FSdnL5P7uVnVKu40sxZu975tgG10E/edit?usp=sharing"",""นครปฐม!J89"")"),0)</f>
        <v>0</v>
      </c>
      <c r="AO60" s="93">
        <f ca="1">IFERROR(__xludf.DUMMYFUNCTION("IMPORTRANGE(""https://docs.google.com/spreadsheets/d/1YTZo6WM2dQ6Ix6FSdnL5P7uVnVKu40sxZu975tgG10E/edit?usp=sharing"",""นครปฐม!I90"")"),0)</f>
        <v>0</v>
      </c>
      <c r="AP60" s="97">
        <f ca="1">IFERROR(__xludf.DUMMYFUNCTION("IMPORTRANGE(""https://docs.google.com/spreadsheets/d/1YTZo6WM2dQ6Ix6FSdnL5P7uVnVKu40sxZu975tgG10E/edit?usp=sharing"",""นครปฐม!J90"")"),0)</f>
        <v>0</v>
      </c>
      <c r="AQ60" s="95">
        <f t="shared" ca="1" si="42"/>
        <v>0</v>
      </c>
    </row>
    <row r="61" spans="1:43" ht="21" customHeight="1" x14ac:dyDescent="0.3">
      <c r="A61" s="89">
        <v>9</v>
      </c>
      <c r="B61" s="90" t="s">
        <v>87</v>
      </c>
      <c r="C61" s="91">
        <f t="shared" ca="1" si="26"/>
        <v>0</v>
      </c>
      <c r="D61" s="92">
        <f t="shared" ca="1" si="55"/>
        <v>0</v>
      </c>
      <c r="E61" s="93">
        <f ca="1">IFERROR(__xludf.DUMMYFUNCTION("IMPORTRANGE(""https://docs.google.com/spreadsheets/d/1-uDff_7J0KD5mKrp0Vvzr7lt3OU09vwQwhkpOPPYv2Y/edit?usp=sharing"",""งบพรบ!AN61"")"),0)</f>
        <v>0</v>
      </c>
      <c r="F61" s="93">
        <f ca="1">IFERROR(__xludf.DUMMYFUNCTION("IMPORTRANGE(""https://docs.google.com/spreadsheets/d/1-uDff_7J0KD5mKrp0Vvzr7lt3OU09vwQwhkpOPPYv2Y/edit?usp=sharing"",""งบพรบ!AO61"")"),0)</f>
        <v>0</v>
      </c>
      <c r="G61" s="93">
        <f ca="1">IFERROR(__xludf.DUMMYFUNCTION("IMPORTRANGE(""https://docs.google.com/spreadsheets/d/1-uDff_7J0KD5mKrp0Vvzr7lt3OU09vwQwhkpOPPYv2Y/edit?usp=sharing"",""งบพรบ!AP61"")"),0)</f>
        <v>0</v>
      </c>
      <c r="H61" s="93">
        <f ca="1">IFERROR(__xludf.DUMMYFUNCTION("IMPORTRANGE(""https://docs.google.com/spreadsheets/d/1-uDff_7J0KD5mKrp0Vvzr7lt3OU09vwQwhkpOPPYv2Y/edit?usp=sharing"",""งบพรบ!AR61"")"),0)</f>
        <v>0</v>
      </c>
      <c r="I61" s="93">
        <f ca="1">IFERROR(__xludf.DUMMYFUNCTION("IMPORTRANGE(""https://docs.google.com/spreadsheets/d/1-uDff_7J0KD5mKrp0Vvzr7lt3OU09vwQwhkpOPPYv2Y/edit?usp=sharing"",""งบพรบ!AS61"")"),0)</f>
        <v>0</v>
      </c>
      <c r="J61" s="93">
        <f t="shared" ca="1" si="28"/>
        <v>0</v>
      </c>
      <c r="K61" s="94">
        <f t="shared" ca="1" si="29"/>
        <v>0</v>
      </c>
      <c r="L61" s="93">
        <f ca="1">IFERROR(__xludf.DUMMYFUNCTION("IMPORTRANGE(""https://docs.google.com/spreadsheets/d/1-uDff_7J0KD5mKrp0Vvzr7lt3OU09vwQwhkpOPPYv2Y/edit?usp=sharing"",""งบพรบ!AT61"")"),0)</f>
        <v>0</v>
      </c>
      <c r="M61" s="95">
        <f t="shared" ca="1" si="30"/>
        <v>0</v>
      </c>
      <c r="N61" s="95">
        <f t="shared" ca="1" si="31"/>
        <v>0</v>
      </c>
      <c r="O61" s="96">
        <f ca="1">IFERROR(__xludf.DUMMYFUNCTION("IMPORTRANGE(""https://docs.google.com/spreadsheets/d/1-uDff_7J0KD5mKrp0Vvzr7lt3OU09vwQwhkpOPPYv2Y/edit?usp=sharing"",""งบพรบ!AU61"")"),0)</f>
        <v>0</v>
      </c>
      <c r="P61" s="96">
        <f t="shared" ca="1" si="32"/>
        <v>0</v>
      </c>
      <c r="Q61" s="95">
        <f t="shared" ca="1" si="33"/>
        <v>0</v>
      </c>
      <c r="R61" s="86">
        <f ca="1">IFERROR(__xludf.DUMMYFUNCTION("IMPORTRANGE(""https://docs.google.com/spreadsheets/d/1OYoGg4WDg5RIzwGeB10padOxJF9E_Vljuvvct_M7RDo/edit?usp=sharing"",""ปทุมธานี!Q72"")"),0)</f>
        <v>0</v>
      </c>
      <c r="S61" s="86">
        <f ca="1">IFERROR(__xludf.DUMMYFUNCTION("IMPORTRANGE(""https://docs.google.com/spreadsheets/d/1OYoGg4WDg5RIzwGeB10padOxJF9E_Vljuvvct_M7RDo/edit?usp=sharing"",""ปทุมธานี!R72"")"),0)</f>
        <v>0</v>
      </c>
      <c r="T61" s="86">
        <f ca="1">IFERROR(__xludf.DUMMYFUNCTION("IMPORTRANGE(""https://docs.google.com/spreadsheets/d/1OYoGg4WDg5RIzwGeB10padOxJF9E_Vljuvvct_M7RDo/edit?usp=sharing"",""ปทุมธานี!S72"")"),0)</f>
        <v>0</v>
      </c>
      <c r="U61" s="87">
        <f t="shared" ca="1" si="35"/>
        <v>0</v>
      </c>
      <c r="V61" s="87">
        <f t="shared" ca="1" si="36"/>
        <v>0</v>
      </c>
      <c r="W61" s="97">
        <f t="shared" ca="1" si="37"/>
        <v>0</v>
      </c>
      <c r="X61" s="97">
        <f t="shared" ca="1" si="38"/>
        <v>0</v>
      </c>
      <c r="Y61" s="97">
        <f t="shared" ca="1" si="56"/>
        <v>0</v>
      </c>
      <c r="Z61" s="98">
        <f t="shared" ca="1" si="39"/>
        <v>0</v>
      </c>
      <c r="AA61" s="97">
        <f t="shared" ca="1" si="57"/>
        <v>0</v>
      </c>
      <c r="AB61" s="98">
        <f t="shared" ca="1" si="40"/>
        <v>0</v>
      </c>
      <c r="AC61" s="93">
        <f ca="1">IFERROR(__xludf.DUMMYFUNCTION("IMPORTRANGE(""https://docs.google.com/spreadsheets/d/1OYoGg4WDg5RIzwGeB10padOxJF9E_Vljuvvct_M7RDo/edit?usp=sharing"",""ปทุมธานี!I84"")"),0)</f>
        <v>0</v>
      </c>
      <c r="AD61" s="93">
        <f ca="1">IFERROR(__xludf.DUMMYFUNCTION("IMPORTRANGE(""https://docs.google.com/spreadsheets/d/1OYoGg4WDg5RIzwGeB10padOxJF9E_Vljuvvct_M7RDo/edit?usp=sharing"",""ปทุมธานี!I85"")"),0)</f>
        <v>0</v>
      </c>
      <c r="AE61" s="97">
        <f ca="1">IFERROR(__xludf.DUMMYFUNCTION("IMPORTRANGE(""https://docs.google.com/spreadsheets/d/1OYoGg4WDg5RIzwGeB10padOxJF9E_Vljuvvct_M7RDo/edit?usp=sharing"",""ปทุมธานี!J84"")"),0)</f>
        <v>0</v>
      </c>
      <c r="AF61" s="97">
        <f ca="1">IFERROR(__xludf.DUMMYFUNCTION("IMPORTRANGE(""https://docs.google.com/spreadsheets/d/1OYoGg4WDg5RIzwGeB10padOxJF9E_Vljuvvct_M7RDo/edit?usp=sharing"",""ปทุมธานี!J85"")"),0)</f>
        <v>0</v>
      </c>
      <c r="AG61" s="93">
        <f ca="1">IFERROR(__xludf.DUMMYFUNCTION("IMPORTRANGE(""https://docs.google.com/spreadsheets/d/1OYoGg4WDg5RIzwGeB10padOxJF9E_Vljuvvct_M7RDo/edit?usp=sharing"",""ปทุมธานี!I86"")"),0)</f>
        <v>0</v>
      </c>
      <c r="AH61" s="93">
        <f ca="1">IFERROR(__xludf.DUMMYFUNCTION("IMPORTRANGE(""https://docs.google.com/spreadsheets/d/1OYoGg4WDg5RIzwGeB10padOxJF9E_Vljuvvct_M7RDo/edit?usp=sharing"",""ปทุมธานี!I87"")"),0)</f>
        <v>0</v>
      </c>
      <c r="AI61" s="97">
        <f ca="1">IFERROR(__xludf.DUMMYFUNCTION("IMPORTRANGE(""https://docs.google.com/spreadsheets/d/1OYoGg4WDg5RIzwGeB10padOxJF9E_Vljuvvct_M7RDo/edit?usp=sharing"",""ปทุมธานี!J86"")"),0)</f>
        <v>0</v>
      </c>
      <c r="AJ61" s="97">
        <f ca="1">IFERROR(__xludf.DUMMYFUNCTION("IMPORTRANGE(""https://docs.google.com/spreadsheets/d/1OYoGg4WDg5RIzwGeB10padOxJF9E_Vljuvvct_M7RDo/edit?usp=sharing"",""ปทุมธานี!J87"")"),0)</f>
        <v>0</v>
      </c>
      <c r="AK61" s="93">
        <f ca="1">IFERROR(__xludf.DUMMYFUNCTION("IMPORTRANGE(""https://docs.google.com/spreadsheets/d/1OYoGg4WDg5RIzwGeB10padOxJF9E_Vljuvvct_M7RDo/edit?usp=sharing"",""ปทุมธานี!I88"")"),0)</f>
        <v>0</v>
      </c>
      <c r="AL61" s="93">
        <f ca="1">IFERROR(__xludf.DUMMYFUNCTION("IMPORTRANGE(""https://docs.google.com/spreadsheets/d/1OYoGg4WDg5RIzwGeB10padOxJF9E_Vljuvvct_M7RDo/edit?usp=sharing"",""ปทุมธานี!I89"")"),0)</f>
        <v>0</v>
      </c>
      <c r="AM61" s="97">
        <f ca="1">IFERROR(__xludf.DUMMYFUNCTION("IMPORTRANGE(""https://docs.google.com/spreadsheets/d/1OYoGg4WDg5RIzwGeB10padOxJF9E_Vljuvvct_M7RDo/edit?usp=sharing"",""ปทุมธานี!J88"")"),0)</f>
        <v>0</v>
      </c>
      <c r="AN61" s="97">
        <f ca="1">IFERROR(__xludf.DUMMYFUNCTION("IMPORTRANGE(""https://docs.google.com/spreadsheets/d/1OYoGg4WDg5RIzwGeB10padOxJF9E_Vljuvvct_M7RDo/edit?usp=sharing"",""ปทุมธานี!J89"")"),0)</f>
        <v>0</v>
      </c>
      <c r="AO61" s="93">
        <f ca="1">IFERROR(__xludf.DUMMYFUNCTION("IMPORTRANGE(""https://docs.google.com/spreadsheets/d/1OYoGg4WDg5RIzwGeB10padOxJF9E_Vljuvvct_M7RDo/edit?usp=sharing"",""ปทุมธานี!I90"")"),0)</f>
        <v>0</v>
      </c>
      <c r="AP61" s="97">
        <f ca="1">IFERROR(__xludf.DUMMYFUNCTION("IMPORTRANGE(""https://docs.google.com/spreadsheets/d/1OYoGg4WDg5RIzwGeB10padOxJF9E_Vljuvvct_M7RDo/edit?usp=sharing"",""ปทุมธานี!J90"")"),0)</f>
        <v>0</v>
      </c>
      <c r="AQ61" s="95">
        <f t="shared" ca="1" si="42"/>
        <v>0</v>
      </c>
    </row>
    <row r="62" spans="1:43" ht="21" customHeight="1" x14ac:dyDescent="0.3">
      <c r="A62" s="89">
        <v>10</v>
      </c>
      <c r="B62" s="90" t="s">
        <v>88</v>
      </c>
      <c r="C62" s="91">
        <f t="shared" ca="1" si="26"/>
        <v>0</v>
      </c>
      <c r="D62" s="92">
        <f t="shared" ca="1" si="55"/>
        <v>0</v>
      </c>
      <c r="E62" s="93">
        <f ca="1">IFERROR(__xludf.DUMMYFUNCTION("IMPORTRANGE(""https://docs.google.com/spreadsheets/d/1-uDff_7J0KD5mKrp0Vvzr7lt3OU09vwQwhkpOPPYv2Y/edit?usp=sharing"",""งบพรบ!AN62"")"),0)</f>
        <v>0</v>
      </c>
      <c r="F62" s="93">
        <f ca="1">IFERROR(__xludf.DUMMYFUNCTION("IMPORTRANGE(""https://docs.google.com/spreadsheets/d/1-uDff_7J0KD5mKrp0Vvzr7lt3OU09vwQwhkpOPPYv2Y/edit?usp=sharing"",""งบพรบ!AO62"")"),0)</f>
        <v>0</v>
      </c>
      <c r="G62" s="93">
        <f ca="1">IFERROR(__xludf.DUMMYFUNCTION("IMPORTRANGE(""https://docs.google.com/spreadsheets/d/1-uDff_7J0KD5mKrp0Vvzr7lt3OU09vwQwhkpOPPYv2Y/edit?usp=sharing"",""งบพรบ!AP62"")"),0)</f>
        <v>0</v>
      </c>
      <c r="H62" s="93">
        <f ca="1">IFERROR(__xludf.DUMMYFUNCTION("IMPORTRANGE(""https://docs.google.com/spreadsheets/d/1-uDff_7J0KD5mKrp0Vvzr7lt3OU09vwQwhkpOPPYv2Y/edit?usp=sharing"",""งบพรบ!AR62"")"),0)</f>
        <v>0</v>
      </c>
      <c r="I62" s="93">
        <f ca="1">IFERROR(__xludf.DUMMYFUNCTION("IMPORTRANGE(""https://docs.google.com/spreadsheets/d/1-uDff_7J0KD5mKrp0Vvzr7lt3OU09vwQwhkpOPPYv2Y/edit?usp=sharing"",""งบพรบ!AS62"")"),0)</f>
        <v>0</v>
      </c>
      <c r="J62" s="93">
        <f t="shared" ca="1" si="28"/>
        <v>0</v>
      </c>
      <c r="K62" s="94">
        <f t="shared" ca="1" si="29"/>
        <v>0</v>
      </c>
      <c r="L62" s="93">
        <f ca="1">IFERROR(__xludf.DUMMYFUNCTION("IMPORTRANGE(""https://docs.google.com/spreadsheets/d/1-uDff_7J0KD5mKrp0Vvzr7lt3OU09vwQwhkpOPPYv2Y/edit?usp=sharing"",""งบพรบ!AT62"")"),0)</f>
        <v>0</v>
      </c>
      <c r="M62" s="95">
        <f t="shared" ca="1" si="30"/>
        <v>0</v>
      </c>
      <c r="N62" s="95">
        <f t="shared" ca="1" si="31"/>
        <v>0</v>
      </c>
      <c r="O62" s="96">
        <f ca="1">IFERROR(__xludf.DUMMYFUNCTION("IMPORTRANGE(""https://docs.google.com/spreadsheets/d/1-uDff_7J0KD5mKrp0Vvzr7lt3OU09vwQwhkpOPPYv2Y/edit?usp=sharing"",""งบพรบ!AU62"")"),0)</f>
        <v>0</v>
      </c>
      <c r="P62" s="96">
        <f t="shared" ca="1" si="32"/>
        <v>0</v>
      </c>
      <c r="Q62" s="95">
        <f t="shared" ca="1" si="33"/>
        <v>0</v>
      </c>
      <c r="R62" s="86">
        <f ca="1">IFERROR(__xludf.DUMMYFUNCTION("IMPORTRANGE(""https://docs.google.com/spreadsheets/d/1GbCIE4D4wk9FUozzqk7SxfDMxDVBwVmI5zcaVUSzKAc/edit?usp=sharing"",""ประจวบคีรีขันธ์!Q72"")"),0)</f>
        <v>0</v>
      </c>
      <c r="S62" s="86">
        <f ca="1">IFERROR(__xludf.DUMMYFUNCTION("IMPORTRANGE(""https://docs.google.com/spreadsheets/d/1GbCIE4D4wk9FUozzqk7SxfDMxDVBwVmI5zcaVUSzKAc/edit?usp=sharing"",""ประจวบคีรีขันธ์!R72"")"),0)</f>
        <v>0</v>
      </c>
      <c r="T62" s="86">
        <f ca="1">IFERROR(__xludf.DUMMYFUNCTION("IMPORTRANGE(""https://docs.google.com/spreadsheets/d/1GbCIE4D4wk9FUozzqk7SxfDMxDVBwVmI5zcaVUSzKAc/edit?usp=sharing"",""ประจวบคีรีขันธ์!S72"")"),0)</f>
        <v>0</v>
      </c>
      <c r="U62" s="87">
        <f t="shared" ca="1" si="35"/>
        <v>0</v>
      </c>
      <c r="V62" s="87">
        <f t="shared" ca="1" si="36"/>
        <v>0</v>
      </c>
      <c r="W62" s="97">
        <f t="shared" ca="1" si="37"/>
        <v>0</v>
      </c>
      <c r="X62" s="97">
        <f t="shared" ca="1" si="38"/>
        <v>0</v>
      </c>
      <c r="Y62" s="97">
        <f t="shared" ca="1" si="56"/>
        <v>0</v>
      </c>
      <c r="Z62" s="98">
        <f t="shared" ca="1" si="39"/>
        <v>0</v>
      </c>
      <c r="AA62" s="97">
        <f t="shared" ca="1" si="57"/>
        <v>0</v>
      </c>
      <c r="AB62" s="98">
        <f t="shared" ca="1" si="40"/>
        <v>0</v>
      </c>
      <c r="AC62" s="93">
        <f ca="1">IFERROR(__xludf.DUMMYFUNCTION("IMPORTRANGE(""https://docs.google.com/spreadsheets/d/1GbCIE4D4wk9FUozzqk7SxfDMxDVBwVmI5zcaVUSzKAc/edit?usp=sharing"",""ประจวบคีรีขันธ์!I84"")"),0)</f>
        <v>0</v>
      </c>
      <c r="AD62" s="93">
        <f ca="1">IFERROR(__xludf.DUMMYFUNCTION("IMPORTRANGE(""https://docs.google.com/spreadsheets/d/1GbCIE4D4wk9FUozzqk7SxfDMxDVBwVmI5zcaVUSzKAc/edit?usp=sharing"",""ประจวบคีรีขันธ์!I85"")"),0)</f>
        <v>0</v>
      </c>
      <c r="AE62" s="97">
        <f ca="1">IFERROR(__xludf.DUMMYFUNCTION("IMPORTRANGE(""https://docs.google.com/spreadsheets/d/1GbCIE4D4wk9FUozzqk7SxfDMxDVBwVmI5zcaVUSzKAc/edit?usp=sharing"",""ประจวบคีรีขันธ์!J84"")"),0)</f>
        <v>0</v>
      </c>
      <c r="AF62" s="97">
        <f ca="1">IFERROR(__xludf.DUMMYFUNCTION("IMPORTRANGE(""https://docs.google.com/spreadsheets/d/1GbCIE4D4wk9FUozzqk7SxfDMxDVBwVmI5zcaVUSzKAc/edit?usp=sharing"",""ประจวบคีรีขันธ์!J85"")"),0)</f>
        <v>0</v>
      </c>
      <c r="AG62" s="93">
        <f ca="1">IFERROR(__xludf.DUMMYFUNCTION("IMPORTRANGE(""https://docs.google.com/spreadsheets/d/1GbCIE4D4wk9FUozzqk7SxfDMxDVBwVmI5zcaVUSzKAc/edit?usp=sharing"",""ประจวบคีรีขันธ์!I86"")"),0)</f>
        <v>0</v>
      </c>
      <c r="AH62" s="93">
        <f ca="1">IFERROR(__xludf.DUMMYFUNCTION("IMPORTRANGE(""https://docs.google.com/spreadsheets/d/1GbCIE4D4wk9FUozzqk7SxfDMxDVBwVmI5zcaVUSzKAc/edit?usp=sharing"",""ประจวบคีรีขันธ์!I87"")"),0)</f>
        <v>0</v>
      </c>
      <c r="AI62" s="97">
        <f ca="1">IFERROR(__xludf.DUMMYFUNCTION("IMPORTRANGE(""https://docs.google.com/spreadsheets/d/1GbCIE4D4wk9FUozzqk7SxfDMxDVBwVmI5zcaVUSzKAc/edit?usp=sharing"",""ประจวบคีรีขันธ์!J86"")"),0)</f>
        <v>0</v>
      </c>
      <c r="AJ62" s="97">
        <f ca="1">IFERROR(__xludf.DUMMYFUNCTION("IMPORTRANGE(""https://docs.google.com/spreadsheets/d/1GbCIE4D4wk9FUozzqk7SxfDMxDVBwVmI5zcaVUSzKAc/edit?usp=sharing"",""ประจวบคีรีขันธ์!J87"")"),0)</f>
        <v>0</v>
      </c>
      <c r="AK62" s="93">
        <f ca="1">IFERROR(__xludf.DUMMYFUNCTION("IMPORTRANGE(""https://docs.google.com/spreadsheets/d/1GbCIE4D4wk9FUozzqk7SxfDMxDVBwVmI5zcaVUSzKAc/edit?usp=sharing"",""ประจวบคีรีขันธ์!I88"")"),0)</f>
        <v>0</v>
      </c>
      <c r="AL62" s="93">
        <f ca="1">IFERROR(__xludf.DUMMYFUNCTION("IMPORTRANGE(""https://docs.google.com/spreadsheets/d/1GbCIE4D4wk9FUozzqk7SxfDMxDVBwVmI5zcaVUSzKAc/edit?usp=sharing"",""ประจวบคีรีขันธ์!I89"")"),0)</f>
        <v>0</v>
      </c>
      <c r="AM62" s="97">
        <f ca="1">IFERROR(__xludf.DUMMYFUNCTION("IMPORTRANGE(""https://docs.google.com/spreadsheets/d/1GbCIE4D4wk9FUozzqk7SxfDMxDVBwVmI5zcaVUSzKAc/edit?usp=sharing"",""ประจวบคีรีขันธ์!J88"")"),0)</f>
        <v>0</v>
      </c>
      <c r="AN62" s="97">
        <f ca="1">IFERROR(__xludf.DUMMYFUNCTION("IMPORTRANGE(""https://docs.google.com/spreadsheets/d/1GbCIE4D4wk9FUozzqk7SxfDMxDVBwVmI5zcaVUSzKAc/edit?usp=sharing"",""ประจวบคีรีขันธ์!J89"")"),0)</f>
        <v>0</v>
      </c>
      <c r="AO62" s="93">
        <f ca="1">IFERROR(__xludf.DUMMYFUNCTION("IMPORTRANGE(""https://docs.google.com/spreadsheets/d/1GbCIE4D4wk9FUozzqk7SxfDMxDVBwVmI5zcaVUSzKAc/edit?usp=sharing"",""ประจวบคีรีขันธ์!I90"")"),0)</f>
        <v>0</v>
      </c>
      <c r="AP62" s="97">
        <f ca="1">IFERROR(__xludf.DUMMYFUNCTION("IMPORTRANGE(""https://docs.google.com/spreadsheets/d/1GbCIE4D4wk9FUozzqk7SxfDMxDVBwVmI5zcaVUSzKAc/edit?usp=sharing"",""ประจวบคีรีขันธ์!J90"")"),0)</f>
        <v>0</v>
      </c>
      <c r="AQ62" s="95">
        <f t="shared" ca="1" si="42"/>
        <v>0</v>
      </c>
    </row>
    <row r="63" spans="1:43" ht="21" customHeight="1" x14ac:dyDescent="0.3">
      <c r="A63" s="89">
        <v>11</v>
      </c>
      <c r="B63" s="90" t="s">
        <v>89</v>
      </c>
      <c r="C63" s="91">
        <f t="shared" ca="1" si="26"/>
        <v>0</v>
      </c>
      <c r="D63" s="92">
        <f t="shared" ca="1" si="55"/>
        <v>0</v>
      </c>
      <c r="E63" s="93">
        <f ca="1">IFERROR(__xludf.DUMMYFUNCTION("IMPORTRANGE(""https://docs.google.com/spreadsheets/d/1-uDff_7J0KD5mKrp0Vvzr7lt3OU09vwQwhkpOPPYv2Y/edit?usp=sharing"",""งบพรบ!AN63"")"),0)</f>
        <v>0</v>
      </c>
      <c r="F63" s="93">
        <f ca="1">IFERROR(__xludf.DUMMYFUNCTION("IMPORTRANGE(""https://docs.google.com/spreadsheets/d/1-uDff_7J0KD5mKrp0Vvzr7lt3OU09vwQwhkpOPPYv2Y/edit?usp=sharing"",""งบพรบ!AO63"")"),0)</f>
        <v>0</v>
      </c>
      <c r="G63" s="93">
        <f ca="1">IFERROR(__xludf.DUMMYFUNCTION("IMPORTRANGE(""https://docs.google.com/spreadsheets/d/1-uDff_7J0KD5mKrp0Vvzr7lt3OU09vwQwhkpOPPYv2Y/edit?usp=sharing"",""งบพรบ!AP63"")"),0)</f>
        <v>0</v>
      </c>
      <c r="H63" s="93">
        <f ca="1">IFERROR(__xludf.DUMMYFUNCTION("IMPORTRANGE(""https://docs.google.com/spreadsheets/d/1-uDff_7J0KD5mKrp0Vvzr7lt3OU09vwQwhkpOPPYv2Y/edit?usp=sharing"",""งบพรบ!AR63"")"),0)</f>
        <v>0</v>
      </c>
      <c r="I63" s="93">
        <f ca="1">IFERROR(__xludf.DUMMYFUNCTION("IMPORTRANGE(""https://docs.google.com/spreadsheets/d/1-uDff_7J0KD5mKrp0Vvzr7lt3OU09vwQwhkpOPPYv2Y/edit?usp=sharing"",""งบพรบ!AS63"")"),0)</f>
        <v>0</v>
      </c>
      <c r="J63" s="93">
        <f t="shared" ca="1" si="28"/>
        <v>0</v>
      </c>
      <c r="K63" s="94">
        <f t="shared" ca="1" si="29"/>
        <v>0</v>
      </c>
      <c r="L63" s="93">
        <f ca="1">IFERROR(__xludf.DUMMYFUNCTION("IMPORTRANGE(""https://docs.google.com/spreadsheets/d/1-uDff_7J0KD5mKrp0Vvzr7lt3OU09vwQwhkpOPPYv2Y/edit?usp=sharing"",""งบพรบ!AT63"")"),0)</f>
        <v>0</v>
      </c>
      <c r="M63" s="95">
        <f t="shared" ca="1" si="30"/>
        <v>0</v>
      </c>
      <c r="N63" s="95">
        <f t="shared" ca="1" si="31"/>
        <v>0</v>
      </c>
      <c r="O63" s="96">
        <f ca="1">IFERROR(__xludf.DUMMYFUNCTION("IMPORTRANGE(""https://docs.google.com/spreadsheets/d/1-uDff_7J0KD5mKrp0Vvzr7lt3OU09vwQwhkpOPPYv2Y/edit?usp=sharing"",""งบพรบ!AU63"")"),0)</f>
        <v>0</v>
      </c>
      <c r="P63" s="96">
        <f t="shared" ca="1" si="32"/>
        <v>0</v>
      </c>
      <c r="Q63" s="95">
        <f t="shared" ca="1" si="33"/>
        <v>0</v>
      </c>
      <c r="R63" s="86">
        <f ca="1">IFERROR(__xludf.DUMMYFUNCTION("IMPORTRANGE(""https://docs.google.com/spreadsheets/d/1vVf6wykvW_lAyu7Yo9L4hUTqHqIeP_qcVuxCtosJEbg/edit?usp=sharing"",""ปราจีนบุรี!Q72"")"),0)</f>
        <v>0</v>
      </c>
      <c r="S63" s="86">
        <f ca="1">IFERROR(__xludf.DUMMYFUNCTION("IMPORTRANGE(""https://docs.google.com/spreadsheets/d/1vVf6wykvW_lAyu7Yo9L4hUTqHqIeP_qcVuxCtosJEbg/edit?usp=sharing"",""ปราจีนบุรี!R72"")"),0)</f>
        <v>0</v>
      </c>
      <c r="T63" s="86">
        <f ca="1">IFERROR(__xludf.DUMMYFUNCTION("IMPORTRANGE(""https://docs.google.com/spreadsheets/d/1vVf6wykvW_lAyu7Yo9L4hUTqHqIeP_qcVuxCtosJEbg/edit?usp=sharing"",""ปราจีนบุรี!S72"")"),0)</f>
        <v>0</v>
      </c>
      <c r="U63" s="87">
        <f t="shared" ca="1" si="35"/>
        <v>0</v>
      </c>
      <c r="V63" s="87">
        <f t="shared" ca="1" si="36"/>
        <v>0</v>
      </c>
      <c r="W63" s="97">
        <f t="shared" ca="1" si="37"/>
        <v>0</v>
      </c>
      <c r="X63" s="97">
        <f t="shared" ca="1" si="38"/>
        <v>0</v>
      </c>
      <c r="Y63" s="97">
        <f t="shared" ca="1" si="56"/>
        <v>0</v>
      </c>
      <c r="Z63" s="98">
        <f t="shared" ca="1" si="39"/>
        <v>0</v>
      </c>
      <c r="AA63" s="97">
        <f t="shared" ca="1" si="57"/>
        <v>0</v>
      </c>
      <c r="AB63" s="98">
        <f t="shared" ca="1" si="40"/>
        <v>0</v>
      </c>
      <c r="AC63" s="93">
        <f ca="1">IFERROR(__xludf.DUMMYFUNCTION("IMPORTRANGE(""https://docs.google.com/spreadsheets/d/1vVf6wykvW_lAyu7Yo9L4hUTqHqIeP_qcVuxCtosJEbg/edit?usp=sharing"",""ปราจีนบุรี!I84"")"),0)</f>
        <v>0</v>
      </c>
      <c r="AD63" s="93">
        <f ca="1">IFERROR(__xludf.DUMMYFUNCTION("IMPORTRANGE(""https://docs.google.com/spreadsheets/d/1vVf6wykvW_lAyu7Yo9L4hUTqHqIeP_qcVuxCtosJEbg/edit?usp=sharing"",""ปราจีนบุรี!I85"")"),0)</f>
        <v>0</v>
      </c>
      <c r="AE63" s="97">
        <f ca="1">IFERROR(__xludf.DUMMYFUNCTION("IMPORTRANGE(""https://docs.google.com/spreadsheets/d/1vVf6wykvW_lAyu7Yo9L4hUTqHqIeP_qcVuxCtosJEbg/edit?usp=sharing"",""ปราจีนบุรี!J84"")"),0)</f>
        <v>0</v>
      </c>
      <c r="AF63" s="97">
        <f ca="1">IFERROR(__xludf.DUMMYFUNCTION("IMPORTRANGE(""https://docs.google.com/spreadsheets/d/1vVf6wykvW_lAyu7Yo9L4hUTqHqIeP_qcVuxCtosJEbg/edit?usp=sharing"",""ปราจีนบุรี!J85"")"),0)</f>
        <v>0</v>
      </c>
      <c r="AG63" s="93">
        <f ca="1">IFERROR(__xludf.DUMMYFUNCTION("IMPORTRANGE(""https://docs.google.com/spreadsheets/d/1vVf6wykvW_lAyu7Yo9L4hUTqHqIeP_qcVuxCtosJEbg/edit?usp=sharing"",""ปราจีนบุรี!I86"")"),0)</f>
        <v>0</v>
      </c>
      <c r="AH63" s="93">
        <f ca="1">IFERROR(__xludf.DUMMYFUNCTION("IMPORTRANGE(""https://docs.google.com/spreadsheets/d/1vVf6wykvW_lAyu7Yo9L4hUTqHqIeP_qcVuxCtosJEbg/edit?usp=sharing"",""ปราจีนบุรี!I87"")"),0)</f>
        <v>0</v>
      </c>
      <c r="AI63" s="97">
        <f ca="1">IFERROR(__xludf.DUMMYFUNCTION("IMPORTRANGE(""https://docs.google.com/spreadsheets/d/1vVf6wykvW_lAyu7Yo9L4hUTqHqIeP_qcVuxCtosJEbg/edit?usp=sharing"",""ปราจีนบุรี!J86"")"),0)</f>
        <v>0</v>
      </c>
      <c r="AJ63" s="97">
        <f ca="1">IFERROR(__xludf.DUMMYFUNCTION("IMPORTRANGE(""https://docs.google.com/spreadsheets/d/1vVf6wykvW_lAyu7Yo9L4hUTqHqIeP_qcVuxCtosJEbg/edit?usp=sharing"",""ปราจีนบุรี!J87"")"),0)</f>
        <v>0</v>
      </c>
      <c r="AK63" s="93">
        <f ca="1">IFERROR(__xludf.DUMMYFUNCTION("IMPORTRANGE(""https://docs.google.com/spreadsheets/d/1vVf6wykvW_lAyu7Yo9L4hUTqHqIeP_qcVuxCtosJEbg/edit?usp=sharing"",""ปราจีนบุรี!I88"")"),0)</f>
        <v>0</v>
      </c>
      <c r="AL63" s="93">
        <f ca="1">IFERROR(__xludf.DUMMYFUNCTION("IMPORTRANGE(""https://docs.google.com/spreadsheets/d/1vVf6wykvW_lAyu7Yo9L4hUTqHqIeP_qcVuxCtosJEbg/edit?usp=sharing"",""ปราจีนบุรี!I89"")"),0)</f>
        <v>0</v>
      </c>
      <c r="AM63" s="97">
        <f ca="1">IFERROR(__xludf.DUMMYFUNCTION("IMPORTRANGE(""https://docs.google.com/spreadsheets/d/1vVf6wykvW_lAyu7Yo9L4hUTqHqIeP_qcVuxCtosJEbg/edit?usp=sharing"",""ปราจีนบุรี!J88"")"),0)</f>
        <v>0</v>
      </c>
      <c r="AN63" s="97">
        <f ca="1">IFERROR(__xludf.DUMMYFUNCTION("IMPORTRANGE(""https://docs.google.com/spreadsheets/d/1vVf6wykvW_lAyu7Yo9L4hUTqHqIeP_qcVuxCtosJEbg/edit?usp=sharing"",""ปราจีนบุรี!J89"")"),0)</f>
        <v>0</v>
      </c>
      <c r="AO63" s="93">
        <f ca="1">IFERROR(__xludf.DUMMYFUNCTION("IMPORTRANGE(""https://docs.google.com/spreadsheets/d/1vVf6wykvW_lAyu7Yo9L4hUTqHqIeP_qcVuxCtosJEbg/edit?usp=sharing"",""ปราจีนบุรี!I90"")"),0)</f>
        <v>0</v>
      </c>
      <c r="AP63" s="97">
        <f ca="1">IFERROR(__xludf.DUMMYFUNCTION("IMPORTRANGE(""https://docs.google.com/spreadsheets/d/1vVf6wykvW_lAyu7Yo9L4hUTqHqIeP_qcVuxCtosJEbg/edit?usp=sharing"",""ปราจีนบุรี!J90"")"),0)</f>
        <v>0</v>
      </c>
      <c r="AQ63" s="95">
        <f t="shared" ca="1" si="42"/>
        <v>0</v>
      </c>
    </row>
    <row r="64" spans="1:43" ht="21" customHeight="1" x14ac:dyDescent="0.3">
      <c r="A64" s="89">
        <v>12</v>
      </c>
      <c r="B64" s="90" t="s">
        <v>90</v>
      </c>
      <c r="C64" s="91">
        <f t="shared" ca="1" si="26"/>
        <v>0</v>
      </c>
      <c r="D64" s="92">
        <f t="shared" ca="1" si="55"/>
        <v>0</v>
      </c>
      <c r="E64" s="93">
        <f ca="1">IFERROR(__xludf.DUMMYFUNCTION("IMPORTRANGE(""https://docs.google.com/spreadsheets/d/1-uDff_7J0KD5mKrp0Vvzr7lt3OU09vwQwhkpOPPYv2Y/edit?usp=sharing"",""งบพรบ!AN64"")"),0)</f>
        <v>0</v>
      </c>
      <c r="F64" s="93">
        <f ca="1">IFERROR(__xludf.DUMMYFUNCTION("IMPORTRANGE(""https://docs.google.com/spreadsheets/d/1-uDff_7J0KD5mKrp0Vvzr7lt3OU09vwQwhkpOPPYv2Y/edit?usp=sharing"",""งบพรบ!AO64"")"),0)</f>
        <v>0</v>
      </c>
      <c r="G64" s="93">
        <f ca="1">IFERROR(__xludf.DUMMYFUNCTION("IMPORTRANGE(""https://docs.google.com/spreadsheets/d/1-uDff_7J0KD5mKrp0Vvzr7lt3OU09vwQwhkpOPPYv2Y/edit?usp=sharing"",""งบพรบ!AP64"")"),0)</f>
        <v>0</v>
      </c>
      <c r="H64" s="93">
        <f ca="1">IFERROR(__xludf.DUMMYFUNCTION("IMPORTRANGE(""https://docs.google.com/spreadsheets/d/1-uDff_7J0KD5mKrp0Vvzr7lt3OU09vwQwhkpOPPYv2Y/edit?usp=sharing"",""งบพรบ!AR64"")"),0)</f>
        <v>0</v>
      </c>
      <c r="I64" s="93">
        <f ca="1">IFERROR(__xludf.DUMMYFUNCTION("IMPORTRANGE(""https://docs.google.com/spreadsheets/d/1-uDff_7J0KD5mKrp0Vvzr7lt3OU09vwQwhkpOPPYv2Y/edit?usp=sharing"",""งบพรบ!AS64"")"),0)</f>
        <v>0</v>
      </c>
      <c r="J64" s="93">
        <f t="shared" ca="1" si="28"/>
        <v>0</v>
      </c>
      <c r="K64" s="94">
        <f t="shared" ca="1" si="29"/>
        <v>0</v>
      </c>
      <c r="L64" s="93">
        <f ca="1">IFERROR(__xludf.DUMMYFUNCTION("IMPORTRANGE(""https://docs.google.com/spreadsheets/d/1-uDff_7J0KD5mKrp0Vvzr7lt3OU09vwQwhkpOPPYv2Y/edit?usp=sharing"",""งบพรบ!AT64"")"),0)</f>
        <v>0</v>
      </c>
      <c r="M64" s="95">
        <f t="shared" ca="1" si="30"/>
        <v>0</v>
      </c>
      <c r="N64" s="95">
        <f t="shared" ca="1" si="31"/>
        <v>0</v>
      </c>
      <c r="O64" s="96">
        <f ca="1">IFERROR(__xludf.DUMMYFUNCTION("IMPORTRANGE(""https://docs.google.com/spreadsheets/d/1-uDff_7J0KD5mKrp0Vvzr7lt3OU09vwQwhkpOPPYv2Y/edit?usp=sharing"",""งบพรบ!AU64"")"),0)</f>
        <v>0</v>
      </c>
      <c r="P64" s="96">
        <f t="shared" ca="1" si="32"/>
        <v>0</v>
      </c>
      <c r="Q64" s="95">
        <f t="shared" ca="1" si="33"/>
        <v>0</v>
      </c>
      <c r="R64" s="86">
        <f ca="1">IFERROR(__xludf.DUMMYFUNCTION("IMPORTRANGE(""https://docs.google.com/spreadsheets/d/1BIDqLLg5jk3v59G8NlR8rk5xfQDKne0sAvZHSj7TI6I/edit?usp=sharing"",""พระนครศรีอยุธยา!Q72"")"),388700)</f>
        <v>388700</v>
      </c>
      <c r="S64" s="86">
        <f ca="1">IFERROR(__xludf.DUMMYFUNCTION("IMPORTRANGE(""https://docs.google.com/spreadsheets/d/1BIDqLLg5jk3v59G8NlR8rk5xfQDKne0sAvZHSj7TI6I/edit?usp=sharing"",""พระนครศรีอยุธยา!R72"")"),0)</f>
        <v>0</v>
      </c>
      <c r="T64" s="86">
        <f ca="1">IFERROR(__xludf.DUMMYFUNCTION("IMPORTRANGE(""https://docs.google.com/spreadsheets/d/1BIDqLLg5jk3v59G8NlR8rk5xfQDKne0sAvZHSj7TI6I/edit?usp=sharing"",""พระนครศรีอยุธยา!S72"")"),0)</f>
        <v>0</v>
      </c>
      <c r="U64" s="87">
        <f t="shared" ca="1" si="35"/>
        <v>0</v>
      </c>
      <c r="V64" s="87">
        <f t="shared" ca="1" si="36"/>
        <v>0</v>
      </c>
      <c r="W64" s="97">
        <f t="shared" ca="1" si="37"/>
        <v>1</v>
      </c>
      <c r="X64" s="97">
        <f t="shared" ca="1" si="38"/>
        <v>30</v>
      </c>
      <c r="Y64" s="97">
        <f t="shared" ca="1" si="56"/>
        <v>0</v>
      </c>
      <c r="Z64" s="98">
        <f t="shared" ca="1" si="39"/>
        <v>0</v>
      </c>
      <c r="AA64" s="97">
        <f t="shared" ca="1" si="57"/>
        <v>0</v>
      </c>
      <c r="AB64" s="98">
        <f t="shared" ca="1" si="40"/>
        <v>0</v>
      </c>
      <c r="AC64" s="93">
        <f ca="1">IFERROR(__xludf.DUMMYFUNCTION("IMPORTRANGE(""https://docs.google.com/spreadsheets/d/1BIDqLLg5jk3v59G8NlR8rk5xfQDKne0sAvZHSj7TI6I/edit?usp=sharing"",""พระนครศรีอยุธยา!I84"")"),0)</f>
        <v>0</v>
      </c>
      <c r="AD64" s="93">
        <f ca="1">IFERROR(__xludf.DUMMYFUNCTION("IMPORTRANGE(""https://docs.google.com/spreadsheets/d/1BIDqLLg5jk3v59G8NlR8rk5xfQDKne0sAvZHSj7TI6I/edit?usp=sharing"",""พระนครศรีอยุธยา!I85"")"),0)</f>
        <v>0</v>
      </c>
      <c r="AE64" s="97">
        <f ca="1">IFERROR(__xludf.DUMMYFUNCTION("IMPORTRANGE(""https://docs.google.com/spreadsheets/d/1BIDqLLg5jk3v59G8NlR8rk5xfQDKne0sAvZHSj7TI6I/edit?usp=sharing"",""พระนครศรีอยุธยา!J84"")"),0)</f>
        <v>0</v>
      </c>
      <c r="AF64" s="97">
        <f ca="1">IFERROR(__xludf.DUMMYFUNCTION("IMPORTRANGE(""https://docs.google.com/spreadsheets/d/1BIDqLLg5jk3v59G8NlR8rk5xfQDKne0sAvZHSj7TI6I/edit?usp=sharing"",""พระนครศรีอยุธยา!J85"")"),0)</f>
        <v>0</v>
      </c>
      <c r="AG64" s="93">
        <f ca="1">IFERROR(__xludf.DUMMYFUNCTION("IMPORTRANGE(""https://docs.google.com/spreadsheets/d/1BIDqLLg5jk3v59G8NlR8rk5xfQDKne0sAvZHSj7TI6I/edit?usp=sharing"",""พระนครศรีอยุธยา!I86"")"),1)</f>
        <v>1</v>
      </c>
      <c r="AH64" s="93">
        <f ca="1">IFERROR(__xludf.DUMMYFUNCTION("IMPORTRANGE(""https://docs.google.com/spreadsheets/d/1BIDqLLg5jk3v59G8NlR8rk5xfQDKne0sAvZHSj7TI6I/edit?usp=sharing"",""พระนครศรีอยุธยา!I87"")"),30)</f>
        <v>30</v>
      </c>
      <c r="AI64" s="97">
        <f ca="1">IFERROR(__xludf.DUMMYFUNCTION("IMPORTRANGE(""https://docs.google.com/spreadsheets/d/1BIDqLLg5jk3v59G8NlR8rk5xfQDKne0sAvZHSj7TI6I/edit?usp=sharing"",""พระนครศรีอยุธยา!J86"")"),0)</f>
        <v>0</v>
      </c>
      <c r="AJ64" s="97">
        <f ca="1">IFERROR(__xludf.DUMMYFUNCTION("IMPORTRANGE(""https://docs.google.com/spreadsheets/d/1BIDqLLg5jk3v59G8NlR8rk5xfQDKne0sAvZHSj7TI6I/edit?usp=sharing"",""พระนครศรีอยุธยา!J87"")"),0)</f>
        <v>0</v>
      </c>
      <c r="AK64" s="93">
        <f ca="1">IFERROR(__xludf.DUMMYFUNCTION("IMPORTRANGE(""https://docs.google.com/spreadsheets/d/1BIDqLLg5jk3v59G8NlR8rk5xfQDKne0sAvZHSj7TI6I/edit?usp=sharing"",""พระนครศรีอยุธยา!I88"")"),0)</f>
        <v>0</v>
      </c>
      <c r="AL64" s="93">
        <f ca="1">IFERROR(__xludf.DUMMYFUNCTION("IMPORTRANGE(""https://docs.google.com/spreadsheets/d/1BIDqLLg5jk3v59G8NlR8rk5xfQDKne0sAvZHSj7TI6I/edit?usp=sharing"",""พระนครศรีอยุธยา!I89"")"),0)</f>
        <v>0</v>
      </c>
      <c r="AM64" s="97">
        <f ca="1">IFERROR(__xludf.DUMMYFUNCTION("IMPORTRANGE(""https://docs.google.com/spreadsheets/d/1BIDqLLg5jk3v59G8NlR8rk5xfQDKne0sAvZHSj7TI6I/edit?usp=sharing"",""พระนครศรีอยุธยา!J88"")"),0)</f>
        <v>0</v>
      </c>
      <c r="AN64" s="97">
        <f ca="1">IFERROR(__xludf.DUMMYFUNCTION("IMPORTRANGE(""https://docs.google.com/spreadsheets/d/1BIDqLLg5jk3v59G8NlR8rk5xfQDKne0sAvZHSj7TI6I/edit?usp=sharing"",""พระนครศรีอยุธยา!J89"")"),0)</f>
        <v>0</v>
      </c>
      <c r="AO64" s="93">
        <f ca="1">IFERROR(__xludf.DUMMYFUNCTION("IMPORTRANGE(""https://docs.google.com/spreadsheets/d/1BIDqLLg5jk3v59G8NlR8rk5xfQDKne0sAvZHSj7TI6I/edit?usp=sharing"",""พระนครศรีอยุธยา!I90"")"),1)</f>
        <v>1</v>
      </c>
      <c r="AP64" s="97">
        <f ca="1">IFERROR(__xludf.DUMMYFUNCTION("IMPORTRANGE(""https://docs.google.com/spreadsheets/d/1BIDqLLg5jk3v59G8NlR8rk5xfQDKne0sAvZHSj7TI6I/edit?usp=sharing"",""พระนครศรีอยุธยา!J90"")"),0)</f>
        <v>0</v>
      </c>
      <c r="AQ64" s="95">
        <f t="shared" ca="1" si="42"/>
        <v>0</v>
      </c>
    </row>
    <row r="65" spans="1:43" ht="21" customHeight="1" x14ac:dyDescent="0.3">
      <c r="A65" s="89">
        <v>13</v>
      </c>
      <c r="B65" s="90" t="s">
        <v>91</v>
      </c>
      <c r="C65" s="91">
        <f t="shared" ca="1" si="26"/>
        <v>0</v>
      </c>
      <c r="D65" s="92">
        <f t="shared" ca="1" si="55"/>
        <v>0</v>
      </c>
      <c r="E65" s="93">
        <f ca="1">IFERROR(__xludf.DUMMYFUNCTION("IMPORTRANGE(""https://docs.google.com/spreadsheets/d/1-uDff_7J0KD5mKrp0Vvzr7lt3OU09vwQwhkpOPPYv2Y/edit?usp=sharing"",""งบพรบ!AN65"")"),0)</f>
        <v>0</v>
      </c>
      <c r="F65" s="93">
        <f ca="1">IFERROR(__xludf.DUMMYFUNCTION("IMPORTRANGE(""https://docs.google.com/spreadsheets/d/1-uDff_7J0KD5mKrp0Vvzr7lt3OU09vwQwhkpOPPYv2Y/edit?usp=sharing"",""งบพรบ!AO65"")"),0)</f>
        <v>0</v>
      </c>
      <c r="G65" s="93">
        <f ca="1">IFERROR(__xludf.DUMMYFUNCTION("IMPORTRANGE(""https://docs.google.com/spreadsheets/d/1-uDff_7J0KD5mKrp0Vvzr7lt3OU09vwQwhkpOPPYv2Y/edit?usp=sharing"",""งบพรบ!AP65"")"),0)</f>
        <v>0</v>
      </c>
      <c r="H65" s="93">
        <f ca="1">IFERROR(__xludf.DUMMYFUNCTION("IMPORTRANGE(""https://docs.google.com/spreadsheets/d/1-uDff_7J0KD5mKrp0Vvzr7lt3OU09vwQwhkpOPPYv2Y/edit?usp=sharing"",""งบพรบ!AR65"")"),0)</f>
        <v>0</v>
      </c>
      <c r="I65" s="93">
        <f ca="1">IFERROR(__xludf.DUMMYFUNCTION("IMPORTRANGE(""https://docs.google.com/spreadsheets/d/1-uDff_7J0KD5mKrp0Vvzr7lt3OU09vwQwhkpOPPYv2Y/edit?usp=sharing"",""งบพรบ!AS65"")"),0)</f>
        <v>0</v>
      </c>
      <c r="J65" s="93">
        <f t="shared" ca="1" si="28"/>
        <v>0</v>
      </c>
      <c r="K65" s="94">
        <f t="shared" ca="1" si="29"/>
        <v>0</v>
      </c>
      <c r="L65" s="93">
        <f ca="1">IFERROR(__xludf.DUMMYFUNCTION("IMPORTRANGE(""https://docs.google.com/spreadsheets/d/1-uDff_7J0KD5mKrp0Vvzr7lt3OU09vwQwhkpOPPYv2Y/edit?usp=sharing"",""งบพรบ!AT65"")"),0)</f>
        <v>0</v>
      </c>
      <c r="M65" s="95">
        <f t="shared" ca="1" si="30"/>
        <v>0</v>
      </c>
      <c r="N65" s="95">
        <f t="shared" ca="1" si="31"/>
        <v>0</v>
      </c>
      <c r="O65" s="96">
        <f ca="1">IFERROR(__xludf.DUMMYFUNCTION("IMPORTRANGE(""https://docs.google.com/spreadsheets/d/1-uDff_7J0KD5mKrp0Vvzr7lt3OU09vwQwhkpOPPYv2Y/edit?usp=sharing"",""งบพรบ!AU65"")"),0)</f>
        <v>0</v>
      </c>
      <c r="P65" s="96">
        <f t="shared" ca="1" si="32"/>
        <v>0</v>
      </c>
      <c r="Q65" s="95">
        <f t="shared" ca="1" si="33"/>
        <v>0</v>
      </c>
      <c r="R65" s="86">
        <f ca="1">IFERROR(__xludf.DUMMYFUNCTION("IMPORTRANGE(""https://docs.google.com/spreadsheets/d/1YXvxf8Yu6_rV4hTBrwMqAcAnv6DfhUxh5emyM3CJp_w/edit?usp=sharing"",""เพชรบุรี!Q72"")"),0)</f>
        <v>0</v>
      </c>
      <c r="S65" s="86">
        <f ca="1">IFERROR(__xludf.DUMMYFUNCTION("IMPORTRANGE(""https://docs.google.com/spreadsheets/d/1YXvxf8Yu6_rV4hTBrwMqAcAnv6DfhUxh5emyM3CJp_w/edit?usp=sharing"",""เพชรบุรี!R72"")"),0)</f>
        <v>0</v>
      </c>
      <c r="T65" s="86">
        <f ca="1">IFERROR(__xludf.DUMMYFUNCTION("IMPORTRANGE(""https://docs.google.com/spreadsheets/d/1YXvxf8Yu6_rV4hTBrwMqAcAnv6DfhUxh5emyM3CJp_w/edit?usp=sharing"",""เพชรบุรี!S72"")"),0)</f>
        <v>0</v>
      </c>
      <c r="U65" s="87">
        <f t="shared" ca="1" si="35"/>
        <v>0</v>
      </c>
      <c r="V65" s="87">
        <f t="shared" ca="1" si="36"/>
        <v>0</v>
      </c>
      <c r="W65" s="97">
        <f t="shared" ca="1" si="37"/>
        <v>0</v>
      </c>
      <c r="X65" s="97">
        <f t="shared" ca="1" si="38"/>
        <v>0</v>
      </c>
      <c r="Y65" s="97">
        <f t="shared" ca="1" si="56"/>
        <v>0</v>
      </c>
      <c r="Z65" s="98">
        <f t="shared" ca="1" si="39"/>
        <v>0</v>
      </c>
      <c r="AA65" s="97">
        <f t="shared" ca="1" si="57"/>
        <v>0</v>
      </c>
      <c r="AB65" s="98">
        <f t="shared" ca="1" si="40"/>
        <v>0</v>
      </c>
      <c r="AC65" s="93">
        <f ca="1">IFERROR(__xludf.DUMMYFUNCTION("IMPORTRANGE(""https://docs.google.com/spreadsheets/d/1YXvxf8Yu6_rV4hTBrwMqAcAnv6DfhUxh5emyM3CJp_w/edit?usp=sharing"",""เพชรบุรี!I84"")"),0)</f>
        <v>0</v>
      </c>
      <c r="AD65" s="93">
        <f ca="1">IFERROR(__xludf.DUMMYFUNCTION("IMPORTRANGE(""https://docs.google.com/spreadsheets/d/1YXvxf8Yu6_rV4hTBrwMqAcAnv6DfhUxh5emyM3CJp_w/edit?usp=sharing"",""เพชรบุรี!I85"")"),0)</f>
        <v>0</v>
      </c>
      <c r="AE65" s="97">
        <f ca="1">IFERROR(__xludf.DUMMYFUNCTION("IMPORTRANGE(""https://docs.google.com/spreadsheets/d/1YXvxf8Yu6_rV4hTBrwMqAcAnv6DfhUxh5emyM3CJp_w/edit?usp=sharing"",""เพชรบุรี!J84"")"),0)</f>
        <v>0</v>
      </c>
      <c r="AF65" s="97">
        <f ca="1">IFERROR(__xludf.DUMMYFUNCTION("IMPORTRANGE(""https://docs.google.com/spreadsheets/d/1YXvxf8Yu6_rV4hTBrwMqAcAnv6DfhUxh5emyM3CJp_w/edit?usp=sharing"",""เพชรบุรี!J85"")"),0)</f>
        <v>0</v>
      </c>
      <c r="AG65" s="93">
        <f ca="1">IFERROR(__xludf.DUMMYFUNCTION("IMPORTRANGE(""https://docs.google.com/spreadsheets/d/1YXvxf8Yu6_rV4hTBrwMqAcAnv6DfhUxh5emyM3CJp_w/edit?usp=sharing"",""เพชรบุรี!I86"")"),0)</f>
        <v>0</v>
      </c>
      <c r="AH65" s="93">
        <f ca="1">IFERROR(__xludf.DUMMYFUNCTION("IMPORTRANGE(""https://docs.google.com/spreadsheets/d/1YXvxf8Yu6_rV4hTBrwMqAcAnv6DfhUxh5emyM3CJp_w/edit?usp=sharing"",""เพชรบุรี!I87"")"),0)</f>
        <v>0</v>
      </c>
      <c r="AI65" s="97">
        <f ca="1">IFERROR(__xludf.DUMMYFUNCTION("IMPORTRANGE(""https://docs.google.com/spreadsheets/d/1YXvxf8Yu6_rV4hTBrwMqAcAnv6DfhUxh5emyM3CJp_w/edit?usp=sharing"",""เพชรบุรี!J86"")"),0)</f>
        <v>0</v>
      </c>
      <c r="AJ65" s="97">
        <f ca="1">IFERROR(__xludf.DUMMYFUNCTION("IMPORTRANGE(""https://docs.google.com/spreadsheets/d/1YXvxf8Yu6_rV4hTBrwMqAcAnv6DfhUxh5emyM3CJp_w/edit?usp=sharing"",""เพชรบุรี!J87"")"),0)</f>
        <v>0</v>
      </c>
      <c r="AK65" s="93">
        <f ca="1">IFERROR(__xludf.DUMMYFUNCTION("IMPORTRANGE(""https://docs.google.com/spreadsheets/d/1YXvxf8Yu6_rV4hTBrwMqAcAnv6DfhUxh5emyM3CJp_w/edit?usp=sharing"",""เพชรบุรี!I88"")"),0)</f>
        <v>0</v>
      </c>
      <c r="AL65" s="93">
        <f ca="1">IFERROR(__xludf.DUMMYFUNCTION("IMPORTRANGE(""https://docs.google.com/spreadsheets/d/1YXvxf8Yu6_rV4hTBrwMqAcAnv6DfhUxh5emyM3CJp_w/edit?usp=sharing"",""เพชรบุรี!I89"")"),0)</f>
        <v>0</v>
      </c>
      <c r="AM65" s="97">
        <f ca="1">IFERROR(__xludf.DUMMYFUNCTION("IMPORTRANGE(""https://docs.google.com/spreadsheets/d/1YXvxf8Yu6_rV4hTBrwMqAcAnv6DfhUxh5emyM3CJp_w/edit?usp=sharing"",""เพชรบุรี!J88"")"),0)</f>
        <v>0</v>
      </c>
      <c r="AN65" s="97">
        <f ca="1">IFERROR(__xludf.DUMMYFUNCTION("IMPORTRANGE(""https://docs.google.com/spreadsheets/d/1YXvxf8Yu6_rV4hTBrwMqAcAnv6DfhUxh5emyM3CJp_w/edit?usp=sharing"",""เพชรบุรี!J89"")"),0)</f>
        <v>0</v>
      </c>
      <c r="AO65" s="93">
        <f ca="1">IFERROR(__xludf.DUMMYFUNCTION("IMPORTRANGE(""https://docs.google.com/spreadsheets/d/1YXvxf8Yu6_rV4hTBrwMqAcAnv6DfhUxh5emyM3CJp_w/edit?usp=sharing"",""เพชรบุรี!I90"")"),0)</f>
        <v>0</v>
      </c>
      <c r="AP65" s="97">
        <f ca="1">IFERROR(__xludf.DUMMYFUNCTION("IMPORTRANGE(""https://docs.google.com/spreadsheets/d/1YXvxf8Yu6_rV4hTBrwMqAcAnv6DfhUxh5emyM3CJp_w/edit?usp=sharing"",""เพชรบุรี!J90"")"),0)</f>
        <v>0</v>
      </c>
      <c r="AQ65" s="95">
        <f t="shared" ca="1" si="42"/>
        <v>0</v>
      </c>
    </row>
    <row r="66" spans="1:43" ht="21" customHeight="1" x14ac:dyDescent="0.3">
      <c r="A66" s="89">
        <v>14</v>
      </c>
      <c r="B66" s="90" t="s">
        <v>92</v>
      </c>
      <c r="C66" s="91">
        <f t="shared" ca="1" si="26"/>
        <v>0</v>
      </c>
      <c r="D66" s="92">
        <f t="shared" ca="1" si="55"/>
        <v>0</v>
      </c>
      <c r="E66" s="93">
        <f ca="1">IFERROR(__xludf.DUMMYFUNCTION("IMPORTRANGE(""https://docs.google.com/spreadsheets/d/1-uDff_7J0KD5mKrp0Vvzr7lt3OU09vwQwhkpOPPYv2Y/edit?usp=sharing"",""งบพรบ!AN66"")"),0)</f>
        <v>0</v>
      </c>
      <c r="F66" s="93">
        <f ca="1">IFERROR(__xludf.DUMMYFUNCTION("IMPORTRANGE(""https://docs.google.com/spreadsheets/d/1-uDff_7J0KD5mKrp0Vvzr7lt3OU09vwQwhkpOPPYv2Y/edit?usp=sharing"",""งบพรบ!AO66"")"),0)</f>
        <v>0</v>
      </c>
      <c r="G66" s="93">
        <f ca="1">IFERROR(__xludf.DUMMYFUNCTION("IMPORTRANGE(""https://docs.google.com/spreadsheets/d/1-uDff_7J0KD5mKrp0Vvzr7lt3OU09vwQwhkpOPPYv2Y/edit?usp=sharing"",""งบพรบ!AP66"")"),0)</f>
        <v>0</v>
      </c>
      <c r="H66" s="93">
        <f ca="1">IFERROR(__xludf.DUMMYFUNCTION("IMPORTRANGE(""https://docs.google.com/spreadsheets/d/1-uDff_7J0KD5mKrp0Vvzr7lt3OU09vwQwhkpOPPYv2Y/edit?usp=sharing"",""งบพรบ!AR66"")"),0)</f>
        <v>0</v>
      </c>
      <c r="I66" s="93">
        <f ca="1">IFERROR(__xludf.DUMMYFUNCTION("IMPORTRANGE(""https://docs.google.com/spreadsheets/d/1-uDff_7J0KD5mKrp0Vvzr7lt3OU09vwQwhkpOPPYv2Y/edit?usp=sharing"",""งบพรบ!AS66"")"),0)</f>
        <v>0</v>
      </c>
      <c r="J66" s="93">
        <f t="shared" ca="1" si="28"/>
        <v>0</v>
      </c>
      <c r="K66" s="94">
        <f t="shared" ca="1" si="29"/>
        <v>0</v>
      </c>
      <c r="L66" s="93">
        <f ca="1">IFERROR(__xludf.DUMMYFUNCTION("IMPORTRANGE(""https://docs.google.com/spreadsheets/d/1-uDff_7J0KD5mKrp0Vvzr7lt3OU09vwQwhkpOPPYv2Y/edit?usp=sharing"",""งบพรบ!AT66"")"),0)</f>
        <v>0</v>
      </c>
      <c r="M66" s="95">
        <f t="shared" ca="1" si="30"/>
        <v>0</v>
      </c>
      <c r="N66" s="95">
        <f t="shared" ca="1" si="31"/>
        <v>0</v>
      </c>
      <c r="O66" s="96">
        <f ca="1">IFERROR(__xludf.DUMMYFUNCTION("IMPORTRANGE(""https://docs.google.com/spreadsheets/d/1-uDff_7J0KD5mKrp0Vvzr7lt3OU09vwQwhkpOPPYv2Y/edit?usp=sharing"",""งบพรบ!AU66"")"),0)</f>
        <v>0</v>
      </c>
      <c r="P66" s="96">
        <f t="shared" ca="1" si="32"/>
        <v>0</v>
      </c>
      <c r="Q66" s="95">
        <f t="shared" ca="1" si="33"/>
        <v>0</v>
      </c>
      <c r="R66" s="86">
        <f ca="1">IFERROR(__xludf.DUMMYFUNCTION("IMPORTRANGE(""https://docs.google.com/spreadsheets/d/19KBlQQs7uwvsao6t2n-KvW3Ax8J8uRRfZPq1zPbXgKc/edit?usp=sharing"",""ระยอง!Q72"")"),0)</f>
        <v>0</v>
      </c>
      <c r="S66" s="86">
        <f ca="1">IFERROR(__xludf.DUMMYFUNCTION("IMPORTRANGE(""https://docs.google.com/spreadsheets/d/19KBlQQs7uwvsao6t2n-KvW3Ax8J8uRRfZPq1zPbXgKc/edit?usp=sharing"",""ระยอง!R72"")"),0)</f>
        <v>0</v>
      </c>
      <c r="T66" s="86">
        <f ca="1">IFERROR(__xludf.DUMMYFUNCTION("IMPORTRANGE(""https://docs.google.com/spreadsheets/d/19KBlQQs7uwvsao6t2n-KvW3Ax8J8uRRfZPq1zPbXgKc/edit?usp=sharing"",""ระยอง!S72"")"),0)</f>
        <v>0</v>
      </c>
      <c r="U66" s="87">
        <f t="shared" ca="1" si="35"/>
        <v>0</v>
      </c>
      <c r="V66" s="87">
        <f t="shared" ca="1" si="36"/>
        <v>0</v>
      </c>
      <c r="W66" s="97">
        <f t="shared" ca="1" si="37"/>
        <v>0</v>
      </c>
      <c r="X66" s="97">
        <f t="shared" ca="1" si="38"/>
        <v>0</v>
      </c>
      <c r="Y66" s="97">
        <f t="shared" ca="1" si="56"/>
        <v>0</v>
      </c>
      <c r="Z66" s="98">
        <f t="shared" ca="1" si="39"/>
        <v>0</v>
      </c>
      <c r="AA66" s="97">
        <f t="shared" ca="1" si="57"/>
        <v>0</v>
      </c>
      <c r="AB66" s="98">
        <f t="shared" ca="1" si="40"/>
        <v>0</v>
      </c>
      <c r="AC66" s="93">
        <f ca="1">IFERROR(__xludf.DUMMYFUNCTION("IMPORTRANGE(""https://docs.google.com/spreadsheets/d/19KBlQQs7uwvsao6t2n-KvW3Ax8J8uRRfZPq1zPbXgKc/edit?usp=sharing"",""ระยอง!I84"")"),0)</f>
        <v>0</v>
      </c>
      <c r="AD66" s="93">
        <f ca="1">IFERROR(__xludf.DUMMYFUNCTION("IMPORTRANGE(""https://docs.google.com/spreadsheets/d/19KBlQQs7uwvsao6t2n-KvW3Ax8J8uRRfZPq1zPbXgKc/edit?usp=sharing"",""ระยอง!I85"")"),0)</f>
        <v>0</v>
      </c>
      <c r="AE66" s="97">
        <f ca="1">IFERROR(__xludf.DUMMYFUNCTION("IMPORTRANGE(""https://docs.google.com/spreadsheets/d/19KBlQQs7uwvsao6t2n-KvW3Ax8J8uRRfZPq1zPbXgKc/edit?usp=sharing"",""ระยอง!J84"")"),0)</f>
        <v>0</v>
      </c>
      <c r="AF66" s="97">
        <f ca="1">IFERROR(__xludf.DUMMYFUNCTION("IMPORTRANGE(""https://docs.google.com/spreadsheets/d/19KBlQQs7uwvsao6t2n-KvW3Ax8J8uRRfZPq1zPbXgKc/edit?usp=sharing"",""ระยอง!J85"")"),0)</f>
        <v>0</v>
      </c>
      <c r="AG66" s="93">
        <f ca="1">IFERROR(__xludf.DUMMYFUNCTION("IMPORTRANGE(""https://docs.google.com/spreadsheets/d/19KBlQQs7uwvsao6t2n-KvW3Ax8J8uRRfZPq1zPbXgKc/edit?usp=sharing"",""ระยอง!I86"")"),0)</f>
        <v>0</v>
      </c>
      <c r="AH66" s="93">
        <f ca="1">IFERROR(__xludf.DUMMYFUNCTION("IMPORTRANGE(""https://docs.google.com/spreadsheets/d/19KBlQQs7uwvsao6t2n-KvW3Ax8J8uRRfZPq1zPbXgKc/edit?usp=sharing"",""ระยอง!I87"")"),0)</f>
        <v>0</v>
      </c>
      <c r="AI66" s="97">
        <f ca="1">IFERROR(__xludf.DUMMYFUNCTION("IMPORTRANGE(""https://docs.google.com/spreadsheets/d/19KBlQQs7uwvsao6t2n-KvW3Ax8J8uRRfZPq1zPbXgKc/edit?usp=sharing"",""ระยอง!J86"")"),0)</f>
        <v>0</v>
      </c>
      <c r="AJ66" s="97">
        <f ca="1">IFERROR(__xludf.DUMMYFUNCTION("IMPORTRANGE(""https://docs.google.com/spreadsheets/d/19KBlQQs7uwvsao6t2n-KvW3Ax8J8uRRfZPq1zPbXgKc/edit?usp=sharing"",""ระยอง!J87"")"),0)</f>
        <v>0</v>
      </c>
      <c r="AK66" s="93">
        <f ca="1">IFERROR(__xludf.DUMMYFUNCTION("IMPORTRANGE(""https://docs.google.com/spreadsheets/d/19KBlQQs7uwvsao6t2n-KvW3Ax8J8uRRfZPq1zPbXgKc/edit?usp=sharing"",""ระยอง!I88"")"),0)</f>
        <v>0</v>
      </c>
      <c r="AL66" s="93">
        <f ca="1">IFERROR(__xludf.DUMMYFUNCTION("IMPORTRANGE(""https://docs.google.com/spreadsheets/d/19KBlQQs7uwvsao6t2n-KvW3Ax8J8uRRfZPq1zPbXgKc/edit?usp=sharing"",""ระยอง!I89"")"),0)</f>
        <v>0</v>
      </c>
      <c r="AM66" s="97">
        <f ca="1">IFERROR(__xludf.DUMMYFUNCTION("IMPORTRANGE(""https://docs.google.com/spreadsheets/d/19KBlQQs7uwvsao6t2n-KvW3Ax8J8uRRfZPq1zPbXgKc/edit?usp=sharing"",""ระยอง!J88"")"),0)</f>
        <v>0</v>
      </c>
      <c r="AN66" s="97">
        <f ca="1">IFERROR(__xludf.DUMMYFUNCTION("IMPORTRANGE(""https://docs.google.com/spreadsheets/d/19KBlQQs7uwvsao6t2n-KvW3Ax8J8uRRfZPq1zPbXgKc/edit?usp=sharing"",""ระยอง!J89"")"),0)</f>
        <v>0</v>
      </c>
      <c r="AO66" s="93">
        <f ca="1">IFERROR(__xludf.DUMMYFUNCTION("IMPORTRANGE(""https://docs.google.com/spreadsheets/d/19KBlQQs7uwvsao6t2n-KvW3Ax8J8uRRfZPq1zPbXgKc/edit?usp=sharing"",""ระยอง!I90"")"),0)</f>
        <v>0</v>
      </c>
      <c r="AP66" s="97">
        <f ca="1">IFERROR(__xludf.DUMMYFUNCTION("IMPORTRANGE(""https://docs.google.com/spreadsheets/d/19KBlQQs7uwvsao6t2n-KvW3Ax8J8uRRfZPq1zPbXgKc/edit?usp=sharing"",""ระยอง!J90"")"),0)</f>
        <v>0</v>
      </c>
      <c r="AQ66" s="95">
        <f t="shared" ca="1" si="42"/>
        <v>0</v>
      </c>
    </row>
    <row r="67" spans="1:43" ht="21" customHeight="1" x14ac:dyDescent="0.3">
      <c r="A67" s="89">
        <v>15</v>
      </c>
      <c r="B67" s="90" t="s">
        <v>93</v>
      </c>
      <c r="C67" s="91">
        <f t="shared" ca="1" si="26"/>
        <v>0</v>
      </c>
      <c r="D67" s="92">
        <f t="shared" ca="1" si="55"/>
        <v>0</v>
      </c>
      <c r="E67" s="93">
        <f ca="1">IFERROR(__xludf.DUMMYFUNCTION("IMPORTRANGE(""https://docs.google.com/spreadsheets/d/1-uDff_7J0KD5mKrp0Vvzr7lt3OU09vwQwhkpOPPYv2Y/edit?usp=sharing"",""งบพรบ!AN67"")"),0)</f>
        <v>0</v>
      </c>
      <c r="F67" s="93">
        <f ca="1">IFERROR(__xludf.DUMMYFUNCTION("IMPORTRANGE(""https://docs.google.com/spreadsheets/d/1-uDff_7J0KD5mKrp0Vvzr7lt3OU09vwQwhkpOPPYv2Y/edit?usp=sharing"",""งบพรบ!AO67"")"),0)</f>
        <v>0</v>
      </c>
      <c r="G67" s="93">
        <f ca="1">IFERROR(__xludf.DUMMYFUNCTION("IMPORTRANGE(""https://docs.google.com/spreadsheets/d/1-uDff_7J0KD5mKrp0Vvzr7lt3OU09vwQwhkpOPPYv2Y/edit?usp=sharing"",""งบพรบ!AP67"")"),0)</f>
        <v>0</v>
      </c>
      <c r="H67" s="93">
        <f ca="1">IFERROR(__xludf.DUMMYFUNCTION("IMPORTRANGE(""https://docs.google.com/spreadsheets/d/1-uDff_7J0KD5mKrp0Vvzr7lt3OU09vwQwhkpOPPYv2Y/edit?usp=sharing"",""งบพรบ!AR67"")"),0)</f>
        <v>0</v>
      </c>
      <c r="I67" s="93">
        <f ca="1">IFERROR(__xludf.DUMMYFUNCTION("IMPORTRANGE(""https://docs.google.com/spreadsheets/d/1-uDff_7J0KD5mKrp0Vvzr7lt3OU09vwQwhkpOPPYv2Y/edit?usp=sharing"",""งบพรบ!AS67"")"),0)</f>
        <v>0</v>
      </c>
      <c r="J67" s="93">
        <f t="shared" ca="1" si="28"/>
        <v>0</v>
      </c>
      <c r="K67" s="94">
        <f t="shared" ca="1" si="29"/>
        <v>0</v>
      </c>
      <c r="L67" s="93">
        <f ca="1">IFERROR(__xludf.DUMMYFUNCTION("IMPORTRANGE(""https://docs.google.com/spreadsheets/d/1-uDff_7J0KD5mKrp0Vvzr7lt3OU09vwQwhkpOPPYv2Y/edit?usp=sharing"",""งบพรบ!AT67"")"),0)</f>
        <v>0</v>
      </c>
      <c r="M67" s="95">
        <f t="shared" ca="1" si="30"/>
        <v>0</v>
      </c>
      <c r="N67" s="95">
        <f t="shared" ca="1" si="31"/>
        <v>0</v>
      </c>
      <c r="O67" s="96">
        <f ca="1">IFERROR(__xludf.DUMMYFUNCTION("IMPORTRANGE(""https://docs.google.com/spreadsheets/d/1-uDff_7J0KD5mKrp0Vvzr7lt3OU09vwQwhkpOPPYv2Y/edit?usp=sharing"",""งบพรบ!AU67"")"),0)</f>
        <v>0</v>
      </c>
      <c r="P67" s="96">
        <f t="shared" ca="1" si="32"/>
        <v>0</v>
      </c>
      <c r="Q67" s="95">
        <f t="shared" ca="1" si="33"/>
        <v>0</v>
      </c>
      <c r="R67" s="86">
        <f ca="1">IFERROR(__xludf.DUMMYFUNCTION("IMPORTRANGE(""https://docs.google.com/spreadsheets/d/1jQ6P4QcrGM89YfqcC_PxOHGCMq5ezhucwJd8ci-NHng/edit?usp=sharing"",""ราชบุรี!Q72"")"),0)</f>
        <v>0</v>
      </c>
      <c r="S67" s="86">
        <f ca="1">IFERROR(__xludf.DUMMYFUNCTION("IMPORTRANGE(""https://docs.google.com/spreadsheets/d/1jQ6P4QcrGM89YfqcC_PxOHGCMq5ezhucwJd8ci-NHng/edit?usp=sharing"",""ราชบุรี!R72"")"),0)</f>
        <v>0</v>
      </c>
      <c r="T67" s="86">
        <f ca="1">IFERROR(__xludf.DUMMYFUNCTION("IMPORTRANGE(""https://docs.google.com/spreadsheets/d/1jQ6P4QcrGM89YfqcC_PxOHGCMq5ezhucwJd8ci-NHng/edit?usp=sharing"",""ราชบุรี!S72"")"),0)</f>
        <v>0</v>
      </c>
      <c r="U67" s="87">
        <f t="shared" ca="1" si="35"/>
        <v>0</v>
      </c>
      <c r="V67" s="87">
        <f t="shared" ca="1" si="36"/>
        <v>0</v>
      </c>
      <c r="W67" s="97">
        <f t="shared" ca="1" si="37"/>
        <v>0</v>
      </c>
      <c r="X67" s="97">
        <f t="shared" ca="1" si="38"/>
        <v>0</v>
      </c>
      <c r="Y67" s="97">
        <f t="shared" ca="1" si="56"/>
        <v>0</v>
      </c>
      <c r="Z67" s="98">
        <f t="shared" ca="1" si="39"/>
        <v>0</v>
      </c>
      <c r="AA67" s="97">
        <f t="shared" ca="1" si="57"/>
        <v>0</v>
      </c>
      <c r="AB67" s="98">
        <f t="shared" ca="1" si="40"/>
        <v>0</v>
      </c>
      <c r="AC67" s="93">
        <f ca="1">IFERROR(__xludf.DUMMYFUNCTION("IMPORTRANGE(""https://docs.google.com/spreadsheets/d/1jQ6P4QcrGM89YfqcC_PxOHGCMq5ezhucwJd8ci-NHng/edit?usp=sharing"",""ราชบุรี!I84"")"),0)</f>
        <v>0</v>
      </c>
      <c r="AD67" s="93">
        <f ca="1">IFERROR(__xludf.DUMMYFUNCTION("IMPORTRANGE(""https://docs.google.com/spreadsheets/d/1jQ6P4QcrGM89YfqcC_PxOHGCMq5ezhucwJd8ci-NHng/edit?usp=sharing"",""ราชบุรี!I85"")"),0)</f>
        <v>0</v>
      </c>
      <c r="AE67" s="97">
        <f ca="1">IFERROR(__xludf.DUMMYFUNCTION("IMPORTRANGE(""https://docs.google.com/spreadsheets/d/1jQ6P4QcrGM89YfqcC_PxOHGCMq5ezhucwJd8ci-NHng/edit?usp=sharing"",""ราชบุรี!J84"")"),0)</f>
        <v>0</v>
      </c>
      <c r="AF67" s="97">
        <f ca="1">IFERROR(__xludf.DUMMYFUNCTION("IMPORTRANGE(""https://docs.google.com/spreadsheets/d/1jQ6P4QcrGM89YfqcC_PxOHGCMq5ezhucwJd8ci-NHng/edit?usp=sharing"",""ราชบุรี!J85"")"),0)</f>
        <v>0</v>
      </c>
      <c r="AG67" s="93">
        <f ca="1">IFERROR(__xludf.DUMMYFUNCTION("IMPORTRANGE(""https://docs.google.com/spreadsheets/d/1jQ6P4QcrGM89YfqcC_PxOHGCMq5ezhucwJd8ci-NHng/edit?usp=sharing"",""ราชบุรี!I86"")"),0)</f>
        <v>0</v>
      </c>
      <c r="AH67" s="93">
        <f ca="1">IFERROR(__xludf.DUMMYFUNCTION("IMPORTRANGE(""https://docs.google.com/spreadsheets/d/1jQ6P4QcrGM89YfqcC_PxOHGCMq5ezhucwJd8ci-NHng/edit?usp=sharing"",""ราชบุรี!I87"")"),0)</f>
        <v>0</v>
      </c>
      <c r="AI67" s="97">
        <f ca="1">IFERROR(__xludf.DUMMYFUNCTION("IMPORTRANGE(""https://docs.google.com/spreadsheets/d/1jQ6P4QcrGM89YfqcC_PxOHGCMq5ezhucwJd8ci-NHng/edit?usp=sharing"",""ราชบุรี!J86"")"),0)</f>
        <v>0</v>
      </c>
      <c r="AJ67" s="97">
        <f ca="1">IFERROR(__xludf.DUMMYFUNCTION("IMPORTRANGE(""https://docs.google.com/spreadsheets/d/1jQ6P4QcrGM89YfqcC_PxOHGCMq5ezhucwJd8ci-NHng/edit?usp=sharing"",""ราชบุรี!J87"")"),0)</f>
        <v>0</v>
      </c>
      <c r="AK67" s="93">
        <f ca="1">IFERROR(__xludf.DUMMYFUNCTION("IMPORTRANGE(""https://docs.google.com/spreadsheets/d/1jQ6P4QcrGM89YfqcC_PxOHGCMq5ezhucwJd8ci-NHng/edit?usp=sharing"",""ราชบุรี!I88"")"),0)</f>
        <v>0</v>
      </c>
      <c r="AL67" s="93">
        <f ca="1">IFERROR(__xludf.DUMMYFUNCTION("IMPORTRANGE(""https://docs.google.com/spreadsheets/d/1jQ6P4QcrGM89YfqcC_PxOHGCMq5ezhucwJd8ci-NHng/edit?usp=sharing"",""ราชบุรี!I89"")"),0)</f>
        <v>0</v>
      </c>
      <c r="AM67" s="97">
        <f ca="1">IFERROR(__xludf.DUMMYFUNCTION("IMPORTRANGE(""https://docs.google.com/spreadsheets/d/1jQ6P4QcrGM89YfqcC_PxOHGCMq5ezhucwJd8ci-NHng/edit?usp=sharing"",""ราชบุรี!J88"")"),0)</f>
        <v>0</v>
      </c>
      <c r="AN67" s="97">
        <f ca="1">IFERROR(__xludf.DUMMYFUNCTION("IMPORTRANGE(""https://docs.google.com/spreadsheets/d/1jQ6P4QcrGM89YfqcC_PxOHGCMq5ezhucwJd8ci-NHng/edit?usp=sharing"",""ราชบุรี!J89"")"),0)</f>
        <v>0</v>
      </c>
      <c r="AO67" s="93">
        <f ca="1">IFERROR(__xludf.DUMMYFUNCTION("IMPORTRANGE(""https://docs.google.com/spreadsheets/d/1jQ6P4QcrGM89YfqcC_PxOHGCMq5ezhucwJd8ci-NHng/edit?usp=sharing"",""ราชบุรี!I90"")"),0)</f>
        <v>0</v>
      </c>
      <c r="AP67" s="97">
        <f ca="1">IFERROR(__xludf.DUMMYFUNCTION("IMPORTRANGE(""https://docs.google.com/spreadsheets/d/1jQ6P4QcrGM89YfqcC_PxOHGCMq5ezhucwJd8ci-NHng/edit?usp=sharing"",""ราชบุรี!J90"")"),0)</f>
        <v>0</v>
      </c>
      <c r="AQ67" s="95">
        <f t="shared" ca="1" si="42"/>
        <v>0</v>
      </c>
    </row>
    <row r="68" spans="1:43" ht="24" customHeight="1" x14ac:dyDescent="0.3">
      <c r="A68" s="89">
        <v>16</v>
      </c>
      <c r="B68" s="90" t="s">
        <v>94</v>
      </c>
      <c r="C68" s="91">
        <f t="shared" ca="1" si="26"/>
        <v>556000</v>
      </c>
      <c r="D68" s="92">
        <f t="shared" ca="1" si="55"/>
        <v>556000</v>
      </c>
      <c r="E68" s="93">
        <f ca="1">IFERROR(__xludf.DUMMYFUNCTION("IMPORTRANGE(""https://docs.google.com/spreadsheets/d/1-uDff_7J0KD5mKrp0Vvzr7lt3OU09vwQwhkpOPPYv2Y/edit?usp=sharing"",""งบพรบ!AN68"")"),259200)</f>
        <v>259200</v>
      </c>
      <c r="F68" s="93">
        <f ca="1">IFERROR(__xludf.DUMMYFUNCTION("IMPORTRANGE(""https://docs.google.com/spreadsheets/d/1-uDff_7J0KD5mKrp0Vvzr7lt3OU09vwQwhkpOPPYv2Y/edit?usp=sharing"",""งบพรบ!AO68"")"),296800)</f>
        <v>296800</v>
      </c>
      <c r="G68" s="93">
        <f ca="1">IFERROR(__xludf.DUMMYFUNCTION("IMPORTRANGE(""https://docs.google.com/spreadsheets/d/1-uDff_7J0KD5mKrp0Vvzr7lt3OU09vwQwhkpOPPYv2Y/edit?usp=sharing"",""งบพรบ!AP68"")"),0)</f>
        <v>0</v>
      </c>
      <c r="H68" s="93">
        <f ca="1">IFERROR(__xludf.DUMMYFUNCTION("IMPORTRANGE(""https://docs.google.com/spreadsheets/d/1-uDff_7J0KD5mKrp0Vvzr7lt3OU09vwQwhkpOPPYv2Y/edit?usp=sharing"",""งบพรบ!AR68"")"),409676)</f>
        <v>409676</v>
      </c>
      <c r="I68" s="93">
        <f ca="1">IFERROR(__xludf.DUMMYFUNCTION("IMPORTRANGE(""https://docs.google.com/spreadsheets/d/1-uDff_7J0KD5mKrp0Vvzr7lt3OU09vwQwhkpOPPYv2Y/edit?usp=sharing"",""งบพรบ!AS68"")"),0)</f>
        <v>0</v>
      </c>
      <c r="J68" s="93">
        <f t="shared" ca="1" si="28"/>
        <v>203324.85</v>
      </c>
      <c r="K68" s="94">
        <f t="shared" ca="1" si="29"/>
        <v>36.569217625899277</v>
      </c>
      <c r="L68" s="93">
        <f ca="1">IFERROR(__xludf.DUMMYFUNCTION("IMPORTRANGE(""https://docs.google.com/spreadsheets/d/1-uDff_7J0KD5mKrp0Vvzr7lt3OU09vwQwhkpOPPYv2Y/edit?usp=sharing"",""งบพรบ!AT68"")"),203324.85)</f>
        <v>203324.85</v>
      </c>
      <c r="M68" s="95">
        <f t="shared" ca="1" si="30"/>
        <v>36.569217625899277</v>
      </c>
      <c r="N68" s="95">
        <f t="shared" ca="1" si="31"/>
        <v>49.630647145549169</v>
      </c>
      <c r="O68" s="96">
        <f ca="1">IFERROR(__xludf.DUMMYFUNCTION("IMPORTRANGE(""https://docs.google.com/spreadsheets/d/1-uDff_7J0KD5mKrp0Vvzr7lt3OU09vwQwhkpOPPYv2Y/edit?usp=sharing"",""งบพรบ!AU68"")"),0)</f>
        <v>0</v>
      </c>
      <c r="P68" s="96">
        <f t="shared" ca="1" si="32"/>
        <v>0</v>
      </c>
      <c r="Q68" s="95">
        <f t="shared" ca="1" si="33"/>
        <v>0</v>
      </c>
      <c r="R68" s="86">
        <f ca="1">IFERROR(__xludf.DUMMYFUNCTION("IMPORTRANGE(""https://docs.google.com/spreadsheets/d/1lufeA2cfFqM-elVq2hznhDzC6Pr7wkJ9ZG_sYNGCMCU/edit?usp=sharing"",""ลพบุรี!Q72"")"),1000800)</f>
        <v>1000800</v>
      </c>
      <c r="S68" s="86">
        <f ca="1">IFERROR(__xludf.DUMMYFUNCTION("IMPORTRANGE(""https://docs.google.com/spreadsheets/d/1lufeA2cfFqM-elVq2hznhDzC6Pr7wkJ9ZG_sYNGCMCU/edit?usp=sharing"",""ลพบุรี!R72"")"),0)</f>
        <v>0</v>
      </c>
      <c r="T68" s="86">
        <f ca="1">IFERROR(__xludf.DUMMYFUNCTION("IMPORTRANGE(""https://docs.google.com/spreadsheets/d/1lufeA2cfFqM-elVq2hznhDzC6Pr7wkJ9ZG_sYNGCMCU/edit?usp=sharing"",""ลพบุรี!S72"")"),0)</f>
        <v>0</v>
      </c>
      <c r="U68" s="87">
        <f t="shared" ca="1" si="35"/>
        <v>0</v>
      </c>
      <c r="V68" s="87">
        <f t="shared" ca="1" si="36"/>
        <v>0</v>
      </c>
      <c r="W68" s="97">
        <f t="shared" ca="1" si="37"/>
        <v>2</v>
      </c>
      <c r="X68" s="97">
        <f t="shared" ca="1" si="38"/>
        <v>101</v>
      </c>
      <c r="Y68" s="97">
        <f t="shared" ca="1" si="56"/>
        <v>0</v>
      </c>
      <c r="Z68" s="98">
        <f t="shared" ca="1" si="39"/>
        <v>0</v>
      </c>
      <c r="AA68" s="97">
        <f t="shared" ca="1" si="57"/>
        <v>0</v>
      </c>
      <c r="AB68" s="98">
        <f t="shared" ca="1" si="40"/>
        <v>0</v>
      </c>
      <c r="AC68" s="97">
        <f ca="1">IFERROR(__xludf.DUMMYFUNCTION("IMPORTRANGE(""https://docs.google.com/spreadsheets/d/1lufeA2cfFqM-elVq2hznhDzC6Pr7wkJ9ZG_sYNGCMCU/edit?usp=sharing"",""ลพบุรี!I84"")"),1)</f>
        <v>1</v>
      </c>
      <c r="AD68" s="97">
        <f ca="1">IFERROR(__xludf.DUMMYFUNCTION("IMPORTRANGE(""https://docs.google.com/spreadsheets/d/1lufeA2cfFqM-elVq2hznhDzC6Pr7wkJ9ZG_sYNGCMCU/edit?usp=sharing"",""ลพบุรี!I85"")"),50)</f>
        <v>50</v>
      </c>
      <c r="AE68" s="97">
        <f ca="1">IFERROR(__xludf.DUMMYFUNCTION("IMPORTRANGE(""https://docs.google.com/spreadsheets/d/1lufeA2cfFqM-elVq2hznhDzC6Pr7wkJ9ZG_sYNGCMCU/edit?usp=sharing"",""ลพบุรี!J84"")"),0)</f>
        <v>0</v>
      </c>
      <c r="AF68" s="97">
        <f ca="1">IFERROR(__xludf.DUMMYFUNCTION("IMPORTRANGE(""https://docs.google.com/spreadsheets/d/1lufeA2cfFqM-elVq2hznhDzC6Pr7wkJ9ZG_sYNGCMCU/edit?usp=sharing"",""ลพบุรี!J85"")"),0)</f>
        <v>0</v>
      </c>
      <c r="AG68" s="97">
        <f ca="1">IFERROR(__xludf.DUMMYFUNCTION("IMPORTRANGE(""https://docs.google.com/spreadsheets/d/1lufeA2cfFqM-elVq2hznhDzC6Pr7wkJ9ZG_sYNGCMCU/edit?usp=sharing"",""ลพบุรี!I86"")"),0)</f>
        <v>0</v>
      </c>
      <c r="AH68" s="97">
        <f ca="1">IFERROR(__xludf.DUMMYFUNCTION("IMPORTRANGE(""https://docs.google.com/spreadsheets/d/1lufeA2cfFqM-elVq2hznhDzC6Pr7wkJ9ZG_sYNGCMCU/edit?usp=sharing"",""ลพบุรี!I87"")"),0)</f>
        <v>0</v>
      </c>
      <c r="AI68" s="97">
        <f ca="1">IFERROR(__xludf.DUMMYFUNCTION("IMPORTRANGE(""https://docs.google.com/spreadsheets/d/1lufeA2cfFqM-elVq2hznhDzC6Pr7wkJ9ZG_sYNGCMCU/edit?usp=sharing"",""ลพบุรี!J86"")"),0)</f>
        <v>0</v>
      </c>
      <c r="AJ68" s="97">
        <f ca="1">IFERROR(__xludf.DUMMYFUNCTION("IMPORTRANGE(""https://docs.google.com/spreadsheets/d/1lufeA2cfFqM-elVq2hznhDzC6Pr7wkJ9ZG_sYNGCMCU/edit?usp=sharing"",""ลพบุรี!J87"")"),0)</f>
        <v>0</v>
      </c>
      <c r="AK68" s="93">
        <f ca="1">IFERROR(__xludf.DUMMYFUNCTION("IMPORTRANGE(""https://docs.google.com/spreadsheets/d/1lufeA2cfFqM-elVq2hznhDzC6Pr7wkJ9ZG_sYNGCMCU/edit?usp=sharing"",""ลพบุรี!I88"")"),1)</f>
        <v>1</v>
      </c>
      <c r="AL68" s="93">
        <f ca="1">IFERROR(__xludf.DUMMYFUNCTION("IMPORTRANGE(""https://docs.google.com/spreadsheets/d/1lufeA2cfFqM-elVq2hznhDzC6Pr7wkJ9ZG_sYNGCMCU/edit?usp=sharing"",""ลพบุรี!I89"")"),51)</f>
        <v>51</v>
      </c>
      <c r="AM68" s="97">
        <f ca="1">IFERROR(__xludf.DUMMYFUNCTION("IMPORTRANGE(""https://docs.google.com/spreadsheets/d/1lufeA2cfFqM-elVq2hznhDzC6Pr7wkJ9ZG_sYNGCMCU/edit?usp=sharing"",""ลพบุรี!J88"")"),0)</f>
        <v>0</v>
      </c>
      <c r="AN68" s="97">
        <f ca="1">IFERROR(__xludf.DUMMYFUNCTION("IMPORTRANGE(""https://docs.google.com/spreadsheets/d/1lufeA2cfFqM-elVq2hznhDzC6Pr7wkJ9ZG_sYNGCMCU/edit?usp=sharing"",""ลพบุรี!J89"")"),0)</f>
        <v>0</v>
      </c>
      <c r="AO68" s="97">
        <f ca="1">IFERROR(__xludf.DUMMYFUNCTION("IMPORTRANGE(""https://docs.google.com/spreadsheets/d/1lufeA2cfFqM-elVq2hznhDzC6Pr7wkJ9ZG_sYNGCMCU/edit?usp=sharing"",""ลพบุรี!I90"")"),2)</f>
        <v>2</v>
      </c>
      <c r="AP68" s="97">
        <f ca="1">IFERROR(__xludf.DUMMYFUNCTION("IMPORTRANGE(""https://docs.google.com/spreadsheets/d/1lufeA2cfFqM-elVq2hznhDzC6Pr7wkJ9ZG_sYNGCMCU/edit?usp=sharing"",""ลพบุรี!J90"")"),0)</f>
        <v>0</v>
      </c>
      <c r="AQ68" s="98">
        <f t="shared" ca="1" si="42"/>
        <v>0</v>
      </c>
    </row>
    <row r="69" spans="1:43" ht="21" customHeight="1" x14ac:dyDescent="0.3">
      <c r="A69" s="89">
        <v>17</v>
      </c>
      <c r="B69" s="90" t="s">
        <v>95</v>
      </c>
      <c r="C69" s="91">
        <f t="shared" ca="1" si="26"/>
        <v>650300</v>
      </c>
      <c r="D69" s="92">
        <f t="shared" ca="1" si="55"/>
        <v>650300</v>
      </c>
      <c r="E69" s="93">
        <f ca="1">IFERROR(__xludf.DUMMYFUNCTION("IMPORTRANGE(""https://docs.google.com/spreadsheets/d/1-uDff_7J0KD5mKrp0Vvzr7lt3OU09vwQwhkpOPPYv2Y/edit?usp=sharing"",""งบพรบ!AN69"")"),303100)</f>
        <v>303100</v>
      </c>
      <c r="F69" s="93">
        <f ca="1">IFERROR(__xludf.DUMMYFUNCTION("IMPORTRANGE(""https://docs.google.com/spreadsheets/d/1-uDff_7J0KD5mKrp0Vvzr7lt3OU09vwQwhkpOPPYv2Y/edit?usp=sharing"",""งบพรบ!AO69"")"),347200)</f>
        <v>347200</v>
      </c>
      <c r="G69" s="93">
        <f ca="1">IFERROR(__xludf.DUMMYFUNCTION("IMPORTRANGE(""https://docs.google.com/spreadsheets/d/1-uDff_7J0KD5mKrp0Vvzr7lt3OU09vwQwhkpOPPYv2Y/edit?usp=sharing"",""งบพรบ!AP69"")"),0)</f>
        <v>0</v>
      </c>
      <c r="H69" s="93">
        <f ca="1">IFERROR(__xludf.DUMMYFUNCTION("IMPORTRANGE(""https://docs.google.com/spreadsheets/d/1-uDff_7J0KD5mKrp0Vvzr7lt3OU09vwQwhkpOPPYv2Y/edit?usp=sharing"",""งบพรบ!AR69"")"),394100)</f>
        <v>394100</v>
      </c>
      <c r="I69" s="93">
        <f ca="1">IFERROR(__xludf.DUMMYFUNCTION("IMPORTRANGE(""https://docs.google.com/spreadsheets/d/1-uDff_7J0KD5mKrp0Vvzr7lt3OU09vwQwhkpOPPYv2Y/edit?usp=sharing"",""งบพรบ!AS69"")"),0)</f>
        <v>0</v>
      </c>
      <c r="J69" s="93">
        <f t="shared" ca="1" si="28"/>
        <v>189442.36</v>
      </c>
      <c r="K69" s="94">
        <f t="shared" ca="1" si="29"/>
        <v>29.131533138551436</v>
      </c>
      <c r="L69" s="93">
        <f ca="1">IFERROR(__xludf.DUMMYFUNCTION("IMPORTRANGE(""https://docs.google.com/spreadsheets/d/1-uDff_7J0KD5mKrp0Vvzr7lt3OU09vwQwhkpOPPYv2Y/edit?usp=sharing"",""งบพรบ!AT69"")"),189442.36)</f>
        <v>189442.36</v>
      </c>
      <c r="M69" s="95">
        <f t="shared" ca="1" si="30"/>
        <v>29.131533138551436</v>
      </c>
      <c r="N69" s="95">
        <f t="shared" ca="1" si="31"/>
        <v>48.069616848515608</v>
      </c>
      <c r="O69" s="96">
        <f ca="1">IFERROR(__xludf.DUMMYFUNCTION("IMPORTRANGE(""https://docs.google.com/spreadsheets/d/1-uDff_7J0KD5mKrp0Vvzr7lt3OU09vwQwhkpOPPYv2Y/edit?usp=sharing"",""งบพรบ!AU69"")"),0)</f>
        <v>0</v>
      </c>
      <c r="P69" s="96">
        <f t="shared" ca="1" si="32"/>
        <v>0</v>
      </c>
      <c r="Q69" s="95">
        <f t="shared" ca="1" si="33"/>
        <v>0</v>
      </c>
      <c r="R69" s="86">
        <f ca="1">IFERROR(__xludf.DUMMYFUNCTION("IMPORTRANGE(""https://docs.google.com/spreadsheets/d/10oOiF7loTyfsTkbd4MpaIm0HQ9SwB7IYHdIUvt-U1Uc/edit?usp=sharing"",""สระแก้ว!Q72"")"),585080)</f>
        <v>585080</v>
      </c>
      <c r="S69" s="86">
        <f ca="1">IFERROR(__xludf.DUMMYFUNCTION("IMPORTRANGE(""https://docs.google.com/spreadsheets/d/10oOiF7loTyfsTkbd4MpaIm0HQ9SwB7IYHdIUvt-U1Uc/edit?usp=sharing"",""สระแก้ว!R72"")"),0)</f>
        <v>0</v>
      </c>
      <c r="T69" s="86">
        <f ca="1">IFERROR(__xludf.DUMMYFUNCTION("IMPORTRANGE(""https://docs.google.com/spreadsheets/d/10oOiF7loTyfsTkbd4MpaIm0HQ9SwB7IYHdIUvt-U1Uc/edit?usp=sharing"",""สระแก้ว!S72"")"),0)</f>
        <v>0</v>
      </c>
      <c r="U69" s="87">
        <f t="shared" ca="1" si="35"/>
        <v>0</v>
      </c>
      <c r="V69" s="87">
        <f t="shared" ca="1" si="36"/>
        <v>0</v>
      </c>
      <c r="W69" s="97">
        <f t="shared" ca="1" si="37"/>
        <v>1</v>
      </c>
      <c r="X69" s="97">
        <f t="shared" ca="1" si="38"/>
        <v>69</v>
      </c>
      <c r="Y69" s="97">
        <f t="shared" ca="1" si="56"/>
        <v>0</v>
      </c>
      <c r="Z69" s="98">
        <f t="shared" ca="1" si="39"/>
        <v>0</v>
      </c>
      <c r="AA69" s="97">
        <f t="shared" ca="1" si="57"/>
        <v>0</v>
      </c>
      <c r="AB69" s="98">
        <f t="shared" ca="1" si="40"/>
        <v>0</v>
      </c>
      <c r="AC69" s="93">
        <f ca="1">IFERROR(__xludf.DUMMYFUNCTION("IMPORTRANGE(""https://docs.google.com/spreadsheets/d/10oOiF7loTyfsTkbd4MpaIm0HQ9SwB7IYHdIUvt-U1Uc/edit?usp=sharing"",""สระแก้ว!I84"")"),0)</f>
        <v>0</v>
      </c>
      <c r="AD69" s="93">
        <f ca="1">IFERROR(__xludf.DUMMYFUNCTION("IMPORTRANGE(""https://docs.google.com/spreadsheets/d/10oOiF7loTyfsTkbd4MpaIm0HQ9SwB7IYHdIUvt-U1Uc/edit?usp=sharing"",""สระแก้ว!I85"")"),0)</f>
        <v>0</v>
      </c>
      <c r="AE69" s="97">
        <f ca="1">IFERROR(__xludf.DUMMYFUNCTION("IMPORTRANGE(""https://docs.google.com/spreadsheets/d/10oOiF7loTyfsTkbd4MpaIm0HQ9SwB7IYHdIUvt-U1Uc/edit?usp=sharing"",""สระแก้ว!J84"")"),0)</f>
        <v>0</v>
      </c>
      <c r="AF69" s="97">
        <f ca="1">IFERROR(__xludf.DUMMYFUNCTION("IMPORTRANGE(""https://docs.google.com/spreadsheets/d/10oOiF7loTyfsTkbd4MpaIm0HQ9SwB7IYHdIUvt-U1Uc/edit?usp=sharing"",""สระแก้ว!J85"")"),0)</f>
        <v>0</v>
      </c>
      <c r="AG69" s="93">
        <f ca="1">IFERROR(__xludf.DUMMYFUNCTION("IMPORTRANGE(""https://docs.google.com/spreadsheets/d/10oOiF7loTyfsTkbd4MpaIm0HQ9SwB7IYHdIUvt-U1Uc/edit?usp=sharing"",""สระแก้ว!I86"")"),0)</f>
        <v>0</v>
      </c>
      <c r="AH69" s="93">
        <f ca="1">IFERROR(__xludf.DUMMYFUNCTION("IMPORTRANGE(""https://docs.google.com/spreadsheets/d/10oOiF7loTyfsTkbd4MpaIm0HQ9SwB7IYHdIUvt-U1Uc/edit?usp=sharing"",""สระแก้ว!I87"")"),0)</f>
        <v>0</v>
      </c>
      <c r="AI69" s="97">
        <f ca="1">IFERROR(__xludf.DUMMYFUNCTION("IMPORTRANGE(""https://docs.google.com/spreadsheets/d/10oOiF7loTyfsTkbd4MpaIm0HQ9SwB7IYHdIUvt-U1Uc/edit?usp=sharing"",""สระแก้ว!J86"")"),0)</f>
        <v>0</v>
      </c>
      <c r="AJ69" s="97">
        <f ca="1">IFERROR(__xludf.DUMMYFUNCTION("IMPORTRANGE(""https://docs.google.com/spreadsheets/d/10oOiF7loTyfsTkbd4MpaIm0HQ9SwB7IYHdIUvt-U1Uc/edit?usp=sharing"",""สระแก้ว!J87"")"),0)</f>
        <v>0</v>
      </c>
      <c r="AK69" s="93">
        <f ca="1">IFERROR(__xludf.DUMMYFUNCTION("IMPORTRANGE(""https://docs.google.com/spreadsheets/d/10oOiF7loTyfsTkbd4MpaIm0HQ9SwB7IYHdIUvt-U1Uc/edit?usp=sharing"",""สระแก้ว!I88"")"),1)</f>
        <v>1</v>
      </c>
      <c r="AL69" s="93">
        <f ca="1">IFERROR(__xludf.DUMMYFUNCTION("IMPORTRANGE(""https://docs.google.com/spreadsheets/d/10oOiF7loTyfsTkbd4MpaIm0HQ9SwB7IYHdIUvt-U1Uc/edit?usp=sharing"",""สระแก้ว!I89"")"),69)</f>
        <v>69</v>
      </c>
      <c r="AM69" s="97">
        <f ca="1">IFERROR(__xludf.DUMMYFUNCTION("IMPORTRANGE(""https://docs.google.com/spreadsheets/d/10oOiF7loTyfsTkbd4MpaIm0HQ9SwB7IYHdIUvt-U1Uc/edit?usp=sharing"",""สระแก้ว!J88"")"),0)</f>
        <v>0</v>
      </c>
      <c r="AN69" s="97">
        <f ca="1">IFERROR(__xludf.DUMMYFUNCTION("IMPORTRANGE(""https://docs.google.com/spreadsheets/d/10oOiF7loTyfsTkbd4MpaIm0HQ9SwB7IYHdIUvt-U1Uc/edit?usp=sharing"",""สระแก้ว!J89"")"),0)</f>
        <v>0</v>
      </c>
      <c r="AO69" s="93">
        <f ca="1">IFERROR(__xludf.DUMMYFUNCTION("IMPORTRANGE(""https://docs.google.com/spreadsheets/d/10oOiF7loTyfsTkbd4MpaIm0HQ9SwB7IYHdIUvt-U1Uc/edit?usp=sharing"",""สระแก้ว!I90"")"),1)</f>
        <v>1</v>
      </c>
      <c r="AP69" s="97">
        <f ca="1">IFERROR(__xludf.DUMMYFUNCTION("IMPORTRANGE(""https://docs.google.com/spreadsheets/d/10oOiF7loTyfsTkbd4MpaIm0HQ9SwB7IYHdIUvt-U1Uc/edit?usp=sharing"",""สระแก้ว!J90"")"),0)</f>
        <v>0</v>
      </c>
      <c r="AQ69" s="95">
        <f t="shared" ca="1" si="42"/>
        <v>0</v>
      </c>
    </row>
    <row r="70" spans="1:43" ht="21" customHeight="1" x14ac:dyDescent="0.3">
      <c r="A70" s="89">
        <v>18</v>
      </c>
      <c r="B70" s="90" t="s">
        <v>96</v>
      </c>
      <c r="C70" s="91">
        <f t="shared" ca="1" si="26"/>
        <v>0</v>
      </c>
      <c r="D70" s="92">
        <f t="shared" ca="1" si="55"/>
        <v>0</v>
      </c>
      <c r="E70" s="93">
        <f ca="1">IFERROR(__xludf.DUMMYFUNCTION("IMPORTRANGE(""https://docs.google.com/spreadsheets/d/1-uDff_7J0KD5mKrp0Vvzr7lt3OU09vwQwhkpOPPYv2Y/edit?usp=sharing"",""งบพรบ!AN70"")"),0)</f>
        <v>0</v>
      </c>
      <c r="F70" s="93">
        <f ca="1">IFERROR(__xludf.DUMMYFUNCTION("IMPORTRANGE(""https://docs.google.com/spreadsheets/d/1-uDff_7J0KD5mKrp0Vvzr7lt3OU09vwQwhkpOPPYv2Y/edit?usp=sharing"",""งบพรบ!AO70"")"),0)</f>
        <v>0</v>
      </c>
      <c r="G70" s="93">
        <f ca="1">IFERROR(__xludf.DUMMYFUNCTION("IMPORTRANGE(""https://docs.google.com/spreadsheets/d/1-uDff_7J0KD5mKrp0Vvzr7lt3OU09vwQwhkpOPPYv2Y/edit?usp=sharing"",""งบพรบ!AP70"")"),0)</f>
        <v>0</v>
      </c>
      <c r="H70" s="93">
        <f ca="1">IFERROR(__xludf.DUMMYFUNCTION("IMPORTRANGE(""https://docs.google.com/spreadsheets/d/1-uDff_7J0KD5mKrp0Vvzr7lt3OU09vwQwhkpOPPYv2Y/edit?usp=sharing"",""งบพรบ!AR70"")"),0)</f>
        <v>0</v>
      </c>
      <c r="I70" s="93">
        <f ca="1">IFERROR(__xludf.DUMMYFUNCTION("IMPORTRANGE(""https://docs.google.com/spreadsheets/d/1-uDff_7J0KD5mKrp0Vvzr7lt3OU09vwQwhkpOPPYv2Y/edit?usp=sharing"",""งบพรบ!AS70"")"),0)</f>
        <v>0</v>
      </c>
      <c r="J70" s="93">
        <f t="shared" ca="1" si="28"/>
        <v>0</v>
      </c>
      <c r="K70" s="94">
        <f t="shared" ca="1" si="29"/>
        <v>0</v>
      </c>
      <c r="L70" s="93">
        <f ca="1">IFERROR(__xludf.DUMMYFUNCTION("IMPORTRANGE(""https://docs.google.com/spreadsheets/d/1-uDff_7J0KD5mKrp0Vvzr7lt3OU09vwQwhkpOPPYv2Y/edit?usp=sharing"",""งบพรบ!AT70"")"),0)</f>
        <v>0</v>
      </c>
      <c r="M70" s="95">
        <f t="shared" ca="1" si="30"/>
        <v>0</v>
      </c>
      <c r="N70" s="95">
        <f t="shared" ca="1" si="31"/>
        <v>0</v>
      </c>
      <c r="O70" s="96">
        <f ca="1">IFERROR(__xludf.DUMMYFUNCTION("IMPORTRANGE(""https://docs.google.com/spreadsheets/d/1-uDff_7J0KD5mKrp0Vvzr7lt3OU09vwQwhkpOPPYv2Y/edit?usp=sharing"",""งบพรบ!AU70"")"),0)</f>
        <v>0</v>
      </c>
      <c r="P70" s="96">
        <f t="shared" ca="1" si="32"/>
        <v>0</v>
      </c>
      <c r="Q70" s="95">
        <f t="shared" ca="1" si="33"/>
        <v>0</v>
      </c>
      <c r="R70" s="86">
        <f ca="1">IFERROR(__xludf.DUMMYFUNCTION("IMPORTRANGE(""https://docs.google.com/spreadsheets/d/1xmPlrr1QbdSIKvl1dWUl9K4PjAfSL9oeMr_37QVzcxc/edit?usp=sharing"",""สระบุรี!Q72"")"),0)</f>
        <v>0</v>
      </c>
      <c r="S70" s="86">
        <f ca="1">IFERROR(__xludf.DUMMYFUNCTION("IMPORTRANGE(""https://docs.google.com/spreadsheets/d/1xmPlrr1QbdSIKvl1dWUl9K4PjAfSL9oeMr_37QVzcxc/edit?usp=sharing"",""สระบุรี!R72"")"),0)</f>
        <v>0</v>
      </c>
      <c r="T70" s="86">
        <f ca="1">IFERROR(__xludf.DUMMYFUNCTION("IMPORTRANGE(""https://docs.google.com/spreadsheets/d/1xmPlrr1QbdSIKvl1dWUl9K4PjAfSL9oeMr_37QVzcxc/edit?usp=sharing"",""สระบุรี!S72"")"),0)</f>
        <v>0</v>
      </c>
      <c r="U70" s="87">
        <f t="shared" ca="1" si="35"/>
        <v>0</v>
      </c>
      <c r="V70" s="87">
        <f t="shared" ca="1" si="36"/>
        <v>0</v>
      </c>
      <c r="W70" s="97">
        <f t="shared" ca="1" si="37"/>
        <v>0</v>
      </c>
      <c r="X70" s="97">
        <f t="shared" ca="1" si="38"/>
        <v>0</v>
      </c>
      <c r="Y70" s="97">
        <f t="shared" ca="1" si="56"/>
        <v>0</v>
      </c>
      <c r="Z70" s="98">
        <f t="shared" ca="1" si="39"/>
        <v>0</v>
      </c>
      <c r="AA70" s="97">
        <f t="shared" ca="1" si="57"/>
        <v>0</v>
      </c>
      <c r="AB70" s="98">
        <f t="shared" ca="1" si="40"/>
        <v>0</v>
      </c>
      <c r="AC70" s="93">
        <f ca="1">IFERROR(__xludf.DUMMYFUNCTION("IMPORTRANGE(""https://docs.google.com/spreadsheets/d/1xmPlrr1QbdSIKvl1dWUl9K4PjAfSL9oeMr_37QVzcxc/edit?usp=sharing"",""สระบุรี!I84"")"),0)</f>
        <v>0</v>
      </c>
      <c r="AD70" s="93">
        <f ca="1">IFERROR(__xludf.DUMMYFUNCTION("IMPORTRANGE(""https://docs.google.com/spreadsheets/d/1xmPlrr1QbdSIKvl1dWUl9K4PjAfSL9oeMr_37QVzcxc/edit?usp=sharing"",""สระบุรี!I85"")"),0)</f>
        <v>0</v>
      </c>
      <c r="AE70" s="97">
        <f ca="1">IFERROR(__xludf.DUMMYFUNCTION("IMPORTRANGE(""https://docs.google.com/spreadsheets/d/1xmPlrr1QbdSIKvl1dWUl9K4PjAfSL9oeMr_37QVzcxc/edit?usp=sharing"",""สระบุรี!J84"")"),0)</f>
        <v>0</v>
      </c>
      <c r="AF70" s="97">
        <f ca="1">IFERROR(__xludf.DUMMYFUNCTION("IMPORTRANGE(""https://docs.google.com/spreadsheets/d/1xmPlrr1QbdSIKvl1dWUl9K4PjAfSL9oeMr_37QVzcxc/edit?usp=sharing"",""สระบุรี!J85"")"),0)</f>
        <v>0</v>
      </c>
      <c r="AG70" s="93">
        <f ca="1">IFERROR(__xludf.DUMMYFUNCTION("IMPORTRANGE(""https://docs.google.com/spreadsheets/d/1xmPlrr1QbdSIKvl1dWUl9K4PjAfSL9oeMr_37QVzcxc/edit?usp=sharing"",""สระบุรี!I86"")"),0)</f>
        <v>0</v>
      </c>
      <c r="AH70" s="93">
        <f ca="1">IFERROR(__xludf.DUMMYFUNCTION("IMPORTRANGE(""https://docs.google.com/spreadsheets/d/1xmPlrr1QbdSIKvl1dWUl9K4PjAfSL9oeMr_37QVzcxc/edit?usp=sharing"",""สระบุรี!I87"")"),0)</f>
        <v>0</v>
      </c>
      <c r="AI70" s="97">
        <f ca="1">IFERROR(__xludf.DUMMYFUNCTION("IMPORTRANGE(""https://docs.google.com/spreadsheets/d/1xmPlrr1QbdSIKvl1dWUl9K4PjAfSL9oeMr_37QVzcxc/edit?usp=sharing"",""สระบุรี!J86"")"),0)</f>
        <v>0</v>
      </c>
      <c r="AJ70" s="97">
        <f ca="1">IFERROR(__xludf.DUMMYFUNCTION("IMPORTRANGE(""https://docs.google.com/spreadsheets/d/1xmPlrr1QbdSIKvl1dWUl9K4PjAfSL9oeMr_37QVzcxc/edit?usp=sharing"",""สระบุรี!J87"")"),0)</f>
        <v>0</v>
      </c>
      <c r="AK70" s="93">
        <f ca="1">IFERROR(__xludf.DUMMYFUNCTION("IMPORTRANGE(""https://docs.google.com/spreadsheets/d/1xmPlrr1QbdSIKvl1dWUl9K4PjAfSL9oeMr_37QVzcxc/edit?usp=sharing"",""สระบุรี!I88"")"),0)</f>
        <v>0</v>
      </c>
      <c r="AL70" s="93">
        <f ca="1">IFERROR(__xludf.DUMMYFUNCTION("IMPORTRANGE(""https://docs.google.com/spreadsheets/d/1xmPlrr1QbdSIKvl1dWUl9K4PjAfSL9oeMr_37QVzcxc/edit?usp=sharing"",""สระบุรี!I89"")"),0)</f>
        <v>0</v>
      </c>
      <c r="AM70" s="97">
        <f ca="1">IFERROR(__xludf.DUMMYFUNCTION("IMPORTRANGE(""https://docs.google.com/spreadsheets/d/1xmPlrr1QbdSIKvl1dWUl9K4PjAfSL9oeMr_37QVzcxc/edit?usp=sharing"",""สระบุรี!J88"")"),0)</f>
        <v>0</v>
      </c>
      <c r="AN70" s="97">
        <f ca="1">IFERROR(__xludf.DUMMYFUNCTION("IMPORTRANGE(""https://docs.google.com/spreadsheets/d/1xmPlrr1QbdSIKvl1dWUl9K4PjAfSL9oeMr_37QVzcxc/edit?usp=sharing"",""สระบุรี!J89"")"),0)</f>
        <v>0</v>
      </c>
      <c r="AO70" s="93">
        <f ca="1">IFERROR(__xludf.DUMMYFUNCTION("IMPORTRANGE(""https://docs.google.com/spreadsheets/d/1xmPlrr1QbdSIKvl1dWUl9K4PjAfSL9oeMr_37QVzcxc/edit?usp=sharing"",""สระบุรี!I90"")"),0)</f>
        <v>0</v>
      </c>
      <c r="AP70" s="97">
        <f ca="1">IFERROR(__xludf.DUMMYFUNCTION("IMPORTRANGE(""https://docs.google.com/spreadsheets/d/1xmPlrr1QbdSIKvl1dWUl9K4PjAfSL9oeMr_37QVzcxc/edit?usp=sharing"",""สระบุรี!J90"")"),0)</f>
        <v>0</v>
      </c>
      <c r="AQ70" s="95">
        <f t="shared" ca="1" si="42"/>
        <v>0</v>
      </c>
    </row>
    <row r="71" spans="1:43" ht="21" customHeight="1" x14ac:dyDescent="0.3">
      <c r="A71" s="89">
        <v>19</v>
      </c>
      <c r="B71" s="90" t="s">
        <v>97</v>
      </c>
      <c r="C71" s="91">
        <f t="shared" ca="1" si="26"/>
        <v>0</v>
      </c>
      <c r="D71" s="92">
        <f t="shared" ca="1" si="55"/>
        <v>0</v>
      </c>
      <c r="E71" s="93">
        <f ca="1">IFERROR(__xludf.DUMMYFUNCTION("IMPORTRANGE(""https://docs.google.com/spreadsheets/d/1-uDff_7J0KD5mKrp0Vvzr7lt3OU09vwQwhkpOPPYv2Y/edit?usp=sharing"",""งบพรบ!AN71"")"),0)</f>
        <v>0</v>
      </c>
      <c r="F71" s="93">
        <f ca="1">IFERROR(__xludf.DUMMYFUNCTION("IMPORTRANGE(""https://docs.google.com/spreadsheets/d/1-uDff_7J0KD5mKrp0Vvzr7lt3OU09vwQwhkpOPPYv2Y/edit?usp=sharing"",""งบพรบ!AO71"")"),0)</f>
        <v>0</v>
      </c>
      <c r="G71" s="93">
        <f ca="1">IFERROR(__xludf.DUMMYFUNCTION("IMPORTRANGE(""https://docs.google.com/spreadsheets/d/1-uDff_7J0KD5mKrp0Vvzr7lt3OU09vwQwhkpOPPYv2Y/edit?usp=sharing"",""งบพรบ!AP71"")"),0)</f>
        <v>0</v>
      </c>
      <c r="H71" s="93">
        <f ca="1">IFERROR(__xludf.DUMMYFUNCTION("IMPORTRANGE(""https://docs.google.com/spreadsheets/d/1-uDff_7J0KD5mKrp0Vvzr7lt3OU09vwQwhkpOPPYv2Y/edit?usp=sharing"",""งบพรบ!AR71"")"),0)</f>
        <v>0</v>
      </c>
      <c r="I71" s="93">
        <f ca="1">IFERROR(__xludf.DUMMYFUNCTION("IMPORTRANGE(""https://docs.google.com/spreadsheets/d/1-uDff_7J0KD5mKrp0Vvzr7lt3OU09vwQwhkpOPPYv2Y/edit?usp=sharing"",""งบพรบ!AS71"")"),0)</f>
        <v>0</v>
      </c>
      <c r="J71" s="93">
        <f t="shared" ca="1" si="28"/>
        <v>0</v>
      </c>
      <c r="K71" s="94">
        <f t="shared" ca="1" si="29"/>
        <v>0</v>
      </c>
      <c r="L71" s="93">
        <f ca="1">IFERROR(__xludf.DUMMYFUNCTION("IMPORTRANGE(""https://docs.google.com/spreadsheets/d/1-uDff_7J0KD5mKrp0Vvzr7lt3OU09vwQwhkpOPPYv2Y/edit?usp=sharing"",""งบพรบ!AT71"")"),0)</f>
        <v>0</v>
      </c>
      <c r="M71" s="95">
        <f t="shared" ca="1" si="30"/>
        <v>0</v>
      </c>
      <c r="N71" s="95">
        <f t="shared" ca="1" si="31"/>
        <v>0</v>
      </c>
      <c r="O71" s="96">
        <f ca="1">IFERROR(__xludf.DUMMYFUNCTION("IMPORTRANGE(""https://docs.google.com/spreadsheets/d/1-uDff_7J0KD5mKrp0Vvzr7lt3OU09vwQwhkpOPPYv2Y/edit?usp=sharing"",""งบพรบ!AU71"")"),0)</f>
        <v>0</v>
      </c>
      <c r="P71" s="96">
        <f t="shared" ca="1" si="32"/>
        <v>0</v>
      </c>
      <c r="Q71" s="95">
        <f t="shared" ca="1" si="33"/>
        <v>0</v>
      </c>
      <c r="R71" s="86">
        <f ca="1">IFERROR(__xludf.DUMMYFUNCTION("IMPORTRANGE(""https://docs.google.com/spreadsheets/d/1j51vR6CYVGhABJpv6tkstgok82RLpXieLzW1yOY5rHw/edit?usp=sharing"",""สิงห์บุรี!Q72"")"),0)</f>
        <v>0</v>
      </c>
      <c r="S71" s="86">
        <f ca="1">IFERROR(__xludf.DUMMYFUNCTION("IMPORTRANGE(""https://docs.google.com/spreadsheets/d/1j51vR6CYVGhABJpv6tkstgok82RLpXieLzW1yOY5rHw/edit?usp=sharing"",""สิงห์บุรี!R72"")"),0)</f>
        <v>0</v>
      </c>
      <c r="T71" s="86">
        <f ca="1">IFERROR(__xludf.DUMMYFUNCTION("IMPORTRANGE(""https://docs.google.com/spreadsheets/d/1j51vR6CYVGhABJpv6tkstgok82RLpXieLzW1yOY5rHw/edit?usp=sharing"",""สิงห์บุรี!S72"")"),0)</f>
        <v>0</v>
      </c>
      <c r="U71" s="87">
        <f t="shared" ca="1" si="35"/>
        <v>0</v>
      </c>
      <c r="V71" s="87">
        <f t="shared" ca="1" si="36"/>
        <v>0</v>
      </c>
      <c r="W71" s="97">
        <f t="shared" ca="1" si="37"/>
        <v>0</v>
      </c>
      <c r="X71" s="97">
        <f t="shared" ca="1" si="38"/>
        <v>0</v>
      </c>
      <c r="Y71" s="97">
        <f t="shared" ca="1" si="56"/>
        <v>0</v>
      </c>
      <c r="Z71" s="98">
        <f t="shared" ca="1" si="39"/>
        <v>0</v>
      </c>
      <c r="AA71" s="97">
        <f t="shared" ca="1" si="57"/>
        <v>0</v>
      </c>
      <c r="AB71" s="98">
        <f t="shared" ca="1" si="40"/>
        <v>0</v>
      </c>
      <c r="AC71" s="93">
        <f ca="1">IFERROR(__xludf.DUMMYFUNCTION("IMPORTRANGE(""https://docs.google.com/spreadsheets/d/1j51vR6CYVGhABJpv6tkstgok82RLpXieLzW1yOY5rHw/edit?usp=sharing"",""สิงห์บุรี!I84"")"),0)</f>
        <v>0</v>
      </c>
      <c r="AD71" s="93">
        <f ca="1">IFERROR(__xludf.DUMMYFUNCTION("IMPORTRANGE(""https://docs.google.com/spreadsheets/d/1j51vR6CYVGhABJpv6tkstgok82RLpXieLzW1yOY5rHw/edit?usp=sharing"",""สิงห์บุรี!I85"")"),0)</f>
        <v>0</v>
      </c>
      <c r="AE71" s="97">
        <f ca="1">IFERROR(__xludf.DUMMYFUNCTION("IMPORTRANGE(""https://docs.google.com/spreadsheets/d/1j51vR6CYVGhABJpv6tkstgok82RLpXieLzW1yOY5rHw/edit?usp=sharing"",""สิงห์บุรี!J84"")"),0)</f>
        <v>0</v>
      </c>
      <c r="AF71" s="97">
        <f ca="1">IFERROR(__xludf.DUMMYFUNCTION("IMPORTRANGE(""https://docs.google.com/spreadsheets/d/1j51vR6CYVGhABJpv6tkstgok82RLpXieLzW1yOY5rHw/edit?usp=sharing"",""สิงห์บุรี!J85"")"),0)</f>
        <v>0</v>
      </c>
      <c r="AG71" s="93">
        <f ca="1">IFERROR(__xludf.DUMMYFUNCTION("IMPORTRANGE(""https://docs.google.com/spreadsheets/d/1j51vR6CYVGhABJpv6tkstgok82RLpXieLzW1yOY5rHw/edit?usp=sharing"",""สิงห์บุรี!I86"")"),0)</f>
        <v>0</v>
      </c>
      <c r="AH71" s="93">
        <f ca="1">IFERROR(__xludf.DUMMYFUNCTION("IMPORTRANGE(""https://docs.google.com/spreadsheets/d/1j51vR6CYVGhABJpv6tkstgok82RLpXieLzW1yOY5rHw/edit?usp=sharing"",""สิงห์บุรี!I87"")"),0)</f>
        <v>0</v>
      </c>
      <c r="AI71" s="97">
        <f ca="1">IFERROR(__xludf.DUMMYFUNCTION("IMPORTRANGE(""https://docs.google.com/spreadsheets/d/1j51vR6CYVGhABJpv6tkstgok82RLpXieLzW1yOY5rHw/edit?usp=sharing"",""สิงห์บุรี!J86"")"),0)</f>
        <v>0</v>
      </c>
      <c r="AJ71" s="97">
        <f ca="1">IFERROR(__xludf.DUMMYFUNCTION("IMPORTRANGE(""https://docs.google.com/spreadsheets/d/1j51vR6CYVGhABJpv6tkstgok82RLpXieLzW1yOY5rHw/edit?usp=sharing"",""สิงห์บุรี!J87"")"),0)</f>
        <v>0</v>
      </c>
      <c r="AK71" s="93">
        <f ca="1">IFERROR(__xludf.DUMMYFUNCTION("IMPORTRANGE(""https://docs.google.com/spreadsheets/d/1j51vR6CYVGhABJpv6tkstgok82RLpXieLzW1yOY5rHw/edit?usp=sharing"",""สิงห์บุรี!I88"")"),0)</f>
        <v>0</v>
      </c>
      <c r="AL71" s="93">
        <f ca="1">IFERROR(__xludf.DUMMYFUNCTION("IMPORTRANGE(""https://docs.google.com/spreadsheets/d/1j51vR6CYVGhABJpv6tkstgok82RLpXieLzW1yOY5rHw/edit?usp=sharing"",""สิงห์บุรี!I89"")"),0)</f>
        <v>0</v>
      </c>
      <c r="AM71" s="97">
        <f ca="1">IFERROR(__xludf.DUMMYFUNCTION("IMPORTRANGE(""https://docs.google.com/spreadsheets/d/1j51vR6CYVGhABJpv6tkstgok82RLpXieLzW1yOY5rHw/edit?usp=sharing"",""สิงห์บุรี!J88"")"),0)</f>
        <v>0</v>
      </c>
      <c r="AN71" s="97">
        <f ca="1">IFERROR(__xludf.DUMMYFUNCTION("IMPORTRANGE(""https://docs.google.com/spreadsheets/d/1j51vR6CYVGhABJpv6tkstgok82RLpXieLzW1yOY5rHw/edit?usp=sharing"",""สิงห์บุรี!J89"")"),0)</f>
        <v>0</v>
      </c>
      <c r="AO71" s="93">
        <f ca="1">IFERROR(__xludf.DUMMYFUNCTION("IMPORTRANGE(""https://docs.google.com/spreadsheets/d/1j51vR6CYVGhABJpv6tkstgok82RLpXieLzW1yOY5rHw/edit?usp=sharing"",""สิงห์บุรี!I90"")"),0)</f>
        <v>0</v>
      </c>
      <c r="AP71" s="97">
        <f ca="1">IFERROR(__xludf.DUMMYFUNCTION("IMPORTRANGE(""https://docs.google.com/spreadsheets/d/1j51vR6CYVGhABJpv6tkstgok82RLpXieLzW1yOY5rHw/edit?usp=sharing"",""สิงห์บุรี!J90"")"),0)</f>
        <v>0</v>
      </c>
      <c r="AQ71" s="95">
        <f t="shared" ca="1" si="42"/>
        <v>0</v>
      </c>
    </row>
    <row r="72" spans="1:43" ht="21" customHeight="1" x14ac:dyDescent="0.3">
      <c r="A72" s="89">
        <v>20</v>
      </c>
      <c r="B72" s="90" t="s">
        <v>98</v>
      </c>
      <c r="C72" s="91">
        <f t="shared" ca="1" si="26"/>
        <v>0</v>
      </c>
      <c r="D72" s="92">
        <f t="shared" ca="1" si="55"/>
        <v>0</v>
      </c>
      <c r="E72" s="93">
        <f ca="1">IFERROR(__xludf.DUMMYFUNCTION("IMPORTRANGE(""https://docs.google.com/spreadsheets/d/1-uDff_7J0KD5mKrp0Vvzr7lt3OU09vwQwhkpOPPYv2Y/edit?usp=sharing"",""งบพรบ!AN72"")"),0)</f>
        <v>0</v>
      </c>
      <c r="F72" s="93">
        <f ca="1">IFERROR(__xludf.DUMMYFUNCTION("IMPORTRANGE(""https://docs.google.com/spreadsheets/d/1-uDff_7J0KD5mKrp0Vvzr7lt3OU09vwQwhkpOPPYv2Y/edit?usp=sharing"",""งบพรบ!AO72"")"),0)</f>
        <v>0</v>
      </c>
      <c r="G72" s="93">
        <f ca="1">IFERROR(__xludf.DUMMYFUNCTION("IMPORTRANGE(""https://docs.google.com/spreadsheets/d/1-uDff_7J0KD5mKrp0Vvzr7lt3OU09vwQwhkpOPPYv2Y/edit?usp=sharing"",""งบพรบ!AP72"")"),0)</f>
        <v>0</v>
      </c>
      <c r="H72" s="93">
        <f ca="1">IFERROR(__xludf.DUMMYFUNCTION("IMPORTRANGE(""https://docs.google.com/spreadsheets/d/1-uDff_7J0KD5mKrp0Vvzr7lt3OU09vwQwhkpOPPYv2Y/edit?usp=sharing"",""งบพรบ!AR72"")"),0)</f>
        <v>0</v>
      </c>
      <c r="I72" s="93">
        <f ca="1">IFERROR(__xludf.DUMMYFUNCTION("IMPORTRANGE(""https://docs.google.com/spreadsheets/d/1-uDff_7J0KD5mKrp0Vvzr7lt3OU09vwQwhkpOPPYv2Y/edit?usp=sharing"",""งบพรบ!AS72"")"),0)</f>
        <v>0</v>
      </c>
      <c r="J72" s="93">
        <f t="shared" ca="1" si="28"/>
        <v>0</v>
      </c>
      <c r="K72" s="94">
        <f t="shared" ca="1" si="29"/>
        <v>0</v>
      </c>
      <c r="L72" s="93">
        <f ca="1">IFERROR(__xludf.DUMMYFUNCTION("IMPORTRANGE(""https://docs.google.com/spreadsheets/d/1-uDff_7J0KD5mKrp0Vvzr7lt3OU09vwQwhkpOPPYv2Y/edit?usp=sharing"",""งบพรบ!AT72"")"),0)</f>
        <v>0</v>
      </c>
      <c r="M72" s="95">
        <f t="shared" ca="1" si="30"/>
        <v>0</v>
      </c>
      <c r="N72" s="95">
        <f t="shared" ca="1" si="31"/>
        <v>0</v>
      </c>
      <c r="O72" s="96">
        <f ca="1">IFERROR(__xludf.DUMMYFUNCTION("IMPORTRANGE(""https://docs.google.com/spreadsheets/d/1-uDff_7J0KD5mKrp0Vvzr7lt3OU09vwQwhkpOPPYv2Y/edit?usp=sharing"",""งบพรบ!AU72"")"),0)</f>
        <v>0</v>
      </c>
      <c r="P72" s="96">
        <f t="shared" ca="1" si="32"/>
        <v>0</v>
      </c>
      <c r="Q72" s="95">
        <f t="shared" ca="1" si="33"/>
        <v>0</v>
      </c>
      <c r="R72" s="86">
        <f ca="1">IFERROR(__xludf.DUMMYFUNCTION("IMPORTRANGE(""https://docs.google.com/spreadsheets/d/1H1EalTWKUSzO4Z1-1CwzoDUaVffgrThEBe2sl74kKG0/edit?usp=sharing"",""สุพรรณบุรี!Q72"")"),1739300)</f>
        <v>1739300</v>
      </c>
      <c r="S72" s="86">
        <f ca="1">IFERROR(__xludf.DUMMYFUNCTION("IMPORTRANGE(""https://docs.google.com/spreadsheets/d/1H1EalTWKUSzO4Z1-1CwzoDUaVffgrThEBe2sl74kKG0/edit?usp=sharing"",""สุพรรณบุรี!R72"")"),0)</f>
        <v>0</v>
      </c>
      <c r="T72" s="86">
        <f ca="1">IFERROR(__xludf.DUMMYFUNCTION("IMPORTRANGE(""https://docs.google.com/spreadsheets/d/1H1EalTWKUSzO4Z1-1CwzoDUaVffgrThEBe2sl74kKG0/edit?usp=sharing"",""สุพรรณบุรี!S72"")"),0)</f>
        <v>0</v>
      </c>
      <c r="U72" s="87">
        <f t="shared" ca="1" si="35"/>
        <v>0</v>
      </c>
      <c r="V72" s="87">
        <f t="shared" ca="1" si="36"/>
        <v>0</v>
      </c>
      <c r="W72" s="97">
        <f t="shared" ca="1" si="37"/>
        <v>2</v>
      </c>
      <c r="X72" s="97">
        <f t="shared" ca="1" si="38"/>
        <v>70</v>
      </c>
      <c r="Y72" s="97">
        <f t="shared" ca="1" si="56"/>
        <v>0</v>
      </c>
      <c r="Z72" s="98">
        <f t="shared" ca="1" si="39"/>
        <v>0</v>
      </c>
      <c r="AA72" s="97">
        <f t="shared" ca="1" si="57"/>
        <v>0</v>
      </c>
      <c r="AB72" s="98">
        <f t="shared" ca="1" si="40"/>
        <v>0</v>
      </c>
      <c r="AC72" s="93">
        <f ca="1">IFERROR(__xludf.DUMMYFUNCTION("IMPORTRANGE(""https://docs.google.com/spreadsheets/d/1H1EalTWKUSzO4Z1-1CwzoDUaVffgrThEBe2sl74kKG0/edit?usp=sharing"",""สุพรรณบุรี!I84"")"),0)</f>
        <v>0</v>
      </c>
      <c r="AD72" s="93">
        <f ca="1">IFERROR(__xludf.DUMMYFUNCTION("IMPORTRANGE(""https://docs.google.com/spreadsheets/d/1H1EalTWKUSzO4Z1-1CwzoDUaVffgrThEBe2sl74kKG0/edit?usp=sharing"",""สุพรรณบุรี!I85"")"),0)</f>
        <v>0</v>
      </c>
      <c r="AE72" s="97">
        <f ca="1">IFERROR(__xludf.DUMMYFUNCTION("IMPORTRANGE(""https://docs.google.com/spreadsheets/d/1H1EalTWKUSzO4Z1-1CwzoDUaVffgrThEBe2sl74kKG0/edit?usp=sharing"",""สุพรรณบุรี!J84"")"),0)</f>
        <v>0</v>
      </c>
      <c r="AF72" s="97">
        <f ca="1">IFERROR(__xludf.DUMMYFUNCTION("IMPORTRANGE(""https://docs.google.com/spreadsheets/d/1H1EalTWKUSzO4Z1-1CwzoDUaVffgrThEBe2sl74kKG0/edit?usp=sharing"",""สุพรรณบุรี!J85"")"),0)</f>
        <v>0</v>
      </c>
      <c r="AG72" s="93">
        <f ca="1">IFERROR(__xludf.DUMMYFUNCTION("IMPORTRANGE(""https://docs.google.com/spreadsheets/d/1H1EalTWKUSzO4Z1-1CwzoDUaVffgrThEBe2sl74kKG0/edit?usp=sharing"",""สุพรรณบุรี!I86"")"),2)</f>
        <v>2</v>
      </c>
      <c r="AH72" s="93">
        <f ca="1">IFERROR(__xludf.DUMMYFUNCTION("IMPORTRANGE(""https://docs.google.com/spreadsheets/d/1H1EalTWKUSzO4Z1-1CwzoDUaVffgrThEBe2sl74kKG0/edit?usp=sharing"",""สุพรรณบุรี!I87"")"),70)</f>
        <v>70</v>
      </c>
      <c r="AI72" s="97">
        <f ca="1">IFERROR(__xludf.DUMMYFUNCTION("IMPORTRANGE(""https://docs.google.com/spreadsheets/d/1H1EalTWKUSzO4Z1-1CwzoDUaVffgrThEBe2sl74kKG0/edit?usp=sharing"",""สุพรรณบุรี!J86"")"),0)</f>
        <v>0</v>
      </c>
      <c r="AJ72" s="97">
        <f ca="1">IFERROR(__xludf.DUMMYFUNCTION("IMPORTRANGE(""https://docs.google.com/spreadsheets/d/1H1EalTWKUSzO4Z1-1CwzoDUaVffgrThEBe2sl74kKG0/edit?usp=sharing"",""สุพรรณบุรี!J87"")"),0)</f>
        <v>0</v>
      </c>
      <c r="AK72" s="93">
        <f ca="1">IFERROR(__xludf.DUMMYFUNCTION("IMPORTRANGE(""https://docs.google.com/spreadsheets/d/1H1EalTWKUSzO4Z1-1CwzoDUaVffgrThEBe2sl74kKG0/edit?usp=sharing"",""สุพรรณบุรี!I88"")"),0)</f>
        <v>0</v>
      </c>
      <c r="AL72" s="93">
        <f ca="1">IFERROR(__xludf.DUMMYFUNCTION("IMPORTRANGE(""https://docs.google.com/spreadsheets/d/1H1EalTWKUSzO4Z1-1CwzoDUaVffgrThEBe2sl74kKG0/edit?usp=sharing"",""สุพรรณบุรี!I89"")"),0)</f>
        <v>0</v>
      </c>
      <c r="AM72" s="97">
        <f ca="1">IFERROR(__xludf.DUMMYFUNCTION("IMPORTRANGE(""https://docs.google.com/spreadsheets/d/1H1EalTWKUSzO4Z1-1CwzoDUaVffgrThEBe2sl74kKG0/edit?usp=sharing"",""สุพรรณบุรี!J88"")"),0)</f>
        <v>0</v>
      </c>
      <c r="AN72" s="97">
        <f ca="1">IFERROR(__xludf.DUMMYFUNCTION("IMPORTRANGE(""https://docs.google.com/spreadsheets/d/1H1EalTWKUSzO4Z1-1CwzoDUaVffgrThEBe2sl74kKG0/edit?usp=sharing"",""สุพรรณบุรี!J89"")"),0)</f>
        <v>0</v>
      </c>
      <c r="AO72" s="93">
        <f ca="1">IFERROR(__xludf.DUMMYFUNCTION("IMPORTRANGE(""https://docs.google.com/spreadsheets/d/1H1EalTWKUSzO4Z1-1CwzoDUaVffgrThEBe2sl74kKG0/edit?usp=sharing"",""สุพรรณบุรี!I90"")"),2)</f>
        <v>2</v>
      </c>
      <c r="AP72" s="97">
        <f ca="1">IFERROR(__xludf.DUMMYFUNCTION("IMPORTRANGE(""https://docs.google.com/spreadsheets/d/1H1EalTWKUSzO4Z1-1CwzoDUaVffgrThEBe2sl74kKG0/edit?usp=sharing"",""สุพรรณบุรี!J90"")"),0)</f>
        <v>0</v>
      </c>
      <c r="AQ72" s="95">
        <f t="shared" ca="1" si="42"/>
        <v>0</v>
      </c>
    </row>
    <row r="73" spans="1:43" ht="21" customHeight="1" x14ac:dyDescent="0.3">
      <c r="A73" s="100">
        <v>21</v>
      </c>
      <c r="B73" s="101" t="s">
        <v>99</v>
      </c>
      <c r="C73" s="102">
        <f t="shared" ca="1" si="26"/>
        <v>0</v>
      </c>
      <c r="D73" s="103">
        <f t="shared" ca="1" si="55"/>
        <v>0</v>
      </c>
      <c r="E73" s="104">
        <f ca="1">IFERROR(__xludf.DUMMYFUNCTION("IMPORTRANGE(""https://docs.google.com/spreadsheets/d/1-uDff_7J0KD5mKrp0Vvzr7lt3OU09vwQwhkpOPPYv2Y/edit?usp=sharing"",""งบพรบ!AN73"")"),0)</f>
        <v>0</v>
      </c>
      <c r="F73" s="104">
        <f ca="1">IFERROR(__xludf.DUMMYFUNCTION("IMPORTRANGE(""https://docs.google.com/spreadsheets/d/1-uDff_7J0KD5mKrp0Vvzr7lt3OU09vwQwhkpOPPYv2Y/edit?usp=sharing"",""งบพรบ!AO73"")"),0)</f>
        <v>0</v>
      </c>
      <c r="G73" s="104">
        <f ca="1">IFERROR(__xludf.DUMMYFUNCTION("IMPORTRANGE(""https://docs.google.com/spreadsheets/d/1-uDff_7J0KD5mKrp0Vvzr7lt3OU09vwQwhkpOPPYv2Y/edit?usp=sharing"",""งบพรบ!AP73"")"),0)</f>
        <v>0</v>
      </c>
      <c r="H73" s="104">
        <f ca="1">IFERROR(__xludf.DUMMYFUNCTION("IMPORTRANGE(""https://docs.google.com/spreadsheets/d/1-uDff_7J0KD5mKrp0Vvzr7lt3OU09vwQwhkpOPPYv2Y/edit?usp=sharing"",""งบพรบ!AR73"")"),0)</f>
        <v>0</v>
      </c>
      <c r="I73" s="104">
        <f ca="1">IFERROR(__xludf.DUMMYFUNCTION("IMPORTRANGE(""https://docs.google.com/spreadsheets/d/1-uDff_7J0KD5mKrp0Vvzr7lt3OU09vwQwhkpOPPYv2Y/edit?usp=sharing"",""งบพรบ!AS73"")"),0)</f>
        <v>0</v>
      </c>
      <c r="J73" s="104">
        <f t="shared" ca="1" si="28"/>
        <v>0</v>
      </c>
      <c r="K73" s="105">
        <f t="shared" ca="1" si="29"/>
        <v>0</v>
      </c>
      <c r="L73" s="104">
        <f ca="1">IFERROR(__xludf.DUMMYFUNCTION("IMPORTRANGE(""https://docs.google.com/spreadsheets/d/1-uDff_7J0KD5mKrp0Vvzr7lt3OU09vwQwhkpOPPYv2Y/edit?usp=sharing"",""งบพรบ!AT73"")"),0)</f>
        <v>0</v>
      </c>
      <c r="M73" s="106">
        <f t="shared" ca="1" si="30"/>
        <v>0</v>
      </c>
      <c r="N73" s="106">
        <f t="shared" ca="1" si="31"/>
        <v>0</v>
      </c>
      <c r="O73" s="107">
        <f ca="1">IFERROR(__xludf.DUMMYFUNCTION("IMPORTRANGE(""https://docs.google.com/spreadsheets/d/1-uDff_7J0KD5mKrp0Vvzr7lt3OU09vwQwhkpOPPYv2Y/edit?usp=sharing"",""งบพรบ!AU73"")"),0)</f>
        <v>0</v>
      </c>
      <c r="P73" s="107">
        <f t="shared" ca="1" si="32"/>
        <v>0</v>
      </c>
      <c r="Q73" s="106">
        <f t="shared" ca="1" si="33"/>
        <v>0</v>
      </c>
      <c r="R73" s="108">
        <f ca="1">IFERROR(__xludf.DUMMYFUNCTION("IMPORTRANGE(""https://docs.google.com/spreadsheets/d/1BmIruG_sIrJLYao_Pdr7zVArWsfoBt2692TMi6x_854/edit?usp=sharing"",""อ่างทอง!Q72"")"),0)</f>
        <v>0</v>
      </c>
      <c r="S73" s="108">
        <f ca="1">IFERROR(__xludf.DUMMYFUNCTION("IMPORTRANGE(""https://docs.google.com/spreadsheets/d/1BmIruG_sIrJLYao_Pdr7zVArWsfoBt2692TMi6x_854/edit?usp=sharing"",""อ่างทอง!R72"")"),0)</f>
        <v>0</v>
      </c>
      <c r="T73" s="108">
        <f ca="1">IFERROR(__xludf.DUMMYFUNCTION("IMPORTRANGE(""https://docs.google.com/spreadsheets/d/1BmIruG_sIrJLYao_Pdr7zVArWsfoBt2692TMi6x_854/edit?usp=sharing"",""อ่างทอง!S72"")"),0)</f>
        <v>0</v>
      </c>
      <c r="U73" s="109">
        <f t="shared" ca="1" si="35"/>
        <v>0</v>
      </c>
      <c r="V73" s="109">
        <f t="shared" ca="1" si="36"/>
        <v>0</v>
      </c>
      <c r="W73" s="110">
        <f t="shared" ca="1" si="37"/>
        <v>0</v>
      </c>
      <c r="X73" s="110">
        <f t="shared" ca="1" si="38"/>
        <v>0</v>
      </c>
      <c r="Y73" s="110">
        <f t="shared" ca="1" si="56"/>
        <v>0</v>
      </c>
      <c r="Z73" s="111">
        <f t="shared" ca="1" si="39"/>
        <v>0</v>
      </c>
      <c r="AA73" s="110">
        <f t="shared" ca="1" si="57"/>
        <v>0</v>
      </c>
      <c r="AB73" s="111">
        <f t="shared" ca="1" si="40"/>
        <v>0</v>
      </c>
      <c r="AC73" s="104">
        <f ca="1">IFERROR(__xludf.DUMMYFUNCTION("IMPORTRANGE(""https://docs.google.com/spreadsheets/d/1BmIruG_sIrJLYao_Pdr7zVArWsfoBt2692TMi6x_854/edit?usp=sharing"",""อ่างทอง!I84"")"),0)</f>
        <v>0</v>
      </c>
      <c r="AD73" s="104">
        <f ca="1">IFERROR(__xludf.DUMMYFUNCTION("IMPORTRANGE(""https://docs.google.com/spreadsheets/d/1BmIruG_sIrJLYao_Pdr7zVArWsfoBt2692TMi6x_854/edit?usp=sharing"",""อ่างทอง!I85"")"),0)</f>
        <v>0</v>
      </c>
      <c r="AE73" s="110">
        <f ca="1">IFERROR(__xludf.DUMMYFUNCTION("IMPORTRANGE(""https://docs.google.com/spreadsheets/d/1BmIruG_sIrJLYao_Pdr7zVArWsfoBt2692TMi6x_854/edit?usp=sharing"",""อ่างทอง!J84"")"),0)</f>
        <v>0</v>
      </c>
      <c r="AF73" s="110">
        <f ca="1">IFERROR(__xludf.DUMMYFUNCTION("IMPORTRANGE(""https://docs.google.com/spreadsheets/d/1BmIruG_sIrJLYao_Pdr7zVArWsfoBt2692TMi6x_854/edit?usp=sharing"",""อ่างทอง!J85"")"),0)</f>
        <v>0</v>
      </c>
      <c r="AG73" s="104">
        <f ca="1">IFERROR(__xludf.DUMMYFUNCTION("IMPORTRANGE(""https://docs.google.com/spreadsheets/d/1BmIruG_sIrJLYao_Pdr7zVArWsfoBt2692TMi6x_854/edit?usp=sharing"",""อ่างทอง!I86"")"),0)</f>
        <v>0</v>
      </c>
      <c r="AH73" s="104">
        <f ca="1">IFERROR(__xludf.DUMMYFUNCTION("IMPORTRANGE(""https://docs.google.com/spreadsheets/d/1BmIruG_sIrJLYao_Pdr7zVArWsfoBt2692TMi6x_854/edit?usp=sharing"",""อ่างทอง!I87"")"),0)</f>
        <v>0</v>
      </c>
      <c r="AI73" s="110">
        <f ca="1">IFERROR(__xludf.DUMMYFUNCTION("IMPORTRANGE(""https://docs.google.com/spreadsheets/d/1BmIruG_sIrJLYao_Pdr7zVArWsfoBt2692TMi6x_854/edit?usp=sharing"",""อ่างทอง!J86"")"),0)</f>
        <v>0</v>
      </c>
      <c r="AJ73" s="110">
        <f ca="1">IFERROR(__xludf.DUMMYFUNCTION("IMPORTRANGE(""https://docs.google.com/spreadsheets/d/1BmIruG_sIrJLYao_Pdr7zVArWsfoBt2692TMi6x_854/edit?usp=sharing"",""อ่างทอง!J87"")"),0)</f>
        <v>0</v>
      </c>
      <c r="AK73" s="104">
        <f ca="1">IFERROR(__xludf.DUMMYFUNCTION("IMPORTRANGE(""https://docs.google.com/spreadsheets/d/1BmIruG_sIrJLYao_Pdr7zVArWsfoBt2692TMi6x_854/edit?usp=sharing"",""อ่างทอง!I88"")"),0)</f>
        <v>0</v>
      </c>
      <c r="AL73" s="104">
        <f ca="1">IFERROR(__xludf.DUMMYFUNCTION("IMPORTRANGE(""https://docs.google.com/spreadsheets/d/1BmIruG_sIrJLYao_Pdr7zVArWsfoBt2692TMi6x_854/edit?usp=sharing"",""อ่างทอง!I89"")"),0)</f>
        <v>0</v>
      </c>
      <c r="AM73" s="110">
        <f ca="1">IFERROR(__xludf.DUMMYFUNCTION("IMPORTRANGE(""https://docs.google.com/spreadsheets/d/1BmIruG_sIrJLYao_Pdr7zVArWsfoBt2692TMi6x_854/edit?usp=sharing"",""อ่างทอง!J88"")"),0)</f>
        <v>0</v>
      </c>
      <c r="AN73" s="110">
        <f ca="1">IFERROR(__xludf.DUMMYFUNCTION("IMPORTRANGE(""https://docs.google.com/spreadsheets/d/1BmIruG_sIrJLYao_Pdr7zVArWsfoBt2692TMi6x_854/edit?usp=sharing"",""อ่างทอง!J89"")"),0)</f>
        <v>0</v>
      </c>
      <c r="AO73" s="104">
        <f ca="1">IFERROR(__xludf.DUMMYFUNCTION("IMPORTRANGE(""https://docs.google.com/spreadsheets/d/1BmIruG_sIrJLYao_Pdr7zVArWsfoBt2692TMi6x_854/edit?usp=sharing"",""อ่างทอง!I90"")"),0)</f>
        <v>0</v>
      </c>
      <c r="AP73" s="110">
        <f ca="1">IFERROR(__xludf.DUMMYFUNCTION("IMPORTRANGE(""https://docs.google.com/spreadsheets/d/1BmIruG_sIrJLYao_Pdr7zVArWsfoBt2692TMi6x_854/edit?usp=sharing"",""อ่างทอง!J90"")"),0)</f>
        <v>0</v>
      </c>
      <c r="AQ73" s="106">
        <f t="shared" ca="1" si="42"/>
        <v>0</v>
      </c>
    </row>
    <row r="74" spans="1:43" ht="21" customHeight="1" x14ac:dyDescent="0.3">
      <c r="A74" s="624" t="s">
        <v>100</v>
      </c>
      <c r="B74" s="604"/>
      <c r="C74" s="121">
        <f t="shared" ca="1" si="26"/>
        <v>544900</v>
      </c>
      <c r="D74" s="71">
        <f t="shared" ref="D74:I74" ca="1" si="58">SUM(D75:D88)</f>
        <v>544900</v>
      </c>
      <c r="E74" s="71">
        <f t="shared" ca="1" si="58"/>
        <v>306900</v>
      </c>
      <c r="F74" s="71">
        <f t="shared" ca="1" si="58"/>
        <v>238000</v>
      </c>
      <c r="G74" s="71">
        <f t="shared" ca="1" si="58"/>
        <v>0</v>
      </c>
      <c r="H74" s="71">
        <f t="shared" ca="1" si="58"/>
        <v>417008</v>
      </c>
      <c r="I74" s="71">
        <f t="shared" ca="1" si="58"/>
        <v>0</v>
      </c>
      <c r="J74" s="71">
        <f t="shared" ca="1" si="28"/>
        <v>195190.88</v>
      </c>
      <c r="K74" s="113">
        <f t="shared" ca="1" si="29"/>
        <v>35.82141310332171</v>
      </c>
      <c r="L74" s="71">
        <f ca="1">SUM(L75:L88)</f>
        <v>195190.88</v>
      </c>
      <c r="M74" s="114">
        <f t="shared" ca="1" si="30"/>
        <v>35.82141310332171</v>
      </c>
      <c r="N74" s="114">
        <f t="shared" ca="1" si="31"/>
        <v>46.807466523424011</v>
      </c>
      <c r="O74" s="115">
        <f ca="1">SUM(O75:O88)</f>
        <v>0</v>
      </c>
      <c r="P74" s="115">
        <f t="shared" ca="1" si="32"/>
        <v>0</v>
      </c>
      <c r="Q74" s="114">
        <f t="shared" ca="1" si="33"/>
        <v>0</v>
      </c>
      <c r="R74" s="39">
        <f t="shared" ref="R74:T74" ca="1" si="59">SUM(R75:R88)</f>
        <v>1525812</v>
      </c>
      <c r="S74" s="39">
        <f t="shared" ca="1" si="59"/>
        <v>0</v>
      </c>
      <c r="T74" s="39">
        <f t="shared" ca="1" si="59"/>
        <v>0</v>
      </c>
      <c r="U74" s="40">
        <f t="shared" ca="1" si="35"/>
        <v>0</v>
      </c>
      <c r="V74" s="40">
        <f t="shared" ca="1" si="36"/>
        <v>0</v>
      </c>
      <c r="W74" s="71">
        <f t="shared" ca="1" si="37"/>
        <v>34</v>
      </c>
      <c r="X74" s="71">
        <f t="shared" ca="1" si="38"/>
        <v>91</v>
      </c>
      <c r="Y74" s="71">
        <f ca="1">SUM(Y75:Y88)</f>
        <v>0</v>
      </c>
      <c r="Z74" s="114">
        <f t="shared" ca="1" si="39"/>
        <v>0</v>
      </c>
      <c r="AA74" s="71">
        <f ca="1">SUM(AA75:AA88)</f>
        <v>0</v>
      </c>
      <c r="AB74" s="114">
        <f t="shared" ca="1" si="40"/>
        <v>0</v>
      </c>
      <c r="AC74" s="71">
        <f t="shared" ref="AC74:AP74" ca="1" si="60">SUM(AC75:AC88)</f>
        <v>31</v>
      </c>
      <c r="AD74" s="71">
        <f t="shared" ca="1" si="60"/>
        <v>1</v>
      </c>
      <c r="AE74" s="71">
        <f t="shared" ca="1" si="60"/>
        <v>0</v>
      </c>
      <c r="AF74" s="71">
        <f t="shared" ca="1" si="60"/>
        <v>0</v>
      </c>
      <c r="AG74" s="71">
        <f t="shared" ca="1" si="60"/>
        <v>2</v>
      </c>
      <c r="AH74" s="71">
        <f t="shared" ca="1" si="60"/>
        <v>60</v>
      </c>
      <c r="AI74" s="71">
        <f t="shared" ca="1" si="60"/>
        <v>0</v>
      </c>
      <c r="AJ74" s="71">
        <f t="shared" ca="1" si="60"/>
        <v>0</v>
      </c>
      <c r="AK74" s="71">
        <f t="shared" ca="1" si="60"/>
        <v>1</v>
      </c>
      <c r="AL74" s="71">
        <f t="shared" ca="1" si="60"/>
        <v>30</v>
      </c>
      <c r="AM74" s="71">
        <f t="shared" ca="1" si="60"/>
        <v>0</v>
      </c>
      <c r="AN74" s="71">
        <f t="shared" ca="1" si="60"/>
        <v>0</v>
      </c>
      <c r="AO74" s="71">
        <f t="shared" ca="1" si="60"/>
        <v>4</v>
      </c>
      <c r="AP74" s="71">
        <f t="shared" ca="1" si="60"/>
        <v>0</v>
      </c>
      <c r="AQ74" s="114">
        <f t="shared" ca="1" si="42"/>
        <v>0</v>
      </c>
    </row>
    <row r="75" spans="1:43" ht="21" customHeight="1" x14ac:dyDescent="0.3">
      <c r="A75" s="77">
        <v>1</v>
      </c>
      <c r="B75" s="78" t="s">
        <v>101</v>
      </c>
      <c r="C75" s="116">
        <f t="shared" ca="1" si="26"/>
        <v>0</v>
      </c>
      <c r="D75" s="80">
        <f t="shared" ref="D75:D88" ca="1" si="61">+E75+F75</f>
        <v>0</v>
      </c>
      <c r="E75" s="81">
        <f ca="1">IFERROR(__xludf.DUMMYFUNCTION("IMPORTRANGE(""https://docs.google.com/spreadsheets/d/1-uDff_7J0KD5mKrp0Vvzr7lt3OU09vwQwhkpOPPYv2Y/edit?usp=sharing"",""งบพรบ!AN75"")"),0)</f>
        <v>0</v>
      </c>
      <c r="F75" s="81">
        <f ca="1">IFERROR(__xludf.DUMMYFUNCTION("IMPORTRANGE(""https://docs.google.com/spreadsheets/d/1-uDff_7J0KD5mKrp0Vvzr7lt3OU09vwQwhkpOPPYv2Y/edit?usp=sharing"",""งบพรบ!AO75"")"),0)</f>
        <v>0</v>
      </c>
      <c r="G75" s="122">
        <f ca="1">IFERROR(__xludf.DUMMYFUNCTION("IMPORTRANGE(""https://docs.google.com/spreadsheets/d/1-uDff_7J0KD5mKrp0Vvzr7lt3OU09vwQwhkpOPPYv2Y/edit?usp=sharing"",""งบพรบ!AP75"")"),0)</f>
        <v>0</v>
      </c>
      <c r="H75" s="122">
        <f ca="1">IFERROR(__xludf.DUMMYFUNCTION("IMPORTRANGE(""https://docs.google.com/spreadsheets/d/1-uDff_7J0KD5mKrp0Vvzr7lt3OU09vwQwhkpOPPYv2Y/edit?usp=sharing"",""งบพรบ!AR75"")"),0)</f>
        <v>0</v>
      </c>
      <c r="I75" s="122">
        <f ca="1">IFERROR(__xludf.DUMMYFUNCTION("IMPORTRANGE(""https://docs.google.com/spreadsheets/d/1-uDff_7J0KD5mKrp0Vvzr7lt3OU09vwQwhkpOPPYv2Y/edit?usp=sharing"",""งบพรบ!AS75"")"),0)</f>
        <v>0</v>
      </c>
      <c r="J75" s="122">
        <f t="shared" ca="1" si="28"/>
        <v>0</v>
      </c>
      <c r="K75" s="123">
        <f t="shared" ca="1" si="29"/>
        <v>0</v>
      </c>
      <c r="L75" s="93">
        <f ca="1">IFERROR(__xludf.DUMMYFUNCTION("IMPORTRANGE(""https://docs.google.com/spreadsheets/d/1-uDff_7J0KD5mKrp0Vvzr7lt3OU09vwQwhkpOPPYv2Y/edit?usp=sharing"",""งบพรบ!AT75"")"),0)</f>
        <v>0</v>
      </c>
      <c r="M75" s="84">
        <f t="shared" ca="1" si="30"/>
        <v>0</v>
      </c>
      <c r="N75" s="84">
        <f t="shared" ca="1" si="31"/>
        <v>0</v>
      </c>
      <c r="O75" s="85">
        <f ca="1">IFERROR(__xludf.DUMMYFUNCTION("IMPORTRANGE(""https://docs.google.com/spreadsheets/d/1-uDff_7J0KD5mKrp0Vvzr7lt3OU09vwQwhkpOPPYv2Y/edit?usp=sharing"",""งบพรบ!AU75"")"),0)</f>
        <v>0</v>
      </c>
      <c r="P75" s="85">
        <f t="shared" ca="1" si="32"/>
        <v>0</v>
      </c>
      <c r="Q75" s="84">
        <f t="shared" ca="1" si="33"/>
        <v>0</v>
      </c>
      <c r="R75" s="86">
        <f ca="1">IFERROR(__xludf.DUMMYFUNCTION("IMPORTRANGE(""https://docs.google.com/spreadsheets/d/1kKUcYdkIfrgTSj8iHHHB2MD2FAtwyyocFgqGQn6ADyI/edit?usp=sharing"",""กระบี่!Q72"")"),0)</f>
        <v>0</v>
      </c>
      <c r="S75" s="86">
        <f ca="1">IFERROR(__xludf.DUMMYFUNCTION("IMPORTRANGE(""https://docs.google.com/spreadsheets/d/1kKUcYdkIfrgTSj8iHHHB2MD2FAtwyyocFgqGQn6ADyI/edit?usp=sharing"",""กระบี่!R72"")"),0)</f>
        <v>0</v>
      </c>
      <c r="T75" s="86">
        <f ca="1">IFERROR(__xludf.DUMMYFUNCTION("IMPORTRANGE(""https://docs.google.com/spreadsheets/d/1kKUcYdkIfrgTSj8iHHHB2MD2FAtwyyocFgqGQn6ADyI/edit?usp=sharing"",""กระบี่!S72"")"),0)</f>
        <v>0</v>
      </c>
      <c r="U75" s="87">
        <f t="shared" ca="1" si="35"/>
        <v>0</v>
      </c>
      <c r="V75" s="87">
        <f t="shared" ca="1" si="36"/>
        <v>0</v>
      </c>
      <c r="W75" s="82">
        <f t="shared" ca="1" si="37"/>
        <v>0</v>
      </c>
      <c r="X75" s="82">
        <f t="shared" ca="1" si="38"/>
        <v>0</v>
      </c>
      <c r="Y75" s="82">
        <f t="shared" ref="Y75:Y88" ca="1" si="62">AE75+AI75+AM75</f>
        <v>0</v>
      </c>
      <c r="Z75" s="88">
        <f t="shared" ca="1" si="39"/>
        <v>0</v>
      </c>
      <c r="AA75" s="82">
        <f t="shared" ref="AA75:AA88" ca="1" si="63">AF75+AJ75+AN75</f>
        <v>0</v>
      </c>
      <c r="AB75" s="88">
        <f t="shared" ca="1" si="40"/>
        <v>0</v>
      </c>
      <c r="AC75" s="81">
        <f ca="1">IFERROR(__xludf.DUMMYFUNCTION("IMPORTRANGE(""https://docs.google.com/spreadsheets/d/1kKUcYdkIfrgTSj8iHHHB2MD2FAtwyyocFgqGQn6ADyI/edit?usp=sharing"",""กระบี่!I84"")"),0)</f>
        <v>0</v>
      </c>
      <c r="AD75" s="81">
        <f ca="1">IFERROR(__xludf.DUMMYFUNCTION("IMPORTRANGE(""https://docs.google.com/spreadsheets/d/1kKUcYdkIfrgTSj8iHHHB2MD2FAtwyyocFgqGQn6ADyI/edit?usp=sharing"",""กระบี่!I85"")"),0)</f>
        <v>0</v>
      </c>
      <c r="AE75" s="82">
        <f ca="1">IFERROR(__xludf.DUMMYFUNCTION("IMPORTRANGE(""https://docs.google.com/spreadsheets/d/1kKUcYdkIfrgTSj8iHHHB2MD2FAtwyyocFgqGQn6ADyI/edit?usp=sharing"",""กระบี่!J84"")"),0)</f>
        <v>0</v>
      </c>
      <c r="AF75" s="82">
        <f ca="1">IFERROR(__xludf.DUMMYFUNCTION("IMPORTRANGE(""https://docs.google.com/spreadsheets/d/1kKUcYdkIfrgTSj8iHHHB2MD2FAtwyyocFgqGQn6ADyI/edit?usp=sharing"",""กระบี่!J85"")"),0)</f>
        <v>0</v>
      </c>
      <c r="AG75" s="81">
        <f ca="1">IFERROR(__xludf.DUMMYFUNCTION("IMPORTRANGE(""https://docs.google.com/spreadsheets/d/1kKUcYdkIfrgTSj8iHHHB2MD2FAtwyyocFgqGQn6ADyI/edit?usp=sharing"",""กระบี่!I86"")"),0)</f>
        <v>0</v>
      </c>
      <c r="AH75" s="81">
        <f ca="1">IFERROR(__xludf.DUMMYFUNCTION("IMPORTRANGE(""https://docs.google.com/spreadsheets/d/1kKUcYdkIfrgTSj8iHHHB2MD2FAtwyyocFgqGQn6ADyI/edit?usp=sharing"",""กระบี่!I87"")"),0)</f>
        <v>0</v>
      </c>
      <c r="AI75" s="82">
        <f ca="1">IFERROR(__xludf.DUMMYFUNCTION("IMPORTRANGE(""https://docs.google.com/spreadsheets/d/1kKUcYdkIfrgTSj8iHHHB2MD2FAtwyyocFgqGQn6ADyI/edit?usp=sharing"",""กระบี่!J86"")"),0)</f>
        <v>0</v>
      </c>
      <c r="AJ75" s="82">
        <f ca="1">IFERROR(__xludf.DUMMYFUNCTION("IMPORTRANGE(""https://docs.google.com/spreadsheets/d/1kKUcYdkIfrgTSj8iHHHB2MD2FAtwyyocFgqGQn6ADyI/edit?usp=sharing"",""กระบี่!J87"")"),0)</f>
        <v>0</v>
      </c>
      <c r="AK75" s="81">
        <f ca="1">IFERROR(__xludf.DUMMYFUNCTION("IMPORTRANGE(""https://docs.google.com/spreadsheets/d/1kKUcYdkIfrgTSj8iHHHB2MD2FAtwyyocFgqGQn6ADyI/edit?usp=sharing"",""กระบี่!I88"")"),0)</f>
        <v>0</v>
      </c>
      <c r="AL75" s="81">
        <f ca="1">IFERROR(__xludf.DUMMYFUNCTION("IMPORTRANGE(""https://docs.google.com/spreadsheets/d/1kKUcYdkIfrgTSj8iHHHB2MD2FAtwyyocFgqGQn6ADyI/edit?usp=sharing"",""กระบี่!I89"")"),0)</f>
        <v>0</v>
      </c>
      <c r="AM75" s="82">
        <f ca="1">IFERROR(__xludf.DUMMYFUNCTION("IMPORTRANGE(""https://docs.google.com/spreadsheets/d/1kKUcYdkIfrgTSj8iHHHB2MD2FAtwyyocFgqGQn6ADyI/edit?usp=sharing"",""กระบี่!J88"")"),0)</f>
        <v>0</v>
      </c>
      <c r="AN75" s="82">
        <f ca="1">IFERROR(__xludf.DUMMYFUNCTION("IMPORTRANGE(""https://docs.google.com/spreadsheets/d/1kKUcYdkIfrgTSj8iHHHB2MD2FAtwyyocFgqGQn6ADyI/edit?usp=sharing"",""กระบี่!J89"")"),0)</f>
        <v>0</v>
      </c>
      <c r="AO75" s="81">
        <f ca="1">IFERROR(__xludf.DUMMYFUNCTION("IMPORTRANGE(""https://docs.google.com/spreadsheets/d/1kKUcYdkIfrgTSj8iHHHB2MD2FAtwyyocFgqGQn6ADyI/edit?usp=sharing"",""กระบี่!I90"")"),0)</f>
        <v>0</v>
      </c>
      <c r="AP75" s="82">
        <f ca="1">IFERROR(__xludf.DUMMYFUNCTION("IMPORTRANGE(""https://docs.google.com/spreadsheets/d/1kKUcYdkIfrgTSj8iHHHB2MD2FAtwyyocFgqGQn6ADyI/edit?usp=sharing"",""กระบี่!J90"")"),0)</f>
        <v>0</v>
      </c>
      <c r="AQ75" s="84">
        <f t="shared" ca="1" si="42"/>
        <v>0</v>
      </c>
    </row>
    <row r="76" spans="1:43" ht="21" customHeight="1" x14ac:dyDescent="0.3">
      <c r="A76" s="89">
        <v>2</v>
      </c>
      <c r="B76" s="90" t="s">
        <v>102</v>
      </c>
      <c r="C76" s="91">
        <f t="shared" ca="1" si="26"/>
        <v>0</v>
      </c>
      <c r="D76" s="92">
        <f t="shared" ca="1" si="61"/>
        <v>0</v>
      </c>
      <c r="E76" s="93">
        <f ca="1">IFERROR(__xludf.DUMMYFUNCTION("IMPORTRANGE(""https://docs.google.com/spreadsheets/d/1-uDff_7J0KD5mKrp0Vvzr7lt3OU09vwQwhkpOPPYv2Y/edit?usp=sharing"",""งบพรบ!AN76"")"),0)</f>
        <v>0</v>
      </c>
      <c r="F76" s="93">
        <f ca="1">IFERROR(__xludf.DUMMYFUNCTION("IMPORTRANGE(""https://docs.google.com/spreadsheets/d/1-uDff_7J0KD5mKrp0Vvzr7lt3OU09vwQwhkpOPPYv2Y/edit?usp=sharing"",""งบพรบ!AO76"")"),0)</f>
        <v>0</v>
      </c>
      <c r="G76" s="93">
        <f ca="1">IFERROR(__xludf.DUMMYFUNCTION("IMPORTRANGE(""https://docs.google.com/spreadsheets/d/1-uDff_7J0KD5mKrp0Vvzr7lt3OU09vwQwhkpOPPYv2Y/edit?usp=sharing"",""งบพรบ!AP76"")"),0)</f>
        <v>0</v>
      </c>
      <c r="H76" s="93">
        <f ca="1">IFERROR(__xludf.DUMMYFUNCTION("IMPORTRANGE(""https://docs.google.com/spreadsheets/d/1-uDff_7J0KD5mKrp0Vvzr7lt3OU09vwQwhkpOPPYv2Y/edit?usp=sharing"",""งบพรบ!AR76"")"),0)</f>
        <v>0</v>
      </c>
      <c r="I76" s="93">
        <f ca="1">IFERROR(__xludf.DUMMYFUNCTION("IMPORTRANGE(""https://docs.google.com/spreadsheets/d/1-uDff_7J0KD5mKrp0Vvzr7lt3OU09vwQwhkpOPPYv2Y/edit?usp=sharing"",""งบพรบ!AS76"")"),0)</f>
        <v>0</v>
      </c>
      <c r="J76" s="93">
        <f t="shared" ca="1" si="28"/>
        <v>0</v>
      </c>
      <c r="K76" s="94">
        <f t="shared" ca="1" si="29"/>
        <v>0</v>
      </c>
      <c r="L76" s="93">
        <f ca="1">IFERROR(__xludf.DUMMYFUNCTION("IMPORTRANGE(""https://docs.google.com/spreadsheets/d/1-uDff_7J0KD5mKrp0Vvzr7lt3OU09vwQwhkpOPPYv2Y/edit?usp=sharing"",""งบพรบ!AT76"")"),0)</f>
        <v>0</v>
      </c>
      <c r="M76" s="95">
        <f t="shared" ca="1" si="30"/>
        <v>0</v>
      </c>
      <c r="N76" s="95">
        <f t="shared" ca="1" si="31"/>
        <v>0</v>
      </c>
      <c r="O76" s="96">
        <f ca="1">IFERROR(__xludf.DUMMYFUNCTION("IMPORTRANGE(""https://docs.google.com/spreadsheets/d/1-uDff_7J0KD5mKrp0Vvzr7lt3OU09vwQwhkpOPPYv2Y/edit?usp=sharing"",""งบพรบ!AU76"")"),0)</f>
        <v>0</v>
      </c>
      <c r="P76" s="96">
        <f t="shared" ca="1" si="32"/>
        <v>0</v>
      </c>
      <c r="Q76" s="95">
        <f t="shared" ca="1" si="33"/>
        <v>0</v>
      </c>
      <c r="R76" s="86">
        <f ca="1">IFERROR(__xludf.DUMMYFUNCTION("IMPORTRANGE(""https://docs.google.com/spreadsheets/d/1GwtLaSlNZkLk7iDqcyZz22giiy40b_usZZBXYciEN1U/edit?usp=sharing"",""ชุมพร!Q72"")"),388700)</f>
        <v>388700</v>
      </c>
      <c r="S76" s="86">
        <f ca="1">IFERROR(__xludf.DUMMYFUNCTION("IMPORTRANGE(""https://docs.google.com/spreadsheets/d/1GwtLaSlNZkLk7iDqcyZz22giiy40b_usZZBXYciEN1U/edit?usp=sharing"",""ชุมพร!R72"")"),0)</f>
        <v>0</v>
      </c>
      <c r="T76" s="86">
        <f ca="1">IFERROR(__xludf.DUMMYFUNCTION("IMPORTRANGE(""https://docs.google.com/spreadsheets/d/1GwtLaSlNZkLk7iDqcyZz22giiy40b_usZZBXYciEN1U/edit?usp=sharing"",""ชุมพร!S72"")"),0)</f>
        <v>0</v>
      </c>
      <c r="U76" s="87">
        <f t="shared" ca="1" si="35"/>
        <v>0</v>
      </c>
      <c r="V76" s="87">
        <f t="shared" ca="1" si="36"/>
        <v>0</v>
      </c>
      <c r="W76" s="97">
        <f t="shared" ca="1" si="37"/>
        <v>1</v>
      </c>
      <c r="X76" s="97">
        <f t="shared" ca="1" si="38"/>
        <v>30</v>
      </c>
      <c r="Y76" s="97">
        <f t="shared" ca="1" si="62"/>
        <v>0</v>
      </c>
      <c r="Z76" s="98">
        <f t="shared" ca="1" si="39"/>
        <v>0</v>
      </c>
      <c r="AA76" s="97">
        <f t="shared" ca="1" si="63"/>
        <v>0</v>
      </c>
      <c r="AB76" s="98">
        <f t="shared" ca="1" si="40"/>
        <v>0</v>
      </c>
      <c r="AC76" s="93">
        <f ca="1">IFERROR(__xludf.DUMMYFUNCTION("IMPORTRANGE(""https://docs.google.com/spreadsheets/d/1GwtLaSlNZkLk7iDqcyZz22giiy40b_usZZBXYciEN1U/edit?usp=sharing"",""ชุมพร!I84"")"),0)</f>
        <v>0</v>
      </c>
      <c r="AD76" s="93">
        <f ca="1">IFERROR(__xludf.DUMMYFUNCTION("IMPORTRANGE(""https://docs.google.com/spreadsheets/d/1GwtLaSlNZkLk7iDqcyZz22giiy40b_usZZBXYciEN1U/edit?usp=sharing"",""ชุมพร!I85"")"),0)</f>
        <v>0</v>
      </c>
      <c r="AE76" s="97">
        <f ca="1">IFERROR(__xludf.DUMMYFUNCTION("IMPORTRANGE(""https://docs.google.com/spreadsheets/d/1GwtLaSlNZkLk7iDqcyZz22giiy40b_usZZBXYciEN1U/edit?usp=sharing"",""ชุมพร!J84"")"),0)</f>
        <v>0</v>
      </c>
      <c r="AF76" s="97">
        <f ca="1">IFERROR(__xludf.DUMMYFUNCTION("IMPORTRANGE(""https://docs.google.com/spreadsheets/d/1GwtLaSlNZkLk7iDqcyZz22giiy40b_usZZBXYciEN1U/edit?usp=sharing"",""ชุมพร!J85"")"),0)</f>
        <v>0</v>
      </c>
      <c r="AG76" s="93">
        <f ca="1">IFERROR(__xludf.DUMMYFUNCTION("IMPORTRANGE(""https://docs.google.com/spreadsheets/d/1GwtLaSlNZkLk7iDqcyZz22giiy40b_usZZBXYciEN1U/edit?usp=sharing"",""ชุมพร!I86"")"),1)</f>
        <v>1</v>
      </c>
      <c r="AH76" s="93">
        <f ca="1">IFERROR(__xludf.DUMMYFUNCTION("IMPORTRANGE(""https://docs.google.com/spreadsheets/d/1GwtLaSlNZkLk7iDqcyZz22giiy40b_usZZBXYciEN1U/edit?usp=sharing"",""ชุมพร!I87"")"),30)</f>
        <v>30</v>
      </c>
      <c r="AI76" s="97">
        <f ca="1">IFERROR(__xludf.DUMMYFUNCTION("IMPORTRANGE(""https://docs.google.com/spreadsheets/d/1GwtLaSlNZkLk7iDqcyZz22giiy40b_usZZBXYciEN1U/edit?usp=sharing"",""ชุมพร!J86"")"),0)</f>
        <v>0</v>
      </c>
      <c r="AJ76" s="97">
        <f ca="1">IFERROR(__xludf.DUMMYFUNCTION("IMPORTRANGE(""https://docs.google.com/spreadsheets/d/1GwtLaSlNZkLk7iDqcyZz22giiy40b_usZZBXYciEN1U/edit?usp=sharing"",""ชุมพร!J87"")"),0)</f>
        <v>0</v>
      </c>
      <c r="AK76" s="93">
        <f ca="1">IFERROR(__xludf.DUMMYFUNCTION("IMPORTRANGE(""https://docs.google.com/spreadsheets/d/1GwtLaSlNZkLk7iDqcyZz22giiy40b_usZZBXYciEN1U/edit?usp=sharing"",""ชุมพร!I88"")"),0)</f>
        <v>0</v>
      </c>
      <c r="AL76" s="93">
        <f ca="1">IFERROR(__xludf.DUMMYFUNCTION("IMPORTRANGE(""https://docs.google.com/spreadsheets/d/1GwtLaSlNZkLk7iDqcyZz22giiy40b_usZZBXYciEN1U/edit?usp=sharing"",""ชุมพร!I89"")"),0)</f>
        <v>0</v>
      </c>
      <c r="AM76" s="97">
        <f ca="1">IFERROR(__xludf.DUMMYFUNCTION("IMPORTRANGE(""https://docs.google.com/spreadsheets/d/1GwtLaSlNZkLk7iDqcyZz22giiy40b_usZZBXYciEN1U/edit?usp=sharing"",""ชุมพร!J88"")"),0)</f>
        <v>0</v>
      </c>
      <c r="AN76" s="97">
        <f ca="1">IFERROR(__xludf.DUMMYFUNCTION("IMPORTRANGE(""https://docs.google.com/spreadsheets/d/1GwtLaSlNZkLk7iDqcyZz22giiy40b_usZZBXYciEN1U/edit?usp=sharing"",""ชุมพร!J89"")"),0)</f>
        <v>0</v>
      </c>
      <c r="AO76" s="93">
        <f ca="1">IFERROR(__xludf.DUMMYFUNCTION("IMPORTRANGE(""https://docs.google.com/spreadsheets/d/1GwtLaSlNZkLk7iDqcyZz22giiy40b_usZZBXYciEN1U/edit?usp=sharing"",""ชุมพร!I90"")"),1)</f>
        <v>1</v>
      </c>
      <c r="AP76" s="97">
        <f ca="1">IFERROR(__xludf.DUMMYFUNCTION("IMPORTRANGE(""https://docs.google.com/spreadsheets/d/1GwtLaSlNZkLk7iDqcyZz22giiy40b_usZZBXYciEN1U/edit?usp=sharing"",""ชุมพร!J90"")"),0)</f>
        <v>0</v>
      </c>
      <c r="AQ76" s="95">
        <f t="shared" ca="1" si="42"/>
        <v>0</v>
      </c>
    </row>
    <row r="77" spans="1:43" ht="21" customHeight="1" x14ac:dyDescent="0.3">
      <c r="A77" s="89">
        <v>3</v>
      </c>
      <c r="B77" s="90" t="s">
        <v>103</v>
      </c>
      <c r="C77" s="91">
        <f t="shared" ca="1" si="26"/>
        <v>0</v>
      </c>
      <c r="D77" s="92">
        <f t="shared" ca="1" si="61"/>
        <v>0</v>
      </c>
      <c r="E77" s="93">
        <f ca="1">IFERROR(__xludf.DUMMYFUNCTION("IMPORTRANGE(""https://docs.google.com/spreadsheets/d/1-uDff_7J0KD5mKrp0Vvzr7lt3OU09vwQwhkpOPPYv2Y/edit?usp=sharing"",""งบพรบ!AN77"")"),0)</f>
        <v>0</v>
      </c>
      <c r="F77" s="93">
        <f ca="1">IFERROR(__xludf.DUMMYFUNCTION("IMPORTRANGE(""https://docs.google.com/spreadsheets/d/1-uDff_7J0KD5mKrp0Vvzr7lt3OU09vwQwhkpOPPYv2Y/edit?usp=sharing"",""งบพรบ!AO77"")"),0)</f>
        <v>0</v>
      </c>
      <c r="G77" s="93">
        <f ca="1">IFERROR(__xludf.DUMMYFUNCTION("IMPORTRANGE(""https://docs.google.com/spreadsheets/d/1-uDff_7J0KD5mKrp0Vvzr7lt3OU09vwQwhkpOPPYv2Y/edit?usp=sharing"",""งบพรบ!AP77"")"),0)</f>
        <v>0</v>
      </c>
      <c r="H77" s="93">
        <f ca="1">IFERROR(__xludf.DUMMYFUNCTION("IMPORTRANGE(""https://docs.google.com/spreadsheets/d/1-uDff_7J0KD5mKrp0Vvzr7lt3OU09vwQwhkpOPPYv2Y/edit?usp=sharing"",""งบพรบ!AR77"")"),0)</f>
        <v>0</v>
      </c>
      <c r="I77" s="93">
        <f ca="1">IFERROR(__xludf.DUMMYFUNCTION("IMPORTRANGE(""https://docs.google.com/spreadsheets/d/1-uDff_7J0KD5mKrp0Vvzr7lt3OU09vwQwhkpOPPYv2Y/edit?usp=sharing"",""งบพรบ!AS77"")"),0)</f>
        <v>0</v>
      </c>
      <c r="J77" s="93">
        <f t="shared" ca="1" si="28"/>
        <v>0</v>
      </c>
      <c r="K77" s="94">
        <f t="shared" ca="1" si="29"/>
        <v>0</v>
      </c>
      <c r="L77" s="93">
        <f ca="1">IFERROR(__xludf.DUMMYFUNCTION("IMPORTRANGE(""https://docs.google.com/spreadsheets/d/1-uDff_7J0KD5mKrp0Vvzr7lt3OU09vwQwhkpOPPYv2Y/edit?usp=sharing"",""งบพรบ!AT77"")"),0)</f>
        <v>0</v>
      </c>
      <c r="M77" s="95">
        <f t="shared" ca="1" si="30"/>
        <v>0</v>
      </c>
      <c r="N77" s="95">
        <f t="shared" ca="1" si="31"/>
        <v>0</v>
      </c>
      <c r="O77" s="96">
        <f ca="1">IFERROR(__xludf.DUMMYFUNCTION("IMPORTRANGE(""https://docs.google.com/spreadsheets/d/1-uDff_7J0KD5mKrp0Vvzr7lt3OU09vwQwhkpOPPYv2Y/edit?usp=sharing"",""งบพรบ!AU77"")"),0)</f>
        <v>0</v>
      </c>
      <c r="P77" s="96">
        <f t="shared" ca="1" si="32"/>
        <v>0</v>
      </c>
      <c r="Q77" s="95">
        <f t="shared" ca="1" si="33"/>
        <v>0</v>
      </c>
      <c r="R77" s="86">
        <f ca="1">IFERROR(__xludf.DUMMYFUNCTION("IMPORTRANGE(""https://docs.google.com/spreadsheets/d/16pAz3pOhQEZBhvFNMa5KGgZS6iKWpsKX0pg6tQmwFpo/edit?usp=sharing"",""ตรัง!Q72"")"),0)</f>
        <v>0</v>
      </c>
      <c r="S77" s="86">
        <f ca="1">IFERROR(__xludf.DUMMYFUNCTION("IMPORTRANGE(""https://docs.google.com/spreadsheets/d/16pAz3pOhQEZBhvFNMa5KGgZS6iKWpsKX0pg6tQmwFpo/edit?usp=sharing"",""ตรัง!R72"")"),0)</f>
        <v>0</v>
      </c>
      <c r="T77" s="86">
        <f ca="1">IFERROR(__xludf.DUMMYFUNCTION("IMPORTRANGE(""https://docs.google.com/spreadsheets/d/16pAz3pOhQEZBhvFNMa5KGgZS6iKWpsKX0pg6tQmwFpo/edit?usp=sharing"",""ตรัง!S72"")"),0)</f>
        <v>0</v>
      </c>
      <c r="U77" s="87">
        <f t="shared" ca="1" si="35"/>
        <v>0</v>
      </c>
      <c r="V77" s="87">
        <f t="shared" ca="1" si="36"/>
        <v>0</v>
      </c>
      <c r="W77" s="97">
        <f t="shared" ca="1" si="37"/>
        <v>0</v>
      </c>
      <c r="X77" s="97">
        <f t="shared" ca="1" si="38"/>
        <v>0</v>
      </c>
      <c r="Y77" s="97">
        <f t="shared" ca="1" si="62"/>
        <v>0</v>
      </c>
      <c r="Z77" s="98">
        <f t="shared" ca="1" si="39"/>
        <v>0</v>
      </c>
      <c r="AA77" s="97">
        <f t="shared" ca="1" si="63"/>
        <v>0</v>
      </c>
      <c r="AB77" s="98">
        <f t="shared" ca="1" si="40"/>
        <v>0</v>
      </c>
      <c r="AC77" s="93">
        <f ca="1">IFERROR(__xludf.DUMMYFUNCTION("IMPORTRANGE(""https://docs.google.com/spreadsheets/d/16pAz3pOhQEZBhvFNMa5KGgZS6iKWpsKX0pg6tQmwFpo/edit?usp=sharing"",""ตรัง!I84"")"),0)</f>
        <v>0</v>
      </c>
      <c r="AD77" s="93">
        <f ca="1">IFERROR(__xludf.DUMMYFUNCTION("IMPORTRANGE(""https://docs.google.com/spreadsheets/d/16pAz3pOhQEZBhvFNMa5KGgZS6iKWpsKX0pg6tQmwFpo/edit?usp=sharing"",""ตรัง!I85"")"),0)</f>
        <v>0</v>
      </c>
      <c r="AE77" s="97">
        <f ca="1">IFERROR(__xludf.DUMMYFUNCTION("IMPORTRANGE(""https://docs.google.com/spreadsheets/d/16pAz3pOhQEZBhvFNMa5KGgZS6iKWpsKX0pg6tQmwFpo/edit?usp=sharing"",""ตรัง!J84"")"),0)</f>
        <v>0</v>
      </c>
      <c r="AF77" s="97">
        <f ca="1">IFERROR(__xludf.DUMMYFUNCTION("IMPORTRANGE(""https://docs.google.com/spreadsheets/d/16pAz3pOhQEZBhvFNMa5KGgZS6iKWpsKX0pg6tQmwFpo/edit?usp=sharing"",""ตรัง!J85"")"),0)</f>
        <v>0</v>
      </c>
      <c r="AG77" s="93">
        <f ca="1">IFERROR(__xludf.DUMMYFUNCTION("IMPORTRANGE(""https://docs.google.com/spreadsheets/d/16pAz3pOhQEZBhvFNMa5KGgZS6iKWpsKX0pg6tQmwFpo/edit?usp=sharing"",""ตรัง!I86"")"),0)</f>
        <v>0</v>
      </c>
      <c r="AH77" s="93">
        <f ca="1">IFERROR(__xludf.DUMMYFUNCTION("IMPORTRANGE(""https://docs.google.com/spreadsheets/d/16pAz3pOhQEZBhvFNMa5KGgZS6iKWpsKX0pg6tQmwFpo/edit?usp=sharing"",""ตรัง!I87"")"),0)</f>
        <v>0</v>
      </c>
      <c r="AI77" s="97">
        <f ca="1">IFERROR(__xludf.DUMMYFUNCTION("IMPORTRANGE(""https://docs.google.com/spreadsheets/d/16pAz3pOhQEZBhvFNMa5KGgZS6iKWpsKX0pg6tQmwFpo/edit?usp=sharing"",""ตรัง!J86"")"),0)</f>
        <v>0</v>
      </c>
      <c r="AJ77" s="97">
        <f ca="1">IFERROR(__xludf.DUMMYFUNCTION("IMPORTRANGE(""https://docs.google.com/spreadsheets/d/16pAz3pOhQEZBhvFNMa5KGgZS6iKWpsKX0pg6tQmwFpo/edit?usp=sharing"",""ตรัง!J87"")"),0)</f>
        <v>0</v>
      </c>
      <c r="AK77" s="93">
        <f ca="1">IFERROR(__xludf.DUMMYFUNCTION("IMPORTRANGE(""https://docs.google.com/spreadsheets/d/16pAz3pOhQEZBhvFNMa5KGgZS6iKWpsKX0pg6tQmwFpo/edit?usp=sharing"",""ตรัง!I88"")"),0)</f>
        <v>0</v>
      </c>
      <c r="AL77" s="93">
        <f ca="1">IFERROR(__xludf.DUMMYFUNCTION("IMPORTRANGE(""https://docs.google.com/spreadsheets/d/16pAz3pOhQEZBhvFNMa5KGgZS6iKWpsKX0pg6tQmwFpo/edit?usp=sharing"",""ตรัง!I89"")"),0)</f>
        <v>0</v>
      </c>
      <c r="AM77" s="97">
        <f ca="1">IFERROR(__xludf.DUMMYFUNCTION("IMPORTRANGE(""https://docs.google.com/spreadsheets/d/16pAz3pOhQEZBhvFNMa5KGgZS6iKWpsKX0pg6tQmwFpo/edit?usp=sharing"",""ตรัง!J88"")"),0)</f>
        <v>0</v>
      </c>
      <c r="AN77" s="97">
        <f ca="1">IFERROR(__xludf.DUMMYFUNCTION("IMPORTRANGE(""https://docs.google.com/spreadsheets/d/16pAz3pOhQEZBhvFNMa5KGgZS6iKWpsKX0pg6tQmwFpo/edit?usp=sharing"",""ตรัง!J89"")"),0)</f>
        <v>0</v>
      </c>
      <c r="AO77" s="93">
        <f ca="1">IFERROR(__xludf.DUMMYFUNCTION("IMPORTRANGE(""https://docs.google.com/spreadsheets/d/16pAz3pOhQEZBhvFNMa5KGgZS6iKWpsKX0pg6tQmwFpo/edit?usp=sharing"",""ตรัง!I90"")"),0)</f>
        <v>0</v>
      </c>
      <c r="AP77" s="97">
        <f ca="1">IFERROR(__xludf.DUMMYFUNCTION("IMPORTRANGE(""https://docs.google.com/spreadsheets/d/16pAz3pOhQEZBhvFNMa5KGgZS6iKWpsKX0pg6tQmwFpo/edit?usp=sharing"",""ตรัง!J90"")"),0)</f>
        <v>0</v>
      </c>
      <c r="AQ77" s="95">
        <f t="shared" ca="1" si="42"/>
        <v>0</v>
      </c>
    </row>
    <row r="78" spans="1:43" ht="21" customHeight="1" x14ac:dyDescent="0.3">
      <c r="A78" s="89">
        <v>4</v>
      </c>
      <c r="B78" s="90" t="s">
        <v>104</v>
      </c>
      <c r="C78" s="91">
        <f t="shared" ca="1" si="26"/>
        <v>0</v>
      </c>
      <c r="D78" s="92">
        <f t="shared" ca="1" si="61"/>
        <v>0</v>
      </c>
      <c r="E78" s="93">
        <f ca="1">IFERROR(__xludf.DUMMYFUNCTION("IMPORTRANGE(""https://docs.google.com/spreadsheets/d/1-uDff_7J0KD5mKrp0Vvzr7lt3OU09vwQwhkpOPPYv2Y/edit?usp=sharing"",""งบพรบ!AN78"")"),0)</f>
        <v>0</v>
      </c>
      <c r="F78" s="93">
        <f ca="1">IFERROR(__xludf.DUMMYFUNCTION("IMPORTRANGE(""https://docs.google.com/spreadsheets/d/1-uDff_7J0KD5mKrp0Vvzr7lt3OU09vwQwhkpOPPYv2Y/edit?usp=sharing"",""งบพรบ!AO78"")"),0)</f>
        <v>0</v>
      </c>
      <c r="G78" s="93">
        <f ca="1">IFERROR(__xludf.DUMMYFUNCTION("IMPORTRANGE(""https://docs.google.com/spreadsheets/d/1-uDff_7J0KD5mKrp0Vvzr7lt3OU09vwQwhkpOPPYv2Y/edit?usp=sharing"",""งบพรบ!AP78"")"),0)</f>
        <v>0</v>
      </c>
      <c r="H78" s="93">
        <f ca="1">IFERROR(__xludf.DUMMYFUNCTION("IMPORTRANGE(""https://docs.google.com/spreadsheets/d/1-uDff_7J0KD5mKrp0Vvzr7lt3OU09vwQwhkpOPPYv2Y/edit?usp=sharing"",""งบพรบ!AR78"")"),0)</f>
        <v>0</v>
      </c>
      <c r="I78" s="93">
        <f ca="1">IFERROR(__xludf.DUMMYFUNCTION("IMPORTRANGE(""https://docs.google.com/spreadsheets/d/1-uDff_7J0KD5mKrp0Vvzr7lt3OU09vwQwhkpOPPYv2Y/edit?usp=sharing"",""งบพรบ!AS78"")"),0)</f>
        <v>0</v>
      </c>
      <c r="J78" s="93">
        <f t="shared" ca="1" si="28"/>
        <v>0</v>
      </c>
      <c r="K78" s="94">
        <f t="shared" ca="1" si="29"/>
        <v>0</v>
      </c>
      <c r="L78" s="93">
        <f ca="1">IFERROR(__xludf.DUMMYFUNCTION("IMPORTRANGE(""https://docs.google.com/spreadsheets/d/1-uDff_7J0KD5mKrp0Vvzr7lt3OU09vwQwhkpOPPYv2Y/edit?usp=sharing"",""งบพรบ!AT78"")"),0)</f>
        <v>0</v>
      </c>
      <c r="M78" s="95">
        <f t="shared" ca="1" si="30"/>
        <v>0</v>
      </c>
      <c r="N78" s="95">
        <f t="shared" ca="1" si="31"/>
        <v>0</v>
      </c>
      <c r="O78" s="96">
        <f ca="1">IFERROR(__xludf.DUMMYFUNCTION("IMPORTRANGE(""https://docs.google.com/spreadsheets/d/1-uDff_7J0KD5mKrp0Vvzr7lt3OU09vwQwhkpOPPYv2Y/edit?usp=sharing"",""งบพรบ!AU78"")"),0)</f>
        <v>0</v>
      </c>
      <c r="P78" s="96">
        <f t="shared" ca="1" si="32"/>
        <v>0</v>
      </c>
      <c r="Q78" s="95">
        <f t="shared" ca="1" si="33"/>
        <v>0</v>
      </c>
      <c r="R78" s="86">
        <f ca="1">IFERROR(__xludf.DUMMYFUNCTION("IMPORTRANGE(""https://docs.google.com/spreadsheets/d/1Dj4jcHCTV9JXKCaMoheSXS52JE63kDKyG7bPXnFogHk/edit?usp=sharing"",""นครศรีธรรมราช!Q72"")"),0)</f>
        <v>0</v>
      </c>
      <c r="S78" s="86">
        <f ca="1">IFERROR(__xludf.DUMMYFUNCTION("IMPORTRANGE(""https://docs.google.com/spreadsheets/d/1Dj4jcHCTV9JXKCaMoheSXS52JE63kDKyG7bPXnFogHk/edit?usp=sharing"",""นครศรีธรรมราช!R72"")"),0)</f>
        <v>0</v>
      </c>
      <c r="T78" s="86">
        <f ca="1">IFERROR(__xludf.DUMMYFUNCTION("IMPORTRANGE(""https://docs.google.com/spreadsheets/d/1Dj4jcHCTV9JXKCaMoheSXS52JE63kDKyG7bPXnFogHk/edit?usp=sharing"",""นครศรีธรรมราช!S72"")"),0)</f>
        <v>0</v>
      </c>
      <c r="U78" s="87">
        <f t="shared" ca="1" si="35"/>
        <v>0</v>
      </c>
      <c r="V78" s="87">
        <f t="shared" ca="1" si="36"/>
        <v>0</v>
      </c>
      <c r="W78" s="97">
        <f t="shared" ca="1" si="37"/>
        <v>0</v>
      </c>
      <c r="X78" s="97">
        <f t="shared" ca="1" si="38"/>
        <v>0</v>
      </c>
      <c r="Y78" s="97">
        <f t="shared" ca="1" si="62"/>
        <v>0</v>
      </c>
      <c r="Z78" s="98">
        <f t="shared" ca="1" si="39"/>
        <v>0</v>
      </c>
      <c r="AA78" s="97">
        <f t="shared" ca="1" si="63"/>
        <v>0</v>
      </c>
      <c r="AB78" s="98">
        <f t="shared" ca="1" si="40"/>
        <v>0</v>
      </c>
      <c r="AC78" s="93">
        <f ca="1">IFERROR(__xludf.DUMMYFUNCTION("IMPORTRANGE(""https://docs.google.com/spreadsheets/d/1Dj4jcHCTV9JXKCaMoheSXS52JE63kDKyG7bPXnFogHk/edit?usp=sharing"",""นครศรีธรรมราช!I84"")"),0)</f>
        <v>0</v>
      </c>
      <c r="AD78" s="93">
        <f ca="1">IFERROR(__xludf.DUMMYFUNCTION("IMPORTRANGE(""https://docs.google.com/spreadsheets/d/1Dj4jcHCTV9JXKCaMoheSXS52JE63kDKyG7bPXnFogHk/edit?usp=sharing"",""นครศรีธรรมราช!I85"")"),0)</f>
        <v>0</v>
      </c>
      <c r="AE78" s="97">
        <f ca="1">IFERROR(__xludf.DUMMYFUNCTION("IMPORTRANGE(""https://docs.google.com/spreadsheets/d/1Dj4jcHCTV9JXKCaMoheSXS52JE63kDKyG7bPXnFogHk/edit?usp=sharing"",""นครศรีธรรมราช!J84"")"),0)</f>
        <v>0</v>
      </c>
      <c r="AF78" s="97">
        <f ca="1">IFERROR(__xludf.DUMMYFUNCTION("IMPORTRANGE(""https://docs.google.com/spreadsheets/d/1Dj4jcHCTV9JXKCaMoheSXS52JE63kDKyG7bPXnFogHk/edit?usp=sharing"",""นครศรีธรรมราช!J85"")"),0)</f>
        <v>0</v>
      </c>
      <c r="AG78" s="93">
        <f ca="1">IFERROR(__xludf.DUMMYFUNCTION("IMPORTRANGE(""https://docs.google.com/spreadsheets/d/1Dj4jcHCTV9JXKCaMoheSXS52JE63kDKyG7bPXnFogHk/edit?usp=sharing"",""นครศรีธรรมราช!I86"")"),0)</f>
        <v>0</v>
      </c>
      <c r="AH78" s="93">
        <f ca="1">IFERROR(__xludf.DUMMYFUNCTION("IMPORTRANGE(""https://docs.google.com/spreadsheets/d/1Dj4jcHCTV9JXKCaMoheSXS52JE63kDKyG7bPXnFogHk/edit?usp=sharing"",""นครศรีธรรมราช!I87"")"),0)</f>
        <v>0</v>
      </c>
      <c r="AI78" s="97">
        <f ca="1">IFERROR(__xludf.DUMMYFUNCTION("IMPORTRANGE(""https://docs.google.com/spreadsheets/d/1Dj4jcHCTV9JXKCaMoheSXS52JE63kDKyG7bPXnFogHk/edit?usp=sharing"",""นครศรีธรรมราช!J86"")"),0)</f>
        <v>0</v>
      </c>
      <c r="AJ78" s="97">
        <f ca="1">IFERROR(__xludf.DUMMYFUNCTION("IMPORTRANGE(""https://docs.google.com/spreadsheets/d/1Dj4jcHCTV9JXKCaMoheSXS52JE63kDKyG7bPXnFogHk/edit?usp=sharing"",""นครศรีธรรมราช!J87"")"),0)</f>
        <v>0</v>
      </c>
      <c r="AK78" s="93">
        <f ca="1">IFERROR(__xludf.DUMMYFUNCTION("IMPORTRANGE(""https://docs.google.com/spreadsheets/d/1Dj4jcHCTV9JXKCaMoheSXS52JE63kDKyG7bPXnFogHk/edit?usp=sharing"",""นครศรีธรรมราช!I88"")"),0)</f>
        <v>0</v>
      </c>
      <c r="AL78" s="93">
        <f ca="1">IFERROR(__xludf.DUMMYFUNCTION("IMPORTRANGE(""https://docs.google.com/spreadsheets/d/1Dj4jcHCTV9JXKCaMoheSXS52JE63kDKyG7bPXnFogHk/edit?usp=sharing"",""นครศรีธรรมราช!I89"")"),0)</f>
        <v>0</v>
      </c>
      <c r="AM78" s="97">
        <f ca="1">IFERROR(__xludf.DUMMYFUNCTION("IMPORTRANGE(""https://docs.google.com/spreadsheets/d/1Dj4jcHCTV9JXKCaMoheSXS52JE63kDKyG7bPXnFogHk/edit?usp=sharing"",""นครศรีธรรมราช!J88"")"),0)</f>
        <v>0</v>
      </c>
      <c r="AN78" s="97">
        <f ca="1">IFERROR(__xludf.DUMMYFUNCTION("IMPORTRANGE(""https://docs.google.com/spreadsheets/d/1Dj4jcHCTV9JXKCaMoheSXS52JE63kDKyG7bPXnFogHk/edit?usp=sharing"",""นครศรีธรรมราช!J89"")"),0)</f>
        <v>0</v>
      </c>
      <c r="AO78" s="93">
        <f ca="1">IFERROR(__xludf.DUMMYFUNCTION("IMPORTRANGE(""https://docs.google.com/spreadsheets/d/1Dj4jcHCTV9JXKCaMoheSXS52JE63kDKyG7bPXnFogHk/edit?usp=sharing"",""นครศรีธรรมราช!I90"")"),0)</f>
        <v>0</v>
      </c>
      <c r="AP78" s="97">
        <f ca="1">IFERROR(__xludf.DUMMYFUNCTION("IMPORTRANGE(""https://docs.google.com/spreadsheets/d/1Dj4jcHCTV9JXKCaMoheSXS52JE63kDKyG7bPXnFogHk/edit?usp=sharing"",""นครศรีธรรมราช!J90"")"),0)</f>
        <v>0</v>
      </c>
      <c r="AQ78" s="95">
        <f t="shared" ca="1" si="42"/>
        <v>0</v>
      </c>
    </row>
    <row r="79" spans="1:43" ht="21" customHeight="1" x14ac:dyDescent="0.3">
      <c r="A79" s="89">
        <v>5</v>
      </c>
      <c r="B79" s="90" t="s">
        <v>105</v>
      </c>
      <c r="C79" s="91">
        <f t="shared" ca="1" si="26"/>
        <v>0</v>
      </c>
      <c r="D79" s="92">
        <f t="shared" ca="1" si="61"/>
        <v>0</v>
      </c>
      <c r="E79" s="93">
        <f ca="1">IFERROR(__xludf.DUMMYFUNCTION("IMPORTRANGE(""https://docs.google.com/spreadsheets/d/1-uDff_7J0KD5mKrp0Vvzr7lt3OU09vwQwhkpOPPYv2Y/edit?usp=sharing"",""งบพรบ!AN79"")"),0)</f>
        <v>0</v>
      </c>
      <c r="F79" s="93">
        <f ca="1">IFERROR(__xludf.DUMMYFUNCTION("IMPORTRANGE(""https://docs.google.com/spreadsheets/d/1-uDff_7J0KD5mKrp0Vvzr7lt3OU09vwQwhkpOPPYv2Y/edit?usp=sharing"",""งบพรบ!AO79"")"),0)</f>
        <v>0</v>
      </c>
      <c r="G79" s="93">
        <f ca="1">IFERROR(__xludf.DUMMYFUNCTION("IMPORTRANGE(""https://docs.google.com/spreadsheets/d/1-uDff_7J0KD5mKrp0Vvzr7lt3OU09vwQwhkpOPPYv2Y/edit?usp=sharing"",""งบพรบ!AP79"")"),0)</f>
        <v>0</v>
      </c>
      <c r="H79" s="93">
        <f ca="1">IFERROR(__xludf.DUMMYFUNCTION("IMPORTRANGE(""https://docs.google.com/spreadsheets/d/1-uDff_7J0KD5mKrp0Vvzr7lt3OU09vwQwhkpOPPYv2Y/edit?usp=sharing"",""งบพรบ!AR79"")"),0)</f>
        <v>0</v>
      </c>
      <c r="I79" s="93">
        <f ca="1">IFERROR(__xludf.DUMMYFUNCTION("IMPORTRANGE(""https://docs.google.com/spreadsheets/d/1-uDff_7J0KD5mKrp0Vvzr7lt3OU09vwQwhkpOPPYv2Y/edit?usp=sharing"",""งบพรบ!AS79"")"),0)</f>
        <v>0</v>
      </c>
      <c r="J79" s="93">
        <f t="shared" ca="1" si="28"/>
        <v>0</v>
      </c>
      <c r="K79" s="94">
        <f t="shared" ca="1" si="29"/>
        <v>0</v>
      </c>
      <c r="L79" s="93">
        <f ca="1">IFERROR(__xludf.DUMMYFUNCTION("IMPORTRANGE(""https://docs.google.com/spreadsheets/d/1-uDff_7J0KD5mKrp0Vvzr7lt3OU09vwQwhkpOPPYv2Y/edit?usp=sharing"",""งบพรบ!AT79"")"),0)</f>
        <v>0</v>
      </c>
      <c r="M79" s="95">
        <f t="shared" ca="1" si="30"/>
        <v>0</v>
      </c>
      <c r="N79" s="95">
        <f t="shared" ca="1" si="31"/>
        <v>0</v>
      </c>
      <c r="O79" s="96">
        <f ca="1">IFERROR(__xludf.DUMMYFUNCTION("IMPORTRANGE(""https://docs.google.com/spreadsheets/d/1-uDff_7J0KD5mKrp0Vvzr7lt3OU09vwQwhkpOPPYv2Y/edit?usp=sharing"",""งบพรบ!AU79"")"),0)</f>
        <v>0</v>
      </c>
      <c r="P79" s="96">
        <f t="shared" ca="1" si="32"/>
        <v>0</v>
      </c>
      <c r="Q79" s="95">
        <f t="shared" ca="1" si="33"/>
        <v>0</v>
      </c>
      <c r="R79" s="86">
        <f ca="1">IFERROR(__xludf.DUMMYFUNCTION("IMPORTRANGE(""https://docs.google.com/spreadsheets/d/1iodCdmuK2GR3jzUwk8tpccY2JHQQA-87DLOtJP-ooyU/edit?usp=sharing"",""นราธิวาส!Q72"")"),0)</f>
        <v>0</v>
      </c>
      <c r="S79" s="86">
        <f ca="1">IFERROR(__xludf.DUMMYFUNCTION("IMPORTRANGE(""https://docs.google.com/spreadsheets/d/1iodCdmuK2GR3jzUwk8tpccY2JHQQA-87DLOtJP-ooyU/edit?usp=sharing"",""นราธิวาส!R72"")"),0)</f>
        <v>0</v>
      </c>
      <c r="T79" s="86">
        <f ca="1">IFERROR(__xludf.DUMMYFUNCTION("IMPORTRANGE(""https://docs.google.com/spreadsheets/d/1iodCdmuK2GR3jzUwk8tpccY2JHQQA-87DLOtJP-ooyU/edit?usp=sharing"",""นราธิวาส!S72"")"),0)</f>
        <v>0</v>
      </c>
      <c r="U79" s="87">
        <f t="shared" ca="1" si="35"/>
        <v>0</v>
      </c>
      <c r="V79" s="87">
        <f t="shared" ca="1" si="36"/>
        <v>0</v>
      </c>
      <c r="W79" s="97">
        <f t="shared" ca="1" si="37"/>
        <v>0</v>
      </c>
      <c r="X79" s="97">
        <f t="shared" ca="1" si="38"/>
        <v>0</v>
      </c>
      <c r="Y79" s="97">
        <f t="shared" ca="1" si="62"/>
        <v>0</v>
      </c>
      <c r="Z79" s="98">
        <f t="shared" ca="1" si="39"/>
        <v>0</v>
      </c>
      <c r="AA79" s="97">
        <f t="shared" ca="1" si="63"/>
        <v>0</v>
      </c>
      <c r="AB79" s="98">
        <f t="shared" ca="1" si="40"/>
        <v>0</v>
      </c>
      <c r="AC79" s="93">
        <f ca="1">IFERROR(__xludf.DUMMYFUNCTION("IMPORTRANGE(""https://docs.google.com/spreadsheets/d/1iodCdmuK2GR3jzUwk8tpccY2JHQQA-87DLOtJP-ooyU/edit?usp=sharing"",""นราธิวาส!I84"")"),0)</f>
        <v>0</v>
      </c>
      <c r="AD79" s="93">
        <f ca="1">IFERROR(__xludf.DUMMYFUNCTION("IMPORTRANGE(""https://docs.google.com/spreadsheets/d/1iodCdmuK2GR3jzUwk8tpccY2JHQQA-87DLOtJP-ooyU/edit?usp=sharing"",""นราธิวาส!I85"")"),0)</f>
        <v>0</v>
      </c>
      <c r="AE79" s="97">
        <f ca="1">IFERROR(__xludf.DUMMYFUNCTION("IMPORTRANGE(""https://docs.google.com/spreadsheets/d/1iodCdmuK2GR3jzUwk8tpccY2JHQQA-87DLOtJP-ooyU/edit?usp=sharing"",""นราธิวาส!J84"")"),0)</f>
        <v>0</v>
      </c>
      <c r="AF79" s="97">
        <f ca="1">IFERROR(__xludf.DUMMYFUNCTION("IMPORTRANGE(""https://docs.google.com/spreadsheets/d/1iodCdmuK2GR3jzUwk8tpccY2JHQQA-87DLOtJP-ooyU/edit?usp=sharing"",""นราธิวาส!J85"")"),0)</f>
        <v>0</v>
      </c>
      <c r="AG79" s="93">
        <f ca="1">IFERROR(__xludf.DUMMYFUNCTION("IMPORTRANGE(""https://docs.google.com/spreadsheets/d/1iodCdmuK2GR3jzUwk8tpccY2JHQQA-87DLOtJP-ooyU/edit?usp=sharing"",""นราธิวาส!I86"")"),0)</f>
        <v>0</v>
      </c>
      <c r="AH79" s="93">
        <f ca="1">IFERROR(__xludf.DUMMYFUNCTION("IMPORTRANGE(""https://docs.google.com/spreadsheets/d/1iodCdmuK2GR3jzUwk8tpccY2JHQQA-87DLOtJP-ooyU/edit?usp=sharing"",""นราธิวาส!I87"")"),0)</f>
        <v>0</v>
      </c>
      <c r="AI79" s="97">
        <f ca="1">IFERROR(__xludf.DUMMYFUNCTION("IMPORTRANGE(""https://docs.google.com/spreadsheets/d/1iodCdmuK2GR3jzUwk8tpccY2JHQQA-87DLOtJP-ooyU/edit?usp=sharing"",""นราธิวาส!J86"")"),0)</f>
        <v>0</v>
      </c>
      <c r="AJ79" s="97">
        <f ca="1">IFERROR(__xludf.DUMMYFUNCTION("IMPORTRANGE(""https://docs.google.com/spreadsheets/d/1iodCdmuK2GR3jzUwk8tpccY2JHQQA-87DLOtJP-ooyU/edit?usp=sharing"",""นราธิวาส!J87"")"),0)</f>
        <v>0</v>
      </c>
      <c r="AK79" s="93">
        <f ca="1">IFERROR(__xludf.DUMMYFUNCTION("IMPORTRANGE(""https://docs.google.com/spreadsheets/d/1iodCdmuK2GR3jzUwk8tpccY2JHQQA-87DLOtJP-ooyU/edit?usp=sharing"",""นราธิวาส!I88"")"),0)</f>
        <v>0</v>
      </c>
      <c r="AL79" s="93">
        <f ca="1">IFERROR(__xludf.DUMMYFUNCTION("IMPORTRANGE(""https://docs.google.com/spreadsheets/d/1iodCdmuK2GR3jzUwk8tpccY2JHQQA-87DLOtJP-ooyU/edit?usp=sharing"",""นราธิวาส!I89"")"),0)</f>
        <v>0</v>
      </c>
      <c r="AM79" s="97">
        <f ca="1">IFERROR(__xludf.DUMMYFUNCTION("IMPORTRANGE(""https://docs.google.com/spreadsheets/d/1iodCdmuK2GR3jzUwk8tpccY2JHQQA-87DLOtJP-ooyU/edit?usp=sharing"",""นราธิวาส!J88"")"),0)</f>
        <v>0</v>
      </c>
      <c r="AN79" s="97">
        <f ca="1">IFERROR(__xludf.DUMMYFUNCTION("IMPORTRANGE(""https://docs.google.com/spreadsheets/d/1iodCdmuK2GR3jzUwk8tpccY2JHQQA-87DLOtJP-ooyU/edit?usp=sharing"",""นราธิวาส!J89"")"),0)</f>
        <v>0</v>
      </c>
      <c r="AO79" s="93">
        <f ca="1">IFERROR(__xludf.DUMMYFUNCTION("IMPORTRANGE(""https://docs.google.com/spreadsheets/d/1iodCdmuK2GR3jzUwk8tpccY2JHQQA-87DLOtJP-ooyU/edit?usp=sharing"",""นราธิวาส!I90"")"),0)</f>
        <v>0</v>
      </c>
      <c r="AP79" s="97">
        <f ca="1">IFERROR(__xludf.DUMMYFUNCTION("IMPORTRANGE(""https://docs.google.com/spreadsheets/d/1iodCdmuK2GR3jzUwk8tpccY2JHQQA-87DLOtJP-ooyU/edit?usp=sharing"",""นราธิวาส!J90"")"),0)</f>
        <v>0</v>
      </c>
      <c r="AQ79" s="95">
        <f t="shared" ca="1" si="42"/>
        <v>0</v>
      </c>
    </row>
    <row r="80" spans="1:43" ht="21" customHeight="1" x14ac:dyDescent="0.3">
      <c r="A80" s="89">
        <v>6</v>
      </c>
      <c r="B80" s="90" t="s">
        <v>106</v>
      </c>
      <c r="C80" s="91">
        <f t="shared" ca="1" si="26"/>
        <v>0</v>
      </c>
      <c r="D80" s="92">
        <f t="shared" ca="1" si="61"/>
        <v>0</v>
      </c>
      <c r="E80" s="93">
        <f ca="1">IFERROR(__xludf.DUMMYFUNCTION("IMPORTRANGE(""https://docs.google.com/spreadsheets/d/1-uDff_7J0KD5mKrp0Vvzr7lt3OU09vwQwhkpOPPYv2Y/edit?usp=sharing"",""งบพรบ!AN80"")"),0)</f>
        <v>0</v>
      </c>
      <c r="F80" s="93">
        <f ca="1">IFERROR(__xludf.DUMMYFUNCTION("IMPORTRANGE(""https://docs.google.com/spreadsheets/d/1-uDff_7J0KD5mKrp0Vvzr7lt3OU09vwQwhkpOPPYv2Y/edit?usp=sharing"",""งบพรบ!AO80"")"),0)</f>
        <v>0</v>
      </c>
      <c r="G80" s="93">
        <f ca="1">IFERROR(__xludf.DUMMYFUNCTION("IMPORTRANGE(""https://docs.google.com/spreadsheets/d/1-uDff_7J0KD5mKrp0Vvzr7lt3OU09vwQwhkpOPPYv2Y/edit?usp=sharing"",""งบพรบ!AP80"")"),0)</f>
        <v>0</v>
      </c>
      <c r="H80" s="93">
        <f ca="1">IFERROR(__xludf.DUMMYFUNCTION("IMPORTRANGE(""https://docs.google.com/spreadsheets/d/1-uDff_7J0KD5mKrp0Vvzr7lt3OU09vwQwhkpOPPYv2Y/edit?usp=sharing"",""งบพรบ!AR80"")"),0)</f>
        <v>0</v>
      </c>
      <c r="I80" s="93">
        <f ca="1">IFERROR(__xludf.DUMMYFUNCTION("IMPORTRANGE(""https://docs.google.com/spreadsheets/d/1-uDff_7J0KD5mKrp0Vvzr7lt3OU09vwQwhkpOPPYv2Y/edit?usp=sharing"",""งบพรบ!AS80"")"),0)</f>
        <v>0</v>
      </c>
      <c r="J80" s="93">
        <f t="shared" ca="1" si="28"/>
        <v>0</v>
      </c>
      <c r="K80" s="94">
        <f t="shared" ca="1" si="29"/>
        <v>0</v>
      </c>
      <c r="L80" s="93">
        <f ca="1">IFERROR(__xludf.DUMMYFUNCTION("IMPORTRANGE(""https://docs.google.com/spreadsheets/d/1-uDff_7J0KD5mKrp0Vvzr7lt3OU09vwQwhkpOPPYv2Y/edit?usp=sharing"",""งบพรบ!AT80"")"),0)</f>
        <v>0</v>
      </c>
      <c r="M80" s="95">
        <f t="shared" ca="1" si="30"/>
        <v>0</v>
      </c>
      <c r="N80" s="95">
        <f t="shared" ca="1" si="31"/>
        <v>0</v>
      </c>
      <c r="O80" s="96">
        <f ca="1">IFERROR(__xludf.DUMMYFUNCTION("IMPORTRANGE(""https://docs.google.com/spreadsheets/d/1-uDff_7J0KD5mKrp0Vvzr7lt3OU09vwQwhkpOPPYv2Y/edit?usp=sharing"",""งบพรบ!AU80"")"),0)</f>
        <v>0</v>
      </c>
      <c r="P80" s="96">
        <f t="shared" ca="1" si="32"/>
        <v>0</v>
      </c>
      <c r="Q80" s="95">
        <f t="shared" ca="1" si="33"/>
        <v>0</v>
      </c>
      <c r="R80" s="86">
        <f ca="1">IFERROR(__xludf.DUMMYFUNCTION("IMPORTRANGE(""https://docs.google.com/spreadsheets/d/1SDNX3JhDdYRuIOsj0Wh2M-Qa_eaXl0NbWmhAOTbfQAs/edit?usp=sharing"",""ปัตตานี!Q72"")"),0)</f>
        <v>0</v>
      </c>
      <c r="S80" s="86">
        <f ca="1">IFERROR(__xludf.DUMMYFUNCTION("IMPORTRANGE(""https://docs.google.com/spreadsheets/d/1SDNX3JhDdYRuIOsj0Wh2M-Qa_eaXl0NbWmhAOTbfQAs/edit?usp=sharing"",""ปัตตานี!R72"")"),0)</f>
        <v>0</v>
      </c>
      <c r="T80" s="86">
        <f ca="1">IFERROR(__xludf.DUMMYFUNCTION("IMPORTRANGE(""https://docs.google.com/spreadsheets/d/1SDNX3JhDdYRuIOsj0Wh2M-Qa_eaXl0NbWmhAOTbfQAs/edit?usp=sharing"",""ปัตตานี!S72"")"),0)</f>
        <v>0</v>
      </c>
      <c r="U80" s="87">
        <f t="shared" ca="1" si="35"/>
        <v>0</v>
      </c>
      <c r="V80" s="87">
        <f t="shared" ca="1" si="36"/>
        <v>0</v>
      </c>
      <c r="W80" s="97">
        <f t="shared" ca="1" si="37"/>
        <v>0</v>
      </c>
      <c r="X80" s="97">
        <f t="shared" ca="1" si="38"/>
        <v>0</v>
      </c>
      <c r="Y80" s="97">
        <f t="shared" ca="1" si="62"/>
        <v>0</v>
      </c>
      <c r="Z80" s="98">
        <f t="shared" ca="1" si="39"/>
        <v>0</v>
      </c>
      <c r="AA80" s="97">
        <f t="shared" ca="1" si="63"/>
        <v>0</v>
      </c>
      <c r="AB80" s="98">
        <f t="shared" ca="1" si="40"/>
        <v>0</v>
      </c>
      <c r="AC80" s="93">
        <f ca="1">IFERROR(__xludf.DUMMYFUNCTION("IMPORTRANGE(""https://docs.google.com/spreadsheets/d/1SDNX3JhDdYRuIOsj0Wh2M-Qa_eaXl0NbWmhAOTbfQAs/edit?usp=sharing"",""ปัตตานี!I84"")"),0)</f>
        <v>0</v>
      </c>
      <c r="AD80" s="93">
        <f ca="1">IFERROR(__xludf.DUMMYFUNCTION("IMPORTRANGE(""https://docs.google.com/spreadsheets/d/1SDNX3JhDdYRuIOsj0Wh2M-Qa_eaXl0NbWmhAOTbfQAs/edit?usp=sharing"",""ปัตตานี!I85"")"),0)</f>
        <v>0</v>
      </c>
      <c r="AE80" s="97">
        <f ca="1">IFERROR(__xludf.DUMMYFUNCTION("IMPORTRANGE(""https://docs.google.com/spreadsheets/d/1SDNX3JhDdYRuIOsj0Wh2M-Qa_eaXl0NbWmhAOTbfQAs/edit?usp=sharing"",""ปัตตานี!J84"")"),0)</f>
        <v>0</v>
      </c>
      <c r="AF80" s="97">
        <f ca="1">IFERROR(__xludf.DUMMYFUNCTION("IMPORTRANGE(""https://docs.google.com/spreadsheets/d/1SDNX3JhDdYRuIOsj0Wh2M-Qa_eaXl0NbWmhAOTbfQAs/edit?usp=sharing"",""ปัตตานี!J85"")"),0)</f>
        <v>0</v>
      </c>
      <c r="AG80" s="93">
        <f ca="1">IFERROR(__xludf.DUMMYFUNCTION("IMPORTRANGE(""https://docs.google.com/spreadsheets/d/1SDNX3JhDdYRuIOsj0Wh2M-Qa_eaXl0NbWmhAOTbfQAs/edit?usp=sharing"",""ปัตตานี!I86"")"),0)</f>
        <v>0</v>
      </c>
      <c r="AH80" s="93">
        <f ca="1">IFERROR(__xludf.DUMMYFUNCTION("IMPORTRANGE(""https://docs.google.com/spreadsheets/d/1SDNX3JhDdYRuIOsj0Wh2M-Qa_eaXl0NbWmhAOTbfQAs/edit?usp=sharing"",""ปัตตานี!I87"")"),0)</f>
        <v>0</v>
      </c>
      <c r="AI80" s="97">
        <f ca="1">IFERROR(__xludf.DUMMYFUNCTION("IMPORTRANGE(""https://docs.google.com/spreadsheets/d/1SDNX3JhDdYRuIOsj0Wh2M-Qa_eaXl0NbWmhAOTbfQAs/edit?usp=sharing"",""ปัตตานี!J86"")"),0)</f>
        <v>0</v>
      </c>
      <c r="AJ80" s="97">
        <f ca="1">IFERROR(__xludf.DUMMYFUNCTION("IMPORTRANGE(""https://docs.google.com/spreadsheets/d/1SDNX3JhDdYRuIOsj0Wh2M-Qa_eaXl0NbWmhAOTbfQAs/edit?usp=sharing"",""ปัตตานี!J87"")"),0)</f>
        <v>0</v>
      </c>
      <c r="AK80" s="93">
        <f ca="1">IFERROR(__xludf.DUMMYFUNCTION("IMPORTRANGE(""https://docs.google.com/spreadsheets/d/1SDNX3JhDdYRuIOsj0Wh2M-Qa_eaXl0NbWmhAOTbfQAs/edit?usp=sharing"",""ปัตตานี!I88"")"),0)</f>
        <v>0</v>
      </c>
      <c r="AL80" s="93">
        <f ca="1">IFERROR(__xludf.DUMMYFUNCTION("IMPORTRANGE(""https://docs.google.com/spreadsheets/d/1SDNX3JhDdYRuIOsj0Wh2M-Qa_eaXl0NbWmhAOTbfQAs/edit?usp=sharing"",""ปัตตานี!I89"")"),0)</f>
        <v>0</v>
      </c>
      <c r="AM80" s="97">
        <f ca="1">IFERROR(__xludf.DUMMYFUNCTION("IMPORTRANGE(""https://docs.google.com/spreadsheets/d/1SDNX3JhDdYRuIOsj0Wh2M-Qa_eaXl0NbWmhAOTbfQAs/edit?usp=sharing"",""ปัตตานี!J88"")"),0)</f>
        <v>0</v>
      </c>
      <c r="AN80" s="97">
        <f ca="1">IFERROR(__xludf.DUMMYFUNCTION("IMPORTRANGE(""https://docs.google.com/spreadsheets/d/1SDNX3JhDdYRuIOsj0Wh2M-Qa_eaXl0NbWmhAOTbfQAs/edit?usp=sharing"",""ปัตตานี!J89"")"),0)</f>
        <v>0</v>
      </c>
      <c r="AO80" s="93">
        <f ca="1">IFERROR(__xludf.DUMMYFUNCTION("IMPORTRANGE(""https://docs.google.com/spreadsheets/d/1SDNX3JhDdYRuIOsj0Wh2M-Qa_eaXl0NbWmhAOTbfQAs/edit?usp=sharing"",""ปัตตานี!I90"")"),0)</f>
        <v>0</v>
      </c>
      <c r="AP80" s="97">
        <f ca="1">IFERROR(__xludf.DUMMYFUNCTION("IMPORTRANGE(""https://docs.google.com/spreadsheets/d/1SDNX3JhDdYRuIOsj0Wh2M-Qa_eaXl0NbWmhAOTbfQAs/edit?usp=sharing"",""ปัตตานี!J90"")"),0)</f>
        <v>0</v>
      </c>
      <c r="AQ80" s="95">
        <f t="shared" ca="1" si="42"/>
        <v>0</v>
      </c>
    </row>
    <row r="81" spans="1:43" ht="21" customHeight="1" x14ac:dyDescent="0.3">
      <c r="A81" s="89">
        <v>7</v>
      </c>
      <c r="B81" s="90" t="s">
        <v>107</v>
      </c>
      <c r="C81" s="91">
        <f t="shared" ca="1" si="26"/>
        <v>0</v>
      </c>
      <c r="D81" s="92">
        <f t="shared" ca="1" si="61"/>
        <v>0</v>
      </c>
      <c r="E81" s="93">
        <f ca="1">IFERROR(__xludf.DUMMYFUNCTION("IMPORTRANGE(""https://docs.google.com/spreadsheets/d/1-uDff_7J0KD5mKrp0Vvzr7lt3OU09vwQwhkpOPPYv2Y/edit?usp=sharing"",""งบพรบ!AN81"")"),0)</f>
        <v>0</v>
      </c>
      <c r="F81" s="93">
        <f ca="1">IFERROR(__xludf.DUMMYFUNCTION("IMPORTRANGE(""https://docs.google.com/spreadsheets/d/1-uDff_7J0KD5mKrp0Vvzr7lt3OU09vwQwhkpOPPYv2Y/edit?usp=sharing"",""งบพรบ!AO81"")"),0)</f>
        <v>0</v>
      </c>
      <c r="G81" s="93">
        <f ca="1">IFERROR(__xludf.DUMMYFUNCTION("IMPORTRANGE(""https://docs.google.com/spreadsheets/d/1-uDff_7J0KD5mKrp0Vvzr7lt3OU09vwQwhkpOPPYv2Y/edit?usp=sharing"",""งบพรบ!AP81"")"),0)</f>
        <v>0</v>
      </c>
      <c r="H81" s="93">
        <f ca="1">IFERROR(__xludf.DUMMYFUNCTION("IMPORTRANGE(""https://docs.google.com/spreadsheets/d/1-uDff_7J0KD5mKrp0Vvzr7lt3OU09vwQwhkpOPPYv2Y/edit?usp=sharing"",""งบพรบ!AR81"")"),0)</f>
        <v>0</v>
      </c>
      <c r="I81" s="93">
        <f ca="1">IFERROR(__xludf.DUMMYFUNCTION("IMPORTRANGE(""https://docs.google.com/spreadsheets/d/1-uDff_7J0KD5mKrp0Vvzr7lt3OU09vwQwhkpOPPYv2Y/edit?usp=sharing"",""งบพรบ!AS81"")"),0)</f>
        <v>0</v>
      </c>
      <c r="J81" s="93">
        <f t="shared" ca="1" si="28"/>
        <v>0</v>
      </c>
      <c r="K81" s="94">
        <f t="shared" ca="1" si="29"/>
        <v>0</v>
      </c>
      <c r="L81" s="93">
        <f ca="1">IFERROR(__xludf.DUMMYFUNCTION("IMPORTRANGE(""https://docs.google.com/spreadsheets/d/1-uDff_7J0KD5mKrp0Vvzr7lt3OU09vwQwhkpOPPYv2Y/edit?usp=sharing"",""งบพรบ!AT81"")"),0)</f>
        <v>0</v>
      </c>
      <c r="M81" s="95">
        <f t="shared" ca="1" si="30"/>
        <v>0</v>
      </c>
      <c r="N81" s="95">
        <f t="shared" ca="1" si="31"/>
        <v>0</v>
      </c>
      <c r="O81" s="96">
        <f ca="1">IFERROR(__xludf.DUMMYFUNCTION("IMPORTRANGE(""https://docs.google.com/spreadsheets/d/1-uDff_7J0KD5mKrp0Vvzr7lt3OU09vwQwhkpOPPYv2Y/edit?usp=sharing"",""งบพรบ!AU81"")"),0)</f>
        <v>0</v>
      </c>
      <c r="P81" s="96">
        <f t="shared" ca="1" si="32"/>
        <v>0</v>
      </c>
      <c r="Q81" s="95">
        <f t="shared" ca="1" si="33"/>
        <v>0</v>
      </c>
      <c r="R81" s="86">
        <f ca="1">IFERROR(__xludf.DUMMYFUNCTION("IMPORTRANGE(""https://docs.google.com/spreadsheets/d/16JDLGguT8s5DsGCND1KcwHP_AWR_zDMTqLHPLJUKhaU/edit?usp=sharing"",""พังงา!Q72"")"),0)</f>
        <v>0</v>
      </c>
      <c r="S81" s="86">
        <f ca="1">IFERROR(__xludf.DUMMYFUNCTION("IMPORTRANGE(""https://docs.google.com/spreadsheets/d/16JDLGguT8s5DsGCND1KcwHP_AWR_zDMTqLHPLJUKhaU/edit?usp=sharing"",""พังงา!R72"")"),0)</f>
        <v>0</v>
      </c>
      <c r="T81" s="86">
        <f ca="1">IFERROR(__xludf.DUMMYFUNCTION("IMPORTRANGE(""https://docs.google.com/spreadsheets/d/16JDLGguT8s5DsGCND1KcwHP_AWR_zDMTqLHPLJUKhaU/edit?usp=sharing"",""พังงา!S72"")"),0)</f>
        <v>0</v>
      </c>
      <c r="U81" s="87">
        <f t="shared" ca="1" si="35"/>
        <v>0</v>
      </c>
      <c r="V81" s="87">
        <f t="shared" ca="1" si="36"/>
        <v>0</v>
      </c>
      <c r="W81" s="97">
        <f t="shared" ca="1" si="37"/>
        <v>0</v>
      </c>
      <c r="X81" s="97">
        <f t="shared" ca="1" si="38"/>
        <v>0</v>
      </c>
      <c r="Y81" s="97">
        <f t="shared" ca="1" si="62"/>
        <v>0</v>
      </c>
      <c r="Z81" s="98">
        <f t="shared" ca="1" si="39"/>
        <v>0</v>
      </c>
      <c r="AA81" s="97">
        <f t="shared" ca="1" si="63"/>
        <v>0</v>
      </c>
      <c r="AB81" s="98">
        <f t="shared" ca="1" si="40"/>
        <v>0</v>
      </c>
      <c r="AC81" s="93">
        <f ca="1">IFERROR(__xludf.DUMMYFUNCTION("IMPORTRANGE(""https://docs.google.com/spreadsheets/d/16JDLGguT8s5DsGCND1KcwHP_AWR_zDMTqLHPLJUKhaU/edit?usp=sharing"",""พังงา!I84"")"),0)</f>
        <v>0</v>
      </c>
      <c r="AD81" s="93">
        <f ca="1">IFERROR(__xludf.DUMMYFUNCTION("IMPORTRANGE(""https://docs.google.com/spreadsheets/d/16JDLGguT8s5DsGCND1KcwHP_AWR_zDMTqLHPLJUKhaU/edit?usp=sharing"",""พังงา!I85"")"),0)</f>
        <v>0</v>
      </c>
      <c r="AE81" s="97">
        <f ca="1">IFERROR(__xludf.DUMMYFUNCTION("IMPORTRANGE(""https://docs.google.com/spreadsheets/d/16JDLGguT8s5DsGCND1KcwHP_AWR_zDMTqLHPLJUKhaU/edit?usp=sharing"",""พังงา!J84"")"),0)</f>
        <v>0</v>
      </c>
      <c r="AF81" s="97">
        <f ca="1">IFERROR(__xludf.DUMMYFUNCTION("IMPORTRANGE(""https://docs.google.com/spreadsheets/d/16JDLGguT8s5DsGCND1KcwHP_AWR_zDMTqLHPLJUKhaU/edit?usp=sharing"",""พังงา!J85"")"),0)</f>
        <v>0</v>
      </c>
      <c r="AG81" s="93">
        <f ca="1">IFERROR(__xludf.DUMMYFUNCTION("IMPORTRANGE(""https://docs.google.com/spreadsheets/d/16JDLGguT8s5DsGCND1KcwHP_AWR_zDMTqLHPLJUKhaU/edit?usp=sharing"",""พังงา!I86"")"),0)</f>
        <v>0</v>
      </c>
      <c r="AH81" s="93">
        <f ca="1">IFERROR(__xludf.DUMMYFUNCTION("IMPORTRANGE(""https://docs.google.com/spreadsheets/d/16JDLGguT8s5DsGCND1KcwHP_AWR_zDMTqLHPLJUKhaU/edit?usp=sharing"",""พังงา!I87"")"),0)</f>
        <v>0</v>
      </c>
      <c r="AI81" s="97">
        <f ca="1">IFERROR(__xludf.DUMMYFUNCTION("IMPORTRANGE(""https://docs.google.com/spreadsheets/d/16JDLGguT8s5DsGCND1KcwHP_AWR_zDMTqLHPLJUKhaU/edit?usp=sharing"",""พังงา!J86"")"),0)</f>
        <v>0</v>
      </c>
      <c r="AJ81" s="97">
        <f ca="1">IFERROR(__xludf.DUMMYFUNCTION("IMPORTRANGE(""https://docs.google.com/spreadsheets/d/16JDLGguT8s5DsGCND1KcwHP_AWR_zDMTqLHPLJUKhaU/edit?usp=sharing"",""พังงา!J87"")"),0)</f>
        <v>0</v>
      </c>
      <c r="AK81" s="93">
        <f ca="1">IFERROR(__xludf.DUMMYFUNCTION("IMPORTRANGE(""https://docs.google.com/spreadsheets/d/16JDLGguT8s5DsGCND1KcwHP_AWR_zDMTqLHPLJUKhaU/edit?usp=sharing"",""พังงา!I88"")"),0)</f>
        <v>0</v>
      </c>
      <c r="AL81" s="93">
        <f ca="1">IFERROR(__xludf.DUMMYFUNCTION("IMPORTRANGE(""https://docs.google.com/spreadsheets/d/16JDLGguT8s5DsGCND1KcwHP_AWR_zDMTqLHPLJUKhaU/edit?usp=sharing"",""พังงา!I89"")"),0)</f>
        <v>0</v>
      </c>
      <c r="AM81" s="97">
        <f ca="1">IFERROR(__xludf.DUMMYFUNCTION("IMPORTRANGE(""https://docs.google.com/spreadsheets/d/16JDLGguT8s5DsGCND1KcwHP_AWR_zDMTqLHPLJUKhaU/edit?usp=sharing"",""พังงา!J88"")"),0)</f>
        <v>0</v>
      </c>
      <c r="AN81" s="97">
        <f ca="1">IFERROR(__xludf.DUMMYFUNCTION("IMPORTRANGE(""https://docs.google.com/spreadsheets/d/16JDLGguT8s5DsGCND1KcwHP_AWR_zDMTqLHPLJUKhaU/edit?usp=sharing"",""พังงา!J89"")"),0)</f>
        <v>0</v>
      </c>
      <c r="AO81" s="93">
        <f ca="1">IFERROR(__xludf.DUMMYFUNCTION("IMPORTRANGE(""https://docs.google.com/spreadsheets/d/16JDLGguT8s5DsGCND1KcwHP_AWR_zDMTqLHPLJUKhaU/edit?usp=sharing"",""พังงา!I90"")"),0)</f>
        <v>0</v>
      </c>
      <c r="AP81" s="97">
        <f ca="1">IFERROR(__xludf.DUMMYFUNCTION("IMPORTRANGE(""https://docs.google.com/spreadsheets/d/16JDLGguT8s5DsGCND1KcwHP_AWR_zDMTqLHPLJUKhaU/edit?usp=sharing"",""พังงา!J90"")"),0)</f>
        <v>0</v>
      </c>
      <c r="AQ81" s="95">
        <f t="shared" ca="1" si="42"/>
        <v>0</v>
      </c>
    </row>
    <row r="82" spans="1:43" ht="21" customHeight="1" x14ac:dyDescent="0.3">
      <c r="A82" s="89">
        <v>8</v>
      </c>
      <c r="B82" s="90" t="s">
        <v>108</v>
      </c>
      <c r="C82" s="91">
        <f t="shared" ca="1" si="26"/>
        <v>544900</v>
      </c>
      <c r="D82" s="92">
        <f t="shared" ca="1" si="61"/>
        <v>544900</v>
      </c>
      <c r="E82" s="93">
        <f ca="1">IFERROR(__xludf.DUMMYFUNCTION("IMPORTRANGE(""https://docs.google.com/spreadsheets/d/1-uDff_7J0KD5mKrp0Vvzr7lt3OU09vwQwhkpOPPYv2Y/edit?usp=sharing"",""งบพรบ!AN82"")"),306900)</f>
        <v>306900</v>
      </c>
      <c r="F82" s="93">
        <f ca="1">IFERROR(__xludf.DUMMYFUNCTION("IMPORTRANGE(""https://docs.google.com/spreadsheets/d/1-uDff_7J0KD5mKrp0Vvzr7lt3OU09vwQwhkpOPPYv2Y/edit?usp=sharing"",""งบพรบ!AO82"")"),238000)</f>
        <v>238000</v>
      </c>
      <c r="G82" s="93">
        <f ca="1">IFERROR(__xludf.DUMMYFUNCTION("IMPORTRANGE(""https://docs.google.com/spreadsheets/d/1-uDff_7J0KD5mKrp0Vvzr7lt3OU09vwQwhkpOPPYv2Y/edit?usp=sharing"",""งบพรบ!AP82"")"),0)</f>
        <v>0</v>
      </c>
      <c r="H82" s="93">
        <f ca="1">IFERROR(__xludf.DUMMYFUNCTION("IMPORTRANGE(""https://docs.google.com/spreadsheets/d/1-uDff_7J0KD5mKrp0Vvzr7lt3OU09vwQwhkpOPPYv2Y/edit?usp=sharing"",""งบพรบ!AR82"")"),417008)</f>
        <v>417008</v>
      </c>
      <c r="I82" s="93">
        <f ca="1">IFERROR(__xludf.DUMMYFUNCTION("IMPORTRANGE(""https://docs.google.com/spreadsheets/d/1-uDff_7J0KD5mKrp0Vvzr7lt3OU09vwQwhkpOPPYv2Y/edit?usp=sharing"",""งบพรบ!AS82"")"),0)</f>
        <v>0</v>
      </c>
      <c r="J82" s="93">
        <f t="shared" ca="1" si="28"/>
        <v>195190.88</v>
      </c>
      <c r="K82" s="94">
        <f t="shared" ca="1" si="29"/>
        <v>35.82141310332171</v>
      </c>
      <c r="L82" s="93">
        <f ca="1">IFERROR(__xludf.DUMMYFUNCTION("IMPORTRANGE(""https://docs.google.com/spreadsheets/d/1-uDff_7J0KD5mKrp0Vvzr7lt3OU09vwQwhkpOPPYv2Y/edit?usp=sharing"",""งบพรบ!AT82"")"),195190.88)</f>
        <v>195190.88</v>
      </c>
      <c r="M82" s="95">
        <f t="shared" ca="1" si="30"/>
        <v>35.82141310332171</v>
      </c>
      <c r="N82" s="95">
        <f t="shared" ca="1" si="31"/>
        <v>46.807466523424011</v>
      </c>
      <c r="O82" s="96">
        <f ca="1">IFERROR(__xludf.DUMMYFUNCTION("IMPORTRANGE(""https://docs.google.com/spreadsheets/d/1-uDff_7J0KD5mKrp0Vvzr7lt3OU09vwQwhkpOPPYv2Y/edit?usp=sharing"",""งบพรบ!AU82"")"),0)</f>
        <v>0</v>
      </c>
      <c r="P82" s="96">
        <f t="shared" ca="1" si="32"/>
        <v>0</v>
      </c>
      <c r="Q82" s="95">
        <f t="shared" ca="1" si="33"/>
        <v>0</v>
      </c>
      <c r="R82" s="86">
        <f ca="1">IFERROR(__xludf.DUMMYFUNCTION("IMPORTRANGE(""https://docs.google.com/spreadsheets/d/17ht0gPKzzT3PObBL1XJkeRmntBXI7wGjpLV7QorqlTk/edit?usp=sharing"",""พัทลุง!Q72"")"),344592)</f>
        <v>344592</v>
      </c>
      <c r="S82" s="86">
        <f ca="1">IFERROR(__xludf.DUMMYFUNCTION("IMPORTRANGE(""https://docs.google.com/spreadsheets/d/17ht0gPKzzT3PObBL1XJkeRmntBXI7wGjpLV7QorqlTk/edit?usp=sharing"",""พัทลุง!R72"")"),0)</f>
        <v>0</v>
      </c>
      <c r="T82" s="86">
        <f ca="1">IFERROR(__xludf.DUMMYFUNCTION("IMPORTRANGE(""https://docs.google.com/spreadsheets/d/17ht0gPKzzT3PObBL1XJkeRmntBXI7wGjpLV7QorqlTk/edit?usp=sharing"",""พัทลุง!S72"")"),0)</f>
        <v>0</v>
      </c>
      <c r="U82" s="87">
        <f t="shared" ca="1" si="35"/>
        <v>0</v>
      </c>
      <c r="V82" s="87">
        <f t="shared" ca="1" si="36"/>
        <v>0</v>
      </c>
      <c r="W82" s="97">
        <f t="shared" ca="1" si="37"/>
        <v>1</v>
      </c>
      <c r="X82" s="97">
        <f t="shared" ca="1" si="38"/>
        <v>30</v>
      </c>
      <c r="Y82" s="97">
        <f t="shared" ca="1" si="62"/>
        <v>0</v>
      </c>
      <c r="Z82" s="98">
        <f t="shared" ca="1" si="39"/>
        <v>0</v>
      </c>
      <c r="AA82" s="97">
        <f t="shared" ca="1" si="63"/>
        <v>0</v>
      </c>
      <c r="AB82" s="98">
        <f t="shared" ca="1" si="40"/>
        <v>0</v>
      </c>
      <c r="AC82" s="93">
        <f ca="1">IFERROR(__xludf.DUMMYFUNCTION("IMPORTRANGE(""https://docs.google.com/spreadsheets/d/17ht0gPKzzT3PObBL1XJkeRmntBXI7wGjpLV7QorqlTk/edit?usp=sharing"",""พัทลุง!I84"")"),0)</f>
        <v>0</v>
      </c>
      <c r="AD82" s="93">
        <f ca="1">IFERROR(__xludf.DUMMYFUNCTION("IMPORTRANGE(""https://docs.google.com/spreadsheets/d/17ht0gPKzzT3PObBL1XJkeRmntBXI7wGjpLV7QorqlTk/edit?usp=sharing"",""พัทลุง!I85"")"),0)</f>
        <v>0</v>
      </c>
      <c r="AE82" s="97">
        <f ca="1">IFERROR(__xludf.DUMMYFUNCTION("IMPORTRANGE(""https://docs.google.com/spreadsheets/d/17ht0gPKzzT3PObBL1XJkeRmntBXI7wGjpLV7QorqlTk/edit?usp=sharing"",""พัทลุง!J84"")"),0)</f>
        <v>0</v>
      </c>
      <c r="AF82" s="97">
        <f ca="1">IFERROR(__xludf.DUMMYFUNCTION("IMPORTRANGE(""https://docs.google.com/spreadsheets/d/17ht0gPKzzT3PObBL1XJkeRmntBXI7wGjpLV7QorqlTk/edit?usp=sharing"",""พัทลุง!J85"")"),0)</f>
        <v>0</v>
      </c>
      <c r="AG82" s="93">
        <f ca="1">IFERROR(__xludf.DUMMYFUNCTION("IMPORTRANGE(""https://docs.google.com/spreadsheets/d/17ht0gPKzzT3PObBL1XJkeRmntBXI7wGjpLV7QorqlTk/edit?usp=sharing"",""พัทลุง!I86"")"),0)</f>
        <v>0</v>
      </c>
      <c r="AH82" s="93">
        <f ca="1">IFERROR(__xludf.DUMMYFUNCTION("IMPORTRANGE(""https://docs.google.com/spreadsheets/d/17ht0gPKzzT3PObBL1XJkeRmntBXI7wGjpLV7QorqlTk/edit?usp=sharing"",""พัทลุง!I87"")"),0)</f>
        <v>0</v>
      </c>
      <c r="AI82" s="97">
        <f ca="1">IFERROR(__xludf.DUMMYFUNCTION("IMPORTRANGE(""https://docs.google.com/spreadsheets/d/17ht0gPKzzT3PObBL1XJkeRmntBXI7wGjpLV7QorqlTk/edit?usp=sharing"",""พัทลุง!J86"")"),0)</f>
        <v>0</v>
      </c>
      <c r="AJ82" s="97">
        <f ca="1">IFERROR(__xludf.DUMMYFUNCTION("IMPORTRANGE(""https://docs.google.com/spreadsheets/d/17ht0gPKzzT3PObBL1XJkeRmntBXI7wGjpLV7QorqlTk/edit?usp=sharing"",""พัทลุง!J87"")"),0)</f>
        <v>0</v>
      </c>
      <c r="AK82" s="93">
        <f ca="1">IFERROR(__xludf.DUMMYFUNCTION("IMPORTRANGE(""https://docs.google.com/spreadsheets/d/17ht0gPKzzT3PObBL1XJkeRmntBXI7wGjpLV7QorqlTk/edit?usp=sharing"",""พัทลุง!I88"")"),1)</f>
        <v>1</v>
      </c>
      <c r="AL82" s="93">
        <f ca="1">IFERROR(__xludf.DUMMYFUNCTION("IMPORTRANGE(""https://docs.google.com/spreadsheets/d/17ht0gPKzzT3PObBL1XJkeRmntBXI7wGjpLV7QorqlTk/edit?usp=sharing"",""พัทลุง!I89"")"),30)</f>
        <v>30</v>
      </c>
      <c r="AM82" s="97">
        <f ca="1">IFERROR(__xludf.DUMMYFUNCTION("IMPORTRANGE(""https://docs.google.com/spreadsheets/d/17ht0gPKzzT3PObBL1XJkeRmntBXI7wGjpLV7QorqlTk/edit?usp=sharing"",""พัทลุง!J88"")"),0)</f>
        <v>0</v>
      </c>
      <c r="AN82" s="97">
        <f ca="1">IFERROR(__xludf.DUMMYFUNCTION("IMPORTRANGE(""https://docs.google.com/spreadsheets/d/17ht0gPKzzT3PObBL1XJkeRmntBXI7wGjpLV7QorqlTk/edit?usp=sharing"",""พัทลุง!J89"")"),0)</f>
        <v>0</v>
      </c>
      <c r="AO82" s="93">
        <f ca="1">IFERROR(__xludf.DUMMYFUNCTION("IMPORTRANGE(""https://docs.google.com/spreadsheets/d/17ht0gPKzzT3PObBL1XJkeRmntBXI7wGjpLV7QorqlTk/edit?usp=sharing"",""พัทลุง!I90"")"),1)</f>
        <v>1</v>
      </c>
      <c r="AP82" s="97">
        <f ca="1">IFERROR(__xludf.DUMMYFUNCTION("IMPORTRANGE(""https://docs.google.com/spreadsheets/d/17ht0gPKzzT3PObBL1XJkeRmntBXI7wGjpLV7QorqlTk/edit?usp=sharing"",""พัทลุง!J90"")"),0)</f>
        <v>0</v>
      </c>
      <c r="AQ82" s="95">
        <f t="shared" ca="1" si="42"/>
        <v>0</v>
      </c>
    </row>
    <row r="83" spans="1:43" ht="21" customHeight="1" x14ac:dyDescent="0.3">
      <c r="A83" s="89">
        <v>9</v>
      </c>
      <c r="B83" s="90" t="s">
        <v>109</v>
      </c>
      <c r="C83" s="91">
        <f t="shared" ca="1" si="26"/>
        <v>0</v>
      </c>
      <c r="D83" s="92">
        <f t="shared" ca="1" si="61"/>
        <v>0</v>
      </c>
      <c r="E83" s="93">
        <f ca="1">IFERROR(__xludf.DUMMYFUNCTION("IMPORTRANGE(""https://docs.google.com/spreadsheets/d/1-uDff_7J0KD5mKrp0Vvzr7lt3OU09vwQwhkpOPPYv2Y/edit?usp=sharing"",""งบพรบ!AN83"")"),0)</f>
        <v>0</v>
      </c>
      <c r="F83" s="93">
        <f ca="1">IFERROR(__xludf.DUMMYFUNCTION("IMPORTRANGE(""https://docs.google.com/spreadsheets/d/1-uDff_7J0KD5mKrp0Vvzr7lt3OU09vwQwhkpOPPYv2Y/edit?usp=sharing"",""งบพรบ!AO83"")"),0)</f>
        <v>0</v>
      </c>
      <c r="G83" s="93">
        <f ca="1">IFERROR(__xludf.DUMMYFUNCTION("IMPORTRANGE(""https://docs.google.com/spreadsheets/d/1-uDff_7J0KD5mKrp0Vvzr7lt3OU09vwQwhkpOPPYv2Y/edit?usp=sharing"",""งบพรบ!AP83"")"),0)</f>
        <v>0</v>
      </c>
      <c r="H83" s="93">
        <f ca="1">IFERROR(__xludf.DUMMYFUNCTION("IMPORTRANGE(""https://docs.google.com/spreadsheets/d/1-uDff_7J0KD5mKrp0Vvzr7lt3OU09vwQwhkpOPPYv2Y/edit?usp=sharing"",""งบพรบ!AR83"")"),0)</f>
        <v>0</v>
      </c>
      <c r="I83" s="93">
        <f ca="1">IFERROR(__xludf.DUMMYFUNCTION("IMPORTRANGE(""https://docs.google.com/spreadsheets/d/1-uDff_7J0KD5mKrp0Vvzr7lt3OU09vwQwhkpOPPYv2Y/edit?usp=sharing"",""งบพรบ!AS83"")"),0)</f>
        <v>0</v>
      </c>
      <c r="J83" s="93">
        <f t="shared" ca="1" si="28"/>
        <v>0</v>
      </c>
      <c r="K83" s="94">
        <f t="shared" ca="1" si="29"/>
        <v>0</v>
      </c>
      <c r="L83" s="93">
        <f ca="1">IFERROR(__xludf.DUMMYFUNCTION("IMPORTRANGE(""https://docs.google.com/spreadsheets/d/1-uDff_7J0KD5mKrp0Vvzr7lt3OU09vwQwhkpOPPYv2Y/edit?usp=sharing"",""งบพรบ!AT83"")"),0)</f>
        <v>0</v>
      </c>
      <c r="M83" s="95">
        <f t="shared" ca="1" si="30"/>
        <v>0</v>
      </c>
      <c r="N83" s="95">
        <f t="shared" ca="1" si="31"/>
        <v>0</v>
      </c>
      <c r="O83" s="96">
        <f ca="1">IFERROR(__xludf.DUMMYFUNCTION("IMPORTRANGE(""https://docs.google.com/spreadsheets/d/1-uDff_7J0KD5mKrp0Vvzr7lt3OU09vwQwhkpOPPYv2Y/edit?usp=sharing"",""งบพรบ!AU83"")"),0)</f>
        <v>0</v>
      </c>
      <c r="P83" s="96">
        <f t="shared" ca="1" si="32"/>
        <v>0</v>
      </c>
      <c r="Q83" s="95">
        <f t="shared" ca="1" si="33"/>
        <v>0</v>
      </c>
      <c r="R83" s="86">
        <f ca="1">IFERROR(__xludf.DUMMYFUNCTION("IMPORTRANGE(""https://docs.google.com/spreadsheets/d/1rd4qoM1q_hsgaolqNGfrim9gbsoLxQsda4-vOz5x_BM/edit?usp=sharing"",""ภูเก็ต!Q72"")"),0)</f>
        <v>0</v>
      </c>
      <c r="S83" s="86">
        <f ca="1">IFERROR(__xludf.DUMMYFUNCTION("IMPORTRANGE(""https://docs.google.com/spreadsheets/d/1rd4qoM1q_hsgaolqNGfrim9gbsoLxQsda4-vOz5x_BM/edit?usp=sharing"",""ภูเก็ต!R72"")"),0)</f>
        <v>0</v>
      </c>
      <c r="T83" s="86">
        <f ca="1">IFERROR(__xludf.DUMMYFUNCTION("IMPORTRANGE(""https://docs.google.com/spreadsheets/d/1rd4qoM1q_hsgaolqNGfrim9gbsoLxQsda4-vOz5x_BM/edit?usp=sharing"",""ภูเก็ต!S72"")"),0)</f>
        <v>0</v>
      </c>
      <c r="U83" s="87">
        <f t="shared" ca="1" si="35"/>
        <v>0</v>
      </c>
      <c r="V83" s="87">
        <f t="shared" ca="1" si="36"/>
        <v>0</v>
      </c>
      <c r="W83" s="97">
        <f t="shared" ca="1" si="37"/>
        <v>0</v>
      </c>
      <c r="X83" s="97">
        <f t="shared" ca="1" si="38"/>
        <v>0</v>
      </c>
      <c r="Y83" s="97">
        <f t="shared" ca="1" si="62"/>
        <v>0</v>
      </c>
      <c r="Z83" s="98">
        <f t="shared" ca="1" si="39"/>
        <v>0</v>
      </c>
      <c r="AA83" s="97">
        <f t="shared" ca="1" si="63"/>
        <v>0</v>
      </c>
      <c r="AB83" s="98">
        <f t="shared" ca="1" si="40"/>
        <v>0</v>
      </c>
      <c r="AC83" s="93">
        <f ca="1">IFERROR(__xludf.DUMMYFUNCTION("IMPORTRANGE(""https://docs.google.com/spreadsheets/d/1rd4qoM1q_hsgaolqNGfrim9gbsoLxQsda4-vOz5x_BM/edit?usp=sharing"",""ภูเก็ต!I84"")"),0)</f>
        <v>0</v>
      </c>
      <c r="AD83" s="93">
        <f ca="1">IFERROR(__xludf.DUMMYFUNCTION("IMPORTRANGE(""https://docs.google.com/spreadsheets/d/1rd4qoM1q_hsgaolqNGfrim9gbsoLxQsda4-vOz5x_BM/edit?usp=sharing"",""ภูเก็ต!I85"")"),0)</f>
        <v>0</v>
      </c>
      <c r="AE83" s="97">
        <f ca="1">IFERROR(__xludf.DUMMYFUNCTION("IMPORTRANGE(""https://docs.google.com/spreadsheets/d/1rd4qoM1q_hsgaolqNGfrim9gbsoLxQsda4-vOz5x_BM/edit?usp=sharing"",""ภูเก็ต!J84"")"),0)</f>
        <v>0</v>
      </c>
      <c r="AF83" s="97">
        <f ca="1">IFERROR(__xludf.DUMMYFUNCTION("IMPORTRANGE(""https://docs.google.com/spreadsheets/d/1rd4qoM1q_hsgaolqNGfrim9gbsoLxQsda4-vOz5x_BM/edit?usp=sharing"",""ภูเก็ต!J85"")"),0)</f>
        <v>0</v>
      </c>
      <c r="AG83" s="93">
        <f ca="1">IFERROR(__xludf.DUMMYFUNCTION("IMPORTRANGE(""https://docs.google.com/spreadsheets/d/1rd4qoM1q_hsgaolqNGfrim9gbsoLxQsda4-vOz5x_BM/edit?usp=sharing"",""ภูเก็ต!I86"")"),0)</f>
        <v>0</v>
      </c>
      <c r="AH83" s="93">
        <f ca="1">IFERROR(__xludf.DUMMYFUNCTION("IMPORTRANGE(""https://docs.google.com/spreadsheets/d/1rd4qoM1q_hsgaolqNGfrim9gbsoLxQsda4-vOz5x_BM/edit?usp=sharing"",""ภูเก็ต!I87"")"),0)</f>
        <v>0</v>
      </c>
      <c r="AI83" s="97">
        <f ca="1">IFERROR(__xludf.DUMMYFUNCTION("IMPORTRANGE(""https://docs.google.com/spreadsheets/d/1rd4qoM1q_hsgaolqNGfrim9gbsoLxQsda4-vOz5x_BM/edit?usp=sharing"",""ภูเก็ต!J86"")"),0)</f>
        <v>0</v>
      </c>
      <c r="AJ83" s="97">
        <f ca="1">IFERROR(__xludf.DUMMYFUNCTION("IMPORTRANGE(""https://docs.google.com/spreadsheets/d/1rd4qoM1q_hsgaolqNGfrim9gbsoLxQsda4-vOz5x_BM/edit?usp=sharing"",""ภูเก็ต!J87"")"),0)</f>
        <v>0</v>
      </c>
      <c r="AK83" s="93">
        <f ca="1">IFERROR(__xludf.DUMMYFUNCTION("IMPORTRANGE(""https://docs.google.com/spreadsheets/d/1rd4qoM1q_hsgaolqNGfrim9gbsoLxQsda4-vOz5x_BM/edit?usp=sharing"",""ภูเก็ต!I88"")"),0)</f>
        <v>0</v>
      </c>
      <c r="AL83" s="93">
        <f ca="1">IFERROR(__xludf.DUMMYFUNCTION("IMPORTRANGE(""https://docs.google.com/spreadsheets/d/1rd4qoM1q_hsgaolqNGfrim9gbsoLxQsda4-vOz5x_BM/edit?usp=sharing"",""ภูเก็ต!I89"")"),0)</f>
        <v>0</v>
      </c>
      <c r="AM83" s="97">
        <f ca="1">IFERROR(__xludf.DUMMYFUNCTION("IMPORTRANGE(""https://docs.google.com/spreadsheets/d/1rd4qoM1q_hsgaolqNGfrim9gbsoLxQsda4-vOz5x_BM/edit?usp=sharing"",""ภูเก็ต!J88"")"),0)</f>
        <v>0</v>
      </c>
      <c r="AN83" s="97">
        <f ca="1">IFERROR(__xludf.DUMMYFUNCTION("IMPORTRANGE(""https://docs.google.com/spreadsheets/d/1rd4qoM1q_hsgaolqNGfrim9gbsoLxQsda4-vOz5x_BM/edit?usp=sharing"",""ภูเก็ต!J89"")"),0)</f>
        <v>0</v>
      </c>
      <c r="AO83" s="93">
        <f ca="1">IFERROR(__xludf.DUMMYFUNCTION("IMPORTRANGE(""https://docs.google.com/spreadsheets/d/1rd4qoM1q_hsgaolqNGfrim9gbsoLxQsda4-vOz5x_BM/edit?usp=sharing"",""ภูเก็ต!I90"")"),0)</f>
        <v>0</v>
      </c>
      <c r="AP83" s="97">
        <f ca="1">IFERROR(__xludf.DUMMYFUNCTION("IMPORTRANGE(""https://docs.google.com/spreadsheets/d/1rd4qoM1q_hsgaolqNGfrim9gbsoLxQsda4-vOz5x_BM/edit?usp=sharing"",""ภูเก็ต!J90"")"),0)</f>
        <v>0</v>
      </c>
      <c r="AQ83" s="95">
        <f t="shared" ca="1" si="42"/>
        <v>0</v>
      </c>
    </row>
    <row r="84" spans="1:43" ht="21" customHeight="1" x14ac:dyDescent="0.3">
      <c r="A84" s="89">
        <v>10</v>
      </c>
      <c r="B84" s="90" t="s">
        <v>110</v>
      </c>
      <c r="C84" s="91">
        <f t="shared" ca="1" si="26"/>
        <v>0</v>
      </c>
      <c r="D84" s="92">
        <f t="shared" ca="1" si="61"/>
        <v>0</v>
      </c>
      <c r="E84" s="93">
        <f ca="1">IFERROR(__xludf.DUMMYFUNCTION("IMPORTRANGE(""https://docs.google.com/spreadsheets/d/1-uDff_7J0KD5mKrp0Vvzr7lt3OU09vwQwhkpOPPYv2Y/edit?usp=sharing"",""งบพรบ!AN84"")"),0)</f>
        <v>0</v>
      </c>
      <c r="F84" s="93">
        <f ca="1">IFERROR(__xludf.DUMMYFUNCTION("IMPORTRANGE(""https://docs.google.com/spreadsheets/d/1-uDff_7J0KD5mKrp0Vvzr7lt3OU09vwQwhkpOPPYv2Y/edit?usp=sharing"",""งบพรบ!AO84"")"),0)</f>
        <v>0</v>
      </c>
      <c r="G84" s="93">
        <f ca="1">IFERROR(__xludf.DUMMYFUNCTION("IMPORTRANGE(""https://docs.google.com/spreadsheets/d/1-uDff_7J0KD5mKrp0Vvzr7lt3OU09vwQwhkpOPPYv2Y/edit?usp=sharing"",""งบพรบ!AP84"")"),0)</f>
        <v>0</v>
      </c>
      <c r="H84" s="93">
        <f ca="1">IFERROR(__xludf.DUMMYFUNCTION("IMPORTRANGE(""https://docs.google.com/spreadsheets/d/1-uDff_7J0KD5mKrp0Vvzr7lt3OU09vwQwhkpOPPYv2Y/edit?usp=sharing"",""งบพรบ!AR84"")"),0)</f>
        <v>0</v>
      </c>
      <c r="I84" s="93">
        <f ca="1">IFERROR(__xludf.DUMMYFUNCTION("IMPORTRANGE(""https://docs.google.com/spreadsheets/d/1-uDff_7J0KD5mKrp0Vvzr7lt3OU09vwQwhkpOPPYv2Y/edit?usp=sharing"",""งบพรบ!AS84"")"),0)</f>
        <v>0</v>
      </c>
      <c r="J84" s="93">
        <f t="shared" ca="1" si="28"/>
        <v>0</v>
      </c>
      <c r="K84" s="94">
        <f t="shared" ca="1" si="29"/>
        <v>0</v>
      </c>
      <c r="L84" s="93">
        <f ca="1">IFERROR(__xludf.DUMMYFUNCTION("IMPORTRANGE(""https://docs.google.com/spreadsheets/d/1-uDff_7J0KD5mKrp0Vvzr7lt3OU09vwQwhkpOPPYv2Y/edit?usp=sharing"",""งบพรบ!AT84"")"),0)</f>
        <v>0</v>
      </c>
      <c r="M84" s="95">
        <f t="shared" ca="1" si="30"/>
        <v>0</v>
      </c>
      <c r="N84" s="95">
        <f t="shared" ca="1" si="31"/>
        <v>0</v>
      </c>
      <c r="O84" s="96">
        <f ca="1">IFERROR(__xludf.DUMMYFUNCTION("IMPORTRANGE(""https://docs.google.com/spreadsheets/d/1-uDff_7J0KD5mKrp0Vvzr7lt3OU09vwQwhkpOPPYv2Y/edit?usp=sharing"",""งบพรบ!AU84"")"),0)</f>
        <v>0</v>
      </c>
      <c r="P84" s="96">
        <f t="shared" ca="1" si="32"/>
        <v>0</v>
      </c>
      <c r="Q84" s="95">
        <f t="shared" ca="1" si="33"/>
        <v>0</v>
      </c>
      <c r="R84" s="86">
        <f ca="1">IFERROR(__xludf.DUMMYFUNCTION("IMPORTRANGE(""https://docs.google.com/spreadsheets/d/1woKwKjgoLssDvPcPeVyezB5izizAn4X1JDrys69n6xI/edit?usp=sharing"",""ยะลา!Q72"")"),0)</f>
        <v>0</v>
      </c>
      <c r="S84" s="86">
        <f ca="1">IFERROR(__xludf.DUMMYFUNCTION("IMPORTRANGE(""https://docs.google.com/spreadsheets/d/1woKwKjgoLssDvPcPeVyezB5izizAn4X1JDrys69n6xI/edit?usp=sharing"",""ยะลา!R72"")"),0)</f>
        <v>0</v>
      </c>
      <c r="T84" s="86">
        <f ca="1">IFERROR(__xludf.DUMMYFUNCTION("IMPORTRANGE(""https://docs.google.com/spreadsheets/d/1woKwKjgoLssDvPcPeVyezB5izizAn4X1JDrys69n6xI/edit?usp=sharing"",""ยะลา!S72"")"),0)</f>
        <v>0</v>
      </c>
      <c r="U84" s="87">
        <f t="shared" ca="1" si="35"/>
        <v>0</v>
      </c>
      <c r="V84" s="87">
        <f t="shared" ca="1" si="36"/>
        <v>0</v>
      </c>
      <c r="W84" s="97">
        <f t="shared" ca="1" si="37"/>
        <v>0</v>
      </c>
      <c r="X84" s="97">
        <f t="shared" ca="1" si="38"/>
        <v>0</v>
      </c>
      <c r="Y84" s="97">
        <f t="shared" ca="1" si="62"/>
        <v>0</v>
      </c>
      <c r="Z84" s="98">
        <f t="shared" ca="1" si="39"/>
        <v>0</v>
      </c>
      <c r="AA84" s="97">
        <f t="shared" ca="1" si="63"/>
        <v>0</v>
      </c>
      <c r="AB84" s="98">
        <f t="shared" ca="1" si="40"/>
        <v>0</v>
      </c>
      <c r="AC84" s="93">
        <f ca="1">IFERROR(__xludf.DUMMYFUNCTION("IMPORTRANGE(""https://docs.google.com/spreadsheets/d/1woKwKjgoLssDvPcPeVyezB5izizAn4X1JDrys69n6xI/edit?usp=sharing"",""ยะลา!I84"")"),0)</f>
        <v>0</v>
      </c>
      <c r="AD84" s="93">
        <f ca="1">IFERROR(__xludf.DUMMYFUNCTION("IMPORTRANGE(""https://docs.google.com/spreadsheets/d/1woKwKjgoLssDvPcPeVyezB5izizAn4X1JDrys69n6xI/edit?usp=sharing"",""ยะลา!I85"")"),0)</f>
        <v>0</v>
      </c>
      <c r="AE84" s="97">
        <f ca="1">IFERROR(__xludf.DUMMYFUNCTION("IMPORTRANGE(""https://docs.google.com/spreadsheets/d/1woKwKjgoLssDvPcPeVyezB5izizAn4X1JDrys69n6xI/edit?usp=sharing"",""ยะลา!J84"")"),0)</f>
        <v>0</v>
      </c>
      <c r="AF84" s="97">
        <f ca="1">IFERROR(__xludf.DUMMYFUNCTION("IMPORTRANGE(""https://docs.google.com/spreadsheets/d/1woKwKjgoLssDvPcPeVyezB5izizAn4X1JDrys69n6xI/edit?usp=sharing"",""ยะลา!J85"")"),0)</f>
        <v>0</v>
      </c>
      <c r="AG84" s="93">
        <f ca="1">IFERROR(__xludf.DUMMYFUNCTION("IMPORTRANGE(""https://docs.google.com/spreadsheets/d/1woKwKjgoLssDvPcPeVyezB5izizAn4X1JDrys69n6xI/edit?usp=sharing"",""ยะลา!I86"")"),0)</f>
        <v>0</v>
      </c>
      <c r="AH84" s="93">
        <f ca="1">IFERROR(__xludf.DUMMYFUNCTION("IMPORTRANGE(""https://docs.google.com/spreadsheets/d/1woKwKjgoLssDvPcPeVyezB5izizAn4X1JDrys69n6xI/edit?usp=sharing"",""ยะลา!I87"")"),0)</f>
        <v>0</v>
      </c>
      <c r="AI84" s="97">
        <f ca="1">IFERROR(__xludf.DUMMYFUNCTION("IMPORTRANGE(""https://docs.google.com/spreadsheets/d/1woKwKjgoLssDvPcPeVyezB5izizAn4X1JDrys69n6xI/edit?usp=sharing"",""ยะลา!J86"")"),0)</f>
        <v>0</v>
      </c>
      <c r="AJ84" s="97">
        <f ca="1">IFERROR(__xludf.DUMMYFUNCTION("IMPORTRANGE(""https://docs.google.com/spreadsheets/d/1woKwKjgoLssDvPcPeVyezB5izizAn4X1JDrys69n6xI/edit?usp=sharing"",""ยะลา!J87"")"),0)</f>
        <v>0</v>
      </c>
      <c r="AK84" s="93">
        <f ca="1">IFERROR(__xludf.DUMMYFUNCTION("IMPORTRANGE(""https://docs.google.com/spreadsheets/d/1woKwKjgoLssDvPcPeVyezB5izizAn4X1JDrys69n6xI/edit?usp=sharing"",""ยะลา!I88"")"),0)</f>
        <v>0</v>
      </c>
      <c r="AL84" s="93">
        <f ca="1">IFERROR(__xludf.DUMMYFUNCTION("IMPORTRANGE(""https://docs.google.com/spreadsheets/d/1woKwKjgoLssDvPcPeVyezB5izizAn4X1JDrys69n6xI/edit?usp=sharing"",""ยะลา!I89"")"),0)</f>
        <v>0</v>
      </c>
      <c r="AM84" s="97">
        <f ca="1">IFERROR(__xludf.DUMMYFUNCTION("IMPORTRANGE(""https://docs.google.com/spreadsheets/d/1woKwKjgoLssDvPcPeVyezB5izizAn4X1JDrys69n6xI/edit?usp=sharing"",""ยะลา!J88"")"),0)</f>
        <v>0</v>
      </c>
      <c r="AN84" s="97">
        <f ca="1">IFERROR(__xludf.DUMMYFUNCTION("IMPORTRANGE(""https://docs.google.com/spreadsheets/d/1woKwKjgoLssDvPcPeVyezB5izizAn4X1JDrys69n6xI/edit?usp=sharing"",""ยะลา!J89"")"),0)</f>
        <v>0</v>
      </c>
      <c r="AO84" s="93">
        <f ca="1">IFERROR(__xludf.DUMMYFUNCTION("IMPORTRANGE(""https://docs.google.com/spreadsheets/d/1woKwKjgoLssDvPcPeVyezB5izizAn4X1JDrys69n6xI/edit?usp=sharing"",""ยะลา!I90"")"),0)</f>
        <v>0</v>
      </c>
      <c r="AP84" s="97">
        <f ca="1">IFERROR(__xludf.DUMMYFUNCTION("IMPORTRANGE(""https://docs.google.com/spreadsheets/d/1woKwKjgoLssDvPcPeVyezB5izizAn4X1JDrys69n6xI/edit?usp=sharing"",""ยะลา!J90"")"),0)</f>
        <v>0</v>
      </c>
      <c r="AQ84" s="95">
        <f t="shared" ca="1" si="42"/>
        <v>0</v>
      </c>
    </row>
    <row r="85" spans="1:43" ht="21" customHeight="1" x14ac:dyDescent="0.3">
      <c r="A85" s="89">
        <v>11</v>
      </c>
      <c r="B85" s="90" t="s">
        <v>111</v>
      </c>
      <c r="C85" s="91">
        <f t="shared" ca="1" si="26"/>
        <v>0</v>
      </c>
      <c r="D85" s="92">
        <f t="shared" ca="1" si="61"/>
        <v>0</v>
      </c>
      <c r="E85" s="93">
        <f ca="1">IFERROR(__xludf.DUMMYFUNCTION("IMPORTRANGE(""https://docs.google.com/spreadsheets/d/1-uDff_7J0KD5mKrp0Vvzr7lt3OU09vwQwhkpOPPYv2Y/edit?usp=sharing"",""งบพรบ!AN85"")"),0)</f>
        <v>0</v>
      </c>
      <c r="F85" s="93">
        <f ca="1">IFERROR(__xludf.DUMMYFUNCTION("IMPORTRANGE(""https://docs.google.com/spreadsheets/d/1-uDff_7J0KD5mKrp0Vvzr7lt3OU09vwQwhkpOPPYv2Y/edit?usp=sharing"",""งบพรบ!AO85"")"),0)</f>
        <v>0</v>
      </c>
      <c r="G85" s="93">
        <f ca="1">IFERROR(__xludf.DUMMYFUNCTION("IMPORTRANGE(""https://docs.google.com/spreadsheets/d/1-uDff_7J0KD5mKrp0Vvzr7lt3OU09vwQwhkpOPPYv2Y/edit?usp=sharing"",""งบพรบ!AP85"")"),0)</f>
        <v>0</v>
      </c>
      <c r="H85" s="93">
        <f ca="1">IFERROR(__xludf.DUMMYFUNCTION("IMPORTRANGE(""https://docs.google.com/spreadsheets/d/1-uDff_7J0KD5mKrp0Vvzr7lt3OU09vwQwhkpOPPYv2Y/edit?usp=sharing"",""งบพรบ!AR85"")"),0)</f>
        <v>0</v>
      </c>
      <c r="I85" s="93">
        <f ca="1">IFERROR(__xludf.DUMMYFUNCTION("IMPORTRANGE(""https://docs.google.com/spreadsheets/d/1-uDff_7J0KD5mKrp0Vvzr7lt3OU09vwQwhkpOPPYv2Y/edit?usp=sharing"",""งบพรบ!AS85"")"),0)</f>
        <v>0</v>
      </c>
      <c r="J85" s="93">
        <f t="shared" ca="1" si="28"/>
        <v>0</v>
      </c>
      <c r="K85" s="94">
        <f t="shared" ca="1" si="29"/>
        <v>0</v>
      </c>
      <c r="L85" s="93">
        <f ca="1">IFERROR(__xludf.DUMMYFUNCTION("IMPORTRANGE(""https://docs.google.com/spreadsheets/d/1-uDff_7J0KD5mKrp0Vvzr7lt3OU09vwQwhkpOPPYv2Y/edit?usp=sharing"",""งบพรบ!AT85"")"),0)</f>
        <v>0</v>
      </c>
      <c r="M85" s="95">
        <f t="shared" ca="1" si="30"/>
        <v>0</v>
      </c>
      <c r="N85" s="95">
        <f t="shared" ca="1" si="31"/>
        <v>0</v>
      </c>
      <c r="O85" s="96">
        <f ca="1">IFERROR(__xludf.DUMMYFUNCTION("IMPORTRANGE(""https://docs.google.com/spreadsheets/d/1-uDff_7J0KD5mKrp0Vvzr7lt3OU09vwQwhkpOPPYv2Y/edit?usp=sharing"",""งบพรบ!AU85"")"),0)</f>
        <v>0</v>
      </c>
      <c r="P85" s="96">
        <f t="shared" ca="1" si="32"/>
        <v>0</v>
      </c>
      <c r="Q85" s="95">
        <f t="shared" ca="1" si="33"/>
        <v>0</v>
      </c>
      <c r="R85" s="86">
        <f ca="1">IFERROR(__xludf.DUMMYFUNCTION("IMPORTRANGE(""https://docs.google.com/spreadsheets/d/1qfrKjzMhm2HJfxQ-qVlJlJQ25Hne1d0khsySbZyGtPA/edit?usp=sharing"",""ระนอง!Q72"")"),0)</f>
        <v>0</v>
      </c>
      <c r="S85" s="86">
        <f ca="1">IFERROR(__xludf.DUMMYFUNCTION("IMPORTRANGE(""https://docs.google.com/spreadsheets/d/1qfrKjzMhm2HJfxQ-qVlJlJQ25Hne1d0khsySbZyGtPA/edit?usp=sharing"",""ระนอง!R72"")"),0)</f>
        <v>0</v>
      </c>
      <c r="T85" s="86">
        <f ca="1">IFERROR(__xludf.DUMMYFUNCTION("IMPORTRANGE(""https://docs.google.com/spreadsheets/d/1qfrKjzMhm2HJfxQ-qVlJlJQ25Hne1d0khsySbZyGtPA/edit?usp=sharing"",""ระนอง!S72"")"),0)</f>
        <v>0</v>
      </c>
      <c r="U85" s="87">
        <f t="shared" ca="1" si="35"/>
        <v>0</v>
      </c>
      <c r="V85" s="87">
        <f t="shared" ca="1" si="36"/>
        <v>0</v>
      </c>
      <c r="W85" s="97">
        <f t="shared" ca="1" si="37"/>
        <v>0</v>
      </c>
      <c r="X85" s="97">
        <f t="shared" ca="1" si="38"/>
        <v>0</v>
      </c>
      <c r="Y85" s="97">
        <f t="shared" ca="1" si="62"/>
        <v>0</v>
      </c>
      <c r="Z85" s="98">
        <f t="shared" ca="1" si="39"/>
        <v>0</v>
      </c>
      <c r="AA85" s="97">
        <f t="shared" ca="1" si="63"/>
        <v>0</v>
      </c>
      <c r="AB85" s="98">
        <f t="shared" ca="1" si="40"/>
        <v>0</v>
      </c>
      <c r="AC85" s="93">
        <f ca="1">IFERROR(__xludf.DUMMYFUNCTION("IMPORTRANGE(""https://docs.google.com/spreadsheets/d/1qfrKjzMhm2HJfxQ-qVlJlJQ25Hne1d0khsySbZyGtPA/edit?usp=sharing"",""ระนอง!I84"")"),0)</f>
        <v>0</v>
      </c>
      <c r="AD85" s="93">
        <f ca="1">IFERROR(__xludf.DUMMYFUNCTION("IMPORTRANGE(""https://docs.google.com/spreadsheets/d/1qfrKjzMhm2HJfxQ-qVlJlJQ25Hne1d0khsySbZyGtPA/edit?usp=sharing"",""ระนอง!I85"")"),0)</f>
        <v>0</v>
      </c>
      <c r="AE85" s="97">
        <f ca="1">IFERROR(__xludf.DUMMYFUNCTION("IMPORTRANGE(""https://docs.google.com/spreadsheets/d/1qfrKjzMhm2HJfxQ-qVlJlJQ25Hne1d0khsySbZyGtPA/edit?usp=sharing"",""ระนอง!J84"")"),0)</f>
        <v>0</v>
      </c>
      <c r="AF85" s="97">
        <f ca="1">IFERROR(__xludf.DUMMYFUNCTION("IMPORTRANGE(""https://docs.google.com/spreadsheets/d/1qfrKjzMhm2HJfxQ-qVlJlJQ25Hne1d0khsySbZyGtPA/edit?usp=sharing"",""ระนอง!J85"")"),0)</f>
        <v>0</v>
      </c>
      <c r="AG85" s="93">
        <f ca="1">IFERROR(__xludf.DUMMYFUNCTION("IMPORTRANGE(""https://docs.google.com/spreadsheets/d/1qfrKjzMhm2HJfxQ-qVlJlJQ25Hne1d0khsySbZyGtPA/edit?usp=sharing"",""ระนอง!I86"")"),0)</f>
        <v>0</v>
      </c>
      <c r="AH85" s="93">
        <f ca="1">IFERROR(__xludf.DUMMYFUNCTION("IMPORTRANGE(""https://docs.google.com/spreadsheets/d/1qfrKjzMhm2HJfxQ-qVlJlJQ25Hne1d0khsySbZyGtPA/edit?usp=sharing"",""ระนอง!I87"")"),0)</f>
        <v>0</v>
      </c>
      <c r="AI85" s="97">
        <f ca="1">IFERROR(__xludf.DUMMYFUNCTION("IMPORTRANGE(""https://docs.google.com/spreadsheets/d/1qfrKjzMhm2HJfxQ-qVlJlJQ25Hne1d0khsySbZyGtPA/edit?usp=sharing"",""ระนอง!J86"")"),0)</f>
        <v>0</v>
      </c>
      <c r="AJ85" s="97">
        <f ca="1">IFERROR(__xludf.DUMMYFUNCTION("IMPORTRANGE(""https://docs.google.com/spreadsheets/d/1qfrKjzMhm2HJfxQ-qVlJlJQ25Hne1d0khsySbZyGtPA/edit?usp=sharing"",""ระนอง!J87"")"),0)</f>
        <v>0</v>
      </c>
      <c r="AK85" s="93">
        <f ca="1">IFERROR(__xludf.DUMMYFUNCTION("IMPORTRANGE(""https://docs.google.com/spreadsheets/d/1qfrKjzMhm2HJfxQ-qVlJlJQ25Hne1d0khsySbZyGtPA/edit?usp=sharing"",""ระนอง!I88"")"),0)</f>
        <v>0</v>
      </c>
      <c r="AL85" s="93">
        <f ca="1">IFERROR(__xludf.DUMMYFUNCTION("IMPORTRANGE(""https://docs.google.com/spreadsheets/d/1qfrKjzMhm2HJfxQ-qVlJlJQ25Hne1d0khsySbZyGtPA/edit?usp=sharing"",""ระนอง!I89"")"),0)</f>
        <v>0</v>
      </c>
      <c r="AM85" s="97">
        <f ca="1">IFERROR(__xludf.DUMMYFUNCTION("IMPORTRANGE(""https://docs.google.com/spreadsheets/d/1qfrKjzMhm2HJfxQ-qVlJlJQ25Hne1d0khsySbZyGtPA/edit?usp=sharing"",""ระนอง!J88"")"),0)</f>
        <v>0</v>
      </c>
      <c r="AN85" s="97">
        <f ca="1">IFERROR(__xludf.DUMMYFUNCTION("IMPORTRANGE(""https://docs.google.com/spreadsheets/d/1qfrKjzMhm2HJfxQ-qVlJlJQ25Hne1d0khsySbZyGtPA/edit?usp=sharing"",""ระนอง!J89"")"),0)</f>
        <v>0</v>
      </c>
      <c r="AO85" s="93">
        <f ca="1">IFERROR(__xludf.DUMMYFUNCTION("IMPORTRANGE(""https://docs.google.com/spreadsheets/d/1qfrKjzMhm2HJfxQ-qVlJlJQ25Hne1d0khsySbZyGtPA/edit?usp=sharing"",""ระนอง!I90"")"),0)</f>
        <v>0</v>
      </c>
      <c r="AP85" s="97">
        <f ca="1">IFERROR(__xludf.DUMMYFUNCTION("IMPORTRANGE(""https://docs.google.com/spreadsheets/d/1qfrKjzMhm2HJfxQ-qVlJlJQ25Hne1d0khsySbZyGtPA/edit?usp=sharing"",""ระนอง!J90"")"),0)</f>
        <v>0</v>
      </c>
      <c r="AQ85" s="95">
        <f t="shared" ca="1" si="42"/>
        <v>0</v>
      </c>
    </row>
    <row r="86" spans="1:43" ht="24" customHeight="1" x14ac:dyDescent="0.3">
      <c r="A86" s="89">
        <v>12</v>
      </c>
      <c r="B86" s="90" t="s">
        <v>112</v>
      </c>
      <c r="C86" s="91">
        <f t="shared" ca="1" si="26"/>
        <v>0</v>
      </c>
      <c r="D86" s="92">
        <f t="shared" ca="1" si="61"/>
        <v>0</v>
      </c>
      <c r="E86" s="93">
        <f ca="1">IFERROR(__xludf.DUMMYFUNCTION("IMPORTRANGE(""https://docs.google.com/spreadsheets/d/1-uDff_7J0KD5mKrp0Vvzr7lt3OU09vwQwhkpOPPYv2Y/edit?usp=sharing"",""งบพรบ!AN86"")"),0)</f>
        <v>0</v>
      </c>
      <c r="F86" s="93">
        <f ca="1">IFERROR(__xludf.DUMMYFUNCTION("IMPORTRANGE(""https://docs.google.com/spreadsheets/d/1-uDff_7J0KD5mKrp0Vvzr7lt3OU09vwQwhkpOPPYv2Y/edit?usp=sharing"",""งบพรบ!AO86"")"),0)</f>
        <v>0</v>
      </c>
      <c r="G86" s="93">
        <f ca="1">IFERROR(__xludf.DUMMYFUNCTION("IMPORTRANGE(""https://docs.google.com/spreadsheets/d/1-uDff_7J0KD5mKrp0Vvzr7lt3OU09vwQwhkpOPPYv2Y/edit?usp=sharing"",""งบพรบ!AP86"")"),0)</f>
        <v>0</v>
      </c>
      <c r="H86" s="93">
        <f ca="1">IFERROR(__xludf.DUMMYFUNCTION("IMPORTRANGE(""https://docs.google.com/spreadsheets/d/1-uDff_7J0KD5mKrp0Vvzr7lt3OU09vwQwhkpOPPYv2Y/edit?usp=sharing"",""งบพรบ!AR86"")"),0)</f>
        <v>0</v>
      </c>
      <c r="I86" s="93">
        <f ca="1">IFERROR(__xludf.DUMMYFUNCTION("IMPORTRANGE(""https://docs.google.com/spreadsheets/d/1-uDff_7J0KD5mKrp0Vvzr7lt3OU09vwQwhkpOPPYv2Y/edit?usp=sharing"",""งบพรบ!AS86"")"),0)</f>
        <v>0</v>
      </c>
      <c r="J86" s="93">
        <f t="shared" ca="1" si="28"/>
        <v>0</v>
      </c>
      <c r="K86" s="94">
        <f t="shared" ca="1" si="29"/>
        <v>0</v>
      </c>
      <c r="L86" s="93">
        <f ca="1">IFERROR(__xludf.DUMMYFUNCTION("IMPORTRANGE(""https://docs.google.com/spreadsheets/d/1-uDff_7J0KD5mKrp0Vvzr7lt3OU09vwQwhkpOPPYv2Y/edit?usp=sharing"",""งบพรบ!AT86"")"),0)</f>
        <v>0</v>
      </c>
      <c r="M86" s="95">
        <f t="shared" ca="1" si="30"/>
        <v>0</v>
      </c>
      <c r="N86" s="95">
        <f t="shared" ca="1" si="31"/>
        <v>0</v>
      </c>
      <c r="O86" s="96">
        <f ca="1">IFERROR(__xludf.DUMMYFUNCTION("IMPORTRANGE(""https://docs.google.com/spreadsheets/d/1-uDff_7J0KD5mKrp0Vvzr7lt3OU09vwQwhkpOPPYv2Y/edit?usp=sharing"",""งบพรบ!AU86"")"),0)</f>
        <v>0</v>
      </c>
      <c r="P86" s="96">
        <f t="shared" ca="1" si="32"/>
        <v>0</v>
      </c>
      <c r="Q86" s="95">
        <f t="shared" ca="1" si="33"/>
        <v>0</v>
      </c>
      <c r="R86" s="86">
        <f ca="1">IFERROR(__xludf.DUMMYFUNCTION("IMPORTRANGE(""https://docs.google.com/spreadsheets/d/1IbSCnFOKpZsnFogBHJnL_isstZVaOMnFiIN0fGTPZZw/edit?usp=sharing"",""สงขลา!Q72"")"),0)</f>
        <v>0</v>
      </c>
      <c r="S86" s="86">
        <f ca="1">IFERROR(__xludf.DUMMYFUNCTION("IMPORTRANGE(""https://docs.google.com/spreadsheets/d/1IbSCnFOKpZsnFogBHJnL_isstZVaOMnFiIN0fGTPZZw/edit?usp=sharing"",""สงขลา!R72"")"),0)</f>
        <v>0</v>
      </c>
      <c r="T86" s="86">
        <f ca="1">IFERROR(__xludf.DUMMYFUNCTION("IMPORTRANGE(""https://docs.google.com/spreadsheets/d/1IbSCnFOKpZsnFogBHJnL_isstZVaOMnFiIN0fGTPZZw/edit?usp=sharing"",""สงขลา!S72"")"),0)</f>
        <v>0</v>
      </c>
      <c r="U86" s="87">
        <f t="shared" ca="1" si="35"/>
        <v>0</v>
      </c>
      <c r="V86" s="87">
        <f t="shared" ca="1" si="36"/>
        <v>0</v>
      </c>
      <c r="W86" s="97">
        <f t="shared" ca="1" si="37"/>
        <v>0</v>
      </c>
      <c r="X86" s="97">
        <f t="shared" ca="1" si="38"/>
        <v>0</v>
      </c>
      <c r="Y86" s="97">
        <f t="shared" ca="1" si="62"/>
        <v>0</v>
      </c>
      <c r="Z86" s="98">
        <f t="shared" ca="1" si="39"/>
        <v>0</v>
      </c>
      <c r="AA86" s="97">
        <f t="shared" ca="1" si="63"/>
        <v>0</v>
      </c>
      <c r="AB86" s="98">
        <f t="shared" ca="1" si="40"/>
        <v>0</v>
      </c>
      <c r="AC86" s="93">
        <f ca="1">IFERROR(__xludf.DUMMYFUNCTION("IMPORTRANGE(""https://docs.google.com/spreadsheets/d/1IbSCnFOKpZsnFogBHJnL_isstZVaOMnFiIN0fGTPZZw/edit?usp=sharing"",""สงขลา!I84"")"),0)</f>
        <v>0</v>
      </c>
      <c r="AD86" s="93">
        <f ca="1">IFERROR(__xludf.DUMMYFUNCTION("IMPORTRANGE(""https://docs.google.com/spreadsheets/d/1IbSCnFOKpZsnFogBHJnL_isstZVaOMnFiIN0fGTPZZw/edit?usp=sharing"",""สงขลา!I85"")"),0)</f>
        <v>0</v>
      </c>
      <c r="AE86" s="97">
        <f ca="1">IFERROR(__xludf.DUMMYFUNCTION("IMPORTRANGE(""https://docs.google.com/spreadsheets/d/1IbSCnFOKpZsnFogBHJnL_isstZVaOMnFiIN0fGTPZZw/edit?usp=sharing"",""สงขลา!J84"")"),0)</f>
        <v>0</v>
      </c>
      <c r="AF86" s="97">
        <f ca="1">IFERROR(__xludf.DUMMYFUNCTION("IMPORTRANGE(""https://docs.google.com/spreadsheets/d/1IbSCnFOKpZsnFogBHJnL_isstZVaOMnFiIN0fGTPZZw/edit?usp=sharing"",""สงขลา!J85"")"),0)</f>
        <v>0</v>
      </c>
      <c r="AG86" s="93">
        <f ca="1">IFERROR(__xludf.DUMMYFUNCTION("IMPORTRANGE(""https://docs.google.com/spreadsheets/d/1IbSCnFOKpZsnFogBHJnL_isstZVaOMnFiIN0fGTPZZw/edit?usp=sharing"",""สงขลา!I86"")"),0)</f>
        <v>0</v>
      </c>
      <c r="AH86" s="93">
        <f ca="1">IFERROR(__xludf.DUMMYFUNCTION("IMPORTRANGE(""https://docs.google.com/spreadsheets/d/1IbSCnFOKpZsnFogBHJnL_isstZVaOMnFiIN0fGTPZZw/edit?usp=sharing"",""สงขลา!I87"")"),0)</f>
        <v>0</v>
      </c>
      <c r="AI86" s="97">
        <f ca="1">IFERROR(__xludf.DUMMYFUNCTION("IMPORTRANGE(""https://docs.google.com/spreadsheets/d/1IbSCnFOKpZsnFogBHJnL_isstZVaOMnFiIN0fGTPZZw/edit?usp=sharing"",""สงขลา!J86"")"),0)</f>
        <v>0</v>
      </c>
      <c r="AJ86" s="97">
        <f ca="1">IFERROR(__xludf.DUMMYFUNCTION("IMPORTRANGE(""https://docs.google.com/spreadsheets/d/1IbSCnFOKpZsnFogBHJnL_isstZVaOMnFiIN0fGTPZZw/edit?usp=sharing"",""สงขลา!J87"")"),0)</f>
        <v>0</v>
      </c>
      <c r="AK86" s="93">
        <f ca="1">IFERROR(__xludf.DUMMYFUNCTION("IMPORTRANGE(""https://docs.google.com/spreadsheets/d/1IbSCnFOKpZsnFogBHJnL_isstZVaOMnFiIN0fGTPZZw/edit?usp=sharing"",""สงขลา!I88"")"),0)</f>
        <v>0</v>
      </c>
      <c r="AL86" s="93">
        <f ca="1">IFERROR(__xludf.DUMMYFUNCTION("IMPORTRANGE(""https://docs.google.com/spreadsheets/d/1IbSCnFOKpZsnFogBHJnL_isstZVaOMnFiIN0fGTPZZw/edit?usp=sharing"",""สงขลา!I89"")"),0)</f>
        <v>0</v>
      </c>
      <c r="AM86" s="97">
        <f ca="1">IFERROR(__xludf.DUMMYFUNCTION("IMPORTRANGE(""https://docs.google.com/spreadsheets/d/1IbSCnFOKpZsnFogBHJnL_isstZVaOMnFiIN0fGTPZZw/edit?usp=sharing"",""สงขลา!J88"")"),0)</f>
        <v>0</v>
      </c>
      <c r="AN86" s="97">
        <f ca="1">IFERROR(__xludf.DUMMYFUNCTION("IMPORTRANGE(""https://docs.google.com/spreadsheets/d/1IbSCnFOKpZsnFogBHJnL_isstZVaOMnFiIN0fGTPZZw/edit?usp=sharing"",""สงขลา!J89"")"),0)</f>
        <v>0</v>
      </c>
      <c r="AO86" s="93">
        <f ca="1">IFERROR(__xludf.DUMMYFUNCTION("IMPORTRANGE(""https://docs.google.com/spreadsheets/d/1IbSCnFOKpZsnFogBHJnL_isstZVaOMnFiIN0fGTPZZw/edit?usp=sharing"",""สงขลา!I90"")"),0)</f>
        <v>0</v>
      </c>
      <c r="AP86" s="97">
        <f ca="1">IFERROR(__xludf.DUMMYFUNCTION("IMPORTRANGE(""https://docs.google.com/spreadsheets/d/1IbSCnFOKpZsnFogBHJnL_isstZVaOMnFiIN0fGTPZZw/edit?usp=sharing"",""สงขลา!J90"")"),0)</f>
        <v>0</v>
      </c>
      <c r="AQ86" s="95">
        <f t="shared" ca="1" si="42"/>
        <v>0</v>
      </c>
    </row>
    <row r="87" spans="1:43" ht="24" customHeight="1" x14ac:dyDescent="0.3">
      <c r="A87" s="89">
        <v>13</v>
      </c>
      <c r="B87" s="90" t="s">
        <v>113</v>
      </c>
      <c r="C87" s="91">
        <f t="shared" ca="1" si="26"/>
        <v>0</v>
      </c>
      <c r="D87" s="92">
        <f t="shared" ca="1" si="61"/>
        <v>0</v>
      </c>
      <c r="E87" s="93">
        <f ca="1">IFERROR(__xludf.DUMMYFUNCTION("IMPORTRANGE(""https://docs.google.com/spreadsheets/d/1-uDff_7J0KD5mKrp0Vvzr7lt3OU09vwQwhkpOPPYv2Y/edit?usp=sharing"",""งบพรบ!AN87"")"),0)</f>
        <v>0</v>
      </c>
      <c r="F87" s="93">
        <f ca="1">IFERROR(__xludf.DUMMYFUNCTION("IMPORTRANGE(""https://docs.google.com/spreadsheets/d/1-uDff_7J0KD5mKrp0Vvzr7lt3OU09vwQwhkpOPPYv2Y/edit?usp=sharing"",""งบพรบ!AO87"")"),0)</f>
        <v>0</v>
      </c>
      <c r="G87" s="93">
        <f ca="1">IFERROR(__xludf.DUMMYFUNCTION("IMPORTRANGE(""https://docs.google.com/spreadsheets/d/1-uDff_7J0KD5mKrp0Vvzr7lt3OU09vwQwhkpOPPYv2Y/edit?usp=sharing"",""งบพรบ!AP87"")"),0)</f>
        <v>0</v>
      </c>
      <c r="H87" s="93">
        <f ca="1">IFERROR(__xludf.DUMMYFUNCTION("IMPORTRANGE(""https://docs.google.com/spreadsheets/d/1-uDff_7J0KD5mKrp0Vvzr7lt3OU09vwQwhkpOPPYv2Y/edit?usp=sharing"",""งบพรบ!AR87"")"),0)</f>
        <v>0</v>
      </c>
      <c r="I87" s="93">
        <f ca="1">IFERROR(__xludf.DUMMYFUNCTION("IMPORTRANGE(""https://docs.google.com/spreadsheets/d/1-uDff_7J0KD5mKrp0Vvzr7lt3OU09vwQwhkpOPPYv2Y/edit?usp=sharing"",""งบพรบ!AS87"")"),0)</f>
        <v>0</v>
      </c>
      <c r="J87" s="93">
        <f t="shared" ca="1" si="28"/>
        <v>0</v>
      </c>
      <c r="K87" s="94">
        <f t="shared" ca="1" si="29"/>
        <v>0</v>
      </c>
      <c r="L87" s="93">
        <f ca="1">IFERROR(__xludf.DUMMYFUNCTION("IMPORTRANGE(""https://docs.google.com/spreadsheets/d/1-uDff_7J0KD5mKrp0Vvzr7lt3OU09vwQwhkpOPPYv2Y/edit?usp=sharing"",""งบพรบ!AT87"")"),0)</f>
        <v>0</v>
      </c>
      <c r="M87" s="95">
        <f t="shared" ca="1" si="30"/>
        <v>0</v>
      </c>
      <c r="N87" s="95">
        <f t="shared" ca="1" si="31"/>
        <v>0</v>
      </c>
      <c r="O87" s="96">
        <f ca="1">IFERROR(__xludf.DUMMYFUNCTION("IMPORTRANGE(""https://docs.google.com/spreadsheets/d/1-uDff_7J0KD5mKrp0Vvzr7lt3OU09vwQwhkpOPPYv2Y/edit?usp=sharing"",""งบพรบ!AU87"")"),0)</f>
        <v>0</v>
      </c>
      <c r="P87" s="96">
        <f t="shared" ca="1" si="32"/>
        <v>0</v>
      </c>
      <c r="Q87" s="95">
        <f t="shared" ca="1" si="33"/>
        <v>0</v>
      </c>
      <c r="R87" s="86">
        <f ca="1">IFERROR(__xludf.DUMMYFUNCTION("IMPORTRANGE(""https://docs.google.com/spreadsheets/d/1q9nWasZJ-K8bFGvbE9n0qSRuKGA4Toe3Y89cKCiVtCU/edit?usp=sharing"",""สตูล!Q72"")"),0)</f>
        <v>0</v>
      </c>
      <c r="S87" s="86">
        <f ca="1">IFERROR(__xludf.DUMMYFUNCTION("IMPORTRANGE(""https://docs.google.com/spreadsheets/d/1q9nWasZJ-K8bFGvbE9n0qSRuKGA4Toe3Y89cKCiVtCU/edit?usp=sharing"",""สตูล!R72"")"),0)</f>
        <v>0</v>
      </c>
      <c r="T87" s="86">
        <f ca="1">IFERROR(__xludf.DUMMYFUNCTION("IMPORTRANGE(""https://docs.google.com/spreadsheets/d/1q9nWasZJ-K8bFGvbE9n0qSRuKGA4Toe3Y89cKCiVtCU/edit?usp=sharing"",""สตูล!S72"")"),0)</f>
        <v>0</v>
      </c>
      <c r="U87" s="87">
        <f t="shared" ca="1" si="35"/>
        <v>0</v>
      </c>
      <c r="V87" s="87">
        <f t="shared" ca="1" si="36"/>
        <v>0</v>
      </c>
      <c r="W87" s="97">
        <f t="shared" ca="1" si="37"/>
        <v>0</v>
      </c>
      <c r="X87" s="97">
        <f t="shared" ca="1" si="38"/>
        <v>0</v>
      </c>
      <c r="Y87" s="97">
        <f t="shared" ca="1" si="62"/>
        <v>0</v>
      </c>
      <c r="Z87" s="98">
        <f t="shared" ca="1" si="39"/>
        <v>0</v>
      </c>
      <c r="AA87" s="97">
        <f t="shared" ca="1" si="63"/>
        <v>0</v>
      </c>
      <c r="AB87" s="98">
        <f t="shared" ca="1" si="40"/>
        <v>0</v>
      </c>
      <c r="AC87" s="93">
        <f ca="1">IFERROR(__xludf.DUMMYFUNCTION("IMPORTRANGE(""https://docs.google.com/spreadsheets/d/1q9nWasZJ-K8bFGvbE9n0qSRuKGA4Toe3Y89cKCiVtCU/edit?usp=sharing"",""สตูล!I84"")"),0)</f>
        <v>0</v>
      </c>
      <c r="AD87" s="93">
        <f ca="1">IFERROR(__xludf.DUMMYFUNCTION("IMPORTRANGE(""https://docs.google.com/spreadsheets/d/1q9nWasZJ-K8bFGvbE9n0qSRuKGA4Toe3Y89cKCiVtCU/edit?usp=sharing"",""สตูล!I85"")"),0)</f>
        <v>0</v>
      </c>
      <c r="AE87" s="97">
        <f ca="1">IFERROR(__xludf.DUMMYFUNCTION("IMPORTRANGE(""https://docs.google.com/spreadsheets/d/1q9nWasZJ-K8bFGvbE9n0qSRuKGA4Toe3Y89cKCiVtCU/edit?usp=sharing"",""สตูล!J84"")"),0)</f>
        <v>0</v>
      </c>
      <c r="AF87" s="97">
        <f ca="1">IFERROR(__xludf.DUMMYFUNCTION("IMPORTRANGE(""https://docs.google.com/spreadsheets/d/1q9nWasZJ-K8bFGvbE9n0qSRuKGA4Toe3Y89cKCiVtCU/edit?usp=sharing"",""สตูล!J85"")"),0)</f>
        <v>0</v>
      </c>
      <c r="AG87" s="93">
        <f ca="1">IFERROR(__xludf.DUMMYFUNCTION("IMPORTRANGE(""https://docs.google.com/spreadsheets/d/1q9nWasZJ-K8bFGvbE9n0qSRuKGA4Toe3Y89cKCiVtCU/edit?usp=sharing"",""สตูล!I86"")"),0)</f>
        <v>0</v>
      </c>
      <c r="AH87" s="93">
        <f ca="1">IFERROR(__xludf.DUMMYFUNCTION("IMPORTRANGE(""https://docs.google.com/spreadsheets/d/1q9nWasZJ-K8bFGvbE9n0qSRuKGA4Toe3Y89cKCiVtCU/edit?usp=sharing"",""สตูล!I87"")"),0)</f>
        <v>0</v>
      </c>
      <c r="AI87" s="97">
        <f ca="1">IFERROR(__xludf.DUMMYFUNCTION("IMPORTRANGE(""https://docs.google.com/spreadsheets/d/1q9nWasZJ-K8bFGvbE9n0qSRuKGA4Toe3Y89cKCiVtCU/edit?usp=sharing"",""สตูล!J86"")"),0)</f>
        <v>0</v>
      </c>
      <c r="AJ87" s="97">
        <f ca="1">IFERROR(__xludf.DUMMYFUNCTION("IMPORTRANGE(""https://docs.google.com/spreadsheets/d/1q9nWasZJ-K8bFGvbE9n0qSRuKGA4Toe3Y89cKCiVtCU/edit?usp=sharing"",""สตูล!J87"")"),0)</f>
        <v>0</v>
      </c>
      <c r="AK87" s="93">
        <f ca="1">IFERROR(__xludf.DUMMYFUNCTION("IMPORTRANGE(""https://docs.google.com/spreadsheets/d/1q9nWasZJ-K8bFGvbE9n0qSRuKGA4Toe3Y89cKCiVtCU/edit?usp=sharing"",""สตูล!I88"")"),0)</f>
        <v>0</v>
      </c>
      <c r="AL87" s="93">
        <f ca="1">IFERROR(__xludf.DUMMYFUNCTION("IMPORTRANGE(""https://docs.google.com/spreadsheets/d/1q9nWasZJ-K8bFGvbE9n0qSRuKGA4Toe3Y89cKCiVtCU/edit?usp=sharing"",""สตูล!I89"")"),0)</f>
        <v>0</v>
      </c>
      <c r="AM87" s="97">
        <f ca="1">IFERROR(__xludf.DUMMYFUNCTION("IMPORTRANGE(""https://docs.google.com/spreadsheets/d/1q9nWasZJ-K8bFGvbE9n0qSRuKGA4Toe3Y89cKCiVtCU/edit?usp=sharing"",""สตูล!J88"")"),0)</f>
        <v>0</v>
      </c>
      <c r="AN87" s="97">
        <f ca="1">IFERROR(__xludf.DUMMYFUNCTION("IMPORTRANGE(""https://docs.google.com/spreadsheets/d/1q9nWasZJ-K8bFGvbE9n0qSRuKGA4Toe3Y89cKCiVtCU/edit?usp=sharing"",""สตูล!J89"")"),0)</f>
        <v>0</v>
      </c>
      <c r="AO87" s="93">
        <f ca="1">IFERROR(__xludf.DUMMYFUNCTION("IMPORTRANGE(""https://docs.google.com/spreadsheets/d/1q9nWasZJ-K8bFGvbE9n0qSRuKGA4Toe3Y89cKCiVtCU/edit?usp=sharing"",""สตูล!I90"")"),0)</f>
        <v>0</v>
      </c>
      <c r="AP87" s="97">
        <f ca="1">IFERROR(__xludf.DUMMYFUNCTION("IMPORTRANGE(""https://docs.google.com/spreadsheets/d/1q9nWasZJ-K8bFGvbE9n0qSRuKGA4Toe3Y89cKCiVtCU/edit?usp=sharing"",""สตูล!J90"")"),0)</f>
        <v>0</v>
      </c>
      <c r="AQ87" s="95">
        <f t="shared" ca="1" si="42"/>
        <v>0</v>
      </c>
    </row>
    <row r="88" spans="1:43" ht="24" customHeight="1" x14ac:dyDescent="0.3">
      <c r="A88" s="100">
        <v>14</v>
      </c>
      <c r="B88" s="101" t="s">
        <v>114</v>
      </c>
      <c r="C88" s="102">
        <f t="shared" ca="1" si="26"/>
        <v>0</v>
      </c>
      <c r="D88" s="103">
        <f t="shared" ca="1" si="61"/>
        <v>0</v>
      </c>
      <c r="E88" s="104">
        <f ca="1">IFERROR(__xludf.DUMMYFUNCTION("IMPORTRANGE(""https://docs.google.com/spreadsheets/d/1-uDff_7J0KD5mKrp0Vvzr7lt3OU09vwQwhkpOPPYv2Y/edit?usp=sharing"",""งบพรบ!AN88"")"),0)</f>
        <v>0</v>
      </c>
      <c r="F88" s="104">
        <f ca="1">IFERROR(__xludf.DUMMYFUNCTION("IMPORTRANGE(""https://docs.google.com/spreadsheets/d/1-uDff_7J0KD5mKrp0Vvzr7lt3OU09vwQwhkpOPPYv2Y/edit?usp=sharing"",""งบพรบ!AO88"")"),0)</f>
        <v>0</v>
      </c>
      <c r="G88" s="104">
        <f ca="1">IFERROR(__xludf.DUMMYFUNCTION("IMPORTRANGE(""https://docs.google.com/spreadsheets/d/1-uDff_7J0KD5mKrp0Vvzr7lt3OU09vwQwhkpOPPYv2Y/edit?usp=sharing"",""งบพรบ!AP88"")"),0)</f>
        <v>0</v>
      </c>
      <c r="H88" s="104">
        <f ca="1">IFERROR(__xludf.DUMMYFUNCTION("IMPORTRANGE(""https://docs.google.com/spreadsheets/d/1-uDff_7J0KD5mKrp0Vvzr7lt3OU09vwQwhkpOPPYv2Y/edit?usp=sharing"",""งบพรบ!AR88"")"),0)</f>
        <v>0</v>
      </c>
      <c r="I88" s="104">
        <f ca="1">IFERROR(__xludf.DUMMYFUNCTION("IMPORTRANGE(""https://docs.google.com/spreadsheets/d/1-uDff_7J0KD5mKrp0Vvzr7lt3OU09vwQwhkpOPPYv2Y/edit?usp=sharing"",""งบพรบ!AS88"")"),0)</f>
        <v>0</v>
      </c>
      <c r="J88" s="104">
        <f t="shared" ca="1" si="28"/>
        <v>0</v>
      </c>
      <c r="K88" s="105">
        <f t="shared" ca="1" si="29"/>
        <v>0</v>
      </c>
      <c r="L88" s="104">
        <f ca="1">IFERROR(__xludf.DUMMYFUNCTION("IMPORTRANGE(""https://docs.google.com/spreadsheets/d/1-uDff_7J0KD5mKrp0Vvzr7lt3OU09vwQwhkpOPPYv2Y/edit?usp=sharing"",""งบพรบ!AT88"")"),0)</f>
        <v>0</v>
      </c>
      <c r="M88" s="106">
        <f t="shared" ca="1" si="30"/>
        <v>0</v>
      </c>
      <c r="N88" s="106">
        <f t="shared" ca="1" si="31"/>
        <v>0</v>
      </c>
      <c r="O88" s="107">
        <f ca="1">IFERROR(__xludf.DUMMYFUNCTION("IMPORTRANGE(""https://docs.google.com/spreadsheets/d/1-uDff_7J0KD5mKrp0Vvzr7lt3OU09vwQwhkpOPPYv2Y/edit?usp=sharing"",""งบพรบ!AU88"")"),0)</f>
        <v>0</v>
      </c>
      <c r="P88" s="107">
        <f t="shared" ca="1" si="32"/>
        <v>0</v>
      </c>
      <c r="Q88" s="106">
        <f t="shared" ca="1" si="33"/>
        <v>0</v>
      </c>
      <c r="R88" s="108">
        <f ca="1">IFERROR(__xludf.DUMMYFUNCTION("IMPORTRANGE(""https://docs.google.com/spreadsheets/d/18T20gbkS_WBjdscyTOV05cvq_JqvqQ17C81mpxf7Ncs/edit?usp=sharing"",""สุราษฎร์ธานี!Q72"")"),792520)</f>
        <v>792520</v>
      </c>
      <c r="S88" s="108">
        <f ca="1">IFERROR(__xludf.DUMMYFUNCTION("IMPORTRANGE(""https://docs.google.com/spreadsheets/d/18T20gbkS_WBjdscyTOV05cvq_JqvqQ17C81mpxf7Ncs/edit?usp=sharing"",""สุราษฎร์ธานี!R72"")"),0)</f>
        <v>0</v>
      </c>
      <c r="T88" s="108">
        <f ca="1">IFERROR(__xludf.DUMMYFUNCTION("IMPORTRANGE(""https://docs.google.com/spreadsheets/d/18T20gbkS_WBjdscyTOV05cvq_JqvqQ17C81mpxf7Ncs/edit?usp=sharing"",""สุราษฎร์ธานี!S72"")"),0)</f>
        <v>0</v>
      </c>
      <c r="U88" s="109">
        <f t="shared" ca="1" si="35"/>
        <v>0</v>
      </c>
      <c r="V88" s="109">
        <f t="shared" ca="1" si="36"/>
        <v>0</v>
      </c>
      <c r="W88" s="110">
        <f t="shared" ca="1" si="37"/>
        <v>32</v>
      </c>
      <c r="X88" s="110">
        <f t="shared" ca="1" si="38"/>
        <v>31</v>
      </c>
      <c r="Y88" s="110">
        <f t="shared" ca="1" si="62"/>
        <v>0</v>
      </c>
      <c r="Z88" s="111">
        <f t="shared" ca="1" si="39"/>
        <v>0</v>
      </c>
      <c r="AA88" s="110">
        <f t="shared" ca="1" si="63"/>
        <v>0</v>
      </c>
      <c r="AB88" s="111">
        <f t="shared" ca="1" si="40"/>
        <v>0</v>
      </c>
      <c r="AC88" s="104">
        <f ca="1">IFERROR(__xludf.DUMMYFUNCTION("IMPORTRANGE(""https://docs.google.com/spreadsheets/d/18T20gbkS_WBjdscyTOV05cvq_JqvqQ17C81mpxf7Ncs/edit?usp=sharing"",""สุราษฎร์ธานี!I84"")"),31)</f>
        <v>31</v>
      </c>
      <c r="AD88" s="104">
        <f ca="1">IFERROR(__xludf.DUMMYFUNCTION("IMPORTRANGE(""https://docs.google.com/spreadsheets/d/18T20gbkS_WBjdscyTOV05cvq_JqvqQ17C81mpxf7Ncs/edit?usp=sharing"",""สุราษฎร์ธานี!I85"")"),1)</f>
        <v>1</v>
      </c>
      <c r="AE88" s="110">
        <f ca="1">IFERROR(__xludf.DUMMYFUNCTION("IMPORTRANGE(""https://docs.google.com/spreadsheets/d/18T20gbkS_WBjdscyTOV05cvq_JqvqQ17C81mpxf7Ncs/edit?usp=sharing"",""สุราษฎร์ธานี!J84"")"),0)</f>
        <v>0</v>
      </c>
      <c r="AF88" s="110">
        <f ca="1">IFERROR(__xludf.DUMMYFUNCTION("IMPORTRANGE(""https://docs.google.com/spreadsheets/d/18T20gbkS_WBjdscyTOV05cvq_JqvqQ17C81mpxf7Ncs/edit?usp=sharing"",""สุราษฎร์ธานี!J85"")"),0)</f>
        <v>0</v>
      </c>
      <c r="AG88" s="104">
        <f ca="1">IFERROR(__xludf.DUMMYFUNCTION("IMPORTRANGE(""https://docs.google.com/spreadsheets/d/18T20gbkS_WBjdscyTOV05cvq_JqvqQ17C81mpxf7Ncs/edit?usp=sharing"",""สุราษฎร์ธานี!I86"")"),1)</f>
        <v>1</v>
      </c>
      <c r="AH88" s="104">
        <f ca="1">IFERROR(__xludf.DUMMYFUNCTION("IMPORTRANGE(""https://docs.google.com/spreadsheets/d/18T20gbkS_WBjdscyTOV05cvq_JqvqQ17C81mpxf7Ncs/edit?usp=sharing"",""สุราษฎร์ธานี!I87"")"),30)</f>
        <v>30</v>
      </c>
      <c r="AI88" s="110">
        <f ca="1">IFERROR(__xludf.DUMMYFUNCTION("IMPORTRANGE(""https://docs.google.com/spreadsheets/d/18T20gbkS_WBjdscyTOV05cvq_JqvqQ17C81mpxf7Ncs/edit?usp=sharing"",""สุราษฎร์ธานี!J86"")"),0)</f>
        <v>0</v>
      </c>
      <c r="AJ88" s="110">
        <f ca="1">IFERROR(__xludf.DUMMYFUNCTION("IMPORTRANGE(""https://docs.google.com/spreadsheets/d/18T20gbkS_WBjdscyTOV05cvq_JqvqQ17C81mpxf7Ncs/edit?usp=sharing"",""สุราษฎร์ธานี!J87"")"),0)</f>
        <v>0</v>
      </c>
      <c r="AK88" s="104">
        <f ca="1">IFERROR(__xludf.DUMMYFUNCTION("IMPORTRANGE(""https://docs.google.com/spreadsheets/d/18T20gbkS_WBjdscyTOV05cvq_JqvqQ17C81mpxf7Ncs/edit?usp=sharing"",""สุราษฎร์ธานี!I88"")"),0)</f>
        <v>0</v>
      </c>
      <c r="AL88" s="104">
        <f ca="1">IFERROR(__xludf.DUMMYFUNCTION("IMPORTRANGE(""https://docs.google.com/spreadsheets/d/18T20gbkS_WBjdscyTOV05cvq_JqvqQ17C81mpxf7Ncs/edit?usp=sharing"",""สุราษฎร์ธานี!I89"")"),0)</f>
        <v>0</v>
      </c>
      <c r="AM88" s="110">
        <f ca="1">IFERROR(__xludf.DUMMYFUNCTION("IMPORTRANGE(""https://docs.google.com/spreadsheets/d/18T20gbkS_WBjdscyTOV05cvq_JqvqQ17C81mpxf7Ncs/edit?usp=sharing"",""สุราษฎร์ธานี!J88"")"),0)</f>
        <v>0</v>
      </c>
      <c r="AN88" s="110">
        <f ca="1">IFERROR(__xludf.DUMMYFUNCTION("IMPORTRANGE(""https://docs.google.com/spreadsheets/d/18T20gbkS_WBjdscyTOV05cvq_JqvqQ17C81mpxf7Ncs/edit?usp=sharing"",""สุราษฎร์ธานี!J89"")"),0)</f>
        <v>0</v>
      </c>
      <c r="AO88" s="104">
        <f ca="1">IFERROR(__xludf.DUMMYFUNCTION("IMPORTRANGE(""https://docs.google.com/spreadsheets/d/18T20gbkS_WBjdscyTOV05cvq_JqvqQ17C81mpxf7Ncs/edit?usp=sharing"",""สุราษฎร์ธานี!I90"")"),2)</f>
        <v>2</v>
      </c>
      <c r="AP88" s="110">
        <f ca="1">IFERROR(__xludf.DUMMYFUNCTION("IMPORTRANGE(""https://docs.google.com/spreadsheets/d/18T20gbkS_WBjdscyTOV05cvq_JqvqQ17C81mpxf7Ncs/edit?usp=sharing"",""สุราษฎร์ธานี!J90"")"),0)</f>
        <v>0</v>
      </c>
      <c r="AQ88" s="106">
        <f t="shared" ca="1" si="42"/>
        <v>0</v>
      </c>
    </row>
    <row r="89" spans="1:43" ht="21" hidden="1" customHeight="1" x14ac:dyDescent="0.2">
      <c r="A89" s="628" t="s">
        <v>115</v>
      </c>
      <c r="B89" s="604"/>
      <c r="C89" s="45">
        <f t="shared" ref="C89:T89" ca="1" si="64">SUM(C90:C106)</f>
        <v>4484200</v>
      </c>
      <c r="D89" s="45">
        <f t="shared" ca="1" si="64"/>
        <v>4484200</v>
      </c>
      <c r="E89" s="45">
        <f t="shared" ca="1" si="64"/>
        <v>1901600</v>
      </c>
      <c r="F89" s="45">
        <f t="shared" ca="1" si="64"/>
        <v>2582600</v>
      </c>
      <c r="G89" s="45">
        <f t="shared" ca="1" si="64"/>
        <v>0</v>
      </c>
      <c r="H89" s="45">
        <f t="shared" ca="1" si="64"/>
        <v>6692183</v>
      </c>
      <c r="I89" s="45">
        <f t="shared" ca="1" si="64"/>
        <v>0</v>
      </c>
      <c r="J89" s="45">
        <f t="shared" ca="1" si="64"/>
        <v>1157852.31</v>
      </c>
      <c r="K89" s="47">
        <f t="shared" ca="1" si="64"/>
        <v>25.235108114983465</v>
      </c>
      <c r="L89" s="45">
        <f t="shared" ca="1" si="64"/>
        <v>1157852.31</v>
      </c>
      <c r="M89" s="47">
        <f t="shared" ca="1" si="64"/>
        <v>25.235108114983465</v>
      </c>
      <c r="N89" s="47">
        <f t="shared" ca="1" si="64"/>
        <v>111.93510478816636</v>
      </c>
      <c r="O89" s="45">
        <f t="shared" ca="1" si="64"/>
        <v>0</v>
      </c>
      <c r="P89" s="45">
        <f t="shared" ca="1" si="64"/>
        <v>0</v>
      </c>
      <c r="Q89" s="45">
        <f t="shared" ca="1" si="64"/>
        <v>0</v>
      </c>
      <c r="R89" s="45">
        <f t="shared" si="64"/>
        <v>0</v>
      </c>
      <c r="S89" s="45">
        <f t="shared" si="64"/>
        <v>0</v>
      </c>
      <c r="T89" s="45">
        <f t="shared" si="64"/>
        <v>0</v>
      </c>
      <c r="U89" s="45">
        <f t="shared" si="35"/>
        <v>0</v>
      </c>
      <c r="V89" s="45">
        <f t="shared" si="36"/>
        <v>0</v>
      </c>
      <c r="W89" s="45"/>
      <c r="X89" s="45"/>
      <c r="Y89" s="45"/>
      <c r="Z89" s="48"/>
      <c r="AA89" s="45"/>
      <c r="AB89" s="48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8"/>
    </row>
    <row r="90" spans="1:43" ht="24" hidden="1" customHeight="1" x14ac:dyDescent="0.25">
      <c r="A90" s="124"/>
      <c r="B90" s="125" t="s">
        <v>116</v>
      </c>
      <c r="C90" s="116">
        <f t="shared" ref="C90:C106" ca="1" si="65">D90+G90</f>
        <v>0</v>
      </c>
      <c r="D90" s="80">
        <f t="shared" ref="D90:D106" ca="1" si="66">+E90+F90</f>
        <v>0</v>
      </c>
      <c r="E90" s="81">
        <f ca="1">IFERROR(__xludf.DUMMYFUNCTION("IMPORTRANGE(""https://docs.google.com/spreadsheets/d/1-uDff_7J0KD5mKrp0Vvzr7lt3OU09vwQwhkpOPPYv2Y/edit?usp=sharing"",""งบพรบ!AN90"")"),0)</f>
        <v>0</v>
      </c>
      <c r="F90" s="81">
        <f ca="1">IFERROR(__xludf.DUMMYFUNCTION("IMPORTRANGE(""https://docs.google.com/spreadsheets/d/1-uDff_7J0KD5mKrp0Vvzr7lt3OU09vwQwhkpOPPYv2Y/edit?usp=sharing"",""งบพรบ!AO90"")"),0)</f>
        <v>0</v>
      </c>
      <c r="G90" s="81">
        <f ca="1">IFERROR(__xludf.DUMMYFUNCTION("IMPORTRANGE(""https://docs.google.com/spreadsheets/d/1-uDff_7J0KD5mKrp0Vvzr7lt3OU09vwQwhkpOPPYv2Y/edit?usp=sharing"",""งบพรบ!AP90"")"),0)</f>
        <v>0</v>
      </c>
      <c r="H90" s="81">
        <f ca="1">IFERROR(__xludf.DUMMYFUNCTION("IMPORTRANGE(""https://docs.google.com/spreadsheets/d/1-uDff_7J0KD5mKrp0Vvzr7lt3OU09vwQwhkpOPPYv2Y/edit?usp=sharing"",""งบพรบ!AR90"")"),0)</f>
        <v>0</v>
      </c>
      <c r="I90" s="81">
        <f ca="1">IFERROR(__xludf.DUMMYFUNCTION("IMPORTRANGE(""https://docs.google.com/spreadsheets/d/1-uDff_7J0KD5mKrp0Vvzr7lt3OU09vwQwhkpOPPYv2Y/edit?usp=sharing"",""งบพรบ!AS90"")"),0)</f>
        <v>0</v>
      </c>
      <c r="J90" s="81">
        <f t="shared" ref="J90:J106" ca="1" si="67">L90+O90</f>
        <v>0</v>
      </c>
      <c r="K90" s="126">
        <f t="shared" ref="K90:K106" ca="1" si="68">IF(C90&gt;0,J90*100/C90,0)</f>
        <v>0</v>
      </c>
      <c r="L90" s="81">
        <f ca="1">IFERROR(__xludf.DUMMYFUNCTION("IMPORTRANGE(""https://docs.google.com/spreadsheets/d/1-uDff_7J0KD5mKrp0Vvzr7lt3OU09vwQwhkpOPPYv2Y/edit?usp=sharing"",""งบพรบ!AT90"")"),0)</f>
        <v>0</v>
      </c>
      <c r="M90" s="84">
        <f t="shared" ref="M90:M106" ca="1" si="69">IF(D90&gt;0,L90*100/D90,0)</f>
        <v>0</v>
      </c>
      <c r="N90" s="84">
        <f t="shared" ref="N90:N106" ca="1" si="70">IF(H90&gt;0,L90*100/H90,0)</f>
        <v>0</v>
      </c>
      <c r="O90" s="85">
        <f ca="1">IFERROR(__xludf.DUMMYFUNCTION("IMPORTRANGE(""https://docs.google.com/spreadsheets/d/1-uDff_7J0KD5mKrp0Vvzr7lt3OU09vwQwhkpOPPYv2Y/edit?usp=sharing"",""งบพรบ!AU90"")"),0)</f>
        <v>0</v>
      </c>
      <c r="P90" s="85">
        <f t="shared" ref="P90:P106" ca="1" si="71">IF(G90&gt;0,O90*100/G90,0)</f>
        <v>0</v>
      </c>
      <c r="Q90" s="84">
        <f t="shared" ref="Q90:Q106" ca="1" si="72">IF(I90&gt;0,O90*100/I90,0)</f>
        <v>0</v>
      </c>
      <c r="R90" s="127">
        <v>0</v>
      </c>
      <c r="S90" s="127">
        <v>0</v>
      </c>
      <c r="T90" s="127">
        <v>0</v>
      </c>
      <c r="U90" s="84">
        <f t="shared" si="35"/>
        <v>0</v>
      </c>
      <c r="V90" s="84">
        <f t="shared" si="36"/>
        <v>0</v>
      </c>
      <c r="W90" s="81"/>
      <c r="X90" s="81"/>
      <c r="Y90" s="81"/>
      <c r="Z90" s="84"/>
      <c r="AA90" s="81"/>
      <c r="AB90" s="84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4"/>
    </row>
    <row r="91" spans="1:43" ht="24" hidden="1" customHeight="1" x14ac:dyDescent="0.25">
      <c r="A91" s="128"/>
      <c r="B91" s="129" t="s">
        <v>117</v>
      </c>
      <c r="C91" s="91">
        <f t="shared" ca="1" si="65"/>
        <v>0</v>
      </c>
      <c r="D91" s="92">
        <f t="shared" ca="1" si="66"/>
        <v>0</v>
      </c>
      <c r="E91" s="93">
        <f ca="1">IFERROR(__xludf.DUMMYFUNCTION("IMPORTRANGE(""https://docs.google.com/spreadsheets/d/1-uDff_7J0KD5mKrp0Vvzr7lt3OU09vwQwhkpOPPYv2Y/edit?usp=sharing"",""งบพรบ!AN91"")"),0)</f>
        <v>0</v>
      </c>
      <c r="F91" s="93">
        <f ca="1">IFERROR(__xludf.DUMMYFUNCTION("IMPORTRANGE(""https://docs.google.com/spreadsheets/d/1-uDff_7J0KD5mKrp0Vvzr7lt3OU09vwQwhkpOPPYv2Y/edit?usp=sharing"",""งบพรบ!AO91"")"),0)</f>
        <v>0</v>
      </c>
      <c r="G91" s="93">
        <f ca="1">IFERROR(__xludf.DUMMYFUNCTION("IMPORTRANGE(""https://docs.google.com/spreadsheets/d/1-uDff_7J0KD5mKrp0Vvzr7lt3OU09vwQwhkpOPPYv2Y/edit?usp=sharing"",""งบพรบ!AP91"")"),0)</f>
        <v>0</v>
      </c>
      <c r="H91" s="93">
        <f ca="1">IFERROR(__xludf.DUMMYFUNCTION("IMPORTRANGE(""https://docs.google.com/spreadsheets/d/1-uDff_7J0KD5mKrp0Vvzr7lt3OU09vwQwhkpOPPYv2Y/edit?usp=sharing"",""งบพรบ!AR91"")"),0)</f>
        <v>0</v>
      </c>
      <c r="I91" s="93">
        <f ca="1">IFERROR(__xludf.DUMMYFUNCTION("IMPORTRANGE(""https://docs.google.com/spreadsheets/d/1-uDff_7J0KD5mKrp0Vvzr7lt3OU09vwQwhkpOPPYv2Y/edit?usp=sharing"",""งบพรบ!AS91"")"),0)</f>
        <v>0</v>
      </c>
      <c r="J91" s="93">
        <f t="shared" ca="1" si="67"/>
        <v>0</v>
      </c>
      <c r="K91" s="94">
        <f t="shared" ca="1" si="68"/>
        <v>0</v>
      </c>
      <c r="L91" s="93">
        <f ca="1">IFERROR(__xludf.DUMMYFUNCTION("IMPORTRANGE(""https://docs.google.com/spreadsheets/d/1-uDff_7J0KD5mKrp0Vvzr7lt3OU09vwQwhkpOPPYv2Y/edit?usp=sharing"",""งบพรบ!AT91"")"),0)</f>
        <v>0</v>
      </c>
      <c r="M91" s="95">
        <f t="shared" ca="1" si="69"/>
        <v>0</v>
      </c>
      <c r="N91" s="95">
        <f t="shared" ca="1" si="70"/>
        <v>0</v>
      </c>
      <c r="O91" s="96">
        <f ca="1">IFERROR(__xludf.DUMMYFUNCTION("IMPORTRANGE(""https://docs.google.com/spreadsheets/d/1-uDff_7J0KD5mKrp0Vvzr7lt3OU09vwQwhkpOPPYv2Y/edit?usp=sharing"",""งบพรบ!AU91"")"),0)</f>
        <v>0</v>
      </c>
      <c r="P91" s="96">
        <f t="shared" ca="1" si="71"/>
        <v>0</v>
      </c>
      <c r="Q91" s="95">
        <f t="shared" ca="1" si="72"/>
        <v>0</v>
      </c>
      <c r="R91" s="130">
        <v>0</v>
      </c>
      <c r="S91" s="130">
        <v>0</v>
      </c>
      <c r="T91" s="130">
        <v>0</v>
      </c>
      <c r="U91" s="95">
        <f t="shared" si="35"/>
        <v>0</v>
      </c>
      <c r="V91" s="95">
        <f t="shared" si="36"/>
        <v>0</v>
      </c>
      <c r="W91" s="93"/>
      <c r="X91" s="93"/>
      <c r="Y91" s="93"/>
      <c r="Z91" s="95"/>
      <c r="AA91" s="93"/>
      <c r="AB91" s="95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5"/>
    </row>
    <row r="92" spans="1:43" ht="24" hidden="1" customHeight="1" x14ac:dyDescent="0.25">
      <c r="A92" s="128"/>
      <c r="B92" s="129" t="s">
        <v>118</v>
      </c>
      <c r="C92" s="91">
        <f t="shared" ca="1" si="65"/>
        <v>0</v>
      </c>
      <c r="D92" s="92">
        <f t="shared" ca="1" si="66"/>
        <v>0</v>
      </c>
      <c r="E92" s="93">
        <f ca="1">IFERROR(__xludf.DUMMYFUNCTION("IMPORTRANGE(""https://docs.google.com/spreadsheets/d/1-uDff_7J0KD5mKrp0Vvzr7lt3OU09vwQwhkpOPPYv2Y/edit?usp=sharing"",""งบพรบ!AN92"")"),0)</f>
        <v>0</v>
      </c>
      <c r="F92" s="93">
        <f ca="1">IFERROR(__xludf.DUMMYFUNCTION("IMPORTRANGE(""https://docs.google.com/spreadsheets/d/1-uDff_7J0KD5mKrp0Vvzr7lt3OU09vwQwhkpOPPYv2Y/edit?usp=sharing"",""งบพรบ!AO92"")"),0)</f>
        <v>0</v>
      </c>
      <c r="G92" s="93">
        <f ca="1">IFERROR(__xludf.DUMMYFUNCTION("IMPORTRANGE(""https://docs.google.com/spreadsheets/d/1-uDff_7J0KD5mKrp0Vvzr7lt3OU09vwQwhkpOPPYv2Y/edit?usp=sharing"",""งบพรบ!AP92"")"),0)</f>
        <v>0</v>
      </c>
      <c r="H92" s="93">
        <f ca="1">IFERROR(__xludf.DUMMYFUNCTION("IMPORTRANGE(""https://docs.google.com/spreadsheets/d/1-uDff_7J0KD5mKrp0Vvzr7lt3OU09vwQwhkpOPPYv2Y/edit?usp=sharing"",""งบพรบ!AR92"")"),0)</f>
        <v>0</v>
      </c>
      <c r="I92" s="93">
        <f ca="1">IFERROR(__xludf.DUMMYFUNCTION("IMPORTRANGE(""https://docs.google.com/spreadsheets/d/1-uDff_7J0KD5mKrp0Vvzr7lt3OU09vwQwhkpOPPYv2Y/edit?usp=sharing"",""งบพรบ!AS92"")"),0)</f>
        <v>0</v>
      </c>
      <c r="J92" s="93">
        <f t="shared" ca="1" si="67"/>
        <v>0</v>
      </c>
      <c r="K92" s="94">
        <f t="shared" ca="1" si="68"/>
        <v>0</v>
      </c>
      <c r="L92" s="93">
        <f ca="1">IFERROR(__xludf.DUMMYFUNCTION("IMPORTRANGE(""https://docs.google.com/spreadsheets/d/1-uDff_7J0KD5mKrp0Vvzr7lt3OU09vwQwhkpOPPYv2Y/edit?usp=sharing"",""งบพรบ!AT92"")"),0)</f>
        <v>0</v>
      </c>
      <c r="M92" s="95">
        <f t="shared" ca="1" si="69"/>
        <v>0</v>
      </c>
      <c r="N92" s="95">
        <f t="shared" ca="1" si="70"/>
        <v>0</v>
      </c>
      <c r="O92" s="96">
        <f ca="1">IFERROR(__xludf.DUMMYFUNCTION("IMPORTRANGE(""https://docs.google.com/spreadsheets/d/1-uDff_7J0KD5mKrp0Vvzr7lt3OU09vwQwhkpOPPYv2Y/edit?usp=sharing"",""งบพรบ!AU92"")"),0)</f>
        <v>0</v>
      </c>
      <c r="P92" s="96">
        <f t="shared" ca="1" si="71"/>
        <v>0</v>
      </c>
      <c r="Q92" s="95">
        <f t="shared" ca="1" si="72"/>
        <v>0</v>
      </c>
      <c r="R92" s="130">
        <v>0</v>
      </c>
      <c r="S92" s="130">
        <v>0</v>
      </c>
      <c r="T92" s="130">
        <v>0</v>
      </c>
      <c r="U92" s="95">
        <f t="shared" si="35"/>
        <v>0</v>
      </c>
      <c r="V92" s="95">
        <f t="shared" si="36"/>
        <v>0</v>
      </c>
      <c r="W92" s="93"/>
      <c r="X92" s="93"/>
      <c r="Y92" s="93"/>
      <c r="Z92" s="95"/>
      <c r="AA92" s="93"/>
      <c r="AB92" s="95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5"/>
    </row>
    <row r="93" spans="1:43" ht="24" hidden="1" customHeight="1" x14ac:dyDescent="0.25">
      <c r="A93" s="128"/>
      <c r="B93" s="129" t="s">
        <v>119</v>
      </c>
      <c r="C93" s="91">
        <f t="shared" ca="1" si="65"/>
        <v>0</v>
      </c>
      <c r="D93" s="92">
        <f t="shared" ca="1" si="66"/>
        <v>0</v>
      </c>
      <c r="E93" s="93">
        <f ca="1">IFERROR(__xludf.DUMMYFUNCTION("IMPORTRANGE(""https://docs.google.com/spreadsheets/d/1-uDff_7J0KD5mKrp0Vvzr7lt3OU09vwQwhkpOPPYv2Y/edit?usp=sharing"",""งบพรบ!AN93"")"),0)</f>
        <v>0</v>
      </c>
      <c r="F93" s="93">
        <f ca="1">IFERROR(__xludf.DUMMYFUNCTION("IMPORTRANGE(""https://docs.google.com/spreadsheets/d/1-uDff_7J0KD5mKrp0Vvzr7lt3OU09vwQwhkpOPPYv2Y/edit?usp=sharing"",""งบพรบ!AO93"")"),0)</f>
        <v>0</v>
      </c>
      <c r="G93" s="93">
        <f ca="1">IFERROR(__xludf.DUMMYFUNCTION("IMPORTRANGE(""https://docs.google.com/spreadsheets/d/1-uDff_7J0KD5mKrp0Vvzr7lt3OU09vwQwhkpOPPYv2Y/edit?usp=sharing"",""งบพรบ!AP93"")"),0)</f>
        <v>0</v>
      </c>
      <c r="H93" s="93">
        <f ca="1">IFERROR(__xludf.DUMMYFUNCTION("IMPORTRANGE(""https://docs.google.com/spreadsheets/d/1-uDff_7J0KD5mKrp0Vvzr7lt3OU09vwQwhkpOPPYv2Y/edit?usp=sharing"",""งบพรบ!AR93"")"),70000)</f>
        <v>70000</v>
      </c>
      <c r="I93" s="93">
        <f ca="1">IFERROR(__xludf.DUMMYFUNCTION("IMPORTRANGE(""https://docs.google.com/spreadsheets/d/1-uDff_7J0KD5mKrp0Vvzr7lt3OU09vwQwhkpOPPYv2Y/edit?usp=sharing"",""งบพรบ!AS93"")"),0)</f>
        <v>0</v>
      </c>
      <c r="J93" s="93">
        <f t="shared" ca="1" si="67"/>
        <v>66661</v>
      </c>
      <c r="K93" s="94">
        <f t="shared" ca="1" si="68"/>
        <v>0</v>
      </c>
      <c r="L93" s="93">
        <f ca="1">IFERROR(__xludf.DUMMYFUNCTION("IMPORTRANGE(""https://docs.google.com/spreadsheets/d/1-uDff_7J0KD5mKrp0Vvzr7lt3OU09vwQwhkpOPPYv2Y/edit?usp=sharing"",""งบพรบ!AT93"")"),66661)</f>
        <v>66661</v>
      </c>
      <c r="M93" s="95">
        <f t="shared" ca="1" si="69"/>
        <v>0</v>
      </c>
      <c r="N93" s="95">
        <f t="shared" ca="1" si="70"/>
        <v>95.23</v>
      </c>
      <c r="O93" s="96">
        <f ca="1">IFERROR(__xludf.DUMMYFUNCTION("IMPORTRANGE(""https://docs.google.com/spreadsheets/d/1-uDff_7J0KD5mKrp0Vvzr7lt3OU09vwQwhkpOPPYv2Y/edit?usp=sharing"",""งบพรบ!AU93"")"),0)</f>
        <v>0</v>
      </c>
      <c r="P93" s="96">
        <f t="shared" ca="1" si="71"/>
        <v>0</v>
      </c>
      <c r="Q93" s="95">
        <f t="shared" ca="1" si="72"/>
        <v>0</v>
      </c>
      <c r="R93" s="130">
        <v>0</v>
      </c>
      <c r="S93" s="130">
        <v>0</v>
      </c>
      <c r="T93" s="130">
        <v>0</v>
      </c>
      <c r="U93" s="95">
        <f t="shared" si="35"/>
        <v>0</v>
      </c>
      <c r="V93" s="95">
        <f t="shared" si="36"/>
        <v>0</v>
      </c>
      <c r="W93" s="93"/>
      <c r="X93" s="93"/>
      <c r="Y93" s="93"/>
      <c r="Z93" s="95"/>
      <c r="AA93" s="93"/>
      <c r="AB93" s="95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5"/>
    </row>
    <row r="94" spans="1:43" ht="24" hidden="1" customHeight="1" x14ac:dyDescent="0.25">
      <c r="A94" s="128"/>
      <c r="B94" s="129" t="s">
        <v>120</v>
      </c>
      <c r="C94" s="91">
        <f t="shared" ca="1" si="65"/>
        <v>0</v>
      </c>
      <c r="D94" s="92">
        <f t="shared" ca="1" si="66"/>
        <v>0</v>
      </c>
      <c r="E94" s="93">
        <f ca="1">IFERROR(__xludf.DUMMYFUNCTION("IMPORTRANGE(""https://docs.google.com/spreadsheets/d/1-uDff_7J0KD5mKrp0Vvzr7lt3OU09vwQwhkpOPPYv2Y/edit?usp=sharing"",""งบพรบ!AN94"")"),0)</f>
        <v>0</v>
      </c>
      <c r="F94" s="93">
        <f ca="1">IFERROR(__xludf.DUMMYFUNCTION("IMPORTRANGE(""https://docs.google.com/spreadsheets/d/1-uDff_7J0KD5mKrp0Vvzr7lt3OU09vwQwhkpOPPYv2Y/edit?usp=sharing"",""งบพรบ!AO94"")"),0)</f>
        <v>0</v>
      </c>
      <c r="G94" s="93">
        <f ca="1">IFERROR(__xludf.DUMMYFUNCTION("IMPORTRANGE(""https://docs.google.com/spreadsheets/d/1-uDff_7J0KD5mKrp0Vvzr7lt3OU09vwQwhkpOPPYv2Y/edit?usp=sharing"",""งบพรบ!AP94"")"),0)</f>
        <v>0</v>
      </c>
      <c r="H94" s="93">
        <f ca="1">IFERROR(__xludf.DUMMYFUNCTION("IMPORTRANGE(""https://docs.google.com/spreadsheets/d/1-uDff_7J0KD5mKrp0Vvzr7lt3OU09vwQwhkpOPPYv2Y/edit?usp=sharing"",""งบพรบ!AR94"")"),0)</f>
        <v>0</v>
      </c>
      <c r="I94" s="93">
        <f ca="1">IFERROR(__xludf.DUMMYFUNCTION("IMPORTRANGE(""https://docs.google.com/spreadsheets/d/1-uDff_7J0KD5mKrp0Vvzr7lt3OU09vwQwhkpOPPYv2Y/edit?usp=sharing"",""งบพรบ!AS94"")"),0)</f>
        <v>0</v>
      </c>
      <c r="J94" s="93">
        <f t="shared" ca="1" si="67"/>
        <v>0</v>
      </c>
      <c r="K94" s="94">
        <f t="shared" ca="1" si="68"/>
        <v>0</v>
      </c>
      <c r="L94" s="93">
        <f ca="1">IFERROR(__xludf.DUMMYFUNCTION("IMPORTRANGE(""https://docs.google.com/spreadsheets/d/1-uDff_7J0KD5mKrp0Vvzr7lt3OU09vwQwhkpOPPYv2Y/edit?usp=sharing"",""งบพรบ!AT94"")"),0)</f>
        <v>0</v>
      </c>
      <c r="M94" s="95">
        <f t="shared" ca="1" si="69"/>
        <v>0</v>
      </c>
      <c r="N94" s="95">
        <f t="shared" ca="1" si="70"/>
        <v>0</v>
      </c>
      <c r="O94" s="96">
        <f ca="1">IFERROR(__xludf.DUMMYFUNCTION("IMPORTRANGE(""https://docs.google.com/spreadsheets/d/1-uDff_7J0KD5mKrp0Vvzr7lt3OU09vwQwhkpOPPYv2Y/edit?usp=sharing"",""งบพรบ!AU94"")"),0)</f>
        <v>0</v>
      </c>
      <c r="P94" s="96">
        <f t="shared" ca="1" si="71"/>
        <v>0</v>
      </c>
      <c r="Q94" s="95">
        <f t="shared" ca="1" si="72"/>
        <v>0</v>
      </c>
      <c r="R94" s="130">
        <v>0</v>
      </c>
      <c r="S94" s="130">
        <v>0</v>
      </c>
      <c r="T94" s="130">
        <v>0</v>
      </c>
      <c r="U94" s="95">
        <f t="shared" si="35"/>
        <v>0</v>
      </c>
      <c r="V94" s="95">
        <f t="shared" si="36"/>
        <v>0</v>
      </c>
      <c r="W94" s="93"/>
      <c r="X94" s="93"/>
      <c r="Y94" s="93"/>
      <c r="Z94" s="95"/>
      <c r="AA94" s="93"/>
      <c r="AB94" s="95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5"/>
    </row>
    <row r="95" spans="1:43" ht="24" hidden="1" customHeight="1" x14ac:dyDescent="0.25">
      <c r="A95" s="128"/>
      <c r="B95" s="129" t="s">
        <v>121</v>
      </c>
      <c r="C95" s="91">
        <f t="shared" ca="1" si="65"/>
        <v>0</v>
      </c>
      <c r="D95" s="92">
        <f t="shared" ca="1" si="66"/>
        <v>0</v>
      </c>
      <c r="E95" s="93">
        <f ca="1">IFERROR(__xludf.DUMMYFUNCTION("IMPORTRANGE(""https://docs.google.com/spreadsheets/d/1-uDff_7J0KD5mKrp0Vvzr7lt3OU09vwQwhkpOPPYv2Y/edit?usp=sharing"",""งบพรบ!AN95"")"),0)</f>
        <v>0</v>
      </c>
      <c r="F95" s="93">
        <f ca="1">IFERROR(__xludf.DUMMYFUNCTION("IMPORTRANGE(""https://docs.google.com/spreadsheets/d/1-uDff_7J0KD5mKrp0Vvzr7lt3OU09vwQwhkpOPPYv2Y/edit?usp=sharing"",""งบพรบ!AO95"")"),0)</f>
        <v>0</v>
      </c>
      <c r="G95" s="93">
        <f ca="1">IFERROR(__xludf.DUMMYFUNCTION("IMPORTRANGE(""https://docs.google.com/spreadsheets/d/1-uDff_7J0KD5mKrp0Vvzr7lt3OU09vwQwhkpOPPYv2Y/edit?usp=sharing"",""งบพรบ!AP95"")"),0)</f>
        <v>0</v>
      </c>
      <c r="H95" s="93">
        <f ca="1">IFERROR(__xludf.DUMMYFUNCTION("IMPORTRANGE(""https://docs.google.com/spreadsheets/d/1-uDff_7J0KD5mKrp0Vvzr7lt3OU09vwQwhkpOPPYv2Y/edit?usp=sharing"",""งบพรบ!AR95"")"),0)</f>
        <v>0</v>
      </c>
      <c r="I95" s="93">
        <f ca="1">IFERROR(__xludf.DUMMYFUNCTION("IMPORTRANGE(""https://docs.google.com/spreadsheets/d/1-uDff_7J0KD5mKrp0Vvzr7lt3OU09vwQwhkpOPPYv2Y/edit?usp=sharing"",""งบพรบ!AS95"")"),0)</f>
        <v>0</v>
      </c>
      <c r="J95" s="93">
        <f t="shared" ca="1" si="67"/>
        <v>0</v>
      </c>
      <c r="K95" s="94">
        <f t="shared" ca="1" si="68"/>
        <v>0</v>
      </c>
      <c r="L95" s="93">
        <f ca="1">IFERROR(__xludf.DUMMYFUNCTION("IMPORTRANGE(""https://docs.google.com/spreadsheets/d/1-uDff_7J0KD5mKrp0Vvzr7lt3OU09vwQwhkpOPPYv2Y/edit?usp=sharing"",""งบพรบ!AT95"")"),0)</f>
        <v>0</v>
      </c>
      <c r="M95" s="95">
        <f t="shared" ca="1" si="69"/>
        <v>0</v>
      </c>
      <c r="N95" s="95">
        <f t="shared" ca="1" si="70"/>
        <v>0</v>
      </c>
      <c r="O95" s="96">
        <f ca="1">IFERROR(__xludf.DUMMYFUNCTION("IMPORTRANGE(""https://docs.google.com/spreadsheets/d/1-uDff_7J0KD5mKrp0Vvzr7lt3OU09vwQwhkpOPPYv2Y/edit?usp=sharing"",""งบพรบ!AU95"")"),0)</f>
        <v>0</v>
      </c>
      <c r="P95" s="96">
        <f t="shared" ca="1" si="71"/>
        <v>0</v>
      </c>
      <c r="Q95" s="95">
        <f t="shared" ca="1" si="72"/>
        <v>0</v>
      </c>
      <c r="R95" s="130">
        <v>0</v>
      </c>
      <c r="S95" s="130">
        <v>0</v>
      </c>
      <c r="T95" s="130">
        <v>0</v>
      </c>
      <c r="U95" s="95">
        <f t="shared" si="35"/>
        <v>0</v>
      </c>
      <c r="V95" s="95">
        <f t="shared" si="36"/>
        <v>0</v>
      </c>
      <c r="W95" s="93"/>
      <c r="X95" s="93"/>
      <c r="Y95" s="93"/>
      <c r="Z95" s="95"/>
      <c r="AA95" s="93"/>
      <c r="AB95" s="95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5"/>
    </row>
    <row r="96" spans="1:43" ht="24" hidden="1" customHeight="1" x14ac:dyDescent="0.25">
      <c r="A96" s="128"/>
      <c r="B96" s="129" t="s">
        <v>122</v>
      </c>
      <c r="C96" s="91">
        <f t="shared" ca="1" si="65"/>
        <v>0</v>
      </c>
      <c r="D96" s="92">
        <f t="shared" ca="1" si="66"/>
        <v>0</v>
      </c>
      <c r="E96" s="93">
        <f ca="1">IFERROR(__xludf.DUMMYFUNCTION("IMPORTRANGE(""https://docs.google.com/spreadsheets/d/1-uDff_7J0KD5mKrp0Vvzr7lt3OU09vwQwhkpOPPYv2Y/edit?usp=sharing"",""งบพรบ!AN96"")"),0)</f>
        <v>0</v>
      </c>
      <c r="F96" s="93">
        <f ca="1">IFERROR(__xludf.DUMMYFUNCTION("IMPORTRANGE(""https://docs.google.com/spreadsheets/d/1-uDff_7J0KD5mKrp0Vvzr7lt3OU09vwQwhkpOPPYv2Y/edit?usp=sharing"",""งบพรบ!AO96"")"),0)</f>
        <v>0</v>
      </c>
      <c r="G96" s="93">
        <f ca="1">IFERROR(__xludf.DUMMYFUNCTION("IMPORTRANGE(""https://docs.google.com/spreadsheets/d/1-uDff_7J0KD5mKrp0Vvzr7lt3OU09vwQwhkpOPPYv2Y/edit?usp=sharing"",""งบพรบ!AP96"")"),0)</f>
        <v>0</v>
      </c>
      <c r="H96" s="93">
        <f ca="1">IFERROR(__xludf.DUMMYFUNCTION("IMPORTRANGE(""https://docs.google.com/spreadsheets/d/1-uDff_7J0KD5mKrp0Vvzr7lt3OU09vwQwhkpOPPYv2Y/edit?usp=sharing"",""งบพรบ!AR96"")"),0)</f>
        <v>0</v>
      </c>
      <c r="I96" s="93">
        <f ca="1">IFERROR(__xludf.DUMMYFUNCTION("IMPORTRANGE(""https://docs.google.com/spreadsheets/d/1-uDff_7J0KD5mKrp0Vvzr7lt3OU09vwQwhkpOPPYv2Y/edit?usp=sharing"",""งบพรบ!AS96"")"),0)</f>
        <v>0</v>
      </c>
      <c r="J96" s="93">
        <f t="shared" ca="1" si="67"/>
        <v>0</v>
      </c>
      <c r="K96" s="94">
        <f t="shared" ca="1" si="68"/>
        <v>0</v>
      </c>
      <c r="L96" s="93">
        <f ca="1">IFERROR(__xludf.DUMMYFUNCTION("IMPORTRANGE(""https://docs.google.com/spreadsheets/d/1-uDff_7J0KD5mKrp0Vvzr7lt3OU09vwQwhkpOPPYv2Y/edit?usp=sharing"",""งบพรบ!AT96"")"),0)</f>
        <v>0</v>
      </c>
      <c r="M96" s="95">
        <f t="shared" ca="1" si="69"/>
        <v>0</v>
      </c>
      <c r="N96" s="95">
        <f t="shared" ca="1" si="70"/>
        <v>0</v>
      </c>
      <c r="O96" s="96">
        <f ca="1">IFERROR(__xludf.DUMMYFUNCTION("IMPORTRANGE(""https://docs.google.com/spreadsheets/d/1-uDff_7J0KD5mKrp0Vvzr7lt3OU09vwQwhkpOPPYv2Y/edit?usp=sharing"",""งบพรบ!AU96"")"),0)</f>
        <v>0</v>
      </c>
      <c r="P96" s="96">
        <f t="shared" ca="1" si="71"/>
        <v>0</v>
      </c>
      <c r="Q96" s="95">
        <f t="shared" ca="1" si="72"/>
        <v>0</v>
      </c>
      <c r="R96" s="130">
        <v>0</v>
      </c>
      <c r="S96" s="130">
        <v>0</v>
      </c>
      <c r="T96" s="130">
        <v>0</v>
      </c>
      <c r="U96" s="95">
        <f t="shared" si="35"/>
        <v>0</v>
      </c>
      <c r="V96" s="95">
        <f t="shared" si="36"/>
        <v>0</v>
      </c>
      <c r="W96" s="93"/>
      <c r="X96" s="93"/>
      <c r="Y96" s="93"/>
      <c r="Z96" s="95"/>
      <c r="AA96" s="93"/>
      <c r="AB96" s="95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5"/>
    </row>
    <row r="97" spans="1:43" ht="24" hidden="1" customHeight="1" x14ac:dyDescent="0.25">
      <c r="A97" s="128"/>
      <c r="B97" s="129" t="s">
        <v>123</v>
      </c>
      <c r="C97" s="91">
        <f t="shared" ca="1" si="65"/>
        <v>0</v>
      </c>
      <c r="D97" s="92">
        <f t="shared" ca="1" si="66"/>
        <v>0</v>
      </c>
      <c r="E97" s="93">
        <f ca="1">IFERROR(__xludf.DUMMYFUNCTION("IMPORTRANGE(""https://docs.google.com/spreadsheets/d/1-uDff_7J0KD5mKrp0Vvzr7lt3OU09vwQwhkpOPPYv2Y/edit?usp=sharing"",""งบพรบ!AN97"")"),0)</f>
        <v>0</v>
      </c>
      <c r="F97" s="93">
        <f ca="1">IFERROR(__xludf.DUMMYFUNCTION("IMPORTRANGE(""https://docs.google.com/spreadsheets/d/1-uDff_7J0KD5mKrp0Vvzr7lt3OU09vwQwhkpOPPYv2Y/edit?usp=sharing"",""งบพรบ!AO97"")"),0)</f>
        <v>0</v>
      </c>
      <c r="G97" s="93">
        <f ca="1">IFERROR(__xludf.DUMMYFUNCTION("IMPORTRANGE(""https://docs.google.com/spreadsheets/d/1-uDff_7J0KD5mKrp0Vvzr7lt3OU09vwQwhkpOPPYv2Y/edit?usp=sharing"",""งบพรบ!AP97"")"),0)</f>
        <v>0</v>
      </c>
      <c r="H97" s="93">
        <f ca="1">IFERROR(__xludf.DUMMYFUNCTION("IMPORTRANGE(""https://docs.google.com/spreadsheets/d/1-uDff_7J0KD5mKrp0Vvzr7lt3OU09vwQwhkpOPPYv2Y/edit?usp=sharing"",""งบพรบ!AR97"")"),0)</f>
        <v>0</v>
      </c>
      <c r="I97" s="93">
        <f ca="1">IFERROR(__xludf.DUMMYFUNCTION("IMPORTRANGE(""https://docs.google.com/spreadsheets/d/1-uDff_7J0KD5mKrp0Vvzr7lt3OU09vwQwhkpOPPYv2Y/edit?usp=sharing"",""งบพรบ!AS97"")"),0)</f>
        <v>0</v>
      </c>
      <c r="J97" s="93">
        <f t="shared" ca="1" si="67"/>
        <v>0</v>
      </c>
      <c r="K97" s="94">
        <f t="shared" ca="1" si="68"/>
        <v>0</v>
      </c>
      <c r="L97" s="93">
        <f ca="1">IFERROR(__xludf.DUMMYFUNCTION("IMPORTRANGE(""https://docs.google.com/spreadsheets/d/1-uDff_7J0KD5mKrp0Vvzr7lt3OU09vwQwhkpOPPYv2Y/edit?usp=sharing"",""งบพรบ!AT97"")"),0)</f>
        <v>0</v>
      </c>
      <c r="M97" s="95">
        <f t="shared" ca="1" si="69"/>
        <v>0</v>
      </c>
      <c r="N97" s="95">
        <f t="shared" ca="1" si="70"/>
        <v>0</v>
      </c>
      <c r="O97" s="96">
        <f ca="1">IFERROR(__xludf.DUMMYFUNCTION("IMPORTRANGE(""https://docs.google.com/spreadsheets/d/1-uDff_7J0KD5mKrp0Vvzr7lt3OU09vwQwhkpOPPYv2Y/edit?usp=sharing"",""งบพรบ!AU97"")"),0)</f>
        <v>0</v>
      </c>
      <c r="P97" s="96">
        <f t="shared" ca="1" si="71"/>
        <v>0</v>
      </c>
      <c r="Q97" s="95">
        <f t="shared" ca="1" si="72"/>
        <v>0</v>
      </c>
      <c r="R97" s="130">
        <v>0</v>
      </c>
      <c r="S97" s="130">
        <v>0</v>
      </c>
      <c r="T97" s="130">
        <v>0</v>
      </c>
      <c r="U97" s="95">
        <f t="shared" si="35"/>
        <v>0</v>
      </c>
      <c r="V97" s="95">
        <f t="shared" si="36"/>
        <v>0</v>
      </c>
      <c r="W97" s="93"/>
      <c r="X97" s="93"/>
      <c r="Y97" s="93"/>
      <c r="Z97" s="95"/>
      <c r="AA97" s="93"/>
      <c r="AB97" s="95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5"/>
    </row>
    <row r="98" spans="1:43" ht="24" hidden="1" customHeight="1" x14ac:dyDescent="0.25">
      <c r="A98" s="128"/>
      <c r="B98" s="129" t="s">
        <v>124</v>
      </c>
      <c r="C98" s="91">
        <f t="shared" ca="1" si="65"/>
        <v>0</v>
      </c>
      <c r="D98" s="92">
        <f t="shared" ca="1" si="66"/>
        <v>0</v>
      </c>
      <c r="E98" s="93">
        <f ca="1">IFERROR(__xludf.DUMMYFUNCTION("IMPORTRANGE(""https://docs.google.com/spreadsheets/d/1-uDff_7J0KD5mKrp0Vvzr7lt3OU09vwQwhkpOPPYv2Y/edit?usp=sharing"",""งบพรบ!AN98"")"),0)</f>
        <v>0</v>
      </c>
      <c r="F98" s="93">
        <f ca="1">IFERROR(__xludf.DUMMYFUNCTION("IMPORTRANGE(""https://docs.google.com/spreadsheets/d/1-uDff_7J0KD5mKrp0Vvzr7lt3OU09vwQwhkpOPPYv2Y/edit?usp=sharing"",""งบพรบ!AO98"")"),0)</f>
        <v>0</v>
      </c>
      <c r="G98" s="93">
        <f ca="1">IFERROR(__xludf.DUMMYFUNCTION("IMPORTRANGE(""https://docs.google.com/spreadsheets/d/1-uDff_7J0KD5mKrp0Vvzr7lt3OU09vwQwhkpOPPYv2Y/edit?usp=sharing"",""งบพรบ!AP98"")"),0)</f>
        <v>0</v>
      </c>
      <c r="H98" s="93">
        <f ca="1">IFERROR(__xludf.DUMMYFUNCTION("IMPORTRANGE(""https://docs.google.com/spreadsheets/d/1-uDff_7J0KD5mKrp0Vvzr7lt3OU09vwQwhkpOPPYv2Y/edit?usp=sharing"",""งบพรบ!AR98"")"),0)</f>
        <v>0</v>
      </c>
      <c r="I98" s="93">
        <f ca="1">IFERROR(__xludf.DUMMYFUNCTION("IMPORTRANGE(""https://docs.google.com/spreadsheets/d/1-uDff_7J0KD5mKrp0Vvzr7lt3OU09vwQwhkpOPPYv2Y/edit?usp=sharing"",""งบพรบ!AS98"")"),0)</f>
        <v>0</v>
      </c>
      <c r="J98" s="93">
        <f t="shared" ca="1" si="67"/>
        <v>0</v>
      </c>
      <c r="K98" s="94">
        <f t="shared" ca="1" si="68"/>
        <v>0</v>
      </c>
      <c r="L98" s="93">
        <f ca="1">IFERROR(__xludf.DUMMYFUNCTION("IMPORTRANGE(""https://docs.google.com/spreadsheets/d/1-uDff_7J0KD5mKrp0Vvzr7lt3OU09vwQwhkpOPPYv2Y/edit?usp=sharing"",""งบพรบ!AT98"")"),0)</f>
        <v>0</v>
      </c>
      <c r="M98" s="95">
        <f t="shared" ca="1" si="69"/>
        <v>0</v>
      </c>
      <c r="N98" s="95">
        <f t="shared" ca="1" si="70"/>
        <v>0</v>
      </c>
      <c r="O98" s="96">
        <f ca="1">IFERROR(__xludf.DUMMYFUNCTION("IMPORTRANGE(""https://docs.google.com/spreadsheets/d/1-uDff_7J0KD5mKrp0Vvzr7lt3OU09vwQwhkpOPPYv2Y/edit?usp=sharing"",""งบพรบ!AU98"")"),0)</f>
        <v>0</v>
      </c>
      <c r="P98" s="96">
        <f t="shared" ca="1" si="71"/>
        <v>0</v>
      </c>
      <c r="Q98" s="95">
        <f t="shared" ca="1" si="72"/>
        <v>0</v>
      </c>
      <c r="R98" s="130">
        <v>0</v>
      </c>
      <c r="S98" s="130">
        <v>0</v>
      </c>
      <c r="T98" s="130">
        <v>0</v>
      </c>
      <c r="U98" s="95">
        <f t="shared" si="35"/>
        <v>0</v>
      </c>
      <c r="V98" s="95">
        <f t="shared" si="36"/>
        <v>0</v>
      </c>
      <c r="W98" s="93"/>
      <c r="X98" s="93"/>
      <c r="Y98" s="93"/>
      <c r="Z98" s="95"/>
      <c r="AA98" s="93"/>
      <c r="AB98" s="95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5"/>
    </row>
    <row r="99" spans="1:43" ht="24" hidden="1" customHeight="1" x14ac:dyDescent="0.25">
      <c r="A99" s="128"/>
      <c r="B99" s="129" t="s">
        <v>125</v>
      </c>
      <c r="C99" s="91">
        <f t="shared" ca="1" si="65"/>
        <v>0</v>
      </c>
      <c r="D99" s="92">
        <f t="shared" ca="1" si="66"/>
        <v>0</v>
      </c>
      <c r="E99" s="93">
        <f ca="1">IFERROR(__xludf.DUMMYFUNCTION("IMPORTRANGE(""https://docs.google.com/spreadsheets/d/1-uDff_7J0KD5mKrp0Vvzr7lt3OU09vwQwhkpOPPYv2Y/edit?usp=sharing"",""งบพรบ!AN99"")"),0)</f>
        <v>0</v>
      </c>
      <c r="F99" s="93">
        <f ca="1">IFERROR(__xludf.DUMMYFUNCTION("IMPORTRANGE(""https://docs.google.com/spreadsheets/d/1-uDff_7J0KD5mKrp0Vvzr7lt3OU09vwQwhkpOPPYv2Y/edit?usp=sharing"",""งบพรบ!AO99"")"),0)</f>
        <v>0</v>
      </c>
      <c r="G99" s="93">
        <f ca="1">IFERROR(__xludf.DUMMYFUNCTION("IMPORTRANGE(""https://docs.google.com/spreadsheets/d/1-uDff_7J0KD5mKrp0Vvzr7lt3OU09vwQwhkpOPPYv2Y/edit?usp=sharing"",""งบพรบ!AP99"")"),0)</f>
        <v>0</v>
      </c>
      <c r="H99" s="93">
        <f ca="1">IFERROR(__xludf.DUMMYFUNCTION("IMPORTRANGE(""https://docs.google.com/spreadsheets/d/1-uDff_7J0KD5mKrp0Vvzr7lt3OU09vwQwhkpOPPYv2Y/edit?usp=sharing"",""งบพรบ!AR99"")"),0)</f>
        <v>0</v>
      </c>
      <c r="I99" s="93">
        <f ca="1">IFERROR(__xludf.DUMMYFUNCTION("IMPORTRANGE(""https://docs.google.com/spreadsheets/d/1-uDff_7J0KD5mKrp0Vvzr7lt3OU09vwQwhkpOPPYv2Y/edit?usp=sharing"",""งบพรบ!AS99"")"),0)</f>
        <v>0</v>
      </c>
      <c r="J99" s="93">
        <f t="shared" ca="1" si="67"/>
        <v>0</v>
      </c>
      <c r="K99" s="94">
        <f t="shared" ca="1" si="68"/>
        <v>0</v>
      </c>
      <c r="L99" s="93">
        <f ca="1">IFERROR(__xludf.DUMMYFUNCTION("IMPORTRANGE(""https://docs.google.com/spreadsheets/d/1-uDff_7J0KD5mKrp0Vvzr7lt3OU09vwQwhkpOPPYv2Y/edit?usp=sharing"",""งบพรบ!AT99"")"),0)</f>
        <v>0</v>
      </c>
      <c r="M99" s="95">
        <f t="shared" ca="1" si="69"/>
        <v>0</v>
      </c>
      <c r="N99" s="95">
        <f t="shared" ca="1" si="70"/>
        <v>0</v>
      </c>
      <c r="O99" s="96">
        <f ca="1">IFERROR(__xludf.DUMMYFUNCTION("IMPORTRANGE(""https://docs.google.com/spreadsheets/d/1-uDff_7J0KD5mKrp0Vvzr7lt3OU09vwQwhkpOPPYv2Y/edit?usp=sharing"",""งบพรบ!AU99"")"),0)</f>
        <v>0</v>
      </c>
      <c r="P99" s="96">
        <f t="shared" ca="1" si="71"/>
        <v>0</v>
      </c>
      <c r="Q99" s="95">
        <f t="shared" ca="1" si="72"/>
        <v>0</v>
      </c>
      <c r="R99" s="130">
        <v>0</v>
      </c>
      <c r="S99" s="130">
        <v>0</v>
      </c>
      <c r="T99" s="130">
        <v>0</v>
      </c>
      <c r="U99" s="95">
        <f t="shared" si="35"/>
        <v>0</v>
      </c>
      <c r="V99" s="95">
        <f t="shared" si="36"/>
        <v>0</v>
      </c>
      <c r="W99" s="93"/>
      <c r="X99" s="93"/>
      <c r="Y99" s="93"/>
      <c r="Z99" s="95"/>
      <c r="AA99" s="93"/>
      <c r="AB99" s="95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5"/>
    </row>
    <row r="100" spans="1:43" ht="24" hidden="1" customHeight="1" x14ac:dyDescent="0.25">
      <c r="A100" s="128"/>
      <c r="B100" s="129" t="s">
        <v>126</v>
      </c>
      <c r="C100" s="91">
        <f t="shared" ca="1" si="65"/>
        <v>0</v>
      </c>
      <c r="D100" s="92">
        <f t="shared" ca="1" si="66"/>
        <v>0</v>
      </c>
      <c r="E100" s="93">
        <f ca="1">IFERROR(__xludf.DUMMYFUNCTION("IMPORTRANGE(""https://docs.google.com/spreadsheets/d/1-uDff_7J0KD5mKrp0Vvzr7lt3OU09vwQwhkpOPPYv2Y/edit?usp=sharing"",""งบพรบ!AN100"")"),0)</f>
        <v>0</v>
      </c>
      <c r="F100" s="93">
        <f ca="1">IFERROR(__xludf.DUMMYFUNCTION("IMPORTRANGE(""https://docs.google.com/spreadsheets/d/1-uDff_7J0KD5mKrp0Vvzr7lt3OU09vwQwhkpOPPYv2Y/edit?usp=sharing"",""งบพรบ!AO100"")"),0)</f>
        <v>0</v>
      </c>
      <c r="G100" s="93">
        <f ca="1">IFERROR(__xludf.DUMMYFUNCTION("IMPORTRANGE(""https://docs.google.com/spreadsheets/d/1-uDff_7J0KD5mKrp0Vvzr7lt3OU09vwQwhkpOPPYv2Y/edit?usp=sharing"",""งบพรบ!AP100"")"),0)</f>
        <v>0</v>
      </c>
      <c r="H100" s="93">
        <f ca="1">IFERROR(__xludf.DUMMYFUNCTION("IMPORTRANGE(""https://docs.google.com/spreadsheets/d/1-uDff_7J0KD5mKrp0Vvzr7lt3OU09vwQwhkpOPPYv2Y/edit?usp=sharing"",""งบพรบ!AR100"")"),0)</f>
        <v>0</v>
      </c>
      <c r="I100" s="93">
        <f ca="1">IFERROR(__xludf.DUMMYFUNCTION("IMPORTRANGE(""https://docs.google.com/spreadsheets/d/1-uDff_7J0KD5mKrp0Vvzr7lt3OU09vwQwhkpOPPYv2Y/edit?usp=sharing"",""งบพรบ!AS100"")"),0)</f>
        <v>0</v>
      </c>
      <c r="J100" s="93">
        <f t="shared" ca="1" si="67"/>
        <v>0</v>
      </c>
      <c r="K100" s="94">
        <f t="shared" ca="1" si="68"/>
        <v>0</v>
      </c>
      <c r="L100" s="93">
        <f ca="1">IFERROR(__xludf.DUMMYFUNCTION("IMPORTRANGE(""https://docs.google.com/spreadsheets/d/1-uDff_7J0KD5mKrp0Vvzr7lt3OU09vwQwhkpOPPYv2Y/edit?usp=sharing"",""งบพรบ!AT100"")"),0)</f>
        <v>0</v>
      </c>
      <c r="M100" s="95">
        <f t="shared" ca="1" si="69"/>
        <v>0</v>
      </c>
      <c r="N100" s="95">
        <f t="shared" ca="1" si="70"/>
        <v>0</v>
      </c>
      <c r="O100" s="96">
        <f ca="1">IFERROR(__xludf.DUMMYFUNCTION("IMPORTRANGE(""https://docs.google.com/spreadsheets/d/1-uDff_7J0KD5mKrp0Vvzr7lt3OU09vwQwhkpOPPYv2Y/edit?usp=sharing"",""งบพรบ!AU100"")"),0)</f>
        <v>0</v>
      </c>
      <c r="P100" s="96">
        <f t="shared" ca="1" si="71"/>
        <v>0</v>
      </c>
      <c r="Q100" s="95">
        <f t="shared" ca="1" si="72"/>
        <v>0</v>
      </c>
      <c r="R100" s="130">
        <v>0</v>
      </c>
      <c r="S100" s="130">
        <v>0</v>
      </c>
      <c r="T100" s="130">
        <v>0</v>
      </c>
      <c r="U100" s="95">
        <f t="shared" si="35"/>
        <v>0</v>
      </c>
      <c r="V100" s="95">
        <f t="shared" si="36"/>
        <v>0</v>
      </c>
      <c r="W100" s="93"/>
      <c r="X100" s="93"/>
      <c r="Y100" s="93"/>
      <c r="Z100" s="95"/>
      <c r="AA100" s="93"/>
      <c r="AB100" s="95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5"/>
    </row>
    <row r="101" spans="1:43" ht="24" hidden="1" customHeight="1" x14ac:dyDescent="0.25">
      <c r="A101" s="128"/>
      <c r="B101" s="129" t="s">
        <v>127</v>
      </c>
      <c r="C101" s="91">
        <f t="shared" ca="1" si="65"/>
        <v>4324100</v>
      </c>
      <c r="D101" s="92">
        <f t="shared" ca="1" si="66"/>
        <v>4324100</v>
      </c>
      <c r="E101" s="93">
        <f ca="1">IFERROR(__xludf.DUMMYFUNCTION("IMPORTRANGE(""https://docs.google.com/spreadsheets/d/1-uDff_7J0KD5mKrp0Vvzr7lt3OU09vwQwhkpOPPYv2Y/edit?usp=sharing"",""งบพรบ!AN101"")"),1741500)</f>
        <v>1741500</v>
      </c>
      <c r="F101" s="93">
        <f ca="1">IFERROR(__xludf.DUMMYFUNCTION("IMPORTRANGE(""https://docs.google.com/spreadsheets/d/1-uDff_7J0KD5mKrp0Vvzr7lt3OU09vwQwhkpOPPYv2Y/edit?usp=sharing"",""งบพรบ!AO101"")"),2582600)</f>
        <v>2582600</v>
      </c>
      <c r="G101" s="93">
        <f ca="1">IFERROR(__xludf.DUMMYFUNCTION("IMPORTRANGE(""https://docs.google.com/spreadsheets/d/1-uDff_7J0KD5mKrp0Vvzr7lt3OU09vwQwhkpOPPYv2Y/edit?usp=sharing"",""งบพรบ!AP101"")"),0)</f>
        <v>0</v>
      </c>
      <c r="H101" s="93">
        <f ca="1">IFERROR(__xludf.DUMMYFUNCTION("IMPORTRANGE(""https://docs.google.com/spreadsheets/d/1-uDff_7J0KD5mKrp0Vvzr7lt3OU09vwQwhkpOPPYv2Y/edit?usp=sharing"",""งบพรบ!AR101"")"),6532083)</f>
        <v>6532083</v>
      </c>
      <c r="I101" s="93">
        <f ca="1">IFERROR(__xludf.DUMMYFUNCTION("IMPORTRANGE(""https://docs.google.com/spreadsheets/d/1-uDff_7J0KD5mKrp0Vvzr7lt3OU09vwQwhkpOPPYv2Y/edit?usp=sharing"",""งบพรบ!AS101"")"),0)</f>
        <v>0</v>
      </c>
      <c r="J101" s="93">
        <f t="shared" ca="1" si="67"/>
        <v>1091191.31</v>
      </c>
      <c r="K101" s="94">
        <f t="shared" ca="1" si="68"/>
        <v>25.235108114983465</v>
      </c>
      <c r="L101" s="93">
        <f ca="1">IFERROR(__xludf.DUMMYFUNCTION("IMPORTRANGE(""https://docs.google.com/spreadsheets/d/1-uDff_7J0KD5mKrp0Vvzr7lt3OU09vwQwhkpOPPYv2Y/edit?usp=sharing"",""งบพรบ!AT101"")"),1091191.31)</f>
        <v>1091191.31</v>
      </c>
      <c r="M101" s="95">
        <f t="shared" ca="1" si="69"/>
        <v>25.235108114983465</v>
      </c>
      <c r="N101" s="95">
        <f t="shared" ca="1" si="70"/>
        <v>16.705104788166349</v>
      </c>
      <c r="O101" s="96">
        <f ca="1">IFERROR(__xludf.DUMMYFUNCTION("IMPORTRANGE(""https://docs.google.com/spreadsheets/d/1-uDff_7J0KD5mKrp0Vvzr7lt3OU09vwQwhkpOPPYv2Y/edit?usp=sharing"",""งบพรบ!AU101"")"),0)</f>
        <v>0</v>
      </c>
      <c r="P101" s="96">
        <f t="shared" ca="1" si="71"/>
        <v>0</v>
      </c>
      <c r="Q101" s="95">
        <f t="shared" ca="1" si="72"/>
        <v>0</v>
      </c>
      <c r="R101" s="130">
        <v>0</v>
      </c>
      <c r="S101" s="130">
        <v>0</v>
      </c>
      <c r="T101" s="130">
        <v>0</v>
      </c>
      <c r="U101" s="95">
        <f t="shared" si="35"/>
        <v>0</v>
      </c>
      <c r="V101" s="95">
        <f t="shared" si="36"/>
        <v>0</v>
      </c>
      <c r="W101" s="93"/>
      <c r="X101" s="93"/>
      <c r="Y101" s="93"/>
      <c r="Z101" s="95"/>
      <c r="AA101" s="93"/>
      <c r="AB101" s="95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5"/>
    </row>
    <row r="102" spans="1:43" ht="24" hidden="1" customHeight="1" x14ac:dyDescent="0.25">
      <c r="A102" s="128"/>
      <c r="B102" s="129" t="s">
        <v>128</v>
      </c>
      <c r="C102" s="91">
        <f t="shared" ca="1" si="65"/>
        <v>0</v>
      </c>
      <c r="D102" s="92">
        <f t="shared" ca="1" si="66"/>
        <v>0</v>
      </c>
      <c r="E102" s="93">
        <f ca="1">IFERROR(__xludf.DUMMYFUNCTION("IMPORTRANGE(""https://docs.google.com/spreadsheets/d/1-uDff_7J0KD5mKrp0Vvzr7lt3OU09vwQwhkpOPPYv2Y/edit?usp=sharing"",""งบพรบ!AN102"")"),0)</f>
        <v>0</v>
      </c>
      <c r="F102" s="93">
        <f ca="1">IFERROR(__xludf.DUMMYFUNCTION("IMPORTRANGE(""https://docs.google.com/spreadsheets/d/1-uDff_7J0KD5mKrp0Vvzr7lt3OU09vwQwhkpOPPYv2Y/edit?usp=sharing"",""งบพรบ!AO102"")"),0)</f>
        <v>0</v>
      </c>
      <c r="G102" s="93">
        <f ca="1">IFERROR(__xludf.DUMMYFUNCTION("IMPORTRANGE(""https://docs.google.com/spreadsheets/d/1-uDff_7J0KD5mKrp0Vvzr7lt3OU09vwQwhkpOPPYv2Y/edit?usp=sharing"",""งบพรบ!AP102"")"),0)</f>
        <v>0</v>
      </c>
      <c r="H102" s="93">
        <f ca="1">IFERROR(__xludf.DUMMYFUNCTION("IMPORTRANGE(""https://docs.google.com/spreadsheets/d/1-uDff_7J0KD5mKrp0Vvzr7lt3OU09vwQwhkpOPPYv2Y/edit?usp=sharing"",""งบพรบ!AR102"")"),0)</f>
        <v>0</v>
      </c>
      <c r="I102" s="93">
        <f ca="1">IFERROR(__xludf.DUMMYFUNCTION("IMPORTRANGE(""https://docs.google.com/spreadsheets/d/1-uDff_7J0KD5mKrp0Vvzr7lt3OU09vwQwhkpOPPYv2Y/edit?usp=sharing"",""งบพรบ!AS102"")"),0)</f>
        <v>0</v>
      </c>
      <c r="J102" s="93">
        <f t="shared" ca="1" si="67"/>
        <v>0</v>
      </c>
      <c r="K102" s="94">
        <f t="shared" ca="1" si="68"/>
        <v>0</v>
      </c>
      <c r="L102" s="93">
        <f ca="1">IFERROR(__xludf.DUMMYFUNCTION("IMPORTRANGE(""https://docs.google.com/spreadsheets/d/1-uDff_7J0KD5mKrp0Vvzr7lt3OU09vwQwhkpOPPYv2Y/edit?usp=sharing"",""งบพรบ!AT102"")"),0)</f>
        <v>0</v>
      </c>
      <c r="M102" s="95">
        <f t="shared" ca="1" si="69"/>
        <v>0</v>
      </c>
      <c r="N102" s="95">
        <f t="shared" ca="1" si="70"/>
        <v>0</v>
      </c>
      <c r="O102" s="96">
        <f ca="1">IFERROR(__xludf.DUMMYFUNCTION("IMPORTRANGE(""https://docs.google.com/spreadsheets/d/1-uDff_7J0KD5mKrp0Vvzr7lt3OU09vwQwhkpOPPYv2Y/edit?usp=sharing"",""งบพรบ!AU102"")"),0)</f>
        <v>0</v>
      </c>
      <c r="P102" s="96">
        <f t="shared" ca="1" si="71"/>
        <v>0</v>
      </c>
      <c r="Q102" s="95">
        <f t="shared" ca="1" si="72"/>
        <v>0</v>
      </c>
      <c r="R102" s="130">
        <v>0</v>
      </c>
      <c r="S102" s="130">
        <v>0</v>
      </c>
      <c r="T102" s="130">
        <v>0</v>
      </c>
      <c r="U102" s="95">
        <f t="shared" si="35"/>
        <v>0</v>
      </c>
      <c r="V102" s="95">
        <f t="shared" si="36"/>
        <v>0</v>
      </c>
      <c r="W102" s="93"/>
      <c r="X102" s="93"/>
      <c r="Y102" s="93"/>
      <c r="Z102" s="95"/>
      <c r="AA102" s="93"/>
      <c r="AB102" s="95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5"/>
    </row>
    <row r="103" spans="1:43" ht="24" hidden="1" customHeight="1" x14ac:dyDescent="0.25">
      <c r="A103" s="128"/>
      <c r="B103" s="129" t="s">
        <v>129</v>
      </c>
      <c r="C103" s="91">
        <f t="shared" ca="1" si="65"/>
        <v>0</v>
      </c>
      <c r="D103" s="92">
        <f t="shared" ca="1" si="66"/>
        <v>0</v>
      </c>
      <c r="E103" s="93">
        <f ca="1">IFERROR(__xludf.DUMMYFUNCTION("IMPORTRANGE(""https://docs.google.com/spreadsheets/d/1-uDff_7J0KD5mKrp0Vvzr7lt3OU09vwQwhkpOPPYv2Y/edit?usp=sharing"",""งบพรบ!AN103"")"),0)</f>
        <v>0</v>
      </c>
      <c r="F103" s="93">
        <f ca="1">IFERROR(__xludf.DUMMYFUNCTION("IMPORTRANGE(""https://docs.google.com/spreadsheets/d/1-uDff_7J0KD5mKrp0Vvzr7lt3OU09vwQwhkpOPPYv2Y/edit?usp=sharing"",""งบพรบ!AO103"")"),0)</f>
        <v>0</v>
      </c>
      <c r="G103" s="93">
        <f ca="1">IFERROR(__xludf.DUMMYFUNCTION("IMPORTRANGE(""https://docs.google.com/spreadsheets/d/1-uDff_7J0KD5mKrp0Vvzr7lt3OU09vwQwhkpOPPYv2Y/edit?usp=sharing"",""งบพรบ!AP103"")"),0)</f>
        <v>0</v>
      </c>
      <c r="H103" s="93">
        <f ca="1">IFERROR(__xludf.DUMMYFUNCTION("IMPORTRANGE(""https://docs.google.com/spreadsheets/d/1-uDff_7J0KD5mKrp0Vvzr7lt3OU09vwQwhkpOPPYv2Y/edit?usp=sharing"",""งบพรบ!AR103"")"),0)</f>
        <v>0</v>
      </c>
      <c r="I103" s="93">
        <f ca="1">IFERROR(__xludf.DUMMYFUNCTION("IMPORTRANGE(""https://docs.google.com/spreadsheets/d/1-uDff_7J0KD5mKrp0Vvzr7lt3OU09vwQwhkpOPPYv2Y/edit?usp=sharing"",""งบพรบ!AS103"")"),0)</f>
        <v>0</v>
      </c>
      <c r="J103" s="93">
        <f t="shared" ca="1" si="67"/>
        <v>0</v>
      </c>
      <c r="K103" s="94">
        <f t="shared" ca="1" si="68"/>
        <v>0</v>
      </c>
      <c r="L103" s="93">
        <f ca="1">IFERROR(__xludf.DUMMYFUNCTION("IMPORTRANGE(""https://docs.google.com/spreadsheets/d/1-uDff_7J0KD5mKrp0Vvzr7lt3OU09vwQwhkpOPPYv2Y/edit?usp=sharing"",""งบพรบ!AT103"")"),0)</f>
        <v>0</v>
      </c>
      <c r="M103" s="95">
        <f t="shared" ca="1" si="69"/>
        <v>0</v>
      </c>
      <c r="N103" s="95">
        <f t="shared" ca="1" si="70"/>
        <v>0</v>
      </c>
      <c r="O103" s="96">
        <f ca="1">IFERROR(__xludf.DUMMYFUNCTION("IMPORTRANGE(""https://docs.google.com/spreadsheets/d/1-uDff_7J0KD5mKrp0Vvzr7lt3OU09vwQwhkpOPPYv2Y/edit?usp=sharing"",""งบพรบ!AU103"")"),0)</f>
        <v>0</v>
      </c>
      <c r="P103" s="96">
        <f t="shared" ca="1" si="71"/>
        <v>0</v>
      </c>
      <c r="Q103" s="95">
        <f t="shared" ca="1" si="72"/>
        <v>0</v>
      </c>
      <c r="R103" s="131">
        <v>0</v>
      </c>
      <c r="S103" s="131">
        <v>0</v>
      </c>
      <c r="T103" s="131">
        <v>0</v>
      </c>
      <c r="U103" s="132">
        <f t="shared" si="35"/>
        <v>0</v>
      </c>
      <c r="V103" s="132">
        <f t="shared" si="36"/>
        <v>0</v>
      </c>
      <c r="W103" s="93"/>
      <c r="X103" s="93"/>
      <c r="Y103" s="93"/>
      <c r="Z103" s="95"/>
      <c r="AA103" s="93"/>
      <c r="AB103" s="95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5"/>
    </row>
    <row r="104" spans="1:43" ht="24" hidden="1" customHeight="1" x14ac:dyDescent="0.25">
      <c r="A104" s="128"/>
      <c r="B104" s="129" t="s">
        <v>130</v>
      </c>
      <c r="C104" s="91">
        <f t="shared" ca="1" si="65"/>
        <v>160100</v>
      </c>
      <c r="D104" s="92">
        <f t="shared" ca="1" si="66"/>
        <v>160100</v>
      </c>
      <c r="E104" s="93">
        <f ca="1">IFERROR(__xludf.DUMMYFUNCTION("IMPORTRANGE(""https://docs.google.com/spreadsheets/d/1-uDff_7J0KD5mKrp0Vvzr7lt3OU09vwQwhkpOPPYv2Y/edit?usp=sharing"",""งบพรบ!AN104"")"),160100)</f>
        <v>160100</v>
      </c>
      <c r="F104" s="93">
        <f ca="1">IFERROR(__xludf.DUMMYFUNCTION("IMPORTRANGE(""https://docs.google.com/spreadsheets/d/1-uDff_7J0KD5mKrp0Vvzr7lt3OU09vwQwhkpOPPYv2Y/edit?usp=sharing"",""งบพรบ!AO104"")"),0)</f>
        <v>0</v>
      </c>
      <c r="G104" s="93">
        <f ca="1">IFERROR(__xludf.DUMMYFUNCTION("IMPORTRANGE(""https://docs.google.com/spreadsheets/d/1-uDff_7J0KD5mKrp0Vvzr7lt3OU09vwQwhkpOPPYv2Y/edit?usp=sharing"",""งบพรบ!AP104"")"),0)</f>
        <v>0</v>
      </c>
      <c r="H104" s="93">
        <f ca="1">IFERROR(__xludf.DUMMYFUNCTION("IMPORTRANGE(""https://docs.google.com/spreadsheets/d/1-uDff_7J0KD5mKrp0Vvzr7lt3OU09vwQwhkpOPPYv2Y/edit?usp=sharing"",""งบพรบ!AR104"")"),90100)</f>
        <v>90100</v>
      </c>
      <c r="I104" s="93">
        <f ca="1">IFERROR(__xludf.DUMMYFUNCTION("IMPORTRANGE(""https://docs.google.com/spreadsheets/d/1-uDff_7J0KD5mKrp0Vvzr7lt3OU09vwQwhkpOPPYv2Y/edit?usp=sharing"",""งบพรบ!AS104"")"),0)</f>
        <v>0</v>
      </c>
      <c r="J104" s="93">
        <f t="shared" ca="1" si="67"/>
        <v>0</v>
      </c>
      <c r="K104" s="94">
        <f t="shared" ca="1" si="68"/>
        <v>0</v>
      </c>
      <c r="L104" s="93">
        <f ca="1">IFERROR(__xludf.DUMMYFUNCTION("IMPORTRANGE(""https://docs.google.com/spreadsheets/d/1-uDff_7J0KD5mKrp0Vvzr7lt3OU09vwQwhkpOPPYv2Y/edit?usp=sharing"",""งบพรบ!AT104"")"),0)</f>
        <v>0</v>
      </c>
      <c r="M104" s="95">
        <f t="shared" ca="1" si="69"/>
        <v>0</v>
      </c>
      <c r="N104" s="95">
        <f t="shared" ca="1" si="70"/>
        <v>0</v>
      </c>
      <c r="O104" s="96">
        <f ca="1">IFERROR(__xludf.DUMMYFUNCTION("IMPORTRANGE(""https://docs.google.com/spreadsheets/d/1-uDff_7J0KD5mKrp0Vvzr7lt3OU09vwQwhkpOPPYv2Y/edit?usp=sharing"",""งบพรบ!AU104"")"),0)</f>
        <v>0</v>
      </c>
      <c r="P104" s="96">
        <f t="shared" ca="1" si="71"/>
        <v>0</v>
      </c>
      <c r="Q104" s="95">
        <f t="shared" ca="1" si="72"/>
        <v>0</v>
      </c>
      <c r="R104" s="130">
        <v>0</v>
      </c>
      <c r="S104" s="130">
        <v>0</v>
      </c>
      <c r="T104" s="130">
        <v>0</v>
      </c>
      <c r="U104" s="95">
        <f t="shared" si="35"/>
        <v>0</v>
      </c>
      <c r="V104" s="95">
        <f t="shared" si="36"/>
        <v>0</v>
      </c>
      <c r="W104" s="93"/>
      <c r="X104" s="93"/>
      <c r="Y104" s="93"/>
      <c r="Z104" s="95"/>
      <c r="AA104" s="93"/>
      <c r="AB104" s="95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5"/>
    </row>
    <row r="105" spans="1:43" ht="24" hidden="1" customHeight="1" x14ac:dyDescent="0.25">
      <c r="A105" s="128"/>
      <c r="B105" s="133" t="s">
        <v>131</v>
      </c>
      <c r="C105" s="91">
        <f t="shared" ca="1" si="65"/>
        <v>0</v>
      </c>
      <c r="D105" s="92">
        <f t="shared" ca="1" si="66"/>
        <v>0</v>
      </c>
      <c r="E105" s="93">
        <f ca="1">IFERROR(__xludf.DUMMYFUNCTION("IMPORTRANGE(""https://docs.google.com/spreadsheets/d/1-uDff_7J0KD5mKrp0Vvzr7lt3OU09vwQwhkpOPPYv2Y/edit?usp=sharing"",""งบพรบ!AN105"")"),0)</f>
        <v>0</v>
      </c>
      <c r="F105" s="93">
        <f ca="1">IFERROR(__xludf.DUMMYFUNCTION("IMPORTRANGE(""https://docs.google.com/spreadsheets/d/1-uDff_7J0KD5mKrp0Vvzr7lt3OU09vwQwhkpOPPYv2Y/edit?usp=sharing"",""งบพรบ!AO105"")"),0)</f>
        <v>0</v>
      </c>
      <c r="G105" s="93">
        <v>0</v>
      </c>
      <c r="H105" s="93">
        <f ca="1">IFERROR(__xludf.DUMMYFUNCTION("IMPORTRANGE(""https://docs.google.com/spreadsheets/d/1-uDff_7J0KD5mKrp0Vvzr7lt3OU09vwQwhkpOPPYv2Y/edit?usp=sharing"",""งบพรบ!AR105"")"),0)</f>
        <v>0</v>
      </c>
      <c r="I105" s="93">
        <f ca="1">IFERROR(__xludf.DUMMYFUNCTION("IMPORTRANGE(""https://docs.google.com/spreadsheets/d/1-uDff_7J0KD5mKrp0Vvzr7lt3OU09vwQwhkpOPPYv2Y/edit?usp=sharing"",""งบพรบ!AS105"")"),0)</f>
        <v>0</v>
      </c>
      <c r="J105" s="93">
        <f t="shared" ca="1" si="67"/>
        <v>0</v>
      </c>
      <c r="K105" s="94">
        <f t="shared" ca="1" si="68"/>
        <v>0</v>
      </c>
      <c r="L105" s="93">
        <f ca="1">IFERROR(__xludf.DUMMYFUNCTION("IMPORTRANGE(""https://docs.google.com/spreadsheets/d/1-uDff_7J0KD5mKrp0Vvzr7lt3OU09vwQwhkpOPPYv2Y/edit?usp=sharing"",""งบพรบ!AT105"")"),0)</f>
        <v>0</v>
      </c>
      <c r="M105" s="95">
        <f t="shared" ca="1" si="69"/>
        <v>0</v>
      </c>
      <c r="N105" s="95">
        <f t="shared" ca="1" si="70"/>
        <v>0</v>
      </c>
      <c r="O105" s="96">
        <f ca="1">IFERROR(__xludf.DUMMYFUNCTION("IMPORTRANGE(""https://docs.google.com/spreadsheets/d/1-uDff_7J0KD5mKrp0Vvzr7lt3OU09vwQwhkpOPPYv2Y/edit?usp=sharing"",""งบพรบ!AU105"")"),0)</f>
        <v>0</v>
      </c>
      <c r="P105" s="96">
        <f t="shared" si="71"/>
        <v>0</v>
      </c>
      <c r="Q105" s="95">
        <f t="shared" ca="1" si="72"/>
        <v>0</v>
      </c>
      <c r="R105" s="134">
        <v>0</v>
      </c>
      <c r="S105" s="134">
        <v>0</v>
      </c>
      <c r="T105" s="134">
        <v>0</v>
      </c>
      <c r="U105" s="135">
        <f t="shared" si="35"/>
        <v>0</v>
      </c>
      <c r="V105" s="135">
        <f t="shared" si="36"/>
        <v>0</v>
      </c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</row>
    <row r="106" spans="1:43" ht="24" hidden="1" customHeight="1" x14ac:dyDescent="0.25">
      <c r="A106" s="136"/>
      <c r="B106" s="137" t="s">
        <v>132</v>
      </c>
      <c r="C106" s="102">
        <f t="shared" ca="1" si="65"/>
        <v>0</v>
      </c>
      <c r="D106" s="103">
        <f t="shared" ca="1" si="66"/>
        <v>0</v>
      </c>
      <c r="E106" s="104">
        <f ca="1">IFERROR(__xludf.DUMMYFUNCTION("IMPORTRANGE(""https://docs.google.com/spreadsheets/d/1-uDff_7J0KD5mKrp0Vvzr7lt3OU09vwQwhkpOPPYv2Y/edit?usp=sharing"",""งบพรบ!AN106"")"),0)</f>
        <v>0</v>
      </c>
      <c r="F106" s="104">
        <f ca="1">IFERROR(__xludf.DUMMYFUNCTION("IMPORTRANGE(""https://docs.google.com/spreadsheets/d/1-uDff_7J0KD5mKrp0Vvzr7lt3OU09vwQwhkpOPPYv2Y/edit?usp=sharing"",""งบพรบ!AO106"")"),0)</f>
        <v>0</v>
      </c>
      <c r="G106" s="104">
        <v>0</v>
      </c>
      <c r="H106" s="104">
        <f ca="1">IFERROR(__xludf.DUMMYFUNCTION("IMPORTRANGE(""https://docs.google.com/spreadsheets/d/1-uDff_7J0KD5mKrp0Vvzr7lt3OU09vwQwhkpOPPYv2Y/edit?usp=sharing"",""งบพรบ!AR106"")"),0)</f>
        <v>0</v>
      </c>
      <c r="I106" s="104">
        <f ca="1">IFERROR(__xludf.DUMMYFUNCTION("IMPORTRANGE(""https://docs.google.com/spreadsheets/d/1-uDff_7J0KD5mKrp0Vvzr7lt3OU09vwQwhkpOPPYv2Y/edit?usp=sharing"",""งบพรบ!AS106"")"),0)</f>
        <v>0</v>
      </c>
      <c r="J106" s="104">
        <f t="shared" ca="1" si="67"/>
        <v>0</v>
      </c>
      <c r="K106" s="105">
        <f t="shared" ca="1" si="68"/>
        <v>0</v>
      </c>
      <c r="L106" s="104">
        <f ca="1">IFERROR(__xludf.DUMMYFUNCTION("IMPORTRANGE(""https://docs.google.com/spreadsheets/d/1-uDff_7J0KD5mKrp0Vvzr7lt3OU09vwQwhkpOPPYv2Y/edit?usp=sharing"",""งบพรบ!AT106"")"),0)</f>
        <v>0</v>
      </c>
      <c r="M106" s="106">
        <f t="shared" ca="1" si="69"/>
        <v>0</v>
      </c>
      <c r="N106" s="106">
        <f t="shared" ca="1" si="70"/>
        <v>0</v>
      </c>
      <c r="O106" s="107">
        <f ca="1">IFERROR(__xludf.DUMMYFUNCTION("IMPORTRANGE(""https://docs.google.com/spreadsheets/d/1-uDff_7J0KD5mKrp0Vvzr7lt3OU09vwQwhkpOPPYv2Y/edit?usp=sharing"",""งบพรบ!AU106"")"),0)</f>
        <v>0</v>
      </c>
      <c r="P106" s="107">
        <f t="shared" si="71"/>
        <v>0</v>
      </c>
      <c r="Q106" s="106">
        <f t="shared" ca="1" si="72"/>
        <v>0</v>
      </c>
      <c r="R106" s="138">
        <v>0</v>
      </c>
      <c r="S106" s="138">
        <v>0</v>
      </c>
      <c r="T106" s="138">
        <v>0</v>
      </c>
      <c r="U106" s="106">
        <f t="shared" si="35"/>
        <v>0</v>
      </c>
      <c r="V106" s="106">
        <f t="shared" si="36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</row>
  </sheetData>
  <mergeCells count="41">
    <mergeCell ref="A31:B31"/>
    <mergeCell ref="A52:B52"/>
    <mergeCell ref="A74:B74"/>
    <mergeCell ref="A89:B89"/>
    <mergeCell ref="D5:D6"/>
    <mergeCell ref="F5:F6"/>
    <mergeCell ref="G5:G6"/>
    <mergeCell ref="AC5:AD5"/>
    <mergeCell ref="AE5:AF5"/>
    <mergeCell ref="AG5:AH5"/>
    <mergeCell ref="A2:B6"/>
    <mergeCell ref="C5:C6"/>
    <mergeCell ref="A7:B7"/>
    <mergeCell ref="A13:B13"/>
    <mergeCell ref="E5:E6"/>
    <mergeCell ref="AM5:AN5"/>
    <mergeCell ref="AP5:AQ5"/>
    <mergeCell ref="C2:AQ2"/>
    <mergeCell ref="C3:Q3"/>
    <mergeCell ref="W3:AN3"/>
    <mergeCell ref="AO3:AQ4"/>
    <mergeCell ref="C4:G4"/>
    <mergeCell ref="AK4:AN4"/>
    <mergeCell ref="O5:Q5"/>
    <mergeCell ref="H4:I4"/>
    <mergeCell ref="J4:Q4"/>
    <mergeCell ref="R4:R6"/>
    <mergeCell ref="S4:S6"/>
    <mergeCell ref="T4:T6"/>
    <mergeCell ref="U4:U6"/>
    <mergeCell ref="AC4:AF4"/>
    <mergeCell ref="AK5:AL5"/>
    <mergeCell ref="R3:V3"/>
    <mergeCell ref="W4:AB4"/>
    <mergeCell ref="J5:K5"/>
    <mergeCell ref="L5:N5"/>
    <mergeCell ref="V4:V6"/>
    <mergeCell ref="W5:X5"/>
    <mergeCell ref="Y5:AB5"/>
    <mergeCell ref="AG4:AJ4"/>
    <mergeCell ref="AI5:AJ5"/>
  </mergeCells>
  <printOptions horizontalCentered="1"/>
  <pageMargins left="0.23622047244094491" right="0.23622047244094491" top="0.55118110236220474" bottom="0.55118110236220474" header="0" footer="0"/>
  <pageSetup paperSize="9" scale="45" fitToWidth="0" fitToHeight="0" orientation="landscape" r:id="rId1"/>
  <headerFooter>
    <oddFooter>&amp;Cหน้า &amp;P/&amp;N</oddFooter>
  </headerFooter>
  <rowBreaks count="6" manualBreakCount="6">
    <brk id="30" max="16383" man="1"/>
    <brk id="51" max="16383" man="1"/>
    <brk id="73" max="16383" man="1"/>
    <brk id="88" max="16383" man="1"/>
    <brk id="73" man="1"/>
    <brk id="30" man="1"/>
  </rowBreaks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AE106"/>
  <sheetViews>
    <sheetView view="pageBreakPreview" zoomScale="60" zoomScaleNormal="50" workbookViewId="0">
      <pane xSplit="2" ySplit="7" topLeftCell="C8" activePane="bottomRight" state="frozen"/>
      <selection activeCell="A13" sqref="A13:B13"/>
      <selection pane="topRight" activeCell="A13" sqref="A13:B13"/>
      <selection pane="bottomLeft" activeCell="A13" sqref="A13:B13"/>
      <selection pane="bottomRight" activeCell="B1" sqref="B1"/>
    </sheetView>
  </sheetViews>
  <sheetFormatPr defaultColWidth="12.5703125" defaultRowHeight="15.75" customHeight="1" x14ac:dyDescent="0.2"/>
  <cols>
    <col min="1" max="1" width="6.42578125" customWidth="1"/>
    <col min="2" max="2" width="22.5703125" customWidth="1"/>
    <col min="3" max="3" width="16.85546875" bestFit="1" customWidth="1"/>
    <col min="4" max="4" width="17.5703125" bestFit="1" customWidth="1"/>
    <col min="5" max="6" width="15.140625" customWidth="1"/>
    <col min="7" max="7" width="10.140625" customWidth="1"/>
    <col min="8" max="8" width="19.85546875" bestFit="1" customWidth="1"/>
    <col min="9" max="9" width="10.140625" customWidth="1"/>
    <col min="10" max="10" width="15.140625" customWidth="1"/>
    <col min="11" max="11" width="11.42578125" customWidth="1"/>
    <col min="12" max="14" width="15.140625" customWidth="1"/>
    <col min="15" max="15" width="10.42578125" customWidth="1"/>
    <col min="16" max="17" width="15.140625" customWidth="1"/>
    <col min="18" max="18" width="17.85546875" bestFit="1" customWidth="1"/>
    <col min="19" max="19" width="11" bestFit="1" customWidth="1"/>
    <col min="20" max="20" width="12.42578125" bestFit="1" customWidth="1"/>
    <col min="21" max="21" width="10.7109375" bestFit="1" customWidth="1"/>
    <col min="22" max="22" width="12" bestFit="1" customWidth="1"/>
    <col min="23" max="31" width="22.28515625" customWidth="1"/>
  </cols>
  <sheetData>
    <row r="1" spans="1:31" ht="24" customHeight="1" x14ac:dyDescent="0.3">
      <c r="A1" s="1" t="s">
        <v>0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  <c r="N1" s="141"/>
      <c r="O1" s="142"/>
      <c r="P1" s="142"/>
      <c r="Q1" s="142"/>
      <c r="R1" s="142"/>
      <c r="S1" s="142"/>
      <c r="T1" s="142"/>
      <c r="U1" s="142"/>
      <c r="V1" s="142"/>
      <c r="W1" s="139"/>
      <c r="X1" s="139"/>
      <c r="Y1" s="139"/>
      <c r="Z1" s="139"/>
      <c r="AA1" s="139"/>
      <c r="AB1" s="139"/>
      <c r="AC1" s="139"/>
      <c r="AD1" s="139"/>
      <c r="AE1" s="139"/>
    </row>
    <row r="2" spans="1:31" ht="24" customHeight="1" x14ac:dyDescent="0.2">
      <c r="A2" s="639" t="s">
        <v>1</v>
      </c>
      <c r="B2" s="607"/>
      <c r="C2" s="642" t="s">
        <v>133</v>
      </c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3"/>
    </row>
    <row r="3" spans="1:31" ht="30" customHeight="1" x14ac:dyDescent="0.2">
      <c r="A3" s="640"/>
      <c r="B3" s="590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584" t="s">
        <v>4</v>
      </c>
      <c r="S3" s="585"/>
      <c r="T3" s="585"/>
      <c r="U3" s="585"/>
      <c r="V3" s="585"/>
      <c r="W3" s="643" t="s">
        <v>134</v>
      </c>
      <c r="X3" s="585"/>
      <c r="Y3" s="607"/>
      <c r="Z3" s="643" t="s">
        <v>135</v>
      </c>
      <c r="AA3" s="585"/>
      <c r="AB3" s="607"/>
      <c r="AC3" s="643" t="s">
        <v>6</v>
      </c>
      <c r="AD3" s="585"/>
      <c r="AE3" s="607"/>
    </row>
    <row r="4" spans="1:31" ht="30" customHeight="1" x14ac:dyDescent="0.3">
      <c r="A4" s="640"/>
      <c r="B4" s="590"/>
      <c r="C4" s="645" t="s">
        <v>7</v>
      </c>
      <c r="D4" s="592"/>
      <c r="E4" s="592"/>
      <c r="F4" s="592"/>
      <c r="G4" s="593"/>
      <c r="H4" s="646" t="s">
        <v>8</v>
      </c>
      <c r="I4" s="593"/>
      <c r="J4" s="644" t="s">
        <v>9</v>
      </c>
      <c r="K4" s="592"/>
      <c r="L4" s="592"/>
      <c r="M4" s="592"/>
      <c r="N4" s="592"/>
      <c r="O4" s="592"/>
      <c r="P4" s="592"/>
      <c r="Q4" s="593"/>
      <c r="R4" s="614" t="s">
        <v>10</v>
      </c>
      <c r="S4" s="615" t="s">
        <v>11</v>
      </c>
      <c r="T4" s="594" t="s">
        <v>12</v>
      </c>
      <c r="U4" s="752" t="s">
        <v>13</v>
      </c>
      <c r="V4" s="752" t="s">
        <v>14</v>
      </c>
      <c r="W4" s="641"/>
      <c r="X4" s="592"/>
      <c r="Y4" s="593"/>
      <c r="Z4" s="641"/>
      <c r="AA4" s="592"/>
      <c r="AB4" s="593"/>
      <c r="AC4" s="641"/>
      <c r="AD4" s="592"/>
      <c r="AE4" s="593"/>
    </row>
    <row r="5" spans="1:31" ht="24" customHeight="1" x14ac:dyDescent="0.3">
      <c r="A5" s="640"/>
      <c r="B5" s="590"/>
      <c r="C5" s="733" t="s">
        <v>19</v>
      </c>
      <c r="D5" s="734" t="s">
        <v>20</v>
      </c>
      <c r="E5" s="735" t="s">
        <v>21</v>
      </c>
      <c r="F5" s="736" t="s">
        <v>22</v>
      </c>
      <c r="G5" s="737" t="s">
        <v>23</v>
      </c>
      <c r="H5" s="143" t="s">
        <v>24</v>
      </c>
      <c r="I5" s="143" t="s">
        <v>25</v>
      </c>
      <c r="J5" s="630" t="s">
        <v>26</v>
      </c>
      <c r="K5" s="593"/>
      <c r="L5" s="630" t="s">
        <v>24</v>
      </c>
      <c r="M5" s="592"/>
      <c r="N5" s="593"/>
      <c r="O5" s="631" t="s">
        <v>25</v>
      </c>
      <c r="P5" s="592"/>
      <c r="Q5" s="593"/>
      <c r="R5" s="595"/>
      <c r="S5" s="595"/>
      <c r="T5" s="595"/>
      <c r="U5" s="753"/>
      <c r="V5" s="753"/>
      <c r="W5" s="144" t="s">
        <v>27</v>
      </c>
      <c r="X5" s="638" t="s">
        <v>28</v>
      </c>
      <c r="Y5" s="593"/>
      <c r="Z5" s="144" t="s">
        <v>27</v>
      </c>
      <c r="AA5" s="638" t="s">
        <v>28</v>
      </c>
      <c r="AB5" s="593"/>
      <c r="AC5" s="144" t="s">
        <v>27</v>
      </c>
      <c r="AD5" s="638" t="s">
        <v>28</v>
      </c>
      <c r="AE5" s="593"/>
    </row>
    <row r="6" spans="1:31" ht="46.5" customHeight="1" x14ac:dyDescent="0.2">
      <c r="A6" s="641"/>
      <c r="B6" s="593"/>
      <c r="C6" s="738"/>
      <c r="D6" s="738"/>
      <c r="E6" s="738"/>
      <c r="F6" s="738"/>
      <c r="G6" s="738"/>
      <c r="H6" s="145"/>
      <c r="I6" s="145"/>
      <c r="J6" s="748" t="s">
        <v>29</v>
      </c>
      <c r="K6" s="749" t="s">
        <v>30</v>
      </c>
      <c r="L6" s="748" t="s">
        <v>29</v>
      </c>
      <c r="M6" s="750" t="s">
        <v>31</v>
      </c>
      <c r="N6" s="750" t="s">
        <v>32</v>
      </c>
      <c r="O6" s="751" t="s">
        <v>29</v>
      </c>
      <c r="P6" s="750" t="s">
        <v>31</v>
      </c>
      <c r="Q6" s="750" t="s">
        <v>32</v>
      </c>
      <c r="R6" s="596"/>
      <c r="S6" s="596"/>
      <c r="T6" s="596"/>
      <c r="U6" s="732"/>
      <c r="V6" s="732"/>
      <c r="W6" s="146" t="s">
        <v>136</v>
      </c>
      <c r="X6" s="147" t="s">
        <v>136</v>
      </c>
      <c r="Y6" s="147" t="s">
        <v>30</v>
      </c>
      <c r="Z6" s="148" t="s">
        <v>34</v>
      </c>
      <c r="AA6" s="149" t="s">
        <v>34</v>
      </c>
      <c r="AB6" s="147" t="s">
        <v>30</v>
      </c>
      <c r="AC6" s="148" t="s">
        <v>34</v>
      </c>
      <c r="AD6" s="149" t="s">
        <v>34</v>
      </c>
      <c r="AE6" s="147" t="s">
        <v>30</v>
      </c>
    </row>
    <row r="7" spans="1:31" ht="24" customHeight="1" x14ac:dyDescent="0.3">
      <c r="A7" s="634" t="s">
        <v>289</v>
      </c>
      <c r="B7" s="635"/>
      <c r="C7" s="150">
        <f t="shared" ref="C7:C9" ca="1" si="0">D7+G7</f>
        <v>1756000</v>
      </c>
      <c r="D7" s="151">
        <f t="shared" ref="D7:E7" ca="1" si="1">D8+D9+D12</f>
        <v>1756000</v>
      </c>
      <c r="E7" s="152">
        <f t="shared" ca="1" si="1"/>
        <v>790200</v>
      </c>
      <c r="F7" s="153">
        <f ca="1">F8+F9</f>
        <v>965800</v>
      </c>
      <c r="G7" s="154">
        <f t="shared" ref="G7:I7" ca="1" si="2">G8+G9+G12</f>
        <v>0</v>
      </c>
      <c r="H7" s="155">
        <f t="shared" ca="1" si="2"/>
        <v>1437600</v>
      </c>
      <c r="I7" s="155">
        <f t="shared" ca="1" si="2"/>
        <v>0</v>
      </c>
      <c r="J7" s="156">
        <f t="shared" ref="J7:J9" ca="1" si="3">L7+O7</f>
        <v>583824.92999999993</v>
      </c>
      <c r="K7" s="157">
        <f t="shared" ref="K7:K9" ca="1" si="4">IF(C7&gt;0,J7*100/C7,0)</f>
        <v>33.247433371298399</v>
      </c>
      <c r="L7" s="156">
        <f ca="1">L8+L9+L12</f>
        <v>583824.92999999993</v>
      </c>
      <c r="M7" s="27">
        <f t="shared" ref="M7:M9" ca="1" si="5">IF(D7&gt;0,L7*100/D7,0)</f>
        <v>33.247433371298399</v>
      </c>
      <c r="N7" s="27">
        <f t="shared" ref="N7:N9" ca="1" si="6">IF(H7&gt;0,L7*100/H7,0)</f>
        <v>40.611083055091818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6">
        <f t="shared" ref="R7:T7" ca="1" si="9">R8+R9</f>
        <v>4990240</v>
      </c>
      <c r="S7" s="26">
        <f t="shared" ca="1" si="9"/>
        <v>0</v>
      </c>
      <c r="T7" s="26">
        <f t="shared" ca="1" si="9"/>
        <v>0</v>
      </c>
      <c r="U7" s="27">
        <f t="shared" ref="U7:U9" ca="1" si="10">IF(R7&gt;0,T7*100/R7,0)</f>
        <v>0</v>
      </c>
      <c r="V7" s="27">
        <f t="shared" ref="V7:V9" ca="1" si="11">IF(S7&gt;0,T7*100/S7,0)</f>
        <v>0</v>
      </c>
      <c r="W7" s="28">
        <f t="shared" ref="W7:X7" ca="1" si="12">W8</f>
        <v>1500</v>
      </c>
      <c r="X7" s="29">
        <f t="shared" ca="1" si="12"/>
        <v>0</v>
      </c>
      <c r="Y7" s="158">
        <f t="shared" ref="Y7:Y8" ca="1" si="13">IF(W7&gt;0,X7*100/W7,0)</f>
        <v>0</v>
      </c>
      <c r="Z7" s="28">
        <f t="shared" ref="Z7:AA7" ca="1" si="14">Z8</f>
        <v>500</v>
      </c>
      <c r="AA7" s="29">
        <f t="shared" ca="1" si="14"/>
        <v>0</v>
      </c>
      <c r="AB7" s="158">
        <f t="shared" ref="AB7:AB8" ca="1" si="15">IF(Z7&gt;0,AA7*100/Z7,0)</f>
        <v>0</v>
      </c>
      <c r="AC7" s="28">
        <f t="shared" ref="AC7:AD7" si="16">AC8</f>
        <v>0</v>
      </c>
      <c r="AD7" s="29">
        <f t="shared" si="16"/>
        <v>0</v>
      </c>
      <c r="AE7" s="158">
        <f t="shared" ref="AE7:AE8" si="17">IF(AC7&gt;0,AD7*100/AC7,0)</f>
        <v>0</v>
      </c>
    </row>
    <row r="8" spans="1:31" ht="28.5" customHeight="1" x14ac:dyDescent="0.3">
      <c r="A8" s="159" t="s">
        <v>37</v>
      </c>
      <c r="B8" s="160"/>
      <c r="C8" s="161">
        <f t="shared" ca="1" si="0"/>
        <v>1038900</v>
      </c>
      <c r="D8" s="161">
        <f t="shared" ref="D8:I8" ca="1" si="18">+D13+D31+D52+D74</f>
        <v>1038900</v>
      </c>
      <c r="E8" s="161">
        <f t="shared" ca="1" si="18"/>
        <v>490400</v>
      </c>
      <c r="F8" s="161">
        <f t="shared" ca="1" si="18"/>
        <v>548500</v>
      </c>
      <c r="G8" s="161">
        <f t="shared" ca="1" si="18"/>
        <v>0</v>
      </c>
      <c r="H8" s="161">
        <f t="shared" ca="1" si="18"/>
        <v>895760</v>
      </c>
      <c r="I8" s="161">
        <f t="shared" ca="1" si="18"/>
        <v>0</v>
      </c>
      <c r="J8" s="161">
        <f t="shared" ca="1" si="3"/>
        <v>322212.12</v>
      </c>
      <c r="K8" s="162">
        <f t="shared" ca="1" si="4"/>
        <v>31.014738665896623</v>
      </c>
      <c r="L8" s="161">
        <f ca="1">+L13+L31+L52+L74</f>
        <v>322212.12</v>
      </c>
      <c r="M8" s="40">
        <f t="shared" ca="1" si="5"/>
        <v>31.014738665896623</v>
      </c>
      <c r="N8" s="40">
        <f t="shared" ca="1" si="6"/>
        <v>35.970809145306781</v>
      </c>
      <c r="O8" s="39">
        <f ca="1">+O13+O31+O52+O74</f>
        <v>0</v>
      </c>
      <c r="P8" s="39">
        <f t="shared" ca="1" si="7"/>
        <v>0</v>
      </c>
      <c r="Q8" s="40">
        <f t="shared" ca="1" si="8"/>
        <v>0</v>
      </c>
      <c r="R8" s="39">
        <f t="shared" ref="R8:T8" ca="1" si="19">+R13+R31+R52+R74</f>
        <v>3699340</v>
      </c>
      <c r="S8" s="39">
        <f t="shared" ca="1" si="19"/>
        <v>0</v>
      </c>
      <c r="T8" s="39">
        <f t="shared" ca="1" si="19"/>
        <v>0</v>
      </c>
      <c r="U8" s="40">
        <f t="shared" ca="1" si="10"/>
        <v>0</v>
      </c>
      <c r="V8" s="40">
        <f t="shared" ca="1" si="11"/>
        <v>0</v>
      </c>
      <c r="W8" s="35">
        <f t="shared" ref="W8:X8" ca="1" si="20">+W13+W31+W52+W74</f>
        <v>1500</v>
      </c>
      <c r="X8" s="35">
        <f t="shared" ca="1" si="20"/>
        <v>0</v>
      </c>
      <c r="Y8" s="161">
        <f t="shared" ca="1" si="13"/>
        <v>0</v>
      </c>
      <c r="Z8" s="35">
        <f t="shared" ref="Z8:AA8" ca="1" si="21">+Z13+Z31+Z52+Z74</f>
        <v>500</v>
      </c>
      <c r="AA8" s="35">
        <f t="shared" ca="1" si="21"/>
        <v>0</v>
      </c>
      <c r="AB8" s="161">
        <f t="shared" ca="1" si="15"/>
        <v>0</v>
      </c>
      <c r="AC8" s="35">
        <f t="shared" ref="AC8:AD8" si="22">+AC13+AC31+AC52+AC74</f>
        <v>0</v>
      </c>
      <c r="AD8" s="35">
        <f t="shared" si="22"/>
        <v>0</v>
      </c>
      <c r="AE8" s="161">
        <f t="shared" si="17"/>
        <v>0</v>
      </c>
    </row>
    <row r="9" spans="1:31" ht="28.5" customHeight="1" x14ac:dyDescent="0.3">
      <c r="A9" s="43" t="s">
        <v>38</v>
      </c>
      <c r="B9" s="163"/>
      <c r="C9" s="164">
        <f t="shared" ca="1" si="0"/>
        <v>717100</v>
      </c>
      <c r="D9" s="164">
        <f t="shared" ref="D9:I9" ca="1" si="23">+D89</f>
        <v>717100</v>
      </c>
      <c r="E9" s="164">
        <f t="shared" ca="1" si="23"/>
        <v>299800</v>
      </c>
      <c r="F9" s="164">
        <f t="shared" ca="1" si="23"/>
        <v>417300</v>
      </c>
      <c r="G9" s="164">
        <f t="shared" ca="1" si="23"/>
        <v>0</v>
      </c>
      <c r="H9" s="164">
        <f t="shared" ca="1" si="23"/>
        <v>541840</v>
      </c>
      <c r="I9" s="164">
        <f t="shared" ca="1" si="23"/>
        <v>0</v>
      </c>
      <c r="J9" s="164">
        <f t="shared" ca="1" si="3"/>
        <v>261612.81</v>
      </c>
      <c r="K9" s="165">
        <f t="shared" ca="1" si="4"/>
        <v>36.482054106819135</v>
      </c>
      <c r="L9" s="164">
        <f ca="1">+L89</f>
        <v>261612.81</v>
      </c>
      <c r="M9" s="51">
        <f t="shared" ca="1" si="5"/>
        <v>36.482054106819135</v>
      </c>
      <c r="N9" s="51">
        <f t="shared" ca="1" si="6"/>
        <v>48.282299202716672</v>
      </c>
      <c r="O9" s="50">
        <f ca="1">+O89</f>
        <v>0</v>
      </c>
      <c r="P9" s="50">
        <f t="shared" ca="1" si="7"/>
        <v>0</v>
      </c>
      <c r="Q9" s="51">
        <f t="shared" ca="1" si="8"/>
        <v>0</v>
      </c>
      <c r="R9" s="50">
        <f ca="1">IFERROR(__xludf.DUMMYFUNCTION("IMPORTRANGE(""https://docs.google.com/spreadsheets/d/1ItG2mGa2ceCfYo0BwxsXqNm01IGEUdYcSSLTEv9YCik/edit?usp=sharing"",""เบิกจ่ายกองทุน!AD11"")"),1290900)</f>
        <v>1290900</v>
      </c>
      <c r="S9" s="50">
        <f ca="1">IFERROR(__xludf.DUMMYFUNCTION("IMPORTRANGE(""https://docs.google.com/spreadsheets/d/1ItG2mGa2ceCfYo0BwxsXqNm01IGEUdYcSSLTEv9YCik/edit?usp=sharing"",""เบิกจ่ายกองทุน!AE11"")"),0)</f>
        <v>0</v>
      </c>
      <c r="T9" s="50">
        <f ca="1">IFERROR(__xludf.DUMMYFUNCTION("IMPORTRANGE(""https://docs.google.com/spreadsheets/d/1ItG2mGa2ceCfYo0BwxsXqNm01IGEUdYcSSLTEv9YCik/edit?usp=sharing"",""เบิกจ่ายกองทุน!AF11"")"),0)</f>
        <v>0</v>
      </c>
      <c r="U9" s="51">
        <f t="shared" ca="1" si="10"/>
        <v>0</v>
      </c>
      <c r="V9" s="51">
        <f t="shared" ca="1" si="11"/>
        <v>0</v>
      </c>
      <c r="W9" s="45"/>
      <c r="X9" s="45"/>
      <c r="Y9" s="164"/>
      <c r="Z9" s="45"/>
      <c r="AA9" s="45"/>
      <c r="AB9" s="164"/>
      <c r="AC9" s="45"/>
      <c r="AD9" s="45"/>
      <c r="AE9" s="164"/>
    </row>
    <row r="10" spans="1:31" ht="28.5" hidden="1" customHeight="1" x14ac:dyDescent="0.3">
      <c r="A10" s="166"/>
      <c r="B10" s="16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61"/>
      <c r="S10" s="61"/>
      <c r="T10" s="61"/>
      <c r="U10" s="62"/>
      <c r="V10" s="62"/>
      <c r="W10" s="56"/>
      <c r="X10" s="56"/>
      <c r="Y10" s="168"/>
      <c r="Z10" s="56"/>
      <c r="AA10" s="56"/>
      <c r="AB10" s="168"/>
      <c r="AC10" s="56"/>
      <c r="AD10" s="56"/>
      <c r="AE10" s="168"/>
    </row>
    <row r="11" spans="1:31" ht="28.5" hidden="1" customHeight="1" x14ac:dyDescent="0.3">
      <c r="A11" s="170"/>
      <c r="B11" s="16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61"/>
      <c r="S11" s="61"/>
      <c r="T11" s="61"/>
      <c r="U11" s="62"/>
      <c r="V11" s="62"/>
      <c r="W11" s="56"/>
      <c r="X11" s="56"/>
      <c r="Y11" s="168"/>
      <c r="Z11" s="56"/>
      <c r="AA11" s="56"/>
      <c r="AB11" s="168"/>
      <c r="AC11" s="56"/>
      <c r="AD11" s="56"/>
      <c r="AE11" s="168"/>
    </row>
    <row r="12" spans="1:31" ht="28.5" hidden="1" customHeight="1" x14ac:dyDescent="0.3">
      <c r="A12" s="166"/>
      <c r="B12" s="171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61"/>
      <c r="S12" s="61"/>
      <c r="T12" s="61"/>
      <c r="U12" s="62"/>
      <c r="V12" s="62"/>
      <c r="W12" s="67"/>
      <c r="X12" s="67"/>
      <c r="Y12" s="168"/>
      <c r="Z12" s="67"/>
      <c r="AA12" s="67"/>
      <c r="AB12" s="168"/>
      <c r="AC12" s="67"/>
      <c r="AD12" s="67"/>
      <c r="AE12" s="168"/>
    </row>
    <row r="13" spans="1:31" ht="28.5" customHeight="1" x14ac:dyDescent="0.3">
      <c r="A13" s="636" t="s">
        <v>39</v>
      </c>
      <c r="B13" s="633"/>
      <c r="C13" s="161">
        <f t="shared" ref="C13:C88" ca="1" si="24">D13+G13</f>
        <v>136300</v>
      </c>
      <c r="D13" s="161">
        <f t="shared" ref="D13:I13" ca="1" si="25">SUM(D14:D30)</f>
        <v>136300</v>
      </c>
      <c r="E13" s="161">
        <f t="shared" ca="1" si="25"/>
        <v>85300</v>
      </c>
      <c r="F13" s="161">
        <f t="shared" ca="1" si="25"/>
        <v>51000</v>
      </c>
      <c r="G13" s="161">
        <f t="shared" ca="1" si="25"/>
        <v>0</v>
      </c>
      <c r="H13" s="161">
        <f t="shared" ca="1" si="25"/>
        <v>217000</v>
      </c>
      <c r="I13" s="161">
        <f t="shared" ca="1" si="25"/>
        <v>0</v>
      </c>
      <c r="J13" s="161">
        <f t="shared" ref="J13:J88" ca="1" si="26">L13+O13</f>
        <v>48570</v>
      </c>
      <c r="K13" s="162">
        <f t="shared" ref="K13:K88" ca="1" si="27">IF(C13&gt;0,J13*100/C13,0)</f>
        <v>35.634629493763754</v>
      </c>
      <c r="L13" s="161">
        <f ca="1">SUM(L14:L30)</f>
        <v>48570</v>
      </c>
      <c r="M13" s="40">
        <f t="shared" ref="M13:M88" ca="1" si="28">IF(D13&gt;0,L13*100/D13,0)</f>
        <v>35.634629493763754</v>
      </c>
      <c r="N13" s="40">
        <f t="shared" ref="N13:N88" ca="1" si="29">IF(H13&gt;0,L13*100/H13,0)</f>
        <v>22.382488479262673</v>
      </c>
      <c r="O13" s="39">
        <f ca="1">SUM(O14:O30)</f>
        <v>0</v>
      </c>
      <c r="P13" s="39">
        <f t="shared" ref="P13:P88" ca="1" si="30">IF(G13&gt;0,O13*100/G13,0)</f>
        <v>0</v>
      </c>
      <c r="Q13" s="40">
        <f t="shared" ref="Q13:Q88" ca="1" si="31">IF(I13&gt;0,O13*100/I13,0)</f>
        <v>0</v>
      </c>
      <c r="R13" s="39">
        <f t="shared" ref="R13:T13" ca="1" si="32">SUM(R14:R30)</f>
        <v>942780</v>
      </c>
      <c r="S13" s="39">
        <f t="shared" ca="1" si="32"/>
        <v>0</v>
      </c>
      <c r="T13" s="39">
        <f t="shared" ca="1" si="32"/>
        <v>0</v>
      </c>
      <c r="U13" s="40">
        <f t="shared" ref="U13:U106" ca="1" si="33">IF(R13&gt;0,T13*100/R13,0)</f>
        <v>0</v>
      </c>
      <c r="V13" s="40">
        <f t="shared" ref="V13:V106" ca="1" si="34">IF(S13&gt;0,T13*100/S13,0)</f>
        <v>0</v>
      </c>
      <c r="W13" s="73">
        <f t="shared" ref="W13:X13" ca="1" si="35">SUM(W14:W30)</f>
        <v>390</v>
      </c>
      <c r="X13" s="73">
        <f t="shared" ca="1" si="35"/>
        <v>0</v>
      </c>
      <c r="Y13" s="161">
        <f t="shared" ref="Y13:Y88" ca="1" si="36">IF(W13&gt;0,X13*100/W13,0)</f>
        <v>0</v>
      </c>
      <c r="Z13" s="73">
        <f t="shared" ref="Z13:AA13" ca="1" si="37">SUM(Z14:Z30)</f>
        <v>130</v>
      </c>
      <c r="AA13" s="73">
        <f t="shared" ca="1" si="37"/>
        <v>0</v>
      </c>
      <c r="AB13" s="161">
        <f t="shared" ref="AB13:AB88" ca="1" si="38">IF(Z13&gt;0,AA13*100/Z13,0)</f>
        <v>0</v>
      </c>
      <c r="AC13" s="73">
        <f t="shared" ref="AC13:AD13" si="39">SUM(AC14:AC30)</f>
        <v>0</v>
      </c>
      <c r="AD13" s="73">
        <f t="shared" si="39"/>
        <v>0</v>
      </c>
      <c r="AE13" s="161">
        <f t="shared" ref="AE13:AE88" si="40">IF(AC13&gt;0,AD13*100/AC13,0)</f>
        <v>0</v>
      </c>
    </row>
    <row r="14" spans="1:31" ht="24" customHeight="1" x14ac:dyDescent="0.3">
      <c r="A14" s="172">
        <v>1</v>
      </c>
      <c r="B14" s="173" t="s">
        <v>40</v>
      </c>
      <c r="C14" s="174">
        <f t="shared" ca="1" si="24"/>
        <v>0</v>
      </c>
      <c r="D14" s="175">
        <f t="shared" ref="D14:D30" ca="1" si="41">+E14+F14</f>
        <v>0</v>
      </c>
      <c r="E14" s="176">
        <f ca="1">IFERROR(__xludf.DUMMYFUNCTION("IMPORTRANGE(""https://docs.google.com/spreadsheets/d/1-uDff_7J0KD5mKrp0Vvzr7lt3OU09vwQwhkpOPPYv2Y/edit?usp=sharing"",""งบพรบ!AX14"")"),0)</f>
        <v>0</v>
      </c>
      <c r="F14" s="176">
        <f ca="1">IFERROR(__xludf.DUMMYFUNCTION("IMPORTRANGE(""https://docs.google.com/spreadsheets/d/1-uDff_7J0KD5mKrp0Vvzr7lt3OU09vwQwhkpOPPYv2Y/edit?usp=sharing"",""งบพรบ!AY14"")"),0)</f>
        <v>0</v>
      </c>
      <c r="G14" s="177">
        <f ca="1">IFERROR(__xludf.DUMMYFUNCTION("IMPORTRANGE(""https://docs.google.com/spreadsheets/d/1-uDff_7J0KD5mKrp0Vvzr7lt3OU09vwQwhkpOPPYv2Y/edit?usp=sharing"",""งบพรบ!AZ14"")"),0)</f>
        <v>0</v>
      </c>
      <c r="H14" s="177">
        <f ca="1">IFERROR(__xludf.DUMMYFUNCTION("IMPORTRANGE(""https://docs.google.com/spreadsheets/d/1-uDff_7J0KD5mKrp0Vvzr7lt3OU09vwQwhkpOPPYv2Y/edit?usp=sharing"",""งบพรบ!BB14"")"),0)</f>
        <v>0</v>
      </c>
      <c r="I14" s="177">
        <f ca="1">IFERROR(__xludf.DUMMYFUNCTION("IMPORTRANGE(""https://docs.google.com/spreadsheets/d/1-uDff_7J0KD5mKrp0Vvzr7lt3OU09vwQwhkpOPPYv2Y/edit?usp=sharing"",""งบพรบ!BC14"")"),0)</f>
        <v>0</v>
      </c>
      <c r="J14" s="177">
        <f t="shared" ca="1" si="26"/>
        <v>0</v>
      </c>
      <c r="K14" s="178">
        <f t="shared" ca="1" si="27"/>
        <v>0</v>
      </c>
      <c r="L14" s="177">
        <f ca="1">IFERROR(__xludf.DUMMYFUNCTION("IMPORTRANGE(""https://docs.google.com/spreadsheets/d/1-uDff_7J0KD5mKrp0Vvzr7lt3OU09vwQwhkpOPPYv2Y/edit?usp=sharing"",""งบพรบ!BD14"")"),0)</f>
        <v>0</v>
      </c>
      <c r="M14" s="87">
        <f t="shared" ca="1" si="28"/>
        <v>0</v>
      </c>
      <c r="N14" s="87">
        <f t="shared" ca="1" si="29"/>
        <v>0</v>
      </c>
      <c r="O14" s="86">
        <f ca="1">IFERROR(__xludf.DUMMYFUNCTION("IMPORTRANGE(""https://docs.google.com/spreadsheets/d/1-uDff_7J0KD5mKrp0Vvzr7lt3OU09vwQwhkpOPPYv2Y/edit?usp=sharing"",""งบพรบ!BE14"")"),0)</f>
        <v>0</v>
      </c>
      <c r="P14" s="86">
        <f t="shared" ca="1" si="30"/>
        <v>0</v>
      </c>
      <c r="Q14" s="87">
        <f t="shared" ca="1" si="31"/>
        <v>0</v>
      </c>
      <c r="R14" s="86">
        <f ca="1">IFERROR(__xludf.DUMMYFUNCTION("IMPORTRANGE(""https://docs.google.com/spreadsheets/d/1jTcq05yEiRwXcBMLjiodW9e4biSGYWAHcDj22rKWQ3s/edit?usp=sharing"",""กำแพงเพชร!Q94"")"),0)</f>
        <v>0</v>
      </c>
      <c r="S14" s="86">
        <f ca="1">IFERROR(__xludf.DUMMYFUNCTION("IMPORTRANGE(""https://docs.google.com/spreadsheets/d/1jTcq05yEiRwXcBMLjiodW9e4biSGYWAHcDj22rKWQ3s/edit?usp=sharing"",""กำแพงเพชร!R94"")"),0)</f>
        <v>0</v>
      </c>
      <c r="T14" s="86">
        <f ca="1">IFERROR(__xludf.DUMMYFUNCTION("IMPORTRANGE(""https://docs.google.com/spreadsheets/d/1jTcq05yEiRwXcBMLjiodW9e4biSGYWAHcDj22rKWQ3s/edit?usp=sharing"",""กำแพงเพชร!S94"")"),0)</f>
        <v>0</v>
      </c>
      <c r="U14" s="87">
        <f t="shared" ca="1" si="33"/>
        <v>0</v>
      </c>
      <c r="V14" s="87">
        <f t="shared" ca="1" si="34"/>
        <v>0</v>
      </c>
      <c r="W14" s="81">
        <f ca="1">IFERROR(__xludf.DUMMYFUNCTION("IMPORTRANGE(""https://docs.google.com/spreadsheets/d/1jTcq05yEiRwXcBMLjiodW9e4biSGYWAHcDj22rKWQ3s/edit?usp=sharing"",""กำแพงเพชร!I108"")"),0)</f>
        <v>0</v>
      </c>
      <c r="X14" s="81">
        <f ca="1">IFERROR(__xludf.DUMMYFUNCTION("IMPORTRANGE(""https://docs.google.com/spreadsheets/d/1jTcq05yEiRwXcBMLjiodW9e4biSGYWAHcDj22rKWQ3s/edit?usp=sharing"",""กำแพงเพชร!J108"")"),0)</f>
        <v>0</v>
      </c>
      <c r="Y14" s="177">
        <f t="shared" ca="1" si="36"/>
        <v>0</v>
      </c>
      <c r="Z14" s="81">
        <f ca="1">IFERROR(__xludf.DUMMYFUNCTION("IMPORTRANGE(""https://docs.google.com/spreadsheets/d/1jTcq05yEiRwXcBMLjiodW9e4biSGYWAHcDj22rKWQ3s/edit?usp=sharing"",""กำแพงเพชร!I109"")"),0)</f>
        <v>0</v>
      </c>
      <c r="AA14" s="81">
        <f ca="1">IFERROR(__xludf.DUMMYFUNCTION("IMPORTRANGE(""https://docs.google.com/spreadsheets/d/1jTcq05yEiRwXcBMLjiodW9e4biSGYWAHcDj22rKWQ3s/edit?usp=sharing"",""กำแพงเพชร!J109"")"),0)</f>
        <v>0</v>
      </c>
      <c r="AB14" s="177">
        <f t="shared" ca="1" si="38"/>
        <v>0</v>
      </c>
      <c r="AC14" s="81">
        <v>0</v>
      </c>
      <c r="AD14" s="81">
        <v>0</v>
      </c>
      <c r="AE14" s="177">
        <f t="shared" si="40"/>
        <v>0</v>
      </c>
    </row>
    <row r="15" spans="1:31" ht="24" customHeight="1" x14ac:dyDescent="0.3">
      <c r="A15" s="172">
        <v>2</v>
      </c>
      <c r="B15" s="173" t="s">
        <v>41</v>
      </c>
      <c r="C15" s="174">
        <f t="shared" ca="1" si="24"/>
        <v>0</v>
      </c>
      <c r="D15" s="175">
        <f t="shared" ca="1" si="41"/>
        <v>0</v>
      </c>
      <c r="E15" s="176">
        <f ca="1">IFERROR(__xludf.DUMMYFUNCTION("IMPORTRANGE(""https://docs.google.com/spreadsheets/d/1-uDff_7J0KD5mKrp0Vvzr7lt3OU09vwQwhkpOPPYv2Y/edit?usp=sharing"",""งบพรบ!AX15"")"),0)</f>
        <v>0</v>
      </c>
      <c r="F15" s="176">
        <f ca="1">IFERROR(__xludf.DUMMYFUNCTION("IMPORTRANGE(""https://docs.google.com/spreadsheets/d/1-uDff_7J0KD5mKrp0Vvzr7lt3OU09vwQwhkpOPPYv2Y/edit?usp=sharing"",""งบพรบ!AY15"")"),0)</f>
        <v>0</v>
      </c>
      <c r="G15" s="176">
        <f ca="1">IFERROR(__xludf.DUMMYFUNCTION("IMPORTRANGE(""https://docs.google.com/spreadsheets/d/1-uDff_7J0KD5mKrp0Vvzr7lt3OU09vwQwhkpOPPYv2Y/edit?usp=sharing"",""งบพรบ!AZ15"")"),0)</f>
        <v>0</v>
      </c>
      <c r="H15" s="176">
        <f ca="1">IFERROR(__xludf.DUMMYFUNCTION("IMPORTRANGE(""https://docs.google.com/spreadsheets/d/1-uDff_7J0KD5mKrp0Vvzr7lt3OU09vwQwhkpOPPYv2Y/edit?usp=sharing"",""งบพรบ!BB15"")"),0)</f>
        <v>0</v>
      </c>
      <c r="I15" s="176">
        <f ca="1">IFERROR(__xludf.DUMMYFUNCTION("IMPORTRANGE(""https://docs.google.com/spreadsheets/d/1-uDff_7J0KD5mKrp0Vvzr7lt3OU09vwQwhkpOPPYv2Y/edit?usp=sharing"",""งบพรบ!BC15"")"),0)</f>
        <v>0</v>
      </c>
      <c r="J15" s="176">
        <f t="shared" ca="1" si="26"/>
        <v>0</v>
      </c>
      <c r="K15" s="179">
        <f t="shared" ca="1" si="27"/>
        <v>0</v>
      </c>
      <c r="L15" s="176">
        <f ca="1">IFERROR(__xludf.DUMMYFUNCTION("IMPORTRANGE(""https://docs.google.com/spreadsheets/d/1-uDff_7J0KD5mKrp0Vvzr7lt3OU09vwQwhkpOPPYv2Y/edit?usp=sharing"",""งบพรบ!BD15"")"),0)</f>
        <v>0</v>
      </c>
      <c r="M15" s="87">
        <f t="shared" ca="1" si="28"/>
        <v>0</v>
      </c>
      <c r="N15" s="87">
        <f t="shared" ca="1" si="29"/>
        <v>0</v>
      </c>
      <c r="O15" s="86">
        <f ca="1">IFERROR(__xludf.DUMMYFUNCTION("IMPORTRANGE(""https://docs.google.com/spreadsheets/d/1-uDff_7J0KD5mKrp0Vvzr7lt3OU09vwQwhkpOPPYv2Y/edit?usp=sharing"",""งบพรบ!BE15"")"),0)</f>
        <v>0</v>
      </c>
      <c r="P15" s="86">
        <f t="shared" ca="1" si="30"/>
        <v>0</v>
      </c>
      <c r="Q15" s="87">
        <f t="shared" ca="1" si="31"/>
        <v>0</v>
      </c>
      <c r="R15" s="86">
        <f ca="1">IFERROR(__xludf.DUMMYFUNCTION("IMPORTRANGE(""https://docs.google.com/spreadsheets/d/1KS0zmDSZPk8KnTAbGN-Xk6MtX1YRZD0ldgdt20K4CRk/edit?usp=sharing"",""เชียงราย!Q94"")"),0)</f>
        <v>0</v>
      </c>
      <c r="S15" s="86">
        <f ca="1">IFERROR(__xludf.DUMMYFUNCTION("IMPORTRANGE(""https://docs.google.com/spreadsheets/d/1KS0zmDSZPk8KnTAbGN-Xk6MtX1YRZD0ldgdt20K4CRk/edit?usp=sharing"",""เชียงราย!R94"")"),0)</f>
        <v>0</v>
      </c>
      <c r="T15" s="86">
        <f ca="1">IFERROR(__xludf.DUMMYFUNCTION("IMPORTRANGE(""https://docs.google.com/spreadsheets/d/1KS0zmDSZPk8KnTAbGN-Xk6MtX1YRZD0ldgdt20K4CRk/edit?usp=sharing"",""เชียงราย!S94"")"),0)</f>
        <v>0</v>
      </c>
      <c r="U15" s="87">
        <f t="shared" ca="1" si="33"/>
        <v>0</v>
      </c>
      <c r="V15" s="87">
        <f t="shared" ca="1" si="34"/>
        <v>0</v>
      </c>
      <c r="W15" s="99">
        <f ca="1">IFERROR(__xludf.DUMMYFUNCTION("IMPORTRANGE(""https://docs.google.com/spreadsheets/d/1KS0zmDSZPk8KnTAbGN-Xk6MtX1YRZD0ldgdt20K4CRk/edit?usp=sharing"",""เชียงราย!I108"")"),0)</f>
        <v>0</v>
      </c>
      <c r="X15" s="99">
        <f ca="1">IFERROR(__xludf.DUMMYFUNCTION("IMPORTRANGE(""https://docs.google.com/spreadsheets/d/1KS0zmDSZPk8KnTAbGN-Xk6MtX1YRZD0ldgdt20K4CRk/edit?usp=sharing"",""เชียงราย!J108"")"),0)</f>
        <v>0</v>
      </c>
      <c r="Y15" s="177">
        <f t="shared" ca="1" si="36"/>
        <v>0</v>
      </c>
      <c r="Z15" s="99">
        <f ca="1">IFERROR(__xludf.DUMMYFUNCTION("IMPORTRANGE(""https://docs.google.com/spreadsheets/d/1KS0zmDSZPk8KnTAbGN-Xk6MtX1YRZD0ldgdt20K4CRk/edit?usp=sharing"",""เชียงราย!I109"")"),0)</f>
        <v>0</v>
      </c>
      <c r="AA15" s="99">
        <f ca="1">IFERROR(__xludf.DUMMYFUNCTION("IMPORTRANGE(""https://docs.google.com/spreadsheets/d/1KS0zmDSZPk8KnTAbGN-Xk6MtX1YRZD0ldgdt20K4CRk/edit?usp=sharing"",""เชียงราย!J109"")"),0)</f>
        <v>0</v>
      </c>
      <c r="AB15" s="177">
        <f t="shared" ca="1" si="38"/>
        <v>0</v>
      </c>
      <c r="AC15" s="99">
        <v>0</v>
      </c>
      <c r="AD15" s="99">
        <v>0</v>
      </c>
      <c r="AE15" s="177">
        <f t="shared" si="40"/>
        <v>0</v>
      </c>
    </row>
    <row r="16" spans="1:31" ht="24" customHeight="1" x14ac:dyDescent="0.3">
      <c r="A16" s="172">
        <v>3</v>
      </c>
      <c r="B16" s="173" t="s">
        <v>42</v>
      </c>
      <c r="C16" s="174">
        <f t="shared" ca="1" si="24"/>
        <v>0</v>
      </c>
      <c r="D16" s="175">
        <f t="shared" ca="1" si="41"/>
        <v>0</v>
      </c>
      <c r="E16" s="176">
        <f ca="1">IFERROR(__xludf.DUMMYFUNCTION("IMPORTRANGE(""https://docs.google.com/spreadsheets/d/1-uDff_7J0KD5mKrp0Vvzr7lt3OU09vwQwhkpOPPYv2Y/edit?usp=sharing"",""งบพรบ!AX16"")"),0)</f>
        <v>0</v>
      </c>
      <c r="F16" s="176">
        <f ca="1">IFERROR(__xludf.DUMMYFUNCTION("IMPORTRANGE(""https://docs.google.com/spreadsheets/d/1-uDff_7J0KD5mKrp0Vvzr7lt3OU09vwQwhkpOPPYv2Y/edit?usp=sharing"",""งบพรบ!AY16"")"),0)</f>
        <v>0</v>
      </c>
      <c r="G16" s="176">
        <f ca="1">IFERROR(__xludf.DUMMYFUNCTION("IMPORTRANGE(""https://docs.google.com/spreadsheets/d/1-uDff_7J0KD5mKrp0Vvzr7lt3OU09vwQwhkpOPPYv2Y/edit?usp=sharing"",""งบพรบ!AZ16"")"),0)</f>
        <v>0</v>
      </c>
      <c r="H16" s="176">
        <f ca="1">IFERROR(__xludf.DUMMYFUNCTION("IMPORTRANGE(""https://docs.google.com/spreadsheets/d/1-uDff_7J0KD5mKrp0Vvzr7lt3OU09vwQwhkpOPPYv2Y/edit?usp=sharing"",""งบพรบ!BB16"")"),19500)</f>
        <v>19500</v>
      </c>
      <c r="I16" s="176">
        <f ca="1">IFERROR(__xludf.DUMMYFUNCTION("IMPORTRANGE(""https://docs.google.com/spreadsheets/d/1-uDff_7J0KD5mKrp0Vvzr7lt3OU09vwQwhkpOPPYv2Y/edit?usp=sharing"",""งบพรบ!BC16"")"),0)</f>
        <v>0</v>
      </c>
      <c r="J16" s="176">
        <f t="shared" ca="1" si="26"/>
        <v>0</v>
      </c>
      <c r="K16" s="179">
        <f t="shared" ca="1" si="27"/>
        <v>0</v>
      </c>
      <c r="L16" s="176">
        <f ca="1">IFERROR(__xludf.DUMMYFUNCTION("IMPORTRANGE(""https://docs.google.com/spreadsheets/d/1-uDff_7J0KD5mKrp0Vvzr7lt3OU09vwQwhkpOPPYv2Y/edit?usp=sharing"",""งบพรบ!BD16"")"),0)</f>
        <v>0</v>
      </c>
      <c r="M16" s="87">
        <f t="shared" ca="1" si="28"/>
        <v>0</v>
      </c>
      <c r="N16" s="87">
        <f t="shared" ca="1" si="29"/>
        <v>0</v>
      </c>
      <c r="O16" s="86">
        <f ca="1">IFERROR(__xludf.DUMMYFUNCTION("IMPORTRANGE(""https://docs.google.com/spreadsheets/d/1-uDff_7J0KD5mKrp0Vvzr7lt3OU09vwQwhkpOPPYv2Y/edit?usp=sharing"",""งบพรบ!BE16"")"),0)</f>
        <v>0</v>
      </c>
      <c r="P16" s="86">
        <f t="shared" ca="1" si="30"/>
        <v>0</v>
      </c>
      <c r="Q16" s="87">
        <f t="shared" ca="1" si="31"/>
        <v>0</v>
      </c>
      <c r="R16" s="86">
        <f ca="1">IFERROR(__xludf.DUMMYFUNCTION("IMPORTRANGE(""https://docs.google.com/spreadsheets/d/1rEDxBtusbi64tE0zunoIbsTVV16HeL0oJ6trHQeQ7K8/edit?usp=sharing"",""เชียงใหม่!Q94"")"),64920)</f>
        <v>64920</v>
      </c>
      <c r="S16" s="86">
        <f ca="1">IFERROR(__xludf.DUMMYFUNCTION("IMPORTRANGE(""https://docs.google.com/spreadsheets/d/1rEDxBtusbi64tE0zunoIbsTVV16HeL0oJ6trHQeQ7K8/edit?usp=sharing"",""เชียงใหม่!R94"")"),0)</f>
        <v>0</v>
      </c>
      <c r="T16" s="86">
        <f ca="1">IFERROR(__xludf.DUMMYFUNCTION("IMPORTRANGE(""https://docs.google.com/spreadsheets/d/1rEDxBtusbi64tE0zunoIbsTVV16HeL0oJ6trHQeQ7K8/edit?usp=sharing"",""เชียงใหม่!S94"")"),0)</f>
        <v>0</v>
      </c>
      <c r="U16" s="87">
        <f t="shared" ca="1" si="33"/>
        <v>0</v>
      </c>
      <c r="V16" s="87">
        <f t="shared" ca="1" si="34"/>
        <v>0</v>
      </c>
      <c r="W16" s="93">
        <f ca="1">IFERROR(__xludf.DUMMYFUNCTION("IMPORTRANGE(""https://docs.google.com/spreadsheets/d/1rEDxBtusbi64tE0zunoIbsTVV16HeL0oJ6trHQeQ7K8/edit?usp=sharing"",""เชียงใหม่!I108"")"),30)</f>
        <v>30</v>
      </c>
      <c r="X16" s="93">
        <f ca="1">IFERROR(__xludf.DUMMYFUNCTION("IMPORTRANGE(""https://docs.google.com/spreadsheets/d/1rEDxBtusbi64tE0zunoIbsTVV16HeL0oJ6trHQeQ7K8/edit?usp=sharing"",""เชียงใหม่!J108"")"),0)</f>
        <v>0</v>
      </c>
      <c r="Y16" s="177">
        <f t="shared" ca="1" si="36"/>
        <v>0</v>
      </c>
      <c r="Z16" s="93">
        <f ca="1">IFERROR(__xludf.DUMMYFUNCTION("IMPORTRANGE(""https://docs.google.com/spreadsheets/d/1rEDxBtusbi64tE0zunoIbsTVV16HeL0oJ6trHQeQ7K8/edit?usp=sharing"",""เชียงใหม่!I109"")"),10)</f>
        <v>10</v>
      </c>
      <c r="AA16" s="93">
        <f ca="1">IFERROR(__xludf.DUMMYFUNCTION("IMPORTRANGE(""https://docs.google.com/spreadsheets/d/1rEDxBtusbi64tE0zunoIbsTVV16HeL0oJ6trHQeQ7K8/edit?usp=sharing"",""เชียงใหม่!J109"")"),0)</f>
        <v>0</v>
      </c>
      <c r="AB16" s="177">
        <f t="shared" ca="1" si="38"/>
        <v>0</v>
      </c>
      <c r="AC16" s="93">
        <v>0</v>
      </c>
      <c r="AD16" s="93">
        <v>0</v>
      </c>
      <c r="AE16" s="177">
        <f t="shared" si="40"/>
        <v>0</v>
      </c>
    </row>
    <row r="17" spans="1:31" ht="24" customHeight="1" x14ac:dyDescent="0.3">
      <c r="A17" s="172">
        <v>4</v>
      </c>
      <c r="B17" s="173" t="s">
        <v>43</v>
      </c>
      <c r="C17" s="174">
        <f t="shared" ca="1" si="24"/>
        <v>0</v>
      </c>
      <c r="D17" s="175">
        <f t="shared" ca="1" si="41"/>
        <v>0</v>
      </c>
      <c r="E17" s="176">
        <f ca="1">IFERROR(__xludf.DUMMYFUNCTION("IMPORTRANGE(""https://docs.google.com/spreadsheets/d/1-uDff_7J0KD5mKrp0Vvzr7lt3OU09vwQwhkpOPPYv2Y/edit?usp=sharing"",""งบพรบ!AX17"")"),0)</f>
        <v>0</v>
      </c>
      <c r="F17" s="176">
        <f ca="1">IFERROR(__xludf.DUMMYFUNCTION("IMPORTRANGE(""https://docs.google.com/spreadsheets/d/1-uDff_7J0KD5mKrp0Vvzr7lt3OU09vwQwhkpOPPYv2Y/edit?usp=sharing"",""งบพรบ!AY17"")"),0)</f>
        <v>0</v>
      </c>
      <c r="G17" s="176">
        <f ca="1">IFERROR(__xludf.DUMMYFUNCTION("IMPORTRANGE(""https://docs.google.com/spreadsheets/d/1-uDff_7J0KD5mKrp0Vvzr7lt3OU09vwQwhkpOPPYv2Y/edit?usp=sharing"",""งบพรบ!AZ17"")"),0)</f>
        <v>0</v>
      </c>
      <c r="H17" s="176">
        <f ca="1">IFERROR(__xludf.DUMMYFUNCTION("IMPORTRANGE(""https://docs.google.com/spreadsheets/d/1-uDff_7J0KD5mKrp0Vvzr7lt3OU09vwQwhkpOPPYv2Y/edit?usp=sharing"",""งบพรบ!BB17"")"),0)</f>
        <v>0</v>
      </c>
      <c r="I17" s="176">
        <f ca="1">IFERROR(__xludf.DUMMYFUNCTION("IMPORTRANGE(""https://docs.google.com/spreadsheets/d/1-uDff_7J0KD5mKrp0Vvzr7lt3OU09vwQwhkpOPPYv2Y/edit?usp=sharing"",""งบพรบ!BC17"")"),0)</f>
        <v>0</v>
      </c>
      <c r="J17" s="176">
        <f t="shared" ca="1" si="26"/>
        <v>0</v>
      </c>
      <c r="K17" s="179">
        <f t="shared" ca="1" si="27"/>
        <v>0</v>
      </c>
      <c r="L17" s="176">
        <f ca="1">IFERROR(__xludf.DUMMYFUNCTION("IMPORTRANGE(""https://docs.google.com/spreadsheets/d/1-uDff_7J0KD5mKrp0Vvzr7lt3OU09vwQwhkpOPPYv2Y/edit?usp=sharing"",""งบพรบ!BD17"")"),0)</f>
        <v>0</v>
      </c>
      <c r="M17" s="87">
        <f t="shared" ca="1" si="28"/>
        <v>0</v>
      </c>
      <c r="N17" s="87">
        <f t="shared" ca="1" si="29"/>
        <v>0</v>
      </c>
      <c r="O17" s="86">
        <f ca="1">IFERROR(__xludf.DUMMYFUNCTION("IMPORTRANGE(""https://docs.google.com/spreadsheets/d/1-uDff_7J0KD5mKrp0Vvzr7lt3OU09vwQwhkpOPPYv2Y/edit?usp=sharing"",""งบพรบ!BE17"")"),0)</f>
        <v>0</v>
      </c>
      <c r="P17" s="86">
        <f t="shared" ca="1" si="30"/>
        <v>0</v>
      </c>
      <c r="Q17" s="87">
        <f t="shared" ca="1" si="31"/>
        <v>0</v>
      </c>
      <c r="R17" s="86">
        <f ca="1">IFERROR(__xludf.DUMMYFUNCTION("IMPORTRANGE(""https://docs.google.com/spreadsheets/d/1W6MnUbDkMi6xHnHko_XkFDO9kkuL6Wqyc-6OCDFjW9I/edit?usp=sharing"",""ตาก!Q94"")"),0)</f>
        <v>0</v>
      </c>
      <c r="S17" s="86">
        <f ca="1">IFERROR(__xludf.DUMMYFUNCTION("IMPORTRANGE(""https://docs.google.com/spreadsheets/d/1W6MnUbDkMi6xHnHko_XkFDO9kkuL6Wqyc-6OCDFjW9I/edit?usp=sharing"",""ตาก!R94"")"),0)</f>
        <v>0</v>
      </c>
      <c r="T17" s="86">
        <f ca="1">IFERROR(__xludf.DUMMYFUNCTION("IMPORTRANGE(""https://docs.google.com/spreadsheets/d/1W6MnUbDkMi6xHnHko_XkFDO9kkuL6Wqyc-6OCDFjW9I/edit?usp=sharing"",""ตาก!S94"")"),0)</f>
        <v>0</v>
      </c>
      <c r="U17" s="87">
        <f t="shared" ca="1" si="33"/>
        <v>0</v>
      </c>
      <c r="V17" s="87">
        <f t="shared" ca="1" si="34"/>
        <v>0</v>
      </c>
      <c r="W17" s="93">
        <f ca="1">IFERROR(__xludf.DUMMYFUNCTION("IMPORTRANGE(""https://docs.google.com/spreadsheets/d/1W6MnUbDkMi6xHnHko_XkFDO9kkuL6Wqyc-6OCDFjW9I/edit?usp=sharing"",""ตาก!I108"")"),0)</f>
        <v>0</v>
      </c>
      <c r="X17" s="93">
        <f ca="1">IFERROR(__xludf.DUMMYFUNCTION("IMPORTRANGE(""https://docs.google.com/spreadsheets/d/1W6MnUbDkMi6xHnHko_XkFDO9kkuL6Wqyc-6OCDFjW9I/edit?usp=sharing"",""ตาก!J108"")"),0)</f>
        <v>0</v>
      </c>
      <c r="Y17" s="177">
        <f t="shared" ca="1" si="36"/>
        <v>0</v>
      </c>
      <c r="Z17" s="93">
        <f ca="1">IFERROR(__xludf.DUMMYFUNCTION("IMPORTRANGE(""https://docs.google.com/spreadsheets/d/1W6MnUbDkMi6xHnHko_XkFDO9kkuL6Wqyc-6OCDFjW9I/edit?usp=sharing"",""ตาก!I109"")"),0)</f>
        <v>0</v>
      </c>
      <c r="AA17" s="93">
        <f ca="1">IFERROR(__xludf.DUMMYFUNCTION("IMPORTRANGE(""https://docs.google.com/spreadsheets/d/1W6MnUbDkMi6xHnHko_XkFDO9kkuL6Wqyc-6OCDFjW9I/edit?usp=sharing"",""ตาก!J109"")"),0)</f>
        <v>0</v>
      </c>
      <c r="AB17" s="177">
        <f t="shared" ca="1" si="38"/>
        <v>0</v>
      </c>
      <c r="AC17" s="93">
        <v>0</v>
      </c>
      <c r="AD17" s="93">
        <v>0</v>
      </c>
      <c r="AE17" s="177">
        <f t="shared" si="40"/>
        <v>0</v>
      </c>
    </row>
    <row r="18" spans="1:31" ht="24" customHeight="1" x14ac:dyDescent="0.3">
      <c r="A18" s="172">
        <v>5</v>
      </c>
      <c r="B18" s="173" t="s">
        <v>44</v>
      </c>
      <c r="C18" s="174">
        <f t="shared" ca="1" si="24"/>
        <v>0</v>
      </c>
      <c r="D18" s="175">
        <f t="shared" ca="1" si="41"/>
        <v>0</v>
      </c>
      <c r="E18" s="176">
        <f ca="1">IFERROR(__xludf.DUMMYFUNCTION("IMPORTRANGE(""https://docs.google.com/spreadsheets/d/1-uDff_7J0KD5mKrp0Vvzr7lt3OU09vwQwhkpOPPYv2Y/edit?usp=sharing"",""งบพรบ!AX18"")"),0)</f>
        <v>0</v>
      </c>
      <c r="F18" s="176">
        <f ca="1">IFERROR(__xludf.DUMMYFUNCTION("IMPORTRANGE(""https://docs.google.com/spreadsheets/d/1-uDff_7J0KD5mKrp0Vvzr7lt3OU09vwQwhkpOPPYv2Y/edit?usp=sharing"",""งบพรบ!AY18"")"),0)</f>
        <v>0</v>
      </c>
      <c r="G18" s="176">
        <f ca="1">IFERROR(__xludf.DUMMYFUNCTION("IMPORTRANGE(""https://docs.google.com/spreadsheets/d/1-uDff_7J0KD5mKrp0Vvzr7lt3OU09vwQwhkpOPPYv2Y/edit?usp=sharing"",""งบพรบ!AZ18"")"),0)</f>
        <v>0</v>
      </c>
      <c r="H18" s="176">
        <f ca="1">IFERROR(__xludf.DUMMYFUNCTION("IMPORTRANGE(""https://docs.google.com/spreadsheets/d/1-uDff_7J0KD5mKrp0Vvzr7lt3OU09vwQwhkpOPPYv2Y/edit?usp=sharing"",""งบพรบ!BB18"")"),19500)</f>
        <v>19500</v>
      </c>
      <c r="I18" s="176">
        <f ca="1">IFERROR(__xludf.DUMMYFUNCTION("IMPORTRANGE(""https://docs.google.com/spreadsheets/d/1-uDff_7J0KD5mKrp0Vvzr7lt3OU09vwQwhkpOPPYv2Y/edit?usp=sharing"",""งบพรบ!BC18"")"),0)</f>
        <v>0</v>
      </c>
      <c r="J18" s="176">
        <f t="shared" ca="1" si="26"/>
        <v>0</v>
      </c>
      <c r="K18" s="179">
        <f t="shared" ca="1" si="27"/>
        <v>0</v>
      </c>
      <c r="L18" s="176">
        <f ca="1">IFERROR(__xludf.DUMMYFUNCTION("IMPORTRANGE(""https://docs.google.com/spreadsheets/d/1-uDff_7J0KD5mKrp0Vvzr7lt3OU09vwQwhkpOPPYv2Y/edit?usp=sharing"",""งบพรบ!BD18"")"),0)</f>
        <v>0</v>
      </c>
      <c r="M18" s="87">
        <f t="shared" ca="1" si="28"/>
        <v>0</v>
      </c>
      <c r="N18" s="87">
        <f t="shared" ca="1" si="29"/>
        <v>0</v>
      </c>
      <c r="O18" s="86">
        <f ca="1">IFERROR(__xludf.DUMMYFUNCTION("IMPORTRANGE(""https://docs.google.com/spreadsheets/d/1-uDff_7J0KD5mKrp0Vvzr7lt3OU09vwQwhkpOPPYv2Y/edit?usp=sharing"",""งบพรบ!BE18"")"),0)</f>
        <v>0</v>
      </c>
      <c r="P18" s="86">
        <f t="shared" ca="1" si="30"/>
        <v>0</v>
      </c>
      <c r="Q18" s="87">
        <f t="shared" ca="1" si="31"/>
        <v>0</v>
      </c>
      <c r="R18" s="86">
        <f ca="1">IFERROR(__xludf.DUMMYFUNCTION("IMPORTRANGE(""https://docs.google.com/spreadsheets/d/1IQAWArduLkta9LpYo4a_ULsyqdta6-6aDDiwpUnQT6c/edit?usp=sharing"",""นครสวรรค์!Q94"")"),64920)</f>
        <v>64920</v>
      </c>
      <c r="S18" s="86">
        <f ca="1">IFERROR(__xludf.DUMMYFUNCTION("IMPORTRANGE(""https://docs.google.com/spreadsheets/d/1IQAWArduLkta9LpYo4a_ULsyqdta6-6aDDiwpUnQT6c/edit?usp=sharing"",""นครสวรรค์!R94"")"),0)</f>
        <v>0</v>
      </c>
      <c r="T18" s="86">
        <f ca="1">IFERROR(__xludf.DUMMYFUNCTION("IMPORTRANGE(""https://docs.google.com/spreadsheets/d/1IQAWArduLkta9LpYo4a_ULsyqdta6-6aDDiwpUnQT6c/edit?usp=sharing"",""นครสวรรค์!S94"")"),0)</f>
        <v>0</v>
      </c>
      <c r="U18" s="87">
        <f t="shared" ca="1" si="33"/>
        <v>0</v>
      </c>
      <c r="V18" s="87">
        <f t="shared" ca="1" si="34"/>
        <v>0</v>
      </c>
      <c r="W18" s="93">
        <f ca="1">IFERROR(__xludf.DUMMYFUNCTION("IMPORTRANGE(""https://docs.google.com/spreadsheets/d/1IQAWArduLkta9LpYo4a_ULsyqdta6-6aDDiwpUnQT6c/edit?usp=sharing"",""นครสวรรค์!I108"")"),30)</f>
        <v>30</v>
      </c>
      <c r="X18" s="93">
        <f ca="1">IFERROR(__xludf.DUMMYFUNCTION("IMPORTRANGE(""https://docs.google.com/spreadsheets/d/1IQAWArduLkta9LpYo4a_ULsyqdta6-6aDDiwpUnQT6c/edit?usp=sharing"",""นครสวรรค์!J108"")"),0)</f>
        <v>0</v>
      </c>
      <c r="Y18" s="177">
        <f t="shared" ca="1" si="36"/>
        <v>0</v>
      </c>
      <c r="Z18" s="93">
        <f ca="1">IFERROR(__xludf.DUMMYFUNCTION("IMPORTRANGE(""https://docs.google.com/spreadsheets/d/1IQAWArduLkta9LpYo4a_ULsyqdta6-6aDDiwpUnQT6c/edit?usp=sharing"",""นครสวรรค์!I109"")"),10)</f>
        <v>10</v>
      </c>
      <c r="AA18" s="93">
        <f ca="1">IFERROR(__xludf.DUMMYFUNCTION("IMPORTRANGE(""https://docs.google.com/spreadsheets/d/1IQAWArduLkta9LpYo4a_ULsyqdta6-6aDDiwpUnQT6c/edit?usp=sharing"",""นครสวรรค์!J109"")"),0)</f>
        <v>0</v>
      </c>
      <c r="AB18" s="177">
        <f t="shared" ca="1" si="38"/>
        <v>0</v>
      </c>
      <c r="AC18" s="93">
        <v>0</v>
      </c>
      <c r="AD18" s="93">
        <v>0</v>
      </c>
      <c r="AE18" s="177">
        <f t="shared" si="40"/>
        <v>0</v>
      </c>
    </row>
    <row r="19" spans="1:31" ht="24" customHeight="1" x14ac:dyDescent="0.3">
      <c r="A19" s="172">
        <v>6</v>
      </c>
      <c r="B19" s="173" t="s">
        <v>45</v>
      </c>
      <c r="C19" s="174">
        <f t="shared" ca="1" si="24"/>
        <v>0</v>
      </c>
      <c r="D19" s="175">
        <f t="shared" ca="1" si="41"/>
        <v>0</v>
      </c>
      <c r="E19" s="176">
        <f ca="1">IFERROR(__xludf.DUMMYFUNCTION("IMPORTRANGE(""https://docs.google.com/spreadsheets/d/1-uDff_7J0KD5mKrp0Vvzr7lt3OU09vwQwhkpOPPYv2Y/edit?usp=sharing"",""งบพรบ!AX19"")"),0)</f>
        <v>0</v>
      </c>
      <c r="F19" s="176">
        <f ca="1">IFERROR(__xludf.DUMMYFUNCTION("IMPORTRANGE(""https://docs.google.com/spreadsheets/d/1-uDff_7J0KD5mKrp0Vvzr7lt3OU09vwQwhkpOPPYv2Y/edit?usp=sharing"",""งบพรบ!AY19"")"),0)</f>
        <v>0</v>
      </c>
      <c r="G19" s="176">
        <f ca="1">IFERROR(__xludf.DUMMYFUNCTION("IMPORTRANGE(""https://docs.google.com/spreadsheets/d/1-uDff_7J0KD5mKrp0Vvzr7lt3OU09vwQwhkpOPPYv2Y/edit?usp=sharing"",""งบพรบ!AZ19"")"),0)</f>
        <v>0</v>
      </c>
      <c r="H19" s="176">
        <f ca="1">IFERROR(__xludf.DUMMYFUNCTION("IMPORTRANGE(""https://docs.google.com/spreadsheets/d/1-uDff_7J0KD5mKrp0Vvzr7lt3OU09vwQwhkpOPPYv2Y/edit?usp=sharing"",""งบพรบ!BB19"")"),39000)</f>
        <v>39000</v>
      </c>
      <c r="I19" s="176">
        <f ca="1">IFERROR(__xludf.DUMMYFUNCTION("IMPORTRANGE(""https://docs.google.com/spreadsheets/d/1-uDff_7J0KD5mKrp0Vvzr7lt3OU09vwQwhkpOPPYv2Y/edit?usp=sharing"",""งบพรบ!BC19"")"),0)</f>
        <v>0</v>
      </c>
      <c r="J19" s="176">
        <f t="shared" ca="1" si="26"/>
        <v>0</v>
      </c>
      <c r="K19" s="179">
        <f t="shared" ca="1" si="27"/>
        <v>0</v>
      </c>
      <c r="L19" s="176">
        <f ca="1">IFERROR(__xludf.DUMMYFUNCTION("IMPORTRANGE(""https://docs.google.com/spreadsheets/d/1-uDff_7J0KD5mKrp0Vvzr7lt3OU09vwQwhkpOPPYv2Y/edit?usp=sharing"",""งบพรบ!BD19"")"),0)</f>
        <v>0</v>
      </c>
      <c r="M19" s="87">
        <f t="shared" ca="1" si="28"/>
        <v>0</v>
      </c>
      <c r="N19" s="87">
        <f t="shared" ca="1" si="29"/>
        <v>0</v>
      </c>
      <c r="O19" s="86">
        <f ca="1">IFERROR(__xludf.DUMMYFUNCTION("IMPORTRANGE(""https://docs.google.com/spreadsheets/d/1-uDff_7J0KD5mKrp0Vvzr7lt3OU09vwQwhkpOPPYv2Y/edit?usp=sharing"",""งบพรบ!BE19"")"),0)</f>
        <v>0</v>
      </c>
      <c r="P19" s="86">
        <f t="shared" ca="1" si="30"/>
        <v>0</v>
      </c>
      <c r="Q19" s="87">
        <f t="shared" ca="1" si="31"/>
        <v>0</v>
      </c>
      <c r="R19" s="86">
        <f ca="1">IFERROR(__xludf.DUMMYFUNCTION("IMPORTRANGE(""https://docs.google.com/spreadsheets/d/10s13Sk5xrltsiR-Zkbmk5DwIaDIKO8XlbJAfqyT7Gvg/edit?usp=sharing"",""น่าน!Q94"")"),129840)</f>
        <v>129840</v>
      </c>
      <c r="S19" s="86">
        <f ca="1">IFERROR(__xludf.DUMMYFUNCTION("IMPORTRANGE(""https://docs.google.com/spreadsheets/d/10s13Sk5xrltsiR-Zkbmk5DwIaDIKO8XlbJAfqyT7Gvg/edit?usp=sharing"",""น่าน!R94"")"),0)</f>
        <v>0</v>
      </c>
      <c r="T19" s="86">
        <f ca="1">IFERROR(__xludf.DUMMYFUNCTION("IMPORTRANGE(""https://docs.google.com/spreadsheets/d/10s13Sk5xrltsiR-Zkbmk5DwIaDIKO8XlbJAfqyT7Gvg/edit?usp=sharing"",""น่าน!S94"")"),0)</f>
        <v>0</v>
      </c>
      <c r="U19" s="87">
        <f t="shared" ca="1" si="33"/>
        <v>0</v>
      </c>
      <c r="V19" s="87">
        <f t="shared" ca="1" si="34"/>
        <v>0</v>
      </c>
      <c r="W19" s="93">
        <f ca="1">IFERROR(__xludf.DUMMYFUNCTION("IMPORTRANGE(""https://docs.google.com/spreadsheets/d/10s13Sk5xrltsiR-Zkbmk5DwIaDIKO8XlbJAfqyT7Gvg/edit?usp=sharing"",""น่าน!I108"")"),60)</f>
        <v>60</v>
      </c>
      <c r="X19" s="93">
        <f ca="1">IFERROR(__xludf.DUMMYFUNCTION("IMPORTRANGE(""https://docs.google.com/spreadsheets/d/10s13Sk5xrltsiR-Zkbmk5DwIaDIKO8XlbJAfqyT7Gvg/edit?usp=sharing"",""น่าน!J108"")"),0)</f>
        <v>0</v>
      </c>
      <c r="Y19" s="177">
        <f t="shared" ca="1" si="36"/>
        <v>0</v>
      </c>
      <c r="Z19" s="93">
        <f ca="1">IFERROR(__xludf.DUMMYFUNCTION("IMPORTRANGE(""https://docs.google.com/spreadsheets/d/10s13Sk5xrltsiR-Zkbmk5DwIaDIKO8XlbJAfqyT7Gvg/edit?usp=sharing"",""น่าน!I109"")"),20)</f>
        <v>20</v>
      </c>
      <c r="AA19" s="93">
        <f ca="1">IFERROR(__xludf.DUMMYFUNCTION("IMPORTRANGE(""https://docs.google.com/spreadsheets/d/10s13Sk5xrltsiR-Zkbmk5DwIaDIKO8XlbJAfqyT7Gvg/edit?usp=sharing"",""น่าน!J109"")"),0)</f>
        <v>0</v>
      </c>
      <c r="AB19" s="177">
        <f t="shared" ca="1" si="38"/>
        <v>0</v>
      </c>
      <c r="AC19" s="93">
        <v>0</v>
      </c>
      <c r="AD19" s="93">
        <v>0</v>
      </c>
      <c r="AE19" s="177">
        <f t="shared" si="40"/>
        <v>0</v>
      </c>
    </row>
    <row r="20" spans="1:31" ht="24" customHeight="1" x14ac:dyDescent="0.3">
      <c r="A20" s="172">
        <v>7</v>
      </c>
      <c r="B20" s="173" t="s">
        <v>46</v>
      </c>
      <c r="C20" s="174">
        <f t="shared" ca="1" si="24"/>
        <v>0</v>
      </c>
      <c r="D20" s="175">
        <f t="shared" ca="1" si="41"/>
        <v>0</v>
      </c>
      <c r="E20" s="176">
        <f ca="1">IFERROR(__xludf.DUMMYFUNCTION("IMPORTRANGE(""https://docs.google.com/spreadsheets/d/1-uDff_7J0KD5mKrp0Vvzr7lt3OU09vwQwhkpOPPYv2Y/edit?usp=sharing"",""งบพรบ!AX20"")"),0)</f>
        <v>0</v>
      </c>
      <c r="F20" s="176">
        <f ca="1">IFERROR(__xludf.DUMMYFUNCTION("IMPORTRANGE(""https://docs.google.com/spreadsheets/d/1-uDff_7J0KD5mKrp0Vvzr7lt3OU09vwQwhkpOPPYv2Y/edit?usp=sharing"",""งบพรบ!AY20"")"),0)</f>
        <v>0</v>
      </c>
      <c r="G20" s="176">
        <f ca="1">IFERROR(__xludf.DUMMYFUNCTION("IMPORTRANGE(""https://docs.google.com/spreadsheets/d/1-uDff_7J0KD5mKrp0Vvzr7lt3OU09vwQwhkpOPPYv2Y/edit?usp=sharing"",""งบพรบ!AZ20"")"),0)</f>
        <v>0</v>
      </c>
      <c r="H20" s="176">
        <f ca="1">IFERROR(__xludf.DUMMYFUNCTION("IMPORTRANGE(""https://docs.google.com/spreadsheets/d/1-uDff_7J0KD5mKrp0Vvzr7lt3OU09vwQwhkpOPPYv2Y/edit?usp=sharing"",""งบพรบ!BB20"")"),0)</f>
        <v>0</v>
      </c>
      <c r="I20" s="176">
        <f ca="1">IFERROR(__xludf.DUMMYFUNCTION("IMPORTRANGE(""https://docs.google.com/spreadsheets/d/1-uDff_7J0KD5mKrp0Vvzr7lt3OU09vwQwhkpOPPYv2Y/edit?usp=sharing"",""งบพรบ!BC20"")"),0)</f>
        <v>0</v>
      </c>
      <c r="J20" s="176">
        <f t="shared" ca="1" si="26"/>
        <v>0</v>
      </c>
      <c r="K20" s="179">
        <f t="shared" ca="1" si="27"/>
        <v>0</v>
      </c>
      <c r="L20" s="176">
        <f ca="1">IFERROR(__xludf.DUMMYFUNCTION("IMPORTRANGE(""https://docs.google.com/spreadsheets/d/1-uDff_7J0KD5mKrp0Vvzr7lt3OU09vwQwhkpOPPYv2Y/edit?usp=sharing"",""งบพรบ!BD20"")"),0)</f>
        <v>0</v>
      </c>
      <c r="M20" s="87">
        <f t="shared" ca="1" si="28"/>
        <v>0</v>
      </c>
      <c r="N20" s="87">
        <f t="shared" ca="1" si="29"/>
        <v>0</v>
      </c>
      <c r="O20" s="86">
        <f ca="1">IFERROR(__xludf.DUMMYFUNCTION("IMPORTRANGE(""https://docs.google.com/spreadsheets/d/1-uDff_7J0KD5mKrp0Vvzr7lt3OU09vwQwhkpOPPYv2Y/edit?usp=sharing"",""งบพรบ!BE20"")"),0)</f>
        <v>0</v>
      </c>
      <c r="P20" s="86">
        <f t="shared" ca="1" si="30"/>
        <v>0</v>
      </c>
      <c r="Q20" s="87">
        <f t="shared" ca="1" si="31"/>
        <v>0</v>
      </c>
      <c r="R20" s="86">
        <f ca="1">IFERROR(__xludf.DUMMYFUNCTION("IMPORTRANGE(""https://docs.google.com/spreadsheets/d/1uu4nAn4Dbi1XREnLKKotUANlKXa7yCgRcgq8HEzQYW8/edit?usp=sharing"",""พะเยา!Q94"")"),0)</f>
        <v>0</v>
      </c>
      <c r="S20" s="86">
        <f ca="1">IFERROR(__xludf.DUMMYFUNCTION("IMPORTRANGE(""https://docs.google.com/spreadsheets/d/1uu4nAn4Dbi1XREnLKKotUANlKXa7yCgRcgq8HEzQYW8/edit?usp=sharing"",""พะเยา!R94"")"),0)</f>
        <v>0</v>
      </c>
      <c r="T20" s="86">
        <f ca="1">IFERROR(__xludf.DUMMYFUNCTION("IMPORTRANGE(""https://docs.google.com/spreadsheets/d/1uu4nAn4Dbi1XREnLKKotUANlKXa7yCgRcgq8HEzQYW8/edit?usp=sharing"",""พะเยา!S94"")"),0)</f>
        <v>0</v>
      </c>
      <c r="U20" s="87">
        <f t="shared" ca="1" si="33"/>
        <v>0</v>
      </c>
      <c r="V20" s="87">
        <f t="shared" ca="1" si="34"/>
        <v>0</v>
      </c>
      <c r="W20" s="93">
        <f ca="1">IFERROR(__xludf.DUMMYFUNCTION("IMPORTRANGE(""https://docs.google.com/spreadsheets/d/1uu4nAn4Dbi1XREnLKKotUANlKXa7yCgRcgq8HEzQYW8/edit?usp=sharing"",""พะเยา!I108"")"),0)</f>
        <v>0</v>
      </c>
      <c r="X20" s="93">
        <f ca="1">IFERROR(__xludf.DUMMYFUNCTION("IMPORTRANGE(""https://docs.google.com/spreadsheets/d/1uu4nAn4Dbi1XREnLKKotUANlKXa7yCgRcgq8HEzQYW8/edit?usp=sharing"",""พะเยา!J108"")"),0)</f>
        <v>0</v>
      </c>
      <c r="Y20" s="177">
        <f t="shared" ca="1" si="36"/>
        <v>0</v>
      </c>
      <c r="Z20" s="93">
        <f ca="1">IFERROR(__xludf.DUMMYFUNCTION("IMPORTRANGE(""https://docs.google.com/spreadsheets/d/1uu4nAn4Dbi1XREnLKKotUANlKXa7yCgRcgq8HEzQYW8/edit?usp=sharing"",""พะเยา!I109"")"),0)</f>
        <v>0</v>
      </c>
      <c r="AA20" s="93">
        <f ca="1">IFERROR(__xludf.DUMMYFUNCTION("IMPORTRANGE(""https://docs.google.com/spreadsheets/d/1uu4nAn4Dbi1XREnLKKotUANlKXa7yCgRcgq8HEzQYW8/edit?usp=sharing"",""พะเยา!J109"")"),0)</f>
        <v>0</v>
      </c>
      <c r="AB20" s="177">
        <f t="shared" ca="1" si="38"/>
        <v>0</v>
      </c>
      <c r="AC20" s="93">
        <v>0</v>
      </c>
      <c r="AD20" s="93">
        <v>0</v>
      </c>
      <c r="AE20" s="177">
        <f t="shared" si="40"/>
        <v>0</v>
      </c>
    </row>
    <row r="21" spans="1:31" ht="24" customHeight="1" x14ac:dyDescent="0.3">
      <c r="A21" s="172">
        <v>8</v>
      </c>
      <c r="B21" s="173" t="s">
        <v>47</v>
      </c>
      <c r="C21" s="174">
        <f t="shared" ca="1" si="24"/>
        <v>0</v>
      </c>
      <c r="D21" s="175">
        <f t="shared" ca="1" si="41"/>
        <v>0</v>
      </c>
      <c r="E21" s="176">
        <f ca="1">IFERROR(__xludf.DUMMYFUNCTION("IMPORTRANGE(""https://docs.google.com/spreadsheets/d/1-uDff_7J0KD5mKrp0Vvzr7lt3OU09vwQwhkpOPPYv2Y/edit?usp=sharing"",""งบพรบ!AX21"")"),0)</f>
        <v>0</v>
      </c>
      <c r="F21" s="176">
        <f ca="1">IFERROR(__xludf.DUMMYFUNCTION("IMPORTRANGE(""https://docs.google.com/spreadsheets/d/1-uDff_7J0KD5mKrp0Vvzr7lt3OU09vwQwhkpOPPYv2Y/edit?usp=sharing"",""งบพรบ!AY21"")"),0)</f>
        <v>0</v>
      </c>
      <c r="G21" s="176">
        <f ca="1">IFERROR(__xludf.DUMMYFUNCTION("IMPORTRANGE(""https://docs.google.com/spreadsheets/d/1-uDff_7J0KD5mKrp0Vvzr7lt3OU09vwQwhkpOPPYv2Y/edit?usp=sharing"",""งบพรบ!AZ21"")"),0)</f>
        <v>0</v>
      </c>
      <c r="H21" s="176">
        <f ca="1">IFERROR(__xludf.DUMMYFUNCTION("IMPORTRANGE(""https://docs.google.com/spreadsheets/d/1-uDff_7J0KD5mKrp0Vvzr7lt3OU09vwQwhkpOPPYv2Y/edit?usp=sharing"",""งบพรบ!BB21"")"),0)</f>
        <v>0</v>
      </c>
      <c r="I21" s="176">
        <f ca="1">IFERROR(__xludf.DUMMYFUNCTION("IMPORTRANGE(""https://docs.google.com/spreadsheets/d/1-uDff_7J0KD5mKrp0Vvzr7lt3OU09vwQwhkpOPPYv2Y/edit?usp=sharing"",""งบพรบ!BC21"")"),0)</f>
        <v>0</v>
      </c>
      <c r="J21" s="176">
        <f t="shared" ca="1" si="26"/>
        <v>0</v>
      </c>
      <c r="K21" s="179">
        <f t="shared" ca="1" si="27"/>
        <v>0</v>
      </c>
      <c r="L21" s="176">
        <f ca="1">IFERROR(__xludf.DUMMYFUNCTION("IMPORTRANGE(""https://docs.google.com/spreadsheets/d/1-uDff_7J0KD5mKrp0Vvzr7lt3OU09vwQwhkpOPPYv2Y/edit?usp=sharing"",""งบพรบ!BD21"")"),0)</f>
        <v>0</v>
      </c>
      <c r="M21" s="87">
        <f t="shared" ca="1" si="28"/>
        <v>0</v>
      </c>
      <c r="N21" s="87">
        <f t="shared" ca="1" si="29"/>
        <v>0</v>
      </c>
      <c r="O21" s="86">
        <f ca="1">IFERROR(__xludf.DUMMYFUNCTION("IMPORTRANGE(""https://docs.google.com/spreadsheets/d/1-uDff_7J0KD5mKrp0Vvzr7lt3OU09vwQwhkpOPPYv2Y/edit?usp=sharing"",""งบพรบ!BE21"")"),0)</f>
        <v>0</v>
      </c>
      <c r="P21" s="86">
        <f t="shared" ca="1" si="30"/>
        <v>0</v>
      </c>
      <c r="Q21" s="87">
        <f t="shared" ca="1" si="31"/>
        <v>0</v>
      </c>
      <c r="R21" s="86">
        <f ca="1">IFERROR(__xludf.DUMMYFUNCTION("IMPORTRANGE(""https://docs.google.com/spreadsheets/d/1xfJKIQxVOaPDIICqsflNlLu3JacTDk1FP9RH4phX7mI/edit?usp=sharing"",""พิจิตร!Q94"")"),84420)</f>
        <v>84420</v>
      </c>
      <c r="S21" s="86">
        <f ca="1">IFERROR(__xludf.DUMMYFUNCTION("IMPORTRANGE(""https://docs.google.com/spreadsheets/d/1xfJKIQxVOaPDIICqsflNlLu3JacTDk1FP9RH4phX7mI/edit?usp=sharing"",""พิจิตร!R94"")"),0)</f>
        <v>0</v>
      </c>
      <c r="T21" s="86">
        <f ca="1">IFERROR(__xludf.DUMMYFUNCTION("IMPORTRANGE(""https://docs.google.com/spreadsheets/d/1xfJKIQxVOaPDIICqsflNlLu3JacTDk1FP9RH4phX7mI/edit?usp=sharing"",""พิจิตร!S94"")"),0)</f>
        <v>0</v>
      </c>
      <c r="U21" s="87">
        <f t="shared" ca="1" si="33"/>
        <v>0</v>
      </c>
      <c r="V21" s="87">
        <f t="shared" ca="1" si="34"/>
        <v>0</v>
      </c>
      <c r="W21" s="93">
        <f ca="1">IFERROR(__xludf.DUMMYFUNCTION("IMPORTRANGE(""https://docs.google.com/spreadsheets/d/1xfJKIQxVOaPDIICqsflNlLu3JacTDk1FP9RH4phX7mI/edit?usp=sharing"",""พิจิตร!I108"")"),30)</f>
        <v>30</v>
      </c>
      <c r="X21" s="93">
        <f ca="1">IFERROR(__xludf.DUMMYFUNCTION("IMPORTRANGE(""https://docs.google.com/spreadsheets/d/1xfJKIQxVOaPDIICqsflNlLu3JacTDk1FP9RH4phX7mI/edit?usp=sharing"",""พิจิตร!J108"")"),0)</f>
        <v>0</v>
      </c>
      <c r="Y21" s="177">
        <f t="shared" ca="1" si="36"/>
        <v>0</v>
      </c>
      <c r="Z21" s="93">
        <f ca="1">IFERROR(__xludf.DUMMYFUNCTION("IMPORTRANGE(""https://docs.google.com/spreadsheets/d/1xfJKIQxVOaPDIICqsflNlLu3JacTDk1FP9RH4phX7mI/edit?usp=sharing"",""พิจิตร!I109"")"),10)</f>
        <v>10</v>
      </c>
      <c r="AA21" s="93">
        <f ca="1">IFERROR(__xludf.DUMMYFUNCTION("IMPORTRANGE(""https://docs.google.com/spreadsheets/d/1xfJKIQxVOaPDIICqsflNlLu3JacTDk1FP9RH4phX7mI/edit?usp=sharing"",""พิจิตร!J109"")"),0)</f>
        <v>0</v>
      </c>
      <c r="AB21" s="177">
        <f t="shared" ca="1" si="38"/>
        <v>0</v>
      </c>
      <c r="AC21" s="93">
        <v>0</v>
      </c>
      <c r="AD21" s="93">
        <v>0</v>
      </c>
      <c r="AE21" s="177">
        <f t="shared" si="40"/>
        <v>0</v>
      </c>
    </row>
    <row r="22" spans="1:31" ht="24" customHeight="1" x14ac:dyDescent="0.3">
      <c r="A22" s="172">
        <v>9</v>
      </c>
      <c r="B22" s="173" t="s">
        <v>48</v>
      </c>
      <c r="C22" s="174">
        <f t="shared" ca="1" si="24"/>
        <v>0</v>
      </c>
      <c r="D22" s="175">
        <f t="shared" ca="1" si="41"/>
        <v>0</v>
      </c>
      <c r="E22" s="176">
        <f ca="1">IFERROR(__xludf.DUMMYFUNCTION("IMPORTRANGE(""https://docs.google.com/spreadsheets/d/1-uDff_7J0KD5mKrp0Vvzr7lt3OU09vwQwhkpOPPYv2Y/edit?usp=sharing"",""งบพรบ!AX22"")"),0)</f>
        <v>0</v>
      </c>
      <c r="F22" s="176">
        <f ca="1">IFERROR(__xludf.DUMMYFUNCTION("IMPORTRANGE(""https://docs.google.com/spreadsheets/d/1-uDff_7J0KD5mKrp0Vvzr7lt3OU09vwQwhkpOPPYv2Y/edit?usp=sharing"",""งบพรบ!AY22"")"),0)</f>
        <v>0</v>
      </c>
      <c r="G22" s="176">
        <f ca="1">IFERROR(__xludf.DUMMYFUNCTION("IMPORTRANGE(""https://docs.google.com/spreadsheets/d/1-uDff_7J0KD5mKrp0Vvzr7lt3OU09vwQwhkpOPPYv2Y/edit?usp=sharing"",""งบพรบ!AZ22"")"),0)</f>
        <v>0</v>
      </c>
      <c r="H22" s="176">
        <f ca="1">IFERROR(__xludf.DUMMYFUNCTION("IMPORTRANGE(""https://docs.google.com/spreadsheets/d/1-uDff_7J0KD5mKrp0Vvzr7lt3OU09vwQwhkpOPPYv2Y/edit?usp=sharing"",""งบพรบ!BB22"")"),39000)</f>
        <v>39000</v>
      </c>
      <c r="I22" s="176">
        <f ca="1">IFERROR(__xludf.DUMMYFUNCTION("IMPORTRANGE(""https://docs.google.com/spreadsheets/d/1-uDff_7J0KD5mKrp0Vvzr7lt3OU09vwQwhkpOPPYv2Y/edit?usp=sharing"",""งบพรบ!BC22"")"),0)</f>
        <v>0</v>
      </c>
      <c r="J22" s="176">
        <f t="shared" ca="1" si="26"/>
        <v>0</v>
      </c>
      <c r="K22" s="179">
        <f t="shared" ca="1" si="27"/>
        <v>0</v>
      </c>
      <c r="L22" s="176">
        <f ca="1">IFERROR(__xludf.DUMMYFUNCTION("IMPORTRANGE(""https://docs.google.com/spreadsheets/d/1-uDff_7J0KD5mKrp0Vvzr7lt3OU09vwQwhkpOPPYv2Y/edit?usp=sharing"",""งบพรบ!BD22"")"),0)</f>
        <v>0</v>
      </c>
      <c r="M22" s="87">
        <f t="shared" ca="1" si="28"/>
        <v>0</v>
      </c>
      <c r="N22" s="87">
        <f t="shared" ca="1" si="29"/>
        <v>0</v>
      </c>
      <c r="O22" s="86">
        <f ca="1">IFERROR(__xludf.DUMMYFUNCTION("IMPORTRANGE(""https://docs.google.com/spreadsheets/d/1-uDff_7J0KD5mKrp0Vvzr7lt3OU09vwQwhkpOPPYv2Y/edit?usp=sharing"",""งบพรบ!BE22"")"),0)</f>
        <v>0</v>
      </c>
      <c r="P22" s="86">
        <f t="shared" ca="1" si="30"/>
        <v>0</v>
      </c>
      <c r="Q22" s="87">
        <f t="shared" ca="1" si="31"/>
        <v>0</v>
      </c>
      <c r="R22" s="86">
        <f ca="1">IFERROR(__xludf.DUMMYFUNCTION("IMPORTRANGE(""https://docs.google.com/spreadsheets/d/1JtRfZkJMHtEhI5RdRHxYUG4FIZHqKDpNyIuN7A1Q0_k/edit?usp=sharing"",""พิษณุโลก!Q94"")"),129840)</f>
        <v>129840</v>
      </c>
      <c r="S22" s="86">
        <f ca="1">IFERROR(__xludf.DUMMYFUNCTION("IMPORTRANGE(""https://docs.google.com/spreadsheets/d/1JtRfZkJMHtEhI5RdRHxYUG4FIZHqKDpNyIuN7A1Q0_k/edit?usp=sharing"",""พิษณุโลก!R94"")"),0)</f>
        <v>0</v>
      </c>
      <c r="T22" s="86">
        <f ca="1">IFERROR(__xludf.DUMMYFUNCTION("IMPORTRANGE(""https://docs.google.com/spreadsheets/d/1JtRfZkJMHtEhI5RdRHxYUG4FIZHqKDpNyIuN7A1Q0_k/edit?usp=sharing"",""พิษณุโลก!S94"")"),0)</f>
        <v>0</v>
      </c>
      <c r="U22" s="87">
        <f t="shared" ca="1" si="33"/>
        <v>0</v>
      </c>
      <c r="V22" s="87">
        <f t="shared" ca="1" si="34"/>
        <v>0</v>
      </c>
      <c r="W22" s="93">
        <f ca="1">IFERROR(__xludf.DUMMYFUNCTION("IMPORTRANGE(""https://docs.google.com/spreadsheets/d/1JtRfZkJMHtEhI5RdRHxYUG4FIZHqKDpNyIuN7A1Q0_k/edit?usp=sharing"",""พิษณุโลก!I108"")"),60)</f>
        <v>60</v>
      </c>
      <c r="X22" s="93">
        <f ca="1">IFERROR(__xludf.DUMMYFUNCTION("IMPORTRANGE(""https://docs.google.com/spreadsheets/d/1JtRfZkJMHtEhI5RdRHxYUG4FIZHqKDpNyIuN7A1Q0_k/edit?usp=sharing"",""พิษณุโลก!J108"")"),0)</f>
        <v>0</v>
      </c>
      <c r="Y22" s="177">
        <f t="shared" ca="1" si="36"/>
        <v>0</v>
      </c>
      <c r="Z22" s="93">
        <f ca="1">IFERROR(__xludf.DUMMYFUNCTION("IMPORTRANGE(""https://docs.google.com/spreadsheets/d/1JtRfZkJMHtEhI5RdRHxYUG4FIZHqKDpNyIuN7A1Q0_k/edit?usp=sharing"",""พิษณุโลก!I109"")"),20)</f>
        <v>20</v>
      </c>
      <c r="AA22" s="93">
        <f ca="1">IFERROR(__xludf.DUMMYFUNCTION("IMPORTRANGE(""https://docs.google.com/spreadsheets/d/1JtRfZkJMHtEhI5RdRHxYUG4FIZHqKDpNyIuN7A1Q0_k/edit?usp=sharing"",""พิษณุโลก!J109"")"),0)</f>
        <v>0</v>
      </c>
      <c r="AB22" s="177">
        <f t="shared" ca="1" si="38"/>
        <v>0</v>
      </c>
      <c r="AC22" s="93">
        <v>0</v>
      </c>
      <c r="AD22" s="93">
        <v>0</v>
      </c>
      <c r="AE22" s="177">
        <f t="shared" si="40"/>
        <v>0</v>
      </c>
    </row>
    <row r="23" spans="1:31" ht="24" customHeight="1" x14ac:dyDescent="0.3">
      <c r="A23" s="172">
        <v>10</v>
      </c>
      <c r="B23" s="173" t="s">
        <v>49</v>
      </c>
      <c r="C23" s="174">
        <f t="shared" ca="1" si="24"/>
        <v>0</v>
      </c>
      <c r="D23" s="175">
        <f t="shared" ca="1" si="41"/>
        <v>0</v>
      </c>
      <c r="E23" s="176">
        <f ca="1">IFERROR(__xludf.DUMMYFUNCTION("IMPORTRANGE(""https://docs.google.com/spreadsheets/d/1-uDff_7J0KD5mKrp0Vvzr7lt3OU09vwQwhkpOPPYv2Y/edit?usp=sharing"",""งบพรบ!AX23"")"),0)</f>
        <v>0</v>
      </c>
      <c r="F23" s="176">
        <f ca="1">IFERROR(__xludf.DUMMYFUNCTION("IMPORTRANGE(""https://docs.google.com/spreadsheets/d/1-uDff_7J0KD5mKrp0Vvzr7lt3OU09vwQwhkpOPPYv2Y/edit?usp=sharing"",""งบพรบ!AY23"")"),0)</f>
        <v>0</v>
      </c>
      <c r="G23" s="176">
        <f ca="1">IFERROR(__xludf.DUMMYFUNCTION("IMPORTRANGE(""https://docs.google.com/spreadsheets/d/1-uDff_7J0KD5mKrp0Vvzr7lt3OU09vwQwhkpOPPYv2Y/edit?usp=sharing"",""งบพรบ!AZ23"")"),0)</f>
        <v>0</v>
      </c>
      <c r="H23" s="176">
        <f ca="1">IFERROR(__xludf.DUMMYFUNCTION("IMPORTRANGE(""https://docs.google.com/spreadsheets/d/1-uDff_7J0KD5mKrp0Vvzr7lt3OU09vwQwhkpOPPYv2Y/edit?usp=sharing"",""งบพรบ!BB23"")"),39000)</f>
        <v>39000</v>
      </c>
      <c r="I23" s="176">
        <f ca="1">IFERROR(__xludf.DUMMYFUNCTION("IMPORTRANGE(""https://docs.google.com/spreadsheets/d/1-uDff_7J0KD5mKrp0Vvzr7lt3OU09vwQwhkpOPPYv2Y/edit?usp=sharing"",""งบพรบ!BC23"")"),0)</f>
        <v>0</v>
      </c>
      <c r="J23" s="176">
        <f t="shared" ca="1" si="26"/>
        <v>0</v>
      </c>
      <c r="K23" s="179">
        <f t="shared" ca="1" si="27"/>
        <v>0</v>
      </c>
      <c r="L23" s="176">
        <f ca="1">IFERROR(__xludf.DUMMYFUNCTION("IMPORTRANGE(""https://docs.google.com/spreadsheets/d/1-uDff_7J0KD5mKrp0Vvzr7lt3OU09vwQwhkpOPPYv2Y/edit?usp=sharing"",""งบพรบ!BD23"")"),0)</f>
        <v>0</v>
      </c>
      <c r="M23" s="87">
        <f t="shared" ca="1" si="28"/>
        <v>0</v>
      </c>
      <c r="N23" s="87">
        <f t="shared" ca="1" si="29"/>
        <v>0</v>
      </c>
      <c r="O23" s="86">
        <f ca="1">IFERROR(__xludf.DUMMYFUNCTION("IMPORTRANGE(""https://docs.google.com/spreadsheets/d/1-uDff_7J0KD5mKrp0Vvzr7lt3OU09vwQwhkpOPPYv2Y/edit?usp=sharing"",""งบพรบ!BE23"")"),0)</f>
        <v>0</v>
      </c>
      <c r="P23" s="86">
        <f t="shared" ca="1" si="30"/>
        <v>0</v>
      </c>
      <c r="Q23" s="87">
        <f t="shared" ca="1" si="31"/>
        <v>0</v>
      </c>
      <c r="R23" s="86">
        <f ca="1">IFERROR(__xludf.DUMMYFUNCTION("IMPORTRANGE(""https://docs.google.com/spreadsheets/d/1xlcVZWUNn6SuWm0c307h32SiGkd9BaeQWlAktfD3KO8/edit?usp=sharing"",""เพชรบูรณ์!Q94"")"),129840)</f>
        <v>129840</v>
      </c>
      <c r="S23" s="86">
        <f ca="1">IFERROR(__xludf.DUMMYFUNCTION("IMPORTRANGE(""https://docs.google.com/spreadsheets/d/1xlcVZWUNn6SuWm0c307h32SiGkd9BaeQWlAktfD3KO8/edit?usp=sharing"",""เพชรบูรณ์!R94"")"),0)</f>
        <v>0</v>
      </c>
      <c r="T23" s="86">
        <f ca="1">IFERROR(__xludf.DUMMYFUNCTION("IMPORTRANGE(""https://docs.google.com/spreadsheets/d/1xlcVZWUNn6SuWm0c307h32SiGkd9BaeQWlAktfD3KO8/edit?usp=sharing"",""เพชรบูรณ์!S94"")"),0)</f>
        <v>0</v>
      </c>
      <c r="U23" s="87">
        <f t="shared" ca="1" si="33"/>
        <v>0</v>
      </c>
      <c r="V23" s="87">
        <f t="shared" ca="1" si="34"/>
        <v>0</v>
      </c>
      <c r="W23" s="93">
        <f ca="1">IFERROR(__xludf.DUMMYFUNCTION("IMPORTRANGE(""https://docs.google.com/spreadsheets/d/1xlcVZWUNn6SuWm0c307h32SiGkd9BaeQWlAktfD3KO8/edit?usp=sharing"",""เพชรบูรณ์!I108"")"),60)</f>
        <v>60</v>
      </c>
      <c r="X23" s="93">
        <f ca="1">IFERROR(__xludf.DUMMYFUNCTION("IMPORTRANGE(""https://docs.google.com/spreadsheets/d/1xlcVZWUNn6SuWm0c307h32SiGkd9BaeQWlAktfD3KO8/edit?usp=sharing"",""เพชรบูรณ์!J108"")"),0)</f>
        <v>0</v>
      </c>
      <c r="Y23" s="177">
        <f t="shared" ca="1" si="36"/>
        <v>0</v>
      </c>
      <c r="Z23" s="93">
        <f ca="1">IFERROR(__xludf.DUMMYFUNCTION("IMPORTRANGE(""https://docs.google.com/spreadsheets/d/1xlcVZWUNn6SuWm0c307h32SiGkd9BaeQWlAktfD3KO8/edit?usp=sharing"",""เพชรบูรณ์!I109"")"),20)</f>
        <v>20</v>
      </c>
      <c r="AA23" s="93">
        <f ca="1">IFERROR(__xludf.DUMMYFUNCTION("IMPORTRANGE(""https://docs.google.com/spreadsheets/d/1xlcVZWUNn6SuWm0c307h32SiGkd9BaeQWlAktfD3KO8/edit?usp=sharing"",""เพชรบูรณ์!J109"")"),0)</f>
        <v>0</v>
      </c>
      <c r="AB23" s="177">
        <f t="shared" ca="1" si="38"/>
        <v>0</v>
      </c>
      <c r="AC23" s="93">
        <v>0</v>
      </c>
      <c r="AD23" s="93">
        <v>0</v>
      </c>
      <c r="AE23" s="177">
        <f t="shared" si="40"/>
        <v>0</v>
      </c>
    </row>
    <row r="24" spans="1:31" ht="24" customHeight="1" x14ac:dyDescent="0.3">
      <c r="A24" s="172">
        <v>11</v>
      </c>
      <c r="B24" s="173" t="s">
        <v>50</v>
      </c>
      <c r="C24" s="174">
        <f t="shared" ca="1" si="24"/>
        <v>0</v>
      </c>
      <c r="D24" s="175">
        <f t="shared" ca="1" si="41"/>
        <v>0</v>
      </c>
      <c r="E24" s="176">
        <f ca="1">IFERROR(__xludf.DUMMYFUNCTION("IMPORTRANGE(""https://docs.google.com/spreadsheets/d/1-uDff_7J0KD5mKrp0Vvzr7lt3OU09vwQwhkpOPPYv2Y/edit?usp=sharing"",""งบพรบ!AX24"")"),0)</f>
        <v>0</v>
      </c>
      <c r="F24" s="176">
        <f ca="1">IFERROR(__xludf.DUMMYFUNCTION("IMPORTRANGE(""https://docs.google.com/spreadsheets/d/1-uDff_7J0KD5mKrp0Vvzr7lt3OU09vwQwhkpOPPYv2Y/edit?usp=sharing"",""งบพรบ!AY24"")"),0)</f>
        <v>0</v>
      </c>
      <c r="G24" s="176">
        <f ca="1">IFERROR(__xludf.DUMMYFUNCTION("IMPORTRANGE(""https://docs.google.com/spreadsheets/d/1-uDff_7J0KD5mKrp0Vvzr7lt3OU09vwQwhkpOPPYv2Y/edit?usp=sharing"",""งบพรบ!AZ24"")"),0)</f>
        <v>0</v>
      </c>
      <c r="H24" s="176">
        <f ca="1">IFERROR(__xludf.DUMMYFUNCTION("IMPORTRANGE(""https://docs.google.com/spreadsheets/d/1-uDff_7J0KD5mKrp0Vvzr7lt3OU09vwQwhkpOPPYv2Y/edit?usp=sharing"",""งบพรบ!BB24"")"),0)</f>
        <v>0</v>
      </c>
      <c r="I24" s="176">
        <f ca="1">IFERROR(__xludf.DUMMYFUNCTION("IMPORTRANGE(""https://docs.google.com/spreadsheets/d/1-uDff_7J0KD5mKrp0Vvzr7lt3OU09vwQwhkpOPPYv2Y/edit?usp=sharing"",""งบพรบ!BC24"")"),0)</f>
        <v>0</v>
      </c>
      <c r="J24" s="176">
        <f t="shared" ca="1" si="26"/>
        <v>0</v>
      </c>
      <c r="K24" s="179">
        <f t="shared" ca="1" si="27"/>
        <v>0</v>
      </c>
      <c r="L24" s="176">
        <f ca="1">IFERROR(__xludf.DUMMYFUNCTION("IMPORTRANGE(""https://docs.google.com/spreadsheets/d/1-uDff_7J0KD5mKrp0Vvzr7lt3OU09vwQwhkpOPPYv2Y/edit?usp=sharing"",""งบพรบ!BD24"")"),0)</f>
        <v>0</v>
      </c>
      <c r="M24" s="87">
        <f t="shared" ca="1" si="28"/>
        <v>0</v>
      </c>
      <c r="N24" s="87">
        <f t="shared" ca="1" si="29"/>
        <v>0</v>
      </c>
      <c r="O24" s="86">
        <f ca="1">IFERROR(__xludf.DUMMYFUNCTION("IMPORTRANGE(""https://docs.google.com/spreadsheets/d/1-uDff_7J0KD5mKrp0Vvzr7lt3OU09vwQwhkpOPPYv2Y/edit?usp=sharing"",""งบพรบ!BE24"")"),0)</f>
        <v>0</v>
      </c>
      <c r="P24" s="86">
        <f t="shared" ca="1" si="30"/>
        <v>0</v>
      </c>
      <c r="Q24" s="87">
        <f t="shared" ca="1" si="31"/>
        <v>0</v>
      </c>
      <c r="R24" s="86">
        <f ca="1">IFERROR(__xludf.DUMMYFUNCTION("IMPORTRANGE(""https://docs.google.com/spreadsheets/d/1lOVebEIsI9qjGXl6EX66luk7wiuP2tBaryw-wKvv4e0/edit?usp=sharing"",""แพร่!Q94"")"),0)</f>
        <v>0</v>
      </c>
      <c r="S24" s="86">
        <f ca="1">IFERROR(__xludf.DUMMYFUNCTION("IMPORTRANGE(""https://docs.google.com/spreadsheets/d/1lOVebEIsI9qjGXl6EX66luk7wiuP2tBaryw-wKvv4e0/edit?usp=sharing"",""แพร่!R94"")"),0)</f>
        <v>0</v>
      </c>
      <c r="T24" s="86">
        <f ca="1">IFERROR(__xludf.DUMMYFUNCTION("IMPORTRANGE(""https://docs.google.com/spreadsheets/d/1lOVebEIsI9qjGXl6EX66luk7wiuP2tBaryw-wKvv4e0/edit?usp=sharing"",""แพร่!S94"")"),0)</f>
        <v>0</v>
      </c>
      <c r="U24" s="87">
        <f t="shared" ca="1" si="33"/>
        <v>0</v>
      </c>
      <c r="V24" s="87">
        <f t="shared" ca="1" si="34"/>
        <v>0</v>
      </c>
      <c r="W24" s="93">
        <f ca="1">IFERROR(__xludf.DUMMYFUNCTION("IMPORTRANGE(""https://docs.google.com/spreadsheets/d/1lOVebEIsI9qjGXl6EX66luk7wiuP2tBaryw-wKvv4e0/edit?usp=sharing"",""แพร่!I108"")"),0)</f>
        <v>0</v>
      </c>
      <c r="X24" s="93">
        <f ca="1">IFERROR(__xludf.DUMMYFUNCTION("IMPORTRANGE(""https://docs.google.com/spreadsheets/d/1lOVebEIsI9qjGXl6EX66luk7wiuP2tBaryw-wKvv4e0/edit?usp=sharing"",""แพร่!J108"")"),0)</f>
        <v>0</v>
      </c>
      <c r="Y24" s="177">
        <f t="shared" ca="1" si="36"/>
        <v>0</v>
      </c>
      <c r="Z24" s="93">
        <f ca="1">IFERROR(__xludf.DUMMYFUNCTION("IMPORTRANGE(""https://docs.google.com/spreadsheets/d/1lOVebEIsI9qjGXl6EX66luk7wiuP2tBaryw-wKvv4e0/edit?usp=sharing"",""แพร่!I109"")"),0)</f>
        <v>0</v>
      </c>
      <c r="AA24" s="93">
        <f ca="1">IFERROR(__xludf.DUMMYFUNCTION("IMPORTRANGE(""https://docs.google.com/spreadsheets/d/1lOVebEIsI9qjGXl6EX66luk7wiuP2tBaryw-wKvv4e0/edit?usp=sharing"",""แพร่!J109"")"),0)</f>
        <v>0</v>
      </c>
      <c r="AB24" s="177">
        <f t="shared" ca="1" si="38"/>
        <v>0</v>
      </c>
      <c r="AC24" s="93">
        <v>0</v>
      </c>
      <c r="AD24" s="93">
        <v>0</v>
      </c>
      <c r="AE24" s="177">
        <f t="shared" si="40"/>
        <v>0</v>
      </c>
    </row>
    <row r="25" spans="1:31" ht="24" customHeight="1" x14ac:dyDescent="0.3">
      <c r="A25" s="172">
        <v>12</v>
      </c>
      <c r="B25" s="173" t="s">
        <v>51</v>
      </c>
      <c r="C25" s="174">
        <f t="shared" ca="1" si="24"/>
        <v>0</v>
      </c>
      <c r="D25" s="175">
        <f t="shared" ca="1" si="41"/>
        <v>0</v>
      </c>
      <c r="E25" s="176">
        <f ca="1">IFERROR(__xludf.DUMMYFUNCTION("IMPORTRANGE(""https://docs.google.com/spreadsheets/d/1-uDff_7J0KD5mKrp0Vvzr7lt3OU09vwQwhkpOPPYv2Y/edit?usp=sharing"",""งบพรบ!AX25"")"),0)</f>
        <v>0</v>
      </c>
      <c r="F25" s="176">
        <f ca="1">IFERROR(__xludf.DUMMYFUNCTION("IMPORTRANGE(""https://docs.google.com/spreadsheets/d/1-uDff_7J0KD5mKrp0Vvzr7lt3OU09vwQwhkpOPPYv2Y/edit?usp=sharing"",""งบพรบ!AY25"")"),0)</f>
        <v>0</v>
      </c>
      <c r="G25" s="176">
        <f ca="1">IFERROR(__xludf.DUMMYFUNCTION("IMPORTRANGE(""https://docs.google.com/spreadsheets/d/1-uDff_7J0KD5mKrp0Vvzr7lt3OU09vwQwhkpOPPYv2Y/edit?usp=sharing"",""งบพรบ!AZ25"")"),0)</f>
        <v>0</v>
      </c>
      <c r="H25" s="176">
        <f ca="1">IFERROR(__xludf.DUMMYFUNCTION("IMPORTRANGE(""https://docs.google.com/spreadsheets/d/1-uDff_7J0KD5mKrp0Vvzr7lt3OU09vwQwhkpOPPYv2Y/edit?usp=sharing"",""งบพรบ!BB25"")"),0)</f>
        <v>0</v>
      </c>
      <c r="I25" s="176">
        <f ca="1">IFERROR(__xludf.DUMMYFUNCTION("IMPORTRANGE(""https://docs.google.com/spreadsheets/d/1-uDff_7J0KD5mKrp0Vvzr7lt3OU09vwQwhkpOPPYv2Y/edit?usp=sharing"",""งบพรบ!BC25"")"),0)</f>
        <v>0</v>
      </c>
      <c r="J25" s="176">
        <f t="shared" ca="1" si="26"/>
        <v>0</v>
      </c>
      <c r="K25" s="179">
        <f t="shared" ca="1" si="27"/>
        <v>0</v>
      </c>
      <c r="L25" s="176">
        <f ca="1">IFERROR(__xludf.DUMMYFUNCTION("IMPORTRANGE(""https://docs.google.com/spreadsheets/d/1-uDff_7J0KD5mKrp0Vvzr7lt3OU09vwQwhkpOPPYv2Y/edit?usp=sharing"",""งบพรบ!BD25"")"),0)</f>
        <v>0</v>
      </c>
      <c r="M25" s="87">
        <f t="shared" ca="1" si="28"/>
        <v>0</v>
      </c>
      <c r="N25" s="87">
        <f t="shared" ca="1" si="29"/>
        <v>0</v>
      </c>
      <c r="O25" s="86">
        <f ca="1">IFERROR(__xludf.DUMMYFUNCTION("IMPORTRANGE(""https://docs.google.com/spreadsheets/d/1-uDff_7J0KD5mKrp0Vvzr7lt3OU09vwQwhkpOPPYv2Y/edit?usp=sharing"",""งบพรบ!BE25"")"),0)</f>
        <v>0</v>
      </c>
      <c r="P25" s="86">
        <f t="shared" ca="1" si="30"/>
        <v>0</v>
      </c>
      <c r="Q25" s="87">
        <f t="shared" ca="1" si="31"/>
        <v>0</v>
      </c>
      <c r="R25" s="86">
        <f ca="1">IFERROR(__xludf.DUMMYFUNCTION("IMPORTRANGE(""https://docs.google.com/spreadsheets/d/1dQrvX0vEcN7Gu0fnZ0B5S90AeR19zth4XlExFBeExMY/edit?usp=sharing"",""แม่ฮ่องสอน!Q94"")"),170160)</f>
        <v>170160</v>
      </c>
      <c r="S25" s="86">
        <f ca="1">IFERROR(__xludf.DUMMYFUNCTION("IMPORTRANGE(""https://docs.google.com/spreadsheets/d/1dQrvX0vEcN7Gu0fnZ0B5S90AeR19zth4XlExFBeExMY/edit?usp=sharing"",""แม่ฮ่องสอน!R94"")"),0)</f>
        <v>0</v>
      </c>
      <c r="T25" s="86">
        <f ca="1">IFERROR(__xludf.DUMMYFUNCTION("IMPORTRANGE(""https://docs.google.com/spreadsheets/d/1dQrvX0vEcN7Gu0fnZ0B5S90AeR19zth4XlExFBeExMY/edit?usp=sharing"",""แม่ฮ่องสอน!S94"")"),0)</f>
        <v>0</v>
      </c>
      <c r="U25" s="87">
        <f t="shared" ca="1" si="33"/>
        <v>0</v>
      </c>
      <c r="V25" s="87">
        <f t="shared" ca="1" si="34"/>
        <v>0</v>
      </c>
      <c r="W25" s="93">
        <f ca="1">IFERROR(__xludf.DUMMYFUNCTION("IMPORTRANGE(""https://docs.google.com/spreadsheets/d/1dQrvX0vEcN7Gu0fnZ0B5S90AeR19zth4XlExFBeExMY/edit?usp=sharing"",""แม่ฮ่องสอน!I108"")"),60)</f>
        <v>60</v>
      </c>
      <c r="X25" s="93">
        <f ca="1">IFERROR(__xludf.DUMMYFUNCTION("IMPORTRANGE(""https://docs.google.com/spreadsheets/d/1dQrvX0vEcN7Gu0fnZ0B5S90AeR19zth4XlExFBeExMY/edit?usp=sharing"",""แม่ฮ่องสอน!J108"")"),0)</f>
        <v>0</v>
      </c>
      <c r="Y25" s="177">
        <f t="shared" ca="1" si="36"/>
        <v>0</v>
      </c>
      <c r="Z25" s="93">
        <f ca="1">IFERROR(__xludf.DUMMYFUNCTION("IMPORTRANGE(""https://docs.google.com/spreadsheets/d/1dQrvX0vEcN7Gu0fnZ0B5S90AeR19zth4XlExFBeExMY/edit?usp=sharing"",""แม่ฮ่องสอน!I109"")"),20)</f>
        <v>20</v>
      </c>
      <c r="AA25" s="93">
        <f ca="1">IFERROR(__xludf.DUMMYFUNCTION("IMPORTRANGE(""https://docs.google.com/spreadsheets/d/1dQrvX0vEcN7Gu0fnZ0B5S90AeR19zth4XlExFBeExMY/edit?usp=sharing"",""แม่ฮ่องสอน!J109"")"),0)</f>
        <v>0</v>
      </c>
      <c r="AB25" s="177">
        <f t="shared" ca="1" si="38"/>
        <v>0</v>
      </c>
      <c r="AC25" s="93">
        <v>0</v>
      </c>
      <c r="AD25" s="93">
        <v>0</v>
      </c>
      <c r="AE25" s="177">
        <f t="shared" si="40"/>
        <v>0</v>
      </c>
    </row>
    <row r="26" spans="1:31" ht="24" customHeight="1" x14ac:dyDescent="0.3">
      <c r="A26" s="172">
        <v>13</v>
      </c>
      <c r="B26" s="173" t="s">
        <v>52</v>
      </c>
      <c r="C26" s="174">
        <f t="shared" ca="1" si="24"/>
        <v>0</v>
      </c>
      <c r="D26" s="175">
        <f t="shared" ca="1" si="41"/>
        <v>0</v>
      </c>
      <c r="E26" s="176">
        <f ca="1">IFERROR(__xludf.DUMMYFUNCTION("IMPORTRANGE(""https://docs.google.com/spreadsheets/d/1-uDff_7J0KD5mKrp0Vvzr7lt3OU09vwQwhkpOPPYv2Y/edit?usp=sharing"",""งบพรบ!AX26"")"),0)</f>
        <v>0</v>
      </c>
      <c r="F26" s="176">
        <f ca="1">IFERROR(__xludf.DUMMYFUNCTION("IMPORTRANGE(""https://docs.google.com/spreadsheets/d/1-uDff_7J0KD5mKrp0Vvzr7lt3OU09vwQwhkpOPPYv2Y/edit?usp=sharing"",""งบพรบ!AY26"")"),0)</f>
        <v>0</v>
      </c>
      <c r="G26" s="176">
        <f ca="1">IFERROR(__xludf.DUMMYFUNCTION("IMPORTRANGE(""https://docs.google.com/spreadsheets/d/1-uDff_7J0KD5mKrp0Vvzr7lt3OU09vwQwhkpOPPYv2Y/edit?usp=sharing"",""งบพรบ!AZ26"")"),0)</f>
        <v>0</v>
      </c>
      <c r="H26" s="176">
        <f ca="1">IFERROR(__xludf.DUMMYFUNCTION("IMPORTRANGE(""https://docs.google.com/spreadsheets/d/1-uDff_7J0KD5mKrp0Vvzr7lt3OU09vwQwhkpOPPYv2Y/edit?usp=sharing"",""งบพรบ!BB26"")"),0)</f>
        <v>0</v>
      </c>
      <c r="I26" s="176">
        <f ca="1">IFERROR(__xludf.DUMMYFUNCTION("IMPORTRANGE(""https://docs.google.com/spreadsheets/d/1-uDff_7J0KD5mKrp0Vvzr7lt3OU09vwQwhkpOPPYv2Y/edit?usp=sharing"",""งบพรบ!BC26"")"),0)</f>
        <v>0</v>
      </c>
      <c r="J26" s="176">
        <f t="shared" ca="1" si="26"/>
        <v>0</v>
      </c>
      <c r="K26" s="179">
        <f t="shared" ca="1" si="27"/>
        <v>0</v>
      </c>
      <c r="L26" s="176">
        <f ca="1">IFERROR(__xludf.DUMMYFUNCTION("IMPORTRANGE(""https://docs.google.com/spreadsheets/d/1-uDff_7J0KD5mKrp0Vvzr7lt3OU09vwQwhkpOPPYv2Y/edit?usp=sharing"",""งบพรบ!BD26"")"),0)</f>
        <v>0</v>
      </c>
      <c r="M26" s="87">
        <f t="shared" ca="1" si="28"/>
        <v>0</v>
      </c>
      <c r="N26" s="87">
        <f t="shared" ca="1" si="29"/>
        <v>0</v>
      </c>
      <c r="O26" s="86">
        <f ca="1">IFERROR(__xludf.DUMMYFUNCTION("IMPORTRANGE(""https://docs.google.com/spreadsheets/d/1-uDff_7J0KD5mKrp0Vvzr7lt3OU09vwQwhkpOPPYv2Y/edit?usp=sharing"",""งบพรบ!BE26"")"),0)</f>
        <v>0</v>
      </c>
      <c r="P26" s="86">
        <f t="shared" ca="1" si="30"/>
        <v>0</v>
      </c>
      <c r="Q26" s="87">
        <f t="shared" ca="1" si="31"/>
        <v>0</v>
      </c>
      <c r="R26" s="86">
        <f ca="1">IFERROR(__xludf.DUMMYFUNCTION("IMPORTRANGE(""https://docs.google.com/spreadsheets/d/1DY4XTNNwjluuxqdfdn6qvOSlMRrZqUtmYcZR0ttFiG4/edit?usp=sharing"",""ลำปาง!Q94"")"),84420)</f>
        <v>84420</v>
      </c>
      <c r="S26" s="86">
        <f ca="1">IFERROR(__xludf.DUMMYFUNCTION("IMPORTRANGE(""https://docs.google.com/spreadsheets/d/1DY4XTNNwjluuxqdfdn6qvOSlMRrZqUtmYcZR0ttFiG4/edit?usp=sharing"",""ลำปาง!R94"")"),0)</f>
        <v>0</v>
      </c>
      <c r="T26" s="86">
        <f ca="1">IFERROR(__xludf.DUMMYFUNCTION("IMPORTRANGE(""https://docs.google.com/spreadsheets/d/1DY4XTNNwjluuxqdfdn6qvOSlMRrZqUtmYcZR0ttFiG4/edit?usp=sharing"",""ลำปาง!S94"")"),0)</f>
        <v>0</v>
      </c>
      <c r="U26" s="87">
        <f t="shared" ca="1" si="33"/>
        <v>0</v>
      </c>
      <c r="V26" s="87">
        <f t="shared" ca="1" si="34"/>
        <v>0</v>
      </c>
      <c r="W26" s="93">
        <f ca="1">IFERROR(__xludf.DUMMYFUNCTION("IMPORTRANGE(""https://docs.google.com/spreadsheets/d/1DY4XTNNwjluuxqdfdn6qvOSlMRrZqUtmYcZR0ttFiG4/edit?usp=sharing"",""ลำปาง!I108"")"),30)</f>
        <v>30</v>
      </c>
      <c r="X26" s="93">
        <f ca="1">IFERROR(__xludf.DUMMYFUNCTION("IMPORTRANGE(""https://docs.google.com/spreadsheets/d/1DY4XTNNwjluuxqdfdn6qvOSlMRrZqUtmYcZR0ttFiG4/edit?usp=sharing"",""ลำปาง!J108"")"),0)</f>
        <v>0</v>
      </c>
      <c r="Y26" s="177">
        <f t="shared" ca="1" si="36"/>
        <v>0</v>
      </c>
      <c r="Z26" s="93">
        <f ca="1">IFERROR(__xludf.DUMMYFUNCTION("IMPORTRANGE(""https://docs.google.com/spreadsheets/d/1DY4XTNNwjluuxqdfdn6qvOSlMRrZqUtmYcZR0ttFiG4/edit?usp=sharing"",""ลำปาง!I109"")"),10)</f>
        <v>10</v>
      </c>
      <c r="AA26" s="93">
        <f ca="1">IFERROR(__xludf.DUMMYFUNCTION("IMPORTRANGE(""https://docs.google.com/spreadsheets/d/1DY4XTNNwjluuxqdfdn6qvOSlMRrZqUtmYcZR0ttFiG4/edit?usp=sharing"",""ลำปาง!J109"")"),0)</f>
        <v>0</v>
      </c>
      <c r="AB26" s="177">
        <f t="shared" ca="1" si="38"/>
        <v>0</v>
      </c>
      <c r="AC26" s="93">
        <v>0</v>
      </c>
      <c r="AD26" s="93">
        <v>0</v>
      </c>
      <c r="AE26" s="177">
        <f t="shared" si="40"/>
        <v>0</v>
      </c>
    </row>
    <row r="27" spans="1:31" ht="24" customHeight="1" x14ac:dyDescent="0.3">
      <c r="A27" s="172">
        <v>14</v>
      </c>
      <c r="B27" s="173" t="s">
        <v>53</v>
      </c>
      <c r="C27" s="174">
        <f t="shared" ca="1" si="24"/>
        <v>136300</v>
      </c>
      <c r="D27" s="175">
        <f t="shared" ca="1" si="41"/>
        <v>136300</v>
      </c>
      <c r="E27" s="176">
        <f ca="1">IFERROR(__xludf.DUMMYFUNCTION("IMPORTRANGE(""https://docs.google.com/spreadsheets/d/1-uDff_7J0KD5mKrp0Vvzr7lt3OU09vwQwhkpOPPYv2Y/edit?usp=sharing"",""งบพรบ!AX27"")"),85300)</f>
        <v>85300</v>
      </c>
      <c r="F27" s="176">
        <f ca="1">IFERROR(__xludf.DUMMYFUNCTION("IMPORTRANGE(""https://docs.google.com/spreadsheets/d/1-uDff_7J0KD5mKrp0Vvzr7lt3OU09vwQwhkpOPPYv2Y/edit?usp=sharing"",""งบพรบ!AY27"")"),51000)</f>
        <v>51000</v>
      </c>
      <c r="G27" s="176">
        <f ca="1">IFERROR(__xludf.DUMMYFUNCTION("IMPORTRANGE(""https://docs.google.com/spreadsheets/d/1-uDff_7J0KD5mKrp0Vvzr7lt3OU09vwQwhkpOPPYv2Y/edit?usp=sharing"",""งบพรบ!AZ27"")"),0)</f>
        <v>0</v>
      </c>
      <c r="H27" s="176">
        <f ca="1">IFERROR(__xludf.DUMMYFUNCTION("IMPORTRANGE(""https://docs.google.com/spreadsheets/d/1-uDff_7J0KD5mKrp0Vvzr7lt3OU09vwQwhkpOPPYv2Y/edit?usp=sharing"",""งบพรบ!BB27"")"),61000)</f>
        <v>61000</v>
      </c>
      <c r="I27" s="176">
        <f ca="1">IFERROR(__xludf.DUMMYFUNCTION("IMPORTRANGE(""https://docs.google.com/spreadsheets/d/1-uDff_7J0KD5mKrp0Vvzr7lt3OU09vwQwhkpOPPYv2Y/edit?usp=sharing"",""งบพรบ!BC27"")"),0)</f>
        <v>0</v>
      </c>
      <c r="J27" s="176">
        <f t="shared" ca="1" si="26"/>
        <v>48570</v>
      </c>
      <c r="K27" s="179">
        <f t="shared" ca="1" si="27"/>
        <v>35.634629493763754</v>
      </c>
      <c r="L27" s="176">
        <f ca="1">IFERROR(__xludf.DUMMYFUNCTION("IMPORTRANGE(""https://docs.google.com/spreadsheets/d/1-uDff_7J0KD5mKrp0Vvzr7lt3OU09vwQwhkpOPPYv2Y/edit?usp=sharing"",""งบพรบ!BD27"")"),48570)</f>
        <v>48570</v>
      </c>
      <c r="M27" s="87">
        <f t="shared" ca="1" si="28"/>
        <v>35.634629493763754</v>
      </c>
      <c r="N27" s="87">
        <f t="shared" ca="1" si="29"/>
        <v>79.622950819672127</v>
      </c>
      <c r="O27" s="86">
        <f ca="1">IFERROR(__xludf.DUMMYFUNCTION("IMPORTRANGE(""https://docs.google.com/spreadsheets/d/1-uDff_7J0KD5mKrp0Vvzr7lt3OU09vwQwhkpOPPYv2Y/edit?usp=sharing"",""งบพรบ!BE27"")"),0)</f>
        <v>0</v>
      </c>
      <c r="P27" s="86">
        <f t="shared" ca="1" si="30"/>
        <v>0</v>
      </c>
      <c r="Q27" s="87">
        <f t="shared" ca="1" si="31"/>
        <v>0</v>
      </c>
      <c r="R27" s="86">
        <f ca="1">IFERROR(__xludf.DUMMYFUNCTION("IMPORTRANGE(""https://docs.google.com/spreadsheets/d/1ICwG78r0OFT8biBlxnBF8r7she7gNSzOvJ958PWT09c/edit?usp=sharing"",""ลำพูน!Q94"")"),84420)</f>
        <v>84420</v>
      </c>
      <c r="S27" s="86">
        <f ca="1">IFERROR(__xludf.DUMMYFUNCTION("IMPORTRANGE(""https://docs.google.com/spreadsheets/d/1ICwG78r0OFT8biBlxnBF8r7she7gNSzOvJ958PWT09c/edit?usp=sharing"",""ลำพูน!R94"")"),0)</f>
        <v>0</v>
      </c>
      <c r="T27" s="86">
        <f ca="1">IFERROR(__xludf.DUMMYFUNCTION("IMPORTRANGE(""https://docs.google.com/spreadsheets/d/1ICwG78r0OFT8biBlxnBF8r7she7gNSzOvJ958PWT09c/edit?usp=sharing"",""ลำพูน!S94"")"),0)</f>
        <v>0</v>
      </c>
      <c r="U27" s="87">
        <f t="shared" ca="1" si="33"/>
        <v>0</v>
      </c>
      <c r="V27" s="87">
        <f t="shared" ca="1" si="34"/>
        <v>0</v>
      </c>
      <c r="W27" s="93">
        <f ca="1">IFERROR(__xludf.DUMMYFUNCTION("IMPORTRANGE(""https://docs.google.com/spreadsheets/d/1ICwG78r0OFT8biBlxnBF8r7she7gNSzOvJ958PWT09c/edit?usp=sharing"",""ลำพูน!I108"")"),30)</f>
        <v>30</v>
      </c>
      <c r="X27" s="93">
        <f ca="1">IFERROR(__xludf.DUMMYFUNCTION("IMPORTRANGE(""https://docs.google.com/spreadsheets/d/1ICwG78r0OFT8biBlxnBF8r7she7gNSzOvJ958PWT09c/edit?usp=sharing"",""ลำพูน!J108"")"),0)</f>
        <v>0</v>
      </c>
      <c r="Y27" s="177">
        <f t="shared" ca="1" si="36"/>
        <v>0</v>
      </c>
      <c r="Z27" s="93">
        <f ca="1">IFERROR(__xludf.DUMMYFUNCTION("IMPORTRANGE(""https://docs.google.com/spreadsheets/d/1ICwG78r0OFT8biBlxnBF8r7she7gNSzOvJ958PWT09c/edit?usp=sharing"",""ลำพูน!I109"")"),10)</f>
        <v>10</v>
      </c>
      <c r="AA27" s="93">
        <f ca="1">IFERROR(__xludf.DUMMYFUNCTION("IMPORTRANGE(""https://docs.google.com/spreadsheets/d/1ICwG78r0OFT8biBlxnBF8r7she7gNSzOvJ958PWT09c/edit?usp=sharing"",""ลำพูน!J109"")"),0)</f>
        <v>0</v>
      </c>
      <c r="AB27" s="177">
        <f t="shared" ca="1" si="38"/>
        <v>0</v>
      </c>
      <c r="AC27" s="93">
        <v>0</v>
      </c>
      <c r="AD27" s="93">
        <v>0</v>
      </c>
      <c r="AE27" s="177">
        <f t="shared" si="40"/>
        <v>0</v>
      </c>
    </row>
    <row r="28" spans="1:31" ht="24" customHeight="1" x14ac:dyDescent="0.3">
      <c r="A28" s="172">
        <v>15</v>
      </c>
      <c r="B28" s="173" t="s">
        <v>54</v>
      </c>
      <c r="C28" s="174">
        <f t="shared" ca="1" si="24"/>
        <v>0</v>
      </c>
      <c r="D28" s="175">
        <f t="shared" ca="1" si="41"/>
        <v>0</v>
      </c>
      <c r="E28" s="176">
        <f ca="1">IFERROR(__xludf.DUMMYFUNCTION("IMPORTRANGE(""https://docs.google.com/spreadsheets/d/1-uDff_7J0KD5mKrp0Vvzr7lt3OU09vwQwhkpOPPYv2Y/edit?usp=sharing"",""งบพรบ!AX28"")"),0)</f>
        <v>0</v>
      </c>
      <c r="F28" s="176">
        <f ca="1">IFERROR(__xludf.DUMMYFUNCTION("IMPORTRANGE(""https://docs.google.com/spreadsheets/d/1-uDff_7J0KD5mKrp0Vvzr7lt3OU09vwQwhkpOPPYv2Y/edit?usp=sharing"",""งบพรบ!AY28"")"),0)</f>
        <v>0</v>
      </c>
      <c r="G28" s="176">
        <f ca="1">IFERROR(__xludf.DUMMYFUNCTION("IMPORTRANGE(""https://docs.google.com/spreadsheets/d/1-uDff_7J0KD5mKrp0Vvzr7lt3OU09vwQwhkpOPPYv2Y/edit?usp=sharing"",""งบพรบ!AZ28"")"),0)</f>
        <v>0</v>
      </c>
      <c r="H28" s="176">
        <f ca="1">IFERROR(__xludf.DUMMYFUNCTION("IMPORTRANGE(""https://docs.google.com/spreadsheets/d/1-uDff_7J0KD5mKrp0Vvzr7lt3OU09vwQwhkpOPPYv2Y/edit?usp=sharing"",""งบพรบ!BB28"")"),0)</f>
        <v>0</v>
      </c>
      <c r="I28" s="176">
        <f ca="1">IFERROR(__xludf.DUMMYFUNCTION("IMPORTRANGE(""https://docs.google.com/spreadsheets/d/1-uDff_7J0KD5mKrp0Vvzr7lt3OU09vwQwhkpOPPYv2Y/edit?usp=sharing"",""งบพรบ!BC28"")"),0)</f>
        <v>0</v>
      </c>
      <c r="J28" s="176">
        <f t="shared" ca="1" si="26"/>
        <v>0</v>
      </c>
      <c r="K28" s="179">
        <f t="shared" ca="1" si="27"/>
        <v>0</v>
      </c>
      <c r="L28" s="176">
        <f ca="1">IFERROR(__xludf.DUMMYFUNCTION("IMPORTRANGE(""https://docs.google.com/spreadsheets/d/1-uDff_7J0KD5mKrp0Vvzr7lt3OU09vwQwhkpOPPYv2Y/edit?usp=sharing"",""งบพรบ!BD28"")"),0)</f>
        <v>0</v>
      </c>
      <c r="M28" s="87">
        <f t="shared" ca="1" si="28"/>
        <v>0</v>
      </c>
      <c r="N28" s="87">
        <f t="shared" ca="1" si="29"/>
        <v>0</v>
      </c>
      <c r="O28" s="86">
        <f ca="1">IFERROR(__xludf.DUMMYFUNCTION("IMPORTRANGE(""https://docs.google.com/spreadsheets/d/1-uDff_7J0KD5mKrp0Vvzr7lt3OU09vwQwhkpOPPYv2Y/edit?usp=sharing"",""งบพรบ!BE28"")"),0)</f>
        <v>0</v>
      </c>
      <c r="P28" s="86">
        <f t="shared" ca="1" si="30"/>
        <v>0</v>
      </c>
      <c r="Q28" s="87">
        <f t="shared" ca="1" si="31"/>
        <v>0</v>
      </c>
      <c r="R28" s="86">
        <f ca="1">IFERROR(__xludf.DUMMYFUNCTION("IMPORTRANGE(""https://docs.google.com/spreadsheets/d/1B0f2xJpZUC6Z0xXnqKlZtEPzsf6L84eP1r1Q15seqRM/edit?usp=sharing"",""สุโขทัย!Q94"")"),0)</f>
        <v>0</v>
      </c>
      <c r="S28" s="86">
        <f ca="1">IFERROR(__xludf.DUMMYFUNCTION("IMPORTRANGE(""https://docs.google.com/spreadsheets/d/1B0f2xJpZUC6Z0xXnqKlZtEPzsf6L84eP1r1Q15seqRM/edit?usp=sharing"",""สุโขทัย!R94"")"),0)</f>
        <v>0</v>
      </c>
      <c r="T28" s="86">
        <f ca="1">IFERROR(__xludf.DUMMYFUNCTION("IMPORTRANGE(""https://docs.google.com/spreadsheets/d/1B0f2xJpZUC6Z0xXnqKlZtEPzsf6L84eP1r1Q15seqRM/edit?usp=sharing"",""สุโขทัย!S94"")"),0)</f>
        <v>0</v>
      </c>
      <c r="U28" s="87">
        <f t="shared" ca="1" si="33"/>
        <v>0</v>
      </c>
      <c r="V28" s="87">
        <f t="shared" ca="1" si="34"/>
        <v>0</v>
      </c>
      <c r="W28" s="93">
        <f ca="1">IFERROR(__xludf.DUMMYFUNCTION("IMPORTRANGE(""https://docs.google.com/spreadsheets/d/1B0f2xJpZUC6Z0xXnqKlZtEPzsf6L84eP1r1Q15seqRM/edit?usp=sharing"",""สุโขทัย!I108"")"),0)</f>
        <v>0</v>
      </c>
      <c r="X28" s="93">
        <f ca="1">IFERROR(__xludf.DUMMYFUNCTION("IMPORTRANGE(""https://docs.google.com/spreadsheets/d/1B0f2xJpZUC6Z0xXnqKlZtEPzsf6L84eP1r1Q15seqRM/edit?usp=sharing"",""สุโขทัย!J108"")"),0)</f>
        <v>0</v>
      </c>
      <c r="Y28" s="177">
        <f t="shared" ca="1" si="36"/>
        <v>0</v>
      </c>
      <c r="Z28" s="93">
        <f ca="1">IFERROR(__xludf.DUMMYFUNCTION("IMPORTRANGE(""https://docs.google.com/spreadsheets/d/1B0f2xJpZUC6Z0xXnqKlZtEPzsf6L84eP1r1Q15seqRM/edit?usp=sharing"",""สุโขทัย!I109"")"),0)</f>
        <v>0</v>
      </c>
      <c r="AA28" s="93">
        <f ca="1">IFERROR(__xludf.DUMMYFUNCTION("IMPORTRANGE(""https://docs.google.com/spreadsheets/d/1B0f2xJpZUC6Z0xXnqKlZtEPzsf6L84eP1r1Q15seqRM/edit?usp=sharing"",""สุโขทัย!J109"")"),0)</f>
        <v>0</v>
      </c>
      <c r="AB28" s="177">
        <f t="shared" ca="1" si="38"/>
        <v>0</v>
      </c>
      <c r="AC28" s="93">
        <v>0</v>
      </c>
      <c r="AD28" s="93">
        <v>0</v>
      </c>
      <c r="AE28" s="177">
        <f t="shared" si="40"/>
        <v>0</v>
      </c>
    </row>
    <row r="29" spans="1:31" ht="24" customHeight="1" x14ac:dyDescent="0.3">
      <c r="A29" s="172">
        <v>16</v>
      </c>
      <c r="B29" s="173" t="s">
        <v>55</v>
      </c>
      <c r="C29" s="174">
        <f t="shared" ca="1" si="24"/>
        <v>0</v>
      </c>
      <c r="D29" s="175">
        <f t="shared" ca="1" si="41"/>
        <v>0</v>
      </c>
      <c r="E29" s="176">
        <f ca="1">IFERROR(__xludf.DUMMYFUNCTION("IMPORTRANGE(""https://docs.google.com/spreadsheets/d/1-uDff_7J0KD5mKrp0Vvzr7lt3OU09vwQwhkpOPPYv2Y/edit?usp=sharing"",""งบพรบ!AX29"")"),0)</f>
        <v>0</v>
      </c>
      <c r="F29" s="176">
        <f ca="1">IFERROR(__xludf.DUMMYFUNCTION("IMPORTRANGE(""https://docs.google.com/spreadsheets/d/1-uDff_7J0KD5mKrp0Vvzr7lt3OU09vwQwhkpOPPYv2Y/edit?usp=sharing"",""งบพรบ!AY29"")"),0)</f>
        <v>0</v>
      </c>
      <c r="G29" s="176">
        <f ca="1">IFERROR(__xludf.DUMMYFUNCTION("IMPORTRANGE(""https://docs.google.com/spreadsheets/d/1-uDff_7J0KD5mKrp0Vvzr7lt3OU09vwQwhkpOPPYv2Y/edit?usp=sharing"",""งบพรบ!AZ29"")"),0)</f>
        <v>0</v>
      </c>
      <c r="H29" s="176">
        <f ca="1">IFERROR(__xludf.DUMMYFUNCTION("IMPORTRANGE(""https://docs.google.com/spreadsheets/d/1-uDff_7J0KD5mKrp0Vvzr7lt3OU09vwQwhkpOPPYv2Y/edit?usp=sharing"",""งบพรบ!BB29"")"),0)</f>
        <v>0</v>
      </c>
      <c r="I29" s="176">
        <f ca="1">IFERROR(__xludf.DUMMYFUNCTION("IMPORTRANGE(""https://docs.google.com/spreadsheets/d/1-uDff_7J0KD5mKrp0Vvzr7lt3OU09vwQwhkpOPPYv2Y/edit?usp=sharing"",""งบพรบ!BC29"")"),0)</f>
        <v>0</v>
      </c>
      <c r="J29" s="176">
        <f t="shared" ca="1" si="26"/>
        <v>0</v>
      </c>
      <c r="K29" s="179">
        <f t="shared" ca="1" si="27"/>
        <v>0</v>
      </c>
      <c r="L29" s="176">
        <f ca="1">IFERROR(__xludf.DUMMYFUNCTION("IMPORTRANGE(""https://docs.google.com/spreadsheets/d/1-uDff_7J0KD5mKrp0Vvzr7lt3OU09vwQwhkpOPPYv2Y/edit?usp=sharing"",""งบพรบ!BD29"")"),0)</f>
        <v>0</v>
      </c>
      <c r="M29" s="87">
        <f t="shared" ca="1" si="28"/>
        <v>0</v>
      </c>
      <c r="N29" s="87">
        <f t="shared" ca="1" si="29"/>
        <v>0</v>
      </c>
      <c r="O29" s="86">
        <f ca="1">IFERROR(__xludf.DUMMYFUNCTION("IMPORTRANGE(""https://docs.google.com/spreadsheets/d/1-uDff_7J0KD5mKrp0Vvzr7lt3OU09vwQwhkpOPPYv2Y/edit?usp=sharing"",""งบพรบ!BE29"")"),0)</f>
        <v>0</v>
      </c>
      <c r="P29" s="86">
        <f t="shared" ca="1" si="30"/>
        <v>0</v>
      </c>
      <c r="Q29" s="87">
        <f t="shared" ca="1" si="31"/>
        <v>0</v>
      </c>
      <c r="R29" s="86">
        <f ca="1">IFERROR(__xludf.DUMMYFUNCTION("IMPORTRANGE(""https://docs.google.com/spreadsheets/d/1v0b9pFQCsKUVExMei7AgY2yQkdeNQvtOssygGsXbiKo/edit?usp=sharing"",""อุตรดิตถ์!Q94"")"),0)</f>
        <v>0</v>
      </c>
      <c r="S29" s="86">
        <f ca="1">IFERROR(__xludf.DUMMYFUNCTION("IMPORTRANGE(""https://docs.google.com/spreadsheets/d/1v0b9pFQCsKUVExMei7AgY2yQkdeNQvtOssygGsXbiKo/edit?usp=sharing"",""อุตรดิตถ์!R94"")"),0)</f>
        <v>0</v>
      </c>
      <c r="T29" s="86">
        <f ca="1">IFERROR(__xludf.DUMMYFUNCTION("IMPORTRANGE(""https://docs.google.com/spreadsheets/d/1v0b9pFQCsKUVExMei7AgY2yQkdeNQvtOssygGsXbiKo/edit?usp=sharing"",""อุตรดิตถ์!S94"")"),0)</f>
        <v>0</v>
      </c>
      <c r="U29" s="87">
        <f t="shared" ca="1" si="33"/>
        <v>0</v>
      </c>
      <c r="V29" s="87">
        <f t="shared" ca="1" si="34"/>
        <v>0</v>
      </c>
      <c r="W29" s="93">
        <f ca="1">IFERROR(__xludf.DUMMYFUNCTION("IMPORTRANGE(""https://docs.google.com/spreadsheets/d/1v0b9pFQCsKUVExMei7AgY2yQkdeNQvtOssygGsXbiKo/edit?usp=sharing"",""อุตรดิตถ์!I108"")"),0)</f>
        <v>0</v>
      </c>
      <c r="X29" s="93">
        <f ca="1">IFERROR(__xludf.DUMMYFUNCTION("IMPORTRANGE(""https://docs.google.com/spreadsheets/d/1v0b9pFQCsKUVExMei7AgY2yQkdeNQvtOssygGsXbiKo/edit?usp=sharing"",""อุตรดิตถ์!J108"")"),0)</f>
        <v>0</v>
      </c>
      <c r="Y29" s="177">
        <f t="shared" ca="1" si="36"/>
        <v>0</v>
      </c>
      <c r="Z29" s="93">
        <f ca="1">IFERROR(__xludf.DUMMYFUNCTION("IMPORTRANGE(""https://docs.google.com/spreadsheets/d/1v0b9pFQCsKUVExMei7AgY2yQkdeNQvtOssygGsXbiKo/edit?usp=sharing"",""อุตรดิตถ์!I109"")"),0)</f>
        <v>0</v>
      </c>
      <c r="AA29" s="93">
        <f ca="1">IFERROR(__xludf.DUMMYFUNCTION("IMPORTRANGE(""https://docs.google.com/spreadsheets/d/1v0b9pFQCsKUVExMei7AgY2yQkdeNQvtOssygGsXbiKo/edit?usp=sharing"",""อุตรดิตถ์!J109"")"),0)</f>
        <v>0</v>
      </c>
      <c r="AB29" s="177">
        <f t="shared" ca="1" si="38"/>
        <v>0</v>
      </c>
      <c r="AC29" s="93">
        <v>0</v>
      </c>
      <c r="AD29" s="93">
        <v>0</v>
      </c>
      <c r="AE29" s="177">
        <f t="shared" si="40"/>
        <v>0</v>
      </c>
    </row>
    <row r="30" spans="1:31" ht="24" customHeight="1" x14ac:dyDescent="0.3">
      <c r="A30" s="180">
        <v>17</v>
      </c>
      <c r="B30" s="181" t="s">
        <v>56</v>
      </c>
      <c r="C30" s="182">
        <f t="shared" ca="1" si="24"/>
        <v>0</v>
      </c>
      <c r="D30" s="183">
        <f t="shared" ca="1" si="41"/>
        <v>0</v>
      </c>
      <c r="E30" s="184">
        <f ca="1">IFERROR(__xludf.DUMMYFUNCTION("IMPORTRANGE(""https://docs.google.com/spreadsheets/d/1-uDff_7J0KD5mKrp0Vvzr7lt3OU09vwQwhkpOPPYv2Y/edit?usp=sharing"",""งบพรบ!AX30"")"),0)</f>
        <v>0</v>
      </c>
      <c r="F30" s="184">
        <f ca="1">IFERROR(__xludf.DUMMYFUNCTION("IMPORTRANGE(""https://docs.google.com/spreadsheets/d/1-uDff_7J0KD5mKrp0Vvzr7lt3OU09vwQwhkpOPPYv2Y/edit?usp=sharing"",""งบพรบ!AY30"")"),0)</f>
        <v>0</v>
      </c>
      <c r="G30" s="184">
        <f ca="1">IFERROR(__xludf.DUMMYFUNCTION("IMPORTRANGE(""https://docs.google.com/spreadsheets/d/1-uDff_7J0KD5mKrp0Vvzr7lt3OU09vwQwhkpOPPYv2Y/edit?usp=sharing"",""งบพรบ!AZ30"")"),0)</f>
        <v>0</v>
      </c>
      <c r="H30" s="184">
        <f ca="1">IFERROR(__xludf.DUMMYFUNCTION("IMPORTRANGE(""https://docs.google.com/spreadsheets/d/1-uDff_7J0KD5mKrp0Vvzr7lt3OU09vwQwhkpOPPYv2Y/edit?usp=sharing"",""งบพรบ!BB30"")"),0)</f>
        <v>0</v>
      </c>
      <c r="I30" s="184">
        <f ca="1">IFERROR(__xludf.DUMMYFUNCTION("IMPORTRANGE(""https://docs.google.com/spreadsheets/d/1-uDff_7J0KD5mKrp0Vvzr7lt3OU09vwQwhkpOPPYv2Y/edit?usp=sharing"",""งบพรบ!BC30"")"),0)</f>
        <v>0</v>
      </c>
      <c r="J30" s="184">
        <f t="shared" ca="1" si="26"/>
        <v>0</v>
      </c>
      <c r="K30" s="185">
        <f t="shared" ca="1" si="27"/>
        <v>0</v>
      </c>
      <c r="L30" s="184">
        <f ca="1">IFERROR(__xludf.DUMMYFUNCTION("IMPORTRANGE(""https://docs.google.com/spreadsheets/d/1-uDff_7J0KD5mKrp0Vvzr7lt3OU09vwQwhkpOPPYv2Y/edit?usp=sharing"",""งบพรบ!BD30"")"),0)</f>
        <v>0</v>
      </c>
      <c r="M30" s="109">
        <f t="shared" ca="1" si="28"/>
        <v>0</v>
      </c>
      <c r="N30" s="109">
        <f t="shared" ca="1" si="29"/>
        <v>0</v>
      </c>
      <c r="O30" s="108">
        <f ca="1">IFERROR(__xludf.DUMMYFUNCTION("IMPORTRANGE(""https://docs.google.com/spreadsheets/d/1-uDff_7J0KD5mKrp0Vvzr7lt3OU09vwQwhkpOPPYv2Y/edit?usp=sharing"",""งบพรบ!BE30"")"),0)</f>
        <v>0</v>
      </c>
      <c r="P30" s="108">
        <f t="shared" ca="1" si="30"/>
        <v>0</v>
      </c>
      <c r="Q30" s="109">
        <f t="shared" ca="1" si="31"/>
        <v>0</v>
      </c>
      <c r="R30" s="108">
        <f ca="1">IFERROR(__xludf.DUMMYFUNCTION("IMPORTRANGE(""https://docs.google.com/spreadsheets/d/1UsNK1e-WWiCo2PvGqdNfdme4m17_Ezd3J69EeeiQPD0/edit?usp=sharing"",""อุทัยธานี!Q94"")"),0)</f>
        <v>0</v>
      </c>
      <c r="S30" s="108">
        <f ca="1">IFERROR(__xludf.DUMMYFUNCTION("IMPORTRANGE(""https://docs.google.com/spreadsheets/d/1UsNK1e-WWiCo2PvGqdNfdme4m17_Ezd3J69EeeiQPD0/edit?usp=sharing"",""อุทัยธานี!R94"")"),0)</f>
        <v>0</v>
      </c>
      <c r="T30" s="108">
        <f ca="1">IFERROR(__xludf.DUMMYFUNCTION("IMPORTRANGE(""https://docs.google.com/spreadsheets/d/1UsNK1e-WWiCo2PvGqdNfdme4m17_Ezd3J69EeeiQPD0/edit?usp=sharing"",""อุทัยธานี!S94"")"),0)</f>
        <v>0</v>
      </c>
      <c r="U30" s="109">
        <f t="shared" ca="1" si="33"/>
        <v>0</v>
      </c>
      <c r="V30" s="109">
        <f t="shared" ca="1" si="34"/>
        <v>0</v>
      </c>
      <c r="W30" s="104">
        <f ca="1">IFERROR(__xludf.DUMMYFUNCTION("IMPORTRANGE(""https://docs.google.com/spreadsheets/d/1UsNK1e-WWiCo2PvGqdNfdme4m17_Ezd3J69EeeiQPD0/edit?usp=sharing"",""อุทัยธานี!I108"")"),0)</f>
        <v>0</v>
      </c>
      <c r="X30" s="104">
        <f ca="1">IFERROR(__xludf.DUMMYFUNCTION("IMPORTRANGE(""https://docs.google.com/spreadsheets/d/1UsNK1e-WWiCo2PvGqdNfdme4m17_Ezd3J69EeeiQPD0/edit?usp=sharing"",""อุทัยธานี!J108"")"),0)</f>
        <v>0</v>
      </c>
      <c r="Y30" s="186">
        <f t="shared" ca="1" si="36"/>
        <v>0</v>
      </c>
      <c r="Z30" s="104">
        <f ca="1">IFERROR(__xludf.DUMMYFUNCTION("IMPORTRANGE(""https://docs.google.com/spreadsheets/d/1UsNK1e-WWiCo2PvGqdNfdme4m17_Ezd3J69EeeiQPD0/edit?usp=sharing"",""อุทัยธานี!I109"")"),0)</f>
        <v>0</v>
      </c>
      <c r="AA30" s="104">
        <f ca="1">IFERROR(__xludf.DUMMYFUNCTION("IMPORTRANGE(""https://docs.google.com/spreadsheets/d/1UsNK1e-WWiCo2PvGqdNfdme4m17_Ezd3J69EeeiQPD0/edit?usp=sharing"",""อุทัยธานี!J109"")"),0)</f>
        <v>0</v>
      </c>
      <c r="AB30" s="186">
        <f t="shared" ca="1" si="38"/>
        <v>0</v>
      </c>
      <c r="AC30" s="104">
        <v>0</v>
      </c>
      <c r="AD30" s="104">
        <v>0</v>
      </c>
      <c r="AE30" s="186">
        <f t="shared" si="40"/>
        <v>0</v>
      </c>
    </row>
    <row r="31" spans="1:31" ht="21" customHeight="1" x14ac:dyDescent="0.3">
      <c r="A31" s="636" t="s">
        <v>57</v>
      </c>
      <c r="B31" s="633"/>
      <c r="C31" s="161">
        <f t="shared" ca="1" si="24"/>
        <v>697000</v>
      </c>
      <c r="D31" s="161">
        <f t="shared" ref="D31:I31" ca="1" si="42">SUM(D32:D51)</f>
        <v>697000</v>
      </c>
      <c r="E31" s="161">
        <f t="shared" ca="1" si="42"/>
        <v>328900</v>
      </c>
      <c r="F31" s="161">
        <f t="shared" ca="1" si="42"/>
        <v>368100</v>
      </c>
      <c r="G31" s="161">
        <f t="shared" ca="1" si="42"/>
        <v>0</v>
      </c>
      <c r="H31" s="161">
        <f t="shared" ca="1" si="42"/>
        <v>534340</v>
      </c>
      <c r="I31" s="161">
        <f t="shared" ca="1" si="42"/>
        <v>0</v>
      </c>
      <c r="J31" s="161">
        <f t="shared" ca="1" si="26"/>
        <v>145576.62</v>
      </c>
      <c r="K31" s="162">
        <f t="shared" ca="1" si="27"/>
        <v>20.886172166427546</v>
      </c>
      <c r="L31" s="161">
        <f ca="1">SUM(L32:L51)</f>
        <v>145576.62</v>
      </c>
      <c r="M31" s="40">
        <f t="shared" ca="1" si="28"/>
        <v>20.886172166427546</v>
      </c>
      <c r="N31" s="40">
        <f t="shared" ca="1" si="29"/>
        <v>27.244192836022009</v>
      </c>
      <c r="O31" s="39">
        <f ca="1">SUM(O32:O51)</f>
        <v>0</v>
      </c>
      <c r="P31" s="39">
        <f t="shared" ca="1" si="30"/>
        <v>0</v>
      </c>
      <c r="Q31" s="40">
        <f t="shared" ca="1" si="31"/>
        <v>0</v>
      </c>
      <c r="R31" s="39">
        <f t="shared" ref="R31:T31" ca="1" si="43">SUM(R32:R51)</f>
        <v>934848</v>
      </c>
      <c r="S31" s="39">
        <f t="shared" ca="1" si="43"/>
        <v>0</v>
      </c>
      <c r="T31" s="39">
        <f t="shared" ca="1" si="43"/>
        <v>0</v>
      </c>
      <c r="U31" s="40">
        <f t="shared" ca="1" si="33"/>
        <v>0</v>
      </c>
      <c r="V31" s="40">
        <f t="shared" ca="1" si="34"/>
        <v>0</v>
      </c>
      <c r="W31" s="71">
        <f t="shared" ref="W31:X31" ca="1" si="44">SUM(W32:W51)</f>
        <v>432</v>
      </c>
      <c r="X31" s="71">
        <f t="shared" ca="1" si="44"/>
        <v>0</v>
      </c>
      <c r="Y31" s="161">
        <f t="shared" ca="1" si="36"/>
        <v>0</v>
      </c>
      <c r="Z31" s="71">
        <f t="shared" ref="Z31:AA31" ca="1" si="45">SUM(Z32:Z51)</f>
        <v>144</v>
      </c>
      <c r="AA31" s="71">
        <f t="shared" ca="1" si="45"/>
        <v>0</v>
      </c>
      <c r="AB31" s="161">
        <f t="shared" ca="1" si="38"/>
        <v>0</v>
      </c>
      <c r="AC31" s="71">
        <f t="shared" ref="AC31:AD31" si="46">SUM(AC32:AC51)</f>
        <v>0</v>
      </c>
      <c r="AD31" s="71">
        <f t="shared" si="46"/>
        <v>0</v>
      </c>
      <c r="AE31" s="161">
        <f t="shared" si="40"/>
        <v>0</v>
      </c>
    </row>
    <row r="32" spans="1:31" ht="21" customHeight="1" x14ac:dyDescent="0.3">
      <c r="A32" s="172">
        <v>1</v>
      </c>
      <c r="B32" s="173" t="s">
        <v>58</v>
      </c>
      <c r="C32" s="174">
        <f t="shared" ca="1" si="24"/>
        <v>0</v>
      </c>
      <c r="D32" s="175">
        <f t="shared" ref="D32:D51" ca="1" si="47">+E32+F32</f>
        <v>0</v>
      </c>
      <c r="E32" s="176">
        <f ca="1">IFERROR(__xludf.DUMMYFUNCTION("IMPORTRANGE(""https://docs.google.com/spreadsheets/d/1-uDff_7J0KD5mKrp0Vvzr7lt3OU09vwQwhkpOPPYv2Y/edit?usp=sharing"",""งบพรบ!AX32"")"),0)</f>
        <v>0</v>
      </c>
      <c r="F32" s="176">
        <f ca="1">IFERROR(__xludf.DUMMYFUNCTION("IMPORTRANGE(""https://docs.google.com/spreadsheets/d/1-uDff_7J0KD5mKrp0Vvzr7lt3OU09vwQwhkpOPPYv2Y/edit?usp=sharing"",""งบพรบ!AY32"")"),0)</f>
        <v>0</v>
      </c>
      <c r="G32" s="177">
        <f ca="1">IFERROR(__xludf.DUMMYFUNCTION("IMPORTRANGE(""https://docs.google.com/spreadsheets/d/1-uDff_7J0KD5mKrp0Vvzr7lt3OU09vwQwhkpOPPYv2Y/edit?usp=sharing"",""งบพรบ!AZ32"")"),0)</f>
        <v>0</v>
      </c>
      <c r="H32" s="177">
        <f ca="1">IFERROR(__xludf.DUMMYFUNCTION("IMPORTRANGE(""https://docs.google.com/spreadsheets/d/1-uDff_7J0KD5mKrp0Vvzr7lt3OU09vwQwhkpOPPYv2Y/edit?usp=sharing"",""งบพรบ!BB32"")"),0)</f>
        <v>0</v>
      </c>
      <c r="I32" s="177">
        <f ca="1">IFERROR(__xludf.DUMMYFUNCTION("IMPORTRANGE(""https://docs.google.com/spreadsheets/d/1-uDff_7J0KD5mKrp0Vvzr7lt3OU09vwQwhkpOPPYv2Y/edit?usp=sharing"",""งบพรบ!BC32"")"),0)</f>
        <v>0</v>
      </c>
      <c r="J32" s="177">
        <f t="shared" ca="1" si="26"/>
        <v>0</v>
      </c>
      <c r="K32" s="178">
        <f t="shared" ca="1" si="27"/>
        <v>0</v>
      </c>
      <c r="L32" s="177">
        <f ca="1">IFERROR(__xludf.DUMMYFUNCTION("IMPORTRANGE(""https://docs.google.com/spreadsheets/d/1-uDff_7J0KD5mKrp0Vvzr7lt3OU09vwQwhkpOPPYv2Y/edit?usp=sharing"",""งบพรบ!BD32"")"),0)</f>
        <v>0</v>
      </c>
      <c r="M32" s="87">
        <f t="shared" ca="1" si="28"/>
        <v>0</v>
      </c>
      <c r="N32" s="87">
        <f t="shared" ca="1" si="29"/>
        <v>0</v>
      </c>
      <c r="O32" s="86">
        <f ca="1">IFERROR(__xludf.DUMMYFUNCTION("IMPORTRANGE(""https://docs.google.com/spreadsheets/d/1-uDff_7J0KD5mKrp0Vvzr7lt3OU09vwQwhkpOPPYv2Y/edit?usp=sharing"",""งบพรบ!BE32"")"),0)</f>
        <v>0</v>
      </c>
      <c r="P32" s="86">
        <f t="shared" ca="1" si="30"/>
        <v>0</v>
      </c>
      <c r="Q32" s="87">
        <f t="shared" ca="1" si="31"/>
        <v>0</v>
      </c>
      <c r="R32" s="86">
        <f ca="1">IFERROR(__xludf.DUMMYFUNCTION("IMPORTRANGE(""https://docs.google.com/spreadsheets/d/1yhBcrRPreicbMKl9Bu_Snb2-OcQAF62RKfhTLhJ2eAA/edit?usp=sharing"",""กาฬสินธุ์!Q94"")"),0)</f>
        <v>0</v>
      </c>
      <c r="S32" s="86">
        <f ca="1">IFERROR(__xludf.DUMMYFUNCTION("IMPORTRANGE(""https://docs.google.com/spreadsheets/d/1yhBcrRPreicbMKl9Bu_Snb2-OcQAF62RKfhTLhJ2eAA/edit?usp=sharing"",""กาฬสินธุ์!R94"")"),0)</f>
        <v>0</v>
      </c>
      <c r="T32" s="86">
        <f ca="1">IFERROR(__xludf.DUMMYFUNCTION("IMPORTRANGE(""https://docs.google.com/spreadsheets/d/1yhBcrRPreicbMKl9Bu_Snb2-OcQAF62RKfhTLhJ2eAA/edit?usp=sharing"",""กาฬสินธุ์!S94"")"),0)</f>
        <v>0</v>
      </c>
      <c r="U32" s="87">
        <f t="shared" ca="1" si="33"/>
        <v>0</v>
      </c>
      <c r="V32" s="87">
        <f t="shared" ca="1" si="34"/>
        <v>0</v>
      </c>
      <c r="W32" s="81">
        <f ca="1">IFERROR(__xludf.DUMMYFUNCTION("IMPORTRANGE(""https://docs.google.com/spreadsheets/d/1yhBcrRPreicbMKl9Bu_Snb2-OcQAF62RKfhTLhJ2eAA/edit?usp=sharing"",""กาฬสินธุ์!I108"")"),0)</f>
        <v>0</v>
      </c>
      <c r="X32" s="81">
        <f ca="1">IFERROR(__xludf.DUMMYFUNCTION("IMPORTRANGE(""https://docs.google.com/spreadsheets/d/1yhBcrRPreicbMKl9Bu_Snb2-OcQAF62RKfhTLhJ2eAA/edit?usp=sharing"",""กาฬสินธุ์!J108"")"),0)</f>
        <v>0</v>
      </c>
      <c r="Y32" s="177">
        <f t="shared" ca="1" si="36"/>
        <v>0</v>
      </c>
      <c r="Z32" s="81">
        <f ca="1">IFERROR(__xludf.DUMMYFUNCTION("IMPORTRANGE(""https://docs.google.com/spreadsheets/d/1yhBcrRPreicbMKl9Bu_Snb2-OcQAF62RKfhTLhJ2eAA/edit?usp=sharing"",""กาฬสินธุ์!I109"")"),0)</f>
        <v>0</v>
      </c>
      <c r="AA32" s="81">
        <f ca="1">IFERROR(__xludf.DUMMYFUNCTION("IMPORTRANGE(""https://docs.google.com/spreadsheets/d/1yhBcrRPreicbMKl9Bu_Snb2-OcQAF62RKfhTLhJ2eAA/edit?usp=sharing"",""กาฬสินธุ์!J109"")"),0)</f>
        <v>0</v>
      </c>
      <c r="AB32" s="177">
        <f t="shared" ca="1" si="38"/>
        <v>0</v>
      </c>
      <c r="AC32" s="81">
        <v>0</v>
      </c>
      <c r="AD32" s="81">
        <v>0</v>
      </c>
      <c r="AE32" s="177">
        <f t="shared" si="40"/>
        <v>0</v>
      </c>
    </row>
    <row r="33" spans="1:31" ht="21" customHeight="1" x14ac:dyDescent="0.3">
      <c r="A33" s="172">
        <v>2</v>
      </c>
      <c r="B33" s="173" t="s">
        <v>59</v>
      </c>
      <c r="C33" s="174">
        <f t="shared" ca="1" si="24"/>
        <v>72600</v>
      </c>
      <c r="D33" s="175">
        <f t="shared" ca="1" si="47"/>
        <v>72600</v>
      </c>
      <c r="E33" s="176">
        <f ca="1">IFERROR(__xludf.DUMMYFUNCTION("IMPORTRANGE(""https://docs.google.com/spreadsheets/d/1-uDff_7J0KD5mKrp0Vvzr7lt3OU09vwQwhkpOPPYv2Y/edit?usp=sharing"",""งบพรบ!AX33"")"),0)</f>
        <v>0</v>
      </c>
      <c r="F33" s="176">
        <f ca="1">IFERROR(__xludf.DUMMYFUNCTION("IMPORTRANGE(""https://docs.google.com/spreadsheets/d/1-uDff_7J0KD5mKrp0Vvzr7lt3OU09vwQwhkpOPPYv2Y/edit?usp=sharing"",""งบพรบ!AY33"")"),72600)</f>
        <v>72600</v>
      </c>
      <c r="G33" s="176">
        <f ca="1">IFERROR(__xludf.DUMMYFUNCTION("IMPORTRANGE(""https://docs.google.com/spreadsheets/d/1-uDff_7J0KD5mKrp0Vvzr7lt3OU09vwQwhkpOPPYv2Y/edit?usp=sharing"",""งบพรบ!AZ33"")"),0)</f>
        <v>0</v>
      </c>
      <c r="H33" s="176">
        <f ca="1">IFERROR(__xludf.DUMMYFUNCTION("IMPORTRANGE(""https://docs.google.com/spreadsheets/d/1-uDff_7J0KD5mKrp0Vvzr7lt3OU09vwQwhkpOPPYv2Y/edit?usp=sharing"",""งบพรบ!BB33"")"),37540)</f>
        <v>37540</v>
      </c>
      <c r="I33" s="176">
        <f ca="1">IFERROR(__xludf.DUMMYFUNCTION("IMPORTRANGE(""https://docs.google.com/spreadsheets/d/1-uDff_7J0KD5mKrp0Vvzr7lt3OU09vwQwhkpOPPYv2Y/edit?usp=sharing"",""งบพรบ!BC33"")"),0)</f>
        <v>0</v>
      </c>
      <c r="J33" s="176">
        <f t="shared" ca="1" si="26"/>
        <v>2440</v>
      </c>
      <c r="K33" s="179">
        <f t="shared" ca="1" si="27"/>
        <v>3.3608815426997247</v>
      </c>
      <c r="L33" s="176">
        <f ca="1">IFERROR(__xludf.DUMMYFUNCTION("IMPORTRANGE(""https://docs.google.com/spreadsheets/d/1-uDff_7J0KD5mKrp0Vvzr7lt3OU09vwQwhkpOPPYv2Y/edit?usp=sharing"",""งบพรบ!BD33"")"),2440)</f>
        <v>2440</v>
      </c>
      <c r="M33" s="87">
        <f t="shared" ca="1" si="28"/>
        <v>3.3608815426997247</v>
      </c>
      <c r="N33" s="87">
        <f t="shared" ca="1" si="29"/>
        <v>6.4997336174746936</v>
      </c>
      <c r="O33" s="86">
        <f ca="1">IFERROR(__xludf.DUMMYFUNCTION("IMPORTRANGE(""https://docs.google.com/spreadsheets/d/1-uDff_7J0KD5mKrp0Vvzr7lt3OU09vwQwhkpOPPYv2Y/edit?usp=sharing"",""งบพรบ!BE33"")"),0)</f>
        <v>0</v>
      </c>
      <c r="P33" s="86">
        <f t="shared" ca="1" si="30"/>
        <v>0</v>
      </c>
      <c r="Q33" s="87">
        <f t="shared" ca="1" si="31"/>
        <v>0</v>
      </c>
      <c r="R33" s="86">
        <f ca="1">IFERROR(__xludf.DUMMYFUNCTION("IMPORTRANGE(""https://docs.google.com/spreadsheets/d/1aHkj4IaQMThhwWwevcOymEh837vdxeC_PycurhTbGFA/edit?usp=sharing"",""ขอนแก่น!Q94"")"),116856)</f>
        <v>116856</v>
      </c>
      <c r="S33" s="86">
        <f ca="1">IFERROR(__xludf.DUMMYFUNCTION("IMPORTRANGE(""https://docs.google.com/spreadsheets/d/1aHkj4IaQMThhwWwevcOymEh837vdxeC_PycurhTbGFA/edit?usp=sharing"",""ขอนแก่น!R94"")"),0)</f>
        <v>0</v>
      </c>
      <c r="T33" s="86">
        <f ca="1">IFERROR(__xludf.DUMMYFUNCTION("IMPORTRANGE(""https://docs.google.com/spreadsheets/d/1aHkj4IaQMThhwWwevcOymEh837vdxeC_PycurhTbGFA/edit?usp=sharing"",""ขอนแก่น!S94"")"),0)</f>
        <v>0</v>
      </c>
      <c r="U33" s="87">
        <f t="shared" ca="1" si="33"/>
        <v>0</v>
      </c>
      <c r="V33" s="87">
        <f t="shared" ca="1" si="34"/>
        <v>0</v>
      </c>
      <c r="W33" s="93">
        <f ca="1">IFERROR(__xludf.DUMMYFUNCTION("IMPORTRANGE(""https://docs.google.com/spreadsheets/d/1aHkj4IaQMThhwWwevcOymEh837vdxeC_PycurhTbGFA/edit?usp=sharing"",""ขอนแก่น!I108"")"),54)</f>
        <v>54</v>
      </c>
      <c r="X33" s="93">
        <f ca="1">IFERROR(__xludf.DUMMYFUNCTION("IMPORTRANGE(""https://docs.google.com/spreadsheets/d/1aHkj4IaQMThhwWwevcOymEh837vdxeC_PycurhTbGFA/edit?usp=sharing"",""ขอนแก่น!J108"")"),0)</f>
        <v>0</v>
      </c>
      <c r="Y33" s="177">
        <f t="shared" ca="1" si="36"/>
        <v>0</v>
      </c>
      <c r="Z33" s="93">
        <f ca="1">IFERROR(__xludf.DUMMYFUNCTION("IMPORTRANGE(""https://docs.google.com/spreadsheets/d/1aHkj4IaQMThhwWwevcOymEh837vdxeC_PycurhTbGFA/edit?usp=sharing"",""ขอนแก่น!I109"")"),18)</f>
        <v>18</v>
      </c>
      <c r="AA33" s="93">
        <f ca="1">IFERROR(__xludf.DUMMYFUNCTION("IMPORTRANGE(""https://docs.google.com/spreadsheets/d/1aHkj4IaQMThhwWwevcOymEh837vdxeC_PycurhTbGFA/edit?usp=sharing"",""ขอนแก่น!J109"")"),0)</f>
        <v>0</v>
      </c>
      <c r="AB33" s="177">
        <f t="shared" ca="1" si="38"/>
        <v>0</v>
      </c>
      <c r="AC33" s="93">
        <v>0</v>
      </c>
      <c r="AD33" s="93">
        <v>0</v>
      </c>
      <c r="AE33" s="177">
        <f t="shared" si="40"/>
        <v>0</v>
      </c>
    </row>
    <row r="34" spans="1:31" ht="21" customHeight="1" x14ac:dyDescent="0.3">
      <c r="A34" s="172">
        <v>3</v>
      </c>
      <c r="B34" s="173" t="s">
        <v>60</v>
      </c>
      <c r="C34" s="174">
        <f t="shared" ca="1" si="24"/>
        <v>0</v>
      </c>
      <c r="D34" s="175">
        <f t="shared" ca="1" si="47"/>
        <v>0</v>
      </c>
      <c r="E34" s="176">
        <f ca="1">IFERROR(__xludf.DUMMYFUNCTION("IMPORTRANGE(""https://docs.google.com/spreadsheets/d/1-uDff_7J0KD5mKrp0Vvzr7lt3OU09vwQwhkpOPPYv2Y/edit?usp=sharing"",""งบพรบ!AX34"")"),0)</f>
        <v>0</v>
      </c>
      <c r="F34" s="176">
        <f ca="1">IFERROR(__xludf.DUMMYFUNCTION("IMPORTRANGE(""https://docs.google.com/spreadsheets/d/1-uDff_7J0KD5mKrp0Vvzr7lt3OU09vwQwhkpOPPYv2Y/edit?usp=sharing"",""งบพรบ!AY34"")"),0)</f>
        <v>0</v>
      </c>
      <c r="G34" s="176">
        <f ca="1">IFERROR(__xludf.DUMMYFUNCTION("IMPORTRANGE(""https://docs.google.com/spreadsheets/d/1-uDff_7J0KD5mKrp0Vvzr7lt3OU09vwQwhkpOPPYv2Y/edit?usp=sharing"",""งบพรบ!AZ34"")"),0)</f>
        <v>0</v>
      </c>
      <c r="H34" s="176">
        <f ca="1">IFERROR(__xludf.DUMMYFUNCTION("IMPORTRANGE(""https://docs.google.com/spreadsheets/d/1-uDff_7J0KD5mKrp0Vvzr7lt3OU09vwQwhkpOPPYv2Y/edit?usp=sharing"",""งบพรบ!BB34"")"),0)</f>
        <v>0</v>
      </c>
      <c r="I34" s="176">
        <f ca="1">IFERROR(__xludf.DUMMYFUNCTION("IMPORTRANGE(""https://docs.google.com/spreadsheets/d/1-uDff_7J0KD5mKrp0Vvzr7lt3OU09vwQwhkpOPPYv2Y/edit?usp=sharing"",""งบพรบ!BC34"")"),0)</f>
        <v>0</v>
      </c>
      <c r="J34" s="176">
        <f t="shared" ca="1" si="26"/>
        <v>0</v>
      </c>
      <c r="K34" s="179">
        <f t="shared" ca="1" si="27"/>
        <v>0</v>
      </c>
      <c r="L34" s="176">
        <f ca="1">IFERROR(__xludf.DUMMYFUNCTION("IMPORTRANGE(""https://docs.google.com/spreadsheets/d/1-uDff_7J0KD5mKrp0Vvzr7lt3OU09vwQwhkpOPPYv2Y/edit?usp=sharing"",""งบพรบ!BD34"")"),0)</f>
        <v>0</v>
      </c>
      <c r="M34" s="87">
        <f t="shared" ca="1" si="28"/>
        <v>0</v>
      </c>
      <c r="N34" s="87">
        <f t="shared" ca="1" si="29"/>
        <v>0</v>
      </c>
      <c r="O34" s="86">
        <f ca="1">IFERROR(__xludf.DUMMYFUNCTION("IMPORTRANGE(""https://docs.google.com/spreadsheets/d/1-uDff_7J0KD5mKrp0Vvzr7lt3OU09vwQwhkpOPPYv2Y/edit?usp=sharing"",""งบพรบ!BE34"")"),0)</f>
        <v>0</v>
      </c>
      <c r="P34" s="86">
        <f t="shared" ca="1" si="30"/>
        <v>0</v>
      </c>
      <c r="Q34" s="87">
        <f t="shared" ca="1" si="31"/>
        <v>0</v>
      </c>
      <c r="R34" s="86">
        <f ca="1">IFERROR(__xludf.DUMMYFUNCTION("IMPORTRANGE(""https://docs.google.com/spreadsheets/d/1FvTu2DsIWUjP6WCWra38Bkj_oOl_sOMf14r5Fg5srxU/edit?usp=sharing"",""ชัยภูมิ!Q94"")"),0)</f>
        <v>0</v>
      </c>
      <c r="S34" s="86">
        <f ca="1">IFERROR(__xludf.DUMMYFUNCTION("IMPORTRANGE(""https://docs.google.com/spreadsheets/d/1FvTu2DsIWUjP6WCWra38Bkj_oOl_sOMf14r5Fg5srxU/edit?usp=sharing"",""ชัยภูมิ!R94"")"),0)</f>
        <v>0</v>
      </c>
      <c r="T34" s="86">
        <f ca="1">IFERROR(__xludf.DUMMYFUNCTION("IMPORTRANGE(""https://docs.google.com/spreadsheets/d/1FvTu2DsIWUjP6WCWra38Bkj_oOl_sOMf14r5Fg5srxU/edit?usp=sharing"",""ชัยภูมิ!S94"")"),0)</f>
        <v>0</v>
      </c>
      <c r="U34" s="87">
        <f t="shared" ca="1" si="33"/>
        <v>0</v>
      </c>
      <c r="V34" s="87">
        <f t="shared" ca="1" si="34"/>
        <v>0</v>
      </c>
      <c r="W34" s="93">
        <f ca="1">IFERROR(__xludf.DUMMYFUNCTION("IMPORTRANGE(""https://docs.google.com/spreadsheets/d/1FvTu2DsIWUjP6WCWra38Bkj_oOl_sOMf14r5Fg5srxU/edit?usp=sharing"",""ชัยภูมิ!I108"")"),0)</f>
        <v>0</v>
      </c>
      <c r="X34" s="93">
        <f ca="1">IFERROR(__xludf.DUMMYFUNCTION("IMPORTRANGE(""https://docs.google.com/spreadsheets/d/1FvTu2DsIWUjP6WCWra38Bkj_oOl_sOMf14r5Fg5srxU/edit?usp=sharing"",""ชัยภูมิ!J108"")"),0)</f>
        <v>0</v>
      </c>
      <c r="Y34" s="177">
        <f t="shared" ca="1" si="36"/>
        <v>0</v>
      </c>
      <c r="Z34" s="93">
        <f ca="1">IFERROR(__xludf.DUMMYFUNCTION("IMPORTRANGE(""https://docs.google.com/spreadsheets/d/1FvTu2DsIWUjP6WCWra38Bkj_oOl_sOMf14r5Fg5srxU/edit?usp=sharing"",""ชัยภูมิ!I109"")"),0)</f>
        <v>0</v>
      </c>
      <c r="AA34" s="93">
        <f ca="1">IFERROR(__xludf.DUMMYFUNCTION("IMPORTRANGE(""https://docs.google.com/spreadsheets/d/1FvTu2DsIWUjP6WCWra38Bkj_oOl_sOMf14r5Fg5srxU/edit?usp=sharing"",""ชัยภูมิ!J109"")"),0)</f>
        <v>0</v>
      </c>
      <c r="AB34" s="177">
        <f t="shared" ca="1" si="38"/>
        <v>0</v>
      </c>
      <c r="AC34" s="93">
        <v>0</v>
      </c>
      <c r="AD34" s="93">
        <v>0</v>
      </c>
      <c r="AE34" s="177">
        <f t="shared" si="40"/>
        <v>0</v>
      </c>
    </row>
    <row r="35" spans="1:31" ht="21" customHeight="1" x14ac:dyDescent="0.3">
      <c r="A35" s="172">
        <v>4</v>
      </c>
      <c r="B35" s="173" t="s">
        <v>61</v>
      </c>
      <c r="C35" s="174">
        <f t="shared" ca="1" si="24"/>
        <v>0</v>
      </c>
      <c r="D35" s="175">
        <f t="shared" ca="1" si="47"/>
        <v>0</v>
      </c>
      <c r="E35" s="176">
        <f ca="1">IFERROR(__xludf.DUMMYFUNCTION("IMPORTRANGE(""https://docs.google.com/spreadsheets/d/1-uDff_7J0KD5mKrp0Vvzr7lt3OU09vwQwhkpOPPYv2Y/edit?usp=sharing"",""งบพรบ!AX35"")"),0)</f>
        <v>0</v>
      </c>
      <c r="F35" s="176">
        <f ca="1">IFERROR(__xludf.DUMMYFUNCTION("IMPORTRANGE(""https://docs.google.com/spreadsheets/d/1-uDff_7J0KD5mKrp0Vvzr7lt3OU09vwQwhkpOPPYv2Y/edit?usp=sharing"",""งบพรบ!AY35"")"),0)</f>
        <v>0</v>
      </c>
      <c r="G35" s="176">
        <f ca="1">IFERROR(__xludf.DUMMYFUNCTION("IMPORTRANGE(""https://docs.google.com/spreadsheets/d/1-uDff_7J0KD5mKrp0Vvzr7lt3OU09vwQwhkpOPPYv2Y/edit?usp=sharing"",""งบพรบ!AZ35"")"),0)</f>
        <v>0</v>
      </c>
      <c r="H35" s="176">
        <f ca="1">IFERROR(__xludf.DUMMYFUNCTION("IMPORTRANGE(""https://docs.google.com/spreadsheets/d/1-uDff_7J0KD5mKrp0Vvzr7lt3OU09vwQwhkpOPPYv2Y/edit?usp=sharing"",""งบพรบ!BB35"")"),21450)</f>
        <v>21450</v>
      </c>
      <c r="I35" s="176">
        <f ca="1">IFERROR(__xludf.DUMMYFUNCTION("IMPORTRANGE(""https://docs.google.com/spreadsheets/d/1-uDff_7J0KD5mKrp0Vvzr7lt3OU09vwQwhkpOPPYv2Y/edit?usp=sharing"",""งบพรบ!BC35"")"),0)</f>
        <v>0</v>
      </c>
      <c r="J35" s="176">
        <f t="shared" ca="1" si="26"/>
        <v>0</v>
      </c>
      <c r="K35" s="179">
        <f t="shared" ca="1" si="27"/>
        <v>0</v>
      </c>
      <c r="L35" s="176">
        <f ca="1">IFERROR(__xludf.DUMMYFUNCTION("IMPORTRANGE(""https://docs.google.com/spreadsheets/d/1-uDff_7J0KD5mKrp0Vvzr7lt3OU09vwQwhkpOPPYv2Y/edit?usp=sharing"",""งบพรบ!BD35"")"),0)</f>
        <v>0</v>
      </c>
      <c r="M35" s="87">
        <f t="shared" ca="1" si="28"/>
        <v>0</v>
      </c>
      <c r="N35" s="87">
        <f t="shared" ca="1" si="29"/>
        <v>0</v>
      </c>
      <c r="O35" s="86">
        <f ca="1">IFERROR(__xludf.DUMMYFUNCTION("IMPORTRANGE(""https://docs.google.com/spreadsheets/d/1-uDff_7J0KD5mKrp0Vvzr7lt3OU09vwQwhkpOPPYv2Y/edit?usp=sharing"",""งบพรบ!BE35"")"),0)</f>
        <v>0</v>
      </c>
      <c r="P35" s="86">
        <f t="shared" ca="1" si="30"/>
        <v>0</v>
      </c>
      <c r="Q35" s="87">
        <f t="shared" ca="1" si="31"/>
        <v>0</v>
      </c>
      <c r="R35" s="86">
        <f ca="1">IFERROR(__xludf.DUMMYFUNCTION("IMPORTRANGE(""https://docs.google.com/spreadsheets/d/1XVB7oCJ3pr-vBUdflwPQ8Z2LlzhnCvZaaYjAfP-647E/edit?usp=sharing"",""นครพนม!Q94"")"),71412)</f>
        <v>71412</v>
      </c>
      <c r="S35" s="86">
        <f ca="1">IFERROR(__xludf.DUMMYFUNCTION("IMPORTRANGE(""https://docs.google.com/spreadsheets/d/1XVB7oCJ3pr-vBUdflwPQ8Z2LlzhnCvZaaYjAfP-647E/edit?usp=sharing"",""นครพนม!R94"")"),0)</f>
        <v>0</v>
      </c>
      <c r="T35" s="86">
        <f ca="1">IFERROR(__xludf.DUMMYFUNCTION("IMPORTRANGE(""https://docs.google.com/spreadsheets/d/1XVB7oCJ3pr-vBUdflwPQ8Z2LlzhnCvZaaYjAfP-647E/edit?usp=sharing"",""นครพนม!S94"")"),0)</f>
        <v>0</v>
      </c>
      <c r="U35" s="87">
        <f t="shared" ca="1" si="33"/>
        <v>0</v>
      </c>
      <c r="V35" s="87">
        <f t="shared" ca="1" si="34"/>
        <v>0</v>
      </c>
      <c r="W35" s="93">
        <f ca="1">IFERROR(__xludf.DUMMYFUNCTION("IMPORTRANGE(""https://docs.google.com/spreadsheets/d/1XVB7oCJ3pr-vBUdflwPQ8Z2LlzhnCvZaaYjAfP-647E/edit?usp=sharing"",""นครพนม!I108"")"),33)</f>
        <v>33</v>
      </c>
      <c r="X35" s="93">
        <f ca="1">IFERROR(__xludf.DUMMYFUNCTION("IMPORTRANGE(""https://docs.google.com/spreadsheets/d/1XVB7oCJ3pr-vBUdflwPQ8Z2LlzhnCvZaaYjAfP-647E/edit?usp=sharing"",""นครพนม!J108"")"),0)</f>
        <v>0</v>
      </c>
      <c r="Y35" s="177">
        <f t="shared" ca="1" si="36"/>
        <v>0</v>
      </c>
      <c r="Z35" s="93">
        <f ca="1">IFERROR(__xludf.DUMMYFUNCTION("IMPORTRANGE(""https://docs.google.com/spreadsheets/d/1XVB7oCJ3pr-vBUdflwPQ8Z2LlzhnCvZaaYjAfP-647E/edit?usp=sharing"",""นครพนม!I109"")"),11)</f>
        <v>11</v>
      </c>
      <c r="AA35" s="93">
        <f ca="1">IFERROR(__xludf.DUMMYFUNCTION("IMPORTRANGE(""https://docs.google.com/spreadsheets/d/1XVB7oCJ3pr-vBUdflwPQ8Z2LlzhnCvZaaYjAfP-647E/edit?usp=sharing"",""นครพนม!J109"")"),0)</f>
        <v>0</v>
      </c>
      <c r="AB35" s="177">
        <f t="shared" ca="1" si="38"/>
        <v>0</v>
      </c>
      <c r="AC35" s="93">
        <v>0</v>
      </c>
      <c r="AD35" s="93">
        <v>0</v>
      </c>
      <c r="AE35" s="177">
        <f t="shared" si="40"/>
        <v>0</v>
      </c>
    </row>
    <row r="36" spans="1:31" ht="21" customHeight="1" x14ac:dyDescent="0.3">
      <c r="A36" s="172">
        <v>5</v>
      </c>
      <c r="B36" s="173" t="s">
        <v>62</v>
      </c>
      <c r="C36" s="174">
        <f t="shared" ca="1" si="24"/>
        <v>0</v>
      </c>
      <c r="D36" s="175">
        <f t="shared" ca="1" si="47"/>
        <v>0</v>
      </c>
      <c r="E36" s="176">
        <f ca="1">IFERROR(__xludf.DUMMYFUNCTION("IMPORTRANGE(""https://docs.google.com/spreadsheets/d/1-uDff_7J0KD5mKrp0Vvzr7lt3OU09vwQwhkpOPPYv2Y/edit?usp=sharing"",""งบพรบ!AX36"")"),0)</f>
        <v>0</v>
      </c>
      <c r="F36" s="176">
        <f ca="1">IFERROR(__xludf.DUMMYFUNCTION("IMPORTRANGE(""https://docs.google.com/spreadsheets/d/1-uDff_7J0KD5mKrp0Vvzr7lt3OU09vwQwhkpOPPYv2Y/edit?usp=sharing"",""งบพรบ!AY36"")"),0)</f>
        <v>0</v>
      </c>
      <c r="G36" s="176">
        <f ca="1">IFERROR(__xludf.DUMMYFUNCTION("IMPORTRANGE(""https://docs.google.com/spreadsheets/d/1-uDff_7J0KD5mKrp0Vvzr7lt3OU09vwQwhkpOPPYv2Y/edit?usp=sharing"",""งบพรบ!AZ36"")"),0)</f>
        <v>0</v>
      </c>
      <c r="H36" s="176">
        <f ca="1">IFERROR(__xludf.DUMMYFUNCTION("IMPORTRANGE(""https://docs.google.com/spreadsheets/d/1-uDff_7J0KD5mKrp0Vvzr7lt3OU09vwQwhkpOPPYv2Y/edit?usp=sharing"",""งบพรบ!BB36"")"),39000)</f>
        <v>39000</v>
      </c>
      <c r="I36" s="176">
        <f ca="1">IFERROR(__xludf.DUMMYFUNCTION("IMPORTRANGE(""https://docs.google.com/spreadsheets/d/1-uDff_7J0KD5mKrp0Vvzr7lt3OU09vwQwhkpOPPYv2Y/edit?usp=sharing"",""งบพรบ!BC36"")"),0)</f>
        <v>0</v>
      </c>
      <c r="J36" s="176">
        <f t="shared" ca="1" si="26"/>
        <v>0</v>
      </c>
      <c r="K36" s="179">
        <f t="shared" ca="1" si="27"/>
        <v>0</v>
      </c>
      <c r="L36" s="176">
        <f ca="1">IFERROR(__xludf.DUMMYFUNCTION("IMPORTRANGE(""https://docs.google.com/spreadsheets/d/1-uDff_7J0KD5mKrp0Vvzr7lt3OU09vwQwhkpOPPYv2Y/edit?usp=sharing"",""งบพรบ!BD36"")"),0)</f>
        <v>0</v>
      </c>
      <c r="M36" s="87">
        <f t="shared" ca="1" si="28"/>
        <v>0</v>
      </c>
      <c r="N36" s="87">
        <f t="shared" ca="1" si="29"/>
        <v>0</v>
      </c>
      <c r="O36" s="86">
        <f ca="1">IFERROR(__xludf.DUMMYFUNCTION("IMPORTRANGE(""https://docs.google.com/spreadsheets/d/1-uDff_7J0KD5mKrp0Vvzr7lt3OU09vwQwhkpOPPYv2Y/edit?usp=sharing"",""งบพรบ!BE36"")"),0)</f>
        <v>0</v>
      </c>
      <c r="P36" s="86">
        <f t="shared" ca="1" si="30"/>
        <v>0</v>
      </c>
      <c r="Q36" s="87">
        <f t="shared" ca="1" si="31"/>
        <v>0</v>
      </c>
      <c r="R36" s="86">
        <f ca="1">IFERROR(__xludf.DUMMYFUNCTION("IMPORTRANGE(""https://docs.google.com/spreadsheets/d/1Mnpb-8PYAgn85W6KOTD40hc_Xc55CaLfHoGAbrZ8tls/edit?usp=sharing"",""นครราชสีมา!Q94"")"),129840)</f>
        <v>129840</v>
      </c>
      <c r="S36" s="86">
        <f ca="1">IFERROR(__xludf.DUMMYFUNCTION("IMPORTRANGE(""https://docs.google.com/spreadsheets/d/1Mnpb-8PYAgn85W6KOTD40hc_Xc55CaLfHoGAbrZ8tls/edit?usp=sharing"",""นครราชสีมา!R94"")"),0)</f>
        <v>0</v>
      </c>
      <c r="T36" s="86">
        <f ca="1">IFERROR(__xludf.DUMMYFUNCTION("IMPORTRANGE(""https://docs.google.com/spreadsheets/d/1Mnpb-8PYAgn85W6KOTD40hc_Xc55CaLfHoGAbrZ8tls/edit?usp=sharing"",""นครราชสีมา!S94"")"),0)</f>
        <v>0</v>
      </c>
      <c r="U36" s="87">
        <f t="shared" ca="1" si="33"/>
        <v>0</v>
      </c>
      <c r="V36" s="87">
        <f t="shared" ca="1" si="34"/>
        <v>0</v>
      </c>
      <c r="W36" s="93">
        <f ca="1">IFERROR(__xludf.DUMMYFUNCTION("IMPORTRANGE(""https://docs.google.com/spreadsheets/d/1Mnpb-8PYAgn85W6KOTD40hc_Xc55CaLfHoGAbrZ8tls/edit?usp=sharing"",""นครราชสีมา!I108"")"),60)</f>
        <v>60</v>
      </c>
      <c r="X36" s="93">
        <f ca="1">IFERROR(__xludf.DUMMYFUNCTION("IMPORTRANGE(""https://docs.google.com/spreadsheets/d/1Mnpb-8PYAgn85W6KOTD40hc_Xc55CaLfHoGAbrZ8tls/edit?usp=sharing"",""นครราชสีมา!J108"")"),0)</f>
        <v>0</v>
      </c>
      <c r="Y36" s="177">
        <f t="shared" ca="1" si="36"/>
        <v>0</v>
      </c>
      <c r="Z36" s="93">
        <f ca="1">IFERROR(__xludf.DUMMYFUNCTION("IMPORTRANGE(""https://docs.google.com/spreadsheets/d/1Mnpb-8PYAgn85W6KOTD40hc_Xc55CaLfHoGAbrZ8tls/edit?usp=sharing"",""นครราชสีมา!I109"")"),20)</f>
        <v>20</v>
      </c>
      <c r="AA36" s="93">
        <f ca="1">IFERROR(__xludf.DUMMYFUNCTION("IMPORTRANGE(""https://docs.google.com/spreadsheets/d/1Mnpb-8PYAgn85W6KOTD40hc_Xc55CaLfHoGAbrZ8tls/edit?usp=sharing"",""นครราชสีมา!J109"")"),0)</f>
        <v>0</v>
      </c>
      <c r="AB36" s="177">
        <f t="shared" ca="1" si="38"/>
        <v>0</v>
      </c>
      <c r="AC36" s="93">
        <v>0</v>
      </c>
      <c r="AD36" s="93">
        <v>0</v>
      </c>
      <c r="AE36" s="177">
        <f t="shared" si="40"/>
        <v>0</v>
      </c>
    </row>
    <row r="37" spans="1:31" ht="21" customHeight="1" x14ac:dyDescent="0.3">
      <c r="A37" s="172">
        <v>6</v>
      </c>
      <c r="B37" s="173" t="s">
        <v>63</v>
      </c>
      <c r="C37" s="174">
        <f t="shared" ca="1" si="24"/>
        <v>151000</v>
      </c>
      <c r="D37" s="175">
        <f t="shared" ca="1" si="47"/>
        <v>151000</v>
      </c>
      <c r="E37" s="176">
        <f ca="1">IFERROR(__xludf.DUMMYFUNCTION("IMPORTRANGE(""https://docs.google.com/spreadsheets/d/1-uDff_7J0KD5mKrp0Vvzr7lt3OU09vwQwhkpOPPYv2Y/edit?usp=sharing"",""งบพรบ!AX37"")"),81100)</f>
        <v>81100</v>
      </c>
      <c r="F37" s="176">
        <f ca="1">IFERROR(__xludf.DUMMYFUNCTION("IMPORTRANGE(""https://docs.google.com/spreadsheets/d/1-uDff_7J0KD5mKrp0Vvzr7lt3OU09vwQwhkpOPPYv2Y/edit?usp=sharing"",""งบพรบ!AY37"")"),69900)</f>
        <v>69900</v>
      </c>
      <c r="G37" s="176">
        <f ca="1">IFERROR(__xludf.DUMMYFUNCTION("IMPORTRANGE(""https://docs.google.com/spreadsheets/d/1-uDff_7J0KD5mKrp0Vvzr7lt3OU09vwQwhkpOPPYv2Y/edit?usp=sharing"",""งบพรบ!AZ37"")"),0)</f>
        <v>0</v>
      </c>
      <c r="H37" s="176">
        <f ca="1">IFERROR(__xludf.DUMMYFUNCTION("IMPORTRANGE(""https://docs.google.com/spreadsheets/d/1-uDff_7J0KD5mKrp0Vvzr7lt3OU09vwQwhkpOPPYv2Y/edit?usp=sharing"",""งบพรบ!BB37"")"),91150)</f>
        <v>91150</v>
      </c>
      <c r="I37" s="176">
        <f ca="1">IFERROR(__xludf.DUMMYFUNCTION("IMPORTRANGE(""https://docs.google.com/spreadsheets/d/1-uDff_7J0KD5mKrp0Vvzr7lt3OU09vwQwhkpOPPYv2Y/edit?usp=sharing"",""งบพรบ!BC37"")"),0)</f>
        <v>0</v>
      </c>
      <c r="J37" s="176">
        <f t="shared" ca="1" si="26"/>
        <v>22362</v>
      </c>
      <c r="K37" s="179">
        <f t="shared" ca="1" si="27"/>
        <v>14.809271523178808</v>
      </c>
      <c r="L37" s="176">
        <f ca="1">IFERROR(__xludf.DUMMYFUNCTION("IMPORTRANGE(""https://docs.google.com/spreadsheets/d/1-uDff_7J0KD5mKrp0Vvzr7lt3OU09vwQwhkpOPPYv2Y/edit?usp=sharing"",""งบพรบ!BD37"")"),22362)</f>
        <v>22362</v>
      </c>
      <c r="M37" s="87">
        <f t="shared" ca="1" si="28"/>
        <v>14.809271523178808</v>
      </c>
      <c r="N37" s="87">
        <f t="shared" ca="1" si="29"/>
        <v>24.53318705430609</v>
      </c>
      <c r="O37" s="86">
        <f ca="1">IFERROR(__xludf.DUMMYFUNCTION("IMPORTRANGE(""https://docs.google.com/spreadsheets/d/1-uDff_7J0KD5mKrp0Vvzr7lt3OU09vwQwhkpOPPYv2Y/edit?usp=sharing"",""งบพรบ!BE37"")"),0)</f>
        <v>0</v>
      </c>
      <c r="P37" s="86">
        <f t="shared" ca="1" si="30"/>
        <v>0</v>
      </c>
      <c r="Q37" s="87">
        <f t="shared" ca="1" si="31"/>
        <v>0</v>
      </c>
      <c r="R37" s="86">
        <f ca="1">IFERROR(__xludf.DUMMYFUNCTION("IMPORTRANGE(""https://docs.google.com/spreadsheets/d/1xoDLGBv9CYbyosIhki0kTq6IpYNj-gpjxfobnaDiut0/edit?usp=sharing"",""บึงกาฬ!Q94"")"),110364)</f>
        <v>110364</v>
      </c>
      <c r="S37" s="86">
        <f ca="1">IFERROR(__xludf.DUMMYFUNCTION("IMPORTRANGE(""https://docs.google.com/spreadsheets/d/1xoDLGBv9CYbyosIhki0kTq6IpYNj-gpjxfobnaDiut0/edit?usp=sharing"",""บึงกาฬ!R94"")"),0)</f>
        <v>0</v>
      </c>
      <c r="T37" s="86">
        <f ca="1">IFERROR(__xludf.DUMMYFUNCTION("IMPORTRANGE(""https://docs.google.com/spreadsheets/d/1xoDLGBv9CYbyosIhki0kTq6IpYNj-gpjxfobnaDiut0/edit?usp=sharing"",""บึงกาฬ!S94"")"),0)</f>
        <v>0</v>
      </c>
      <c r="U37" s="87">
        <f t="shared" ca="1" si="33"/>
        <v>0</v>
      </c>
      <c r="V37" s="87">
        <f t="shared" ca="1" si="34"/>
        <v>0</v>
      </c>
      <c r="W37" s="93">
        <f ca="1">IFERROR(__xludf.DUMMYFUNCTION("IMPORTRANGE(""https://docs.google.com/spreadsheets/d/1xoDLGBv9CYbyosIhki0kTq6IpYNj-gpjxfobnaDiut0/edit?usp=sharing"",""บึงกาฬ!I108"")"),51)</f>
        <v>51</v>
      </c>
      <c r="X37" s="93">
        <f ca="1">IFERROR(__xludf.DUMMYFUNCTION("IMPORTRANGE(""https://docs.google.com/spreadsheets/d/1xoDLGBv9CYbyosIhki0kTq6IpYNj-gpjxfobnaDiut0/edit?usp=sharing"",""บึงกาฬ!J108"")"),0)</f>
        <v>0</v>
      </c>
      <c r="Y37" s="177">
        <f t="shared" ca="1" si="36"/>
        <v>0</v>
      </c>
      <c r="Z37" s="93">
        <f ca="1">IFERROR(__xludf.DUMMYFUNCTION("IMPORTRANGE(""https://docs.google.com/spreadsheets/d/1xoDLGBv9CYbyosIhki0kTq6IpYNj-gpjxfobnaDiut0/edit?usp=sharing"",""บึงกาฬ!I109"")"),17)</f>
        <v>17</v>
      </c>
      <c r="AA37" s="93">
        <f ca="1">IFERROR(__xludf.DUMMYFUNCTION("IMPORTRANGE(""https://docs.google.com/spreadsheets/d/1xoDLGBv9CYbyosIhki0kTq6IpYNj-gpjxfobnaDiut0/edit?usp=sharing"",""บึงกาฬ!J109"")"),0)</f>
        <v>0</v>
      </c>
      <c r="AB37" s="177">
        <f t="shared" ca="1" si="38"/>
        <v>0</v>
      </c>
      <c r="AC37" s="93">
        <v>0</v>
      </c>
      <c r="AD37" s="93">
        <v>0</v>
      </c>
      <c r="AE37" s="177">
        <f t="shared" si="40"/>
        <v>0</v>
      </c>
    </row>
    <row r="38" spans="1:31" ht="21" customHeight="1" x14ac:dyDescent="0.3">
      <c r="A38" s="172">
        <v>7</v>
      </c>
      <c r="B38" s="173" t="s">
        <v>64</v>
      </c>
      <c r="C38" s="174">
        <f t="shared" ca="1" si="24"/>
        <v>134400</v>
      </c>
      <c r="D38" s="175">
        <f t="shared" ca="1" si="47"/>
        <v>134400</v>
      </c>
      <c r="E38" s="176">
        <f ca="1">IFERROR(__xludf.DUMMYFUNCTION("IMPORTRANGE(""https://docs.google.com/spreadsheets/d/1-uDff_7J0KD5mKrp0Vvzr7lt3OU09vwQwhkpOPPYv2Y/edit?usp=sharing"",""งบพรบ!AX38"")"),83400)</f>
        <v>83400</v>
      </c>
      <c r="F38" s="176">
        <f ca="1">IFERROR(__xludf.DUMMYFUNCTION("IMPORTRANGE(""https://docs.google.com/spreadsheets/d/1-uDff_7J0KD5mKrp0Vvzr7lt3OU09vwQwhkpOPPYv2Y/edit?usp=sharing"",""งบพรบ!AY38"")"),51000)</f>
        <v>51000</v>
      </c>
      <c r="G38" s="176">
        <f ca="1">IFERROR(__xludf.DUMMYFUNCTION("IMPORTRANGE(""https://docs.google.com/spreadsheets/d/1-uDff_7J0KD5mKrp0Vvzr7lt3OU09vwQwhkpOPPYv2Y/edit?usp=sharing"",""งบพรบ!AZ38"")"),0)</f>
        <v>0</v>
      </c>
      <c r="H38" s="176">
        <f ca="1">IFERROR(__xludf.DUMMYFUNCTION("IMPORTRANGE(""https://docs.google.com/spreadsheets/d/1-uDff_7J0KD5mKrp0Vvzr7lt3OU09vwQwhkpOPPYv2Y/edit?usp=sharing"",""งบพรบ!BB38"")"),79500)</f>
        <v>79500</v>
      </c>
      <c r="I38" s="176">
        <f ca="1">IFERROR(__xludf.DUMMYFUNCTION("IMPORTRANGE(""https://docs.google.com/spreadsheets/d/1-uDff_7J0KD5mKrp0Vvzr7lt3OU09vwQwhkpOPPYv2Y/edit?usp=sharing"",""งบพรบ!BC38"")"),0)</f>
        <v>0</v>
      </c>
      <c r="J38" s="176">
        <f t="shared" ca="1" si="26"/>
        <v>44928.62</v>
      </c>
      <c r="K38" s="179">
        <f t="shared" ca="1" si="27"/>
        <v>33.429032738095238</v>
      </c>
      <c r="L38" s="176">
        <f ca="1">IFERROR(__xludf.DUMMYFUNCTION("IMPORTRANGE(""https://docs.google.com/spreadsheets/d/1-uDff_7J0KD5mKrp0Vvzr7lt3OU09vwQwhkpOPPYv2Y/edit?usp=sharing"",""งบพรบ!BD38"")"),44928.62)</f>
        <v>44928.62</v>
      </c>
      <c r="M38" s="87">
        <f t="shared" ca="1" si="28"/>
        <v>33.429032738095238</v>
      </c>
      <c r="N38" s="87">
        <f t="shared" ca="1" si="29"/>
        <v>56.513987421383646</v>
      </c>
      <c r="O38" s="86">
        <f ca="1">IFERROR(__xludf.DUMMYFUNCTION("IMPORTRANGE(""https://docs.google.com/spreadsheets/d/1-uDff_7J0KD5mKrp0Vvzr7lt3OU09vwQwhkpOPPYv2Y/edit?usp=sharing"",""งบพรบ!BE38"")"),0)</f>
        <v>0</v>
      </c>
      <c r="P38" s="86">
        <f t="shared" ca="1" si="30"/>
        <v>0</v>
      </c>
      <c r="Q38" s="87">
        <f t="shared" ca="1" si="31"/>
        <v>0</v>
      </c>
      <c r="R38" s="86">
        <f ca="1">IFERROR(__xludf.DUMMYFUNCTION("IMPORTRANGE(""https://docs.google.com/spreadsheets/d/1MMPq-JyI6DSgQETxuSiXkesP-P7JHuemnE6QJIa-Nlw/edit?usp=sharing"",""บุรีรัมย์!Q94"")"),64920)</f>
        <v>64920</v>
      </c>
      <c r="S38" s="86">
        <f ca="1">IFERROR(__xludf.DUMMYFUNCTION("IMPORTRANGE(""https://docs.google.com/spreadsheets/d/1MMPq-JyI6DSgQETxuSiXkesP-P7JHuemnE6QJIa-Nlw/edit?usp=sharing"",""บุรีรัมย์!R94"")"),0)</f>
        <v>0</v>
      </c>
      <c r="T38" s="86">
        <f ca="1">IFERROR(__xludf.DUMMYFUNCTION("IMPORTRANGE(""https://docs.google.com/spreadsheets/d/1MMPq-JyI6DSgQETxuSiXkesP-P7JHuemnE6QJIa-Nlw/edit?usp=sharing"",""บุรีรัมย์!S94"")"),0)</f>
        <v>0</v>
      </c>
      <c r="U38" s="87">
        <f t="shared" ca="1" si="33"/>
        <v>0</v>
      </c>
      <c r="V38" s="87">
        <f t="shared" ca="1" si="34"/>
        <v>0</v>
      </c>
      <c r="W38" s="97">
        <f ca="1">IFERROR(__xludf.DUMMYFUNCTION("IMPORTRANGE(""https://docs.google.com/spreadsheets/d/1MMPq-JyI6DSgQETxuSiXkesP-P7JHuemnE6QJIa-Nlw/edit?usp=sharing"",""บุรีรัมย์!I108"")"),30)</f>
        <v>30</v>
      </c>
      <c r="X38" s="97">
        <f ca="1">IFERROR(__xludf.DUMMYFUNCTION("IMPORTRANGE(""https://docs.google.com/spreadsheets/d/1MMPq-JyI6DSgQETxuSiXkesP-P7JHuemnE6QJIa-Nlw/edit?usp=sharing"",""บุรีรัมย์!J108"")"),0)</f>
        <v>0</v>
      </c>
      <c r="Y38" s="177">
        <f t="shared" ca="1" si="36"/>
        <v>0</v>
      </c>
      <c r="Z38" s="97">
        <f ca="1">IFERROR(__xludf.DUMMYFUNCTION("IMPORTRANGE(""https://docs.google.com/spreadsheets/d/1MMPq-JyI6DSgQETxuSiXkesP-P7JHuemnE6QJIa-Nlw/edit?usp=sharing"",""บุรีรัมย์!I109"")"),10)</f>
        <v>10</v>
      </c>
      <c r="AA38" s="97">
        <f ca="1">IFERROR(__xludf.DUMMYFUNCTION("IMPORTRANGE(""https://docs.google.com/spreadsheets/d/1MMPq-JyI6DSgQETxuSiXkesP-P7JHuemnE6QJIa-Nlw/edit?usp=sharing"",""บุรีรัมย์!J109"")"),0)</f>
        <v>0</v>
      </c>
      <c r="AB38" s="177">
        <f t="shared" ca="1" si="38"/>
        <v>0</v>
      </c>
      <c r="AC38" s="97">
        <v>0</v>
      </c>
      <c r="AD38" s="97">
        <v>0</v>
      </c>
      <c r="AE38" s="177">
        <f t="shared" si="40"/>
        <v>0</v>
      </c>
    </row>
    <row r="39" spans="1:31" ht="21" customHeight="1" x14ac:dyDescent="0.3">
      <c r="A39" s="172">
        <v>8</v>
      </c>
      <c r="B39" s="173" t="s">
        <v>65</v>
      </c>
      <c r="C39" s="174">
        <f t="shared" ca="1" si="24"/>
        <v>51000</v>
      </c>
      <c r="D39" s="175">
        <f t="shared" ca="1" si="47"/>
        <v>51000</v>
      </c>
      <c r="E39" s="176">
        <f ca="1">IFERROR(__xludf.DUMMYFUNCTION("IMPORTRANGE(""https://docs.google.com/spreadsheets/d/1-uDff_7J0KD5mKrp0Vvzr7lt3OU09vwQwhkpOPPYv2Y/edit?usp=sharing"",""งบพรบ!AX39"")"),0)</f>
        <v>0</v>
      </c>
      <c r="F39" s="176">
        <f ca="1">IFERROR(__xludf.DUMMYFUNCTION("IMPORTRANGE(""https://docs.google.com/spreadsheets/d/1-uDff_7J0KD5mKrp0Vvzr7lt3OU09vwQwhkpOPPYv2Y/edit?usp=sharing"",""งบพรบ!AY39"")"),51000)</f>
        <v>51000</v>
      </c>
      <c r="G39" s="176">
        <f ca="1">IFERROR(__xludf.DUMMYFUNCTION("IMPORTRANGE(""https://docs.google.com/spreadsheets/d/1-uDff_7J0KD5mKrp0Vvzr7lt3OU09vwQwhkpOPPYv2Y/edit?usp=sharing"",""งบพรบ!AZ39"")"),0)</f>
        <v>0</v>
      </c>
      <c r="H39" s="176">
        <f ca="1">IFERROR(__xludf.DUMMYFUNCTION("IMPORTRANGE(""https://docs.google.com/spreadsheets/d/1-uDff_7J0KD5mKrp0Vvzr7lt3OU09vwQwhkpOPPYv2Y/edit?usp=sharing"",""งบพรบ!BB39"")"),35100)</f>
        <v>35100</v>
      </c>
      <c r="I39" s="176">
        <f ca="1">IFERROR(__xludf.DUMMYFUNCTION("IMPORTRANGE(""https://docs.google.com/spreadsheets/d/1-uDff_7J0KD5mKrp0Vvzr7lt3OU09vwQwhkpOPPYv2Y/edit?usp=sharing"",""งบพรบ!BC39"")"),0)</f>
        <v>0</v>
      </c>
      <c r="J39" s="176">
        <f t="shared" ca="1" si="26"/>
        <v>0</v>
      </c>
      <c r="K39" s="179">
        <f t="shared" ca="1" si="27"/>
        <v>0</v>
      </c>
      <c r="L39" s="176">
        <f ca="1">IFERROR(__xludf.DUMMYFUNCTION("IMPORTRANGE(""https://docs.google.com/spreadsheets/d/1-uDff_7J0KD5mKrp0Vvzr7lt3OU09vwQwhkpOPPYv2Y/edit?usp=sharing"",""งบพรบ!BD39"")"),0)</f>
        <v>0</v>
      </c>
      <c r="M39" s="87">
        <f t="shared" ca="1" si="28"/>
        <v>0</v>
      </c>
      <c r="N39" s="87">
        <f t="shared" ca="1" si="29"/>
        <v>0</v>
      </c>
      <c r="O39" s="86">
        <f ca="1">IFERROR(__xludf.DUMMYFUNCTION("IMPORTRANGE(""https://docs.google.com/spreadsheets/d/1-uDff_7J0KD5mKrp0Vvzr7lt3OU09vwQwhkpOPPYv2Y/edit?usp=sharing"",""งบพรบ!BE39"")"),0)</f>
        <v>0</v>
      </c>
      <c r="P39" s="86">
        <f t="shared" ca="1" si="30"/>
        <v>0</v>
      </c>
      <c r="Q39" s="87">
        <f t="shared" ca="1" si="31"/>
        <v>0</v>
      </c>
      <c r="R39" s="86">
        <f ca="1">IFERROR(__xludf.DUMMYFUNCTION("IMPORTRANGE(""https://docs.google.com/spreadsheets/d/1l6IZ8xUPgMrESzcTYwhA1k_tPjeQjJPTqlm8Gd9eU5g/edit?usp=sharing"",""มหาสารคาม!Q94"")"),64920)</f>
        <v>64920</v>
      </c>
      <c r="S39" s="86">
        <f ca="1">IFERROR(__xludf.DUMMYFUNCTION("IMPORTRANGE(""https://docs.google.com/spreadsheets/d/1l6IZ8xUPgMrESzcTYwhA1k_tPjeQjJPTqlm8Gd9eU5g/edit?usp=sharing"",""มหาสารคาม!R94"")"),0)</f>
        <v>0</v>
      </c>
      <c r="T39" s="86">
        <f ca="1">IFERROR(__xludf.DUMMYFUNCTION("IMPORTRANGE(""https://docs.google.com/spreadsheets/d/1l6IZ8xUPgMrESzcTYwhA1k_tPjeQjJPTqlm8Gd9eU5g/edit?usp=sharing"",""มหาสารคาม!S94"")"),0)</f>
        <v>0</v>
      </c>
      <c r="U39" s="87">
        <f t="shared" ca="1" si="33"/>
        <v>0</v>
      </c>
      <c r="V39" s="87">
        <f t="shared" ca="1" si="34"/>
        <v>0</v>
      </c>
      <c r="W39" s="97">
        <f ca="1">IFERROR(__xludf.DUMMYFUNCTION("IMPORTRANGE(""https://docs.google.com/spreadsheets/d/1l6IZ8xUPgMrESzcTYwhA1k_tPjeQjJPTqlm8Gd9eU5g/edit?usp=sharing"",""มหาสารคาม!I108"")"),30)</f>
        <v>30</v>
      </c>
      <c r="X39" s="97">
        <f ca="1">IFERROR(__xludf.DUMMYFUNCTION("IMPORTRANGE(""https://docs.google.com/spreadsheets/d/1l6IZ8xUPgMrESzcTYwhA1k_tPjeQjJPTqlm8Gd9eU5g/edit?usp=sharing"",""มหาสารคาม!J108"")"),0)</f>
        <v>0</v>
      </c>
      <c r="Y39" s="177">
        <f t="shared" ca="1" si="36"/>
        <v>0</v>
      </c>
      <c r="Z39" s="97">
        <f ca="1">IFERROR(__xludf.DUMMYFUNCTION("IMPORTRANGE(""https://docs.google.com/spreadsheets/d/1l6IZ8xUPgMrESzcTYwhA1k_tPjeQjJPTqlm8Gd9eU5g/edit?usp=sharing"",""มหาสารคาม!I109"")"),10)</f>
        <v>10</v>
      </c>
      <c r="AA39" s="97">
        <f ca="1">IFERROR(__xludf.DUMMYFUNCTION("IMPORTRANGE(""https://docs.google.com/spreadsheets/d/1l6IZ8xUPgMrESzcTYwhA1k_tPjeQjJPTqlm8Gd9eU5g/edit?usp=sharing"",""มหาสารคาม!J109"")"),0)</f>
        <v>0</v>
      </c>
      <c r="AB39" s="177">
        <f t="shared" ca="1" si="38"/>
        <v>0</v>
      </c>
      <c r="AC39" s="97">
        <v>0</v>
      </c>
      <c r="AD39" s="97">
        <v>0</v>
      </c>
      <c r="AE39" s="177">
        <f t="shared" si="40"/>
        <v>0</v>
      </c>
    </row>
    <row r="40" spans="1:31" ht="21" customHeight="1" x14ac:dyDescent="0.3">
      <c r="A40" s="172">
        <v>9</v>
      </c>
      <c r="B40" s="173" t="s">
        <v>66</v>
      </c>
      <c r="C40" s="174">
        <f t="shared" ca="1" si="24"/>
        <v>157900</v>
      </c>
      <c r="D40" s="175">
        <f t="shared" ca="1" si="47"/>
        <v>157900</v>
      </c>
      <c r="E40" s="176">
        <f ca="1">IFERROR(__xludf.DUMMYFUNCTION("IMPORTRANGE(""https://docs.google.com/spreadsheets/d/1-uDff_7J0KD5mKrp0Vvzr7lt3OU09vwQwhkpOPPYv2Y/edit?usp=sharing"",""งบพรบ!AX40"")"),85300)</f>
        <v>85300</v>
      </c>
      <c r="F40" s="176">
        <f ca="1">IFERROR(__xludf.DUMMYFUNCTION("IMPORTRANGE(""https://docs.google.com/spreadsheets/d/1-uDff_7J0KD5mKrp0Vvzr7lt3OU09vwQwhkpOPPYv2Y/edit?usp=sharing"",""งบพรบ!AY40"")"),72600)</f>
        <v>72600</v>
      </c>
      <c r="G40" s="176">
        <f ca="1">IFERROR(__xludf.DUMMYFUNCTION("IMPORTRANGE(""https://docs.google.com/spreadsheets/d/1-uDff_7J0KD5mKrp0Vvzr7lt3OU09vwQwhkpOPPYv2Y/edit?usp=sharing"",""งบพรบ!AZ40"")"),0)</f>
        <v>0</v>
      </c>
      <c r="H40" s="176">
        <f ca="1">IFERROR(__xludf.DUMMYFUNCTION("IMPORTRANGE(""https://docs.google.com/spreadsheets/d/1-uDff_7J0KD5mKrp0Vvzr7lt3OU09vwQwhkpOPPYv2Y/edit?usp=sharing"",""งบพรบ!BB40"")"),96100)</f>
        <v>96100</v>
      </c>
      <c r="I40" s="176">
        <f ca="1">IFERROR(__xludf.DUMMYFUNCTION("IMPORTRANGE(""https://docs.google.com/spreadsheets/d/1-uDff_7J0KD5mKrp0Vvzr7lt3OU09vwQwhkpOPPYv2Y/edit?usp=sharing"",""งบพรบ!BC40"")"),0)</f>
        <v>0</v>
      </c>
      <c r="J40" s="176">
        <f t="shared" ca="1" si="26"/>
        <v>40406</v>
      </c>
      <c r="K40" s="179">
        <f t="shared" ca="1" si="27"/>
        <v>25.589613679544016</v>
      </c>
      <c r="L40" s="176">
        <f ca="1">IFERROR(__xludf.DUMMYFUNCTION("IMPORTRANGE(""https://docs.google.com/spreadsheets/d/1-uDff_7J0KD5mKrp0Vvzr7lt3OU09vwQwhkpOPPYv2Y/edit?usp=sharing"",""งบพรบ!BD40"")"),40406)</f>
        <v>40406</v>
      </c>
      <c r="M40" s="87">
        <f t="shared" ca="1" si="28"/>
        <v>25.589613679544016</v>
      </c>
      <c r="N40" s="87">
        <f t="shared" ca="1" si="29"/>
        <v>42.045785639958375</v>
      </c>
      <c r="O40" s="86">
        <f ca="1">IFERROR(__xludf.DUMMYFUNCTION("IMPORTRANGE(""https://docs.google.com/spreadsheets/d/1-uDff_7J0KD5mKrp0Vvzr7lt3OU09vwQwhkpOPPYv2Y/edit?usp=sharing"",""งบพรบ!BE40"")"),0)</f>
        <v>0</v>
      </c>
      <c r="P40" s="86">
        <f t="shared" ca="1" si="30"/>
        <v>0</v>
      </c>
      <c r="Q40" s="87">
        <f t="shared" ca="1" si="31"/>
        <v>0</v>
      </c>
      <c r="R40" s="86">
        <f ca="1">IFERROR(__xludf.DUMMYFUNCTION("IMPORTRANGE(""https://docs.google.com/spreadsheets/d/1uB74YLqNjWX6FObjekfB2NtSYigTQyR2rq9u4Ub2Sq4/edit?usp=sharing"",""มุกดาหาร!Q94"")"),116856)</f>
        <v>116856</v>
      </c>
      <c r="S40" s="86">
        <f ca="1">IFERROR(__xludf.DUMMYFUNCTION("IMPORTRANGE(""https://docs.google.com/spreadsheets/d/1uB74YLqNjWX6FObjekfB2NtSYigTQyR2rq9u4Ub2Sq4/edit?usp=sharing"",""มุกดาหาร!R94"")"),0)</f>
        <v>0</v>
      </c>
      <c r="T40" s="86">
        <f ca="1">IFERROR(__xludf.DUMMYFUNCTION("IMPORTRANGE(""https://docs.google.com/spreadsheets/d/1uB74YLqNjWX6FObjekfB2NtSYigTQyR2rq9u4Ub2Sq4/edit?usp=sharing"",""มุกดาหาร!S94"")"),0)</f>
        <v>0</v>
      </c>
      <c r="U40" s="87">
        <f t="shared" ca="1" si="33"/>
        <v>0</v>
      </c>
      <c r="V40" s="87">
        <f t="shared" ca="1" si="34"/>
        <v>0</v>
      </c>
      <c r="W40" s="97">
        <f ca="1">IFERROR(__xludf.DUMMYFUNCTION("IMPORTRANGE(""https://docs.google.com/spreadsheets/d/1uB74YLqNjWX6FObjekfB2NtSYigTQyR2rq9u4Ub2Sq4/edit?usp=sharing"",""มุกดาหาร!I108"")"),54)</f>
        <v>54</v>
      </c>
      <c r="X40" s="97">
        <f ca="1">IFERROR(__xludf.DUMMYFUNCTION("IMPORTRANGE(""https://docs.google.com/spreadsheets/d/1uB74YLqNjWX6FObjekfB2NtSYigTQyR2rq9u4Ub2Sq4/edit?usp=sharing"",""มุกดาหาร!J108"")"),0)</f>
        <v>0</v>
      </c>
      <c r="Y40" s="177">
        <f t="shared" ca="1" si="36"/>
        <v>0</v>
      </c>
      <c r="Z40" s="97">
        <f ca="1">IFERROR(__xludf.DUMMYFUNCTION("IMPORTRANGE(""https://docs.google.com/spreadsheets/d/1uB74YLqNjWX6FObjekfB2NtSYigTQyR2rq9u4Ub2Sq4/edit?usp=sharing"",""มุกดาหาร!I109"")"),18)</f>
        <v>18</v>
      </c>
      <c r="AA40" s="97">
        <f ca="1">IFERROR(__xludf.DUMMYFUNCTION("IMPORTRANGE(""https://docs.google.com/spreadsheets/d/1uB74YLqNjWX6FObjekfB2NtSYigTQyR2rq9u4Ub2Sq4/edit?usp=sharing"",""มุกดาหาร!J109"")"),0)</f>
        <v>0</v>
      </c>
      <c r="AB40" s="177">
        <f t="shared" ca="1" si="38"/>
        <v>0</v>
      </c>
      <c r="AC40" s="97">
        <v>0</v>
      </c>
      <c r="AD40" s="97">
        <v>0</v>
      </c>
      <c r="AE40" s="177">
        <f t="shared" si="40"/>
        <v>0</v>
      </c>
    </row>
    <row r="41" spans="1:31" ht="21" customHeight="1" x14ac:dyDescent="0.3">
      <c r="A41" s="172">
        <v>10</v>
      </c>
      <c r="B41" s="173" t="s">
        <v>67</v>
      </c>
      <c r="C41" s="174">
        <f t="shared" ca="1" si="24"/>
        <v>0</v>
      </c>
      <c r="D41" s="175">
        <f t="shared" ca="1" si="47"/>
        <v>0</v>
      </c>
      <c r="E41" s="176">
        <f ca="1">IFERROR(__xludf.DUMMYFUNCTION("IMPORTRANGE(""https://docs.google.com/spreadsheets/d/1-uDff_7J0KD5mKrp0Vvzr7lt3OU09vwQwhkpOPPYv2Y/edit?usp=sharing"",""งบพรบ!AX41"")"),0)</f>
        <v>0</v>
      </c>
      <c r="F41" s="176">
        <f ca="1">IFERROR(__xludf.DUMMYFUNCTION("IMPORTRANGE(""https://docs.google.com/spreadsheets/d/1-uDff_7J0KD5mKrp0Vvzr7lt3OU09vwQwhkpOPPYv2Y/edit?usp=sharing"",""งบพรบ!AY41"")"),0)</f>
        <v>0</v>
      </c>
      <c r="G41" s="176">
        <f ca="1">IFERROR(__xludf.DUMMYFUNCTION("IMPORTRANGE(""https://docs.google.com/spreadsheets/d/1-uDff_7J0KD5mKrp0Vvzr7lt3OU09vwQwhkpOPPYv2Y/edit?usp=sharing"",""งบพรบ!AZ41"")"),0)</f>
        <v>0</v>
      </c>
      <c r="H41" s="176">
        <f ca="1">IFERROR(__xludf.DUMMYFUNCTION("IMPORTRANGE(""https://docs.google.com/spreadsheets/d/1-uDff_7J0KD5mKrp0Vvzr7lt3OU09vwQwhkpOPPYv2Y/edit?usp=sharing"",""งบพรบ!BB41"")"),39000)</f>
        <v>39000</v>
      </c>
      <c r="I41" s="176">
        <f ca="1">IFERROR(__xludf.DUMMYFUNCTION("IMPORTRANGE(""https://docs.google.com/spreadsheets/d/1-uDff_7J0KD5mKrp0Vvzr7lt3OU09vwQwhkpOPPYv2Y/edit?usp=sharing"",""งบพรบ!BC41"")"),0)</f>
        <v>0</v>
      </c>
      <c r="J41" s="176">
        <f t="shared" ca="1" si="26"/>
        <v>0</v>
      </c>
      <c r="K41" s="179">
        <f t="shared" ca="1" si="27"/>
        <v>0</v>
      </c>
      <c r="L41" s="176">
        <f ca="1">IFERROR(__xludf.DUMMYFUNCTION("IMPORTRANGE(""https://docs.google.com/spreadsheets/d/1-uDff_7J0KD5mKrp0Vvzr7lt3OU09vwQwhkpOPPYv2Y/edit?usp=sharing"",""งบพรบ!BD41"")"),0)</f>
        <v>0</v>
      </c>
      <c r="M41" s="87">
        <f t="shared" ca="1" si="28"/>
        <v>0</v>
      </c>
      <c r="N41" s="87">
        <f t="shared" ca="1" si="29"/>
        <v>0</v>
      </c>
      <c r="O41" s="86">
        <f ca="1">IFERROR(__xludf.DUMMYFUNCTION("IMPORTRANGE(""https://docs.google.com/spreadsheets/d/1-uDff_7J0KD5mKrp0Vvzr7lt3OU09vwQwhkpOPPYv2Y/edit?usp=sharing"",""งบพรบ!BE41"")"),0)</f>
        <v>0</v>
      </c>
      <c r="P41" s="86">
        <f t="shared" ca="1" si="30"/>
        <v>0</v>
      </c>
      <c r="Q41" s="87">
        <f t="shared" ca="1" si="31"/>
        <v>0</v>
      </c>
      <c r="R41" s="86">
        <f ca="1">IFERROR(__xludf.DUMMYFUNCTION("IMPORTRANGE(""https://docs.google.com/spreadsheets/d/1NexK3geCPxCTO1fzNF8dPec7yZyUx3OaWkFBC9HsQOo/edit?usp=sharing"",""ยโสธร!Q94"")"),129840)</f>
        <v>129840</v>
      </c>
      <c r="S41" s="86">
        <f ca="1">IFERROR(__xludf.DUMMYFUNCTION("IMPORTRANGE(""https://docs.google.com/spreadsheets/d/1NexK3geCPxCTO1fzNF8dPec7yZyUx3OaWkFBC9HsQOo/edit?usp=sharing"",""ยโสธร!R94"")"),0)</f>
        <v>0</v>
      </c>
      <c r="T41" s="86">
        <f ca="1">IFERROR(__xludf.DUMMYFUNCTION("IMPORTRANGE(""https://docs.google.com/spreadsheets/d/1NexK3geCPxCTO1fzNF8dPec7yZyUx3OaWkFBC9HsQOo/edit?usp=sharing"",""ยโสธร!S94"")"),0)</f>
        <v>0</v>
      </c>
      <c r="U41" s="87">
        <f t="shared" ca="1" si="33"/>
        <v>0</v>
      </c>
      <c r="V41" s="87">
        <f t="shared" ca="1" si="34"/>
        <v>0</v>
      </c>
      <c r="W41" s="97">
        <f ca="1">IFERROR(__xludf.DUMMYFUNCTION("IMPORTRANGE(""https://docs.google.com/spreadsheets/d/1NexK3geCPxCTO1fzNF8dPec7yZyUx3OaWkFBC9HsQOo/edit?usp=sharing"",""ยโสธร!I108"")"),60)</f>
        <v>60</v>
      </c>
      <c r="X41" s="97">
        <f ca="1">IFERROR(__xludf.DUMMYFUNCTION("IMPORTRANGE(""https://docs.google.com/spreadsheets/d/1NexK3geCPxCTO1fzNF8dPec7yZyUx3OaWkFBC9HsQOo/edit?usp=sharing"",""ยโสธร!J108"")"),0)</f>
        <v>0</v>
      </c>
      <c r="Y41" s="177">
        <f t="shared" ca="1" si="36"/>
        <v>0</v>
      </c>
      <c r="Z41" s="97">
        <f ca="1">IFERROR(__xludf.DUMMYFUNCTION("IMPORTRANGE(""https://docs.google.com/spreadsheets/d/1NexK3geCPxCTO1fzNF8dPec7yZyUx3OaWkFBC9HsQOo/edit?usp=sharing"",""ยโสธร!I109"")"),20)</f>
        <v>20</v>
      </c>
      <c r="AA41" s="97">
        <f ca="1">IFERROR(__xludf.DUMMYFUNCTION("IMPORTRANGE(""https://docs.google.com/spreadsheets/d/1NexK3geCPxCTO1fzNF8dPec7yZyUx3OaWkFBC9HsQOo/edit?usp=sharing"",""ยโสธร!J109"")"),0)</f>
        <v>0</v>
      </c>
      <c r="AB41" s="177">
        <f t="shared" ca="1" si="38"/>
        <v>0</v>
      </c>
      <c r="AC41" s="97">
        <v>0</v>
      </c>
      <c r="AD41" s="97">
        <v>0</v>
      </c>
      <c r="AE41" s="177">
        <f t="shared" si="40"/>
        <v>0</v>
      </c>
    </row>
    <row r="42" spans="1:31" ht="21" customHeight="1" x14ac:dyDescent="0.3">
      <c r="A42" s="172">
        <v>11</v>
      </c>
      <c r="B42" s="173" t="s">
        <v>68</v>
      </c>
      <c r="C42" s="174">
        <f t="shared" ca="1" si="24"/>
        <v>0</v>
      </c>
      <c r="D42" s="175">
        <f t="shared" ca="1" si="47"/>
        <v>0</v>
      </c>
      <c r="E42" s="176">
        <f ca="1">IFERROR(__xludf.DUMMYFUNCTION("IMPORTRANGE(""https://docs.google.com/spreadsheets/d/1-uDff_7J0KD5mKrp0Vvzr7lt3OU09vwQwhkpOPPYv2Y/edit?usp=sharing"",""งบพรบ!AX42"")"),0)</f>
        <v>0</v>
      </c>
      <c r="F42" s="176">
        <f ca="1">IFERROR(__xludf.DUMMYFUNCTION("IMPORTRANGE(""https://docs.google.com/spreadsheets/d/1-uDff_7J0KD5mKrp0Vvzr7lt3OU09vwQwhkpOPPYv2Y/edit?usp=sharing"",""งบพรบ!AY42"")"),0)</f>
        <v>0</v>
      </c>
      <c r="G42" s="176">
        <f ca="1">IFERROR(__xludf.DUMMYFUNCTION("IMPORTRANGE(""https://docs.google.com/spreadsheets/d/1-uDff_7J0KD5mKrp0Vvzr7lt3OU09vwQwhkpOPPYv2Y/edit?usp=sharing"",""งบพรบ!AZ42"")"),0)</f>
        <v>0</v>
      </c>
      <c r="H42" s="176">
        <f ca="1">IFERROR(__xludf.DUMMYFUNCTION("IMPORTRANGE(""https://docs.google.com/spreadsheets/d/1-uDff_7J0KD5mKrp0Vvzr7lt3OU09vwQwhkpOPPYv2Y/edit?usp=sharing"",""งบพรบ!BB42"")"),0)</f>
        <v>0</v>
      </c>
      <c r="I42" s="176">
        <f ca="1">IFERROR(__xludf.DUMMYFUNCTION("IMPORTRANGE(""https://docs.google.com/spreadsheets/d/1-uDff_7J0KD5mKrp0Vvzr7lt3OU09vwQwhkpOPPYv2Y/edit?usp=sharing"",""งบพรบ!BC42"")"),0)</f>
        <v>0</v>
      </c>
      <c r="J42" s="176">
        <f t="shared" ca="1" si="26"/>
        <v>0</v>
      </c>
      <c r="K42" s="179">
        <f t="shared" ca="1" si="27"/>
        <v>0</v>
      </c>
      <c r="L42" s="176">
        <f ca="1">IFERROR(__xludf.DUMMYFUNCTION("IMPORTRANGE(""https://docs.google.com/spreadsheets/d/1-uDff_7J0KD5mKrp0Vvzr7lt3OU09vwQwhkpOPPYv2Y/edit?usp=sharing"",""งบพรบ!BD42"")"),0)</f>
        <v>0</v>
      </c>
      <c r="M42" s="87">
        <f t="shared" ca="1" si="28"/>
        <v>0</v>
      </c>
      <c r="N42" s="87">
        <f t="shared" ca="1" si="29"/>
        <v>0</v>
      </c>
      <c r="O42" s="86">
        <f ca="1">IFERROR(__xludf.DUMMYFUNCTION("IMPORTRANGE(""https://docs.google.com/spreadsheets/d/1-uDff_7J0KD5mKrp0Vvzr7lt3OU09vwQwhkpOPPYv2Y/edit?usp=sharing"",""งบพรบ!BE42"")"),0)</f>
        <v>0</v>
      </c>
      <c r="P42" s="86">
        <f t="shared" ca="1" si="30"/>
        <v>0</v>
      </c>
      <c r="Q42" s="87">
        <f t="shared" ca="1" si="31"/>
        <v>0</v>
      </c>
      <c r="R42" s="86">
        <f ca="1">IFERROR(__xludf.DUMMYFUNCTION("IMPORTRANGE(""https://docs.google.com/spreadsheets/d/1v_cJrbBlyqmnHPReHk44g9NrMRdENNlSy_E_c5M9fIg/edit?usp=sharing"",""ร้อยเอ็ด!Q94"")"),0)</f>
        <v>0</v>
      </c>
      <c r="S42" s="86">
        <f ca="1">IFERROR(__xludf.DUMMYFUNCTION("IMPORTRANGE(""https://docs.google.com/spreadsheets/d/1v_cJrbBlyqmnHPReHk44g9NrMRdENNlSy_E_c5M9fIg/edit?usp=sharing"",""ร้อยเอ็ด!R94"")"),0)</f>
        <v>0</v>
      </c>
      <c r="T42" s="86">
        <f ca="1">IFERROR(__xludf.DUMMYFUNCTION("IMPORTRANGE(""https://docs.google.com/spreadsheets/d/1v_cJrbBlyqmnHPReHk44g9NrMRdENNlSy_E_c5M9fIg/edit?usp=sharing"",""ร้อยเอ็ด!S94"")"),0)</f>
        <v>0</v>
      </c>
      <c r="U42" s="87">
        <f t="shared" ca="1" si="33"/>
        <v>0</v>
      </c>
      <c r="V42" s="87">
        <f t="shared" ca="1" si="34"/>
        <v>0</v>
      </c>
      <c r="W42" s="93">
        <f ca="1">IFERROR(__xludf.DUMMYFUNCTION("IMPORTRANGE(""https://docs.google.com/spreadsheets/d/1v_cJrbBlyqmnHPReHk44g9NrMRdENNlSy_E_c5M9fIg/edit?usp=sharing"",""ร้อยเอ็ด!I108"")"),0)</f>
        <v>0</v>
      </c>
      <c r="X42" s="93">
        <f ca="1">IFERROR(__xludf.DUMMYFUNCTION("IMPORTRANGE(""https://docs.google.com/spreadsheets/d/1v_cJrbBlyqmnHPReHk44g9NrMRdENNlSy_E_c5M9fIg/edit?usp=sharing"",""ร้อยเอ็ด!J108"")"),0)</f>
        <v>0</v>
      </c>
      <c r="Y42" s="177">
        <f t="shared" ca="1" si="36"/>
        <v>0</v>
      </c>
      <c r="Z42" s="93">
        <f ca="1">IFERROR(__xludf.DUMMYFUNCTION("IMPORTRANGE(""https://docs.google.com/spreadsheets/d/1v_cJrbBlyqmnHPReHk44g9NrMRdENNlSy_E_c5M9fIg/edit?usp=sharing"",""ร้อยเอ็ด!I109"")"),0)</f>
        <v>0</v>
      </c>
      <c r="AA42" s="93">
        <f ca="1">IFERROR(__xludf.DUMMYFUNCTION("IMPORTRANGE(""https://docs.google.com/spreadsheets/d/1v_cJrbBlyqmnHPReHk44g9NrMRdENNlSy_E_c5M9fIg/edit?usp=sharing"",""ร้อยเอ็ด!J109"")"),0)</f>
        <v>0</v>
      </c>
      <c r="AB42" s="177">
        <f t="shared" ca="1" si="38"/>
        <v>0</v>
      </c>
      <c r="AC42" s="93">
        <v>0</v>
      </c>
      <c r="AD42" s="93">
        <v>0</v>
      </c>
      <c r="AE42" s="177">
        <f t="shared" si="40"/>
        <v>0</v>
      </c>
    </row>
    <row r="43" spans="1:31" ht="21" customHeight="1" x14ac:dyDescent="0.3">
      <c r="A43" s="172">
        <v>12</v>
      </c>
      <c r="B43" s="173" t="s">
        <v>69</v>
      </c>
      <c r="C43" s="174">
        <f t="shared" ca="1" si="24"/>
        <v>0</v>
      </c>
      <c r="D43" s="175">
        <f t="shared" ca="1" si="47"/>
        <v>0</v>
      </c>
      <c r="E43" s="176">
        <f ca="1">IFERROR(__xludf.DUMMYFUNCTION("IMPORTRANGE(""https://docs.google.com/spreadsheets/d/1-uDff_7J0KD5mKrp0Vvzr7lt3OU09vwQwhkpOPPYv2Y/edit?usp=sharing"",""งบพรบ!AX43"")"),0)</f>
        <v>0</v>
      </c>
      <c r="F43" s="176">
        <f ca="1">IFERROR(__xludf.DUMMYFUNCTION("IMPORTRANGE(""https://docs.google.com/spreadsheets/d/1-uDff_7J0KD5mKrp0Vvzr7lt3OU09vwQwhkpOPPYv2Y/edit?usp=sharing"",""งบพรบ!AY43"")"),0)</f>
        <v>0</v>
      </c>
      <c r="G43" s="176">
        <f ca="1">IFERROR(__xludf.DUMMYFUNCTION("IMPORTRANGE(""https://docs.google.com/spreadsheets/d/1-uDff_7J0KD5mKrp0Vvzr7lt3OU09vwQwhkpOPPYv2Y/edit?usp=sharing"",""งบพรบ!AZ43"")"),0)</f>
        <v>0</v>
      </c>
      <c r="H43" s="176">
        <f ca="1">IFERROR(__xludf.DUMMYFUNCTION("IMPORTRANGE(""https://docs.google.com/spreadsheets/d/1-uDff_7J0KD5mKrp0Vvzr7lt3OU09vwQwhkpOPPYv2Y/edit?usp=sharing"",""งบพรบ!BB43"")"),0)</f>
        <v>0</v>
      </c>
      <c r="I43" s="176">
        <f ca="1">IFERROR(__xludf.DUMMYFUNCTION("IMPORTRANGE(""https://docs.google.com/spreadsheets/d/1-uDff_7J0KD5mKrp0Vvzr7lt3OU09vwQwhkpOPPYv2Y/edit?usp=sharing"",""งบพรบ!BC43"")"),0)</f>
        <v>0</v>
      </c>
      <c r="J43" s="176">
        <f t="shared" ca="1" si="26"/>
        <v>0</v>
      </c>
      <c r="K43" s="179">
        <f t="shared" ca="1" si="27"/>
        <v>0</v>
      </c>
      <c r="L43" s="176">
        <f ca="1">IFERROR(__xludf.DUMMYFUNCTION("IMPORTRANGE(""https://docs.google.com/spreadsheets/d/1-uDff_7J0KD5mKrp0Vvzr7lt3OU09vwQwhkpOPPYv2Y/edit?usp=sharing"",""งบพรบ!BD43"")"),0)</f>
        <v>0</v>
      </c>
      <c r="M43" s="87">
        <f t="shared" ca="1" si="28"/>
        <v>0</v>
      </c>
      <c r="N43" s="87">
        <f t="shared" ca="1" si="29"/>
        <v>0</v>
      </c>
      <c r="O43" s="86">
        <f ca="1">IFERROR(__xludf.DUMMYFUNCTION("IMPORTRANGE(""https://docs.google.com/spreadsheets/d/1-uDff_7J0KD5mKrp0Vvzr7lt3OU09vwQwhkpOPPYv2Y/edit?usp=sharing"",""งบพรบ!BE43"")"),0)</f>
        <v>0</v>
      </c>
      <c r="P43" s="86">
        <f t="shared" ca="1" si="30"/>
        <v>0</v>
      </c>
      <c r="Q43" s="87">
        <f t="shared" ca="1" si="31"/>
        <v>0</v>
      </c>
      <c r="R43" s="86">
        <f ca="1">IFERROR(__xludf.DUMMYFUNCTION("IMPORTRANGE(""https://docs.google.com/spreadsheets/d/1Ul4RCpCX66NxYADU1QpwAPjOmBzW64SsT11s1wzXw_c/edit?usp=sharing"",""เลย!Q94"")"),0)</f>
        <v>0</v>
      </c>
      <c r="S43" s="86">
        <f ca="1">IFERROR(__xludf.DUMMYFUNCTION("IMPORTRANGE(""https://docs.google.com/spreadsheets/d/1Ul4RCpCX66NxYADU1QpwAPjOmBzW64SsT11s1wzXw_c/edit?usp=sharing"",""เลย!R94"")"),0)</f>
        <v>0</v>
      </c>
      <c r="T43" s="86">
        <f ca="1">IFERROR(__xludf.DUMMYFUNCTION("IMPORTRANGE(""https://docs.google.com/spreadsheets/d/1Ul4RCpCX66NxYADU1QpwAPjOmBzW64SsT11s1wzXw_c/edit?usp=sharing"",""เลย!S94"")"),0)</f>
        <v>0</v>
      </c>
      <c r="U43" s="87">
        <f t="shared" ca="1" si="33"/>
        <v>0</v>
      </c>
      <c r="V43" s="87">
        <f t="shared" ca="1" si="34"/>
        <v>0</v>
      </c>
      <c r="W43" s="93">
        <f ca="1">IFERROR(__xludf.DUMMYFUNCTION("IMPORTRANGE(""https://docs.google.com/spreadsheets/d/1Ul4RCpCX66NxYADU1QpwAPjOmBzW64SsT11s1wzXw_c/edit?usp=sharing"",""เลย!I108"")"),0)</f>
        <v>0</v>
      </c>
      <c r="X43" s="93">
        <f ca="1">IFERROR(__xludf.DUMMYFUNCTION("IMPORTRANGE(""https://docs.google.com/spreadsheets/d/1Ul4RCpCX66NxYADU1QpwAPjOmBzW64SsT11s1wzXw_c/edit?usp=sharing"",""เลย!J108"")"),0)</f>
        <v>0</v>
      </c>
      <c r="Y43" s="177">
        <f t="shared" ca="1" si="36"/>
        <v>0</v>
      </c>
      <c r="Z43" s="93">
        <f ca="1">IFERROR(__xludf.DUMMYFUNCTION("IMPORTRANGE(""https://docs.google.com/spreadsheets/d/1Ul4RCpCX66NxYADU1QpwAPjOmBzW64SsT11s1wzXw_c/edit?usp=sharing"",""เลย!I109"")"),0)</f>
        <v>0</v>
      </c>
      <c r="AA43" s="93">
        <f ca="1">IFERROR(__xludf.DUMMYFUNCTION("IMPORTRANGE(""https://docs.google.com/spreadsheets/d/1Ul4RCpCX66NxYADU1QpwAPjOmBzW64SsT11s1wzXw_c/edit?usp=sharing"",""เลย!J109"")"),0)</f>
        <v>0</v>
      </c>
      <c r="AB43" s="177">
        <f t="shared" ca="1" si="38"/>
        <v>0</v>
      </c>
      <c r="AC43" s="93">
        <v>0</v>
      </c>
      <c r="AD43" s="93">
        <v>0</v>
      </c>
      <c r="AE43" s="177">
        <f t="shared" si="40"/>
        <v>0</v>
      </c>
    </row>
    <row r="44" spans="1:31" ht="21" customHeight="1" x14ac:dyDescent="0.3">
      <c r="A44" s="172">
        <v>13</v>
      </c>
      <c r="B44" s="173" t="s">
        <v>70</v>
      </c>
      <c r="C44" s="174">
        <f t="shared" ca="1" si="24"/>
        <v>0</v>
      </c>
      <c r="D44" s="175">
        <f t="shared" ca="1" si="47"/>
        <v>0</v>
      </c>
      <c r="E44" s="176">
        <f ca="1">IFERROR(__xludf.DUMMYFUNCTION("IMPORTRANGE(""https://docs.google.com/spreadsheets/d/1-uDff_7J0KD5mKrp0Vvzr7lt3OU09vwQwhkpOPPYv2Y/edit?usp=sharing"",""งบพรบ!AX44"")"),0)</f>
        <v>0</v>
      </c>
      <c r="F44" s="176">
        <f ca="1">IFERROR(__xludf.DUMMYFUNCTION("IMPORTRANGE(""https://docs.google.com/spreadsheets/d/1-uDff_7J0KD5mKrp0Vvzr7lt3OU09vwQwhkpOPPYv2Y/edit?usp=sharing"",""งบพรบ!AY44"")"),0)</f>
        <v>0</v>
      </c>
      <c r="G44" s="176">
        <f ca="1">IFERROR(__xludf.DUMMYFUNCTION("IMPORTRANGE(""https://docs.google.com/spreadsheets/d/1-uDff_7J0KD5mKrp0Vvzr7lt3OU09vwQwhkpOPPYv2Y/edit?usp=sharing"",""งบพรบ!AZ44"")"),0)</f>
        <v>0</v>
      </c>
      <c r="H44" s="176">
        <f ca="1">IFERROR(__xludf.DUMMYFUNCTION("IMPORTRANGE(""https://docs.google.com/spreadsheets/d/1-uDff_7J0KD5mKrp0Vvzr7lt3OU09vwQwhkpOPPYv2Y/edit?usp=sharing"",""งบพรบ!BB44"")"),0)</f>
        <v>0</v>
      </c>
      <c r="I44" s="176">
        <f ca="1">IFERROR(__xludf.DUMMYFUNCTION("IMPORTRANGE(""https://docs.google.com/spreadsheets/d/1-uDff_7J0KD5mKrp0Vvzr7lt3OU09vwQwhkpOPPYv2Y/edit?usp=sharing"",""งบพรบ!BC44"")"),0)</f>
        <v>0</v>
      </c>
      <c r="J44" s="176">
        <f t="shared" ca="1" si="26"/>
        <v>0</v>
      </c>
      <c r="K44" s="179">
        <f t="shared" ca="1" si="27"/>
        <v>0</v>
      </c>
      <c r="L44" s="176">
        <f ca="1">IFERROR(__xludf.DUMMYFUNCTION("IMPORTRANGE(""https://docs.google.com/spreadsheets/d/1-uDff_7J0KD5mKrp0Vvzr7lt3OU09vwQwhkpOPPYv2Y/edit?usp=sharing"",""งบพรบ!BD44"")"),0)</f>
        <v>0</v>
      </c>
      <c r="M44" s="87">
        <f t="shared" ca="1" si="28"/>
        <v>0</v>
      </c>
      <c r="N44" s="87">
        <f t="shared" ca="1" si="29"/>
        <v>0</v>
      </c>
      <c r="O44" s="86">
        <f ca="1">IFERROR(__xludf.DUMMYFUNCTION("IMPORTRANGE(""https://docs.google.com/spreadsheets/d/1-uDff_7J0KD5mKrp0Vvzr7lt3OU09vwQwhkpOPPYv2Y/edit?usp=sharing"",""งบพรบ!BE44"")"),0)</f>
        <v>0</v>
      </c>
      <c r="P44" s="86">
        <f t="shared" ca="1" si="30"/>
        <v>0</v>
      </c>
      <c r="Q44" s="87">
        <f t="shared" ca="1" si="31"/>
        <v>0</v>
      </c>
      <c r="R44" s="86">
        <f ca="1">IFERROR(__xludf.DUMMYFUNCTION("IMPORTRANGE(""https://docs.google.com/spreadsheets/d/1bRrNKwbHDVktQG10isr5vbWRtt5spIZPpkOSWgbT5ug/edit?usp=sharing"",""ศรีสะเกษ!Q94"")"),0)</f>
        <v>0</v>
      </c>
      <c r="S44" s="86">
        <f ca="1">IFERROR(__xludf.DUMMYFUNCTION("IMPORTRANGE(""https://docs.google.com/spreadsheets/d/1bRrNKwbHDVktQG10isr5vbWRtt5spIZPpkOSWgbT5ug/edit?usp=sharing"",""ศรีสะเกษ!R94"")"),0)</f>
        <v>0</v>
      </c>
      <c r="T44" s="86">
        <f ca="1">IFERROR(__xludf.DUMMYFUNCTION("IMPORTRANGE(""https://docs.google.com/spreadsheets/d/1bRrNKwbHDVktQG10isr5vbWRtt5spIZPpkOSWgbT5ug/edit?usp=sharing"",""ศรีสะเกษ!S94"")"),0)</f>
        <v>0</v>
      </c>
      <c r="U44" s="87">
        <f t="shared" ca="1" si="33"/>
        <v>0</v>
      </c>
      <c r="V44" s="87">
        <f t="shared" ca="1" si="34"/>
        <v>0</v>
      </c>
      <c r="W44" s="93">
        <f ca="1">IFERROR(__xludf.DUMMYFUNCTION("IMPORTRANGE(""https://docs.google.com/spreadsheets/d/1bRrNKwbHDVktQG10isr5vbWRtt5spIZPpkOSWgbT5ug/edit?usp=sharing"",""ศรีสะเกษ!I108"")"),0)</f>
        <v>0</v>
      </c>
      <c r="X44" s="93">
        <f ca="1">IFERROR(__xludf.DUMMYFUNCTION("IMPORTRANGE(""https://docs.google.com/spreadsheets/d/1bRrNKwbHDVktQG10isr5vbWRtt5spIZPpkOSWgbT5ug/edit?usp=sharing"",""ศรีสะเกษ!J108"")"),0)</f>
        <v>0</v>
      </c>
      <c r="Y44" s="177">
        <f t="shared" ca="1" si="36"/>
        <v>0</v>
      </c>
      <c r="Z44" s="93">
        <f ca="1">IFERROR(__xludf.DUMMYFUNCTION("IMPORTRANGE(""https://docs.google.com/spreadsheets/d/1bRrNKwbHDVktQG10isr5vbWRtt5spIZPpkOSWgbT5ug/edit?usp=sharing"",""ศรีสะเกษ!I109"")"),0)</f>
        <v>0</v>
      </c>
      <c r="AA44" s="93">
        <f ca="1">IFERROR(__xludf.DUMMYFUNCTION("IMPORTRANGE(""https://docs.google.com/spreadsheets/d/1bRrNKwbHDVktQG10isr5vbWRtt5spIZPpkOSWgbT5ug/edit?usp=sharing"",""ศรีสะเกษ!J109"")"),0)</f>
        <v>0</v>
      </c>
      <c r="AB44" s="177">
        <f t="shared" ca="1" si="38"/>
        <v>0</v>
      </c>
      <c r="AC44" s="93">
        <v>0</v>
      </c>
      <c r="AD44" s="93">
        <v>0</v>
      </c>
      <c r="AE44" s="177">
        <f t="shared" si="40"/>
        <v>0</v>
      </c>
    </row>
    <row r="45" spans="1:31" ht="21" customHeight="1" x14ac:dyDescent="0.3">
      <c r="A45" s="172">
        <v>14</v>
      </c>
      <c r="B45" s="173" t="s">
        <v>71</v>
      </c>
      <c r="C45" s="174">
        <f t="shared" ca="1" si="24"/>
        <v>0</v>
      </c>
      <c r="D45" s="175">
        <f t="shared" ca="1" si="47"/>
        <v>0</v>
      </c>
      <c r="E45" s="176">
        <f ca="1">IFERROR(__xludf.DUMMYFUNCTION("IMPORTRANGE(""https://docs.google.com/spreadsheets/d/1-uDff_7J0KD5mKrp0Vvzr7lt3OU09vwQwhkpOPPYv2Y/edit?usp=sharing"",""งบพรบ!AX45"")"),0)</f>
        <v>0</v>
      </c>
      <c r="F45" s="176">
        <f ca="1">IFERROR(__xludf.DUMMYFUNCTION("IMPORTRANGE(""https://docs.google.com/spreadsheets/d/1-uDff_7J0KD5mKrp0Vvzr7lt3OU09vwQwhkpOPPYv2Y/edit?usp=sharing"",""งบพรบ!AY45"")"),0)</f>
        <v>0</v>
      </c>
      <c r="G45" s="176">
        <f ca="1">IFERROR(__xludf.DUMMYFUNCTION("IMPORTRANGE(""https://docs.google.com/spreadsheets/d/1-uDff_7J0KD5mKrp0Vvzr7lt3OU09vwQwhkpOPPYv2Y/edit?usp=sharing"",""งบพรบ!AZ45"")"),0)</f>
        <v>0</v>
      </c>
      <c r="H45" s="176">
        <f ca="1">IFERROR(__xludf.DUMMYFUNCTION("IMPORTRANGE(""https://docs.google.com/spreadsheets/d/1-uDff_7J0KD5mKrp0Vvzr7lt3OU09vwQwhkpOPPYv2Y/edit?usp=sharing"",""งบพรบ!BB45"")"),0)</f>
        <v>0</v>
      </c>
      <c r="I45" s="176">
        <f ca="1">IFERROR(__xludf.DUMMYFUNCTION("IMPORTRANGE(""https://docs.google.com/spreadsheets/d/1-uDff_7J0KD5mKrp0Vvzr7lt3OU09vwQwhkpOPPYv2Y/edit?usp=sharing"",""งบพรบ!BC45"")"),0)</f>
        <v>0</v>
      </c>
      <c r="J45" s="176">
        <f t="shared" ca="1" si="26"/>
        <v>0</v>
      </c>
      <c r="K45" s="179">
        <f t="shared" ca="1" si="27"/>
        <v>0</v>
      </c>
      <c r="L45" s="176">
        <f ca="1">IFERROR(__xludf.DUMMYFUNCTION("IMPORTRANGE(""https://docs.google.com/spreadsheets/d/1-uDff_7J0KD5mKrp0Vvzr7lt3OU09vwQwhkpOPPYv2Y/edit?usp=sharing"",""งบพรบ!BD45"")"),0)</f>
        <v>0</v>
      </c>
      <c r="M45" s="87">
        <f t="shared" ca="1" si="28"/>
        <v>0</v>
      </c>
      <c r="N45" s="87">
        <f t="shared" ca="1" si="29"/>
        <v>0</v>
      </c>
      <c r="O45" s="86">
        <f ca="1">IFERROR(__xludf.DUMMYFUNCTION("IMPORTRANGE(""https://docs.google.com/spreadsheets/d/1-uDff_7J0KD5mKrp0Vvzr7lt3OU09vwQwhkpOPPYv2Y/edit?usp=sharing"",""งบพรบ!BE45"")"),0)</f>
        <v>0</v>
      </c>
      <c r="P45" s="86">
        <f t="shared" ca="1" si="30"/>
        <v>0</v>
      </c>
      <c r="Q45" s="87">
        <f t="shared" ca="1" si="31"/>
        <v>0</v>
      </c>
      <c r="R45" s="86">
        <f ca="1">IFERROR(__xludf.DUMMYFUNCTION("IMPORTRANGE(""https://docs.google.com/spreadsheets/d/17P34_Ow5kFBfdQD0qspb2UuPX5zpi6WMrQzslghyvrI/edit?usp=sharing"",""สกลนคร!Q94"")"),0)</f>
        <v>0</v>
      </c>
      <c r="S45" s="86">
        <f ca="1">IFERROR(__xludf.DUMMYFUNCTION("IMPORTRANGE(""https://docs.google.com/spreadsheets/d/17P34_Ow5kFBfdQD0qspb2UuPX5zpi6WMrQzslghyvrI/edit?usp=sharing"",""สกลนคร!R94"")"),0)</f>
        <v>0</v>
      </c>
      <c r="T45" s="86">
        <f ca="1">IFERROR(__xludf.DUMMYFUNCTION("IMPORTRANGE(""https://docs.google.com/spreadsheets/d/17P34_Ow5kFBfdQD0qspb2UuPX5zpi6WMrQzslghyvrI/edit?usp=sharing"",""สกลนคร!S94"")"),0)</f>
        <v>0</v>
      </c>
      <c r="U45" s="87">
        <f t="shared" ca="1" si="33"/>
        <v>0</v>
      </c>
      <c r="V45" s="87">
        <f t="shared" ca="1" si="34"/>
        <v>0</v>
      </c>
      <c r="W45" s="93">
        <f ca="1">IFERROR(__xludf.DUMMYFUNCTION("IMPORTRANGE(""https://docs.google.com/spreadsheets/d/17P34_Ow5kFBfdQD0qspb2UuPX5zpi6WMrQzslghyvrI/edit?usp=sharing"",""สกลนคร!I108"")"),0)</f>
        <v>0</v>
      </c>
      <c r="X45" s="93">
        <f ca="1">IFERROR(__xludf.DUMMYFUNCTION("IMPORTRANGE(""https://docs.google.com/spreadsheets/d/17P34_Ow5kFBfdQD0qspb2UuPX5zpi6WMrQzslghyvrI/edit?usp=sharing"",""สกลนคร!J108"")"),0)</f>
        <v>0</v>
      </c>
      <c r="Y45" s="177">
        <f t="shared" ca="1" si="36"/>
        <v>0</v>
      </c>
      <c r="Z45" s="93">
        <f ca="1">IFERROR(__xludf.DUMMYFUNCTION("IMPORTRANGE(""https://docs.google.com/spreadsheets/d/17P34_Ow5kFBfdQD0qspb2UuPX5zpi6WMrQzslghyvrI/edit?usp=sharing"",""สกลนคร!I109"")"),0)</f>
        <v>0</v>
      </c>
      <c r="AA45" s="93">
        <f ca="1">IFERROR(__xludf.DUMMYFUNCTION("IMPORTRANGE(""https://docs.google.com/spreadsheets/d/17P34_Ow5kFBfdQD0qspb2UuPX5zpi6WMrQzslghyvrI/edit?usp=sharing"",""สกลนคร!J109"")"),0)</f>
        <v>0</v>
      </c>
      <c r="AB45" s="177">
        <f t="shared" ca="1" si="38"/>
        <v>0</v>
      </c>
      <c r="AC45" s="93">
        <v>0</v>
      </c>
      <c r="AD45" s="93">
        <v>0</v>
      </c>
      <c r="AE45" s="177">
        <f t="shared" si="40"/>
        <v>0</v>
      </c>
    </row>
    <row r="46" spans="1:31" ht="21" customHeight="1" x14ac:dyDescent="0.3">
      <c r="A46" s="172">
        <v>15</v>
      </c>
      <c r="B46" s="173" t="s">
        <v>72</v>
      </c>
      <c r="C46" s="174">
        <f t="shared" ca="1" si="24"/>
        <v>0</v>
      </c>
      <c r="D46" s="175">
        <f t="shared" ca="1" si="47"/>
        <v>0</v>
      </c>
      <c r="E46" s="176">
        <f ca="1">IFERROR(__xludf.DUMMYFUNCTION("IMPORTRANGE(""https://docs.google.com/spreadsheets/d/1-uDff_7J0KD5mKrp0Vvzr7lt3OU09vwQwhkpOPPYv2Y/edit?usp=sharing"",""งบพรบ!AX46"")"),0)</f>
        <v>0</v>
      </c>
      <c r="F46" s="176">
        <f ca="1">IFERROR(__xludf.DUMMYFUNCTION("IMPORTRANGE(""https://docs.google.com/spreadsheets/d/1-uDff_7J0KD5mKrp0Vvzr7lt3OU09vwQwhkpOPPYv2Y/edit?usp=sharing"",""งบพรบ!AY46"")"),0)</f>
        <v>0</v>
      </c>
      <c r="G46" s="176">
        <f ca="1">IFERROR(__xludf.DUMMYFUNCTION("IMPORTRANGE(""https://docs.google.com/spreadsheets/d/1-uDff_7J0KD5mKrp0Vvzr7lt3OU09vwQwhkpOPPYv2Y/edit?usp=sharing"",""งบพรบ!AZ46"")"),0)</f>
        <v>0</v>
      </c>
      <c r="H46" s="176">
        <f ca="1">IFERROR(__xludf.DUMMYFUNCTION("IMPORTRANGE(""https://docs.google.com/spreadsheets/d/1-uDff_7J0KD5mKrp0Vvzr7lt3OU09vwQwhkpOPPYv2Y/edit?usp=sharing"",""งบพรบ!BB46"")"),0)</f>
        <v>0</v>
      </c>
      <c r="I46" s="176">
        <f ca="1">IFERROR(__xludf.DUMMYFUNCTION("IMPORTRANGE(""https://docs.google.com/spreadsheets/d/1-uDff_7J0KD5mKrp0Vvzr7lt3OU09vwQwhkpOPPYv2Y/edit?usp=sharing"",""งบพรบ!BC46"")"),0)</f>
        <v>0</v>
      </c>
      <c r="J46" s="176">
        <f t="shared" ca="1" si="26"/>
        <v>0</v>
      </c>
      <c r="K46" s="179">
        <f t="shared" ca="1" si="27"/>
        <v>0</v>
      </c>
      <c r="L46" s="176">
        <f ca="1">IFERROR(__xludf.DUMMYFUNCTION("IMPORTRANGE(""https://docs.google.com/spreadsheets/d/1-uDff_7J0KD5mKrp0Vvzr7lt3OU09vwQwhkpOPPYv2Y/edit?usp=sharing"",""งบพรบ!BD46"")"),0)</f>
        <v>0</v>
      </c>
      <c r="M46" s="87">
        <f t="shared" ca="1" si="28"/>
        <v>0</v>
      </c>
      <c r="N46" s="87">
        <f t="shared" ca="1" si="29"/>
        <v>0</v>
      </c>
      <c r="O46" s="86">
        <f ca="1">IFERROR(__xludf.DUMMYFUNCTION("IMPORTRANGE(""https://docs.google.com/spreadsheets/d/1-uDff_7J0KD5mKrp0Vvzr7lt3OU09vwQwhkpOPPYv2Y/edit?usp=sharing"",""งบพรบ!BE46"")"),0)</f>
        <v>0</v>
      </c>
      <c r="P46" s="86">
        <f t="shared" ca="1" si="30"/>
        <v>0</v>
      </c>
      <c r="Q46" s="87">
        <f t="shared" ca="1" si="31"/>
        <v>0</v>
      </c>
      <c r="R46" s="86">
        <f ca="1">IFERROR(__xludf.DUMMYFUNCTION("IMPORTRANGE(""https://docs.google.com/spreadsheets/d/1yswqbM3-AEpThF3ZSUa1AcmHnmRTF1vlJ1CZGcJ8YuU/edit?usp=sharing"",""สุรินทร์!Q94"")"),0)</f>
        <v>0</v>
      </c>
      <c r="S46" s="86">
        <f ca="1">IFERROR(__xludf.DUMMYFUNCTION("IMPORTRANGE(""https://docs.google.com/spreadsheets/d/1yswqbM3-AEpThF3ZSUa1AcmHnmRTF1vlJ1CZGcJ8YuU/edit?usp=sharing"",""สุรินทร์!R94"")"),0)</f>
        <v>0</v>
      </c>
      <c r="T46" s="86">
        <f ca="1">IFERROR(__xludf.DUMMYFUNCTION("IMPORTRANGE(""https://docs.google.com/spreadsheets/d/1yswqbM3-AEpThF3ZSUa1AcmHnmRTF1vlJ1CZGcJ8YuU/edit?usp=sharing"",""สุรินทร์!S94"")"),0)</f>
        <v>0</v>
      </c>
      <c r="U46" s="87">
        <f t="shared" ca="1" si="33"/>
        <v>0</v>
      </c>
      <c r="V46" s="87">
        <f t="shared" ca="1" si="34"/>
        <v>0</v>
      </c>
      <c r="W46" s="93">
        <f ca="1">IFERROR(__xludf.DUMMYFUNCTION("IMPORTRANGE(""https://docs.google.com/spreadsheets/d/1yswqbM3-AEpThF3ZSUa1AcmHnmRTF1vlJ1CZGcJ8YuU/edit?usp=sharing"",""สุรินทร์!I108"")"),0)</f>
        <v>0</v>
      </c>
      <c r="X46" s="93">
        <f ca="1">IFERROR(__xludf.DUMMYFUNCTION("IMPORTRANGE(""https://docs.google.com/spreadsheets/d/1yswqbM3-AEpThF3ZSUa1AcmHnmRTF1vlJ1CZGcJ8YuU/edit?usp=sharing"",""สุรินทร์!J108"")"),0)</f>
        <v>0</v>
      </c>
      <c r="Y46" s="177">
        <f t="shared" ca="1" si="36"/>
        <v>0</v>
      </c>
      <c r="Z46" s="93">
        <f ca="1">IFERROR(__xludf.DUMMYFUNCTION("IMPORTRANGE(""https://docs.google.com/spreadsheets/d/1yswqbM3-AEpThF3ZSUa1AcmHnmRTF1vlJ1CZGcJ8YuU/edit?usp=sharing"",""สุรินทร์!I109"")"),0)</f>
        <v>0</v>
      </c>
      <c r="AA46" s="93">
        <f ca="1">IFERROR(__xludf.DUMMYFUNCTION("IMPORTRANGE(""https://docs.google.com/spreadsheets/d/1yswqbM3-AEpThF3ZSUa1AcmHnmRTF1vlJ1CZGcJ8YuU/edit?usp=sharing"",""สุรินทร์!J109"")"),0)</f>
        <v>0</v>
      </c>
      <c r="AB46" s="177">
        <f t="shared" ca="1" si="38"/>
        <v>0</v>
      </c>
      <c r="AC46" s="93">
        <v>0</v>
      </c>
      <c r="AD46" s="93">
        <v>0</v>
      </c>
      <c r="AE46" s="177">
        <f t="shared" si="40"/>
        <v>0</v>
      </c>
    </row>
    <row r="47" spans="1:31" ht="21" customHeight="1" x14ac:dyDescent="0.3">
      <c r="A47" s="172">
        <v>16</v>
      </c>
      <c r="B47" s="173" t="s">
        <v>73</v>
      </c>
      <c r="C47" s="174">
        <f t="shared" ca="1" si="24"/>
        <v>0</v>
      </c>
      <c r="D47" s="175">
        <f t="shared" ca="1" si="47"/>
        <v>0</v>
      </c>
      <c r="E47" s="176">
        <f ca="1">IFERROR(__xludf.DUMMYFUNCTION("IMPORTRANGE(""https://docs.google.com/spreadsheets/d/1-uDff_7J0KD5mKrp0Vvzr7lt3OU09vwQwhkpOPPYv2Y/edit?usp=sharing"",""งบพรบ!AX47"")"),0)</f>
        <v>0</v>
      </c>
      <c r="F47" s="176">
        <f ca="1">IFERROR(__xludf.DUMMYFUNCTION("IMPORTRANGE(""https://docs.google.com/spreadsheets/d/1-uDff_7J0KD5mKrp0Vvzr7lt3OU09vwQwhkpOPPYv2Y/edit?usp=sharing"",""งบพรบ!AY47"")"),0)</f>
        <v>0</v>
      </c>
      <c r="G47" s="176">
        <f ca="1">IFERROR(__xludf.DUMMYFUNCTION("IMPORTRANGE(""https://docs.google.com/spreadsheets/d/1-uDff_7J0KD5mKrp0Vvzr7lt3OU09vwQwhkpOPPYv2Y/edit?usp=sharing"",""งบพรบ!AZ47"")"),0)</f>
        <v>0</v>
      </c>
      <c r="H47" s="176">
        <f ca="1">IFERROR(__xludf.DUMMYFUNCTION("IMPORTRANGE(""https://docs.google.com/spreadsheets/d/1-uDff_7J0KD5mKrp0Vvzr7lt3OU09vwQwhkpOPPYv2Y/edit?usp=sharing"",""งบพรบ!BB47"")"),0)</f>
        <v>0</v>
      </c>
      <c r="I47" s="176">
        <f ca="1">IFERROR(__xludf.DUMMYFUNCTION("IMPORTRANGE(""https://docs.google.com/spreadsheets/d/1-uDff_7J0KD5mKrp0Vvzr7lt3OU09vwQwhkpOPPYv2Y/edit?usp=sharing"",""งบพรบ!BC47"")"),0)</f>
        <v>0</v>
      </c>
      <c r="J47" s="176">
        <f t="shared" ca="1" si="26"/>
        <v>0</v>
      </c>
      <c r="K47" s="179">
        <f t="shared" ca="1" si="27"/>
        <v>0</v>
      </c>
      <c r="L47" s="176">
        <f ca="1">IFERROR(__xludf.DUMMYFUNCTION("IMPORTRANGE(""https://docs.google.com/spreadsheets/d/1-uDff_7J0KD5mKrp0Vvzr7lt3OU09vwQwhkpOPPYv2Y/edit?usp=sharing"",""งบพรบ!BD47"")"),0)</f>
        <v>0</v>
      </c>
      <c r="M47" s="87">
        <f t="shared" ca="1" si="28"/>
        <v>0</v>
      </c>
      <c r="N47" s="87">
        <f t="shared" ca="1" si="29"/>
        <v>0</v>
      </c>
      <c r="O47" s="86">
        <f ca="1">IFERROR(__xludf.DUMMYFUNCTION("IMPORTRANGE(""https://docs.google.com/spreadsheets/d/1-uDff_7J0KD5mKrp0Vvzr7lt3OU09vwQwhkpOPPYv2Y/edit?usp=sharing"",""งบพรบ!BE47"")"),0)</f>
        <v>0</v>
      </c>
      <c r="P47" s="86">
        <f t="shared" ca="1" si="30"/>
        <v>0</v>
      </c>
      <c r="Q47" s="87">
        <f t="shared" ca="1" si="31"/>
        <v>0</v>
      </c>
      <c r="R47" s="86">
        <f ca="1">IFERROR(__xludf.DUMMYFUNCTION("IMPORTRANGE(""https://docs.google.com/spreadsheets/d/13JHU_EFbsQOUQ0JSQ3dWy1VTRosIWcDq6Nc99z2qzdc/edit?usp=sharing"",""หนองคาย!Q94"")"),0)</f>
        <v>0</v>
      </c>
      <c r="S47" s="86">
        <f ca="1">IFERROR(__xludf.DUMMYFUNCTION("IMPORTRANGE(""https://docs.google.com/spreadsheets/d/13JHU_EFbsQOUQ0JSQ3dWy1VTRosIWcDq6Nc99z2qzdc/edit?usp=sharing"",""หนองคาย!R94"")"),0)</f>
        <v>0</v>
      </c>
      <c r="T47" s="86">
        <f ca="1">IFERROR(__xludf.DUMMYFUNCTION("IMPORTRANGE(""https://docs.google.com/spreadsheets/d/13JHU_EFbsQOUQ0JSQ3dWy1VTRosIWcDq6Nc99z2qzdc/edit?usp=sharing"",""หนองคาย!S94"")"),0)</f>
        <v>0</v>
      </c>
      <c r="U47" s="87">
        <f t="shared" ca="1" si="33"/>
        <v>0</v>
      </c>
      <c r="V47" s="87">
        <f t="shared" ca="1" si="34"/>
        <v>0</v>
      </c>
      <c r="W47" s="93">
        <f ca="1">IFERROR(__xludf.DUMMYFUNCTION("IMPORTRANGE(""https://docs.google.com/spreadsheets/d/13JHU_EFbsQOUQ0JSQ3dWy1VTRosIWcDq6Nc99z2qzdc/edit?usp=sharing"",""หนองคาย!I108"")"),0)</f>
        <v>0</v>
      </c>
      <c r="X47" s="93">
        <f ca="1">IFERROR(__xludf.DUMMYFUNCTION("IMPORTRANGE(""https://docs.google.com/spreadsheets/d/13JHU_EFbsQOUQ0JSQ3dWy1VTRosIWcDq6Nc99z2qzdc/edit?usp=sharing"",""หนองคาย!J108"")"),0)</f>
        <v>0</v>
      </c>
      <c r="Y47" s="177">
        <f t="shared" ca="1" si="36"/>
        <v>0</v>
      </c>
      <c r="Z47" s="93">
        <f ca="1">IFERROR(__xludf.DUMMYFUNCTION("IMPORTRANGE(""https://docs.google.com/spreadsheets/d/13JHU_EFbsQOUQ0JSQ3dWy1VTRosIWcDq6Nc99z2qzdc/edit?usp=sharing"",""หนองคาย!I109"")"),0)</f>
        <v>0</v>
      </c>
      <c r="AA47" s="93">
        <f ca="1">IFERROR(__xludf.DUMMYFUNCTION("IMPORTRANGE(""https://docs.google.com/spreadsheets/d/13JHU_EFbsQOUQ0JSQ3dWy1VTRosIWcDq6Nc99z2qzdc/edit?usp=sharing"",""หนองคาย!J109"")"),0)</f>
        <v>0</v>
      </c>
      <c r="AB47" s="177">
        <f t="shared" ca="1" si="38"/>
        <v>0</v>
      </c>
      <c r="AC47" s="93">
        <v>0</v>
      </c>
      <c r="AD47" s="93">
        <v>0</v>
      </c>
      <c r="AE47" s="177">
        <f t="shared" si="40"/>
        <v>0</v>
      </c>
    </row>
    <row r="48" spans="1:31" ht="21" customHeight="1" x14ac:dyDescent="0.3">
      <c r="A48" s="172">
        <v>17</v>
      </c>
      <c r="B48" s="173" t="s">
        <v>74</v>
      </c>
      <c r="C48" s="174">
        <f t="shared" ca="1" si="24"/>
        <v>0</v>
      </c>
      <c r="D48" s="175">
        <f t="shared" ca="1" si="47"/>
        <v>0</v>
      </c>
      <c r="E48" s="176">
        <f ca="1">IFERROR(__xludf.DUMMYFUNCTION("IMPORTRANGE(""https://docs.google.com/spreadsheets/d/1-uDff_7J0KD5mKrp0Vvzr7lt3OU09vwQwhkpOPPYv2Y/edit?usp=sharing"",""งบพรบ!AX48"")"),0)</f>
        <v>0</v>
      </c>
      <c r="F48" s="176">
        <f ca="1">IFERROR(__xludf.DUMMYFUNCTION("IMPORTRANGE(""https://docs.google.com/spreadsheets/d/1-uDff_7J0KD5mKrp0Vvzr7lt3OU09vwQwhkpOPPYv2Y/edit?usp=sharing"",""งบพรบ!AY48"")"),0)</f>
        <v>0</v>
      </c>
      <c r="G48" s="176">
        <f ca="1">IFERROR(__xludf.DUMMYFUNCTION("IMPORTRANGE(""https://docs.google.com/spreadsheets/d/1-uDff_7J0KD5mKrp0Vvzr7lt3OU09vwQwhkpOPPYv2Y/edit?usp=sharing"",""งบพรบ!AZ48"")"),0)</f>
        <v>0</v>
      </c>
      <c r="H48" s="176">
        <f ca="1">IFERROR(__xludf.DUMMYFUNCTION("IMPORTRANGE(""https://docs.google.com/spreadsheets/d/1-uDff_7J0KD5mKrp0Vvzr7lt3OU09vwQwhkpOPPYv2Y/edit?usp=sharing"",""งบพรบ!BB48"")"),19500)</f>
        <v>19500</v>
      </c>
      <c r="I48" s="176">
        <f ca="1">IFERROR(__xludf.DUMMYFUNCTION("IMPORTRANGE(""https://docs.google.com/spreadsheets/d/1-uDff_7J0KD5mKrp0Vvzr7lt3OU09vwQwhkpOPPYv2Y/edit?usp=sharing"",""งบพรบ!BC48"")"),0)</f>
        <v>0</v>
      </c>
      <c r="J48" s="176">
        <f t="shared" ca="1" si="26"/>
        <v>0</v>
      </c>
      <c r="K48" s="179">
        <f t="shared" ca="1" si="27"/>
        <v>0</v>
      </c>
      <c r="L48" s="176">
        <f ca="1">IFERROR(__xludf.DUMMYFUNCTION("IMPORTRANGE(""https://docs.google.com/spreadsheets/d/1-uDff_7J0KD5mKrp0Vvzr7lt3OU09vwQwhkpOPPYv2Y/edit?usp=sharing"",""งบพรบ!BD48"")"),0)</f>
        <v>0</v>
      </c>
      <c r="M48" s="87">
        <f t="shared" ca="1" si="28"/>
        <v>0</v>
      </c>
      <c r="N48" s="87">
        <f t="shared" ca="1" si="29"/>
        <v>0</v>
      </c>
      <c r="O48" s="86">
        <f ca="1">IFERROR(__xludf.DUMMYFUNCTION("IMPORTRANGE(""https://docs.google.com/spreadsheets/d/1-uDff_7J0KD5mKrp0Vvzr7lt3OU09vwQwhkpOPPYv2Y/edit?usp=sharing"",""งบพรบ!BE48"")"),0)</f>
        <v>0</v>
      </c>
      <c r="P48" s="86">
        <f t="shared" ca="1" si="30"/>
        <v>0</v>
      </c>
      <c r="Q48" s="87">
        <f t="shared" ca="1" si="31"/>
        <v>0</v>
      </c>
      <c r="R48" s="86">
        <f ca="1">IFERROR(__xludf.DUMMYFUNCTION("IMPORTRANGE(""https://docs.google.com/spreadsheets/d/1Hx73zIEgVdDZZaYSTc46Dqv64atFhpr3GelxLbaIN8A/edit?usp=sharing"",""หนองบัวลำภู!Q94"")"),64920)</f>
        <v>64920</v>
      </c>
      <c r="S48" s="86">
        <f ca="1">IFERROR(__xludf.DUMMYFUNCTION("IMPORTRANGE(""https://docs.google.com/spreadsheets/d/1Hx73zIEgVdDZZaYSTc46Dqv64atFhpr3GelxLbaIN8A/edit?usp=sharing"",""หนองบัวลำภู!R94"")"),0)</f>
        <v>0</v>
      </c>
      <c r="T48" s="86">
        <f ca="1">IFERROR(__xludf.DUMMYFUNCTION("IMPORTRANGE(""https://docs.google.com/spreadsheets/d/1Hx73zIEgVdDZZaYSTc46Dqv64atFhpr3GelxLbaIN8A/edit?usp=sharing"",""หนองบัวลำภู!S94"")"),0)</f>
        <v>0</v>
      </c>
      <c r="U48" s="87">
        <f t="shared" ca="1" si="33"/>
        <v>0</v>
      </c>
      <c r="V48" s="87">
        <f t="shared" ca="1" si="34"/>
        <v>0</v>
      </c>
      <c r="W48" s="93">
        <f ca="1">IFERROR(__xludf.DUMMYFUNCTION("IMPORTRANGE(""https://docs.google.com/spreadsheets/d/1Hx73zIEgVdDZZaYSTc46Dqv64atFhpr3GelxLbaIN8A/edit?usp=sharing"",""หนองบัวลำภู!I108"")"),30)</f>
        <v>30</v>
      </c>
      <c r="X48" s="93">
        <f ca="1">IFERROR(__xludf.DUMMYFUNCTION("IMPORTRANGE(""https://docs.google.com/spreadsheets/d/1Hx73zIEgVdDZZaYSTc46Dqv64atFhpr3GelxLbaIN8A/edit?usp=sharing"",""หนองบัวลำภู!J108"")"),0)</f>
        <v>0</v>
      </c>
      <c r="Y48" s="177">
        <f t="shared" ca="1" si="36"/>
        <v>0</v>
      </c>
      <c r="Z48" s="93">
        <f ca="1">IFERROR(__xludf.DUMMYFUNCTION("IMPORTRANGE(""https://docs.google.com/spreadsheets/d/1Hx73zIEgVdDZZaYSTc46Dqv64atFhpr3GelxLbaIN8A/edit?usp=sharing"",""หนองบัวลำภู!I109"")"),10)</f>
        <v>10</v>
      </c>
      <c r="AA48" s="93">
        <f ca="1">IFERROR(__xludf.DUMMYFUNCTION("IMPORTRANGE(""https://docs.google.com/spreadsheets/d/1Hx73zIEgVdDZZaYSTc46Dqv64atFhpr3GelxLbaIN8A/edit?usp=sharing"",""หนองบัวลำภู!J109"")"),0)</f>
        <v>0</v>
      </c>
      <c r="AB48" s="177">
        <f t="shared" ca="1" si="38"/>
        <v>0</v>
      </c>
      <c r="AC48" s="93">
        <v>0</v>
      </c>
      <c r="AD48" s="93">
        <v>0</v>
      </c>
      <c r="AE48" s="177">
        <f t="shared" si="40"/>
        <v>0</v>
      </c>
    </row>
    <row r="49" spans="1:31" ht="21" customHeight="1" x14ac:dyDescent="0.3">
      <c r="A49" s="172">
        <v>18</v>
      </c>
      <c r="B49" s="173" t="s">
        <v>75</v>
      </c>
      <c r="C49" s="174">
        <f t="shared" ca="1" si="24"/>
        <v>130100</v>
      </c>
      <c r="D49" s="175">
        <f t="shared" ca="1" si="47"/>
        <v>130100</v>
      </c>
      <c r="E49" s="176">
        <f ca="1">IFERROR(__xludf.DUMMYFUNCTION("IMPORTRANGE(""https://docs.google.com/spreadsheets/d/1-uDff_7J0KD5mKrp0Vvzr7lt3OU09vwQwhkpOPPYv2Y/edit?usp=sharing"",""งบพรบ!AX49"")"),79100)</f>
        <v>79100</v>
      </c>
      <c r="F49" s="176">
        <f ca="1">IFERROR(__xludf.DUMMYFUNCTION("IMPORTRANGE(""https://docs.google.com/spreadsheets/d/1-uDff_7J0KD5mKrp0Vvzr7lt3OU09vwQwhkpOPPYv2Y/edit?usp=sharing"",""งบพรบ!AY49"")"),51000)</f>
        <v>51000</v>
      </c>
      <c r="G49" s="176">
        <f ca="1">IFERROR(__xludf.DUMMYFUNCTION("IMPORTRANGE(""https://docs.google.com/spreadsheets/d/1-uDff_7J0KD5mKrp0Vvzr7lt3OU09vwQwhkpOPPYv2Y/edit?usp=sharing"",""งบพรบ!AZ49"")"),0)</f>
        <v>0</v>
      </c>
      <c r="H49" s="176">
        <f ca="1">IFERROR(__xludf.DUMMYFUNCTION("IMPORTRANGE(""https://docs.google.com/spreadsheets/d/1-uDff_7J0KD5mKrp0Vvzr7lt3OU09vwQwhkpOPPYv2Y/edit?usp=sharing"",""งบพรบ!BB49"")"),76000)</f>
        <v>76000</v>
      </c>
      <c r="I49" s="176">
        <f ca="1">IFERROR(__xludf.DUMMYFUNCTION("IMPORTRANGE(""https://docs.google.com/spreadsheets/d/1-uDff_7J0KD5mKrp0Vvzr7lt3OU09vwQwhkpOPPYv2Y/edit?usp=sharing"",""งบพรบ!BC49"")"),0)</f>
        <v>0</v>
      </c>
      <c r="J49" s="176">
        <f t="shared" ca="1" si="26"/>
        <v>35440</v>
      </c>
      <c r="K49" s="179">
        <f t="shared" ca="1" si="27"/>
        <v>27.240584166026135</v>
      </c>
      <c r="L49" s="176">
        <f ca="1">IFERROR(__xludf.DUMMYFUNCTION("IMPORTRANGE(""https://docs.google.com/spreadsheets/d/1-uDff_7J0KD5mKrp0Vvzr7lt3OU09vwQwhkpOPPYv2Y/edit?usp=sharing"",""งบพรบ!BD49"")"),35440)</f>
        <v>35440</v>
      </c>
      <c r="M49" s="87">
        <f t="shared" ca="1" si="28"/>
        <v>27.240584166026135</v>
      </c>
      <c r="N49" s="87">
        <f t="shared" ca="1" si="29"/>
        <v>46.631578947368418</v>
      </c>
      <c r="O49" s="86">
        <f ca="1">IFERROR(__xludf.DUMMYFUNCTION("IMPORTRANGE(""https://docs.google.com/spreadsheets/d/1-uDff_7J0KD5mKrp0Vvzr7lt3OU09vwQwhkpOPPYv2Y/edit?usp=sharing"",""งบพรบ!BE49"")"),0)</f>
        <v>0</v>
      </c>
      <c r="P49" s="86">
        <f t="shared" ca="1" si="30"/>
        <v>0</v>
      </c>
      <c r="Q49" s="87">
        <f t="shared" ca="1" si="31"/>
        <v>0</v>
      </c>
      <c r="R49" s="86">
        <f ca="1">IFERROR(__xludf.DUMMYFUNCTION("IMPORTRANGE(""https://docs.google.com/spreadsheets/d/1lFxr3ctmjFN90yc-xV6jrQ9Ty8BKYVBWnAZ15wcNIJc/edit?usp=sharing"",""อำนาจเจริญ!Q94"")"),64920)</f>
        <v>64920</v>
      </c>
      <c r="S49" s="86">
        <f ca="1">IFERROR(__xludf.DUMMYFUNCTION("IMPORTRANGE(""https://docs.google.com/spreadsheets/d/1lFxr3ctmjFN90yc-xV6jrQ9Ty8BKYVBWnAZ15wcNIJc/edit?usp=sharing"",""อำนาจเจริญ!R94"")"),0)</f>
        <v>0</v>
      </c>
      <c r="T49" s="86">
        <f ca="1">IFERROR(__xludf.DUMMYFUNCTION("IMPORTRANGE(""https://docs.google.com/spreadsheets/d/1lFxr3ctmjFN90yc-xV6jrQ9Ty8BKYVBWnAZ15wcNIJc/edit?usp=sharing"",""อำนาจเจริญ!S94"")"),0)</f>
        <v>0</v>
      </c>
      <c r="U49" s="87">
        <f t="shared" ca="1" si="33"/>
        <v>0</v>
      </c>
      <c r="V49" s="87">
        <f t="shared" ca="1" si="34"/>
        <v>0</v>
      </c>
      <c r="W49" s="93">
        <f ca="1">IFERROR(__xludf.DUMMYFUNCTION("IMPORTRANGE(""https://docs.google.com/spreadsheets/d/1lFxr3ctmjFN90yc-xV6jrQ9Ty8BKYVBWnAZ15wcNIJc/edit?usp=sharing"",""อำนาจเจริญ!I108"")"),30)</f>
        <v>30</v>
      </c>
      <c r="X49" s="93">
        <f ca="1">IFERROR(__xludf.DUMMYFUNCTION("IMPORTRANGE(""https://docs.google.com/spreadsheets/d/1lFxr3ctmjFN90yc-xV6jrQ9Ty8BKYVBWnAZ15wcNIJc/edit?usp=sharing"",""อำนาจเจริญ!J108"")"),0)</f>
        <v>0</v>
      </c>
      <c r="Y49" s="177">
        <f t="shared" ca="1" si="36"/>
        <v>0</v>
      </c>
      <c r="Z49" s="93">
        <f ca="1">IFERROR(__xludf.DUMMYFUNCTION("IMPORTRANGE(""https://docs.google.com/spreadsheets/d/1lFxr3ctmjFN90yc-xV6jrQ9Ty8BKYVBWnAZ15wcNIJc/edit?usp=sharing"",""อำนาจเจริญ!I109"")"),10)</f>
        <v>10</v>
      </c>
      <c r="AA49" s="93">
        <f ca="1">IFERROR(__xludf.DUMMYFUNCTION("IMPORTRANGE(""https://docs.google.com/spreadsheets/d/1lFxr3ctmjFN90yc-xV6jrQ9Ty8BKYVBWnAZ15wcNIJc/edit?usp=sharing"",""อำนาจเจริญ!J109"")"),0)</f>
        <v>0</v>
      </c>
      <c r="AB49" s="177">
        <f t="shared" ca="1" si="38"/>
        <v>0</v>
      </c>
      <c r="AC49" s="93">
        <v>0</v>
      </c>
      <c r="AD49" s="93">
        <v>0</v>
      </c>
      <c r="AE49" s="177">
        <f t="shared" si="40"/>
        <v>0</v>
      </c>
    </row>
    <row r="50" spans="1:31" ht="21" customHeight="1" x14ac:dyDescent="0.3">
      <c r="A50" s="172">
        <v>19</v>
      </c>
      <c r="B50" s="173" t="s">
        <v>76</v>
      </c>
      <c r="C50" s="174">
        <f t="shared" ca="1" si="24"/>
        <v>0</v>
      </c>
      <c r="D50" s="175">
        <f t="shared" ca="1" si="47"/>
        <v>0</v>
      </c>
      <c r="E50" s="176">
        <f ca="1">IFERROR(__xludf.DUMMYFUNCTION("IMPORTRANGE(""https://docs.google.com/spreadsheets/d/1-uDff_7J0KD5mKrp0Vvzr7lt3OU09vwQwhkpOPPYv2Y/edit?usp=sharing"",""งบพรบ!AX50"")"),0)</f>
        <v>0</v>
      </c>
      <c r="F50" s="176">
        <f ca="1">IFERROR(__xludf.DUMMYFUNCTION("IMPORTRANGE(""https://docs.google.com/spreadsheets/d/1-uDff_7J0KD5mKrp0Vvzr7lt3OU09vwQwhkpOPPYv2Y/edit?usp=sharing"",""งบพรบ!AY50"")"),0)</f>
        <v>0</v>
      </c>
      <c r="G50" s="176">
        <f ca="1">IFERROR(__xludf.DUMMYFUNCTION("IMPORTRANGE(""https://docs.google.com/spreadsheets/d/1-uDff_7J0KD5mKrp0Vvzr7lt3OU09vwQwhkpOPPYv2Y/edit?usp=sharing"",""งบพรบ!AZ50"")"),0)</f>
        <v>0</v>
      </c>
      <c r="H50" s="176">
        <f ca="1">IFERROR(__xludf.DUMMYFUNCTION("IMPORTRANGE(""https://docs.google.com/spreadsheets/d/1-uDff_7J0KD5mKrp0Vvzr7lt3OU09vwQwhkpOPPYv2Y/edit?usp=sharing"",""งบพรบ!BB50"")"),0)</f>
        <v>0</v>
      </c>
      <c r="I50" s="176">
        <f ca="1">IFERROR(__xludf.DUMMYFUNCTION("IMPORTRANGE(""https://docs.google.com/spreadsheets/d/1-uDff_7J0KD5mKrp0Vvzr7lt3OU09vwQwhkpOPPYv2Y/edit?usp=sharing"",""งบพรบ!BC50"")"),0)</f>
        <v>0</v>
      </c>
      <c r="J50" s="176">
        <f t="shared" ca="1" si="26"/>
        <v>0</v>
      </c>
      <c r="K50" s="179">
        <f t="shared" ca="1" si="27"/>
        <v>0</v>
      </c>
      <c r="L50" s="176">
        <f ca="1">IFERROR(__xludf.DUMMYFUNCTION("IMPORTRANGE(""https://docs.google.com/spreadsheets/d/1-uDff_7J0KD5mKrp0Vvzr7lt3OU09vwQwhkpOPPYv2Y/edit?usp=sharing"",""งบพรบ!BD50"")"),0)</f>
        <v>0</v>
      </c>
      <c r="M50" s="87">
        <f t="shared" ca="1" si="28"/>
        <v>0</v>
      </c>
      <c r="N50" s="87">
        <f t="shared" ca="1" si="29"/>
        <v>0</v>
      </c>
      <c r="O50" s="86">
        <f ca="1">IFERROR(__xludf.DUMMYFUNCTION("IMPORTRANGE(""https://docs.google.com/spreadsheets/d/1-uDff_7J0KD5mKrp0Vvzr7lt3OU09vwQwhkpOPPYv2Y/edit?usp=sharing"",""งบพรบ!BE50"")"),0)</f>
        <v>0</v>
      </c>
      <c r="P50" s="86">
        <f t="shared" ca="1" si="30"/>
        <v>0</v>
      </c>
      <c r="Q50" s="87">
        <f t="shared" ca="1" si="31"/>
        <v>0</v>
      </c>
      <c r="R50" s="86">
        <f ca="1">IFERROR(__xludf.DUMMYFUNCTION("IMPORTRANGE(""https://docs.google.com/spreadsheets/d/1gF7RJpRnL-1oyjyeWxs5SFWEH7y8ahOZsQlyp2A2e-A/edit?usp=sharing"",""อุดรธานี!Q94"")"),0)</f>
        <v>0</v>
      </c>
      <c r="S50" s="86">
        <f ca="1">IFERROR(__xludf.DUMMYFUNCTION("IMPORTRANGE(""https://docs.google.com/spreadsheets/d/1gF7RJpRnL-1oyjyeWxs5SFWEH7y8ahOZsQlyp2A2e-A/edit?usp=sharing"",""อุดรธานี!R94"")"),0)</f>
        <v>0</v>
      </c>
      <c r="T50" s="86">
        <f ca="1">IFERROR(__xludf.DUMMYFUNCTION("IMPORTRANGE(""https://docs.google.com/spreadsheets/d/1gF7RJpRnL-1oyjyeWxs5SFWEH7y8ahOZsQlyp2A2e-A/edit?usp=sharing"",""อุดรธานี!S94"")"),0)</f>
        <v>0</v>
      </c>
      <c r="U50" s="87">
        <f t="shared" ca="1" si="33"/>
        <v>0</v>
      </c>
      <c r="V50" s="87">
        <f t="shared" ca="1" si="34"/>
        <v>0</v>
      </c>
      <c r="W50" s="93">
        <f ca="1">IFERROR(__xludf.DUMMYFUNCTION("IMPORTRANGE(""https://docs.google.com/spreadsheets/d/1gF7RJpRnL-1oyjyeWxs5SFWEH7y8ahOZsQlyp2A2e-A/edit?usp=sharing"",""อุดรธานี!I108"")"),0)</f>
        <v>0</v>
      </c>
      <c r="X50" s="93">
        <f ca="1">IFERROR(__xludf.DUMMYFUNCTION("IMPORTRANGE(""https://docs.google.com/spreadsheets/d/1gF7RJpRnL-1oyjyeWxs5SFWEH7y8ahOZsQlyp2A2e-A/edit?usp=sharing"",""อุดรธานี!J108"")"),0)</f>
        <v>0</v>
      </c>
      <c r="Y50" s="177">
        <f t="shared" ca="1" si="36"/>
        <v>0</v>
      </c>
      <c r="Z50" s="93">
        <f ca="1">IFERROR(__xludf.DUMMYFUNCTION("IMPORTRANGE(""https://docs.google.com/spreadsheets/d/1gF7RJpRnL-1oyjyeWxs5SFWEH7y8ahOZsQlyp2A2e-A/edit?usp=sharing"",""อุดรธานี!I109"")"),0)</f>
        <v>0</v>
      </c>
      <c r="AA50" s="93">
        <f ca="1">IFERROR(__xludf.DUMMYFUNCTION("IMPORTRANGE(""https://docs.google.com/spreadsheets/d/1gF7RJpRnL-1oyjyeWxs5SFWEH7y8ahOZsQlyp2A2e-A/edit?usp=sharing"",""อุดรธานี!J109"")"),0)</f>
        <v>0</v>
      </c>
      <c r="AB50" s="177">
        <f t="shared" ca="1" si="38"/>
        <v>0</v>
      </c>
      <c r="AC50" s="93">
        <v>0</v>
      </c>
      <c r="AD50" s="93">
        <v>0</v>
      </c>
      <c r="AE50" s="177">
        <f t="shared" si="40"/>
        <v>0</v>
      </c>
    </row>
    <row r="51" spans="1:31" ht="21" customHeight="1" x14ac:dyDescent="0.3">
      <c r="A51" s="187">
        <v>20</v>
      </c>
      <c r="B51" s="188" t="s">
        <v>77</v>
      </c>
      <c r="C51" s="189">
        <f t="shared" ca="1" si="24"/>
        <v>0</v>
      </c>
      <c r="D51" s="190">
        <f t="shared" ca="1" si="47"/>
        <v>0</v>
      </c>
      <c r="E51" s="191">
        <f ca="1">IFERROR(__xludf.DUMMYFUNCTION("IMPORTRANGE(""https://docs.google.com/spreadsheets/d/1-uDff_7J0KD5mKrp0Vvzr7lt3OU09vwQwhkpOPPYv2Y/edit?usp=sharing"",""งบพรบ!AX51"")"),0)</f>
        <v>0</v>
      </c>
      <c r="F51" s="191">
        <f ca="1">IFERROR(__xludf.DUMMYFUNCTION("IMPORTRANGE(""https://docs.google.com/spreadsheets/d/1-uDff_7J0KD5mKrp0Vvzr7lt3OU09vwQwhkpOPPYv2Y/edit?usp=sharing"",""งบพรบ!AY51"")"),0)</f>
        <v>0</v>
      </c>
      <c r="G51" s="191">
        <f ca="1">IFERROR(__xludf.DUMMYFUNCTION("IMPORTRANGE(""https://docs.google.com/spreadsheets/d/1-uDff_7J0KD5mKrp0Vvzr7lt3OU09vwQwhkpOPPYv2Y/edit?usp=sharing"",""งบพรบ!AZ51"")"),0)</f>
        <v>0</v>
      </c>
      <c r="H51" s="191">
        <f ca="1">IFERROR(__xludf.DUMMYFUNCTION("IMPORTRANGE(""https://docs.google.com/spreadsheets/d/1-uDff_7J0KD5mKrp0Vvzr7lt3OU09vwQwhkpOPPYv2Y/edit?usp=sharing"",""งบพรบ!BB51"")"),0)</f>
        <v>0</v>
      </c>
      <c r="I51" s="191">
        <f ca="1">IFERROR(__xludf.DUMMYFUNCTION("IMPORTRANGE(""https://docs.google.com/spreadsheets/d/1-uDff_7J0KD5mKrp0Vvzr7lt3OU09vwQwhkpOPPYv2Y/edit?usp=sharing"",""งบพรบ!BC51"")"),0)</f>
        <v>0</v>
      </c>
      <c r="J51" s="191">
        <f t="shared" ca="1" si="26"/>
        <v>0</v>
      </c>
      <c r="K51" s="192">
        <f t="shared" ca="1" si="27"/>
        <v>0</v>
      </c>
      <c r="L51" s="191">
        <f ca="1">IFERROR(__xludf.DUMMYFUNCTION("IMPORTRANGE(""https://docs.google.com/spreadsheets/d/1-uDff_7J0KD5mKrp0Vvzr7lt3OU09vwQwhkpOPPYv2Y/edit?usp=sharing"",""งบพรบ!BD51"")"),0)</f>
        <v>0</v>
      </c>
      <c r="M51" s="118">
        <f t="shared" ca="1" si="28"/>
        <v>0</v>
      </c>
      <c r="N51" s="118">
        <f t="shared" ca="1" si="29"/>
        <v>0</v>
      </c>
      <c r="O51" s="117">
        <f ca="1">IFERROR(__xludf.DUMMYFUNCTION("IMPORTRANGE(""https://docs.google.com/spreadsheets/d/1-uDff_7J0KD5mKrp0Vvzr7lt3OU09vwQwhkpOPPYv2Y/edit?usp=sharing"",""งบพรบ!BE51"")"),0)</f>
        <v>0</v>
      </c>
      <c r="P51" s="117">
        <f t="shared" ca="1" si="30"/>
        <v>0</v>
      </c>
      <c r="Q51" s="118">
        <f t="shared" ca="1" si="31"/>
        <v>0</v>
      </c>
      <c r="R51" s="117">
        <f ca="1">IFERROR(__xludf.DUMMYFUNCTION("IMPORTRANGE(""https://docs.google.com/spreadsheets/d/1kfLP0j3INXRa8bTDpcEmoWewMBV61jlFlfzczfjWIgc/edit?usp=sharing"",""อุบลราชธานี!Q94"")"),0)</f>
        <v>0</v>
      </c>
      <c r="S51" s="117">
        <f ca="1">IFERROR(__xludf.DUMMYFUNCTION("IMPORTRANGE(""https://docs.google.com/spreadsheets/d/1kfLP0j3INXRa8bTDpcEmoWewMBV61jlFlfzczfjWIgc/edit?usp=sharing"",""อุบลราชธานี!R94"")"),0)</f>
        <v>0</v>
      </c>
      <c r="T51" s="117">
        <f ca="1">IFERROR(__xludf.DUMMYFUNCTION("IMPORTRANGE(""https://docs.google.com/spreadsheets/d/1kfLP0j3INXRa8bTDpcEmoWewMBV61jlFlfzczfjWIgc/edit?usp=sharing"",""อุบลราชธานี!S94"")"),0)</f>
        <v>0</v>
      </c>
      <c r="U51" s="118">
        <f t="shared" ca="1" si="33"/>
        <v>0</v>
      </c>
      <c r="V51" s="118">
        <f t="shared" ca="1" si="34"/>
        <v>0</v>
      </c>
      <c r="W51" s="104">
        <f ca="1">IFERROR(__xludf.DUMMYFUNCTION("IMPORTRANGE(""https://docs.google.com/spreadsheets/d/1kfLP0j3INXRa8bTDpcEmoWewMBV61jlFlfzczfjWIgc/edit?usp=sharing"",""อุบลราชธานี!I108"")"),0)</f>
        <v>0</v>
      </c>
      <c r="X51" s="104">
        <f ca="1">IFERROR(__xludf.DUMMYFUNCTION("IMPORTRANGE(""https://docs.google.com/spreadsheets/d/1kfLP0j3INXRa8bTDpcEmoWewMBV61jlFlfzczfjWIgc/edit?usp=sharing"",""อุบลราชธานี!J108"")"),0)</f>
        <v>0</v>
      </c>
      <c r="Y51" s="193">
        <f t="shared" ca="1" si="36"/>
        <v>0</v>
      </c>
      <c r="Z51" s="104">
        <f ca="1">IFERROR(__xludf.DUMMYFUNCTION("IMPORTRANGE(""https://docs.google.com/spreadsheets/d/1kfLP0j3INXRa8bTDpcEmoWewMBV61jlFlfzczfjWIgc/edit?usp=sharing"",""อุบลราชธานี!I109"")"),0)</f>
        <v>0</v>
      </c>
      <c r="AA51" s="104">
        <f ca="1">IFERROR(__xludf.DUMMYFUNCTION("IMPORTRANGE(""https://docs.google.com/spreadsheets/d/1kfLP0j3INXRa8bTDpcEmoWewMBV61jlFlfzczfjWIgc/edit?usp=sharing"",""อุบลราชธานี!J109"")"),0)</f>
        <v>0</v>
      </c>
      <c r="AB51" s="193">
        <f t="shared" ca="1" si="38"/>
        <v>0</v>
      </c>
      <c r="AC51" s="104">
        <v>0</v>
      </c>
      <c r="AD51" s="104">
        <v>0</v>
      </c>
      <c r="AE51" s="193">
        <f t="shared" si="40"/>
        <v>0</v>
      </c>
    </row>
    <row r="52" spans="1:31" ht="21" customHeight="1" x14ac:dyDescent="0.3">
      <c r="A52" s="637" t="s">
        <v>78</v>
      </c>
      <c r="B52" s="583"/>
      <c r="C52" s="194">
        <f t="shared" ca="1" si="24"/>
        <v>205600</v>
      </c>
      <c r="D52" s="194">
        <f t="shared" ref="D52:I52" ca="1" si="48">SUM(D53:D73)</f>
        <v>205600</v>
      </c>
      <c r="E52" s="194">
        <f t="shared" ca="1" si="48"/>
        <v>76200</v>
      </c>
      <c r="F52" s="194">
        <f t="shared" ca="1" si="48"/>
        <v>129400</v>
      </c>
      <c r="G52" s="194">
        <f t="shared" ca="1" si="48"/>
        <v>0</v>
      </c>
      <c r="H52" s="194">
        <f t="shared" ca="1" si="48"/>
        <v>144420</v>
      </c>
      <c r="I52" s="194">
        <f t="shared" ca="1" si="48"/>
        <v>0</v>
      </c>
      <c r="J52" s="194">
        <f t="shared" ca="1" si="26"/>
        <v>128065.5</v>
      </c>
      <c r="K52" s="195">
        <f t="shared" ca="1" si="27"/>
        <v>62.288667315175097</v>
      </c>
      <c r="L52" s="194">
        <f ca="1">SUM(L53:L73)</f>
        <v>128065.5</v>
      </c>
      <c r="M52" s="120">
        <f t="shared" ca="1" si="28"/>
        <v>62.288667315175097</v>
      </c>
      <c r="N52" s="120">
        <f t="shared" ca="1" si="29"/>
        <v>88.675737432488575</v>
      </c>
      <c r="O52" s="119">
        <f ca="1">SUM(O53:O73)</f>
        <v>0</v>
      </c>
      <c r="P52" s="119">
        <f t="shared" ca="1" si="30"/>
        <v>0</v>
      </c>
      <c r="Q52" s="120">
        <f t="shared" ca="1" si="31"/>
        <v>0</v>
      </c>
      <c r="R52" s="119">
        <f t="shared" ref="R52:T52" ca="1" si="49">SUM(R53:R73)</f>
        <v>985954</v>
      </c>
      <c r="S52" s="119">
        <f t="shared" ca="1" si="49"/>
        <v>0</v>
      </c>
      <c r="T52" s="119">
        <f t="shared" ca="1" si="49"/>
        <v>0</v>
      </c>
      <c r="U52" s="120">
        <f t="shared" ca="1" si="33"/>
        <v>0</v>
      </c>
      <c r="V52" s="120">
        <f t="shared" ca="1" si="34"/>
        <v>0</v>
      </c>
      <c r="W52" s="71">
        <f t="shared" ref="W52:X52" ca="1" si="50">SUM(W53:W73)</f>
        <v>381</v>
      </c>
      <c r="X52" s="71">
        <f t="shared" ca="1" si="50"/>
        <v>0</v>
      </c>
      <c r="Y52" s="194">
        <f t="shared" ca="1" si="36"/>
        <v>0</v>
      </c>
      <c r="Z52" s="71">
        <f t="shared" ref="Z52:AA52" ca="1" si="51">SUM(Z53:Z73)</f>
        <v>127</v>
      </c>
      <c r="AA52" s="71">
        <f t="shared" ca="1" si="51"/>
        <v>0</v>
      </c>
      <c r="AB52" s="194">
        <f t="shared" ca="1" si="38"/>
        <v>0</v>
      </c>
      <c r="AC52" s="71">
        <f t="shared" ref="AC52:AD52" si="52">SUM(AC53:AC73)</f>
        <v>0</v>
      </c>
      <c r="AD52" s="71">
        <f t="shared" si="52"/>
        <v>0</v>
      </c>
      <c r="AE52" s="194">
        <f t="shared" si="40"/>
        <v>0</v>
      </c>
    </row>
    <row r="53" spans="1:31" ht="21" customHeight="1" x14ac:dyDescent="0.3">
      <c r="A53" s="172">
        <v>1</v>
      </c>
      <c r="B53" s="173" t="s">
        <v>79</v>
      </c>
      <c r="C53" s="174">
        <f t="shared" ca="1" si="24"/>
        <v>0</v>
      </c>
      <c r="D53" s="175">
        <f t="shared" ref="D53:D73" ca="1" si="53">+E53+F53</f>
        <v>0</v>
      </c>
      <c r="E53" s="176">
        <f ca="1">IFERROR(__xludf.DUMMYFUNCTION("IMPORTRANGE(""https://docs.google.com/spreadsheets/d/1-uDff_7J0KD5mKrp0Vvzr7lt3OU09vwQwhkpOPPYv2Y/edit?usp=sharing"",""งบพรบ!AX53"")"),0)</f>
        <v>0</v>
      </c>
      <c r="F53" s="176">
        <f ca="1">IFERROR(__xludf.DUMMYFUNCTION("IMPORTRANGE(""https://docs.google.com/spreadsheets/d/1-uDff_7J0KD5mKrp0Vvzr7lt3OU09vwQwhkpOPPYv2Y/edit?usp=sharing"",""งบพรบ!AY53"")"),0)</f>
        <v>0</v>
      </c>
      <c r="G53" s="177">
        <f ca="1">IFERROR(__xludf.DUMMYFUNCTION("IMPORTRANGE(""https://docs.google.com/spreadsheets/d/1-uDff_7J0KD5mKrp0Vvzr7lt3OU09vwQwhkpOPPYv2Y/edit?usp=sharing"",""งบพรบ!AZ53"")"),0)</f>
        <v>0</v>
      </c>
      <c r="H53" s="177">
        <f ca="1">IFERROR(__xludf.DUMMYFUNCTION("IMPORTRANGE(""https://docs.google.com/spreadsheets/d/1-uDff_7J0KD5mKrp0Vvzr7lt3OU09vwQwhkpOPPYv2Y/edit?usp=sharing"",""งบพรบ!BB53"")"),0)</f>
        <v>0</v>
      </c>
      <c r="I53" s="177">
        <f ca="1">IFERROR(__xludf.DUMMYFUNCTION("IMPORTRANGE(""https://docs.google.com/spreadsheets/d/1-uDff_7J0KD5mKrp0Vvzr7lt3OU09vwQwhkpOPPYv2Y/edit?usp=sharing"",""งบพรบ!BC53"")"),0)</f>
        <v>0</v>
      </c>
      <c r="J53" s="177">
        <f t="shared" ca="1" si="26"/>
        <v>0</v>
      </c>
      <c r="K53" s="178">
        <f t="shared" ca="1" si="27"/>
        <v>0</v>
      </c>
      <c r="L53" s="177">
        <f ca="1">IFERROR(__xludf.DUMMYFUNCTION("IMPORTRANGE(""https://docs.google.com/spreadsheets/d/1-uDff_7J0KD5mKrp0Vvzr7lt3OU09vwQwhkpOPPYv2Y/edit?usp=sharing"",""งบพรบ!BD53"")"),0)</f>
        <v>0</v>
      </c>
      <c r="M53" s="87">
        <f t="shared" ca="1" si="28"/>
        <v>0</v>
      </c>
      <c r="N53" s="87">
        <f t="shared" ca="1" si="29"/>
        <v>0</v>
      </c>
      <c r="O53" s="86">
        <f ca="1">IFERROR(__xludf.DUMMYFUNCTION("IMPORTRANGE(""https://docs.google.com/spreadsheets/d/1-uDff_7J0KD5mKrp0Vvzr7lt3OU09vwQwhkpOPPYv2Y/edit?usp=sharing"",""งบพรบ!BE53"")"),0)</f>
        <v>0</v>
      </c>
      <c r="P53" s="86">
        <f t="shared" ca="1" si="30"/>
        <v>0</v>
      </c>
      <c r="Q53" s="87">
        <f t="shared" ca="1" si="31"/>
        <v>0</v>
      </c>
      <c r="R53" s="86">
        <f ca="1">IFERROR(__xludf.DUMMYFUNCTION("IMPORTRANGE(""https://docs.google.com/spreadsheets/d/13wPX838HrBrQMCywv1BsuMkt4PEKTChp52zj44s2izQ/edit?usp=sharing"",""กาญจนบุรี!Q94"")"),84420)</f>
        <v>84420</v>
      </c>
      <c r="S53" s="86">
        <f ca="1">IFERROR(__xludf.DUMMYFUNCTION("IMPORTRANGE(""https://docs.google.com/spreadsheets/d/13wPX838HrBrQMCywv1BsuMkt4PEKTChp52zj44s2izQ/edit?usp=sharing"",""กาญจนบุรี!R94"")"),0)</f>
        <v>0</v>
      </c>
      <c r="T53" s="86">
        <f ca="1">IFERROR(__xludf.DUMMYFUNCTION("IMPORTRANGE(""https://docs.google.com/spreadsheets/d/13wPX838HrBrQMCywv1BsuMkt4PEKTChp52zj44s2izQ/edit?usp=sharing"",""กาญจนบุรี!S94"")"),0)</f>
        <v>0</v>
      </c>
      <c r="U53" s="87">
        <f t="shared" ca="1" si="33"/>
        <v>0</v>
      </c>
      <c r="V53" s="87">
        <f t="shared" ca="1" si="34"/>
        <v>0</v>
      </c>
      <c r="W53" s="81">
        <f ca="1">IFERROR(__xludf.DUMMYFUNCTION("IMPORTRANGE(""https://docs.google.com/spreadsheets/d/13wPX838HrBrQMCywv1BsuMkt4PEKTChp52zj44s2izQ/edit?usp=sharing"",""กาญจนบุรี!I108"")"),30)</f>
        <v>30</v>
      </c>
      <c r="X53" s="81">
        <f ca="1">IFERROR(__xludf.DUMMYFUNCTION("IMPORTRANGE(""https://docs.google.com/spreadsheets/d/13wPX838HrBrQMCywv1BsuMkt4PEKTChp52zj44s2izQ/edit?usp=sharing"",""กาญจนบุรี!J108"")"),0)</f>
        <v>0</v>
      </c>
      <c r="Y53" s="177">
        <f t="shared" ca="1" si="36"/>
        <v>0</v>
      </c>
      <c r="Z53" s="81">
        <f ca="1">IFERROR(__xludf.DUMMYFUNCTION("IMPORTRANGE(""https://docs.google.com/spreadsheets/d/13wPX838HrBrQMCywv1BsuMkt4PEKTChp52zj44s2izQ/edit?usp=sharing"",""กาญจนบุรี!I109"")"),10)</f>
        <v>10</v>
      </c>
      <c r="AA53" s="81">
        <f ca="1">IFERROR(__xludf.DUMMYFUNCTION("IMPORTRANGE(""https://docs.google.com/spreadsheets/d/13wPX838HrBrQMCywv1BsuMkt4PEKTChp52zj44s2izQ/edit?usp=sharing"",""กาญจนบุรี!J109"")"),0)</f>
        <v>0</v>
      </c>
      <c r="AB53" s="177">
        <f t="shared" ca="1" si="38"/>
        <v>0</v>
      </c>
      <c r="AC53" s="81">
        <v>0</v>
      </c>
      <c r="AD53" s="81">
        <v>0</v>
      </c>
      <c r="AE53" s="177">
        <f t="shared" si="40"/>
        <v>0</v>
      </c>
    </row>
    <row r="54" spans="1:31" ht="21" customHeight="1" x14ac:dyDescent="0.3">
      <c r="A54" s="172">
        <v>2</v>
      </c>
      <c r="B54" s="173" t="s">
        <v>80</v>
      </c>
      <c r="C54" s="174">
        <f t="shared" ca="1" si="24"/>
        <v>0</v>
      </c>
      <c r="D54" s="175">
        <f t="shared" ca="1" si="53"/>
        <v>0</v>
      </c>
      <c r="E54" s="176">
        <f ca="1">IFERROR(__xludf.DUMMYFUNCTION("IMPORTRANGE(""https://docs.google.com/spreadsheets/d/1-uDff_7J0KD5mKrp0Vvzr7lt3OU09vwQwhkpOPPYv2Y/edit?usp=sharing"",""งบพรบ!AX54"")"),0)</f>
        <v>0</v>
      </c>
      <c r="F54" s="176">
        <f ca="1">IFERROR(__xludf.DUMMYFUNCTION("IMPORTRANGE(""https://docs.google.com/spreadsheets/d/1-uDff_7J0KD5mKrp0Vvzr7lt3OU09vwQwhkpOPPYv2Y/edit?usp=sharing"",""งบพรบ!AY54"")"),0)</f>
        <v>0</v>
      </c>
      <c r="G54" s="176">
        <f ca="1">IFERROR(__xludf.DUMMYFUNCTION("IMPORTRANGE(""https://docs.google.com/spreadsheets/d/1-uDff_7J0KD5mKrp0Vvzr7lt3OU09vwQwhkpOPPYv2Y/edit?usp=sharing"",""งบพรบ!AZ54"")"),0)</f>
        <v>0</v>
      </c>
      <c r="H54" s="176">
        <f ca="1">IFERROR(__xludf.DUMMYFUNCTION("IMPORTRANGE(""https://docs.google.com/spreadsheets/d/1-uDff_7J0KD5mKrp0Vvzr7lt3OU09vwQwhkpOPPYv2Y/edit?usp=sharing"",""งบพรบ!BB54"")"),0)</f>
        <v>0</v>
      </c>
      <c r="I54" s="176">
        <f ca="1">IFERROR(__xludf.DUMMYFUNCTION("IMPORTRANGE(""https://docs.google.com/spreadsheets/d/1-uDff_7J0KD5mKrp0Vvzr7lt3OU09vwQwhkpOPPYv2Y/edit?usp=sharing"",""งบพรบ!BC54"")"),0)</f>
        <v>0</v>
      </c>
      <c r="J54" s="176">
        <f t="shared" ca="1" si="26"/>
        <v>0</v>
      </c>
      <c r="K54" s="179">
        <f t="shared" ca="1" si="27"/>
        <v>0</v>
      </c>
      <c r="L54" s="176">
        <f ca="1">IFERROR(__xludf.DUMMYFUNCTION("IMPORTRANGE(""https://docs.google.com/spreadsheets/d/1-uDff_7J0KD5mKrp0Vvzr7lt3OU09vwQwhkpOPPYv2Y/edit?usp=sharing"",""งบพรบ!BD54"")"),0)</f>
        <v>0</v>
      </c>
      <c r="M54" s="87">
        <f t="shared" ca="1" si="28"/>
        <v>0</v>
      </c>
      <c r="N54" s="87">
        <f t="shared" ca="1" si="29"/>
        <v>0</v>
      </c>
      <c r="O54" s="86">
        <f ca="1">IFERROR(__xludf.DUMMYFUNCTION("IMPORTRANGE(""https://docs.google.com/spreadsheets/d/1-uDff_7J0KD5mKrp0Vvzr7lt3OU09vwQwhkpOPPYv2Y/edit?usp=sharing"",""งบพรบ!BE54"")"),0)</f>
        <v>0</v>
      </c>
      <c r="P54" s="86">
        <f t="shared" ca="1" si="30"/>
        <v>0</v>
      </c>
      <c r="Q54" s="87">
        <f t="shared" ca="1" si="31"/>
        <v>0</v>
      </c>
      <c r="R54" s="86">
        <f ca="1">IFERROR(__xludf.DUMMYFUNCTION("IMPORTRANGE(""https://docs.google.com/spreadsheets/d/1ddFKvqj1W1NEiWytbGlB1zMx_ykJDVtmfEQ-6-lIUBA/edit?usp=sharing"",""จันทบุรี!Q94"")"),101304)</f>
        <v>101304</v>
      </c>
      <c r="S54" s="86">
        <f ca="1">IFERROR(__xludf.DUMMYFUNCTION("IMPORTRANGE(""https://docs.google.com/spreadsheets/d/1ddFKvqj1W1NEiWytbGlB1zMx_ykJDVtmfEQ-6-lIUBA/edit?usp=sharing"",""จันทบุรี!R94"")"),0)</f>
        <v>0</v>
      </c>
      <c r="T54" s="86">
        <f ca="1">IFERROR(__xludf.DUMMYFUNCTION("IMPORTRANGE(""https://docs.google.com/spreadsheets/d/1ddFKvqj1W1NEiWytbGlB1zMx_ykJDVtmfEQ-6-lIUBA/edit?usp=sharing"",""จันทบุรี!S94"")"),0)</f>
        <v>0</v>
      </c>
      <c r="U54" s="87">
        <f t="shared" ca="1" si="33"/>
        <v>0</v>
      </c>
      <c r="V54" s="87">
        <f t="shared" ca="1" si="34"/>
        <v>0</v>
      </c>
      <c r="W54" s="93">
        <f ca="1">IFERROR(__xludf.DUMMYFUNCTION("IMPORTRANGE(""https://docs.google.com/spreadsheets/d/1ddFKvqj1W1NEiWytbGlB1zMx_ykJDVtmfEQ-6-lIUBA/edit?usp=sharing"",""จันทบุรี!I108"")"),36)</f>
        <v>36</v>
      </c>
      <c r="X54" s="93">
        <f ca="1">IFERROR(__xludf.DUMMYFUNCTION("IMPORTRANGE(""https://docs.google.com/spreadsheets/d/1ddFKvqj1W1NEiWytbGlB1zMx_ykJDVtmfEQ-6-lIUBA/edit?usp=sharing"",""จันทบุรี!J108"")"),0)</f>
        <v>0</v>
      </c>
      <c r="Y54" s="177">
        <f t="shared" ca="1" si="36"/>
        <v>0</v>
      </c>
      <c r="Z54" s="93">
        <f ca="1">IFERROR(__xludf.DUMMYFUNCTION("IMPORTRANGE(""https://docs.google.com/spreadsheets/d/1ddFKvqj1W1NEiWytbGlB1zMx_ykJDVtmfEQ-6-lIUBA/edit?usp=sharing"",""จันทบุรี!I109"")"),12)</f>
        <v>12</v>
      </c>
      <c r="AA54" s="93">
        <f ca="1">IFERROR(__xludf.DUMMYFUNCTION("IMPORTRANGE(""https://docs.google.com/spreadsheets/d/1ddFKvqj1W1NEiWytbGlB1zMx_ykJDVtmfEQ-6-lIUBA/edit?usp=sharing"",""จันทบุรี!J109"")"),0)</f>
        <v>0</v>
      </c>
      <c r="AB54" s="177">
        <f t="shared" ca="1" si="38"/>
        <v>0</v>
      </c>
      <c r="AC54" s="93">
        <v>0</v>
      </c>
      <c r="AD54" s="93">
        <v>0</v>
      </c>
      <c r="AE54" s="177">
        <f t="shared" si="40"/>
        <v>0</v>
      </c>
    </row>
    <row r="55" spans="1:31" ht="21" customHeight="1" x14ac:dyDescent="0.3">
      <c r="A55" s="172">
        <v>3</v>
      </c>
      <c r="B55" s="173" t="s">
        <v>81</v>
      </c>
      <c r="C55" s="174">
        <f t="shared" ca="1" si="24"/>
        <v>0</v>
      </c>
      <c r="D55" s="175">
        <f t="shared" ca="1" si="53"/>
        <v>0</v>
      </c>
      <c r="E55" s="176">
        <f ca="1">IFERROR(__xludf.DUMMYFUNCTION("IMPORTRANGE(""https://docs.google.com/spreadsheets/d/1-uDff_7J0KD5mKrp0Vvzr7lt3OU09vwQwhkpOPPYv2Y/edit?usp=sharing"",""งบพรบ!AX55"")"),0)</f>
        <v>0</v>
      </c>
      <c r="F55" s="176">
        <f ca="1">IFERROR(__xludf.DUMMYFUNCTION("IMPORTRANGE(""https://docs.google.com/spreadsheets/d/1-uDff_7J0KD5mKrp0Vvzr7lt3OU09vwQwhkpOPPYv2Y/edit?usp=sharing"",""งบพรบ!AY55"")"),0)</f>
        <v>0</v>
      </c>
      <c r="G55" s="176">
        <f ca="1">IFERROR(__xludf.DUMMYFUNCTION("IMPORTRANGE(""https://docs.google.com/spreadsheets/d/1-uDff_7J0KD5mKrp0Vvzr7lt3OU09vwQwhkpOPPYv2Y/edit?usp=sharing"",""งบพรบ!AZ55"")"),0)</f>
        <v>0</v>
      </c>
      <c r="H55" s="176">
        <f ca="1">IFERROR(__xludf.DUMMYFUNCTION("IMPORTRANGE(""https://docs.google.com/spreadsheets/d/1-uDff_7J0KD5mKrp0Vvzr7lt3OU09vwQwhkpOPPYv2Y/edit?usp=sharing"",""งบพรบ!BB55"")"),0)</f>
        <v>0</v>
      </c>
      <c r="I55" s="176">
        <f ca="1">IFERROR(__xludf.DUMMYFUNCTION("IMPORTRANGE(""https://docs.google.com/spreadsheets/d/1-uDff_7J0KD5mKrp0Vvzr7lt3OU09vwQwhkpOPPYv2Y/edit?usp=sharing"",""งบพรบ!BC55"")"),0)</f>
        <v>0</v>
      </c>
      <c r="J55" s="176">
        <f t="shared" ca="1" si="26"/>
        <v>0</v>
      </c>
      <c r="K55" s="179">
        <f t="shared" ca="1" si="27"/>
        <v>0</v>
      </c>
      <c r="L55" s="176">
        <f ca="1">IFERROR(__xludf.DUMMYFUNCTION("IMPORTRANGE(""https://docs.google.com/spreadsheets/d/1-uDff_7J0KD5mKrp0Vvzr7lt3OU09vwQwhkpOPPYv2Y/edit?usp=sharing"",""งบพรบ!BD55"")"),0)</f>
        <v>0</v>
      </c>
      <c r="M55" s="87">
        <f t="shared" ca="1" si="28"/>
        <v>0</v>
      </c>
      <c r="N55" s="87">
        <f t="shared" ca="1" si="29"/>
        <v>0</v>
      </c>
      <c r="O55" s="86">
        <f ca="1">IFERROR(__xludf.DUMMYFUNCTION("IMPORTRANGE(""https://docs.google.com/spreadsheets/d/1-uDff_7J0KD5mKrp0Vvzr7lt3OU09vwQwhkpOPPYv2Y/edit?usp=sharing"",""งบพรบ!BE55"")"),0)</f>
        <v>0</v>
      </c>
      <c r="P55" s="86">
        <f t="shared" ca="1" si="30"/>
        <v>0</v>
      </c>
      <c r="Q55" s="87">
        <f t="shared" ca="1" si="31"/>
        <v>0</v>
      </c>
      <c r="R55" s="86">
        <f ca="1">IFERROR(__xludf.DUMMYFUNCTION("IMPORTRANGE(""https://docs.google.com/spreadsheets/d/1T1PQvRODqOBZk8BRht_U031fIS1beLA0Ub2CEytj2q0/edit?usp=sharing"",""ฉะเชิงเทรา!Q94"")"),0)</f>
        <v>0</v>
      </c>
      <c r="S55" s="86">
        <f ca="1">IFERROR(__xludf.DUMMYFUNCTION("IMPORTRANGE(""https://docs.google.com/spreadsheets/d/1T1PQvRODqOBZk8BRht_U031fIS1beLA0Ub2CEytj2q0/edit?usp=sharing"",""ฉะเชิงเทรา!R94"")"),0)</f>
        <v>0</v>
      </c>
      <c r="T55" s="86">
        <f ca="1">IFERROR(__xludf.DUMMYFUNCTION("IMPORTRANGE(""https://docs.google.com/spreadsheets/d/1T1PQvRODqOBZk8BRht_U031fIS1beLA0Ub2CEytj2q0/edit?usp=sharing"",""ฉะเชิงเทรา!S94"")"),0)</f>
        <v>0</v>
      </c>
      <c r="U55" s="87">
        <f t="shared" ca="1" si="33"/>
        <v>0</v>
      </c>
      <c r="V55" s="87">
        <f t="shared" ca="1" si="34"/>
        <v>0</v>
      </c>
      <c r="W55" s="93">
        <f ca="1">IFERROR(__xludf.DUMMYFUNCTION("IMPORTRANGE(""https://docs.google.com/spreadsheets/d/1T1PQvRODqOBZk8BRht_U031fIS1beLA0Ub2CEytj2q0/edit?usp=sharing"",""ฉะเชิงเทรา!I108"")"),0)</f>
        <v>0</v>
      </c>
      <c r="X55" s="93">
        <f ca="1">IFERROR(__xludf.DUMMYFUNCTION("IMPORTRANGE(""https://docs.google.com/spreadsheets/d/1T1PQvRODqOBZk8BRht_U031fIS1beLA0Ub2CEytj2q0/edit?usp=sharing"",""ฉะเชิงเทรา!J108"")"),0)</f>
        <v>0</v>
      </c>
      <c r="Y55" s="177">
        <f t="shared" ca="1" si="36"/>
        <v>0</v>
      </c>
      <c r="Z55" s="93">
        <f ca="1">IFERROR(__xludf.DUMMYFUNCTION("IMPORTRANGE(""https://docs.google.com/spreadsheets/d/1T1PQvRODqOBZk8BRht_U031fIS1beLA0Ub2CEytj2q0/edit?usp=sharing"",""ฉะเชิงเทรา!I109"")"),0)</f>
        <v>0</v>
      </c>
      <c r="AA55" s="93">
        <f ca="1">IFERROR(__xludf.DUMMYFUNCTION("IMPORTRANGE(""https://docs.google.com/spreadsheets/d/1T1PQvRODqOBZk8BRht_U031fIS1beLA0Ub2CEytj2q0/edit?usp=sharing"",""ฉะเชิงเทรา!J109"")"),0)</f>
        <v>0</v>
      </c>
      <c r="AB55" s="177">
        <f t="shared" ca="1" si="38"/>
        <v>0</v>
      </c>
      <c r="AC55" s="93">
        <v>0</v>
      </c>
      <c r="AD55" s="93">
        <v>0</v>
      </c>
      <c r="AE55" s="177">
        <f t="shared" si="40"/>
        <v>0</v>
      </c>
    </row>
    <row r="56" spans="1:31" ht="21" customHeight="1" x14ac:dyDescent="0.3">
      <c r="A56" s="172">
        <v>4</v>
      </c>
      <c r="B56" s="173" t="s">
        <v>82</v>
      </c>
      <c r="C56" s="174">
        <f t="shared" ca="1" si="24"/>
        <v>0</v>
      </c>
      <c r="D56" s="175">
        <f t="shared" ca="1" si="53"/>
        <v>0</v>
      </c>
      <c r="E56" s="176">
        <f ca="1">IFERROR(__xludf.DUMMYFUNCTION("IMPORTRANGE(""https://docs.google.com/spreadsheets/d/1-uDff_7J0KD5mKrp0Vvzr7lt3OU09vwQwhkpOPPYv2Y/edit?usp=sharing"",""งบพรบ!AX56"")"),0)</f>
        <v>0</v>
      </c>
      <c r="F56" s="176">
        <f ca="1">IFERROR(__xludf.DUMMYFUNCTION("IMPORTRANGE(""https://docs.google.com/spreadsheets/d/1-uDff_7J0KD5mKrp0Vvzr7lt3OU09vwQwhkpOPPYv2Y/edit?usp=sharing"",""งบพรบ!AY56"")"),0)</f>
        <v>0</v>
      </c>
      <c r="G56" s="176">
        <f ca="1">IFERROR(__xludf.DUMMYFUNCTION("IMPORTRANGE(""https://docs.google.com/spreadsheets/d/1-uDff_7J0KD5mKrp0Vvzr7lt3OU09vwQwhkpOPPYv2Y/edit?usp=sharing"",""งบพรบ!AZ56"")"),0)</f>
        <v>0</v>
      </c>
      <c r="H56" s="176">
        <f ca="1">IFERROR(__xludf.DUMMYFUNCTION("IMPORTRANGE(""https://docs.google.com/spreadsheets/d/1-uDff_7J0KD5mKrp0Vvzr7lt3OU09vwQwhkpOPPYv2Y/edit?usp=sharing"",""งบพรบ!BB56"")"),0)</f>
        <v>0</v>
      </c>
      <c r="I56" s="176">
        <f ca="1">IFERROR(__xludf.DUMMYFUNCTION("IMPORTRANGE(""https://docs.google.com/spreadsheets/d/1-uDff_7J0KD5mKrp0Vvzr7lt3OU09vwQwhkpOPPYv2Y/edit?usp=sharing"",""งบพรบ!BC56"")"),0)</f>
        <v>0</v>
      </c>
      <c r="J56" s="176">
        <f t="shared" ca="1" si="26"/>
        <v>0</v>
      </c>
      <c r="K56" s="179">
        <f t="shared" ca="1" si="27"/>
        <v>0</v>
      </c>
      <c r="L56" s="176">
        <f ca="1">IFERROR(__xludf.DUMMYFUNCTION("IMPORTRANGE(""https://docs.google.com/spreadsheets/d/1-uDff_7J0KD5mKrp0Vvzr7lt3OU09vwQwhkpOPPYv2Y/edit?usp=sharing"",""งบพรบ!BD56"")"),0)</f>
        <v>0</v>
      </c>
      <c r="M56" s="87">
        <f t="shared" ca="1" si="28"/>
        <v>0</v>
      </c>
      <c r="N56" s="87">
        <f t="shared" ca="1" si="29"/>
        <v>0</v>
      </c>
      <c r="O56" s="86">
        <f ca="1">IFERROR(__xludf.DUMMYFUNCTION("IMPORTRANGE(""https://docs.google.com/spreadsheets/d/1-uDff_7J0KD5mKrp0Vvzr7lt3OU09vwQwhkpOPPYv2Y/edit?usp=sharing"",""งบพรบ!BE56"")"),0)</f>
        <v>0</v>
      </c>
      <c r="P56" s="86">
        <f t="shared" ca="1" si="30"/>
        <v>0</v>
      </c>
      <c r="Q56" s="87">
        <f t="shared" ca="1" si="31"/>
        <v>0</v>
      </c>
      <c r="R56" s="86">
        <f ca="1">IFERROR(__xludf.DUMMYFUNCTION("IMPORTRANGE(""https://docs.google.com/spreadsheets/d/11tr1B-Bhyr79v2bkwVh5h_fR-PStkgjlZtkrZpYurG0/edit?usp=sharing"",""ชลบุรี!Q94"")"),0)</f>
        <v>0</v>
      </c>
      <c r="S56" s="86">
        <f ca="1">IFERROR(__xludf.DUMMYFUNCTION("IMPORTRANGE(""https://docs.google.com/spreadsheets/d/11tr1B-Bhyr79v2bkwVh5h_fR-PStkgjlZtkrZpYurG0/edit?usp=sharing"",""ชลบุรี!R94"")"),0)</f>
        <v>0</v>
      </c>
      <c r="T56" s="86">
        <f ca="1">IFERROR(__xludf.DUMMYFUNCTION("IMPORTRANGE(""https://docs.google.com/spreadsheets/d/11tr1B-Bhyr79v2bkwVh5h_fR-PStkgjlZtkrZpYurG0/edit?usp=sharing"",""ชลบุรี!S94"")"),0)</f>
        <v>0</v>
      </c>
      <c r="U56" s="87">
        <f t="shared" ca="1" si="33"/>
        <v>0</v>
      </c>
      <c r="V56" s="87">
        <f t="shared" ca="1" si="34"/>
        <v>0</v>
      </c>
      <c r="W56" s="93">
        <f ca="1">IFERROR(__xludf.DUMMYFUNCTION("IMPORTRANGE(""https://docs.google.com/spreadsheets/d/11tr1B-Bhyr79v2bkwVh5h_fR-PStkgjlZtkrZpYurG0/edit?usp=sharing"",""ชลบุรี!I108"")"),0)</f>
        <v>0</v>
      </c>
      <c r="X56" s="93">
        <f ca="1">IFERROR(__xludf.DUMMYFUNCTION("IMPORTRANGE(""https://docs.google.com/spreadsheets/d/11tr1B-Bhyr79v2bkwVh5h_fR-PStkgjlZtkrZpYurG0/edit?usp=sharing"",""ชลบุรี!J108"")"),0)</f>
        <v>0</v>
      </c>
      <c r="Y56" s="177">
        <f t="shared" ca="1" si="36"/>
        <v>0</v>
      </c>
      <c r="Z56" s="93">
        <f ca="1">IFERROR(__xludf.DUMMYFUNCTION("IMPORTRANGE(""https://docs.google.com/spreadsheets/d/11tr1B-Bhyr79v2bkwVh5h_fR-PStkgjlZtkrZpYurG0/edit?usp=sharing"",""ชลบุรี!I109"")"),0)</f>
        <v>0</v>
      </c>
      <c r="AA56" s="93">
        <f ca="1">IFERROR(__xludf.DUMMYFUNCTION("IMPORTRANGE(""https://docs.google.com/spreadsheets/d/11tr1B-Bhyr79v2bkwVh5h_fR-PStkgjlZtkrZpYurG0/edit?usp=sharing"",""ชลบุรี!J109"")"),0)</f>
        <v>0</v>
      </c>
      <c r="AB56" s="177">
        <f t="shared" ca="1" si="38"/>
        <v>0</v>
      </c>
      <c r="AC56" s="93">
        <v>0</v>
      </c>
      <c r="AD56" s="93">
        <v>0</v>
      </c>
      <c r="AE56" s="177">
        <f t="shared" si="40"/>
        <v>0</v>
      </c>
    </row>
    <row r="57" spans="1:31" ht="21" customHeight="1" x14ac:dyDescent="0.3">
      <c r="A57" s="172">
        <v>5</v>
      </c>
      <c r="B57" s="173" t="s">
        <v>83</v>
      </c>
      <c r="C57" s="174">
        <f t="shared" ca="1" si="24"/>
        <v>0</v>
      </c>
      <c r="D57" s="175">
        <f t="shared" ca="1" si="53"/>
        <v>0</v>
      </c>
      <c r="E57" s="176">
        <f ca="1">IFERROR(__xludf.DUMMYFUNCTION("IMPORTRANGE(""https://docs.google.com/spreadsheets/d/1-uDff_7J0KD5mKrp0Vvzr7lt3OU09vwQwhkpOPPYv2Y/edit?usp=sharing"",""งบพรบ!AX57"")"),0)</f>
        <v>0</v>
      </c>
      <c r="F57" s="176">
        <f ca="1">IFERROR(__xludf.DUMMYFUNCTION("IMPORTRANGE(""https://docs.google.com/spreadsheets/d/1-uDff_7J0KD5mKrp0Vvzr7lt3OU09vwQwhkpOPPYv2Y/edit?usp=sharing"",""งบพรบ!AY57"")"),0)</f>
        <v>0</v>
      </c>
      <c r="G57" s="176">
        <f ca="1">IFERROR(__xludf.DUMMYFUNCTION("IMPORTRANGE(""https://docs.google.com/spreadsheets/d/1-uDff_7J0KD5mKrp0Vvzr7lt3OU09vwQwhkpOPPYv2Y/edit?usp=sharing"",""งบพรบ!AZ57"")"),0)</f>
        <v>0</v>
      </c>
      <c r="H57" s="176">
        <f ca="1">IFERROR(__xludf.DUMMYFUNCTION("IMPORTRANGE(""https://docs.google.com/spreadsheets/d/1-uDff_7J0KD5mKrp0Vvzr7lt3OU09vwQwhkpOPPYv2Y/edit?usp=sharing"",""งบพรบ!BB57"")"),0)</f>
        <v>0</v>
      </c>
      <c r="I57" s="176">
        <f ca="1">IFERROR(__xludf.DUMMYFUNCTION("IMPORTRANGE(""https://docs.google.com/spreadsheets/d/1-uDff_7J0KD5mKrp0Vvzr7lt3OU09vwQwhkpOPPYv2Y/edit?usp=sharing"",""งบพรบ!BC57"")"),0)</f>
        <v>0</v>
      </c>
      <c r="J57" s="176">
        <f t="shared" ca="1" si="26"/>
        <v>0</v>
      </c>
      <c r="K57" s="179">
        <f t="shared" ca="1" si="27"/>
        <v>0</v>
      </c>
      <c r="L57" s="176">
        <f ca="1">IFERROR(__xludf.DUMMYFUNCTION("IMPORTRANGE(""https://docs.google.com/spreadsheets/d/1-uDff_7J0KD5mKrp0Vvzr7lt3OU09vwQwhkpOPPYv2Y/edit?usp=sharing"",""งบพรบ!BD57"")"),0)</f>
        <v>0</v>
      </c>
      <c r="M57" s="87">
        <f t="shared" ca="1" si="28"/>
        <v>0</v>
      </c>
      <c r="N57" s="87">
        <f t="shared" ca="1" si="29"/>
        <v>0</v>
      </c>
      <c r="O57" s="86">
        <f ca="1">IFERROR(__xludf.DUMMYFUNCTION("IMPORTRANGE(""https://docs.google.com/spreadsheets/d/1-uDff_7J0KD5mKrp0Vvzr7lt3OU09vwQwhkpOPPYv2Y/edit?usp=sharing"",""งบพรบ!BE57"")"),0)</f>
        <v>0</v>
      </c>
      <c r="P57" s="86">
        <f t="shared" ca="1" si="30"/>
        <v>0</v>
      </c>
      <c r="Q57" s="87">
        <f t="shared" ca="1" si="31"/>
        <v>0</v>
      </c>
      <c r="R57" s="86">
        <f ca="1">IFERROR(__xludf.DUMMYFUNCTION("IMPORTRANGE(""https://docs.google.com/spreadsheets/d/1hh-FVnSX0vozXhGluamEcS54Dw9_zqW0N7qJUWgJ0Sw/edit?usp=sharing"",""ชัยนาท!Q94"")"),101304)</f>
        <v>101304</v>
      </c>
      <c r="S57" s="86">
        <f ca="1">IFERROR(__xludf.DUMMYFUNCTION("IMPORTRANGE(""https://docs.google.com/spreadsheets/d/1hh-FVnSX0vozXhGluamEcS54Dw9_zqW0N7qJUWgJ0Sw/edit?usp=sharing"",""ชัยนาท!R94"")"),0)</f>
        <v>0</v>
      </c>
      <c r="T57" s="86">
        <f ca="1">IFERROR(__xludf.DUMMYFUNCTION("IMPORTRANGE(""https://docs.google.com/spreadsheets/d/1hh-FVnSX0vozXhGluamEcS54Dw9_zqW0N7qJUWgJ0Sw/edit?usp=sharing"",""ชัยนาท!S94"")"),0)</f>
        <v>0</v>
      </c>
      <c r="U57" s="87">
        <f t="shared" ca="1" si="33"/>
        <v>0</v>
      </c>
      <c r="V57" s="87">
        <f t="shared" ca="1" si="34"/>
        <v>0</v>
      </c>
      <c r="W57" s="93">
        <f ca="1">IFERROR(__xludf.DUMMYFUNCTION("IMPORTRANGE(""https://docs.google.com/spreadsheets/d/1hh-FVnSX0vozXhGluamEcS54Dw9_zqW0N7qJUWgJ0Sw/edit?usp=sharing"",""ชัยนาท!I108"")"),36)</f>
        <v>36</v>
      </c>
      <c r="X57" s="93">
        <f ca="1">IFERROR(__xludf.DUMMYFUNCTION("IMPORTRANGE(""https://docs.google.com/spreadsheets/d/1hh-FVnSX0vozXhGluamEcS54Dw9_zqW0N7qJUWgJ0Sw/edit?usp=sharing"",""ชัยนาท!J108"")"),0)</f>
        <v>0</v>
      </c>
      <c r="Y57" s="177">
        <f t="shared" ca="1" si="36"/>
        <v>0</v>
      </c>
      <c r="Z57" s="93">
        <f ca="1">IFERROR(__xludf.DUMMYFUNCTION("IMPORTRANGE(""https://docs.google.com/spreadsheets/d/1hh-FVnSX0vozXhGluamEcS54Dw9_zqW0N7qJUWgJ0Sw/edit?usp=sharing"",""ชัยนาท!I109"")"),12)</f>
        <v>12</v>
      </c>
      <c r="AA57" s="93">
        <f ca="1">IFERROR(__xludf.DUMMYFUNCTION("IMPORTRANGE(""https://docs.google.com/spreadsheets/d/1hh-FVnSX0vozXhGluamEcS54Dw9_zqW0N7qJUWgJ0Sw/edit?usp=sharing"",""ชัยนาท!J109"")"),0)</f>
        <v>0</v>
      </c>
      <c r="AB57" s="177">
        <f t="shared" ca="1" si="38"/>
        <v>0</v>
      </c>
      <c r="AC57" s="93">
        <v>0</v>
      </c>
      <c r="AD57" s="93">
        <v>0</v>
      </c>
      <c r="AE57" s="177">
        <f t="shared" si="40"/>
        <v>0</v>
      </c>
    </row>
    <row r="58" spans="1:31" ht="21" customHeight="1" x14ac:dyDescent="0.3">
      <c r="A58" s="172">
        <v>6</v>
      </c>
      <c r="B58" s="173" t="s">
        <v>84</v>
      </c>
      <c r="C58" s="174">
        <f t="shared" ca="1" si="24"/>
        <v>0</v>
      </c>
      <c r="D58" s="175">
        <f t="shared" ca="1" si="53"/>
        <v>0</v>
      </c>
      <c r="E58" s="176">
        <f ca="1">IFERROR(__xludf.DUMMYFUNCTION("IMPORTRANGE(""https://docs.google.com/spreadsheets/d/1-uDff_7J0KD5mKrp0Vvzr7lt3OU09vwQwhkpOPPYv2Y/edit?usp=sharing"",""งบพรบ!AX58"")"),0)</f>
        <v>0</v>
      </c>
      <c r="F58" s="176">
        <f ca="1">IFERROR(__xludf.DUMMYFUNCTION("IMPORTRANGE(""https://docs.google.com/spreadsheets/d/1-uDff_7J0KD5mKrp0Vvzr7lt3OU09vwQwhkpOPPYv2Y/edit?usp=sharing"",""งบพรบ!AY58"")"),0)</f>
        <v>0</v>
      </c>
      <c r="G58" s="176">
        <f ca="1">IFERROR(__xludf.DUMMYFUNCTION("IMPORTRANGE(""https://docs.google.com/spreadsheets/d/1-uDff_7J0KD5mKrp0Vvzr7lt3OU09vwQwhkpOPPYv2Y/edit?usp=sharing"",""งบพรบ!AZ58"")"),0)</f>
        <v>0</v>
      </c>
      <c r="H58" s="176">
        <f ca="1">IFERROR(__xludf.DUMMYFUNCTION("IMPORTRANGE(""https://docs.google.com/spreadsheets/d/1-uDff_7J0KD5mKrp0Vvzr7lt3OU09vwQwhkpOPPYv2Y/edit?usp=sharing"",""งบพรบ!BB58"")"),0)</f>
        <v>0</v>
      </c>
      <c r="I58" s="176">
        <f ca="1">IFERROR(__xludf.DUMMYFUNCTION("IMPORTRANGE(""https://docs.google.com/spreadsheets/d/1-uDff_7J0KD5mKrp0Vvzr7lt3OU09vwQwhkpOPPYv2Y/edit?usp=sharing"",""งบพรบ!BC58"")"),0)</f>
        <v>0</v>
      </c>
      <c r="J58" s="176">
        <f t="shared" ca="1" si="26"/>
        <v>0</v>
      </c>
      <c r="K58" s="179">
        <f t="shared" ca="1" si="27"/>
        <v>0</v>
      </c>
      <c r="L58" s="176">
        <f ca="1">IFERROR(__xludf.DUMMYFUNCTION("IMPORTRANGE(""https://docs.google.com/spreadsheets/d/1-uDff_7J0KD5mKrp0Vvzr7lt3OU09vwQwhkpOPPYv2Y/edit?usp=sharing"",""งบพรบ!BD58"")"),0)</f>
        <v>0</v>
      </c>
      <c r="M58" s="87">
        <f t="shared" ca="1" si="28"/>
        <v>0</v>
      </c>
      <c r="N58" s="87">
        <f t="shared" ca="1" si="29"/>
        <v>0</v>
      </c>
      <c r="O58" s="86">
        <f ca="1">IFERROR(__xludf.DUMMYFUNCTION("IMPORTRANGE(""https://docs.google.com/spreadsheets/d/1-uDff_7J0KD5mKrp0Vvzr7lt3OU09vwQwhkpOPPYv2Y/edit?usp=sharing"",""งบพรบ!BE58"")"),0)</f>
        <v>0</v>
      </c>
      <c r="P58" s="86">
        <f t="shared" ca="1" si="30"/>
        <v>0</v>
      </c>
      <c r="Q58" s="87">
        <f t="shared" ca="1" si="31"/>
        <v>0</v>
      </c>
      <c r="R58" s="86">
        <f ca="1">IFERROR(__xludf.DUMMYFUNCTION("IMPORTRANGE(""https://docs.google.com/spreadsheets/d/1jkqa6GXxSacMcY1eN8AHjMNJ_7dDXMJVRLDlaFSOdPM/edit?usp=sharing"",""ตราด!Q94"")"),0)</f>
        <v>0</v>
      </c>
      <c r="S58" s="86">
        <f ca="1">IFERROR(__xludf.DUMMYFUNCTION("IMPORTRANGE(""https://docs.google.com/spreadsheets/d/1jkqa6GXxSacMcY1eN8AHjMNJ_7dDXMJVRLDlaFSOdPM/edit?usp=sharing"",""ตราด!R94"")"),0)</f>
        <v>0</v>
      </c>
      <c r="T58" s="86">
        <f ca="1">IFERROR(__xludf.DUMMYFUNCTION("IMPORTRANGE(""https://docs.google.com/spreadsheets/d/1jkqa6GXxSacMcY1eN8AHjMNJ_7dDXMJVRLDlaFSOdPM/edit?usp=sharing"",""ตราด!S94"")"),0)</f>
        <v>0</v>
      </c>
      <c r="U58" s="87">
        <f t="shared" ca="1" si="33"/>
        <v>0</v>
      </c>
      <c r="V58" s="87">
        <f t="shared" ca="1" si="34"/>
        <v>0</v>
      </c>
      <c r="W58" s="93">
        <f ca="1">IFERROR(__xludf.DUMMYFUNCTION("IMPORTRANGE(""https://docs.google.com/spreadsheets/d/1jkqa6GXxSacMcY1eN8AHjMNJ_7dDXMJVRLDlaFSOdPM/edit?usp=sharing"",""ตราด!I108"")"),0)</f>
        <v>0</v>
      </c>
      <c r="X58" s="93">
        <f ca="1">IFERROR(__xludf.DUMMYFUNCTION("IMPORTRANGE(""https://docs.google.com/spreadsheets/d/1jkqa6GXxSacMcY1eN8AHjMNJ_7dDXMJVRLDlaFSOdPM/edit?usp=sharing"",""ตราด!J108"")"),0)</f>
        <v>0</v>
      </c>
      <c r="Y58" s="177">
        <f t="shared" ca="1" si="36"/>
        <v>0</v>
      </c>
      <c r="Z58" s="93">
        <f ca="1">IFERROR(__xludf.DUMMYFUNCTION("IMPORTRANGE(""https://docs.google.com/spreadsheets/d/1jkqa6GXxSacMcY1eN8AHjMNJ_7dDXMJVRLDlaFSOdPM/edit?usp=sharing"",""ตราด!I109"")"),0)</f>
        <v>0</v>
      </c>
      <c r="AA58" s="93">
        <f ca="1">IFERROR(__xludf.DUMMYFUNCTION("IMPORTRANGE(""https://docs.google.com/spreadsheets/d/1jkqa6GXxSacMcY1eN8AHjMNJ_7dDXMJVRLDlaFSOdPM/edit?usp=sharing"",""ตราด!J109"")"),0)</f>
        <v>0</v>
      </c>
      <c r="AB58" s="177">
        <f t="shared" ca="1" si="38"/>
        <v>0</v>
      </c>
      <c r="AC58" s="93">
        <v>0</v>
      </c>
      <c r="AD58" s="93">
        <v>0</v>
      </c>
      <c r="AE58" s="177">
        <f t="shared" si="40"/>
        <v>0</v>
      </c>
    </row>
    <row r="59" spans="1:31" ht="21" customHeight="1" x14ac:dyDescent="0.3">
      <c r="A59" s="172">
        <v>7</v>
      </c>
      <c r="B59" s="173" t="s">
        <v>85</v>
      </c>
      <c r="C59" s="174">
        <f t="shared" ca="1" si="24"/>
        <v>0</v>
      </c>
      <c r="D59" s="175">
        <f t="shared" ca="1" si="53"/>
        <v>0</v>
      </c>
      <c r="E59" s="176">
        <f ca="1">IFERROR(__xludf.DUMMYFUNCTION("IMPORTRANGE(""https://docs.google.com/spreadsheets/d/1-uDff_7J0KD5mKrp0Vvzr7lt3OU09vwQwhkpOPPYv2Y/edit?usp=sharing"",""งบพรบ!AX59"")"),0)</f>
        <v>0</v>
      </c>
      <c r="F59" s="176">
        <f ca="1">IFERROR(__xludf.DUMMYFUNCTION("IMPORTRANGE(""https://docs.google.com/spreadsheets/d/1-uDff_7J0KD5mKrp0Vvzr7lt3OU09vwQwhkpOPPYv2Y/edit?usp=sharing"",""งบพรบ!AY59"")"),0)</f>
        <v>0</v>
      </c>
      <c r="G59" s="176">
        <f ca="1">IFERROR(__xludf.DUMMYFUNCTION("IMPORTRANGE(""https://docs.google.com/spreadsheets/d/1-uDff_7J0KD5mKrp0Vvzr7lt3OU09vwQwhkpOPPYv2Y/edit?usp=sharing"",""งบพรบ!AZ59"")"),0)</f>
        <v>0</v>
      </c>
      <c r="H59" s="176">
        <f ca="1">IFERROR(__xludf.DUMMYFUNCTION("IMPORTRANGE(""https://docs.google.com/spreadsheets/d/1-uDff_7J0KD5mKrp0Vvzr7lt3OU09vwQwhkpOPPYv2Y/edit?usp=sharing"",""งบพรบ!BB59"")"),0)</f>
        <v>0</v>
      </c>
      <c r="I59" s="176">
        <f ca="1">IFERROR(__xludf.DUMMYFUNCTION("IMPORTRANGE(""https://docs.google.com/spreadsheets/d/1-uDff_7J0KD5mKrp0Vvzr7lt3OU09vwQwhkpOPPYv2Y/edit?usp=sharing"",""งบพรบ!BC59"")"),0)</f>
        <v>0</v>
      </c>
      <c r="J59" s="176">
        <f t="shared" ca="1" si="26"/>
        <v>0</v>
      </c>
      <c r="K59" s="179">
        <f t="shared" ca="1" si="27"/>
        <v>0</v>
      </c>
      <c r="L59" s="176">
        <f ca="1">IFERROR(__xludf.DUMMYFUNCTION("IMPORTRANGE(""https://docs.google.com/spreadsheets/d/1-uDff_7J0KD5mKrp0Vvzr7lt3OU09vwQwhkpOPPYv2Y/edit?usp=sharing"",""งบพรบ!BD59"")"),0)</f>
        <v>0</v>
      </c>
      <c r="M59" s="87">
        <f t="shared" ca="1" si="28"/>
        <v>0</v>
      </c>
      <c r="N59" s="87">
        <f t="shared" ca="1" si="29"/>
        <v>0</v>
      </c>
      <c r="O59" s="86">
        <f ca="1">IFERROR(__xludf.DUMMYFUNCTION("IMPORTRANGE(""https://docs.google.com/spreadsheets/d/1-uDff_7J0KD5mKrp0Vvzr7lt3OU09vwQwhkpOPPYv2Y/edit?usp=sharing"",""งบพรบ!BE59"")"),0)</f>
        <v>0</v>
      </c>
      <c r="P59" s="86">
        <f t="shared" ca="1" si="30"/>
        <v>0</v>
      </c>
      <c r="Q59" s="87">
        <f t="shared" ca="1" si="31"/>
        <v>0</v>
      </c>
      <c r="R59" s="86">
        <f ca="1">IFERROR(__xludf.DUMMYFUNCTION("IMPORTRANGE(""https://docs.google.com/spreadsheets/d/18hSgUJ3VwClqi_qtULmmW3cLr0oe3OKaSYoKzdpTsYQ/edit?usp=sharing"",""นครนายก!Q94"")"),0)</f>
        <v>0</v>
      </c>
      <c r="S59" s="86">
        <f ca="1">IFERROR(__xludf.DUMMYFUNCTION("IMPORTRANGE(""https://docs.google.com/spreadsheets/d/18hSgUJ3VwClqi_qtULmmW3cLr0oe3OKaSYoKzdpTsYQ/edit?usp=sharing"",""นครนายก!R94"")"),0)</f>
        <v>0</v>
      </c>
      <c r="T59" s="86">
        <f ca="1">IFERROR(__xludf.DUMMYFUNCTION("IMPORTRANGE(""https://docs.google.com/spreadsheets/d/18hSgUJ3VwClqi_qtULmmW3cLr0oe3OKaSYoKzdpTsYQ/edit?usp=sharing"",""นครนายก!S94"")"),0)</f>
        <v>0</v>
      </c>
      <c r="U59" s="87">
        <f t="shared" ca="1" si="33"/>
        <v>0</v>
      </c>
      <c r="V59" s="87">
        <f t="shared" ca="1" si="34"/>
        <v>0</v>
      </c>
      <c r="W59" s="93">
        <f ca="1">IFERROR(__xludf.DUMMYFUNCTION("IMPORTRANGE(""https://docs.google.com/spreadsheets/d/18hSgUJ3VwClqi_qtULmmW3cLr0oe3OKaSYoKzdpTsYQ/edit?usp=sharing"",""นครนายก!I108"")"),0)</f>
        <v>0</v>
      </c>
      <c r="X59" s="93">
        <f ca="1">IFERROR(__xludf.DUMMYFUNCTION("IMPORTRANGE(""https://docs.google.com/spreadsheets/d/18hSgUJ3VwClqi_qtULmmW3cLr0oe3OKaSYoKzdpTsYQ/edit?usp=sharing"",""นครนายก!J108"")"),0)</f>
        <v>0</v>
      </c>
      <c r="Y59" s="177">
        <f t="shared" ca="1" si="36"/>
        <v>0</v>
      </c>
      <c r="Z59" s="93">
        <f ca="1">IFERROR(__xludf.DUMMYFUNCTION("IMPORTRANGE(""https://docs.google.com/spreadsheets/d/18hSgUJ3VwClqi_qtULmmW3cLr0oe3OKaSYoKzdpTsYQ/edit?usp=sharing"",""นครนายก!I109"")"),0)</f>
        <v>0</v>
      </c>
      <c r="AA59" s="93">
        <f ca="1">IFERROR(__xludf.DUMMYFUNCTION("IMPORTRANGE(""https://docs.google.com/spreadsheets/d/18hSgUJ3VwClqi_qtULmmW3cLr0oe3OKaSYoKzdpTsYQ/edit?usp=sharing"",""นครนายก!J109"")"),0)</f>
        <v>0</v>
      </c>
      <c r="AB59" s="177">
        <f t="shared" ca="1" si="38"/>
        <v>0</v>
      </c>
      <c r="AC59" s="93">
        <v>0</v>
      </c>
      <c r="AD59" s="93">
        <v>0</v>
      </c>
      <c r="AE59" s="177">
        <f t="shared" si="40"/>
        <v>0</v>
      </c>
    </row>
    <row r="60" spans="1:31" ht="21" customHeight="1" x14ac:dyDescent="0.3">
      <c r="A60" s="172">
        <v>8</v>
      </c>
      <c r="B60" s="173" t="s">
        <v>86</v>
      </c>
      <c r="C60" s="174">
        <f t="shared" ca="1" si="24"/>
        <v>0</v>
      </c>
      <c r="D60" s="175">
        <f t="shared" ca="1" si="53"/>
        <v>0</v>
      </c>
      <c r="E60" s="176">
        <f ca="1">IFERROR(__xludf.DUMMYFUNCTION("IMPORTRANGE(""https://docs.google.com/spreadsheets/d/1-uDff_7J0KD5mKrp0Vvzr7lt3OU09vwQwhkpOPPYv2Y/edit?usp=sharing"",""งบพรบ!AX60"")"),0)</f>
        <v>0</v>
      </c>
      <c r="F60" s="176">
        <f ca="1">IFERROR(__xludf.DUMMYFUNCTION("IMPORTRANGE(""https://docs.google.com/spreadsheets/d/1-uDff_7J0KD5mKrp0Vvzr7lt3OU09vwQwhkpOPPYv2Y/edit?usp=sharing"",""งบพรบ!AY60"")"),0)</f>
        <v>0</v>
      </c>
      <c r="G60" s="176">
        <f ca="1">IFERROR(__xludf.DUMMYFUNCTION("IMPORTRANGE(""https://docs.google.com/spreadsheets/d/1-uDff_7J0KD5mKrp0Vvzr7lt3OU09vwQwhkpOPPYv2Y/edit?usp=sharing"",""งบพรบ!AZ60"")"),0)</f>
        <v>0</v>
      </c>
      <c r="H60" s="176">
        <f ca="1">IFERROR(__xludf.DUMMYFUNCTION("IMPORTRANGE(""https://docs.google.com/spreadsheets/d/1-uDff_7J0KD5mKrp0Vvzr7lt3OU09vwQwhkpOPPYv2Y/edit?usp=sharing"",""งบพรบ!BB60"")"),0)</f>
        <v>0</v>
      </c>
      <c r="I60" s="176">
        <f ca="1">IFERROR(__xludf.DUMMYFUNCTION("IMPORTRANGE(""https://docs.google.com/spreadsheets/d/1-uDff_7J0KD5mKrp0Vvzr7lt3OU09vwQwhkpOPPYv2Y/edit?usp=sharing"",""งบพรบ!BC60"")"),0)</f>
        <v>0</v>
      </c>
      <c r="J60" s="176">
        <f t="shared" ca="1" si="26"/>
        <v>0</v>
      </c>
      <c r="K60" s="179">
        <f t="shared" ca="1" si="27"/>
        <v>0</v>
      </c>
      <c r="L60" s="176">
        <f ca="1">IFERROR(__xludf.DUMMYFUNCTION("IMPORTRANGE(""https://docs.google.com/spreadsheets/d/1-uDff_7J0KD5mKrp0Vvzr7lt3OU09vwQwhkpOPPYv2Y/edit?usp=sharing"",""งบพรบ!BD60"")"),0)</f>
        <v>0</v>
      </c>
      <c r="M60" s="87">
        <f t="shared" ca="1" si="28"/>
        <v>0</v>
      </c>
      <c r="N60" s="87">
        <f t="shared" ca="1" si="29"/>
        <v>0</v>
      </c>
      <c r="O60" s="86">
        <f ca="1">IFERROR(__xludf.DUMMYFUNCTION("IMPORTRANGE(""https://docs.google.com/spreadsheets/d/1-uDff_7J0KD5mKrp0Vvzr7lt3OU09vwQwhkpOPPYv2Y/edit?usp=sharing"",""งบพรบ!BE60"")"),0)</f>
        <v>0</v>
      </c>
      <c r="P60" s="86">
        <f t="shared" ca="1" si="30"/>
        <v>0</v>
      </c>
      <c r="Q60" s="87">
        <f t="shared" ca="1" si="31"/>
        <v>0</v>
      </c>
      <c r="R60" s="86">
        <f ca="1">IFERROR(__xludf.DUMMYFUNCTION("IMPORTRANGE(""https://docs.google.com/spreadsheets/d/1YTZo6WM2dQ6Ix6FSdnL5P7uVnVKu40sxZu975tgG10E/edit?usp=sharing"",""นครปฐม!Q94"")"),0)</f>
        <v>0</v>
      </c>
      <c r="S60" s="86">
        <f ca="1">IFERROR(__xludf.DUMMYFUNCTION("IMPORTRANGE(""https://docs.google.com/spreadsheets/d/1YTZo6WM2dQ6Ix6FSdnL5P7uVnVKu40sxZu975tgG10E/edit?usp=sharing"",""นครปฐม!R94"")"),0)</f>
        <v>0</v>
      </c>
      <c r="T60" s="86">
        <f ca="1">IFERROR(__xludf.DUMMYFUNCTION("IMPORTRANGE(""https://docs.google.com/spreadsheets/d/1YTZo6WM2dQ6Ix6FSdnL5P7uVnVKu40sxZu975tgG10E/edit?usp=sharing"",""นครปฐม!S94"")"),0)</f>
        <v>0</v>
      </c>
      <c r="U60" s="87">
        <f t="shared" ca="1" si="33"/>
        <v>0</v>
      </c>
      <c r="V60" s="87">
        <f t="shared" ca="1" si="34"/>
        <v>0</v>
      </c>
      <c r="W60" s="93">
        <f ca="1">IFERROR(__xludf.DUMMYFUNCTION("IMPORTRANGE(""https://docs.google.com/spreadsheets/d/1YTZo6WM2dQ6Ix6FSdnL5P7uVnVKu40sxZu975tgG10E/edit?usp=sharing"",""นครปฐม!I108"")"),0)</f>
        <v>0</v>
      </c>
      <c r="X60" s="93">
        <f ca="1">IFERROR(__xludf.DUMMYFUNCTION("IMPORTRANGE(""https://docs.google.com/spreadsheets/d/1YTZo6WM2dQ6Ix6FSdnL5P7uVnVKu40sxZu975tgG10E/edit?usp=sharing"",""นครปฐม!J108"")"),0)</f>
        <v>0</v>
      </c>
      <c r="Y60" s="177">
        <f t="shared" ca="1" si="36"/>
        <v>0</v>
      </c>
      <c r="Z60" s="93">
        <f ca="1">IFERROR(__xludf.DUMMYFUNCTION("IMPORTRANGE(""https://docs.google.com/spreadsheets/d/1YTZo6WM2dQ6Ix6FSdnL5P7uVnVKu40sxZu975tgG10E/edit?usp=sharing"",""นครปฐม!I109"")"),0)</f>
        <v>0</v>
      </c>
      <c r="AA60" s="93">
        <f ca="1">IFERROR(__xludf.DUMMYFUNCTION("IMPORTRANGE(""https://docs.google.com/spreadsheets/d/1YTZo6WM2dQ6Ix6FSdnL5P7uVnVKu40sxZu975tgG10E/edit?usp=sharing"",""นครปฐม!J109"")"),0)</f>
        <v>0</v>
      </c>
      <c r="AB60" s="177">
        <f t="shared" ca="1" si="38"/>
        <v>0</v>
      </c>
      <c r="AC60" s="93">
        <v>0</v>
      </c>
      <c r="AD60" s="93">
        <v>0</v>
      </c>
      <c r="AE60" s="177">
        <f t="shared" si="40"/>
        <v>0</v>
      </c>
    </row>
    <row r="61" spans="1:31" ht="21" customHeight="1" x14ac:dyDescent="0.3">
      <c r="A61" s="172">
        <v>9</v>
      </c>
      <c r="B61" s="173" t="s">
        <v>87</v>
      </c>
      <c r="C61" s="174">
        <f t="shared" ca="1" si="24"/>
        <v>0</v>
      </c>
      <c r="D61" s="175">
        <f t="shared" ca="1" si="53"/>
        <v>0</v>
      </c>
      <c r="E61" s="176">
        <f ca="1">IFERROR(__xludf.DUMMYFUNCTION("IMPORTRANGE(""https://docs.google.com/spreadsheets/d/1-uDff_7J0KD5mKrp0Vvzr7lt3OU09vwQwhkpOPPYv2Y/edit?usp=sharing"",""งบพรบ!AX61"")"),0)</f>
        <v>0</v>
      </c>
      <c r="F61" s="176">
        <f ca="1">IFERROR(__xludf.DUMMYFUNCTION("IMPORTRANGE(""https://docs.google.com/spreadsheets/d/1-uDff_7J0KD5mKrp0Vvzr7lt3OU09vwQwhkpOPPYv2Y/edit?usp=sharing"",""งบพรบ!AY61"")"),0)</f>
        <v>0</v>
      </c>
      <c r="G61" s="176">
        <f ca="1">IFERROR(__xludf.DUMMYFUNCTION("IMPORTRANGE(""https://docs.google.com/spreadsheets/d/1-uDff_7J0KD5mKrp0Vvzr7lt3OU09vwQwhkpOPPYv2Y/edit?usp=sharing"",""งบพรบ!AZ61"")"),0)</f>
        <v>0</v>
      </c>
      <c r="H61" s="176">
        <f ca="1">IFERROR(__xludf.DUMMYFUNCTION("IMPORTRANGE(""https://docs.google.com/spreadsheets/d/1-uDff_7J0KD5mKrp0Vvzr7lt3OU09vwQwhkpOPPYv2Y/edit?usp=sharing"",""งบพรบ!BB61"")"),0)</f>
        <v>0</v>
      </c>
      <c r="I61" s="176">
        <f ca="1">IFERROR(__xludf.DUMMYFUNCTION("IMPORTRANGE(""https://docs.google.com/spreadsheets/d/1-uDff_7J0KD5mKrp0Vvzr7lt3OU09vwQwhkpOPPYv2Y/edit?usp=sharing"",""งบพรบ!BC61"")"),0)</f>
        <v>0</v>
      </c>
      <c r="J61" s="176">
        <f t="shared" ca="1" si="26"/>
        <v>0</v>
      </c>
      <c r="K61" s="179">
        <f t="shared" ca="1" si="27"/>
        <v>0</v>
      </c>
      <c r="L61" s="176">
        <f ca="1">IFERROR(__xludf.DUMMYFUNCTION("IMPORTRANGE(""https://docs.google.com/spreadsheets/d/1-uDff_7J0KD5mKrp0Vvzr7lt3OU09vwQwhkpOPPYv2Y/edit?usp=sharing"",""งบพรบ!BD61"")"),0)</f>
        <v>0</v>
      </c>
      <c r="M61" s="87">
        <f t="shared" ca="1" si="28"/>
        <v>0</v>
      </c>
      <c r="N61" s="87">
        <f t="shared" ca="1" si="29"/>
        <v>0</v>
      </c>
      <c r="O61" s="86">
        <f ca="1">IFERROR(__xludf.DUMMYFUNCTION("IMPORTRANGE(""https://docs.google.com/spreadsheets/d/1-uDff_7J0KD5mKrp0Vvzr7lt3OU09vwQwhkpOPPYv2Y/edit?usp=sharing"",""งบพรบ!BE61"")"),0)</f>
        <v>0</v>
      </c>
      <c r="P61" s="86">
        <f t="shared" ca="1" si="30"/>
        <v>0</v>
      </c>
      <c r="Q61" s="87">
        <f t="shared" ca="1" si="31"/>
        <v>0</v>
      </c>
      <c r="R61" s="86">
        <f ca="1">IFERROR(__xludf.DUMMYFUNCTION("IMPORTRANGE(""https://docs.google.com/spreadsheets/d/1OYoGg4WDg5RIzwGeB10padOxJF9E_Vljuvvct_M7RDo/edit?usp=sharing"",""ปทุมธานี!Q94"")"),101304)</f>
        <v>101304</v>
      </c>
      <c r="S61" s="86">
        <f ca="1">IFERROR(__xludf.DUMMYFUNCTION("IMPORTRANGE(""https://docs.google.com/spreadsheets/d/1OYoGg4WDg5RIzwGeB10padOxJF9E_Vljuvvct_M7RDo/edit?usp=sharing"",""ปทุมธานี!R94"")"),0)</f>
        <v>0</v>
      </c>
      <c r="T61" s="86">
        <f ca="1">IFERROR(__xludf.DUMMYFUNCTION("IMPORTRANGE(""https://docs.google.com/spreadsheets/d/1OYoGg4WDg5RIzwGeB10padOxJF9E_Vljuvvct_M7RDo/edit?usp=sharing"",""ปทุมธานี!S94"")"),0)</f>
        <v>0</v>
      </c>
      <c r="U61" s="87">
        <f t="shared" ca="1" si="33"/>
        <v>0</v>
      </c>
      <c r="V61" s="87">
        <f t="shared" ca="1" si="34"/>
        <v>0</v>
      </c>
      <c r="W61" s="93">
        <f ca="1">IFERROR(__xludf.DUMMYFUNCTION("IMPORTRANGE(""https://docs.google.com/spreadsheets/d/1OYoGg4WDg5RIzwGeB10padOxJF9E_Vljuvvct_M7RDo/edit?usp=sharing"",""ปทุมธานี!I108"")"),36)</f>
        <v>36</v>
      </c>
      <c r="X61" s="93">
        <f ca="1">IFERROR(__xludf.DUMMYFUNCTION("IMPORTRANGE(""https://docs.google.com/spreadsheets/d/1OYoGg4WDg5RIzwGeB10padOxJF9E_Vljuvvct_M7RDo/edit?usp=sharing"",""ปทุมธานี!J108"")"),0)</f>
        <v>0</v>
      </c>
      <c r="Y61" s="177">
        <f t="shared" ca="1" si="36"/>
        <v>0</v>
      </c>
      <c r="Z61" s="93">
        <f ca="1">IFERROR(__xludf.DUMMYFUNCTION("IMPORTRANGE(""https://docs.google.com/spreadsheets/d/1OYoGg4WDg5RIzwGeB10padOxJF9E_Vljuvvct_M7RDo/edit?usp=sharing"",""ปทุมธานี!I109"")"),12)</f>
        <v>12</v>
      </c>
      <c r="AA61" s="93">
        <f ca="1">IFERROR(__xludf.DUMMYFUNCTION("IMPORTRANGE(""https://docs.google.com/spreadsheets/d/1OYoGg4WDg5RIzwGeB10padOxJF9E_Vljuvvct_M7RDo/edit?usp=sharing"",""ปทุมธานี!J109"")"),0)</f>
        <v>0</v>
      </c>
      <c r="AB61" s="177">
        <f t="shared" ca="1" si="38"/>
        <v>0</v>
      </c>
      <c r="AC61" s="93">
        <v>0</v>
      </c>
      <c r="AD61" s="93">
        <v>0</v>
      </c>
      <c r="AE61" s="177">
        <f t="shared" si="40"/>
        <v>0</v>
      </c>
    </row>
    <row r="62" spans="1:31" ht="21" customHeight="1" x14ac:dyDescent="0.3">
      <c r="A62" s="172">
        <v>10</v>
      </c>
      <c r="B62" s="173" t="s">
        <v>88</v>
      </c>
      <c r="C62" s="174">
        <f t="shared" ca="1" si="24"/>
        <v>0</v>
      </c>
      <c r="D62" s="175">
        <f t="shared" ca="1" si="53"/>
        <v>0</v>
      </c>
      <c r="E62" s="176">
        <f ca="1">IFERROR(__xludf.DUMMYFUNCTION("IMPORTRANGE(""https://docs.google.com/spreadsheets/d/1-uDff_7J0KD5mKrp0Vvzr7lt3OU09vwQwhkpOPPYv2Y/edit?usp=sharing"",""งบพรบ!AX62"")"),0)</f>
        <v>0</v>
      </c>
      <c r="F62" s="176">
        <f ca="1">IFERROR(__xludf.DUMMYFUNCTION("IMPORTRANGE(""https://docs.google.com/spreadsheets/d/1-uDff_7J0KD5mKrp0Vvzr7lt3OU09vwQwhkpOPPYv2Y/edit?usp=sharing"",""งบพรบ!AY62"")"),0)</f>
        <v>0</v>
      </c>
      <c r="G62" s="176">
        <f ca="1">IFERROR(__xludf.DUMMYFUNCTION("IMPORTRANGE(""https://docs.google.com/spreadsheets/d/1-uDff_7J0KD5mKrp0Vvzr7lt3OU09vwQwhkpOPPYv2Y/edit?usp=sharing"",""งบพรบ!AZ62"")"),0)</f>
        <v>0</v>
      </c>
      <c r="H62" s="176">
        <f ca="1">IFERROR(__xludf.DUMMYFUNCTION("IMPORTRANGE(""https://docs.google.com/spreadsheets/d/1-uDff_7J0KD5mKrp0Vvzr7lt3OU09vwQwhkpOPPYv2Y/edit?usp=sharing"",""งบพรบ!BB62"")"),0)</f>
        <v>0</v>
      </c>
      <c r="I62" s="176">
        <f ca="1">IFERROR(__xludf.DUMMYFUNCTION("IMPORTRANGE(""https://docs.google.com/spreadsheets/d/1-uDff_7J0KD5mKrp0Vvzr7lt3OU09vwQwhkpOPPYv2Y/edit?usp=sharing"",""งบพรบ!BC62"")"),0)</f>
        <v>0</v>
      </c>
      <c r="J62" s="176">
        <f t="shared" ca="1" si="26"/>
        <v>0</v>
      </c>
      <c r="K62" s="179">
        <f t="shared" ca="1" si="27"/>
        <v>0</v>
      </c>
      <c r="L62" s="176">
        <f ca="1">IFERROR(__xludf.DUMMYFUNCTION("IMPORTRANGE(""https://docs.google.com/spreadsheets/d/1-uDff_7J0KD5mKrp0Vvzr7lt3OU09vwQwhkpOPPYv2Y/edit?usp=sharing"",""งบพรบ!BD62"")"),0)</f>
        <v>0</v>
      </c>
      <c r="M62" s="87">
        <f t="shared" ca="1" si="28"/>
        <v>0</v>
      </c>
      <c r="N62" s="87">
        <f t="shared" ca="1" si="29"/>
        <v>0</v>
      </c>
      <c r="O62" s="86">
        <f ca="1">IFERROR(__xludf.DUMMYFUNCTION("IMPORTRANGE(""https://docs.google.com/spreadsheets/d/1-uDff_7J0KD5mKrp0Vvzr7lt3OU09vwQwhkpOPPYv2Y/edit?usp=sharing"",""งบพรบ!BE62"")"),0)</f>
        <v>0</v>
      </c>
      <c r="P62" s="86">
        <f t="shared" ca="1" si="30"/>
        <v>0</v>
      </c>
      <c r="Q62" s="87">
        <f t="shared" ca="1" si="31"/>
        <v>0</v>
      </c>
      <c r="R62" s="86">
        <f ca="1">IFERROR(__xludf.DUMMYFUNCTION("IMPORTRANGE(""https://docs.google.com/spreadsheets/d/1GbCIE4D4wk9FUozzqk7SxfDMxDVBwVmI5zcaVUSzKAc/edit?usp=sharing"",""ประจวบคีรีขันธ์!Q94"")"),126630)</f>
        <v>126630</v>
      </c>
      <c r="S62" s="86">
        <f ca="1">IFERROR(__xludf.DUMMYFUNCTION("IMPORTRANGE(""https://docs.google.com/spreadsheets/d/1GbCIE4D4wk9FUozzqk7SxfDMxDVBwVmI5zcaVUSzKAc/edit?usp=sharing"",""ประจวบคีรีขันธ์!R94"")"),0)</f>
        <v>0</v>
      </c>
      <c r="T62" s="86">
        <f ca="1">IFERROR(__xludf.DUMMYFUNCTION("IMPORTRANGE(""https://docs.google.com/spreadsheets/d/1GbCIE4D4wk9FUozzqk7SxfDMxDVBwVmI5zcaVUSzKAc/edit?usp=sharing"",""ประจวบคีรีขันธ์!S94"")"),0)</f>
        <v>0</v>
      </c>
      <c r="U62" s="87">
        <f t="shared" ca="1" si="33"/>
        <v>0</v>
      </c>
      <c r="V62" s="87">
        <f t="shared" ca="1" si="34"/>
        <v>0</v>
      </c>
      <c r="W62" s="93">
        <f ca="1">IFERROR(__xludf.DUMMYFUNCTION("IMPORTRANGE(""https://docs.google.com/spreadsheets/d/1GbCIE4D4wk9FUozzqk7SxfDMxDVBwVmI5zcaVUSzKAc/edit?usp=sharing"",""ประจวบคีรีขันธ์!I108"")"),45)</f>
        <v>45</v>
      </c>
      <c r="X62" s="93">
        <f ca="1">IFERROR(__xludf.DUMMYFUNCTION("IMPORTRANGE(""https://docs.google.com/spreadsheets/d/1GbCIE4D4wk9FUozzqk7SxfDMxDVBwVmI5zcaVUSzKAc/edit?usp=sharing"",""ประจวบคีรีขันธ์!J108"")"),0)</f>
        <v>0</v>
      </c>
      <c r="Y62" s="177">
        <f t="shared" ca="1" si="36"/>
        <v>0</v>
      </c>
      <c r="Z62" s="93">
        <f ca="1">IFERROR(__xludf.DUMMYFUNCTION("IMPORTRANGE(""https://docs.google.com/spreadsheets/d/1GbCIE4D4wk9FUozzqk7SxfDMxDVBwVmI5zcaVUSzKAc/edit?usp=sharing"",""ประจวบคีรีขันธ์!I109"")"),15)</f>
        <v>15</v>
      </c>
      <c r="AA62" s="93">
        <f ca="1">IFERROR(__xludf.DUMMYFUNCTION("IMPORTRANGE(""https://docs.google.com/spreadsheets/d/1GbCIE4D4wk9FUozzqk7SxfDMxDVBwVmI5zcaVUSzKAc/edit?usp=sharing"",""ประจวบคีรีขันธ์!J109"")"),0)</f>
        <v>0</v>
      </c>
      <c r="AB62" s="177">
        <f t="shared" ca="1" si="38"/>
        <v>0</v>
      </c>
      <c r="AC62" s="93">
        <v>0</v>
      </c>
      <c r="AD62" s="93">
        <v>0</v>
      </c>
      <c r="AE62" s="177">
        <f t="shared" si="40"/>
        <v>0</v>
      </c>
    </row>
    <row r="63" spans="1:31" ht="21" customHeight="1" x14ac:dyDescent="0.3">
      <c r="A63" s="172">
        <v>11</v>
      </c>
      <c r="B63" s="173" t="s">
        <v>89</v>
      </c>
      <c r="C63" s="174">
        <f t="shared" ca="1" si="24"/>
        <v>205600</v>
      </c>
      <c r="D63" s="175">
        <f t="shared" ca="1" si="53"/>
        <v>205600</v>
      </c>
      <c r="E63" s="176">
        <f ca="1">IFERROR(__xludf.DUMMYFUNCTION("IMPORTRANGE(""https://docs.google.com/spreadsheets/d/1-uDff_7J0KD5mKrp0Vvzr7lt3OU09vwQwhkpOPPYv2Y/edit?usp=sharing"",""งบพรบ!AX63"")"),76200)</f>
        <v>76200</v>
      </c>
      <c r="F63" s="176">
        <f ca="1">IFERROR(__xludf.DUMMYFUNCTION("IMPORTRANGE(""https://docs.google.com/spreadsheets/d/1-uDff_7J0KD5mKrp0Vvzr7lt3OU09vwQwhkpOPPYv2Y/edit?usp=sharing"",""งบพรบ!AY63"")"),129400)</f>
        <v>129400</v>
      </c>
      <c r="G63" s="176">
        <f ca="1">IFERROR(__xludf.DUMMYFUNCTION("IMPORTRANGE(""https://docs.google.com/spreadsheets/d/1-uDff_7J0KD5mKrp0Vvzr7lt3OU09vwQwhkpOPPYv2Y/edit?usp=sharing"",""งบพรบ!AZ63"")"),0)</f>
        <v>0</v>
      </c>
      <c r="H63" s="176">
        <f ca="1">IFERROR(__xludf.DUMMYFUNCTION("IMPORTRANGE(""https://docs.google.com/spreadsheets/d/1-uDff_7J0KD5mKrp0Vvzr7lt3OU09vwQwhkpOPPYv2Y/edit?usp=sharing"",""งบพรบ!BB63"")"),144420)</f>
        <v>144420</v>
      </c>
      <c r="I63" s="176">
        <f ca="1">IFERROR(__xludf.DUMMYFUNCTION("IMPORTRANGE(""https://docs.google.com/spreadsheets/d/1-uDff_7J0KD5mKrp0Vvzr7lt3OU09vwQwhkpOPPYv2Y/edit?usp=sharing"",""งบพรบ!BC63"")"),0)</f>
        <v>0</v>
      </c>
      <c r="J63" s="176">
        <f t="shared" ca="1" si="26"/>
        <v>128065.5</v>
      </c>
      <c r="K63" s="179">
        <f t="shared" ca="1" si="27"/>
        <v>62.288667315175097</v>
      </c>
      <c r="L63" s="176">
        <f ca="1">IFERROR(__xludf.DUMMYFUNCTION("IMPORTRANGE(""https://docs.google.com/spreadsheets/d/1-uDff_7J0KD5mKrp0Vvzr7lt3OU09vwQwhkpOPPYv2Y/edit?usp=sharing"",""งบพรบ!BD63"")"),128065.5)</f>
        <v>128065.5</v>
      </c>
      <c r="M63" s="87">
        <f t="shared" ca="1" si="28"/>
        <v>62.288667315175097</v>
      </c>
      <c r="N63" s="87">
        <f t="shared" ca="1" si="29"/>
        <v>88.675737432488575</v>
      </c>
      <c r="O63" s="86">
        <f ca="1">IFERROR(__xludf.DUMMYFUNCTION("IMPORTRANGE(""https://docs.google.com/spreadsheets/d/1-uDff_7J0KD5mKrp0Vvzr7lt3OU09vwQwhkpOPPYv2Y/edit?usp=sharing"",""งบพรบ!BE63"")"),0)</f>
        <v>0</v>
      </c>
      <c r="P63" s="86">
        <f t="shared" ca="1" si="30"/>
        <v>0</v>
      </c>
      <c r="Q63" s="87">
        <f t="shared" ca="1" si="31"/>
        <v>0</v>
      </c>
      <c r="R63" s="86">
        <f ca="1">IFERROR(__xludf.DUMMYFUNCTION("IMPORTRANGE(""https://docs.google.com/spreadsheets/d/1vVf6wykvW_lAyu7Yo9L4hUTqHqIeP_qcVuxCtosJEbg/edit?usp=sharing"",""ปราจีนบุรี!Q94"")"),175522)</f>
        <v>175522</v>
      </c>
      <c r="S63" s="86">
        <f ca="1">IFERROR(__xludf.DUMMYFUNCTION("IMPORTRANGE(""https://docs.google.com/spreadsheets/d/1vVf6wykvW_lAyu7Yo9L4hUTqHqIeP_qcVuxCtosJEbg/edit?usp=sharing"",""ปราจีนบุรี!R94"")"),0)</f>
        <v>0</v>
      </c>
      <c r="T63" s="86">
        <f ca="1">IFERROR(__xludf.DUMMYFUNCTION("IMPORTRANGE(""https://docs.google.com/spreadsheets/d/1vVf6wykvW_lAyu7Yo9L4hUTqHqIeP_qcVuxCtosJEbg/edit?usp=sharing"",""ปราจีนบุรี!S94"")"),0)</f>
        <v>0</v>
      </c>
      <c r="U63" s="87">
        <f t="shared" ca="1" si="33"/>
        <v>0</v>
      </c>
      <c r="V63" s="87">
        <f t="shared" ca="1" si="34"/>
        <v>0</v>
      </c>
      <c r="W63" s="93">
        <f ca="1">IFERROR(__xludf.DUMMYFUNCTION("IMPORTRANGE(""https://docs.google.com/spreadsheets/d/1vVf6wykvW_lAyu7Yo9L4hUTqHqIeP_qcVuxCtosJEbg/edit?usp=sharing"",""ปราจีนบุรี!I108"")"),93)</f>
        <v>93</v>
      </c>
      <c r="X63" s="93">
        <f ca="1">IFERROR(__xludf.DUMMYFUNCTION("IMPORTRANGE(""https://docs.google.com/spreadsheets/d/1vVf6wykvW_lAyu7Yo9L4hUTqHqIeP_qcVuxCtosJEbg/edit?usp=sharing"",""ปราจีนบุรี!J108"")"),0)</f>
        <v>0</v>
      </c>
      <c r="Y63" s="177">
        <f t="shared" ca="1" si="36"/>
        <v>0</v>
      </c>
      <c r="Z63" s="93">
        <f ca="1">IFERROR(__xludf.DUMMYFUNCTION("IMPORTRANGE(""https://docs.google.com/spreadsheets/d/1vVf6wykvW_lAyu7Yo9L4hUTqHqIeP_qcVuxCtosJEbg/edit?usp=sharing"",""ปราจีนบุรี!I109"")"),31)</f>
        <v>31</v>
      </c>
      <c r="AA63" s="93">
        <f ca="1">IFERROR(__xludf.DUMMYFUNCTION("IMPORTRANGE(""https://docs.google.com/spreadsheets/d/1vVf6wykvW_lAyu7Yo9L4hUTqHqIeP_qcVuxCtosJEbg/edit?usp=sharing"",""ปราจีนบุรี!J109"")"),0)</f>
        <v>0</v>
      </c>
      <c r="AB63" s="177">
        <f t="shared" ca="1" si="38"/>
        <v>0</v>
      </c>
      <c r="AC63" s="93">
        <v>0</v>
      </c>
      <c r="AD63" s="93">
        <v>0</v>
      </c>
      <c r="AE63" s="177">
        <f t="shared" si="40"/>
        <v>0</v>
      </c>
    </row>
    <row r="64" spans="1:31" ht="21" customHeight="1" x14ac:dyDescent="0.3">
      <c r="A64" s="172">
        <v>12</v>
      </c>
      <c r="B64" s="173" t="s">
        <v>90</v>
      </c>
      <c r="C64" s="174">
        <f t="shared" ca="1" si="24"/>
        <v>0</v>
      </c>
      <c r="D64" s="175">
        <f t="shared" ca="1" si="53"/>
        <v>0</v>
      </c>
      <c r="E64" s="176">
        <f ca="1">IFERROR(__xludf.DUMMYFUNCTION("IMPORTRANGE(""https://docs.google.com/spreadsheets/d/1-uDff_7J0KD5mKrp0Vvzr7lt3OU09vwQwhkpOPPYv2Y/edit?usp=sharing"",""งบพรบ!AX64"")"),0)</f>
        <v>0</v>
      </c>
      <c r="F64" s="176">
        <f ca="1">IFERROR(__xludf.DUMMYFUNCTION("IMPORTRANGE(""https://docs.google.com/spreadsheets/d/1-uDff_7J0KD5mKrp0Vvzr7lt3OU09vwQwhkpOPPYv2Y/edit?usp=sharing"",""งบพรบ!AY64"")"),0)</f>
        <v>0</v>
      </c>
      <c r="G64" s="176">
        <f ca="1">IFERROR(__xludf.DUMMYFUNCTION("IMPORTRANGE(""https://docs.google.com/spreadsheets/d/1-uDff_7J0KD5mKrp0Vvzr7lt3OU09vwQwhkpOPPYv2Y/edit?usp=sharing"",""งบพรบ!AZ64"")"),0)</f>
        <v>0</v>
      </c>
      <c r="H64" s="176">
        <f ca="1">IFERROR(__xludf.DUMMYFUNCTION("IMPORTRANGE(""https://docs.google.com/spreadsheets/d/1-uDff_7J0KD5mKrp0Vvzr7lt3OU09vwQwhkpOPPYv2Y/edit?usp=sharing"",""งบพรบ!BB64"")"),0)</f>
        <v>0</v>
      </c>
      <c r="I64" s="176">
        <f ca="1">IFERROR(__xludf.DUMMYFUNCTION("IMPORTRANGE(""https://docs.google.com/spreadsheets/d/1-uDff_7J0KD5mKrp0Vvzr7lt3OU09vwQwhkpOPPYv2Y/edit?usp=sharing"",""งบพรบ!BC64"")"),0)</f>
        <v>0</v>
      </c>
      <c r="J64" s="176">
        <f t="shared" ca="1" si="26"/>
        <v>0</v>
      </c>
      <c r="K64" s="179">
        <f t="shared" ca="1" si="27"/>
        <v>0</v>
      </c>
      <c r="L64" s="176">
        <f ca="1">IFERROR(__xludf.DUMMYFUNCTION("IMPORTRANGE(""https://docs.google.com/spreadsheets/d/1-uDff_7J0KD5mKrp0Vvzr7lt3OU09vwQwhkpOPPYv2Y/edit?usp=sharing"",""งบพรบ!BD64"")"),0)</f>
        <v>0</v>
      </c>
      <c r="M64" s="87">
        <f t="shared" ca="1" si="28"/>
        <v>0</v>
      </c>
      <c r="N64" s="87">
        <f t="shared" ca="1" si="29"/>
        <v>0</v>
      </c>
      <c r="O64" s="86">
        <f ca="1">IFERROR(__xludf.DUMMYFUNCTION("IMPORTRANGE(""https://docs.google.com/spreadsheets/d/1-uDff_7J0KD5mKrp0Vvzr7lt3OU09vwQwhkpOPPYv2Y/edit?usp=sharing"",""งบพรบ!BE64"")"),0)</f>
        <v>0</v>
      </c>
      <c r="P64" s="86">
        <f t="shared" ca="1" si="30"/>
        <v>0</v>
      </c>
      <c r="Q64" s="87">
        <f t="shared" ca="1" si="31"/>
        <v>0</v>
      </c>
      <c r="R64" s="86">
        <f ca="1">IFERROR(__xludf.DUMMYFUNCTION("IMPORTRANGE(""https://docs.google.com/spreadsheets/d/1BIDqLLg5jk3v59G8NlR8rk5xfQDKne0sAvZHSj7TI6I/edit?usp=sharing"",""พระนครศรีอยุธยา!Q94"")"),0)</f>
        <v>0</v>
      </c>
      <c r="S64" s="86">
        <f ca="1">IFERROR(__xludf.DUMMYFUNCTION("IMPORTRANGE(""https://docs.google.com/spreadsheets/d/1BIDqLLg5jk3v59G8NlR8rk5xfQDKne0sAvZHSj7TI6I/edit?usp=sharing"",""พระนครศรีอยุธยา!R94"")"),0)</f>
        <v>0</v>
      </c>
      <c r="T64" s="86">
        <f ca="1">IFERROR(__xludf.DUMMYFUNCTION("IMPORTRANGE(""https://docs.google.com/spreadsheets/d/1BIDqLLg5jk3v59G8NlR8rk5xfQDKne0sAvZHSj7TI6I/edit?usp=sharing"",""พระนครศรีอยุธยา!S94"")"),0)</f>
        <v>0</v>
      </c>
      <c r="U64" s="87">
        <f t="shared" ca="1" si="33"/>
        <v>0</v>
      </c>
      <c r="V64" s="87">
        <f t="shared" ca="1" si="34"/>
        <v>0</v>
      </c>
      <c r="W64" s="93">
        <f ca="1">IFERROR(__xludf.DUMMYFUNCTION("IMPORTRANGE(""https://docs.google.com/spreadsheets/d/1BIDqLLg5jk3v59G8NlR8rk5xfQDKne0sAvZHSj7TI6I/edit?usp=sharing"",""พระนครศรีอยุธยา!I108"")"),0)</f>
        <v>0</v>
      </c>
      <c r="X64" s="93">
        <f ca="1">IFERROR(__xludf.DUMMYFUNCTION("IMPORTRANGE(""https://docs.google.com/spreadsheets/d/1BIDqLLg5jk3v59G8NlR8rk5xfQDKne0sAvZHSj7TI6I/edit?usp=sharing"",""พระนครศรีอยุธยา!J108"")"),0)</f>
        <v>0</v>
      </c>
      <c r="Y64" s="177">
        <f t="shared" ca="1" si="36"/>
        <v>0</v>
      </c>
      <c r="Z64" s="93">
        <f ca="1">IFERROR(__xludf.DUMMYFUNCTION("IMPORTRANGE(""https://docs.google.com/spreadsheets/d/1BIDqLLg5jk3v59G8NlR8rk5xfQDKne0sAvZHSj7TI6I/edit?usp=sharing"",""พระนครศรีอยุธยา!I109"")"),0)</f>
        <v>0</v>
      </c>
      <c r="AA64" s="93">
        <f ca="1">IFERROR(__xludf.DUMMYFUNCTION("IMPORTRANGE(""https://docs.google.com/spreadsheets/d/1BIDqLLg5jk3v59G8NlR8rk5xfQDKne0sAvZHSj7TI6I/edit?usp=sharing"",""พระนครศรีอยุธยา!J109"")"),0)</f>
        <v>0</v>
      </c>
      <c r="AB64" s="177">
        <f t="shared" ca="1" si="38"/>
        <v>0</v>
      </c>
      <c r="AC64" s="93">
        <v>0</v>
      </c>
      <c r="AD64" s="93">
        <v>0</v>
      </c>
      <c r="AE64" s="177">
        <f t="shared" si="40"/>
        <v>0</v>
      </c>
    </row>
    <row r="65" spans="1:31" ht="21" customHeight="1" x14ac:dyDescent="0.3">
      <c r="A65" s="172">
        <v>13</v>
      </c>
      <c r="B65" s="173" t="s">
        <v>91</v>
      </c>
      <c r="C65" s="174">
        <f t="shared" ca="1" si="24"/>
        <v>0</v>
      </c>
      <c r="D65" s="175">
        <f t="shared" ca="1" si="53"/>
        <v>0</v>
      </c>
      <c r="E65" s="176">
        <f ca="1">IFERROR(__xludf.DUMMYFUNCTION("IMPORTRANGE(""https://docs.google.com/spreadsheets/d/1-uDff_7J0KD5mKrp0Vvzr7lt3OU09vwQwhkpOPPYv2Y/edit?usp=sharing"",""งบพรบ!AX65"")"),0)</f>
        <v>0</v>
      </c>
      <c r="F65" s="176">
        <f ca="1">IFERROR(__xludf.DUMMYFUNCTION("IMPORTRANGE(""https://docs.google.com/spreadsheets/d/1-uDff_7J0KD5mKrp0Vvzr7lt3OU09vwQwhkpOPPYv2Y/edit?usp=sharing"",""งบพรบ!AY65"")"),0)</f>
        <v>0</v>
      </c>
      <c r="G65" s="176">
        <f ca="1">IFERROR(__xludf.DUMMYFUNCTION("IMPORTRANGE(""https://docs.google.com/spreadsheets/d/1-uDff_7J0KD5mKrp0Vvzr7lt3OU09vwQwhkpOPPYv2Y/edit?usp=sharing"",""งบพรบ!AZ65"")"),0)</f>
        <v>0</v>
      </c>
      <c r="H65" s="176">
        <f ca="1">IFERROR(__xludf.DUMMYFUNCTION("IMPORTRANGE(""https://docs.google.com/spreadsheets/d/1-uDff_7J0KD5mKrp0Vvzr7lt3OU09vwQwhkpOPPYv2Y/edit?usp=sharing"",""งบพรบ!BB65"")"),0)</f>
        <v>0</v>
      </c>
      <c r="I65" s="176">
        <f ca="1">IFERROR(__xludf.DUMMYFUNCTION("IMPORTRANGE(""https://docs.google.com/spreadsheets/d/1-uDff_7J0KD5mKrp0Vvzr7lt3OU09vwQwhkpOPPYv2Y/edit?usp=sharing"",""งบพรบ!BC65"")"),0)</f>
        <v>0</v>
      </c>
      <c r="J65" s="176">
        <f t="shared" ca="1" si="26"/>
        <v>0</v>
      </c>
      <c r="K65" s="179">
        <f t="shared" ca="1" si="27"/>
        <v>0</v>
      </c>
      <c r="L65" s="176">
        <f ca="1">IFERROR(__xludf.DUMMYFUNCTION("IMPORTRANGE(""https://docs.google.com/spreadsheets/d/1-uDff_7J0KD5mKrp0Vvzr7lt3OU09vwQwhkpOPPYv2Y/edit?usp=sharing"",""งบพรบ!BD65"")"),0)</f>
        <v>0</v>
      </c>
      <c r="M65" s="87">
        <f t="shared" ca="1" si="28"/>
        <v>0</v>
      </c>
      <c r="N65" s="87">
        <f t="shared" ca="1" si="29"/>
        <v>0</v>
      </c>
      <c r="O65" s="86">
        <f ca="1">IFERROR(__xludf.DUMMYFUNCTION("IMPORTRANGE(""https://docs.google.com/spreadsheets/d/1-uDff_7J0KD5mKrp0Vvzr7lt3OU09vwQwhkpOPPYv2Y/edit?usp=sharing"",""งบพรบ!BE65"")"),0)</f>
        <v>0</v>
      </c>
      <c r="P65" s="86">
        <f t="shared" ca="1" si="30"/>
        <v>0</v>
      </c>
      <c r="Q65" s="87">
        <f t="shared" ca="1" si="31"/>
        <v>0</v>
      </c>
      <c r="R65" s="86">
        <f ca="1">IFERROR(__xludf.DUMMYFUNCTION("IMPORTRANGE(""https://docs.google.com/spreadsheets/d/1YXvxf8Yu6_rV4hTBrwMqAcAnv6DfhUxh5emyM3CJp_w/edit?usp=sharing"",""เพชรบุรี!Q94"")"),84420)</f>
        <v>84420</v>
      </c>
      <c r="S65" s="86">
        <f ca="1">IFERROR(__xludf.DUMMYFUNCTION("IMPORTRANGE(""https://docs.google.com/spreadsheets/d/1YXvxf8Yu6_rV4hTBrwMqAcAnv6DfhUxh5emyM3CJp_w/edit?usp=sharing"",""เพชรบุรี!R94"")"),0)</f>
        <v>0</v>
      </c>
      <c r="T65" s="86">
        <f ca="1">IFERROR(__xludf.DUMMYFUNCTION("IMPORTRANGE(""https://docs.google.com/spreadsheets/d/1YXvxf8Yu6_rV4hTBrwMqAcAnv6DfhUxh5emyM3CJp_w/edit?usp=sharing"",""เพชรบุรี!S94"")"),0)</f>
        <v>0</v>
      </c>
      <c r="U65" s="87">
        <f t="shared" ca="1" si="33"/>
        <v>0</v>
      </c>
      <c r="V65" s="87">
        <f t="shared" ca="1" si="34"/>
        <v>0</v>
      </c>
      <c r="W65" s="93">
        <f ca="1">IFERROR(__xludf.DUMMYFUNCTION("IMPORTRANGE(""https://docs.google.com/spreadsheets/d/1YXvxf8Yu6_rV4hTBrwMqAcAnv6DfhUxh5emyM3CJp_w/edit?usp=sharing"",""เพชรบุรี!I108"")"),30)</f>
        <v>30</v>
      </c>
      <c r="X65" s="93">
        <f ca="1">IFERROR(__xludf.DUMMYFUNCTION("IMPORTRANGE(""https://docs.google.com/spreadsheets/d/1YXvxf8Yu6_rV4hTBrwMqAcAnv6DfhUxh5emyM3CJp_w/edit?usp=sharing"",""เพชรบุรี!J108"")"),0)</f>
        <v>0</v>
      </c>
      <c r="Y65" s="177">
        <f t="shared" ca="1" si="36"/>
        <v>0</v>
      </c>
      <c r="Z65" s="93">
        <f ca="1">IFERROR(__xludf.DUMMYFUNCTION("IMPORTRANGE(""https://docs.google.com/spreadsheets/d/1YXvxf8Yu6_rV4hTBrwMqAcAnv6DfhUxh5emyM3CJp_w/edit?usp=sharing"",""เพชรบุรี!I109"")"),10)</f>
        <v>10</v>
      </c>
      <c r="AA65" s="93">
        <f ca="1">IFERROR(__xludf.DUMMYFUNCTION("IMPORTRANGE(""https://docs.google.com/spreadsheets/d/1YXvxf8Yu6_rV4hTBrwMqAcAnv6DfhUxh5emyM3CJp_w/edit?usp=sharing"",""เพชรบุรี!J109"")"),0)</f>
        <v>0</v>
      </c>
      <c r="AB65" s="177">
        <f t="shared" ca="1" si="38"/>
        <v>0</v>
      </c>
      <c r="AC65" s="93">
        <v>0</v>
      </c>
      <c r="AD65" s="93">
        <v>0</v>
      </c>
      <c r="AE65" s="177">
        <f t="shared" si="40"/>
        <v>0</v>
      </c>
    </row>
    <row r="66" spans="1:31" ht="21" customHeight="1" x14ac:dyDescent="0.3">
      <c r="A66" s="172">
        <v>14</v>
      </c>
      <c r="B66" s="173" t="s">
        <v>92</v>
      </c>
      <c r="C66" s="174">
        <f t="shared" ca="1" si="24"/>
        <v>0</v>
      </c>
      <c r="D66" s="175">
        <f t="shared" ca="1" si="53"/>
        <v>0</v>
      </c>
      <c r="E66" s="176">
        <f ca="1">IFERROR(__xludf.DUMMYFUNCTION("IMPORTRANGE(""https://docs.google.com/spreadsheets/d/1-uDff_7J0KD5mKrp0Vvzr7lt3OU09vwQwhkpOPPYv2Y/edit?usp=sharing"",""งบพรบ!AX66"")"),0)</f>
        <v>0</v>
      </c>
      <c r="F66" s="176">
        <f ca="1">IFERROR(__xludf.DUMMYFUNCTION("IMPORTRANGE(""https://docs.google.com/spreadsheets/d/1-uDff_7J0KD5mKrp0Vvzr7lt3OU09vwQwhkpOPPYv2Y/edit?usp=sharing"",""งบพรบ!AY66"")"),0)</f>
        <v>0</v>
      </c>
      <c r="G66" s="176">
        <f ca="1">IFERROR(__xludf.DUMMYFUNCTION("IMPORTRANGE(""https://docs.google.com/spreadsheets/d/1-uDff_7J0KD5mKrp0Vvzr7lt3OU09vwQwhkpOPPYv2Y/edit?usp=sharing"",""งบพรบ!AZ66"")"),0)</f>
        <v>0</v>
      </c>
      <c r="H66" s="176">
        <f ca="1">IFERROR(__xludf.DUMMYFUNCTION("IMPORTRANGE(""https://docs.google.com/spreadsheets/d/1-uDff_7J0KD5mKrp0Vvzr7lt3OU09vwQwhkpOPPYv2Y/edit?usp=sharing"",""งบพรบ!BB66"")"),0)</f>
        <v>0</v>
      </c>
      <c r="I66" s="176">
        <f ca="1">IFERROR(__xludf.DUMMYFUNCTION("IMPORTRANGE(""https://docs.google.com/spreadsheets/d/1-uDff_7J0KD5mKrp0Vvzr7lt3OU09vwQwhkpOPPYv2Y/edit?usp=sharing"",""งบพรบ!BC66"")"),0)</f>
        <v>0</v>
      </c>
      <c r="J66" s="176">
        <f t="shared" ca="1" si="26"/>
        <v>0</v>
      </c>
      <c r="K66" s="179">
        <f t="shared" ca="1" si="27"/>
        <v>0</v>
      </c>
      <c r="L66" s="176">
        <f ca="1">IFERROR(__xludf.DUMMYFUNCTION("IMPORTRANGE(""https://docs.google.com/spreadsheets/d/1-uDff_7J0KD5mKrp0Vvzr7lt3OU09vwQwhkpOPPYv2Y/edit?usp=sharing"",""งบพรบ!BD66"")"),0)</f>
        <v>0</v>
      </c>
      <c r="M66" s="87">
        <f t="shared" ca="1" si="28"/>
        <v>0</v>
      </c>
      <c r="N66" s="87">
        <f t="shared" ca="1" si="29"/>
        <v>0</v>
      </c>
      <c r="O66" s="86">
        <f ca="1">IFERROR(__xludf.DUMMYFUNCTION("IMPORTRANGE(""https://docs.google.com/spreadsheets/d/1-uDff_7J0KD5mKrp0Vvzr7lt3OU09vwQwhkpOPPYv2Y/edit?usp=sharing"",""งบพรบ!BE66"")"),0)</f>
        <v>0</v>
      </c>
      <c r="P66" s="86">
        <f t="shared" ca="1" si="30"/>
        <v>0</v>
      </c>
      <c r="Q66" s="87">
        <f t="shared" ca="1" si="31"/>
        <v>0</v>
      </c>
      <c r="R66" s="86">
        <f ca="1">IFERROR(__xludf.DUMMYFUNCTION("IMPORTRANGE(""https://docs.google.com/spreadsheets/d/19KBlQQs7uwvsao6t2n-KvW3Ax8J8uRRfZPq1zPbXgKc/edit?usp=sharing"",""ระยอง!Q94"")"),0)</f>
        <v>0</v>
      </c>
      <c r="S66" s="86">
        <f ca="1">IFERROR(__xludf.DUMMYFUNCTION("IMPORTRANGE(""https://docs.google.com/spreadsheets/d/19KBlQQs7uwvsao6t2n-KvW3Ax8J8uRRfZPq1zPbXgKc/edit?usp=sharing"",""ระยอง!R94"")"),0)</f>
        <v>0</v>
      </c>
      <c r="T66" s="86">
        <f ca="1">IFERROR(__xludf.DUMMYFUNCTION("IMPORTRANGE(""https://docs.google.com/spreadsheets/d/19KBlQQs7uwvsao6t2n-KvW3Ax8J8uRRfZPq1zPbXgKc/edit?usp=sharing"",""ระยอง!S94"")"),0)</f>
        <v>0</v>
      </c>
      <c r="U66" s="87">
        <f t="shared" ca="1" si="33"/>
        <v>0</v>
      </c>
      <c r="V66" s="87">
        <f t="shared" ca="1" si="34"/>
        <v>0</v>
      </c>
      <c r="W66" s="93">
        <f ca="1">IFERROR(__xludf.DUMMYFUNCTION("IMPORTRANGE(""https://docs.google.com/spreadsheets/d/19KBlQQs7uwvsao6t2n-KvW3Ax8J8uRRfZPq1zPbXgKc/edit?usp=sharing"",""ระยอง!I108"")"),0)</f>
        <v>0</v>
      </c>
      <c r="X66" s="93">
        <f ca="1">IFERROR(__xludf.DUMMYFUNCTION("IMPORTRANGE(""https://docs.google.com/spreadsheets/d/19KBlQQs7uwvsao6t2n-KvW3Ax8J8uRRfZPq1zPbXgKc/edit?usp=sharing"",""ระยอง!J108"")"),0)</f>
        <v>0</v>
      </c>
      <c r="Y66" s="177">
        <f t="shared" ca="1" si="36"/>
        <v>0</v>
      </c>
      <c r="Z66" s="93">
        <f ca="1">IFERROR(__xludf.DUMMYFUNCTION("IMPORTRANGE(""https://docs.google.com/spreadsheets/d/19KBlQQs7uwvsao6t2n-KvW3Ax8J8uRRfZPq1zPbXgKc/edit?usp=sharing"",""ระยอง!I109"")"),0)</f>
        <v>0</v>
      </c>
      <c r="AA66" s="93">
        <f ca="1">IFERROR(__xludf.DUMMYFUNCTION("IMPORTRANGE(""https://docs.google.com/spreadsheets/d/19KBlQQs7uwvsao6t2n-KvW3Ax8J8uRRfZPq1zPbXgKc/edit?usp=sharing"",""ระยอง!J109"")"),0)</f>
        <v>0</v>
      </c>
      <c r="AB66" s="177">
        <f t="shared" ca="1" si="38"/>
        <v>0</v>
      </c>
      <c r="AC66" s="93">
        <v>0</v>
      </c>
      <c r="AD66" s="93">
        <v>0</v>
      </c>
      <c r="AE66" s="177">
        <f t="shared" si="40"/>
        <v>0</v>
      </c>
    </row>
    <row r="67" spans="1:31" ht="21" customHeight="1" x14ac:dyDescent="0.3">
      <c r="A67" s="172">
        <v>15</v>
      </c>
      <c r="B67" s="173" t="s">
        <v>93</v>
      </c>
      <c r="C67" s="174">
        <f t="shared" ca="1" si="24"/>
        <v>0</v>
      </c>
      <c r="D67" s="175">
        <f t="shared" ca="1" si="53"/>
        <v>0</v>
      </c>
      <c r="E67" s="176">
        <f ca="1">IFERROR(__xludf.DUMMYFUNCTION("IMPORTRANGE(""https://docs.google.com/spreadsheets/d/1-uDff_7J0KD5mKrp0Vvzr7lt3OU09vwQwhkpOPPYv2Y/edit?usp=sharing"",""งบพรบ!AX67"")"),0)</f>
        <v>0</v>
      </c>
      <c r="F67" s="176">
        <f ca="1">IFERROR(__xludf.DUMMYFUNCTION("IMPORTRANGE(""https://docs.google.com/spreadsheets/d/1-uDff_7J0KD5mKrp0Vvzr7lt3OU09vwQwhkpOPPYv2Y/edit?usp=sharing"",""งบพรบ!AY67"")"),0)</f>
        <v>0</v>
      </c>
      <c r="G67" s="176">
        <f ca="1">IFERROR(__xludf.DUMMYFUNCTION("IMPORTRANGE(""https://docs.google.com/spreadsheets/d/1-uDff_7J0KD5mKrp0Vvzr7lt3OU09vwQwhkpOPPYv2Y/edit?usp=sharing"",""งบพรบ!AZ67"")"),0)</f>
        <v>0</v>
      </c>
      <c r="H67" s="176">
        <f ca="1">IFERROR(__xludf.DUMMYFUNCTION("IMPORTRANGE(""https://docs.google.com/spreadsheets/d/1-uDff_7J0KD5mKrp0Vvzr7lt3OU09vwQwhkpOPPYv2Y/edit?usp=sharing"",""งบพรบ!BB67"")"),0)</f>
        <v>0</v>
      </c>
      <c r="I67" s="176">
        <f ca="1">IFERROR(__xludf.DUMMYFUNCTION("IMPORTRANGE(""https://docs.google.com/spreadsheets/d/1-uDff_7J0KD5mKrp0Vvzr7lt3OU09vwQwhkpOPPYv2Y/edit?usp=sharing"",""งบพรบ!BC67"")"),0)</f>
        <v>0</v>
      </c>
      <c r="J67" s="176">
        <f t="shared" ca="1" si="26"/>
        <v>0</v>
      </c>
      <c r="K67" s="179">
        <f t="shared" ca="1" si="27"/>
        <v>0</v>
      </c>
      <c r="L67" s="176">
        <f ca="1">IFERROR(__xludf.DUMMYFUNCTION("IMPORTRANGE(""https://docs.google.com/spreadsheets/d/1-uDff_7J0KD5mKrp0Vvzr7lt3OU09vwQwhkpOPPYv2Y/edit?usp=sharing"",""งบพรบ!BD67"")"),0)</f>
        <v>0</v>
      </c>
      <c r="M67" s="87">
        <f t="shared" ca="1" si="28"/>
        <v>0</v>
      </c>
      <c r="N67" s="87">
        <f t="shared" ca="1" si="29"/>
        <v>0</v>
      </c>
      <c r="O67" s="86">
        <f ca="1">IFERROR(__xludf.DUMMYFUNCTION("IMPORTRANGE(""https://docs.google.com/spreadsheets/d/1-uDff_7J0KD5mKrp0Vvzr7lt3OU09vwQwhkpOPPYv2Y/edit?usp=sharing"",""งบพรบ!BE67"")"),0)</f>
        <v>0</v>
      </c>
      <c r="P67" s="86">
        <f t="shared" ca="1" si="30"/>
        <v>0</v>
      </c>
      <c r="Q67" s="87">
        <f t="shared" ca="1" si="31"/>
        <v>0</v>
      </c>
      <c r="R67" s="86">
        <f ca="1">IFERROR(__xludf.DUMMYFUNCTION("IMPORTRANGE(""https://docs.google.com/spreadsheets/d/1jQ6P4QcrGM89YfqcC_PxOHGCMq5ezhucwJd8ci-NHng/edit?usp=sharing"",""ราชบุรี!Q94"")"),126630)</f>
        <v>126630</v>
      </c>
      <c r="S67" s="86">
        <f ca="1">IFERROR(__xludf.DUMMYFUNCTION("IMPORTRANGE(""https://docs.google.com/spreadsheets/d/1jQ6P4QcrGM89YfqcC_PxOHGCMq5ezhucwJd8ci-NHng/edit?usp=sharing"",""ราชบุรี!R94"")"),0)</f>
        <v>0</v>
      </c>
      <c r="T67" s="86">
        <f ca="1">IFERROR(__xludf.DUMMYFUNCTION("IMPORTRANGE(""https://docs.google.com/spreadsheets/d/1jQ6P4QcrGM89YfqcC_PxOHGCMq5ezhucwJd8ci-NHng/edit?usp=sharing"",""ราชบุรี!S94"")"),0)</f>
        <v>0</v>
      </c>
      <c r="U67" s="87">
        <f t="shared" ca="1" si="33"/>
        <v>0</v>
      </c>
      <c r="V67" s="87">
        <f t="shared" ca="1" si="34"/>
        <v>0</v>
      </c>
      <c r="W67" s="93">
        <f ca="1">IFERROR(__xludf.DUMMYFUNCTION("IMPORTRANGE(""https://docs.google.com/spreadsheets/d/1jQ6P4QcrGM89YfqcC_PxOHGCMq5ezhucwJd8ci-NHng/edit?usp=sharing"",""ราชบุรี!I108"")"),45)</f>
        <v>45</v>
      </c>
      <c r="X67" s="93">
        <f ca="1">IFERROR(__xludf.DUMMYFUNCTION("IMPORTRANGE(""https://docs.google.com/spreadsheets/d/1jQ6P4QcrGM89YfqcC_PxOHGCMq5ezhucwJd8ci-NHng/edit?usp=sharing"",""ราชบุรี!J108"")"),0)</f>
        <v>0</v>
      </c>
      <c r="Y67" s="177">
        <f t="shared" ca="1" si="36"/>
        <v>0</v>
      </c>
      <c r="Z67" s="93">
        <f ca="1">IFERROR(__xludf.DUMMYFUNCTION("IMPORTRANGE(""https://docs.google.com/spreadsheets/d/1jQ6P4QcrGM89YfqcC_PxOHGCMq5ezhucwJd8ci-NHng/edit?usp=sharing"",""ราชบุรี!I109"")"),15)</f>
        <v>15</v>
      </c>
      <c r="AA67" s="93">
        <f ca="1">IFERROR(__xludf.DUMMYFUNCTION("IMPORTRANGE(""https://docs.google.com/spreadsheets/d/1jQ6P4QcrGM89YfqcC_PxOHGCMq5ezhucwJd8ci-NHng/edit?usp=sharing"",""ราชบุรี!J109"")"),0)</f>
        <v>0</v>
      </c>
      <c r="AB67" s="177">
        <f t="shared" ca="1" si="38"/>
        <v>0</v>
      </c>
      <c r="AC67" s="93">
        <v>0</v>
      </c>
      <c r="AD67" s="93">
        <v>0</v>
      </c>
      <c r="AE67" s="177">
        <f t="shared" si="40"/>
        <v>0</v>
      </c>
    </row>
    <row r="68" spans="1:31" ht="24" customHeight="1" x14ac:dyDescent="0.3">
      <c r="A68" s="172">
        <v>16</v>
      </c>
      <c r="B68" s="173" t="s">
        <v>94</v>
      </c>
      <c r="C68" s="174">
        <f t="shared" ca="1" si="24"/>
        <v>0</v>
      </c>
      <c r="D68" s="175">
        <f t="shared" ca="1" si="53"/>
        <v>0</v>
      </c>
      <c r="E68" s="176">
        <f ca="1">IFERROR(__xludf.DUMMYFUNCTION("IMPORTRANGE(""https://docs.google.com/spreadsheets/d/1-uDff_7J0KD5mKrp0Vvzr7lt3OU09vwQwhkpOPPYv2Y/edit?usp=sharing"",""งบพรบ!AX68"")"),0)</f>
        <v>0</v>
      </c>
      <c r="F68" s="176">
        <f ca="1">IFERROR(__xludf.DUMMYFUNCTION("IMPORTRANGE(""https://docs.google.com/spreadsheets/d/1-uDff_7J0KD5mKrp0Vvzr7lt3OU09vwQwhkpOPPYv2Y/edit?usp=sharing"",""งบพรบ!AY68"")"),0)</f>
        <v>0</v>
      </c>
      <c r="G68" s="176">
        <f ca="1">IFERROR(__xludf.DUMMYFUNCTION("IMPORTRANGE(""https://docs.google.com/spreadsheets/d/1-uDff_7J0KD5mKrp0Vvzr7lt3OU09vwQwhkpOPPYv2Y/edit?usp=sharing"",""งบพรบ!AZ68"")"),0)</f>
        <v>0</v>
      </c>
      <c r="H68" s="176">
        <f ca="1">IFERROR(__xludf.DUMMYFUNCTION("IMPORTRANGE(""https://docs.google.com/spreadsheets/d/1-uDff_7J0KD5mKrp0Vvzr7lt3OU09vwQwhkpOPPYv2Y/edit?usp=sharing"",""งบพรบ!BB68"")"),0)</f>
        <v>0</v>
      </c>
      <c r="I68" s="176">
        <f ca="1">IFERROR(__xludf.DUMMYFUNCTION("IMPORTRANGE(""https://docs.google.com/spreadsheets/d/1-uDff_7J0KD5mKrp0Vvzr7lt3OU09vwQwhkpOPPYv2Y/edit?usp=sharing"",""งบพรบ!BC68"")"),0)</f>
        <v>0</v>
      </c>
      <c r="J68" s="176">
        <f t="shared" ca="1" si="26"/>
        <v>0</v>
      </c>
      <c r="K68" s="179">
        <f t="shared" ca="1" si="27"/>
        <v>0</v>
      </c>
      <c r="L68" s="176">
        <f ca="1">IFERROR(__xludf.DUMMYFUNCTION("IMPORTRANGE(""https://docs.google.com/spreadsheets/d/1-uDff_7J0KD5mKrp0Vvzr7lt3OU09vwQwhkpOPPYv2Y/edit?usp=sharing"",""งบพรบ!BD68"")"),0)</f>
        <v>0</v>
      </c>
      <c r="M68" s="87">
        <f t="shared" ca="1" si="28"/>
        <v>0</v>
      </c>
      <c r="N68" s="87">
        <f t="shared" ca="1" si="29"/>
        <v>0</v>
      </c>
      <c r="O68" s="86">
        <f ca="1">IFERROR(__xludf.DUMMYFUNCTION("IMPORTRANGE(""https://docs.google.com/spreadsheets/d/1-uDff_7J0KD5mKrp0Vvzr7lt3OU09vwQwhkpOPPYv2Y/edit?usp=sharing"",""งบพรบ!BE68"")"),0)</f>
        <v>0</v>
      </c>
      <c r="P68" s="86">
        <f t="shared" ca="1" si="30"/>
        <v>0</v>
      </c>
      <c r="Q68" s="87">
        <f t="shared" ca="1" si="31"/>
        <v>0</v>
      </c>
      <c r="R68" s="86">
        <f ca="1">IFERROR(__xludf.DUMMYFUNCTION("IMPORTRANGE(""https://docs.google.com/spreadsheets/d/1lufeA2cfFqM-elVq2hznhDzC6Pr7wkJ9ZG_sYNGCMCU/edit?usp=sharing"",""ลพบุรี!Q94"")"),84420)</f>
        <v>84420</v>
      </c>
      <c r="S68" s="86">
        <f ca="1">IFERROR(__xludf.DUMMYFUNCTION("IMPORTRANGE(""https://docs.google.com/spreadsheets/d/1lufeA2cfFqM-elVq2hznhDzC6Pr7wkJ9ZG_sYNGCMCU/edit?usp=sharing"",""ลพบุรี!R94"")"),0)</f>
        <v>0</v>
      </c>
      <c r="T68" s="86">
        <f ca="1">IFERROR(__xludf.DUMMYFUNCTION("IMPORTRANGE(""https://docs.google.com/spreadsheets/d/1lufeA2cfFqM-elVq2hznhDzC6Pr7wkJ9ZG_sYNGCMCU/edit?usp=sharing"",""ลพบุรี!S94"")"),0)</f>
        <v>0</v>
      </c>
      <c r="U68" s="87">
        <f t="shared" ca="1" si="33"/>
        <v>0</v>
      </c>
      <c r="V68" s="87">
        <f t="shared" ca="1" si="34"/>
        <v>0</v>
      </c>
      <c r="W68" s="97">
        <f ca="1">IFERROR(__xludf.DUMMYFUNCTION("IMPORTRANGE(""https://docs.google.com/spreadsheets/d/1lufeA2cfFqM-elVq2hznhDzC6Pr7wkJ9ZG_sYNGCMCU/edit?usp=sharing"",""ลพบุรี!I108"")"),30)</f>
        <v>30</v>
      </c>
      <c r="X68" s="97">
        <f ca="1">IFERROR(__xludf.DUMMYFUNCTION("IMPORTRANGE(""https://docs.google.com/spreadsheets/d/1lufeA2cfFqM-elVq2hznhDzC6Pr7wkJ9ZG_sYNGCMCU/edit?usp=sharing"",""ลพบุรี!J108"")"),0)</f>
        <v>0</v>
      </c>
      <c r="Y68" s="177">
        <f t="shared" ca="1" si="36"/>
        <v>0</v>
      </c>
      <c r="Z68" s="97">
        <f ca="1">IFERROR(__xludf.DUMMYFUNCTION("IMPORTRANGE(""https://docs.google.com/spreadsheets/d/1lufeA2cfFqM-elVq2hznhDzC6Pr7wkJ9ZG_sYNGCMCU/edit?usp=sharing"",""ลพบุรี!I109"")"),10)</f>
        <v>10</v>
      </c>
      <c r="AA68" s="97">
        <f ca="1">IFERROR(__xludf.DUMMYFUNCTION("IMPORTRANGE(""https://docs.google.com/spreadsheets/d/1lufeA2cfFqM-elVq2hznhDzC6Pr7wkJ9ZG_sYNGCMCU/edit?usp=sharing"",""ลพบุรี!J109"")"),0)</f>
        <v>0</v>
      </c>
      <c r="AB68" s="177">
        <f t="shared" ca="1" si="38"/>
        <v>0</v>
      </c>
      <c r="AC68" s="97">
        <v>0</v>
      </c>
      <c r="AD68" s="97">
        <v>0</v>
      </c>
      <c r="AE68" s="177">
        <f t="shared" si="40"/>
        <v>0</v>
      </c>
    </row>
    <row r="69" spans="1:31" ht="21" customHeight="1" x14ac:dyDescent="0.3">
      <c r="A69" s="172">
        <v>17</v>
      </c>
      <c r="B69" s="173" t="s">
        <v>95</v>
      </c>
      <c r="C69" s="174">
        <f t="shared" ca="1" si="24"/>
        <v>0</v>
      </c>
      <c r="D69" s="175">
        <f t="shared" ca="1" si="53"/>
        <v>0</v>
      </c>
      <c r="E69" s="176">
        <f ca="1">IFERROR(__xludf.DUMMYFUNCTION("IMPORTRANGE(""https://docs.google.com/spreadsheets/d/1-uDff_7J0KD5mKrp0Vvzr7lt3OU09vwQwhkpOPPYv2Y/edit?usp=sharing"",""งบพรบ!AX69"")"),0)</f>
        <v>0</v>
      </c>
      <c r="F69" s="176">
        <f ca="1">IFERROR(__xludf.DUMMYFUNCTION("IMPORTRANGE(""https://docs.google.com/spreadsheets/d/1-uDff_7J0KD5mKrp0Vvzr7lt3OU09vwQwhkpOPPYv2Y/edit?usp=sharing"",""งบพรบ!AY69"")"),0)</f>
        <v>0</v>
      </c>
      <c r="G69" s="176">
        <f ca="1">IFERROR(__xludf.DUMMYFUNCTION("IMPORTRANGE(""https://docs.google.com/spreadsheets/d/1-uDff_7J0KD5mKrp0Vvzr7lt3OU09vwQwhkpOPPYv2Y/edit?usp=sharing"",""งบพรบ!AZ69"")"),0)</f>
        <v>0</v>
      </c>
      <c r="H69" s="176">
        <f ca="1">IFERROR(__xludf.DUMMYFUNCTION("IMPORTRANGE(""https://docs.google.com/spreadsheets/d/1-uDff_7J0KD5mKrp0Vvzr7lt3OU09vwQwhkpOPPYv2Y/edit?usp=sharing"",""งบพรบ!BB69"")"),0)</f>
        <v>0</v>
      </c>
      <c r="I69" s="176">
        <f ca="1">IFERROR(__xludf.DUMMYFUNCTION("IMPORTRANGE(""https://docs.google.com/spreadsheets/d/1-uDff_7J0KD5mKrp0Vvzr7lt3OU09vwQwhkpOPPYv2Y/edit?usp=sharing"",""งบพรบ!BC69"")"),0)</f>
        <v>0</v>
      </c>
      <c r="J69" s="176">
        <f t="shared" ca="1" si="26"/>
        <v>0</v>
      </c>
      <c r="K69" s="179">
        <f t="shared" ca="1" si="27"/>
        <v>0</v>
      </c>
      <c r="L69" s="176">
        <f ca="1">IFERROR(__xludf.DUMMYFUNCTION("IMPORTRANGE(""https://docs.google.com/spreadsheets/d/1-uDff_7J0KD5mKrp0Vvzr7lt3OU09vwQwhkpOPPYv2Y/edit?usp=sharing"",""งบพรบ!BD69"")"),0)</f>
        <v>0</v>
      </c>
      <c r="M69" s="87">
        <f t="shared" ca="1" si="28"/>
        <v>0</v>
      </c>
      <c r="N69" s="87">
        <f t="shared" ca="1" si="29"/>
        <v>0</v>
      </c>
      <c r="O69" s="86">
        <f ca="1">IFERROR(__xludf.DUMMYFUNCTION("IMPORTRANGE(""https://docs.google.com/spreadsheets/d/1-uDff_7J0KD5mKrp0Vvzr7lt3OU09vwQwhkpOPPYv2Y/edit?usp=sharing"",""งบพรบ!BE69"")"),0)</f>
        <v>0</v>
      </c>
      <c r="P69" s="86">
        <f t="shared" ca="1" si="30"/>
        <v>0</v>
      </c>
      <c r="Q69" s="87">
        <f t="shared" ca="1" si="31"/>
        <v>0</v>
      </c>
      <c r="R69" s="86">
        <f ca="1">IFERROR(__xludf.DUMMYFUNCTION("IMPORTRANGE(""https://docs.google.com/spreadsheets/d/10oOiF7loTyfsTkbd4MpaIm0HQ9SwB7IYHdIUvt-U1Uc/edit?usp=sharing"",""สระแก้ว!Q94"")"),0)</f>
        <v>0</v>
      </c>
      <c r="S69" s="86">
        <f ca="1">IFERROR(__xludf.DUMMYFUNCTION("IMPORTRANGE(""https://docs.google.com/spreadsheets/d/10oOiF7loTyfsTkbd4MpaIm0HQ9SwB7IYHdIUvt-U1Uc/edit?usp=sharing"",""สระแก้ว!R94"")"),0)</f>
        <v>0</v>
      </c>
      <c r="T69" s="86">
        <f ca="1">IFERROR(__xludf.DUMMYFUNCTION("IMPORTRANGE(""https://docs.google.com/spreadsheets/d/10oOiF7loTyfsTkbd4MpaIm0HQ9SwB7IYHdIUvt-U1Uc/edit?usp=sharing"",""สระแก้ว!S94"")"),0)</f>
        <v>0</v>
      </c>
      <c r="U69" s="87">
        <f t="shared" ca="1" si="33"/>
        <v>0</v>
      </c>
      <c r="V69" s="87">
        <f t="shared" ca="1" si="34"/>
        <v>0</v>
      </c>
      <c r="W69" s="93">
        <f ca="1">IFERROR(__xludf.DUMMYFUNCTION("IMPORTRANGE(""https://docs.google.com/spreadsheets/d/10oOiF7loTyfsTkbd4MpaIm0HQ9SwB7IYHdIUvt-U1Uc/edit?usp=sharing"",""สระแก้ว!I108"")"),0)</f>
        <v>0</v>
      </c>
      <c r="X69" s="93">
        <f ca="1">IFERROR(__xludf.DUMMYFUNCTION("IMPORTRANGE(""https://docs.google.com/spreadsheets/d/10oOiF7loTyfsTkbd4MpaIm0HQ9SwB7IYHdIUvt-U1Uc/edit?usp=sharing"",""สระแก้ว!J108"")"),0)</f>
        <v>0</v>
      </c>
      <c r="Y69" s="177">
        <f t="shared" ca="1" si="36"/>
        <v>0</v>
      </c>
      <c r="Z69" s="93">
        <f ca="1">IFERROR(__xludf.DUMMYFUNCTION("IMPORTRANGE(""https://docs.google.com/spreadsheets/d/10oOiF7loTyfsTkbd4MpaIm0HQ9SwB7IYHdIUvt-U1Uc/edit?usp=sharing"",""สระแก้ว!I109"")"),0)</f>
        <v>0</v>
      </c>
      <c r="AA69" s="93">
        <f ca="1">IFERROR(__xludf.DUMMYFUNCTION("IMPORTRANGE(""https://docs.google.com/spreadsheets/d/10oOiF7loTyfsTkbd4MpaIm0HQ9SwB7IYHdIUvt-U1Uc/edit?usp=sharing"",""สระแก้ว!J109"")"),0)</f>
        <v>0</v>
      </c>
      <c r="AB69" s="177">
        <f t="shared" ca="1" si="38"/>
        <v>0</v>
      </c>
      <c r="AC69" s="93">
        <v>0</v>
      </c>
      <c r="AD69" s="93">
        <v>0</v>
      </c>
      <c r="AE69" s="177">
        <f t="shared" si="40"/>
        <v>0</v>
      </c>
    </row>
    <row r="70" spans="1:31" ht="21" customHeight="1" x14ac:dyDescent="0.3">
      <c r="A70" s="172">
        <v>18</v>
      </c>
      <c r="B70" s="173" t="s">
        <v>96</v>
      </c>
      <c r="C70" s="174">
        <f t="shared" ca="1" si="24"/>
        <v>0</v>
      </c>
      <c r="D70" s="175">
        <f t="shared" ca="1" si="53"/>
        <v>0</v>
      </c>
      <c r="E70" s="176">
        <f ca="1">IFERROR(__xludf.DUMMYFUNCTION("IMPORTRANGE(""https://docs.google.com/spreadsheets/d/1-uDff_7J0KD5mKrp0Vvzr7lt3OU09vwQwhkpOPPYv2Y/edit?usp=sharing"",""งบพรบ!AX70"")"),0)</f>
        <v>0</v>
      </c>
      <c r="F70" s="176">
        <f ca="1">IFERROR(__xludf.DUMMYFUNCTION("IMPORTRANGE(""https://docs.google.com/spreadsheets/d/1-uDff_7J0KD5mKrp0Vvzr7lt3OU09vwQwhkpOPPYv2Y/edit?usp=sharing"",""งบพรบ!AY70"")"),0)</f>
        <v>0</v>
      </c>
      <c r="G70" s="176">
        <f ca="1">IFERROR(__xludf.DUMMYFUNCTION("IMPORTRANGE(""https://docs.google.com/spreadsheets/d/1-uDff_7J0KD5mKrp0Vvzr7lt3OU09vwQwhkpOPPYv2Y/edit?usp=sharing"",""งบพรบ!AZ70"")"),0)</f>
        <v>0</v>
      </c>
      <c r="H70" s="176">
        <f ca="1">IFERROR(__xludf.DUMMYFUNCTION("IMPORTRANGE(""https://docs.google.com/spreadsheets/d/1-uDff_7J0KD5mKrp0Vvzr7lt3OU09vwQwhkpOPPYv2Y/edit?usp=sharing"",""งบพรบ!BB70"")"),0)</f>
        <v>0</v>
      </c>
      <c r="I70" s="176">
        <f ca="1">IFERROR(__xludf.DUMMYFUNCTION("IMPORTRANGE(""https://docs.google.com/spreadsheets/d/1-uDff_7J0KD5mKrp0Vvzr7lt3OU09vwQwhkpOPPYv2Y/edit?usp=sharing"",""งบพรบ!BC70"")"),0)</f>
        <v>0</v>
      </c>
      <c r="J70" s="176">
        <f t="shared" ca="1" si="26"/>
        <v>0</v>
      </c>
      <c r="K70" s="179">
        <f t="shared" ca="1" si="27"/>
        <v>0</v>
      </c>
      <c r="L70" s="176">
        <f ca="1">IFERROR(__xludf.DUMMYFUNCTION("IMPORTRANGE(""https://docs.google.com/spreadsheets/d/1-uDff_7J0KD5mKrp0Vvzr7lt3OU09vwQwhkpOPPYv2Y/edit?usp=sharing"",""งบพรบ!BD70"")"),0)</f>
        <v>0</v>
      </c>
      <c r="M70" s="87">
        <f t="shared" ca="1" si="28"/>
        <v>0</v>
      </c>
      <c r="N70" s="87">
        <f t="shared" ca="1" si="29"/>
        <v>0</v>
      </c>
      <c r="O70" s="86">
        <f ca="1">IFERROR(__xludf.DUMMYFUNCTION("IMPORTRANGE(""https://docs.google.com/spreadsheets/d/1-uDff_7J0KD5mKrp0Vvzr7lt3OU09vwQwhkpOPPYv2Y/edit?usp=sharing"",""งบพรบ!BE70"")"),0)</f>
        <v>0</v>
      </c>
      <c r="P70" s="86">
        <f t="shared" ca="1" si="30"/>
        <v>0</v>
      </c>
      <c r="Q70" s="87">
        <f t="shared" ca="1" si="31"/>
        <v>0</v>
      </c>
      <c r="R70" s="86">
        <f ca="1">IFERROR(__xludf.DUMMYFUNCTION("IMPORTRANGE(""https://docs.google.com/spreadsheets/d/1xmPlrr1QbdSIKvl1dWUl9K4PjAfSL9oeMr_37QVzcxc/edit?usp=sharing"",""สระบุรี!Q94"")"),0)</f>
        <v>0</v>
      </c>
      <c r="S70" s="86">
        <f ca="1">IFERROR(__xludf.DUMMYFUNCTION("IMPORTRANGE(""https://docs.google.com/spreadsheets/d/1xmPlrr1QbdSIKvl1dWUl9K4PjAfSL9oeMr_37QVzcxc/edit?usp=sharing"",""สระบุรี!R94"")"),0)</f>
        <v>0</v>
      </c>
      <c r="T70" s="86">
        <f ca="1">IFERROR(__xludf.DUMMYFUNCTION("IMPORTRANGE(""https://docs.google.com/spreadsheets/d/1xmPlrr1QbdSIKvl1dWUl9K4PjAfSL9oeMr_37QVzcxc/edit?usp=sharing"",""สระบุรี!S94"")"),0)</f>
        <v>0</v>
      </c>
      <c r="U70" s="87">
        <f t="shared" ca="1" si="33"/>
        <v>0</v>
      </c>
      <c r="V70" s="87">
        <f t="shared" ca="1" si="34"/>
        <v>0</v>
      </c>
      <c r="W70" s="93">
        <f ca="1">IFERROR(__xludf.DUMMYFUNCTION("IMPORTRANGE(""https://docs.google.com/spreadsheets/d/1xmPlrr1QbdSIKvl1dWUl9K4PjAfSL9oeMr_37QVzcxc/edit?usp=sharing"",""สระบุรี!I108"")"),0)</f>
        <v>0</v>
      </c>
      <c r="X70" s="93">
        <f ca="1">IFERROR(__xludf.DUMMYFUNCTION("IMPORTRANGE(""https://docs.google.com/spreadsheets/d/1xmPlrr1QbdSIKvl1dWUl9K4PjAfSL9oeMr_37QVzcxc/edit?usp=sharing"",""สระบุรี!J108"")"),0)</f>
        <v>0</v>
      </c>
      <c r="Y70" s="177">
        <f t="shared" ca="1" si="36"/>
        <v>0</v>
      </c>
      <c r="Z70" s="93">
        <f ca="1">IFERROR(__xludf.DUMMYFUNCTION("IMPORTRANGE(""https://docs.google.com/spreadsheets/d/1xmPlrr1QbdSIKvl1dWUl9K4PjAfSL9oeMr_37QVzcxc/edit?usp=sharing"",""สระบุรี!I109"")"),0)</f>
        <v>0</v>
      </c>
      <c r="AA70" s="93">
        <f ca="1">IFERROR(__xludf.DUMMYFUNCTION("IMPORTRANGE(""https://docs.google.com/spreadsheets/d/1xmPlrr1QbdSIKvl1dWUl9K4PjAfSL9oeMr_37QVzcxc/edit?usp=sharing"",""สระบุรี!J109"")"),0)</f>
        <v>0</v>
      </c>
      <c r="AB70" s="177">
        <f t="shared" ca="1" si="38"/>
        <v>0</v>
      </c>
      <c r="AC70" s="93">
        <v>0</v>
      </c>
      <c r="AD70" s="93">
        <v>0</v>
      </c>
      <c r="AE70" s="177">
        <f t="shared" si="40"/>
        <v>0</v>
      </c>
    </row>
    <row r="71" spans="1:31" ht="21" customHeight="1" x14ac:dyDescent="0.3">
      <c r="A71" s="172">
        <v>19</v>
      </c>
      <c r="B71" s="173" t="s">
        <v>97</v>
      </c>
      <c r="C71" s="174">
        <f t="shared" ca="1" si="24"/>
        <v>0</v>
      </c>
      <c r="D71" s="175">
        <f t="shared" ca="1" si="53"/>
        <v>0</v>
      </c>
      <c r="E71" s="176">
        <f ca="1">IFERROR(__xludf.DUMMYFUNCTION("IMPORTRANGE(""https://docs.google.com/spreadsheets/d/1-uDff_7J0KD5mKrp0Vvzr7lt3OU09vwQwhkpOPPYv2Y/edit?usp=sharing"",""งบพรบ!AX71"")"),0)</f>
        <v>0</v>
      </c>
      <c r="F71" s="176">
        <f ca="1">IFERROR(__xludf.DUMMYFUNCTION("IMPORTRANGE(""https://docs.google.com/spreadsheets/d/1-uDff_7J0KD5mKrp0Vvzr7lt3OU09vwQwhkpOPPYv2Y/edit?usp=sharing"",""งบพรบ!AY71"")"),0)</f>
        <v>0</v>
      </c>
      <c r="G71" s="176">
        <f ca="1">IFERROR(__xludf.DUMMYFUNCTION("IMPORTRANGE(""https://docs.google.com/spreadsheets/d/1-uDff_7J0KD5mKrp0Vvzr7lt3OU09vwQwhkpOPPYv2Y/edit?usp=sharing"",""งบพรบ!AZ71"")"),0)</f>
        <v>0</v>
      </c>
      <c r="H71" s="176">
        <f ca="1">IFERROR(__xludf.DUMMYFUNCTION("IMPORTRANGE(""https://docs.google.com/spreadsheets/d/1-uDff_7J0KD5mKrp0Vvzr7lt3OU09vwQwhkpOPPYv2Y/edit?usp=sharing"",""งบพรบ!BB71"")"),0)</f>
        <v>0</v>
      </c>
      <c r="I71" s="176">
        <f ca="1">IFERROR(__xludf.DUMMYFUNCTION("IMPORTRANGE(""https://docs.google.com/spreadsheets/d/1-uDff_7J0KD5mKrp0Vvzr7lt3OU09vwQwhkpOPPYv2Y/edit?usp=sharing"",""งบพรบ!BC71"")"),0)</f>
        <v>0</v>
      </c>
      <c r="J71" s="176">
        <f t="shared" ca="1" si="26"/>
        <v>0</v>
      </c>
      <c r="K71" s="179">
        <f t="shared" ca="1" si="27"/>
        <v>0</v>
      </c>
      <c r="L71" s="176">
        <f ca="1">IFERROR(__xludf.DUMMYFUNCTION("IMPORTRANGE(""https://docs.google.com/spreadsheets/d/1-uDff_7J0KD5mKrp0Vvzr7lt3OU09vwQwhkpOPPYv2Y/edit?usp=sharing"",""งบพรบ!BD71"")"),0)</f>
        <v>0</v>
      </c>
      <c r="M71" s="87">
        <f t="shared" ca="1" si="28"/>
        <v>0</v>
      </c>
      <c r="N71" s="87">
        <f t="shared" ca="1" si="29"/>
        <v>0</v>
      </c>
      <c r="O71" s="86">
        <f ca="1">IFERROR(__xludf.DUMMYFUNCTION("IMPORTRANGE(""https://docs.google.com/spreadsheets/d/1-uDff_7J0KD5mKrp0Vvzr7lt3OU09vwQwhkpOPPYv2Y/edit?usp=sharing"",""งบพรบ!BE71"")"),0)</f>
        <v>0</v>
      </c>
      <c r="P71" s="86">
        <f t="shared" ca="1" si="30"/>
        <v>0</v>
      </c>
      <c r="Q71" s="87">
        <f t="shared" ca="1" si="31"/>
        <v>0</v>
      </c>
      <c r="R71" s="86">
        <f ca="1">IFERROR(__xludf.DUMMYFUNCTION("IMPORTRANGE(""https://docs.google.com/spreadsheets/d/1j51vR6CYVGhABJpv6tkstgok82RLpXieLzW1yOY5rHw/edit?usp=sharing"",""สิงห์บุรี!Q94"")"),0)</f>
        <v>0</v>
      </c>
      <c r="S71" s="86">
        <f ca="1">IFERROR(__xludf.DUMMYFUNCTION("IMPORTRANGE(""https://docs.google.com/spreadsheets/d/1j51vR6CYVGhABJpv6tkstgok82RLpXieLzW1yOY5rHw/edit?usp=sharing"",""สิงห์บุรี!R94"")"),0)</f>
        <v>0</v>
      </c>
      <c r="T71" s="86">
        <f ca="1">IFERROR(__xludf.DUMMYFUNCTION("IMPORTRANGE(""https://docs.google.com/spreadsheets/d/1j51vR6CYVGhABJpv6tkstgok82RLpXieLzW1yOY5rHw/edit?usp=sharing"",""สิงห์บุรี!S94"")"),0)</f>
        <v>0</v>
      </c>
      <c r="U71" s="87">
        <f t="shared" ca="1" si="33"/>
        <v>0</v>
      </c>
      <c r="V71" s="87">
        <f t="shared" ca="1" si="34"/>
        <v>0</v>
      </c>
      <c r="W71" s="93">
        <f ca="1">IFERROR(__xludf.DUMMYFUNCTION("IMPORTRANGE(""https://docs.google.com/spreadsheets/d/1j51vR6CYVGhABJpv6tkstgok82RLpXieLzW1yOY5rHw/edit?usp=sharing"",""สิงห์บุรี!I108"")"),0)</f>
        <v>0</v>
      </c>
      <c r="X71" s="93">
        <f ca="1">IFERROR(__xludf.DUMMYFUNCTION("IMPORTRANGE(""https://docs.google.com/spreadsheets/d/1j51vR6CYVGhABJpv6tkstgok82RLpXieLzW1yOY5rHw/edit?usp=sharing"",""สิงห์บุรี!J108"")"),0)</f>
        <v>0</v>
      </c>
      <c r="Y71" s="177">
        <f t="shared" ca="1" si="36"/>
        <v>0</v>
      </c>
      <c r="Z71" s="93">
        <f ca="1">IFERROR(__xludf.DUMMYFUNCTION("IMPORTRANGE(""https://docs.google.com/spreadsheets/d/1j51vR6CYVGhABJpv6tkstgok82RLpXieLzW1yOY5rHw/edit?usp=sharing"",""สิงห์บุรี!I109"")"),0)</f>
        <v>0</v>
      </c>
      <c r="AA71" s="93">
        <f ca="1">IFERROR(__xludf.DUMMYFUNCTION("IMPORTRANGE(""https://docs.google.com/spreadsheets/d/1j51vR6CYVGhABJpv6tkstgok82RLpXieLzW1yOY5rHw/edit?usp=sharing"",""สิงห์บุรี!J109"")"),0)</f>
        <v>0</v>
      </c>
      <c r="AB71" s="177">
        <f t="shared" ca="1" si="38"/>
        <v>0</v>
      </c>
      <c r="AC71" s="93">
        <v>0</v>
      </c>
      <c r="AD71" s="93">
        <v>0</v>
      </c>
      <c r="AE71" s="177">
        <f t="shared" si="40"/>
        <v>0</v>
      </c>
    </row>
    <row r="72" spans="1:31" ht="21" customHeight="1" x14ac:dyDescent="0.3">
      <c r="A72" s="172">
        <v>20</v>
      </c>
      <c r="B72" s="173" t="s">
        <v>98</v>
      </c>
      <c r="C72" s="174">
        <f t="shared" ca="1" si="24"/>
        <v>0</v>
      </c>
      <c r="D72" s="175">
        <f t="shared" ca="1" si="53"/>
        <v>0</v>
      </c>
      <c r="E72" s="176">
        <f ca="1">IFERROR(__xludf.DUMMYFUNCTION("IMPORTRANGE(""https://docs.google.com/spreadsheets/d/1-uDff_7J0KD5mKrp0Vvzr7lt3OU09vwQwhkpOPPYv2Y/edit?usp=sharing"",""งบพรบ!AX72"")"),0)</f>
        <v>0</v>
      </c>
      <c r="F72" s="176">
        <f ca="1">IFERROR(__xludf.DUMMYFUNCTION("IMPORTRANGE(""https://docs.google.com/spreadsheets/d/1-uDff_7J0KD5mKrp0Vvzr7lt3OU09vwQwhkpOPPYv2Y/edit?usp=sharing"",""งบพรบ!AY72"")"),0)</f>
        <v>0</v>
      </c>
      <c r="G72" s="176">
        <f ca="1">IFERROR(__xludf.DUMMYFUNCTION("IMPORTRANGE(""https://docs.google.com/spreadsheets/d/1-uDff_7J0KD5mKrp0Vvzr7lt3OU09vwQwhkpOPPYv2Y/edit?usp=sharing"",""งบพรบ!AZ72"")"),0)</f>
        <v>0</v>
      </c>
      <c r="H72" s="176">
        <f ca="1">IFERROR(__xludf.DUMMYFUNCTION("IMPORTRANGE(""https://docs.google.com/spreadsheets/d/1-uDff_7J0KD5mKrp0Vvzr7lt3OU09vwQwhkpOPPYv2Y/edit?usp=sharing"",""งบพรบ!BB72"")"),0)</f>
        <v>0</v>
      </c>
      <c r="I72" s="176">
        <f ca="1">IFERROR(__xludf.DUMMYFUNCTION("IMPORTRANGE(""https://docs.google.com/spreadsheets/d/1-uDff_7J0KD5mKrp0Vvzr7lt3OU09vwQwhkpOPPYv2Y/edit?usp=sharing"",""งบพรบ!BC72"")"),0)</f>
        <v>0</v>
      </c>
      <c r="J72" s="176">
        <f t="shared" ca="1" si="26"/>
        <v>0</v>
      </c>
      <c r="K72" s="179">
        <f t="shared" ca="1" si="27"/>
        <v>0</v>
      </c>
      <c r="L72" s="176">
        <f ca="1">IFERROR(__xludf.DUMMYFUNCTION("IMPORTRANGE(""https://docs.google.com/spreadsheets/d/1-uDff_7J0KD5mKrp0Vvzr7lt3OU09vwQwhkpOPPYv2Y/edit?usp=sharing"",""งบพรบ!BD72"")"),0)</f>
        <v>0</v>
      </c>
      <c r="M72" s="87">
        <f t="shared" ca="1" si="28"/>
        <v>0</v>
      </c>
      <c r="N72" s="87">
        <f t="shared" ca="1" si="29"/>
        <v>0</v>
      </c>
      <c r="O72" s="86">
        <f ca="1">IFERROR(__xludf.DUMMYFUNCTION("IMPORTRANGE(""https://docs.google.com/spreadsheets/d/1-uDff_7J0KD5mKrp0Vvzr7lt3OU09vwQwhkpOPPYv2Y/edit?usp=sharing"",""งบพรบ!BE72"")"),0)</f>
        <v>0</v>
      </c>
      <c r="P72" s="86">
        <f t="shared" ca="1" si="30"/>
        <v>0</v>
      </c>
      <c r="Q72" s="87">
        <f t="shared" ca="1" si="31"/>
        <v>0</v>
      </c>
      <c r="R72" s="86">
        <f ca="1">IFERROR(__xludf.DUMMYFUNCTION("IMPORTRANGE(""https://docs.google.com/spreadsheets/d/1H1EalTWKUSzO4Z1-1CwzoDUaVffgrThEBe2sl74kKG0/edit?usp=sharing"",""สุพรรณบุรี!Q94"")"),0)</f>
        <v>0</v>
      </c>
      <c r="S72" s="86">
        <f ca="1">IFERROR(__xludf.DUMMYFUNCTION("IMPORTRANGE(""https://docs.google.com/spreadsheets/d/1H1EalTWKUSzO4Z1-1CwzoDUaVffgrThEBe2sl74kKG0/edit?usp=sharing"",""สุพรรณบุรี!R94"")"),0)</f>
        <v>0</v>
      </c>
      <c r="T72" s="86">
        <f ca="1">IFERROR(__xludf.DUMMYFUNCTION("IMPORTRANGE(""https://docs.google.com/spreadsheets/d/1H1EalTWKUSzO4Z1-1CwzoDUaVffgrThEBe2sl74kKG0/edit?usp=sharing"",""สุพรรณบุรี!S94"")"),0)</f>
        <v>0</v>
      </c>
      <c r="U72" s="87">
        <f t="shared" ca="1" si="33"/>
        <v>0</v>
      </c>
      <c r="V72" s="87">
        <f t="shared" ca="1" si="34"/>
        <v>0</v>
      </c>
      <c r="W72" s="93">
        <f ca="1">IFERROR(__xludf.DUMMYFUNCTION("IMPORTRANGE(""https://docs.google.com/spreadsheets/d/1H1EalTWKUSzO4Z1-1CwzoDUaVffgrThEBe2sl74kKG0/edit?usp=sharing"",""สุพรรณบุรี!I108"")"),0)</f>
        <v>0</v>
      </c>
      <c r="X72" s="93">
        <f ca="1">IFERROR(__xludf.DUMMYFUNCTION("IMPORTRANGE(""https://docs.google.com/spreadsheets/d/1H1EalTWKUSzO4Z1-1CwzoDUaVffgrThEBe2sl74kKG0/edit?usp=sharing"",""สุพรรณบุรี!J108"")"),0)</f>
        <v>0</v>
      </c>
      <c r="Y72" s="177">
        <f t="shared" ca="1" si="36"/>
        <v>0</v>
      </c>
      <c r="Z72" s="93">
        <f ca="1">IFERROR(__xludf.DUMMYFUNCTION("IMPORTRANGE(""https://docs.google.com/spreadsheets/d/1H1EalTWKUSzO4Z1-1CwzoDUaVffgrThEBe2sl74kKG0/edit?usp=sharing"",""สุพรรณบุรี!I109"")"),0)</f>
        <v>0</v>
      </c>
      <c r="AA72" s="93">
        <f ca="1">IFERROR(__xludf.DUMMYFUNCTION("IMPORTRANGE(""https://docs.google.com/spreadsheets/d/1H1EalTWKUSzO4Z1-1CwzoDUaVffgrThEBe2sl74kKG0/edit?usp=sharing"",""สุพรรณบุรี!J109"")"),0)</f>
        <v>0</v>
      </c>
      <c r="AB72" s="177">
        <f t="shared" ca="1" si="38"/>
        <v>0</v>
      </c>
      <c r="AC72" s="93">
        <v>0</v>
      </c>
      <c r="AD72" s="93">
        <v>0</v>
      </c>
      <c r="AE72" s="177">
        <f t="shared" si="40"/>
        <v>0</v>
      </c>
    </row>
    <row r="73" spans="1:31" ht="21" customHeight="1" x14ac:dyDescent="0.3">
      <c r="A73" s="180">
        <v>21</v>
      </c>
      <c r="B73" s="181" t="s">
        <v>99</v>
      </c>
      <c r="C73" s="182">
        <f t="shared" ca="1" si="24"/>
        <v>0</v>
      </c>
      <c r="D73" s="183">
        <f t="shared" ca="1" si="53"/>
        <v>0</v>
      </c>
      <c r="E73" s="184">
        <f ca="1">IFERROR(__xludf.DUMMYFUNCTION("IMPORTRANGE(""https://docs.google.com/spreadsheets/d/1-uDff_7J0KD5mKrp0Vvzr7lt3OU09vwQwhkpOPPYv2Y/edit?usp=sharing"",""งบพรบ!AX73"")"),0)</f>
        <v>0</v>
      </c>
      <c r="F73" s="184">
        <f ca="1">IFERROR(__xludf.DUMMYFUNCTION("IMPORTRANGE(""https://docs.google.com/spreadsheets/d/1-uDff_7J0KD5mKrp0Vvzr7lt3OU09vwQwhkpOPPYv2Y/edit?usp=sharing"",""งบพรบ!AY73"")"),0)</f>
        <v>0</v>
      </c>
      <c r="G73" s="184">
        <f ca="1">IFERROR(__xludf.DUMMYFUNCTION("IMPORTRANGE(""https://docs.google.com/spreadsheets/d/1-uDff_7J0KD5mKrp0Vvzr7lt3OU09vwQwhkpOPPYv2Y/edit?usp=sharing"",""งบพรบ!AZ73"")"),0)</f>
        <v>0</v>
      </c>
      <c r="H73" s="184">
        <f ca="1">IFERROR(__xludf.DUMMYFUNCTION("IMPORTRANGE(""https://docs.google.com/spreadsheets/d/1-uDff_7J0KD5mKrp0Vvzr7lt3OU09vwQwhkpOPPYv2Y/edit?usp=sharing"",""งบพรบ!BB73"")"),0)</f>
        <v>0</v>
      </c>
      <c r="I73" s="184">
        <f ca="1">IFERROR(__xludf.DUMMYFUNCTION("IMPORTRANGE(""https://docs.google.com/spreadsheets/d/1-uDff_7J0KD5mKrp0Vvzr7lt3OU09vwQwhkpOPPYv2Y/edit?usp=sharing"",""งบพรบ!BC73"")"),0)</f>
        <v>0</v>
      </c>
      <c r="J73" s="184">
        <f t="shared" ca="1" si="26"/>
        <v>0</v>
      </c>
      <c r="K73" s="185">
        <f t="shared" ca="1" si="27"/>
        <v>0</v>
      </c>
      <c r="L73" s="184">
        <f ca="1">IFERROR(__xludf.DUMMYFUNCTION("IMPORTRANGE(""https://docs.google.com/spreadsheets/d/1-uDff_7J0KD5mKrp0Vvzr7lt3OU09vwQwhkpOPPYv2Y/edit?usp=sharing"",""งบพรบ!BD73"")"),0)</f>
        <v>0</v>
      </c>
      <c r="M73" s="109">
        <f t="shared" ca="1" si="28"/>
        <v>0</v>
      </c>
      <c r="N73" s="109">
        <f t="shared" ca="1" si="29"/>
        <v>0</v>
      </c>
      <c r="O73" s="108">
        <f ca="1">IFERROR(__xludf.DUMMYFUNCTION("IMPORTRANGE(""https://docs.google.com/spreadsheets/d/1-uDff_7J0KD5mKrp0Vvzr7lt3OU09vwQwhkpOPPYv2Y/edit?usp=sharing"",""งบพรบ!BE73"")"),0)</f>
        <v>0</v>
      </c>
      <c r="P73" s="108">
        <f t="shared" ca="1" si="30"/>
        <v>0</v>
      </c>
      <c r="Q73" s="109">
        <f t="shared" ca="1" si="31"/>
        <v>0</v>
      </c>
      <c r="R73" s="108">
        <f ca="1">IFERROR(__xludf.DUMMYFUNCTION("IMPORTRANGE(""https://docs.google.com/spreadsheets/d/1BmIruG_sIrJLYao_Pdr7zVArWsfoBt2692TMi6x_854/edit?usp=sharing"",""อ่างทอง!Q94"")"),0)</f>
        <v>0</v>
      </c>
      <c r="S73" s="108">
        <f ca="1">IFERROR(__xludf.DUMMYFUNCTION("IMPORTRANGE(""https://docs.google.com/spreadsheets/d/1BmIruG_sIrJLYao_Pdr7zVArWsfoBt2692TMi6x_854/edit?usp=sharing"",""อ่างทอง!R94"")"),0)</f>
        <v>0</v>
      </c>
      <c r="T73" s="108">
        <f ca="1">IFERROR(__xludf.DUMMYFUNCTION("IMPORTRANGE(""https://docs.google.com/spreadsheets/d/1BmIruG_sIrJLYao_Pdr7zVArWsfoBt2692TMi6x_854/edit?usp=sharing"",""อ่างทอง!S94"")"),0)</f>
        <v>0</v>
      </c>
      <c r="U73" s="109">
        <f t="shared" ca="1" si="33"/>
        <v>0</v>
      </c>
      <c r="V73" s="109">
        <f t="shared" ca="1" si="34"/>
        <v>0</v>
      </c>
      <c r="W73" s="104">
        <f ca="1">IFERROR(__xludf.DUMMYFUNCTION("IMPORTRANGE(""https://docs.google.com/spreadsheets/d/1BmIruG_sIrJLYao_Pdr7zVArWsfoBt2692TMi6x_854/edit?usp=sharing"",""อ่างทอง!I108"")"),0)</f>
        <v>0</v>
      </c>
      <c r="X73" s="104">
        <f ca="1">IFERROR(__xludf.DUMMYFUNCTION("IMPORTRANGE(""https://docs.google.com/spreadsheets/d/1BmIruG_sIrJLYao_Pdr7zVArWsfoBt2692TMi6x_854/edit?usp=sharing"",""อ่างทอง!J108"")"),0)</f>
        <v>0</v>
      </c>
      <c r="Y73" s="186">
        <f t="shared" ca="1" si="36"/>
        <v>0</v>
      </c>
      <c r="Z73" s="104">
        <f ca="1">IFERROR(__xludf.DUMMYFUNCTION("IMPORTRANGE(""https://docs.google.com/spreadsheets/d/1BmIruG_sIrJLYao_Pdr7zVArWsfoBt2692TMi6x_854/edit?usp=sharing"",""อ่างทอง!I109"")"),0)</f>
        <v>0</v>
      </c>
      <c r="AA73" s="104">
        <f ca="1">IFERROR(__xludf.DUMMYFUNCTION("IMPORTRANGE(""https://docs.google.com/spreadsheets/d/1BmIruG_sIrJLYao_Pdr7zVArWsfoBt2692TMi6x_854/edit?usp=sharing"",""อ่างทอง!J109"")"),0)</f>
        <v>0</v>
      </c>
      <c r="AB73" s="186">
        <f t="shared" ca="1" si="38"/>
        <v>0</v>
      </c>
      <c r="AC73" s="104">
        <v>0</v>
      </c>
      <c r="AD73" s="104">
        <v>0</v>
      </c>
      <c r="AE73" s="186">
        <f t="shared" si="40"/>
        <v>0</v>
      </c>
    </row>
    <row r="74" spans="1:31" ht="21" customHeight="1" x14ac:dyDescent="0.3">
      <c r="A74" s="636" t="s">
        <v>100</v>
      </c>
      <c r="B74" s="633"/>
      <c r="C74" s="161">
        <f t="shared" ca="1" si="24"/>
        <v>0</v>
      </c>
      <c r="D74" s="161">
        <f t="shared" ref="D74:I74" ca="1" si="54">SUM(D75:D88)</f>
        <v>0</v>
      </c>
      <c r="E74" s="161">
        <f t="shared" ca="1" si="54"/>
        <v>0</v>
      </c>
      <c r="F74" s="161">
        <f t="shared" ca="1" si="54"/>
        <v>0</v>
      </c>
      <c r="G74" s="161">
        <f t="shared" ca="1" si="54"/>
        <v>0</v>
      </c>
      <c r="H74" s="161">
        <f t="shared" ca="1" si="54"/>
        <v>0</v>
      </c>
      <c r="I74" s="161">
        <f t="shared" ca="1" si="54"/>
        <v>0</v>
      </c>
      <c r="J74" s="161">
        <f t="shared" ca="1" si="26"/>
        <v>0</v>
      </c>
      <c r="K74" s="162">
        <f t="shared" ca="1" si="27"/>
        <v>0</v>
      </c>
      <c r="L74" s="161">
        <f ca="1">SUM(L75:L88)</f>
        <v>0</v>
      </c>
      <c r="M74" s="40">
        <f t="shared" ca="1" si="28"/>
        <v>0</v>
      </c>
      <c r="N74" s="40">
        <f t="shared" ca="1" si="29"/>
        <v>0</v>
      </c>
      <c r="O74" s="39">
        <f ca="1">SUM(O75:O88)</f>
        <v>0</v>
      </c>
      <c r="P74" s="39">
        <f t="shared" ca="1" si="30"/>
        <v>0</v>
      </c>
      <c r="Q74" s="40">
        <f t="shared" ca="1" si="31"/>
        <v>0</v>
      </c>
      <c r="R74" s="39">
        <f t="shared" ref="R74:T74" ca="1" si="55">SUM(R75:R88)</f>
        <v>835758</v>
      </c>
      <c r="S74" s="39">
        <f t="shared" ca="1" si="55"/>
        <v>0</v>
      </c>
      <c r="T74" s="39">
        <f t="shared" ca="1" si="55"/>
        <v>0</v>
      </c>
      <c r="U74" s="40">
        <f t="shared" ca="1" si="33"/>
        <v>0</v>
      </c>
      <c r="V74" s="40">
        <f t="shared" ca="1" si="34"/>
        <v>0</v>
      </c>
      <c r="W74" s="71">
        <f t="shared" ref="W74:X74" ca="1" si="56">SUM(W75:W88)</f>
        <v>297</v>
      </c>
      <c r="X74" s="71">
        <f t="shared" ca="1" si="56"/>
        <v>0</v>
      </c>
      <c r="Y74" s="161">
        <f t="shared" ca="1" si="36"/>
        <v>0</v>
      </c>
      <c r="Z74" s="71">
        <f t="shared" ref="Z74:AA74" ca="1" si="57">SUM(Z75:Z88)</f>
        <v>99</v>
      </c>
      <c r="AA74" s="71">
        <f t="shared" ca="1" si="57"/>
        <v>0</v>
      </c>
      <c r="AB74" s="161">
        <f t="shared" ca="1" si="38"/>
        <v>0</v>
      </c>
      <c r="AC74" s="71">
        <f t="shared" ref="AC74:AD74" si="58">SUM(AC75:AC88)</f>
        <v>0</v>
      </c>
      <c r="AD74" s="71">
        <f t="shared" si="58"/>
        <v>0</v>
      </c>
      <c r="AE74" s="161">
        <f t="shared" si="40"/>
        <v>0</v>
      </c>
    </row>
    <row r="75" spans="1:31" ht="21" customHeight="1" x14ac:dyDescent="0.3">
      <c r="A75" s="172">
        <v>1</v>
      </c>
      <c r="B75" s="173" t="s">
        <v>101</v>
      </c>
      <c r="C75" s="174">
        <f t="shared" ca="1" si="24"/>
        <v>0</v>
      </c>
      <c r="D75" s="175">
        <f t="shared" ref="D75:D88" ca="1" si="59">+E75+F75</f>
        <v>0</v>
      </c>
      <c r="E75" s="176">
        <f ca="1">IFERROR(__xludf.DUMMYFUNCTION("IMPORTRANGE(""https://docs.google.com/spreadsheets/d/1-uDff_7J0KD5mKrp0Vvzr7lt3OU09vwQwhkpOPPYv2Y/edit?usp=sharing"",""งบพรบ!AX75"")"),0)</f>
        <v>0</v>
      </c>
      <c r="F75" s="176">
        <f ca="1">IFERROR(__xludf.DUMMYFUNCTION("IMPORTRANGE(""https://docs.google.com/spreadsheets/d/1-uDff_7J0KD5mKrp0Vvzr7lt3OU09vwQwhkpOPPYv2Y/edit?usp=sharing"",""งบพรบ!AY75"")"),0)</f>
        <v>0</v>
      </c>
      <c r="G75" s="176">
        <f ca="1">IFERROR(__xludf.DUMMYFUNCTION("IMPORTRANGE(""https://docs.google.com/spreadsheets/d/1-uDff_7J0KD5mKrp0Vvzr7lt3OU09vwQwhkpOPPYv2Y/edit?usp=sharing"",""งบพรบ!AZ75"")"),0)</f>
        <v>0</v>
      </c>
      <c r="H75" s="176">
        <f ca="1">IFERROR(__xludf.DUMMYFUNCTION("IMPORTRANGE(""https://docs.google.com/spreadsheets/d/1-uDff_7J0KD5mKrp0Vvzr7lt3OU09vwQwhkpOPPYv2Y/edit?usp=sharing"",""งบพรบ!BB75"")"),0)</f>
        <v>0</v>
      </c>
      <c r="I75" s="176">
        <f ca="1">IFERROR(__xludf.DUMMYFUNCTION("IMPORTRANGE(""https://docs.google.com/spreadsheets/d/1-uDff_7J0KD5mKrp0Vvzr7lt3OU09vwQwhkpOPPYv2Y/edit?usp=sharing"",""งบพรบ!BC75"")"),0)</f>
        <v>0</v>
      </c>
      <c r="J75" s="176">
        <f t="shared" ca="1" si="26"/>
        <v>0</v>
      </c>
      <c r="K75" s="179">
        <f t="shared" ca="1" si="27"/>
        <v>0</v>
      </c>
      <c r="L75" s="176">
        <f ca="1">IFERROR(__xludf.DUMMYFUNCTION("IMPORTRANGE(""https://docs.google.com/spreadsheets/d/1-uDff_7J0KD5mKrp0Vvzr7lt3OU09vwQwhkpOPPYv2Y/edit?usp=sharing"",""งบพรบ!BD75"")"),0)</f>
        <v>0</v>
      </c>
      <c r="M75" s="87">
        <f t="shared" ca="1" si="28"/>
        <v>0</v>
      </c>
      <c r="N75" s="87">
        <f t="shared" ca="1" si="29"/>
        <v>0</v>
      </c>
      <c r="O75" s="86">
        <f ca="1">IFERROR(__xludf.DUMMYFUNCTION("IMPORTRANGE(""https://docs.google.com/spreadsheets/d/1-uDff_7J0KD5mKrp0Vvzr7lt3OU09vwQwhkpOPPYv2Y/edit?usp=sharing"",""งบพรบ!BE75"")"),0)</f>
        <v>0</v>
      </c>
      <c r="P75" s="86">
        <f t="shared" ca="1" si="30"/>
        <v>0</v>
      </c>
      <c r="Q75" s="87">
        <f t="shared" ca="1" si="31"/>
        <v>0</v>
      </c>
      <c r="R75" s="86">
        <f ca="1">IFERROR(__xludf.DUMMYFUNCTION("IMPORTRANGE(""https://docs.google.com/spreadsheets/d/1kKUcYdkIfrgTSj8iHHHB2MD2FAtwyyocFgqGQn6ADyI/edit?usp=sharing"",""กระบี่!Q94"")"),0)</f>
        <v>0</v>
      </c>
      <c r="S75" s="86">
        <f ca="1">IFERROR(__xludf.DUMMYFUNCTION("IMPORTRANGE(""https://docs.google.com/spreadsheets/d/1kKUcYdkIfrgTSj8iHHHB2MD2FAtwyyocFgqGQn6ADyI/edit?usp=sharing"",""กระบี่!R94"")"),0)</f>
        <v>0</v>
      </c>
      <c r="T75" s="86">
        <f ca="1">IFERROR(__xludf.DUMMYFUNCTION("IMPORTRANGE(""https://docs.google.com/spreadsheets/d/1kKUcYdkIfrgTSj8iHHHB2MD2FAtwyyocFgqGQn6ADyI/edit?usp=sharing"",""กระบี่!S94"")"),0)</f>
        <v>0</v>
      </c>
      <c r="U75" s="87">
        <f t="shared" ca="1" si="33"/>
        <v>0</v>
      </c>
      <c r="V75" s="87">
        <f t="shared" ca="1" si="34"/>
        <v>0</v>
      </c>
      <c r="W75" s="81">
        <f ca="1">IFERROR(__xludf.DUMMYFUNCTION("IMPORTRANGE(""https://docs.google.com/spreadsheets/d/1kKUcYdkIfrgTSj8iHHHB2MD2FAtwyyocFgqGQn6ADyI/edit?usp=sharing"",""กระบี่!I108"")"),0)</f>
        <v>0</v>
      </c>
      <c r="X75" s="81">
        <f ca="1">IFERROR(__xludf.DUMMYFUNCTION("IMPORTRANGE(""https://docs.google.com/spreadsheets/d/1kKUcYdkIfrgTSj8iHHHB2MD2FAtwyyocFgqGQn6ADyI/edit?usp=sharing"",""กระบี่!J108"")"),0)</f>
        <v>0</v>
      </c>
      <c r="Y75" s="177">
        <f t="shared" ca="1" si="36"/>
        <v>0</v>
      </c>
      <c r="Z75" s="81">
        <f ca="1">IFERROR(__xludf.DUMMYFUNCTION("IMPORTRANGE(""https://docs.google.com/spreadsheets/d/1kKUcYdkIfrgTSj8iHHHB2MD2FAtwyyocFgqGQn6ADyI/edit?usp=sharing"",""กระบี่!I109"")"),0)</f>
        <v>0</v>
      </c>
      <c r="AA75" s="81">
        <f ca="1">IFERROR(__xludf.DUMMYFUNCTION("IMPORTRANGE(""https://docs.google.com/spreadsheets/d/1kKUcYdkIfrgTSj8iHHHB2MD2FAtwyyocFgqGQn6ADyI/edit?usp=sharing"",""กระบี่!J109"")"),0)</f>
        <v>0</v>
      </c>
      <c r="AB75" s="177">
        <f t="shared" ca="1" si="38"/>
        <v>0</v>
      </c>
      <c r="AC75" s="81">
        <v>0</v>
      </c>
      <c r="AD75" s="81">
        <v>0</v>
      </c>
      <c r="AE75" s="177">
        <f t="shared" si="40"/>
        <v>0</v>
      </c>
    </row>
    <row r="76" spans="1:31" ht="21" customHeight="1" x14ac:dyDescent="0.3">
      <c r="A76" s="172">
        <v>2</v>
      </c>
      <c r="B76" s="173" t="s">
        <v>102</v>
      </c>
      <c r="C76" s="174">
        <f t="shared" ca="1" si="24"/>
        <v>0</v>
      </c>
      <c r="D76" s="175">
        <f t="shared" ca="1" si="59"/>
        <v>0</v>
      </c>
      <c r="E76" s="176">
        <f ca="1">IFERROR(__xludf.DUMMYFUNCTION("IMPORTRANGE(""https://docs.google.com/spreadsheets/d/1-uDff_7J0KD5mKrp0Vvzr7lt3OU09vwQwhkpOPPYv2Y/edit?usp=sharing"",""งบพรบ!AX76"")"),0)</f>
        <v>0</v>
      </c>
      <c r="F76" s="176">
        <f ca="1">IFERROR(__xludf.DUMMYFUNCTION("IMPORTRANGE(""https://docs.google.com/spreadsheets/d/1-uDff_7J0KD5mKrp0Vvzr7lt3OU09vwQwhkpOPPYv2Y/edit?usp=sharing"",""งบพรบ!AY76"")"),0)</f>
        <v>0</v>
      </c>
      <c r="G76" s="176">
        <f ca="1">IFERROR(__xludf.DUMMYFUNCTION("IMPORTRANGE(""https://docs.google.com/spreadsheets/d/1-uDff_7J0KD5mKrp0Vvzr7lt3OU09vwQwhkpOPPYv2Y/edit?usp=sharing"",""งบพรบ!AZ76"")"),0)</f>
        <v>0</v>
      </c>
      <c r="H76" s="176">
        <f ca="1">IFERROR(__xludf.DUMMYFUNCTION("IMPORTRANGE(""https://docs.google.com/spreadsheets/d/1-uDff_7J0KD5mKrp0Vvzr7lt3OU09vwQwhkpOPPYv2Y/edit?usp=sharing"",""งบพรบ!BB76"")"),0)</f>
        <v>0</v>
      </c>
      <c r="I76" s="176">
        <f ca="1">IFERROR(__xludf.DUMMYFUNCTION("IMPORTRANGE(""https://docs.google.com/spreadsheets/d/1-uDff_7J0KD5mKrp0Vvzr7lt3OU09vwQwhkpOPPYv2Y/edit?usp=sharing"",""งบพรบ!BC76"")"),0)</f>
        <v>0</v>
      </c>
      <c r="J76" s="176">
        <f t="shared" ca="1" si="26"/>
        <v>0</v>
      </c>
      <c r="K76" s="179">
        <f t="shared" ca="1" si="27"/>
        <v>0</v>
      </c>
      <c r="L76" s="176">
        <f ca="1">IFERROR(__xludf.DUMMYFUNCTION("IMPORTRANGE(""https://docs.google.com/spreadsheets/d/1-uDff_7J0KD5mKrp0Vvzr7lt3OU09vwQwhkpOPPYv2Y/edit?usp=sharing"",""งบพรบ!BD76"")"),0)</f>
        <v>0</v>
      </c>
      <c r="M76" s="87">
        <f t="shared" ca="1" si="28"/>
        <v>0</v>
      </c>
      <c r="N76" s="87">
        <f t="shared" ca="1" si="29"/>
        <v>0</v>
      </c>
      <c r="O76" s="86">
        <f ca="1">IFERROR(__xludf.DUMMYFUNCTION("IMPORTRANGE(""https://docs.google.com/spreadsheets/d/1-uDff_7J0KD5mKrp0Vvzr7lt3OU09vwQwhkpOPPYv2Y/edit?usp=sharing"",""งบพรบ!BE76"")"),0)</f>
        <v>0</v>
      </c>
      <c r="P76" s="86">
        <f t="shared" ca="1" si="30"/>
        <v>0</v>
      </c>
      <c r="Q76" s="87">
        <f t="shared" ca="1" si="31"/>
        <v>0</v>
      </c>
      <c r="R76" s="86">
        <f ca="1">IFERROR(__xludf.DUMMYFUNCTION("IMPORTRANGE(""https://docs.google.com/spreadsheets/d/1GwtLaSlNZkLk7iDqcyZz22giiy40b_usZZBXYciEN1U/edit?usp=sharing"",""ชุมพร!Q94"")"),84420)</f>
        <v>84420</v>
      </c>
      <c r="S76" s="86">
        <f ca="1">IFERROR(__xludf.DUMMYFUNCTION("IMPORTRANGE(""https://docs.google.com/spreadsheets/d/1GwtLaSlNZkLk7iDqcyZz22giiy40b_usZZBXYciEN1U/edit?usp=sharing"",""ชุมพร!R94"")"),0)</f>
        <v>0</v>
      </c>
      <c r="T76" s="86">
        <f ca="1">IFERROR(__xludf.DUMMYFUNCTION("IMPORTRANGE(""https://docs.google.com/spreadsheets/d/1GwtLaSlNZkLk7iDqcyZz22giiy40b_usZZBXYciEN1U/edit?usp=sharing"",""ชุมพร!S94"")"),0)</f>
        <v>0</v>
      </c>
      <c r="U76" s="87">
        <f t="shared" ca="1" si="33"/>
        <v>0</v>
      </c>
      <c r="V76" s="87">
        <f t="shared" ca="1" si="34"/>
        <v>0</v>
      </c>
      <c r="W76" s="93">
        <f ca="1">IFERROR(__xludf.DUMMYFUNCTION("IMPORTRANGE(""https://docs.google.com/spreadsheets/d/1GwtLaSlNZkLk7iDqcyZz22giiy40b_usZZBXYciEN1U/edit?usp=sharing"",""ชุมพร!I108"")"),30)</f>
        <v>30</v>
      </c>
      <c r="X76" s="93">
        <f ca="1">IFERROR(__xludf.DUMMYFUNCTION("IMPORTRANGE(""https://docs.google.com/spreadsheets/d/1GwtLaSlNZkLk7iDqcyZz22giiy40b_usZZBXYciEN1U/edit?usp=sharing"",""ชุมพร!J108"")"),0)</f>
        <v>0</v>
      </c>
      <c r="Y76" s="177">
        <f t="shared" ca="1" si="36"/>
        <v>0</v>
      </c>
      <c r="Z76" s="93">
        <f ca="1">IFERROR(__xludf.DUMMYFUNCTION("IMPORTRANGE(""https://docs.google.com/spreadsheets/d/1GwtLaSlNZkLk7iDqcyZz22giiy40b_usZZBXYciEN1U/edit?usp=sharing"",""ชุมพร!I109"")"),10)</f>
        <v>10</v>
      </c>
      <c r="AA76" s="93">
        <f ca="1">IFERROR(__xludf.DUMMYFUNCTION("IMPORTRANGE(""https://docs.google.com/spreadsheets/d/1GwtLaSlNZkLk7iDqcyZz22giiy40b_usZZBXYciEN1U/edit?usp=sharing"",""ชุมพร!J109"")"),0)</f>
        <v>0</v>
      </c>
      <c r="AB76" s="177">
        <f t="shared" ca="1" si="38"/>
        <v>0</v>
      </c>
      <c r="AC76" s="93">
        <v>0</v>
      </c>
      <c r="AD76" s="93">
        <v>0</v>
      </c>
      <c r="AE76" s="177">
        <f t="shared" si="40"/>
        <v>0</v>
      </c>
    </row>
    <row r="77" spans="1:31" ht="21" customHeight="1" x14ac:dyDescent="0.3">
      <c r="A77" s="172">
        <v>3</v>
      </c>
      <c r="B77" s="173" t="s">
        <v>103</v>
      </c>
      <c r="C77" s="174">
        <f t="shared" ca="1" si="24"/>
        <v>0</v>
      </c>
      <c r="D77" s="175">
        <f t="shared" ca="1" si="59"/>
        <v>0</v>
      </c>
      <c r="E77" s="176">
        <f ca="1">IFERROR(__xludf.DUMMYFUNCTION("IMPORTRANGE(""https://docs.google.com/spreadsheets/d/1-uDff_7J0KD5mKrp0Vvzr7lt3OU09vwQwhkpOPPYv2Y/edit?usp=sharing"",""งบพรบ!AX77"")"),0)</f>
        <v>0</v>
      </c>
      <c r="F77" s="176">
        <f ca="1">IFERROR(__xludf.DUMMYFUNCTION("IMPORTRANGE(""https://docs.google.com/spreadsheets/d/1-uDff_7J0KD5mKrp0Vvzr7lt3OU09vwQwhkpOPPYv2Y/edit?usp=sharing"",""งบพรบ!AY77"")"),0)</f>
        <v>0</v>
      </c>
      <c r="G77" s="176">
        <f ca="1">IFERROR(__xludf.DUMMYFUNCTION("IMPORTRANGE(""https://docs.google.com/spreadsheets/d/1-uDff_7J0KD5mKrp0Vvzr7lt3OU09vwQwhkpOPPYv2Y/edit?usp=sharing"",""งบพรบ!AZ77"")"),0)</f>
        <v>0</v>
      </c>
      <c r="H77" s="176">
        <f ca="1">IFERROR(__xludf.DUMMYFUNCTION("IMPORTRANGE(""https://docs.google.com/spreadsheets/d/1-uDff_7J0KD5mKrp0Vvzr7lt3OU09vwQwhkpOPPYv2Y/edit?usp=sharing"",""งบพรบ!BB77"")"),0)</f>
        <v>0</v>
      </c>
      <c r="I77" s="176">
        <f ca="1">IFERROR(__xludf.DUMMYFUNCTION("IMPORTRANGE(""https://docs.google.com/spreadsheets/d/1-uDff_7J0KD5mKrp0Vvzr7lt3OU09vwQwhkpOPPYv2Y/edit?usp=sharing"",""งบพรบ!BC77"")"),0)</f>
        <v>0</v>
      </c>
      <c r="J77" s="176">
        <f t="shared" ca="1" si="26"/>
        <v>0</v>
      </c>
      <c r="K77" s="179">
        <f t="shared" ca="1" si="27"/>
        <v>0</v>
      </c>
      <c r="L77" s="176">
        <f ca="1">IFERROR(__xludf.DUMMYFUNCTION("IMPORTRANGE(""https://docs.google.com/spreadsheets/d/1-uDff_7J0KD5mKrp0Vvzr7lt3OU09vwQwhkpOPPYv2Y/edit?usp=sharing"",""งบพรบ!BD77"")"),0)</f>
        <v>0</v>
      </c>
      <c r="M77" s="87">
        <f t="shared" ca="1" si="28"/>
        <v>0</v>
      </c>
      <c r="N77" s="87">
        <f t="shared" ca="1" si="29"/>
        <v>0</v>
      </c>
      <c r="O77" s="86">
        <f ca="1">IFERROR(__xludf.DUMMYFUNCTION("IMPORTRANGE(""https://docs.google.com/spreadsheets/d/1-uDff_7J0KD5mKrp0Vvzr7lt3OU09vwQwhkpOPPYv2Y/edit?usp=sharing"",""งบพรบ!BE77"")"),0)</f>
        <v>0</v>
      </c>
      <c r="P77" s="86">
        <f t="shared" ca="1" si="30"/>
        <v>0</v>
      </c>
      <c r="Q77" s="87">
        <f t="shared" ca="1" si="31"/>
        <v>0</v>
      </c>
      <c r="R77" s="86">
        <f ca="1">IFERROR(__xludf.DUMMYFUNCTION("IMPORTRANGE(""https://docs.google.com/spreadsheets/d/16pAz3pOhQEZBhvFNMa5KGgZS6iKWpsKX0pg6tQmwFpo/edit?usp=sharing"",""ตรัง!Q94"")"),0)</f>
        <v>0</v>
      </c>
      <c r="S77" s="86">
        <f ca="1">IFERROR(__xludf.DUMMYFUNCTION("IMPORTRANGE(""https://docs.google.com/spreadsheets/d/16pAz3pOhQEZBhvFNMa5KGgZS6iKWpsKX0pg6tQmwFpo/edit?usp=sharing"",""ตรัง!R94"")"),0)</f>
        <v>0</v>
      </c>
      <c r="T77" s="86">
        <f ca="1">IFERROR(__xludf.DUMMYFUNCTION("IMPORTRANGE(""https://docs.google.com/spreadsheets/d/16pAz3pOhQEZBhvFNMa5KGgZS6iKWpsKX0pg6tQmwFpo/edit?usp=sharing"",""ตรัง!S94"")"),0)</f>
        <v>0</v>
      </c>
      <c r="U77" s="87">
        <f t="shared" ca="1" si="33"/>
        <v>0</v>
      </c>
      <c r="V77" s="87">
        <f t="shared" ca="1" si="34"/>
        <v>0</v>
      </c>
      <c r="W77" s="93">
        <f ca="1">IFERROR(__xludf.DUMMYFUNCTION("IMPORTRANGE(""https://docs.google.com/spreadsheets/d/16pAz3pOhQEZBhvFNMa5KGgZS6iKWpsKX0pg6tQmwFpo/edit?usp=sharing"",""ตรัง!I108"")"),0)</f>
        <v>0</v>
      </c>
      <c r="X77" s="93">
        <f ca="1">IFERROR(__xludf.DUMMYFUNCTION("IMPORTRANGE(""https://docs.google.com/spreadsheets/d/16pAz3pOhQEZBhvFNMa5KGgZS6iKWpsKX0pg6tQmwFpo/edit?usp=sharing"",""ตรัง!J108"")"),0)</f>
        <v>0</v>
      </c>
      <c r="Y77" s="177">
        <f t="shared" ca="1" si="36"/>
        <v>0</v>
      </c>
      <c r="Z77" s="93">
        <f ca="1">IFERROR(__xludf.DUMMYFUNCTION("IMPORTRANGE(""https://docs.google.com/spreadsheets/d/16pAz3pOhQEZBhvFNMa5KGgZS6iKWpsKX0pg6tQmwFpo/edit?usp=sharing"",""ตรัง!I109"")"),0)</f>
        <v>0</v>
      </c>
      <c r="AA77" s="93">
        <f ca="1">IFERROR(__xludf.DUMMYFUNCTION("IMPORTRANGE(""https://docs.google.com/spreadsheets/d/16pAz3pOhQEZBhvFNMa5KGgZS6iKWpsKX0pg6tQmwFpo/edit?usp=sharing"",""ตรัง!J109"")"),0)</f>
        <v>0</v>
      </c>
      <c r="AB77" s="177">
        <f t="shared" ca="1" si="38"/>
        <v>0</v>
      </c>
      <c r="AC77" s="93">
        <v>0</v>
      </c>
      <c r="AD77" s="93">
        <v>0</v>
      </c>
      <c r="AE77" s="177">
        <f t="shared" si="40"/>
        <v>0</v>
      </c>
    </row>
    <row r="78" spans="1:31" ht="21" customHeight="1" x14ac:dyDescent="0.3">
      <c r="A78" s="172">
        <v>4</v>
      </c>
      <c r="B78" s="173" t="s">
        <v>104</v>
      </c>
      <c r="C78" s="174">
        <f t="shared" ca="1" si="24"/>
        <v>0</v>
      </c>
      <c r="D78" s="175">
        <f t="shared" ca="1" si="59"/>
        <v>0</v>
      </c>
      <c r="E78" s="176">
        <f ca="1">IFERROR(__xludf.DUMMYFUNCTION("IMPORTRANGE(""https://docs.google.com/spreadsheets/d/1-uDff_7J0KD5mKrp0Vvzr7lt3OU09vwQwhkpOPPYv2Y/edit?usp=sharing"",""งบพรบ!AX78"")"),0)</f>
        <v>0</v>
      </c>
      <c r="F78" s="176">
        <f ca="1">IFERROR(__xludf.DUMMYFUNCTION("IMPORTRANGE(""https://docs.google.com/spreadsheets/d/1-uDff_7J0KD5mKrp0Vvzr7lt3OU09vwQwhkpOPPYv2Y/edit?usp=sharing"",""งบพรบ!AY78"")"),0)</f>
        <v>0</v>
      </c>
      <c r="G78" s="176">
        <f ca="1">IFERROR(__xludf.DUMMYFUNCTION("IMPORTRANGE(""https://docs.google.com/spreadsheets/d/1-uDff_7J0KD5mKrp0Vvzr7lt3OU09vwQwhkpOPPYv2Y/edit?usp=sharing"",""งบพรบ!AZ78"")"),0)</f>
        <v>0</v>
      </c>
      <c r="H78" s="176">
        <f ca="1">IFERROR(__xludf.DUMMYFUNCTION("IMPORTRANGE(""https://docs.google.com/spreadsheets/d/1-uDff_7J0KD5mKrp0Vvzr7lt3OU09vwQwhkpOPPYv2Y/edit?usp=sharing"",""งบพรบ!BB78"")"),0)</f>
        <v>0</v>
      </c>
      <c r="I78" s="176">
        <f ca="1">IFERROR(__xludf.DUMMYFUNCTION("IMPORTRANGE(""https://docs.google.com/spreadsheets/d/1-uDff_7J0KD5mKrp0Vvzr7lt3OU09vwQwhkpOPPYv2Y/edit?usp=sharing"",""งบพรบ!BC78"")"),0)</f>
        <v>0</v>
      </c>
      <c r="J78" s="176">
        <f t="shared" ca="1" si="26"/>
        <v>0</v>
      </c>
      <c r="K78" s="179">
        <f t="shared" ca="1" si="27"/>
        <v>0</v>
      </c>
      <c r="L78" s="176">
        <f ca="1">IFERROR(__xludf.DUMMYFUNCTION("IMPORTRANGE(""https://docs.google.com/spreadsheets/d/1-uDff_7J0KD5mKrp0Vvzr7lt3OU09vwQwhkpOPPYv2Y/edit?usp=sharing"",""งบพรบ!BD78"")"),0)</f>
        <v>0</v>
      </c>
      <c r="M78" s="87">
        <f t="shared" ca="1" si="28"/>
        <v>0</v>
      </c>
      <c r="N78" s="87">
        <f t="shared" ca="1" si="29"/>
        <v>0</v>
      </c>
      <c r="O78" s="86">
        <f ca="1">IFERROR(__xludf.DUMMYFUNCTION("IMPORTRANGE(""https://docs.google.com/spreadsheets/d/1-uDff_7J0KD5mKrp0Vvzr7lt3OU09vwQwhkpOPPYv2Y/edit?usp=sharing"",""งบพรบ!BE78"")"),0)</f>
        <v>0</v>
      </c>
      <c r="P78" s="86">
        <f t="shared" ca="1" si="30"/>
        <v>0</v>
      </c>
      <c r="Q78" s="87">
        <f t="shared" ca="1" si="31"/>
        <v>0</v>
      </c>
      <c r="R78" s="86">
        <f ca="1">IFERROR(__xludf.DUMMYFUNCTION("IMPORTRANGE(""https://docs.google.com/spreadsheets/d/1Dj4jcHCTV9JXKCaMoheSXS52JE63kDKyG7bPXnFogHk/edit?usp=sharing"",""นครศรีธรรมราช!Q94"")"),0)</f>
        <v>0</v>
      </c>
      <c r="S78" s="86">
        <f ca="1">IFERROR(__xludf.DUMMYFUNCTION("IMPORTRANGE(""https://docs.google.com/spreadsheets/d/1Dj4jcHCTV9JXKCaMoheSXS52JE63kDKyG7bPXnFogHk/edit?usp=sharing"",""นครศรีธรรมราช!R94"")"),0)</f>
        <v>0</v>
      </c>
      <c r="T78" s="86">
        <f ca="1">IFERROR(__xludf.DUMMYFUNCTION("IMPORTRANGE(""https://docs.google.com/spreadsheets/d/1Dj4jcHCTV9JXKCaMoheSXS52JE63kDKyG7bPXnFogHk/edit?usp=sharing"",""นครศรีธรรมราช!S94"")"),0)</f>
        <v>0</v>
      </c>
      <c r="U78" s="87">
        <f t="shared" ca="1" si="33"/>
        <v>0</v>
      </c>
      <c r="V78" s="87">
        <f t="shared" ca="1" si="34"/>
        <v>0</v>
      </c>
      <c r="W78" s="93">
        <f ca="1">IFERROR(__xludf.DUMMYFUNCTION("IMPORTRANGE(""https://docs.google.com/spreadsheets/d/1Dj4jcHCTV9JXKCaMoheSXS52JE63kDKyG7bPXnFogHk/edit?usp=sharing"",""นครศรีธรรมราช!I108"")"),0)</f>
        <v>0</v>
      </c>
      <c r="X78" s="93">
        <f ca="1">IFERROR(__xludf.DUMMYFUNCTION("IMPORTRANGE(""https://docs.google.com/spreadsheets/d/1Dj4jcHCTV9JXKCaMoheSXS52JE63kDKyG7bPXnFogHk/edit?usp=sharing"",""นครศรีธรรมราช!J108"")"),0)</f>
        <v>0</v>
      </c>
      <c r="Y78" s="177">
        <f t="shared" ca="1" si="36"/>
        <v>0</v>
      </c>
      <c r="Z78" s="93">
        <f ca="1">IFERROR(__xludf.DUMMYFUNCTION("IMPORTRANGE(""https://docs.google.com/spreadsheets/d/1Dj4jcHCTV9JXKCaMoheSXS52JE63kDKyG7bPXnFogHk/edit?usp=sharing"",""นครศรีธรรมราช!I109"")"),0)</f>
        <v>0</v>
      </c>
      <c r="AA78" s="93">
        <f ca="1">IFERROR(__xludf.DUMMYFUNCTION("IMPORTRANGE(""https://docs.google.com/spreadsheets/d/1Dj4jcHCTV9JXKCaMoheSXS52JE63kDKyG7bPXnFogHk/edit?usp=sharing"",""นครศรีธรรมราช!J109"")"),0)</f>
        <v>0</v>
      </c>
      <c r="AB78" s="177">
        <f t="shared" ca="1" si="38"/>
        <v>0</v>
      </c>
      <c r="AC78" s="93">
        <v>0</v>
      </c>
      <c r="AD78" s="93">
        <v>0</v>
      </c>
      <c r="AE78" s="177">
        <f t="shared" si="40"/>
        <v>0</v>
      </c>
    </row>
    <row r="79" spans="1:31" ht="21" customHeight="1" x14ac:dyDescent="0.3">
      <c r="A79" s="172">
        <v>5</v>
      </c>
      <c r="B79" s="173" t="s">
        <v>105</v>
      </c>
      <c r="C79" s="174">
        <f t="shared" ca="1" si="24"/>
        <v>0</v>
      </c>
      <c r="D79" s="175">
        <f t="shared" ca="1" si="59"/>
        <v>0</v>
      </c>
      <c r="E79" s="176">
        <f ca="1">IFERROR(__xludf.DUMMYFUNCTION("IMPORTRANGE(""https://docs.google.com/spreadsheets/d/1-uDff_7J0KD5mKrp0Vvzr7lt3OU09vwQwhkpOPPYv2Y/edit?usp=sharing"",""งบพรบ!AX79"")"),0)</f>
        <v>0</v>
      </c>
      <c r="F79" s="176">
        <f ca="1">IFERROR(__xludf.DUMMYFUNCTION("IMPORTRANGE(""https://docs.google.com/spreadsheets/d/1-uDff_7J0KD5mKrp0Vvzr7lt3OU09vwQwhkpOPPYv2Y/edit?usp=sharing"",""งบพรบ!AY79"")"),0)</f>
        <v>0</v>
      </c>
      <c r="G79" s="176">
        <f ca="1">IFERROR(__xludf.DUMMYFUNCTION("IMPORTRANGE(""https://docs.google.com/spreadsheets/d/1-uDff_7J0KD5mKrp0Vvzr7lt3OU09vwQwhkpOPPYv2Y/edit?usp=sharing"",""งบพรบ!AZ79"")"),0)</f>
        <v>0</v>
      </c>
      <c r="H79" s="176">
        <f ca="1">IFERROR(__xludf.DUMMYFUNCTION("IMPORTRANGE(""https://docs.google.com/spreadsheets/d/1-uDff_7J0KD5mKrp0Vvzr7lt3OU09vwQwhkpOPPYv2Y/edit?usp=sharing"",""งบพรบ!BB79"")"),0)</f>
        <v>0</v>
      </c>
      <c r="I79" s="176">
        <f ca="1">IFERROR(__xludf.DUMMYFUNCTION("IMPORTRANGE(""https://docs.google.com/spreadsheets/d/1-uDff_7J0KD5mKrp0Vvzr7lt3OU09vwQwhkpOPPYv2Y/edit?usp=sharing"",""งบพรบ!BC79"")"),0)</f>
        <v>0</v>
      </c>
      <c r="J79" s="176">
        <f t="shared" ca="1" si="26"/>
        <v>0</v>
      </c>
      <c r="K79" s="179">
        <f t="shared" ca="1" si="27"/>
        <v>0</v>
      </c>
      <c r="L79" s="176">
        <f ca="1">IFERROR(__xludf.DUMMYFUNCTION("IMPORTRANGE(""https://docs.google.com/spreadsheets/d/1-uDff_7J0KD5mKrp0Vvzr7lt3OU09vwQwhkpOPPYv2Y/edit?usp=sharing"",""งบพรบ!BD79"")"),0)</f>
        <v>0</v>
      </c>
      <c r="M79" s="87">
        <f t="shared" ca="1" si="28"/>
        <v>0</v>
      </c>
      <c r="N79" s="87">
        <f t="shared" ca="1" si="29"/>
        <v>0</v>
      </c>
      <c r="O79" s="86">
        <f ca="1">IFERROR(__xludf.DUMMYFUNCTION("IMPORTRANGE(""https://docs.google.com/spreadsheets/d/1-uDff_7J0KD5mKrp0Vvzr7lt3OU09vwQwhkpOPPYv2Y/edit?usp=sharing"",""งบพรบ!BE79"")"),0)</f>
        <v>0</v>
      </c>
      <c r="P79" s="86">
        <f t="shared" ca="1" si="30"/>
        <v>0</v>
      </c>
      <c r="Q79" s="87">
        <f t="shared" ca="1" si="31"/>
        <v>0</v>
      </c>
      <c r="R79" s="86">
        <f ca="1">IFERROR(__xludf.DUMMYFUNCTION("IMPORTRANGE(""https://docs.google.com/spreadsheets/d/1iodCdmuK2GR3jzUwk8tpccY2JHQQA-87DLOtJP-ooyU/edit?usp=sharing"",""นราธิวาส!Q94"")"),168840)</f>
        <v>168840</v>
      </c>
      <c r="S79" s="86">
        <f ca="1">IFERROR(__xludf.DUMMYFUNCTION("IMPORTRANGE(""https://docs.google.com/spreadsheets/d/1iodCdmuK2GR3jzUwk8tpccY2JHQQA-87DLOtJP-ooyU/edit?usp=sharing"",""นราธิวาส!R94"")"),0)</f>
        <v>0</v>
      </c>
      <c r="T79" s="86">
        <f ca="1">IFERROR(__xludf.DUMMYFUNCTION("IMPORTRANGE(""https://docs.google.com/spreadsheets/d/1iodCdmuK2GR3jzUwk8tpccY2JHQQA-87DLOtJP-ooyU/edit?usp=sharing"",""นราธิวาส!S94"")"),0)</f>
        <v>0</v>
      </c>
      <c r="U79" s="87">
        <f t="shared" ca="1" si="33"/>
        <v>0</v>
      </c>
      <c r="V79" s="87">
        <f t="shared" ca="1" si="34"/>
        <v>0</v>
      </c>
      <c r="W79" s="93">
        <f ca="1">IFERROR(__xludf.DUMMYFUNCTION("IMPORTRANGE(""https://docs.google.com/spreadsheets/d/1iodCdmuK2GR3jzUwk8tpccY2JHQQA-87DLOtJP-ooyU/edit?usp=sharing"",""นราธิวาส!I108"")"),60)</f>
        <v>60</v>
      </c>
      <c r="X79" s="93">
        <f ca="1">IFERROR(__xludf.DUMMYFUNCTION("IMPORTRANGE(""https://docs.google.com/spreadsheets/d/1iodCdmuK2GR3jzUwk8tpccY2JHQQA-87DLOtJP-ooyU/edit?usp=sharing"",""นราธิวาส!J108"")"),0)</f>
        <v>0</v>
      </c>
      <c r="Y79" s="177">
        <f t="shared" ca="1" si="36"/>
        <v>0</v>
      </c>
      <c r="Z79" s="93">
        <f ca="1">IFERROR(__xludf.DUMMYFUNCTION("IMPORTRANGE(""https://docs.google.com/spreadsheets/d/1iodCdmuK2GR3jzUwk8tpccY2JHQQA-87DLOtJP-ooyU/edit?usp=sharing"",""นราธิวาส!I109"")"),20)</f>
        <v>20</v>
      </c>
      <c r="AA79" s="93">
        <f ca="1">IFERROR(__xludf.DUMMYFUNCTION("IMPORTRANGE(""https://docs.google.com/spreadsheets/d/1iodCdmuK2GR3jzUwk8tpccY2JHQQA-87DLOtJP-ooyU/edit?usp=sharing"",""นราธิวาส!J109"")"),0)</f>
        <v>0</v>
      </c>
      <c r="AB79" s="177">
        <f t="shared" ca="1" si="38"/>
        <v>0</v>
      </c>
      <c r="AC79" s="93">
        <v>0</v>
      </c>
      <c r="AD79" s="93">
        <v>0</v>
      </c>
      <c r="AE79" s="177">
        <f t="shared" si="40"/>
        <v>0</v>
      </c>
    </row>
    <row r="80" spans="1:31" ht="21" customHeight="1" x14ac:dyDescent="0.3">
      <c r="A80" s="172">
        <v>6</v>
      </c>
      <c r="B80" s="173" t="s">
        <v>106</v>
      </c>
      <c r="C80" s="174">
        <f t="shared" ca="1" si="24"/>
        <v>0</v>
      </c>
      <c r="D80" s="175">
        <f t="shared" ca="1" si="59"/>
        <v>0</v>
      </c>
      <c r="E80" s="176">
        <f ca="1">IFERROR(__xludf.DUMMYFUNCTION("IMPORTRANGE(""https://docs.google.com/spreadsheets/d/1-uDff_7J0KD5mKrp0Vvzr7lt3OU09vwQwhkpOPPYv2Y/edit?usp=sharing"",""งบพรบ!AX80"")"),0)</f>
        <v>0</v>
      </c>
      <c r="F80" s="176">
        <f ca="1">IFERROR(__xludf.DUMMYFUNCTION("IMPORTRANGE(""https://docs.google.com/spreadsheets/d/1-uDff_7J0KD5mKrp0Vvzr7lt3OU09vwQwhkpOPPYv2Y/edit?usp=sharing"",""งบพรบ!AY80"")"),0)</f>
        <v>0</v>
      </c>
      <c r="G80" s="176">
        <f ca="1">IFERROR(__xludf.DUMMYFUNCTION("IMPORTRANGE(""https://docs.google.com/spreadsheets/d/1-uDff_7J0KD5mKrp0Vvzr7lt3OU09vwQwhkpOPPYv2Y/edit?usp=sharing"",""งบพรบ!AZ80"")"),0)</f>
        <v>0</v>
      </c>
      <c r="H80" s="176">
        <f ca="1">IFERROR(__xludf.DUMMYFUNCTION("IMPORTRANGE(""https://docs.google.com/spreadsheets/d/1-uDff_7J0KD5mKrp0Vvzr7lt3OU09vwQwhkpOPPYv2Y/edit?usp=sharing"",""งบพรบ!BB80"")"),0)</f>
        <v>0</v>
      </c>
      <c r="I80" s="176">
        <f ca="1">IFERROR(__xludf.DUMMYFUNCTION("IMPORTRANGE(""https://docs.google.com/spreadsheets/d/1-uDff_7J0KD5mKrp0Vvzr7lt3OU09vwQwhkpOPPYv2Y/edit?usp=sharing"",""งบพรบ!BC80"")"),0)</f>
        <v>0</v>
      </c>
      <c r="J80" s="176">
        <f t="shared" ca="1" si="26"/>
        <v>0</v>
      </c>
      <c r="K80" s="179">
        <f t="shared" ca="1" si="27"/>
        <v>0</v>
      </c>
      <c r="L80" s="176">
        <f ca="1">IFERROR(__xludf.DUMMYFUNCTION("IMPORTRANGE(""https://docs.google.com/spreadsheets/d/1-uDff_7J0KD5mKrp0Vvzr7lt3OU09vwQwhkpOPPYv2Y/edit?usp=sharing"",""งบพรบ!BD80"")"),0)</f>
        <v>0</v>
      </c>
      <c r="M80" s="87">
        <f t="shared" ca="1" si="28"/>
        <v>0</v>
      </c>
      <c r="N80" s="87">
        <f t="shared" ca="1" si="29"/>
        <v>0</v>
      </c>
      <c r="O80" s="86">
        <f ca="1">IFERROR(__xludf.DUMMYFUNCTION("IMPORTRANGE(""https://docs.google.com/spreadsheets/d/1-uDff_7J0KD5mKrp0Vvzr7lt3OU09vwQwhkpOPPYv2Y/edit?usp=sharing"",""งบพรบ!BE80"")"),0)</f>
        <v>0</v>
      </c>
      <c r="P80" s="86">
        <f t="shared" ca="1" si="30"/>
        <v>0</v>
      </c>
      <c r="Q80" s="87">
        <f t="shared" ca="1" si="31"/>
        <v>0</v>
      </c>
      <c r="R80" s="86">
        <f ca="1">IFERROR(__xludf.DUMMYFUNCTION("IMPORTRANGE(""https://docs.google.com/spreadsheets/d/1SDNX3JhDdYRuIOsj0Wh2M-Qa_eaXl0NbWmhAOTbfQAs/edit?usp=sharing"",""ปัตตานี!Q94"")"),0)</f>
        <v>0</v>
      </c>
      <c r="S80" s="86">
        <f ca="1">IFERROR(__xludf.DUMMYFUNCTION("IMPORTRANGE(""https://docs.google.com/spreadsheets/d/1SDNX3JhDdYRuIOsj0Wh2M-Qa_eaXl0NbWmhAOTbfQAs/edit?usp=sharing"",""ปัตตานี!R94"")"),0)</f>
        <v>0</v>
      </c>
      <c r="T80" s="86">
        <f ca="1">IFERROR(__xludf.DUMMYFUNCTION("IMPORTRANGE(""https://docs.google.com/spreadsheets/d/1SDNX3JhDdYRuIOsj0Wh2M-Qa_eaXl0NbWmhAOTbfQAs/edit?usp=sharing"",""ปัตตานี!S94"")"),0)</f>
        <v>0</v>
      </c>
      <c r="U80" s="87">
        <f t="shared" ca="1" si="33"/>
        <v>0</v>
      </c>
      <c r="V80" s="87">
        <f t="shared" ca="1" si="34"/>
        <v>0</v>
      </c>
      <c r="W80" s="93">
        <f ca="1">IFERROR(__xludf.DUMMYFUNCTION("IMPORTRANGE(""https://docs.google.com/spreadsheets/d/1SDNX3JhDdYRuIOsj0Wh2M-Qa_eaXl0NbWmhAOTbfQAs/edit?usp=sharing"",""ปัตตานี!I108"")"),0)</f>
        <v>0</v>
      </c>
      <c r="X80" s="93">
        <f ca="1">IFERROR(__xludf.DUMMYFUNCTION("IMPORTRANGE(""https://docs.google.com/spreadsheets/d/1SDNX3JhDdYRuIOsj0Wh2M-Qa_eaXl0NbWmhAOTbfQAs/edit?usp=sharing"",""ปัตตานี!J108"")"),0)</f>
        <v>0</v>
      </c>
      <c r="Y80" s="177">
        <f t="shared" ca="1" si="36"/>
        <v>0</v>
      </c>
      <c r="Z80" s="93">
        <f ca="1">IFERROR(__xludf.DUMMYFUNCTION("IMPORTRANGE(""https://docs.google.com/spreadsheets/d/1SDNX3JhDdYRuIOsj0Wh2M-Qa_eaXl0NbWmhAOTbfQAs/edit?usp=sharing"",""ปัตตานี!I109"")"),0)</f>
        <v>0</v>
      </c>
      <c r="AA80" s="93">
        <f ca="1">IFERROR(__xludf.DUMMYFUNCTION("IMPORTRANGE(""https://docs.google.com/spreadsheets/d/1SDNX3JhDdYRuIOsj0Wh2M-Qa_eaXl0NbWmhAOTbfQAs/edit?usp=sharing"",""ปัตตานี!J109"")"),0)</f>
        <v>0</v>
      </c>
      <c r="AB80" s="177">
        <f t="shared" ca="1" si="38"/>
        <v>0</v>
      </c>
      <c r="AC80" s="93">
        <v>0</v>
      </c>
      <c r="AD80" s="93">
        <v>0</v>
      </c>
      <c r="AE80" s="177">
        <f t="shared" si="40"/>
        <v>0</v>
      </c>
    </row>
    <row r="81" spans="1:31" ht="21" customHeight="1" x14ac:dyDescent="0.3">
      <c r="A81" s="172">
        <v>7</v>
      </c>
      <c r="B81" s="173" t="s">
        <v>107</v>
      </c>
      <c r="C81" s="174">
        <f t="shared" ca="1" si="24"/>
        <v>0</v>
      </c>
      <c r="D81" s="175">
        <f t="shared" ca="1" si="59"/>
        <v>0</v>
      </c>
      <c r="E81" s="176">
        <f ca="1">IFERROR(__xludf.DUMMYFUNCTION("IMPORTRANGE(""https://docs.google.com/spreadsheets/d/1-uDff_7J0KD5mKrp0Vvzr7lt3OU09vwQwhkpOPPYv2Y/edit?usp=sharing"",""งบพรบ!AX81"")"),0)</f>
        <v>0</v>
      </c>
      <c r="F81" s="176">
        <f ca="1">IFERROR(__xludf.DUMMYFUNCTION("IMPORTRANGE(""https://docs.google.com/spreadsheets/d/1-uDff_7J0KD5mKrp0Vvzr7lt3OU09vwQwhkpOPPYv2Y/edit?usp=sharing"",""งบพรบ!AY81"")"),0)</f>
        <v>0</v>
      </c>
      <c r="G81" s="176">
        <f ca="1">IFERROR(__xludf.DUMMYFUNCTION("IMPORTRANGE(""https://docs.google.com/spreadsheets/d/1-uDff_7J0KD5mKrp0Vvzr7lt3OU09vwQwhkpOPPYv2Y/edit?usp=sharing"",""งบพรบ!AZ81"")"),0)</f>
        <v>0</v>
      </c>
      <c r="H81" s="176">
        <f ca="1">IFERROR(__xludf.DUMMYFUNCTION("IMPORTRANGE(""https://docs.google.com/spreadsheets/d/1-uDff_7J0KD5mKrp0Vvzr7lt3OU09vwQwhkpOPPYv2Y/edit?usp=sharing"",""งบพรบ!BB81"")"),0)</f>
        <v>0</v>
      </c>
      <c r="I81" s="176">
        <f ca="1">IFERROR(__xludf.DUMMYFUNCTION("IMPORTRANGE(""https://docs.google.com/spreadsheets/d/1-uDff_7J0KD5mKrp0Vvzr7lt3OU09vwQwhkpOPPYv2Y/edit?usp=sharing"",""งบพรบ!BC81"")"),0)</f>
        <v>0</v>
      </c>
      <c r="J81" s="176">
        <f t="shared" ca="1" si="26"/>
        <v>0</v>
      </c>
      <c r="K81" s="179">
        <f t="shared" ca="1" si="27"/>
        <v>0</v>
      </c>
      <c r="L81" s="176">
        <f ca="1">IFERROR(__xludf.DUMMYFUNCTION("IMPORTRANGE(""https://docs.google.com/spreadsheets/d/1-uDff_7J0KD5mKrp0Vvzr7lt3OU09vwQwhkpOPPYv2Y/edit?usp=sharing"",""งบพรบ!BD81"")"),0)</f>
        <v>0</v>
      </c>
      <c r="M81" s="87">
        <f t="shared" ca="1" si="28"/>
        <v>0</v>
      </c>
      <c r="N81" s="87">
        <f t="shared" ca="1" si="29"/>
        <v>0</v>
      </c>
      <c r="O81" s="86">
        <f ca="1">IFERROR(__xludf.DUMMYFUNCTION("IMPORTRANGE(""https://docs.google.com/spreadsheets/d/1-uDff_7J0KD5mKrp0Vvzr7lt3OU09vwQwhkpOPPYv2Y/edit?usp=sharing"",""งบพรบ!BE81"")"),0)</f>
        <v>0</v>
      </c>
      <c r="P81" s="86">
        <f t="shared" ca="1" si="30"/>
        <v>0</v>
      </c>
      <c r="Q81" s="87">
        <f t="shared" ca="1" si="31"/>
        <v>0</v>
      </c>
      <c r="R81" s="86">
        <f ca="1">IFERROR(__xludf.DUMMYFUNCTION("IMPORTRANGE(""https://docs.google.com/spreadsheets/d/16JDLGguT8s5DsGCND1KcwHP_AWR_zDMTqLHPLJUKhaU/edit?usp=sharing"",""พังงา!Q94"")"),84420)</f>
        <v>84420</v>
      </c>
      <c r="S81" s="86">
        <f ca="1">IFERROR(__xludf.DUMMYFUNCTION("IMPORTRANGE(""https://docs.google.com/spreadsheets/d/16JDLGguT8s5DsGCND1KcwHP_AWR_zDMTqLHPLJUKhaU/edit?usp=sharing"",""พังงา!R94"")"),0)</f>
        <v>0</v>
      </c>
      <c r="T81" s="86">
        <f ca="1">IFERROR(__xludf.DUMMYFUNCTION("IMPORTRANGE(""https://docs.google.com/spreadsheets/d/16JDLGguT8s5DsGCND1KcwHP_AWR_zDMTqLHPLJUKhaU/edit?usp=sharing"",""พังงา!S94"")"),0)</f>
        <v>0</v>
      </c>
      <c r="U81" s="87">
        <f t="shared" ca="1" si="33"/>
        <v>0</v>
      </c>
      <c r="V81" s="87">
        <f t="shared" ca="1" si="34"/>
        <v>0</v>
      </c>
      <c r="W81" s="93">
        <f ca="1">IFERROR(__xludf.DUMMYFUNCTION("IMPORTRANGE(""https://docs.google.com/spreadsheets/d/16JDLGguT8s5DsGCND1KcwHP_AWR_zDMTqLHPLJUKhaU/edit?usp=sharing"",""พังงา!I108"")"),30)</f>
        <v>30</v>
      </c>
      <c r="X81" s="93">
        <f ca="1">IFERROR(__xludf.DUMMYFUNCTION("IMPORTRANGE(""https://docs.google.com/spreadsheets/d/16JDLGguT8s5DsGCND1KcwHP_AWR_zDMTqLHPLJUKhaU/edit?usp=sharing"",""พังงา!J108"")"),0)</f>
        <v>0</v>
      </c>
      <c r="Y81" s="177">
        <f t="shared" ca="1" si="36"/>
        <v>0</v>
      </c>
      <c r="Z81" s="93">
        <f ca="1">IFERROR(__xludf.DUMMYFUNCTION("IMPORTRANGE(""https://docs.google.com/spreadsheets/d/16JDLGguT8s5DsGCND1KcwHP_AWR_zDMTqLHPLJUKhaU/edit?usp=sharing"",""พังงา!I109"")"),10)</f>
        <v>10</v>
      </c>
      <c r="AA81" s="93">
        <f ca="1">IFERROR(__xludf.DUMMYFUNCTION("IMPORTRANGE(""https://docs.google.com/spreadsheets/d/16JDLGguT8s5DsGCND1KcwHP_AWR_zDMTqLHPLJUKhaU/edit?usp=sharing"",""พังงา!J109"")"),0)</f>
        <v>0</v>
      </c>
      <c r="AB81" s="177">
        <f t="shared" ca="1" si="38"/>
        <v>0</v>
      </c>
      <c r="AC81" s="93">
        <v>0</v>
      </c>
      <c r="AD81" s="93">
        <v>0</v>
      </c>
      <c r="AE81" s="177">
        <f t="shared" si="40"/>
        <v>0</v>
      </c>
    </row>
    <row r="82" spans="1:31" ht="21" customHeight="1" x14ac:dyDescent="0.3">
      <c r="A82" s="172">
        <v>8</v>
      </c>
      <c r="B82" s="173" t="s">
        <v>108</v>
      </c>
      <c r="C82" s="174">
        <f t="shared" ca="1" si="24"/>
        <v>0</v>
      </c>
      <c r="D82" s="175">
        <f t="shared" ca="1" si="59"/>
        <v>0</v>
      </c>
      <c r="E82" s="176">
        <f ca="1">IFERROR(__xludf.DUMMYFUNCTION("IMPORTRANGE(""https://docs.google.com/spreadsheets/d/1-uDff_7J0KD5mKrp0Vvzr7lt3OU09vwQwhkpOPPYv2Y/edit?usp=sharing"",""งบพรบ!AX82"")"),0)</f>
        <v>0</v>
      </c>
      <c r="F82" s="176">
        <f ca="1">IFERROR(__xludf.DUMMYFUNCTION("IMPORTRANGE(""https://docs.google.com/spreadsheets/d/1-uDff_7J0KD5mKrp0Vvzr7lt3OU09vwQwhkpOPPYv2Y/edit?usp=sharing"",""งบพรบ!AY82"")"),0)</f>
        <v>0</v>
      </c>
      <c r="G82" s="176">
        <f ca="1">IFERROR(__xludf.DUMMYFUNCTION("IMPORTRANGE(""https://docs.google.com/spreadsheets/d/1-uDff_7J0KD5mKrp0Vvzr7lt3OU09vwQwhkpOPPYv2Y/edit?usp=sharing"",""งบพรบ!AZ82"")"),0)</f>
        <v>0</v>
      </c>
      <c r="H82" s="176">
        <f ca="1">IFERROR(__xludf.DUMMYFUNCTION("IMPORTRANGE(""https://docs.google.com/spreadsheets/d/1-uDff_7J0KD5mKrp0Vvzr7lt3OU09vwQwhkpOPPYv2Y/edit?usp=sharing"",""งบพรบ!BB82"")"),0)</f>
        <v>0</v>
      </c>
      <c r="I82" s="176">
        <f ca="1">IFERROR(__xludf.DUMMYFUNCTION("IMPORTRANGE(""https://docs.google.com/spreadsheets/d/1-uDff_7J0KD5mKrp0Vvzr7lt3OU09vwQwhkpOPPYv2Y/edit?usp=sharing"",""งบพรบ!BC82"")"),0)</f>
        <v>0</v>
      </c>
      <c r="J82" s="176">
        <f t="shared" ca="1" si="26"/>
        <v>0</v>
      </c>
      <c r="K82" s="179">
        <f t="shared" ca="1" si="27"/>
        <v>0</v>
      </c>
      <c r="L82" s="176">
        <f ca="1">IFERROR(__xludf.DUMMYFUNCTION("IMPORTRANGE(""https://docs.google.com/spreadsheets/d/1-uDff_7J0KD5mKrp0Vvzr7lt3OU09vwQwhkpOPPYv2Y/edit?usp=sharing"",""งบพรบ!BD82"")"),0)</f>
        <v>0</v>
      </c>
      <c r="M82" s="87">
        <f t="shared" ca="1" si="28"/>
        <v>0</v>
      </c>
      <c r="N82" s="87">
        <f t="shared" ca="1" si="29"/>
        <v>0</v>
      </c>
      <c r="O82" s="86">
        <f ca="1">IFERROR(__xludf.DUMMYFUNCTION("IMPORTRANGE(""https://docs.google.com/spreadsheets/d/1-uDff_7J0KD5mKrp0Vvzr7lt3OU09vwQwhkpOPPYv2Y/edit?usp=sharing"",""งบพรบ!BE82"")"),0)</f>
        <v>0</v>
      </c>
      <c r="P82" s="86">
        <f t="shared" ca="1" si="30"/>
        <v>0</v>
      </c>
      <c r="Q82" s="87">
        <f t="shared" ca="1" si="31"/>
        <v>0</v>
      </c>
      <c r="R82" s="86">
        <f ca="1">IFERROR(__xludf.DUMMYFUNCTION("IMPORTRANGE(""https://docs.google.com/spreadsheets/d/17ht0gPKzzT3PObBL1XJkeRmntBXI7wGjpLV7QorqlTk/edit?usp=sharing"",""พัทลุง!Q94"")"),84420)</f>
        <v>84420</v>
      </c>
      <c r="S82" s="86">
        <f ca="1">IFERROR(__xludf.DUMMYFUNCTION("IMPORTRANGE(""https://docs.google.com/spreadsheets/d/17ht0gPKzzT3PObBL1XJkeRmntBXI7wGjpLV7QorqlTk/edit?usp=sharing"",""พัทลุง!R94"")"),0)</f>
        <v>0</v>
      </c>
      <c r="T82" s="86">
        <f ca="1">IFERROR(__xludf.DUMMYFUNCTION("IMPORTRANGE(""https://docs.google.com/spreadsheets/d/17ht0gPKzzT3PObBL1XJkeRmntBXI7wGjpLV7QorqlTk/edit?usp=sharing"",""พัทลุง!S94"")"),0)</f>
        <v>0</v>
      </c>
      <c r="U82" s="87">
        <f t="shared" ca="1" si="33"/>
        <v>0</v>
      </c>
      <c r="V82" s="87">
        <f t="shared" ca="1" si="34"/>
        <v>0</v>
      </c>
      <c r="W82" s="93">
        <f ca="1">IFERROR(__xludf.DUMMYFUNCTION("IMPORTRANGE(""https://docs.google.com/spreadsheets/d/17ht0gPKzzT3PObBL1XJkeRmntBXI7wGjpLV7QorqlTk/edit?usp=sharing"",""พัทลุง!I108"")"),30)</f>
        <v>30</v>
      </c>
      <c r="X82" s="93">
        <f ca="1">IFERROR(__xludf.DUMMYFUNCTION("IMPORTRANGE(""https://docs.google.com/spreadsheets/d/17ht0gPKzzT3PObBL1XJkeRmntBXI7wGjpLV7QorqlTk/edit?usp=sharing"",""พัทลุง!J108"")"),0)</f>
        <v>0</v>
      </c>
      <c r="Y82" s="177">
        <f t="shared" ca="1" si="36"/>
        <v>0</v>
      </c>
      <c r="Z82" s="93">
        <f ca="1">IFERROR(__xludf.DUMMYFUNCTION("IMPORTRANGE(""https://docs.google.com/spreadsheets/d/17ht0gPKzzT3PObBL1XJkeRmntBXI7wGjpLV7QorqlTk/edit?usp=sharing"",""พัทลุง!I109"")"),10)</f>
        <v>10</v>
      </c>
      <c r="AA82" s="93">
        <f ca="1">IFERROR(__xludf.DUMMYFUNCTION("IMPORTRANGE(""https://docs.google.com/spreadsheets/d/17ht0gPKzzT3PObBL1XJkeRmntBXI7wGjpLV7QorqlTk/edit?usp=sharing"",""พัทลุง!J109"")"),0)</f>
        <v>0</v>
      </c>
      <c r="AB82" s="177">
        <f t="shared" ca="1" si="38"/>
        <v>0</v>
      </c>
      <c r="AC82" s="93">
        <v>0</v>
      </c>
      <c r="AD82" s="93">
        <v>0</v>
      </c>
      <c r="AE82" s="177">
        <f t="shared" si="40"/>
        <v>0</v>
      </c>
    </row>
    <row r="83" spans="1:31" ht="21" customHeight="1" x14ac:dyDescent="0.3">
      <c r="A83" s="172">
        <v>9</v>
      </c>
      <c r="B83" s="173" t="s">
        <v>109</v>
      </c>
      <c r="C83" s="174">
        <f t="shared" ca="1" si="24"/>
        <v>0</v>
      </c>
      <c r="D83" s="175">
        <f t="shared" ca="1" si="59"/>
        <v>0</v>
      </c>
      <c r="E83" s="176">
        <f ca="1">IFERROR(__xludf.DUMMYFUNCTION("IMPORTRANGE(""https://docs.google.com/spreadsheets/d/1-uDff_7J0KD5mKrp0Vvzr7lt3OU09vwQwhkpOPPYv2Y/edit?usp=sharing"",""งบพรบ!AX83"")"),0)</f>
        <v>0</v>
      </c>
      <c r="F83" s="176">
        <f ca="1">IFERROR(__xludf.DUMMYFUNCTION("IMPORTRANGE(""https://docs.google.com/spreadsheets/d/1-uDff_7J0KD5mKrp0Vvzr7lt3OU09vwQwhkpOPPYv2Y/edit?usp=sharing"",""งบพรบ!AY83"")"),0)</f>
        <v>0</v>
      </c>
      <c r="G83" s="176">
        <f ca="1">IFERROR(__xludf.DUMMYFUNCTION("IMPORTRANGE(""https://docs.google.com/spreadsheets/d/1-uDff_7J0KD5mKrp0Vvzr7lt3OU09vwQwhkpOPPYv2Y/edit?usp=sharing"",""งบพรบ!AZ83"")"),0)</f>
        <v>0</v>
      </c>
      <c r="H83" s="176">
        <f ca="1">IFERROR(__xludf.DUMMYFUNCTION("IMPORTRANGE(""https://docs.google.com/spreadsheets/d/1-uDff_7J0KD5mKrp0Vvzr7lt3OU09vwQwhkpOPPYv2Y/edit?usp=sharing"",""งบพรบ!BB83"")"),0)</f>
        <v>0</v>
      </c>
      <c r="I83" s="176">
        <f ca="1">IFERROR(__xludf.DUMMYFUNCTION("IMPORTRANGE(""https://docs.google.com/spreadsheets/d/1-uDff_7J0KD5mKrp0Vvzr7lt3OU09vwQwhkpOPPYv2Y/edit?usp=sharing"",""งบพรบ!BC83"")"),0)</f>
        <v>0</v>
      </c>
      <c r="J83" s="176">
        <f t="shared" ca="1" si="26"/>
        <v>0</v>
      </c>
      <c r="K83" s="179">
        <f t="shared" ca="1" si="27"/>
        <v>0</v>
      </c>
      <c r="L83" s="176">
        <f ca="1">IFERROR(__xludf.DUMMYFUNCTION("IMPORTRANGE(""https://docs.google.com/spreadsheets/d/1-uDff_7J0KD5mKrp0Vvzr7lt3OU09vwQwhkpOPPYv2Y/edit?usp=sharing"",""งบพรบ!BD83"")"),0)</f>
        <v>0</v>
      </c>
      <c r="M83" s="87">
        <f t="shared" ca="1" si="28"/>
        <v>0</v>
      </c>
      <c r="N83" s="87">
        <f t="shared" ca="1" si="29"/>
        <v>0</v>
      </c>
      <c r="O83" s="86">
        <f ca="1">IFERROR(__xludf.DUMMYFUNCTION("IMPORTRANGE(""https://docs.google.com/spreadsheets/d/1-uDff_7J0KD5mKrp0Vvzr7lt3OU09vwQwhkpOPPYv2Y/edit?usp=sharing"",""งบพรบ!BE83"")"),0)</f>
        <v>0</v>
      </c>
      <c r="P83" s="86">
        <f t="shared" ca="1" si="30"/>
        <v>0</v>
      </c>
      <c r="Q83" s="87">
        <f t="shared" ca="1" si="31"/>
        <v>0</v>
      </c>
      <c r="R83" s="86">
        <f ca="1">IFERROR(__xludf.DUMMYFUNCTION("IMPORTRANGE(""https://docs.google.com/spreadsheets/d/1rd4qoM1q_hsgaolqNGfrim9gbsoLxQsda4-vOz5x_BM/edit?usp=sharing"",""ภูเก็ต!Q94"")"),0)</f>
        <v>0</v>
      </c>
      <c r="S83" s="86">
        <f ca="1">IFERROR(__xludf.DUMMYFUNCTION("IMPORTRANGE(""https://docs.google.com/spreadsheets/d/1rd4qoM1q_hsgaolqNGfrim9gbsoLxQsda4-vOz5x_BM/edit?usp=sharing"",""ภูเก็ต!R94"")"),0)</f>
        <v>0</v>
      </c>
      <c r="T83" s="86">
        <f ca="1">IFERROR(__xludf.DUMMYFUNCTION("IMPORTRANGE(""https://docs.google.com/spreadsheets/d/1rd4qoM1q_hsgaolqNGfrim9gbsoLxQsda4-vOz5x_BM/edit?usp=sharing"",""ภูเก็ต!S94"")"),0)</f>
        <v>0</v>
      </c>
      <c r="U83" s="87">
        <f t="shared" ca="1" si="33"/>
        <v>0</v>
      </c>
      <c r="V83" s="87">
        <f t="shared" ca="1" si="34"/>
        <v>0</v>
      </c>
      <c r="W83" s="93">
        <f ca="1">IFERROR(__xludf.DUMMYFUNCTION("IMPORTRANGE(""https://docs.google.com/spreadsheets/d/1rd4qoM1q_hsgaolqNGfrim9gbsoLxQsda4-vOz5x_BM/edit?usp=sharing"",""ภูเก็ต!I108"")"),0)</f>
        <v>0</v>
      </c>
      <c r="X83" s="93">
        <f ca="1">IFERROR(__xludf.DUMMYFUNCTION("IMPORTRANGE(""https://docs.google.com/spreadsheets/d/1rd4qoM1q_hsgaolqNGfrim9gbsoLxQsda4-vOz5x_BM/edit?usp=sharing"",""ภูเก็ต!J108"")"),0)</f>
        <v>0</v>
      </c>
      <c r="Y83" s="177">
        <f t="shared" ca="1" si="36"/>
        <v>0</v>
      </c>
      <c r="Z83" s="93">
        <f ca="1">IFERROR(__xludf.DUMMYFUNCTION("IMPORTRANGE(""https://docs.google.com/spreadsheets/d/1rd4qoM1q_hsgaolqNGfrim9gbsoLxQsda4-vOz5x_BM/edit?usp=sharing"",""ภูเก็ต!I109"")"),0)</f>
        <v>0</v>
      </c>
      <c r="AA83" s="93">
        <f ca="1">IFERROR(__xludf.DUMMYFUNCTION("IMPORTRANGE(""https://docs.google.com/spreadsheets/d/1rd4qoM1q_hsgaolqNGfrim9gbsoLxQsda4-vOz5x_BM/edit?usp=sharing"",""ภูเก็ต!J109"")"),0)</f>
        <v>0</v>
      </c>
      <c r="AB83" s="177">
        <f t="shared" ca="1" si="38"/>
        <v>0</v>
      </c>
      <c r="AC83" s="93">
        <v>0</v>
      </c>
      <c r="AD83" s="93">
        <v>0</v>
      </c>
      <c r="AE83" s="177">
        <f t="shared" si="40"/>
        <v>0</v>
      </c>
    </row>
    <row r="84" spans="1:31" ht="21" customHeight="1" x14ac:dyDescent="0.3">
      <c r="A84" s="172">
        <v>10</v>
      </c>
      <c r="B84" s="173" t="s">
        <v>110</v>
      </c>
      <c r="C84" s="174">
        <f t="shared" ca="1" si="24"/>
        <v>0</v>
      </c>
      <c r="D84" s="175">
        <f t="shared" ca="1" si="59"/>
        <v>0</v>
      </c>
      <c r="E84" s="176">
        <f ca="1">IFERROR(__xludf.DUMMYFUNCTION("IMPORTRANGE(""https://docs.google.com/spreadsheets/d/1-uDff_7J0KD5mKrp0Vvzr7lt3OU09vwQwhkpOPPYv2Y/edit?usp=sharing"",""งบพรบ!AX84"")"),0)</f>
        <v>0</v>
      </c>
      <c r="F84" s="176">
        <f ca="1">IFERROR(__xludf.DUMMYFUNCTION("IMPORTRANGE(""https://docs.google.com/spreadsheets/d/1-uDff_7J0KD5mKrp0Vvzr7lt3OU09vwQwhkpOPPYv2Y/edit?usp=sharing"",""งบพรบ!AY84"")"),0)</f>
        <v>0</v>
      </c>
      <c r="G84" s="176">
        <f ca="1">IFERROR(__xludf.DUMMYFUNCTION("IMPORTRANGE(""https://docs.google.com/spreadsheets/d/1-uDff_7J0KD5mKrp0Vvzr7lt3OU09vwQwhkpOPPYv2Y/edit?usp=sharing"",""งบพรบ!AZ84"")"),0)</f>
        <v>0</v>
      </c>
      <c r="H84" s="176">
        <f ca="1">IFERROR(__xludf.DUMMYFUNCTION("IMPORTRANGE(""https://docs.google.com/spreadsheets/d/1-uDff_7J0KD5mKrp0Vvzr7lt3OU09vwQwhkpOPPYv2Y/edit?usp=sharing"",""งบพรบ!BB84"")"),0)</f>
        <v>0</v>
      </c>
      <c r="I84" s="176">
        <f ca="1">IFERROR(__xludf.DUMMYFUNCTION("IMPORTRANGE(""https://docs.google.com/spreadsheets/d/1-uDff_7J0KD5mKrp0Vvzr7lt3OU09vwQwhkpOPPYv2Y/edit?usp=sharing"",""งบพรบ!BC84"")"),0)</f>
        <v>0</v>
      </c>
      <c r="J84" s="176">
        <f t="shared" ca="1" si="26"/>
        <v>0</v>
      </c>
      <c r="K84" s="179">
        <f t="shared" ca="1" si="27"/>
        <v>0</v>
      </c>
      <c r="L84" s="176">
        <f ca="1">IFERROR(__xludf.DUMMYFUNCTION("IMPORTRANGE(""https://docs.google.com/spreadsheets/d/1-uDff_7J0KD5mKrp0Vvzr7lt3OU09vwQwhkpOPPYv2Y/edit?usp=sharing"",""งบพรบ!BD84"")"),0)</f>
        <v>0</v>
      </c>
      <c r="M84" s="87">
        <f t="shared" ca="1" si="28"/>
        <v>0</v>
      </c>
      <c r="N84" s="87">
        <f t="shared" ca="1" si="29"/>
        <v>0</v>
      </c>
      <c r="O84" s="86">
        <f ca="1">IFERROR(__xludf.DUMMYFUNCTION("IMPORTRANGE(""https://docs.google.com/spreadsheets/d/1-uDff_7J0KD5mKrp0Vvzr7lt3OU09vwQwhkpOPPYv2Y/edit?usp=sharing"",""งบพรบ!BE84"")"),0)</f>
        <v>0</v>
      </c>
      <c r="P84" s="86">
        <f t="shared" ca="1" si="30"/>
        <v>0</v>
      </c>
      <c r="Q84" s="87">
        <f t="shared" ca="1" si="31"/>
        <v>0</v>
      </c>
      <c r="R84" s="86">
        <f ca="1">IFERROR(__xludf.DUMMYFUNCTION("IMPORTRANGE(""https://docs.google.com/spreadsheets/d/1woKwKjgoLssDvPcPeVyezB5izizAn4X1JDrys69n6xI/edit?usp=sharing"",""ยะลา!Q94"")"),0)</f>
        <v>0</v>
      </c>
      <c r="S84" s="86">
        <f ca="1">IFERROR(__xludf.DUMMYFUNCTION("IMPORTRANGE(""https://docs.google.com/spreadsheets/d/1woKwKjgoLssDvPcPeVyezB5izizAn4X1JDrys69n6xI/edit?usp=sharing"",""ยะลา!R94"")"),0)</f>
        <v>0</v>
      </c>
      <c r="T84" s="86">
        <f ca="1">IFERROR(__xludf.DUMMYFUNCTION("IMPORTRANGE(""https://docs.google.com/spreadsheets/d/1woKwKjgoLssDvPcPeVyezB5izizAn4X1JDrys69n6xI/edit?usp=sharing"",""ยะลา!S94"")"),0)</f>
        <v>0</v>
      </c>
      <c r="U84" s="87">
        <f t="shared" ca="1" si="33"/>
        <v>0</v>
      </c>
      <c r="V84" s="87">
        <f t="shared" ca="1" si="34"/>
        <v>0</v>
      </c>
      <c r="W84" s="93">
        <f ca="1">IFERROR(__xludf.DUMMYFUNCTION("IMPORTRANGE(""https://docs.google.com/spreadsheets/d/1woKwKjgoLssDvPcPeVyezB5izizAn4X1JDrys69n6xI/edit?usp=sharing"",""ยะลา!I108"")"),0)</f>
        <v>0</v>
      </c>
      <c r="X84" s="93">
        <f ca="1">IFERROR(__xludf.DUMMYFUNCTION("IMPORTRANGE(""https://docs.google.com/spreadsheets/d/1woKwKjgoLssDvPcPeVyezB5izizAn4X1JDrys69n6xI/edit?usp=sharing"",""ยะลา!J108"")"),0)</f>
        <v>0</v>
      </c>
      <c r="Y84" s="177">
        <f t="shared" ca="1" si="36"/>
        <v>0</v>
      </c>
      <c r="Z84" s="93">
        <f ca="1">IFERROR(__xludf.DUMMYFUNCTION("IMPORTRANGE(""https://docs.google.com/spreadsheets/d/1woKwKjgoLssDvPcPeVyezB5izizAn4X1JDrys69n6xI/edit?usp=sharing"",""ยะลา!I109"")"),0)</f>
        <v>0</v>
      </c>
      <c r="AA84" s="93">
        <f ca="1">IFERROR(__xludf.DUMMYFUNCTION("IMPORTRANGE(""https://docs.google.com/spreadsheets/d/1woKwKjgoLssDvPcPeVyezB5izizAn4X1JDrys69n6xI/edit?usp=sharing"",""ยะลา!J109"")"),0)</f>
        <v>0</v>
      </c>
      <c r="AB84" s="177">
        <f t="shared" ca="1" si="38"/>
        <v>0</v>
      </c>
      <c r="AC84" s="93">
        <v>0</v>
      </c>
      <c r="AD84" s="93">
        <v>0</v>
      </c>
      <c r="AE84" s="177">
        <f t="shared" si="40"/>
        <v>0</v>
      </c>
    </row>
    <row r="85" spans="1:31" ht="21" customHeight="1" x14ac:dyDescent="0.3">
      <c r="A85" s="172">
        <v>11</v>
      </c>
      <c r="B85" s="173" t="s">
        <v>111</v>
      </c>
      <c r="C85" s="174">
        <f t="shared" ca="1" si="24"/>
        <v>0</v>
      </c>
      <c r="D85" s="175">
        <f t="shared" ca="1" si="59"/>
        <v>0</v>
      </c>
      <c r="E85" s="176">
        <f ca="1">IFERROR(__xludf.DUMMYFUNCTION("IMPORTRANGE(""https://docs.google.com/spreadsheets/d/1-uDff_7J0KD5mKrp0Vvzr7lt3OU09vwQwhkpOPPYv2Y/edit?usp=sharing"",""งบพรบ!AX85"")"),0)</f>
        <v>0</v>
      </c>
      <c r="F85" s="176">
        <f ca="1">IFERROR(__xludf.DUMMYFUNCTION("IMPORTRANGE(""https://docs.google.com/spreadsheets/d/1-uDff_7J0KD5mKrp0Vvzr7lt3OU09vwQwhkpOPPYv2Y/edit?usp=sharing"",""งบพรบ!AY85"")"),0)</f>
        <v>0</v>
      </c>
      <c r="G85" s="176">
        <f ca="1">IFERROR(__xludf.DUMMYFUNCTION("IMPORTRANGE(""https://docs.google.com/spreadsheets/d/1-uDff_7J0KD5mKrp0Vvzr7lt3OU09vwQwhkpOPPYv2Y/edit?usp=sharing"",""งบพรบ!AZ85"")"),0)</f>
        <v>0</v>
      </c>
      <c r="H85" s="176">
        <f ca="1">IFERROR(__xludf.DUMMYFUNCTION("IMPORTRANGE(""https://docs.google.com/spreadsheets/d/1-uDff_7J0KD5mKrp0Vvzr7lt3OU09vwQwhkpOPPYv2Y/edit?usp=sharing"",""งบพรบ!BB85"")"),0)</f>
        <v>0</v>
      </c>
      <c r="I85" s="176">
        <f ca="1">IFERROR(__xludf.DUMMYFUNCTION("IMPORTRANGE(""https://docs.google.com/spreadsheets/d/1-uDff_7J0KD5mKrp0Vvzr7lt3OU09vwQwhkpOPPYv2Y/edit?usp=sharing"",""งบพรบ!BC85"")"),0)</f>
        <v>0</v>
      </c>
      <c r="J85" s="176">
        <f t="shared" ca="1" si="26"/>
        <v>0</v>
      </c>
      <c r="K85" s="179">
        <f t="shared" ca="1" si="27"/>
        <v>0</v>
      </c>
      <c r="L85" s="176">
        <f ca="1">IFERROR(__xludf.DUMMYFUNCTION("IMPORTRANGE(""https://docs.google.com/spreadsheets/d/1-uDff_7J0KD5mKrp0Vvzr7lt3OU09vwQwhkpOPPYv2Y/edit?usp=sharing"",""งบพรบ!BD85"")"),0)</f>
        <v>0</v>
      </c>
      <c r="M85" s="87">
        <f t="shared" ca="1" si="28"/>
        <v>0</v>
      </c>
      <c r="N85" s="87">
        <f t="shared" ca="1" si="29"/>
        <v>0</v>
      </c>
      <c r="O85" s="86">
        <f ca="1">IFERROR(__xludf.DUMMYFUNCTION("IMPORTRANGE(""https://docs.google.com/spreadsheets/d/1-uDff_7J0KD5mKrp0Vvzr7lt3OU09vwQwhkpOPPYv2Y/edit?usp=sharing"",""งบพรบ!BE85"")"),0)</f>
        <v>0</v>
      </c>
      <c r="P85" s="86">
        <f t="shared" ca="1" si="30"/>
        <v>0</v>
      </c>
      <c r="Q85" s="87">
        <f t="shared" ca="1" si="31"/>
        <v>0</v>
      </c>
      <c r="R85" s="86">
        <f ca="1">IFERROR(__xludf.DUMMYFUNCTION("IMPORTRANGE(""https://docs.google.com/spreadsheets/d/1qfrKjzMhm2HJfxQ-qVlJlJQ25Hne1d0khsySbZyGtPA/edit?usp=sharing"",""ระนอง!Q94"")"),0)</f>
        <v>0</v>
      </c>
      <c r="S85" s="86">
        <f ca="1">IFERROR(__xludf.DUMMYFUNCTION("IMPORTRANGE(""https://docs.google.com/spreadsheets/d/1qfrKjzMhm2HJfxQ-qVlJlJQ25Hne1d0khsySbZyGtPA/edit?usp=sharing"",""ระนอง!R94"")"),0)</f>
        <v>0</v>
      </c>
      <c r="T85" s="86">
        <f ca="1">IFERROR(__xludf.DUMMYFUNCTION("IMPORTRANGE(""https://docs.google.com/spreadsheets/d/1qfrKjzMhm2HJfxQ-qVlJlJQ25Hne1d0khsySbZyGtPA/edit?usp=sharing"",""ระนอง!S94"")"),0)</f>
        <v>0</v>
      </c>
      <c r="U85" s="87">
        <f t="shared" ca="1" si="33"/>
        <v>0</v>
      </c>
      <c r="V85" s="87">
        <f t="shared" ca="1" si="34"/>
        <v>0</v>
      </c>
      <c r="W85" s="93">
        <f ca="1">IFERROR(__xludf.DUMMYFUNCTION("IMPORTRANGE(""https://docs.google.com/spreadsheets/d/1qfrKjzMhm2HJfxQ-qVlJlJQ25Hne1d0khsySbZyGtPA/edit?usp=sharing"",""ระนอง!I108"")"),0)</f>
        <v>0</v>
      </c>
      <c r="X85" s="93">
        <f ca="1">IFERROR(__xludf.DUMMYFUNCTION("IMPORTRANGE(""https://docs.google.com/spreadsheets/d/1qfrKjzMhm2HJfxQ-qVlJlJQ25Hne1d0khsySbZyGtPA/edit?usp=sharing"",""ระนอง!J108"")"),0)</f>
        <v>0</v>
      </c>
      <c r="Y85" s="177">
        <f t="shared" ca="1" si="36"/>
        <v>0</v>
      </c>
      <c r="Z85" s="93">
        <f ca="1">IFERROR(__xludf.DUMMYFUNCTION("IMPORTRANGE(""https://docs.google.com/spreadsheets/d/1qfrKjzMhm2HJfxQ-qVlJlJQ25Hne1d0khsySbZyGtPA/edit?usp=sharing"",""ระนอง!I109"")"),0)</f>
        <v>0</v>
      </c>
      <c r="AA85" s="93">
        <f ca="1">IFERROR(__xludf.DUMMYFUNCTION("IMPORTRANGE(""https://docs.google.com/spreadsheets/d/1qfrKjzMhm2HJfxQ-qVlJlJQ25Hne1d0khsySbZyGtPA/edit?usp=sharing"",""ระนอง!J109"")"),0)</f>
        <v>0</v>
      </c>
      <c r="AB85" s="177">
        <f t="shared" ca="1" si="38"/>
        <v>0</v>
      </c>
      <c r="AC85" s="93">
        <v>0</v>
      </c>
      <c r="AD85" s="93">
        <v>0</v>
      </c>
      <c r="AE85" s="177">
        <f t="shared" si="40"/>
        <v>0</v>
      </c>
    </row>
    <row r="86" spans="1:31" ht="24" customHeight="1" x14ac:dyDescent="0.3">
      <c r="A86" s="172">
        <v>12</v>
      </c>
      <c r="B86" s="173" t="s">
        <v>112</v>
      </c>
      <c r="C86" s="174">
        <f t="shared" ca="1" si="24"/>
        <v>0</v>
      </c>
      <c r="D86" s="175">
        <f t="shared" ca="1" si="59"/>
        <v>0</v>
      </c>
      <c r="E86" s="176">
        <f ca="1">IFERROR(__xludf.DUMMYFUNCTION("IMPORTRANGE(""https://docs.google.com/spreadsheets/d/1-uDff_7J0KD5mKrp0Vvzr7lt3OU09vwQwhkpOPPYv2Y/edit?usp=sharing"",""งบพรบ!AX86"")"),0)</f>
        <v>0</v>
      </c>
      <c r="F86" s="176">
        <f ca="1">IFERROR(__xludf.DUMMYFUNCTION("IMPORTRANGE(""https://docs.google.com/spreadsheets/d/1-uDff_7J0KD5mKrp0Vvzr7lt3OU09vwQwhkpOPPYv2Y/edit?usp=sharing"",""งบพรบ!AY86"")"),0)</f>
        <v>0</v>
      </c>
      <c r="G86" s="176">
        <f ca="1">IFERROR(__xludf.DUMMYFUNCTION("IMPORTRANGE(""https://docs.google.com/spreadsheets/d/1-uDff_7J0KD5mKrp0Vvzr7lt3OU09vwQwhkpOPPYv2Y/edit?usp=sharing"",""งบพรบ!AZ86"")"),0)</f>
        <v>0</v>
      </c>
      <c r="H86" s="176">
        <f ca="1">IFERROR(__xludf.DUMMYFUNCTION("IMPORTRANGE(""https://docs.google.com/spreadsheets/d/1-uDff_7J0KD5mKrp0Vvzr7lt3OU09vwQwhkpOPPYv2Y/edit?usp=sharing"",""งบพรบ!BB86"")"),0)</f>
        <v>0</v>
      </c>
      <c r="I86" s="176">
        <f ca="1">IFERROR(__xludf.DUMMYFUNCTION("IMPORTRANGE(""https://docs.google.com/spreadsheets/d/1-uDff_7J0KD5mKrp0Vvzr7lt3OU09vwQwhkpOPPYv2Y/edit?usp=sharing"",""งบพรบ!BC86"")"),0)</f>
        <v>0</v>
      </c>
      <c r="J86" s="176">
        <f t="shared" ca="1" si="26"/>
        <v>0</v>
      </c>
      <c r="K86" s="179">
        <f t="shared" ca="1" si="27"/>
        <v>0</v>
      </c>
      <c r="L86" s="176">
        <f ca="1">IFERROR(__xludf.DUMMYFUNCTION("IMPORTRANGE(""https://docs.google.com/spreadsheets/d/1-uDff_7J0KD5mKrp0Vvzr7lt3OU09vwQwhkpOPPYv2Y/edit?usp=sharing"",""งบพรบ!BD86"")"),0)</f>
        <v>0</v>
      </c>
      <c r="M86" s="87">
        <f t="shared" ca="1" si="28"/>
        <v>0</v>
      </c>
      <c r="N86" s="87">
        <f t="shared" ca="1" si="29"/>
        <v>0</v>
      </c>
      <c r="O86" s="86">
        <f ca="1">IFERROR(__xludf.DUMMYFUNCTION("IMPORTRANGE(""https://docs.google.com/spreadsheets/d/1-uDff_7J0KD5mKrp0Vvzr7lt3OU09vwQwhkpOPPYv2Y/edit?usp=sharing"",""งบพรบ!BE86"")"),0)</f>
        <v>0</v>
      </c>
      <c r="P86" s="86">
        <f t="shared" ca="1" si="30"/>
        <v>0</v>
      </c>
      <c r="Q86" s="87">
        <f t="shared" ca="1" si="31"/>
        <v>0</v>
      </c>
      <c r="R86" s="86">
        <f ca="1">IFERROR(__xludf.DUMMYFUNCTION("IMPORTRANGE(""https://docs.google.com/spreadsheets/d/1IbSCnFOKpZsnFogBHJnL_isstZVaOMnFiIN0fGTPZZw/edit?usp=sharing"",""สงขลา!Q94"")"),244818)</f>
        <v>244818</v>
      </c>
      <c r="S86" s="86">
        <f ca="1">IFERROR(__xludf.DUMMYFUNCTION("IMPORTRANGE(""https://docs.google.com/spreadsheets/d/1IbSCnFOKpZsnFogBHJnL_isstZVaOMnFiIN0fGTPZZw/edit?usp=sharing"",""สงขลา!R94"")"),0)</f>
        <v>0</v>
      </c>
      <c r="T86" s="86">
        <f ca="1">IFERROR(__xludf.DUMMYFUNCTION("IMPORTRANGE(""https://docs.google.com/spreadsheets/d/1IbSCnFOKpZsnFogBHJnL_isstZVaOMnFiIN0fGTPZZw/edit?usp=sharing"",""สงขลา!S94"")"),0)</f>
        <v>0</v>
      </c>
      <c r="U86" s="87">
        <f t="shared" ca="1" si="33"/>
        <v>0</v>
      </c>
      <c r="V86" s="87">
        <f t="shared" ca="1" si="34"/>
        <v>0</v>
      </c>
      <c r="W86" s="93">
        <f ca="1">IFERROR(__xludf.DUMMYFUNCTION("IMPORTRANGE(""https://docs.google.com/spreadsheets/d/1IbSCnFOKpZsnFogBHJnL_isstZVaOMnFiIN0fGTPZZw/edit?usp=sharing"",""สงขลา!I108"")"),87)</f>
        <v>87</v>
      </c>
      <c r="X86" s="93">
        <f ca="1">IFERROR(__xludf.DUMMYFUNCTION("IMPORTRANGE(""https://docs.google.com/spreadsheets/d/1IbSCnFOKpZsnFogBHJnL_isstZVaOMnFiIN0fGTPZZw/edit?usp=sharing"",""สงขลา!J108"")"),0)</f>
        <v>0</v>
      </c>
      <c r="Y86" s="177">
        <f t="shared" ca="1" si="36"/>
        <v>0</v>
      </c>
      <c r="Z86" s="93">
        <f ca="1">IFERROR(__xludf.DUMMYFUNCTION("IMPORTRANGE(""https://docs.google.com/spreadsheets/d/1IbSCnFOKpZsnFogBHJnL_isstZVaOMnFiIN0fGTPZZw/edit?usp=sharing"",""สงขลา!I109"")"),29)</f>
        <v>29</v>
      </c>
      <c r="AA86" s="93">
        <f ca="1">IFERROR(__xludf.DUMMYFUNCTION("IMPORTRANGE(""https://docs.google.com/spreadsheets/d/1IbSCnFOKpZsnFogBHJnL_isstZVaOMnFiIN0fGTPZZw/edit?usp=sharing"",""สงขลา!J109"")"),0)</f>
        <v>0</v>
      </c>
      <c r="AB86" s="177">
        <f t="shared" ca="1" si="38"/>
        <v>0</v>
      </c>
      <c r="AC86" s="93">
        <v>0</v>
      </c>
      <c r="AD86" s="93">
        <v>0</v>
      </c>
      <c r="AE86" s="177">
        <f t="shared" si="40"/>
        <v>0</v>
      </c>
    </row>
    <row r="87" spans="1:31" ht="24" customHeight="1" x14ac:dyDescent="0.3">
      <c r="A87" s="172">
        <v>13</v>
      </c>
      <c r="B87" s="173" t="s">
        <v>113</v>
      </c>
      <c r="C87" s="174">
        <f t="shared" ca="1" si="24"/>
        <v>0</v>
      </c>
      <c r="D87" s="175">
        <f t="shared" ca="1" si="59"/>
        <v>0</v>
      </c>
      <c r="E87" s="176">
        <f ca="1">IFERROR(__xludf.DUMMYFUNCTION("IMPORTRANGE(""https://docs.google.com/spreadsheets/d/1-uDff_7J0KD5mKrp0Vvzr7lt3OU09vwQwhkpOPPYv2Y/edit?usp=sharing"",""งบพรบ!AX87"")"),0)</f>
        <v>0</v>
      </c>
      <c r="F87" s="176">
        <f ca="1">IFERROR(__xludf.DUMMYFUNCTION("IMPORTRANGE(""https://docs.google.com/spreadsheets/d/1-uDff_7J0KD5mKrp0Vvzr7lt3OU09vwQwhkpOPPYv2Y/edit?usp=sharing"",""งบพรบ!AY87"")"),0)</f>
        <v>0</v>
      </c>
      <c r="G87" s="176">
        <f ca="1">IFERROR(__xludf.DUMMYFUNCTION("IMPORTRANGE(""https://docs.google.com/spreadsheets/d/1-uDff_7J0KD5mKrp0Vvzr7lt3OU09vwQwhkpOPPYv2Y/edit?usp=sharing"",""งบพรบ!AZ87"")"),0)</f>
        <v>0</v>
      </c>
      <c r="H87" s="176">
        <f ca="1">IFERROR(__xludf.DUMMYFUNCTION("IMPORTRANGE(""https://docs.google.com/spreadsheets/d/1-uDff_7J0KD5mKrp0Vvzr7lt3OU09vwQwhkpOPPYv2Y/edit?usp=sharing"",""งบพรบ!BB87"")"),0)</f>
        <v>0</v>
      </c>
      <c r="I87" s="176">
        <f ca="1">IFERROR(__xludf.DUMMYFUNCTION("IMPORTRANGE(""https://docs.google.com/spreadsheets/d/1-uDff_7J0KD5mKrp0Vvzr7lt3OU09vwQwhkpOPPYv2Y/edit?usp=sharing"",""งบพรบ!BC87"")"),0)</f>
        <v>0</v>
      </c>
      <c r="J87" s="176">
        <f t="shared" ca="1" si="26"/>
        <v>0</v>
      </c>
      <c r="K87" s="179">
        <f t="shared" ca="1" si="27"/>
        <v>0</v>
      </c>
      <c r="L87" s="176">
        <f ca="1">IFERROR(__xludf.DUMMYFUNCTION("IMPORTRANGE(""https://docs.google.com/spreadsheets/d/1-uDff_7J0KD5mKrp0Vvzr7lt3OU09vwQwhkpOPPYv2Y/edit?usp=sharing"",""งบพรบ!BD87"")"),0)</f>
        <v>0</v>
      </c>
      <c r="M87" s="87">
        <f t="shared" ca="1" si="28"/>
        <v>0</v>
      </c>
      <c r="N87" s="87">
        <f t="shared" ca="1" si="29"/>
        <v>0</v>
      </c>
      <c r="O87" s="86">
        <f ca="1">IFERROR(__xludf.DUMMYFUNCTION("IMPORTRANGE(""https://docs.google.com/spreadsheets/d/1-uDff_7J0KD5mKrp0Vvzr7lt3OU09vwQwhkpOPPYv2Y/edit?usp=sharing"",""งบพรบ!BE87"")"),0)</f>
        <v>0</v>
      </c>
      <c r="P87" s="86">
        <f t="shared" ca="1" si="30"/>
        <v>0</v>
      </c>
      <c r="Q87" s="87">
        <f t="shared" ca="1" si="31"/>
        <v>0</v>
      </c>
      <c r="R87" s="86">
        <f ca="1">IFERROR(__xludf.DUMMYFUNCTION("IMPORTRANGE(""https://docs.google.com/spreadsheets/d/1q9nWasZJ-K8bFGvbE9n0qSRuKGA4Toe3Y89cKCiVtCU/edit?usp=sharing"",""สตูล!Q94"")"),84420)</f>
        <v>84420</v>
      </c>
      <c r="S87" s="86">
        <f ca="1">IFERROR(__xludf.DUMMYFUNCTION("IMPORTRANGE(""https://docs.google.com/spreadsheets/d/1q9nWasZJ-K8bFGvbE9n0qSRuKGA4Toe3Y89cKCiVtCU/edit?usp=sharing"",""สตูล!R94"")"),0)</f>
        <v>0</v>
      </c>
      <c r="T87" s="86">
        <f ca="1">IFERROR(__xludf.DUMMYFUNCTION("IMPORTRANGE(""https://docs.google.com/spreadsheets/d/1q9nWasZJ-K8bFGvbE9n0qSRuKGA4Toe3Y89cKCiVtCU/edit?usp=sharing"",""สตูล!S94"")"),0)</f>
        <v>0</v>
      </c>
      <c r="U87" s="87">
        <f t="shared" ca="1" si="33"/>
        <v>0</v>
      </c>
      <c r="V87" s="87">
        <f t="shared" ca="1" si="34"/>
        <v>0</v>
      </c>
      <c r="W87" s="93">
        <f ca="1">IFERROR(__xludf.DUMMYFUNCTION("IMPORTRANGE(""https://docs.google.com/spreadsheets/d/1q9nWasZJ-K8bFGvbE9n0qSRuKGA4Toe3Y89cKCiVtCU/edit?usp=sharing"",""สตูล!I108"")"),30)</f>
        <v>30</v>
      </c>
      <c r="X87" s="93">
        <f ca="1">IFERROR(__xludf.DUMMYFUNCTION("IMPORTRANGE(""https://docs.google.com/spreadsheets/d/1q9nWasZJ-K8bFGvbE9n0qSRuKGA4Toe3Y89cKCiVtCU/edit?usp=sharing"",""สตูล!J108"")"),0)</f>
        <v>0</v>
      </c>
      <c r="Y87" s="177">
        <f t="shared" ca="1" si="36"/>
        <v>0</v>
      </c>
      <c r="Z87" s="93">
        <f ca="1">IFERROR(__xludf.DUMMYFUNCTION("IMPORTRANGE(""https://docs.google.com/spreadsheets/d/1q9nWasZJ-K8bFGvbE9n0qSRuKGA4Toe3Y89cKCiVtCU/edit?usp=sharing"",""สตูล!I109"")"),10)</f>
        <v>10</v>
      </c>
      <c r="AA87" s="93">
        <f ca="1">IFERROR(__xludf.DUMMYFUNCTION("IMPORTRANGE(""https://docs.google.com/spreadsheets/d/1q9nWasZJ-K8bFGvbE9n0qSRuKGA4Toe3Y89cKCiVtCU/edit?usp=sharing"",""สตูล!J109"")"),0)</f>
        <v>0</v>
      </c>
      <c r="AB87" s="177">
        <f t="shared" ca="1" si="38"/>
        <v>0</v>
      </c>
      <c r="AC87" s="93">
        <v>0</v>
      </c>
      <c r="AD87" s="93">
        <v>0</v>
      </c>
      <c r="AE87" s="177">
        <f t="shared" si="40"/>
        <v>0</v>
      </c>
    </row>
    <row r="88" spans="1:31" ht="24" customHeight="1" x14ac:dyDescent="0.3">
      <c r="A88" s="180">
        <v>14</v>
      </c>
      <c r="B88" s="181" t="s">
        <v>114</v>
      </c>
      <c r="C88" s="182">
        <f t="shared" ca="1" si="24"/>
        <v>0</v>
      </c>
      <c r="D88" s="183">
        <f t="shared" ca="1" si="59"/>
        <v>0</v>
      </c>
      <c r="E88" s="184">
        <f ca="1">IFERROR(__xludf.DUMMYFUNCTION("IMPORTRANGE(""https://docs.google.com/spreadsheets/d/1-uDff_7J0KD5mKrp0Vvzr7lt3OU09vwQwhkpOPPYv2Y/edit?usp=sharing"",""งบพรบ!AX88"")"),0)</f>
        <v>0</v>
      </c>
      <c r="F88" s="184">
        <f ca="1">IFERROR(__xludf.DUMMYFUNCTION("IMPORTRANGE(""https://docs.google.com/spreadsheets/d/1-uDff_7J0KD5mKrp0Vvzr7lt3OU09vwQwhkpOPPYv2Y/edit?usp=sharing"",""งบพรบ!AY88"")"),0)</f>
        <v>0</v>
      </c>
      <c r="G88" s="184">
        <f ca="1">IFERROR(__xludf.DUMMYFUNCTION("IMPORTRANGE(""https://docs.google.com/spreadsheets/d/1-uDff_7J0KD5mKrp0Vvzr7lt3OU09vwQwhkpOPPYv2Y/edit?usp=sharing"",""งบพรบ!AZ88"")"),0)</f>
        <v>0</v>
      </c>
      <c r="H88" s="184">
        <f ca="1">IFERROR(__xludf.DUMMYFUNCTION("IMPORTRANGE(""https://docs.google.com/spreadsheets/d/1-uDff_7J0KD5mKrp0Vvzr7lt3OU09vwQwhkpOPPYv2Y/edit?usp=sharing"",""งบพรบ!BB88"")"),0)</f>
        <v>0</v>
      </c>
      <c r="I88" s="184">
        <f ca="1">IFERROR(__xludf.DUMMYFUNCTION("IMPORTRANGE(""https://docs.google.com/spreadsheets/d/1-uDff_7J0KD5mKrp0Vvzr7lt3OU09vwQwhkpOPPYv2Y/edit?usp=sharing"",""งบพรบ!BC88"")"),0)</f>
        <v>0</v>
      </c>
      <c r="J88" s="184">
        <f t="shared" ca="1" si="26"/>
        <v>0</v>
      </c>
      <c r="K88" s="185">
        <f t="shared" ca="1" si="27"/>
        <v>0</v>
      </c>
      <c r="L88" s="184">
        <f ca="1">IFERROR(__xludf.DUMMYFUNCTION("IMPORTRANGE(""https://docs.google.com/spreadsheets/d/1-uDff_7J0KD5mKrp0Vvzr7lt3OU09vwQwhkpOPPYv2Y/edit?usp=sharing"",""งบพรบ!BD88"")"),0)</f>
        <v>0</v>
      </c>
      <c r="M88" s="109">
        <f t="shared" ca="1" si="28"/>
        <v>0</v>
      </c>
      <c r="N88" s="109">
        <f t="shared" ca="1" si="29"/>
        <v>0</v>
      </c>
      <c r="O88" s="108">
        <f ca="1">IFERROR(__xludf.DUMMYFUNCTION("IMPORTRANGE(""https://docs.google.com/spreadsheets/d/1-uDff_7J0KD5mKrp0Vvzr7lt3OU09vwQwhkpOPPYv2Y/edit?usp=sharing"",""งบพรบ!BE88"")"),0)</f>
        <v>0</v>
      </c>
      <c r="P88" s="108">
        <f t="shared" ca="1" si="30"/>
        <v>0</v>
      </c>
      <c r="Q88" s="109">
        <f t="shared" ca="1" si="31"/>
        <v>0</v>
      </c>
      <c r="R88" s="108">
        <f ca="1">IFERROR(__xludf.DUMMYFUNCTION("IMPORTRANGE(""https://docs.google.com/spreadsheets/d/18T20gbkS_WBjdscyTOV05cvq_JqvqQ17C81mpxf7Ncs/edit?usp=sharing"",""สุราษฎร์ธานี!Q94"")"),84420)</f>
        <v>84420</v>
      </c>
      <c r="S88" s="108">
        <f ca="1">IFERROR(__xludf.DUMMYFUNCTION("IMPORTRANGE(""https://docs.google.com/spreadsheets/d/18T20gbkS_WBjdscyTOV05cvq_JqvqQ17C81mpxf7Ncs/edit?usp=sharing"",""สุราษฎร์ธานี!R94"")"),0)</f>
        <v>0</v>
      </c>
      <c r="T88" s="108">
        <f ca="1">IFERROR(__xludf.DUMMYFUNCTION("IMPORTRANGE(""https://docs.google.com/spreadsheets/d/18T20gbkS_WBjdscyTOV05cvq_JqvqQ17C81mpxf7Ncs/edit?usp=sharing"",""สุราษฎร์ธานี!S94"")"),0)</f>
        <v>0</v>
      </c>
      <c r="U88" s="109">
        <f t="shared" ca="1" si="33"/>
        <v>0</v>
      </c>
      <c r="V88" s="109">
        <f t="shared" ca="1" si="34"/>
        <v>0</v>
      </c>
      <c r="W88" s="104">
        <f ca="1">IFERROR(__xludf.DUMMYFUNCTION("IMPORTRANGE(""https://docs.google.com/spreadsheets/d/18T20gbkS_WBjdscyTOV05cvq_JqvqQ17C81mpxf7Ncs/edit?usp=sharing"",""สุราษฎร์ธานี!I108"")"),30)</f>
        <v>30</v>
      </c>
      <c r="X88" s="104">
        <f ca="1">IFERROR(__xludf.DUMMYFUNCTION("IMPORTRANGE(""https://docs.google.com/spreadsheets/d/18T20gbkS_WBjdscyTOV05cvq_JqvqQ17C81mpxf7Ncs/edit?usp=sharing"",""สุราษฎร์ธานี!J108"")"),0)</f>
        <v>0</v>
      </c>
      <c r="Y88" s="186">
        <f t="shared" ca="1" si="36"/>
        <v>0</v>
      </c>
      <c r="Z88" s="104">
        <f ca="1">IFERROR(__xludf.DUMMYFUNCTION("IMPORTRANGE(""https://docs.google.com/spreadsheets/d/18T20gbkS_WBjdscyTOV05cvq_JqvqQ17C81mpxf7Ncs/edit?usp=sharing"",""สุราษฎร์ธานี!I109"")"),10)</f>
        <v>10</v>
      </c>
      <c r="AA88" s="104">
        <f ca="1">IFERROR(__xludf.DUMMYFUNCTION("IMPORTRANGE(""https://docs.google.com/spreadsheets/d/18T20gbkS_WBjdscyTOV05cvq_JqvqQ17C81mpxf7Ncs/edit?usp=sharing"",""สุราษฎร์ธานี!J109"")"),0)</f>
        <v>0</v>
      </c>
      <c r="AB88" s="186">
        <f t="shared" ca="1" si="38"/>
        <v>0</v>
      </c>
      <c r="AC88" s="104">
        <v>0</v>
      </c>
      <c r="AD88" s="104">
        <v>0</v>
      </c>
      <c r="AE88" s="186">
        <f t="shared" si="40"/>
        <v>0</v>
      </c>
    </row>
    <row r="89" spans="1:31" ht="21" hidden="1" customHeight="1" x14ac:dyDescent="0.3">
      <c r="A89" s="632" t="s">
        <v>115</v>
      </c>
      <c r="B89" s="633"/>
      <c r="C89" s="45">
        <f t="shared" ref="C89:T89" ca="1" si="60">SUM(C90:C106)</f>
        <v>717100</v>
      </c>
      <c r="D89" s="45">
        <f t="shared" ca="1" si="60"/>
        <v>717100</v>
      </c>
      <c r="E89" s="45">
        <f t="shared" ca="1" si="60"/>
        <v>299800</v>
      </c>
      <c r="F89" s="45">
        <f t="shared" ca="1" si="60"/>
        <v>417300</v>
      </c>
      <c r="G89" s="45">
        <f t="shared" ca="1" si="60"/>
        <v>0</v>
      </c>
      <c r="H89" s="45">
        <f t="shared" ca="1" si="60"/>
        <v>541840</v>
      </c>
      <c r="I89" s="45">
        <f t="shared" ca="1" si="60"/>
        <v>0</v>
      </c>
      <c r="J89" s="45">
        <f t="shared" ca="1" si="60"/>
        <v>261612.81</v>
      </c>
      <c r="K89" s="47">
        <f t="shared" ca="1" si="60"/>
        <v>52.816143694806037</v>
      </c>
      <c r="L89" s="45">
        <f t="shared" ca="1" si="60"/>
        <v>261612.81</v>
      </c>
      <c r="M89" s="47">
        <f t="shared" ca="1" si="60"/>
        <v>52.816143694806037</v>
      </c>
      <c r="N89" s="47">
        <f t="shared" ca="1" si="60"/>
        <v>181.2914222221558</v>
      </c>
      <c r="O89" s="45">
        <f t="shared" ca="1" si="60"/>
        <v>0</v>
      </c>
      <c r="P89" s="45">
        <f t="shared" ca="1" si="60"/>
        <v>0</v>
      </c>
      <c r="Q89" s="45">
        <f t="shared" ca="1" si="60"/>
        <v>0</v>
      </c>
      <c r="R89" s="45">
        <f t="shared" si="60"/>
        <v>0</v>
      </c>
      <c r="S89" s="45">
        <f t="shared" si="60"/>
        <v>0</v>
      </c>
      <c r="T89" s="45">
        <f t="shared" si="60"/>
        <v>0</v>
      </c>
      <c r="U89" s="45">
        <f t="shared" si="33"/>
        <v>0</v>
      </c>
      <c r="V89" s="45">
        <f t="shared" si="34"/>
        <v>0</v>
      </c>
      <c r="W89" s="45"/>
      <c r="X89" s="45"/>
      <c r="Y89" s="196"/>
      <c r="Z89" s="45"/>
      <c r="AA89" s="45"/>
      <c r="AB89" s="196"/>
      <c r="AC89" s="45"/>
      <c r="AD89" s="45"/>
      <c r="AE89" s="196"/>
    </row>
    <row r="90" spans="1:31" ht="24" hidden="1" customHeight="1" x14ac:dyDescent="0.3">
      <c r="A90" s="197"/>
      <c r="B90" s="125" t="s">
        <v>116</v>
      </c>
      <c r="C90" s="198">
        <f t="shared" ref="C90:C106" ca="1" si="61">D90+G90</f>
        <v>0</v>
      </c>
      <c r="D90" s="199">
        <f t="shared" ref="D90:D106" ca="1" si="62">+E90+F90</f>
        <v>0</v>
      </c>
      <c r="E90" s="81">
        <f ca="1">IFERROR(__xludf.DUMMYFUNCTION("IMPORTRANGE(""https://docs.google.com/spreadsheets/d/1-uDff_7J0KD5mKrp0Vvzr7lt3OU09vwQwhkpOPPYv2Y/edit?usp=sharing"",""งบพรบ!AX90"")"),0)</f>
        <v>0</v>
      </c>
      <c r="F90" s="81">
        <f ca="1">IFERROR(__xludf.DUMMYFUNCTION("IMPORTRANGE(""https://docs.google.com/spreadsheets/d/1-uDff_7J0KD5mKrp0Vvzr7lt3OU09vwQwhkpOPPYv2Y/edit?usp=sharing"",""งบพรบ!AY90"")"),0)</f>
        <v>0</v>
      </c>
      <c r="G90" s="81">
        <f ca="1">IFERROR(__xludf.DUMMYFUNCTION("IMPORTRANGE(""https://docs.google.com/spreadsheets/d/1-uDff_7J0KD5mKrp0Vvzr7lt3OU09vwQwhkpOPPYv2Y/edit?usp=sharing"",""งบพรบ!AZ90"")"),0)</f>
        <v>0</v>
      </c>
      <c r="H90" s="81">
        <f ca="1">IFERROR(__xludf.DUMMYFUNCTION("IMPORTRANGE(""https://docs.google.com/spreadsheets/d/1-uDff_7J0KD5mKrp0Vvzr7lt3OU09vwQwhkpOPPYv2Y/edit?usp=sharing"",""งบพรบ!BB90"")"),0)</f>
        <v>0</v>
      </c>
      <c r="I90" s="81">
        <f ca="1">IFERROR(__xludf.DUMMYFUNCTION("IMPORTRANGE(""https://docs.google.com/spreadsheets/d/1-uDff_7J0KD5mKrp0Vvzr7lt3OU09vwQwhkpOPPYv2Y/edit?usp=sharing"",""งบพรบ!BC90"")"),0)</f>
        <v>0</v>
      </c>
      <c r="J90" s="81">
        <f t="shared" ref="J90:J106" ca="1" si="63">L90+O90</f>
        <v>0</v>
      </c>
      <c r="K90" s="126">
        <f t="shared" ref="K90:K106" ca="1" si="64">IF(C90&gt;0,J90*100/C90,0)</f>
        <v>0</v>
      </c>
      <c r="L90" s="81">
        <f ca="1">IFERROR(__xludf.DUMMYFUNCTION("IMPORTRANGE(""https://docs.google.com/spreadsheets/d/1-uDff_7J0KD5mKrp0Vvzr7lt3OU09vwQwhkpOPPYv2Y/edit?usp=sharing"",""งบพรบ!BD90"")"),0)</f>
        <v>0</v>
      </c>
      <c r="M90" s="84">
        <f t="shared" ref="M90:M106" ca="1" si="65">IF(D90&gt;0,L90*100/D90,0)</f>
        <v>0</v>
      </c>
      <c r="N90" s="84">
        <f t="shared" ref="N90:N106" ca="1" si="66">IF(H90&gt;0,L90*100/H90,0)</f>
        <v>0</v>
      </c>
      <c r="O90" s="85">
        <f ca="1">IFERROR(__xludf.DUMMYFUNCTION("IMPORTRANGE(""https://docs.google.com/spreadsheets/d/1-uDff_7J0KD5mKrp0Vvzr7lt3OU09vwQwhkpOPPYv2Y/edit?usp=sharing"",""งบพรบ!BE90"")"),0)</f>
        <v>0</v>
      </c>
      <c r="P90" s="85">
        <f t="shared" ref="P90:P106" ca="1" si="67">IF(G90&gt;0,O90*100/G90,0)</f>
        <v>0</v>
      </c>
      <c r="Q90" s="84">
        <f t="shared" ref="Q90:Q106" ca="1" si="68">IF(I90&gt;0,O90*100/I90,0)</f>
        <v>0</v>
      </c>
      <c r="R90" s="127">
        <v>0</v>
      </c>
      <c r="S90" s="127">
        <v>0</v>
      </c>
      <c r="T90" s="127">
        <v>0</v>
      </c>
      <c r="U90" s="84">
        <f t="shared" si="33"/>
        <v>0</v>
      </c>
      <c r="V90" s="84">
        <f t="shared" si="34"/>
        <v>0</v>
      </c>
      <c r="W90" s="81"/>
      <c r="X90" s="81"/>
      <c r="Y90" s="200"/>
      <c r="Z90" s="81"/>
      <c r="AA90" s="81"/>
      <c r="AB90" s="200"/>
      <c r="AC90" s="81"/>
      <c r="AD90" s="81"/>
      <c r="AE90" s="200"/>
    </row>
    <row r="91" spans="1:31" ht="24" hidden="1" customHeight="1" x14ac:dyDescent="0.3">
      <c r="A91" s="201"/>
      <c r="B91" s="129" t="s">
        <v>117</v>
      </c>
      <c r="C91" s="202">
        <f t="shared" ca="1" si="61"/>
        <v>0</v>
      </c>
      <c r="D91" s="203">
        <f t="shared" ca="1" si="62"/>
        <v>0</v>
      </c>
      <c r="E91" s="93">
        <f ca="1">IFERROR(__xludf.DUMMYFUNCTION("IMPORTRANGE(""https://docs.google.com/spreadsheets/d/1-uDff_7J0KD5mKrp0Vvzr7lt3OU09vwQwhkpOPPYv2Y/edit?usp=sharing"",""งบพรบ!AX91"")"),0)</f>
        <v>0</v>
      </c>
      <c r="F91" s="93">
        <f ca="1">IFERROR(__xludf.DUMMYFUNCTION("IMPORTRANGE(""https://docs.google.com/spreadsheets/d/1-uDff_7J0KD5mKrp0Vvzr7lt3OU09vwQwhkpOPPYv2Y/edit?usp=sharing"",""งบพรบ!AY91"")"),0)</f>
        <v>0</v>
      </c>
      <c r="G91" s="93">
        <f ca="1">IFERROR(__xludf.DUMMYFUNCTION("IMPORTRANGE(""https://docs.google.com/spreadsheets/d/1-uDff_7J0KD5mKrp0Vvzr7lt3OU09vwQwhkpOPPYv2Y/edit?usp=sharing"",""งบพรบ!AZ91"")"),0)</f>
        <v>0</v>
      </c>
      <c r="H91" s="93">
        <f ca="1">IFERROR(__xludf.DUMMYFUNCTION("IMPORTRANGE(""https://docs.google.com/spreadsheets/d/1-uDff_7J0KD5mKrp0Vvzr7lt3OU09vwQwhkpOPPYv2Y/edit?usp=sharing"",""งบพรบ!BB91"")"),0)</f>
        <v>0</v>
      </c>
      <c r="I91" s="93">
        <f ca="1">IFERROR(__xludf.DUMMYFUNCTION("IMPORTRANGE(""https://docs.google.com/spreadsheets/d/1-uDff_7J0KD5mKrp0Vvzr7lt3OU09vwQwhkpOPPYv2Y/edit?usp=sharing"",""งบพรบ!BC91"")"),0)</f>
        <v>0</v>
      </c>
      <c r="J91" s="93">
        <f t="shared" ca="1" si="63"/>
        <v>0</v>
      </c>
      <c r="K91" s="94">
        <f t="shared" ca="1" si="64"/>
        <v>0</v>
      </c>
      <c r="L91" s="93">
        <f ca="1">IFERROR(__xludf.DUMMYFUNCTION("IMPORTRANGE(""https://docs.google.com/spreadsheets/d/1-uDff_7J0KD5mKrp0Vvzr7lt3OU09vwQwhkpOPPYv2Y/edit?usp=sharing"",""งบพรบ!BD91"")"),0)</f>
        <v>0</v>
      </c>
      <c r="M91" s="95">
        <f t="shared" ca="1" si="65"/>
        <v>0</v>
      </c>
      <c r="N91" s="95">
        <f t="shared" ca="1" si="66"/>
        <v>0</v>
      </c>
      <c r="O91" s="96">
        <f ca="1">IFERROR(__xludf.DUMMYFUNCTION("IMPORTRANGE(""https://docs.google.com/spreadsheets/d/1-uDff_7J0KD5mKrp0Vvzr7lt3OU09vwQwhkpOPPYv2Y/edit?usp=sharing"",""งบพรบ!BE91"")"),0)</f>
        <v>0</v>
      </c>
      <c r="P91" s="96">
        <f t="shared" ca="1" si="67"/>
        <v>0</v>
      </c>
      <c r="Q91" s="95">
        <f t="shared" ca="1" si="68"/>
        <v>0</v>
      </c>
      <c r="R91" s="130">
        <v>0</v>
      </c>
      <c r="S91" s="130">
        <v>0</v>
      </c>
      <c r="T91" s="130">
        <v>0</v>
      </c>
      <c r="U91" s="95">
        <f t="shared" si="33"/>
        <v>0</v>
      </c>
      <c r="V91" s="95">
        <f t="shared" si="34"/>
        <v>0</v>
      </c>
      <c r="W91" s="93"/>
      <c r="X91" s="93"/>
      <c r="Y91" s="204"/>
      <c r="Z91" s="93"/>
      <c r="AA91" s="93"/>
      <c r="AB91" s="204"/>
      <c r="AC91" s="93"/>
      <c r="AD91" s="93"/>
      <c r="AE91" s="204"/>
    </row>
    <row r="92" spans="1:31" ht="24" hidden="1" customHeight="1" x14ac:dyDescent="0.3">
      <c r="A92" s="201"/>
      <c r="B92" s="129" t="s">
        <v>118</v>
      </c>
      <c r="C92" s="202">
        <f t="shared" ca="1" si="61"/>
        <v>0</v>
      </c>
      <c r="D92" s="203">
        <f t="shared" ca="1" si="62"/>
        <v>0</v>
      </c>
      <c r="E92" s="93">
        <f ca="1">IFERROR(__xludf.DUMMYFUNCTION("IMPORTRANGE(""https://docs.google.com/spreadsheets/d/1-uDff_7J0KD5mKrp0Vvzr7lt3OU09vwQwhkpOPPYv2Y/edit?usp=sharing"",""งบพรบ!AX92"")"),0)</f>
        <v>0</v>
      </c>
      <c r="F92" s="93">
        <f ca="1">IFERROR(__xludf.DUMMYFUNCTION("IMPORTRANGE(""https://docs.google.com/spreadsheets/d/1-uDff_7J0KD5mKrp0Vvzr7lt3OU09vwQwhkpOPPYv2Y/edit?usp=sharing"",""งบพรบ!AY92"")"),0)</f>
        <v>0</v>
      </c>
      <c r="G92" s="93">
        <f ca="1">IFERROR(__xludf.DUMMYFUNCTION("IMPORTRANGE(""https://docs.google.com/spreadsheets/d/1-uDff_7J0KD5mKrp0Vvzr7lt3OU09vwQwhkpOPPYv2Y/edit?usp=sharing"",""งบพรบ!AZ92"")"),0)</f>
        <v>0</v>
      </c>
      <c r="H92" s="93">
        <f ca="1">IFERROR(__xludf.DUMMYFUNCTION("IMPORTRANGE(""https://docs.google.com/spreadsheets/d/1-uDff_7J0KD5mKrp0Vvzr7lt3OU09vwQwhkpOPPYv2Y/edit?usp=sharing"",""งบพรบ!BB92"")"),0)</f>
        <v>0</v>
      </c>
      <c r="I92" s="93">
        <f ca="1">IFERROR(__xludf.DUMMYFUNCTION("IMPORTRANGE(""https://docs.google.com/spreadsheets/d/1-uDff_7J0KD5mKrp0Vvzr7lt3OU09vwQwhkpOPPYv2Y/edit?usp=sharing"",""งบพรบ!BC92"")"),0)</f>
        <v>0</v>
      </c>
      <c r="J92" s="93">
        <f t="shared" ca="1" si="63"/>
        <v>0</v>
      </c>
      <c r="K92" s="94">
        <f t="shared" ca="1" si="64"/>
        <v>0</v>
      </c>
      <c r="L92" s="93">
        <f ca="1">IFERROR(__xludf.DUMMYFUNCTION("IMPORTRANGE(""https://docs.google.com/spreadsheets/d/1-uDff_7J0KD5mKrp0Vvzr7lt3OU09vwQwhkpOPPYv2Y/edit?usp=sharing"",""งบพรบ!BD92"")"),0)</f>
        <v>0</v>
      </c>
      <c r="M92" s="95">
        <f t="shared" ca="1" si="65"/>
        <v>0</v>
      </c>
      <c r="N92" s="95">
        <f t="shared" ca="1" si="66"/>
        <v>0</v>
      </c>
      <c r="O92" s="96">
        <f ca="1">IFERROR(__xludf.DUMMYFUNCTION("IMPORTRANGE(""https://docs.google.com/spreadsheets/d/1-uDff_7J0KD5mKrp0Vvzr7lt3OU09vwQwhkpOPPYv2Y/edit?usp=sharing"",""งบพรบ!BE92"")"),0)</f>
        <v>0</v>
      </c>
      <c r="P92" s="96">
        <f t="shared" ca="1" si="67"/>
        <v>0</v>
      </c>
      <c r="Q92" s="95">
        <f t="shared" ca="1" si="68"/>
        <v>0</v>
      </c>
      <c r="R92" s="130">
        <v>0</v>
      </c>
      <c r="S92" s="130">
        <v>0</v>
      </c>
      <c r="T92" s="130">
        <v>0</v>
      </c>
      <c r="U92" s="95">
        <f t="shared" si="33"/>
        <v>0</v>
      </c>
      <c r="V92" s="95">
        <f t="shared" si="34"/>
        <v>0</v>
      </c>
      <c r="W92" s="93"/>
      <c r="X92" s="93"/>
      <c r="Y92" s="204"/>
      <c r="Z92" s="93"/>
      <c r="AA92" s="93"/>
      <c r="AB92" s="204"/>
      <c r="AC92" s="93"/>
      <c r="AD92" s="93"/>
      <c r="AE92" s="204"/>
    </row>
    <row r="93" spans="1:31" ht="24" hidden="1" customHeight="1" x14ac:dyDescent="0.3">
      <c r="A93" s="201"/>
      <c r="B93" s="129" t="s">
        <v>119</v>
      </c>
      <c r="C93" s="202">
        <f t="shared" ca="1" si="61"/>
        <v>0</v>
      </c>
      <c r="D93" s="203">
        <f t="shared" ca="1" si="62"/>
        <v>0</v>
      </c>
      <c r="E93" s="93">
        <f ca="1">IFERROR(__xludf.DUMMYFUNCTION("IMPORTRANGE(""https://docs.google.com/spreadsheets/d/1-uDff_7J0KD5mKrp0Vvzr7lt3OU09vwQwhkpOPPYv2Y/edit?usp=sharing"",""งบพรบ!AX93"")"),0)</f>
        <v>0</v>
      </c>
      <c r="F93" s="93">
        <f ca="1">IFERROR(__xludf.DUMMYFUNCTION("IMPORTRANGE(""https://docs.google.com/spreadsheets/d/1-uDff_7J0KD5mKrp0Vvzr7lt3OU09vwQwhkpOPPYv2Y/edit?usp=sharing"",""งบพรบ!AY93"")"),0)</f>
        <v>0</v>
      </c>
      <c r="G93" s="93">
        <f ca="1">IFERROR(__xludf.DUMMYFUNCTION("IMPORTRANGE(""https://docs.google.com/spreadsheets/d/1-uDff_7J0KD5mKrp0Vvzr7lt3OU09vwQwhkpOPPYv2Y/edit?usp=sharing"",""งบพรบ!AZ93"")"),0)</f>
        <v>0</v>
      </c>
      <c r="H93" s="93">
        <f ca="1">IFERROR(__xludf.DUMMYFUNCTION("IMPORTRANGE(""https://docs.google.com/spreadsheets/d/1-uDff_7J0KD5mKrp0Vvzr7lt3OU09vwQwhkpOPPYv2Y/edit?usp=sharing"",""งบพรบ!BB93"")"),100000)</f>
        <v>100000</v>
      </c>
      <c r="I93" s="93">
        <f ca="1">IFERROR(__xludf.DUMMYFUNCTION("IMPORTRANGE(""https://docs.google.com/spreadsheets/d/1-uDff_7J0KD5mKrp0Vvzr7lt3OU09vwQwhkpOPPYv2Y/edit?usp=sharing"",""งบพรบ!BC93"")"),0)</f>
        <v>0</v>
      </c>
      <c r="J93" s="93">
        <f t="shared" ca="1" si="63"/>
        <v>100000</v>
      </c>
      <c r="K93" s="94">
        <f t="shared" ca="1" si="64"/>
        <v>0</v>
      </c>
      <c r="L93" s="93">
        <f ca="1">IFERROR(__xludf.DUMMYFUNCTION("IMPORTRANGE(""https://docs.google.com/spreadsheets/d/1-uDff_7J0KD5mKrp0Vvzr7lt3OU09vwQwhkpOPPYv2Y/edit?usp=sharing"",""งบพรบ!BD93"")"),100000)</f>
        <v>100000</v>
      </c>
      <c r="M93" s="95">
        <f t="shared" ca="1" si="65"/>
        <v>0</v>
      </c>
      <c r="N93" s="95">
        <f t="shared" ca="1" si="66"/>
        <v>100</v>
      </c>
      <c r="O93" s="96">
        <f ca="1">IFERROR(__xludf.DUMMYFUNCTION("IMPORTRANGE(""https://docs.google.com/spreadsheets/d/1-uDff_7J0KD5mKrp0Vvzr7lt3OU09vwQwhkpOPPYv2Y/edit?usp=sharing"",""งบพรบ!BE93"")"),0)</f>
        <v>0</v>
      </c>
      <c r="P93" s="96">
        <f t="shared" ca="1" si="67"/>
        <v>0</v>
      </c>
      <c r="Q93" s="95">
        <f t="shared" ca="1" si="68"/>
        <v>0</v>
      </c>
      <c r="R93" s="130">
        <v>0</v>
      </c>
      <c r="S93" s="130">
        <v>0</v>
      </c>
      <c r="T93" s="130">
        <v>0</v>
      </c>
      <c r="U93" s="95">
        <f t="shared" si="33"/>
        <v>0</v>
      </c>
      <c r="V93" s="95">
        <f t="shared" si="34"/>
        <v>0</v>
      </c>
      <c r="W93" s="93"/>
      <c r="X93" s="93"/>
      <c r="Y93" s="204"/>
      <c r="Z93" s="93"/>
      <c r="AA93" s="93"/>
      <c r="AB93" s="204"/>
      <c r="AC93" s="93"/>
      <c r="AD93" s="93"/>
      <c r="AE93" s="204"/>
    </row>
    <row r="94" spans="1:31" ht="24" hidden="1" customHeight="1" x14ac:dyDescent="0.3">
      <c r="A94" s="201"/>
      <c r="B94" s="129" t="s">
        <v>120</v>
      </c>
      <c r="C94" s="202">
        <f t="shared" ca="1" si="61"/>
        <v>0</v>
      </c>
      <c r="D94" s="203">
        <f t="shared" ca="1" si="62"/>
        <v>0</v>
      </c>
      <c r="E94" s="93">
        <f ca="1">IFERROR(__xludf.DUMMYFUNCTION("IMPORTRANGE(""https://docs.google.com/spreadsheets/d/1-uDff_7J0KD5mKrp0Vvzr7lt3OU09vwQwhkpOPPYv2Y/edit?usp=sharing"",""งบพรบ!AX94"")"),0)</f>
        <v>0</v>
      </c>
      <c r="F94" s="93">
        <f ca="1">IFERROR(__xludf.DUMMYFUNCTION("IMPORTRANGE(""https://docs.google.com/spreadsheets/d/1-uDff_7J0KD5mKrp0Vvzr7lt3OU09vwQwhkpOPPYv2Y/edit?usp=sharing"",""งบพรบ!AY94"")"),0)</f>
        <v>0</v>
      </c>
      <c r="G94" s="93">
        <f ca="1">IFERROR(__xludf.DUMMYFUNCTION("IMPORTRANGE(""https://docs.google.com/spreadsheets/d/1-uDff_7J0KD5mKrp0Vvzr7lt3OU09vwQwhkpOPPYv2Y/edit?usp=sharing"",""งบพรบ!AZ94"")"),0)</f>
        <v>0</v>
      </c>
      <c r="H94" s="93">
        <f ca="1">IFERROR(__xludf.DUMMYFUNCTION("IMPORTRANGE(""https://docs.google.com/spreadsheets/d/1-uDff_7J0KD5mKrp0Vvzr7lt3OU09vwQwhkpOPPYv2Y/edit?usp=sharing"",""งบพรบ!BB94"")"),0)</f>
        <v>0</v>
      </c>
      <c r="I94" s="93">
        <f ca="1">IFERROR(__xludf.DUMMYFUNCTION("IMPORTRANGE(""https://docs.google.com/spreadsheets/d/1-uDff_7J0KD5mKrp0Vvzr7lt3OU09vwQwhkpOPPYv2Y/edit?usp=sharing"",""งบพรบ!BC94"")"),0)</f>
        <v>0</v>
      </c>
      <c r="J94" s="93">
        <f t="shared" ca="1" si="63"/>
        <v>0</v>
      </c>
      <c r="K94" s="94">
        <f t="shared" ca="1" si="64"/>
        <v>0</v>
      </c>
      <c r="L94" s="93">
        <f ca="1">IFERROR(__xludf.DUMMYFUNCTION("IMPORTRANGE(""https://docs.google.com/spreadsheets/d/1-uDff_7J0KD5mKrp0Vvzr7lt3OU09vwQwhkpOPPYv2Y/edit?usp=sharing"",""งบพรบ!BD94"")"),0)</f>
        <v>0</v>
      </c>
      <c r="M94" s="95">
        <f t="shared" ca="1" si="65"/>
        <v>0</v>
      </c>
      <c r="N94" s="95">
        <f t="shared" ca="1" si="66"/>
        <v>0</v>
      </c>
      <c r="O94" s="96">
        <f ca="1">IFERROR(__xludf.DUMMYFUNCTION("IMPORTRANGE(""https://docs.google.com/spreadsheets/d/1-uDff_7J0KD5mKrp0Vvzr7lt3OU09vwQwhkpOPPYv2Y/edit?usp=sharing"",""งบพรบ!BE94"")"),0)</f>
        <v>0</v>
      </c>
      <c r="P94" s="96">
        <f t="shared" ca="1" si="67"/>
        <v>0</v>
      </c>
      <c r="Q94" s="95">
        <f t="shared" ca="1" si="68"/>
        <v>0</v>
      </c>
      <c r="R94" s="130">
        <v>0</v>
      </c>
      <c r="S94" s="130">
        <v>0</v>
      </c>
      <c r="T94" s="130">
        <v>0</v>
      </c>
      <c r="U94" s="95">
        <f t="shared" si="33"/>
        <v>0</v>
      </c>
      <c r="V94" s="95">
        <f t="shared" si="34"/>
        <v>0</v>
      </c>
      <c r="W94" s="93"/>
      <c r="X94" s="93"/>
      <c r="Y94" s="204"/>
      <c r="Z94" s="93"/>
      <c r="AA94" s="93"/>
      <c r="AB94" s="204"/>
      <c r="AC94" s="93"/>
      <c r="AD94" s="93"/>
      <c r="AE94" s="204"/>
    </row>
    <row r="95" spans="1:31" ht="24" hidden="1" customHeight="1" x14ac:dyDescent="0.3">
      <c r="A95" s="201"/>
      <c r="B95" s="129" t="s">
        <v>121</v>
      </c>
      <c r="C95" s="202">
        <f t="shared" ca="1" si="61"/>
        <v>0</v>
      </c>
      <c r="D95" s="203">
        <f t="shared" ca="1" si="62"/>
        <v>0</v>
      </c>
      <c r="E95" s="93">
        <f ca="1">IFERROR(__xludf.DUMMYFUNCTION("IMPORTRANGE(""https://docs.google.com/spreadsheets/d/1-uDff_7J0KD5mKrp0Vvzr7lt3OU09vwQwhkpOPPYv2Y/edit?usp=sharing"",""งบพรบ!AX95"")"),0)</f>
        <v>0</v>
      </c>
      <c r="F95" s="93">
        <f ca="1">IFERROR(__xludf.DUMMYFUNCTION("IMPORTRANGE(""https://docs.google.com/spreadsheets/d/1-uDff_7J0KD5mKrp0Vvzr7lt3OU09vwQwhkpOPPYv2Y/edit?usp=sharing"",""งบพรบ!AY95"")"),0)</f>
        <v>0</v>
      </c>
      <c r="G95" s="93">
        <f ca="1">IFERROR(__xludf.DUMMYFUNCTION("IMPORTRANGE(""https://docs.google.com/spreadsheets/d/1-uDff_7J0KD5mKrp0Vvzr7lt3OU09vwQwhkpOPPYv2Y/edit?usp=sharing"",""งบพรบ!AZ95"")"),0)</f>
        <v>0</v>
      </c>
      <c r="H95" s="93">
        <f ca="1">IFERROR(__xludf.DUMMYFUNCTION("IMPORTRANGE(""https://docs.google.com/spreadsheets/d/1-uDff_7J0KD5mKrp0Vvzr7lt3OU09vwQwhkpOPPYv2Y/edit?usp=sharing"",""งบพรบ!BB95"")"),0)</f>
        <v>0</v>
      </c>
      <c r="I95" s="93">
        <f ca="1">IFERROR(__xludf.DUMMYFUNCTION("IMPORTRANGE(""https://docs.google.com/spreadsheets/d/1-uDff_7J0KD5mKrp0Vvzr7lt3OU09vwQwhkpOPPYv2Y/edit?usp=sharing"",""งบพรบ!BC95"")"),0)</f>
        <v>0</v>
      </c>
      <c r="J95" s="93">
        <f t="shared" ca="1" si="63"/>
        <v>0</v>
      </c>
      <c r="K95" s="94">
        <f t="shared" ca="1" si="64"/>
        <v>0</v>
      </c>
      <c r="L95" s="93">
        <f ca="1">IFERROR(__xludf.DUMMYFUNCTION("IMPORTRANGE(""https://docs.google.com/spreadsheets/d/1-uDff_7J0KD5mKrp0Vvzr7lt3OU09vwQwhkpOPPYv2Y/edit?usp=sharing"",""งบพรบ!BD95"")"),0)</f>
        <v>0</v>
      </c>
      <c r="M95" s="95">
        <f t="shared" ca="1" si="65"/>
        <v>0</v>
      </c>
      <c r="N95" s="95">
        <f t="shared" ca="1" si="66"/>
        <v>0</v>
      </c>
      <c r="O95" s="96">
        <f ca="1">IFERROR(__xludf.DUMMYFUNCTION("IMPORTRANGE(""https://docs.google.com/spreadsheets/d/1-uDff_7J0KD5mKrp0Vvzr7lt3OU09vwQwhkpOPPYv2Y/edit?usp=sharing"",""งบพรบ!BE95"")"),0)</f>
        <v>0</v>
      </c>
      <c r="P95" s="96">
        <f t="shared" ca="1" si="67"/>
        <v>0</v>
      </c>
      <c r="Q95" s="95">
        <f t="shared" ca="1" si="68"/>
        <v>0</v>
      </c>
      <c r="R95" s="130">
        <v>0</v>
      </c>
      <c r="S95" s="130">
        <v>0</v>
      </c>
      <c r="T95" s="130">
        <v>0</v>
      </c>
      <c r="U95" s="95">
        <f t="shared" si="33"/>
        <v>0</v>
      </c>
      <c r="V95" s="95">
        <f t="shared" si="34"/>
        <v>0</v>
      </c>
      <c r="W95" s="93"/>
      <c r="X95" s="93"/>
      <c r="Y95" s="204"/>
      <c r="Z95" s="93"/>
      <c r="AA95" s="93"/>
      <c r="AB95" s="204"/>
      <c r="AC95" s="93"/>
      <c r="AD95" s="93"/>
      <c r="AE95" s="204"/>
    </row>
    <row r="96" spans="1:31" ht="24" hidden="1" customHeight="1" x14ac:dyDescent="0.3">
      <c r="A96" s="201"/>
      <c r="B96" s="129" t="s">
        <v>122</v>
      </c>
      <c r="C96" s="202">
        <f t="shared" ca="1" si="61"/>
        <v>0</v>
      </c>
      <c r="D96" s="203">
        <f t="shared" ca="1" si="62"/>
        <v>0</v>
      </c>
      <c r="E96" s="93">
        <f ca="1">IFERROR(__xludf.DUMMYFUNCTION("IMPORTRANGE(""https://docs.google.com/spreadsheets/d/1-uDff_7J0KD5mKrp0Vvzr7lt3OU09vwQwhkpOPPYv2Y/edit?usp=sharing"",""งบพรบ!AX96"")"),0)</f>
        <v>0</v>
      </c>
      <c r="F96" s="93">
        <f ca="1">IFERROR(__xludf.DUMMYFUNCTION("IMPORTRANGE(""https://docs.google.com/spreadsheets/d/1-uDff_7J0KD5mKrp0Vvzr7lt3OU09vwQwhkpOPPYv2Y/edit?usp=sharing"",""งบพรบ!AY96"")"),0)</f>
        <v>0</v>
      </c>
      <c r="G96" s="93">
        <f ca="1">IFERROR(__xludf.DUMMYFUNCTION("IMPORTRANGE(""https://docs.google.com/spreadsheets/d/1-uDff_7J0KD5mKrp0Vvzr7lt3OU09vwQwhkpOPPYv2Y/edit?usp=sharing"",""งบพรบ!AZ96"")"),0)</f>
        <v>0</v>
      </c>
      <c r="H96" s="93">
        <f ca="1">IFERROR(__xludf.DUMMYFUNCTION("IMPORTRANGE(""https://docs.google.com/spreadsheets/d/1-uDff_7J0KD5mKrp0Vvzr7lt3OU09vwQwhkpOPPYv2Y/edit?usp=sharing"",""งบพรบ!BB96"")"),0)</f>
        <v>0</v>
      </c>
      <c r="I96" s="93">
        <f ca="1">IFERROR(__xludf.DUMMYFUNCTION("IMPORTRANGE(""https://docs.google.com/spreadsheets/d/1-uDff_7J0KD5mKrp0Vvzr7lt3OU09vwQwhkpOPPYv2Y/edit?usp=sharing"",""งบพรบ!BC96"")"),0)</f>
        <v>0</v>
      </c>
      <c r="J96" s="93">
        <f t="shared" ca="1" si="63"/>
        <v>0</v>
      </c>
      <c r="K96" s="94">
        <f t="shared" ca="1" si="64"/>
        <v>0</v>
      </c>
      <c r="L96" s="93">
        <f ca="1">IFERROR(__xludf.DUMMYFUNCTION("IMPORTRANGE(""https://docs.google.com/spreadsheets/d/1-uDff_7J0KD5mKrp0Vvzr7lt3OU09vwQwhkpOPPYv2Y/edit?usp=sharing"",""งบพรบ!BD96"")"),0)</f>
        <v>0</v>
      </c>
      <c r="M96" s="95">
        <f t="shared" ca="1" si="65"/>
        <v>0</v>
      </c>
      <c r="N96" s="95">
        <f t="shared" ca="1" si="66"/>
        <v>0</v>
      </c>
      <c r="O96" s="96">
        <f ca="1">IFERROR(__xludf.DUMMYFUNCTION("IMPORTRANGE(""https://docs.google.com/spreadsheets/d/1-uDff_7J0KD5mKrp0Vvzr7lt3OU09vwQwhkpOPPYv2Y/edit?usp=sharing"",""งบพรบ!BE96"")"),0)</f>
        <v>0</v>
      </c>
      <c r="P96" s="96">
        <f t="shared" ca="1" si="67"/>
        <v>0</v>
      </c>
      <c r="Q96" s="95">
        <f t="shared" ca="1" si="68"/>
        <v>0</v>
      </c>
      <c r="R96" s="130">
        <v>0</v>
      </c>
      <c r="S96" s="130">
        <v>0</v>
      </c>
      <c r="T96" s="130">
        <v>0</v>
      </c>
      <c r="U96" s="95">
        <f t="shared" si="33"/>
        <v>0</v>
      </c>
      <c r="V96" s="95">
        <f t="shared" si="34"/>
        <v>0</v>
      </c>
      <c r="W96" s="93"/>
      <c r="X96" s="93"/>
      <c r="Y96" s="204"/>
      <c r="Z96" s="93"/>
      <c r="AA96" s="93"/>
      <c r="AB96" s="204"/>
      <c r="AC96" s="93"/>
      <c r="AD96" s="93"/>
      <c r="AE96" s="204"/>
    </row>
    <row r="97" spans="1:31" ht="24" hidden="1" customHeight="1" x14ac:dyDescent="0.3">
      <c r="A97" s="201"/>
      <c r="B97" s="129" t="s">
        <v>123</v>
      </c>
      <c r="C97" s="202">
        <f t="shared" ca="1" si="61"/>
        <v>0</v>
      </c>
      <c r="D97" s="203">
        <f t="shared" ca="1" si="62"/>
        <v>0</v>
      </c>
      <c r="E97" s="93">
        <f ca="1">IFERROR(__xludf.DUMMYFUNCTION("IMPORTRANGE(""https://docs.google.com/spreadsheets/d/1-uDff_7J0KD5mKrp0Vvzr7lt3OU09vwQwhkpOPPYv2Y/edit?usp=sharing"",""งบพรบ!AX97"")"),0)</f>
        <v>0</v>
      </c>
      <c r="F97" s="93">
        <f ca="1">IFERROR(__xludf.DUMMYFUNCTION("IMPORTRANGE(""https://docs.google.com/spreadsheets/d/1-uDff_7J0KD5mKrp0Vvzr7lt3OU09vwQwhkpOPPYv2Y/edit?usp=sharing"",""งบพรบ!AY97"")"),0)</f>
        <v>0</v>
      </c>
      <c r="G97" s="93">
        <f ca="1">IFERROR(__xludf.DUMMYFUNCTION("IMPORTRANGE(""https://docs.google.com/spreadsheets/d/1-uDff_7J0KD5mKrp0Vvzr7lt3OU09vwQwhkpOPPYv2Y/edit?usp=sharing"",""งบพรบ!AZ97"")"),0)</f>
        <v>0</v>
      </c>
      <c r="H97" s="93">
        <f ca="1">IFERROR(__xludf.DUMMYFUNCTION("IMPORTRANGE(""https://docs.google.com/spreadsheets/d/1-uDff_7J0KD5mKrp0Vvzr7lt3OU09vwQwhkpOPPYv2Y/edit?usp=sharing"",""งบพรบ!BB97"")"),0)</f>
        <v>0</v>
      </c>
      <c r="I97" s="93">
        <f ca="1">IFERROR(__xludf.DUMMYFUNCTION("IMPORTRANGE(""https://docs.google.com/spreadsheets/d/1-uDff_7J0KD5mKrp0Vvzr7lt3OU09vwQwhkpOPPYv2Y/edit?usp=sharing"",""งบพรบ!BC97"")"),0)</f>
        <v>0</v>
      </c>
      <c r="J97" s="93">
        <f t="shared" ca="1" si="63"/>
        <v>0</v>
      </c>
      <c r="K97" s="94">
        <f t="shared" ca="1" si="64"/>
        <v>0</v>
      </c>
      <c r="L97" s="93">
        <f ca="1">IFERROR(__xludf.DUMMYFUNCTION("IMPORTRANGE(""https://docs.google.com/spreadsheets/d/1-uDff_7J0KD5mKrp0Vvzr7lt3OU09vwQwhkpOPPYv2Y/edit?usp=sharing"",""งบพรบ!BD97"")"),0)</f>
        <v>0</v>
      </c>
      <c r="M97" s="95">
        <f t="shared" ca="1" si="65"/>
        <v>0</v>
      </c>
      <c r="N97" s="95">
        <f t="shared" ca="1" si="66"/>
        <v>0</v>
      </c>
      <c r="O97" s="96">
        <f ca="1">IFERROR(__xludf.DUMMYFUNCTION("IMPORTRANGE(""https://docs.google.com/spreadsheets/d/1-uDff_7J0KD5mKrp0Vvzr7lt3OU09vwQwhkpOPPYv2Y/edit?usp=sharing"",""งบพรบ!BE97"")"),0)</f>
        <v>0</v>
      </c>
      <c r="P97" s="96">
        <f t="shared" ca="1" si="67"/>
        <v>0</v>
      </c>
      <c r="Q97" s="95">
        <f t="shared" ca="1" si="68"/>
        <v>0</v>
      </c>
      <c r="R97" s="130">
        <v>0</v>
      </c>
      <c r="S97" s="130">
        <v>0</v>
      </c>
      <c r="T97" s="130">
        <v>0</v>
      </c>
      <c r="U97" s="95">
        <f t="shared" si="33"/>
        <v>0</v>
      </c>
      <c r="V97" s="95">
        <f t="shared" si="34"/>
        <v>0</v>
      </c>
      <c r="W97" s="93"/>
      <c r="X97" s="93"/>
      <c r="Y97" s="204"/>
      <c r="Z97" s="93"/>
      <c r="AA97" s="93"/>
      <c r="AB97" s="204"/>
      <c r="AC97" s="93"/>
      <c r="AD97" s="93"/>
      <c r="AE97" s="204"/>
    </row>
    <row r="98" spans="1:31" ht="24" hidden="1" customHeight="1" x14ac:dyDescent="0.3">
      <c r="A98" s="201"/>
      <c r="B98" s="129" t="s">
        <v>124</v>
      </c>
      <c r="C98" s="202">
        <f t="shared" ca="1" si="61"/>
        <v>0</v>
      </c>
      <c r="D98" s="203">
        <f t="shared" ca="1" si="62"/>
        <v>0</v>
      </c>
      <c r="E98" s="93">
        <f ca="1">IFERROR(__xludf.DUMMYFUNCTION("IMPORTRANGE(""https://docs.google.com/spreadsheets/d/1-uDff_7J0KD5mKrp0Vvzr7lt3OU09vwQwhkpOPPYv2Y/edit?usp=sharing"",""งบพรบ!AX98"")"),0)</f>
        <v>0</v>
      </c>
      <c r="F98" s="93">
        <f ca="1">IFERROR(__xludf.DUMMYFUNCTION("IMPORTRANGE(""https://docs.google.com/spreadsheets/d/1-uDff_7J0KD5mKrp0Vvzr7lt3OU09vwQwhkpOPPYv2Y/edit?usp=sharing"",""งบพรบ!AY98"")"),0)</f>
        <v>0</v>
      </c>
      <c r="G98" s="93">
        <f ca="1">IFERROR(__xludf.DUMMYFUNCTION("IMPORTRANGE(""https://docs.google.com/spreadsheets/d/1-uDff_7J0KD5mKrp0Vvzr7lt3OU09vwQwhkpOPPYv2Y/edit?usp=sharing"",""งบพรบ!AZ98"")"),0)</f>
        <v>0</v>
      </c>
      <c r="H98" s="93">
        <f ca="1">IFERROR(__xludf.DUMMYFUNCTION("IMPORTRANGE(""https://docs.google.com/spreadsheets/d/1-uDff_7J0KD5mKrp0Vvzr7lt3OU09vwQwhkpOPPYv2Y/edit?usp=sharing"",""งบพรบ!BB98"")"),0)</f>
        <v>0</v>
      </c>
      <c r="I98" s="93">
        <f ca="1">IFERROR(__xludf.DUMMYFUNCTION("IMPORTRANGE(""https://docs.google.com/spreadsheets/d/1-uDff_7J0KD5mKrp0Vvzr7lt3OU09vwQwhkpOPPYv2Y/edit?usp=sharing"",""งบพรบ!BC98"")"),0)</f>
        <v>0</v>
      </c>
      <c r="J98" s="93">
        <f t="shared" ca="1" si="63"/>
        <v>0</v>
      </c>
      <c r="K98" s="94">
        <f t="shared" ca="1" si="64"/>
        <v>0</v>
      </c>
      <c r="L98" s="93">
        <f ca="1">IFERROR(__xludf.DUMMYFUNCTION("IMPORTRANGE(""https://docs.google.com/spreadsheets/d/1-uDff_7J0KD5mKrp0Vvzr7lt3OU09vwQwhkpOPPYv2Y/edit?usp=sharing"",""งบพรบ!BD98"")"),0)</f>
        <v>0</v>
      </c>
      <c r="M98" s="95">
        <f t="shared" ca="1" si="65"/>
        <v>0</v>
      </c>
      <c r="N98" s="95">
        <f t="shared" ca="1" si="66"/>
        <v>0</v>
      </c>
      <c r="O98" s="96">
        <f ca="1">IFERROR(__xludf.DUMMYFUNCTION("IMPORTRANGE(""https://docs.google.com/spreadsheets/d/1-uDff_7J0KD5mKrp0Vvzr7lt3OU09vwQwhkpOPPYv2Y/edit?usp=sharing"",""งบพรบ!BE98"")"),0)</f>
        <v>0</v>
      </c>
      <c r="P98" s="96">
        <f t="shared" ca="1" si="67"/>
        <v>0</v>
      </c>
      <c r="Q98" s="95">
        <f t="shared" ca="1" si="68"/>
        <v>0</v>
      </c>
      <c r="R98" s="130">
        <v>0</v>
      </c>
      <c r="S98" s="130">
        <v>0</v>
      </c>
      <c r="T98" s="130">
        <v>0</v>
      </c>
      <c r="U98" s="95">
        <f t="shared" si="33"/>
        <v>0</v>
      </c>
      <c r="V98" s="95">
        <f t="shared" si="34"/>
        <v>0</v>
      </c>
      <c r="W98" s="93"/>
      <c r="X98" s="93"/>
      <c r="Y98" s="204"/>
      <c r="Z98" s="93"/>
      <c r="AA98" s="93"/>
      <c r="AB98" s="204"/>
      <c r="AC98" s="93"/>
      <c r="AD98" s="93"/>
      <c r="AE98" s="204"/>
    </row>
    <row r="99" spans="1:31" ht="24" hidden="1" customHeight="1" x14ac:dyDescent="0.3">
      <c r="A99" s="201"/>
      <c r="B99" s="129" t="s">
        <v>125</v>
      </c>
      <c r="C99" s="202">
        <f t="shared" ca="1" si="61"/>
        <v>0</v>
      </c>
      <c r="D99" s="203">
        <f t="shared" ca="1" si="62"/>
        <v>0</v>
      </c>
      <c r="E99" s="93">
        <f ca="1">IFERROR(__xludf.DUMMYFUNCTION("IMPORTRANGE(""https://docs.google.com/spreadsheets/d/1-uDff_7J0KD5mKrp0Vvzr7lt3OU09vwQwhkpOPPYv2Y/edit?usp=sharing"",""งบพรบ!AX99"")"),0)</f>
        <v>0</v>
      </c>
      <c r="F99" s="93">
        <f ca="1">IFERROR(__xludf.DUMMYFUNCTION("IMPORTRANGE(""https://docs.google.com/spreadsheets/d/1-uDff_7J0KD5mKrp0Vvzr7lt3OU09vwQwhkpOPPYv2Y/edit?usp=sharing"",""งบพรบ!AY99"")"),0)</f>
        <v>0</v>
      </c>
      <c r="G99" s="93">
        <f ca="1">IFERROR(__xludf.DUMMYFUNCTION("IMPORTRANGE(""https://docs.google.com/spreadsheets/d/1-uDff_7J0KD5mKrp0Vvzr7lt3OU09vwQwhkpOPPYv2Y/edit?usp=sharing"",""งบพรบ!AZ99"")"),0)</f>
        <v>0</v>
      </c>
      <c r="H99" s="93">
        <f ca="1">IFERROR(__xludf.DUMMYFUNCTION("IMPORTRANGE(""https://docs.google.com/spreadsheets/d/1-uDff_7J0KD5mKrp0Vvzr7lt3OU09vwQwhkpOPPYv2Y/edit?usp=sharing"",""งบพรบ!BB99"")"),0)</f>
        <v>0</v>
      </c>
      <c r="I99" s="93">
        <f ca="1">IFERROR(__xludf.DUMMYFUNCTION("IMPORTRANGE(""https://docs.google.com/spreadsheets/d/1-uDff_7J0KD5mKrp0Vvzr7lt3OU09vwQwhkpOPPYv2Y/edit?usp=sharing"",""งบพรบ!BC99"")"),0)</f>
        <v>0</v>
      </c>
      <c r="J99" s="93">
        <f t="shared" ca="1" si="63"/>
        <v>0</v>
      </c>
      <c r="K99" s="94">
        <f t="shared" ca="1" si="64"/>
        <v>0</v>
      </c>
      <c r="L99" s="93">
        <f ca="1">IFERROR(__xludf.DUMMYFUNCTION("IMPORTRANGE(""https://docs.google.com/spreadsheets/d/1-uDff_7J0KD5mKrp0Vvzr7lt3OU09vwQwhkpOPPYv2Y/edit?usp=sharing"",""งบพรบ!BD99"")"),0)</f>
        <v>0</v>
      </c>
      <c r="M99" s="95">
        <f t="shared" ca="1" si="65"/>
        <v>0</v>
      </c>
      <c r="N99" s="95">
        <f t="shared" ca="1" si="66"/>
        <v>0</v>
      </c>
      <c r="O99" s="96">
        <f ca="1">IFERROR(__xludf.DUMMYFUNCTION("IMPORTRANGE(""https://docs.google.com/spreadsheets/d/1-uDff_7J0KD5mKrp0Vvzr7lt3OU09vwQwhkpOPPYv2Y/edit?usp=sharing"",""งบพรบ!BE99"")"),0)</f>
        <v>0</v>
      </c>
      <c r="P99" s="96">
        <f t="shared" ca="1" si="67"/>
        <v>0</v>
      </c>
      <c r="Q99" s="95">
        <f t="shared" ca="1" si="68"/>
        <v>0</v>
      </c>
      <c r="R99" s="130">
        <v>0</v>
      </c>
      <c r="S99" s="130">
        <v>0</v>
      </c>
      <c r="T99" s="130">
        <v>0</v>
      </c>
      <c r="U99" s="95">
        <f t="shared" si="33"/>
        <v>0</v>
      </c>
      <c r="V99" s="95">
        <f t="shared" si="34"/>
        <v>0</v>
      </c>
      <c r="W99" s="93"/>
      <c r="X99" s="93"/>
      <c r="Y99" s="204"/>
      <c r="Z99" s="93"/>
      <c r="AA99" s="93"/>
      <c r="AB99" s="204"/>
      <c r="AC99" s="93"/>
      <c r="AD99" s="93"/>
      <c r="AE99" s="204"/>
    </row>
    <row r="100" spans="1:31" ht="24" hidden="1" customHeight="1" x14ac:dyDescent="0.3">
      <c r="A100" s="201"/>
      <c r="B100" s="129" t="s">
        <v>126</v>
      </c>
      <c r="C100" s="202">
        <f t="shared" ca="1" si="61"/>
        <v>0</v>
      </c>
      <c r="D100" s="203">
        <f t="shared" ca="1" si="62"/>
        <v>0</v>
      </c>
      <c r="E100" s="93">
        <f ca="1">IFERROR(__xludf.DUMMYFUNCTION("IMPORTRANGE(""https://docs.google.com/spreadsheets/d/1-uDff_7J0KD5mKrp0Vvzr7lt3OU09vwQwhkpOPPYv2Y/edit?usp=sharing"",""งบพรบ!AX100"")"),0)</f>
        <v>0</v>
      </c>
      <c r="F100" s="93">
        <f ca="1">IFERROR(__xludf.DUMMYFUNCTION("IMPORTRANGE(""https://docs.google.com/spreadsheets/d/1-uDff_7J0KD5mKrp0Vvzr7lt3OU09vwQwhkpOPPYv2Y/edit?usp=sharing"",""งบพรบ!AY100"")"),0)</f>
        <v>0</v>
      </c>
      <c r="G100" s="93">
        <f ca="1">IFERROR(__xludf.DUMMYFUNCTION("IMPORTRANGE(""https://docs.google.com/spreadsheets/d/1-uDff_7J0KD5mKrp0Vvzr7lt3OU09vwQwhkpOPPYv2Y/edit?usp=sharing"",""งบพรบ!AZ100"")"),0)</f>
        <v>0</v>
      </c>
      <c r="H100" s="93">
        <f ca="1">IFERROR(__xludf.DUMMYFUNCTION("IMPORTRANGE(""https://docs.google.com/spreadsheets/d/1-uDff_7J0KD5mKrp0Vvzr7lt3OU09vwQwhkpOPPYv2Y/edit?usp=sharing"",""งบพรบ!BB100"")"),0)</f>
        <v>0</v>
      </c>
      <c r="I100" s="93">
        <f ca="1">IFERROR(__xludf.DUMMYFUNCTION("IMPORTRANGE(""https://docs.google.com/spreadsheets/d/1-uDff_7J0KD5mKrp0Vvzr7lt3OU09vwQwhkpOPPYv2Y/edit?usp=sharing"",""งบพรบ!BC100"")"),0)</f>
        <v>0</v>
      </c>
      <c r="J100" s="93">
        <f t="shared" ca="1" si="63"/>
        <v>0</v>
      </c>
      <c r="K100" s="94">
        <f t="shared" ca="1" si="64"/>
        <v>0</v>
      </c>
      <c r="L100" s="93">
        <f ca="1">IFERROR(__xludf.DUMMYFUNCTION("IMPORTRANGE(""https://docs.google.com/spreadsheets/d/1-uDff_7J0KD5mKrp0Vvzr7lt3OU09vwQwhkpOPPYv2Y/edit?usp=sharing"",""งบพรบ!BD100"")"),0)</f>
        <v>0</v>
      </c>
      <c r="M100" s="95">
        <f t="shared" ca="1" si="65"/>
        <v>0</v>
      </c>
      <c r="N100" s="95">
        <f t="shared" ca="1" si="66"/>
        <v>0</v>
      </c>
      <c r="O100" s="96">
        <f ca="1">IFERROR(__xludf.DUMMYFUNCTION("IMPORTRANGE(""https://docs.google.com/spreadsheets/d/1-uDff_7J0KD5mKrp0Vvzr7lt3OU09vwQwhkpOPPYv2Y/edit?usp=sharing"",""งบพรบ!BE100"")"),0)</f>
        <v>0</v>
      </c>
      <c r="P100" s="96">
        <f t="shared" ca="1" si="67"/>
        <v>0</v>
      </c>
      <c r="Q100" s="95">
        <f t="shared" ca="1" si="68"/>
        <v>0</v>
      </c>
      <c r="R100" s="130">
        <v>0</v>
      </c>
      <c r="S100" s="130">
        <v>0</v>
      </c>
      <c r="T100" s="130">
        <v>0</v>
      </c>
      <c r="U100" s="95">
        <f t="shared" si="33"/>
        <v>0</v>
      </c>
      <c r="V100" s="95">
        <f t="shared" si="34"/>
        <v>0</v>
      </c>
      <c r="W100" s="93"/>
      <c r="X100" s="93"/>
      <c r="Y100" s="204"/>
      <c r="Z100" s="93"/>
      <c r="AA100" s="93"/>
      <c r="AB100" s="204"/>
      <c r="AC100" s="93"/>
      <c r="AD100" s="93"/>
      <c r="AE100" s="204"/>
    </row>
    <row r="101" spans="1:31" ht="24" hidden="1" customHeight="1" x14ac:dyDescent="0.3">
      <c r="A101" s="201"/>
      <c r="B101" s="129" t="s">
        <v>127</v>
      </c>
      <c r="C101" s="202">
        <f t="shared" ca="1" si="61"/>
        <v>417300</v>
      </c>
      <c r="D101" s="203">
        <f t="shared" ca="1" si="62"/>
        <v>417300</v>
      </c>
      <c r="E101" s="93">
        <f ca="1">IFERROR(__xludf.DUMMYFUNCTION("IMPORTRANGE(""https://docs.google.com/spreadsheets/d/1-uDff_7J0KD5mKrp0Vvzr7lt3OU09vwQwhkpOPPYv2Y/edit?usp=sharing"",""งบพรบ!AX101"")"),0)</f>
        <v>0</v>
      </c>
      <c r="F101" s="93">
        <f ca="1">IFERROR(__xludf.DUMMYFUNCTION("IMPORTRANGE(""https://docs.google.com/spreadsheets/d/1-uDff_7J0KD5mKrp0Vvzr7lt3OU09vwQwhkpOPPYv2Y/edit?usp=sharing"",""งบพรบ!AY101"")"),417300)</f>
        <v>417300</v>
      </c>
      <c r="G101" s="93">
        <f ca="1">IFERROR(__xludf.DUMMYFUNCTION("IMPORTRANGE(""https://docs.google.com/spreadsheets/d/1-uDff_7J0KD5mKrp0Vvzr7lt3OU09vwQwhkpOPPYv2Y/edit?usp=sharing"",""งบพรบ!AZ101"")"),0)</f>
        <v>0</v>
      </c>
      <c r="H101" s="93">
        <f ca="1">IFERROR(__xludf.DUMMYFUNCTION("IMPORTRANGE(""https://docs.google.com/spreadsheets/d/1-uDff_7J0KD5mKrp0Vvzr7lt3OU09vwQwhkpOPPYv2Y/edit?usp=sharing"",""งบพรบ!BB101"")"),245940)</f>
        <v>245940</v>
      </c>
      <c r="I101" s="93">
        <f ca="1">IFERROR(__xludf.DUMMYFUNCTION("IMPORTRANGE(""https://docs.google.com/spreadsheets/d/1-uDff_7J0KD5mKrp0Vvzr7lt3OU09vwQwhkpOPPYv2Y/edit?usp=sharing"",""งบพรบ!BC101"")"),0)</f>
        <v>0</v>
      </c>
      <c r="J101" s="93">
        <f t="shared" ca="1" si="63"/>
        <v>11613.41</v>
      </c>
      <c r="K101" s="94">
        <f t="shared" ca="1" si="64"/>
        <v>2.7829882578480709</v>
      </c>
      <c r="L101" s="93">
        <f ca="1">IFERROR(__xludf.DUMMYFUNCTION("IMPORTRANGE(""https://docs.google.com/spreadsheets/d/1-uDff_7J0KD5mKrp0Vvzr7lt3OU09vwQwhkpOPPYv2Y/edit?usp=sharing"",""งบพรบ!BD101"")"),11613.41)</f>
        <v>11613.41</v>
      </c>
      <c r="M101" s="95">
        <f t="shared" ca="1" si="65"/>
        <v>2.7829882578480709</v>
      </c>
      <c r="N101" s="95">
        <f t="shared" ca="1" si="66"/>
        <v>4.7220500935187442</v>
      </c>
      <c r="O101" s="96">
        <f ca="1">IFERROR(__xludf.DUMMYFUNCTION("IMPORTRANGE(""https://docs.google.com/spreadsheets/d/1-uDff_7J0KD5mKrp0Vvzr7lt3OU09vwQwhkpOPPYv2Y/edit?usp=sharing"",""งบพรบ!BE101"")"),0)</f>
        <v>0</v>
      </c>
      <c r="P101" s="96">
        <f t="shared" ca="1" si="67"/>
        <v>0</v>
      </c>
      <c r="Q101" s="95">
        <f t="shared" ca="1" si="68"/>
        <v>0</v>
      </c>
      <c r="R101" s="130">
        <v>0</v>
      </c>
      <c r="S101" s="130">
        <v>0</v>
      </c>
      <c r="T101" s="130">
        <v>0</v>
      </c>
      <c r="U101" s="95">
        <f t="shared" si="33"/>
        <v>0</v>
      </c>
      <c r="V101" s="95">
        <f t="shared" si="34"/>
        <v>0</v>
      </c>
      <c r="W101" s="93"/>
      <c r="X101" s="93"/>
      <c r="Y101" s="204"/>
      <c r="Z101" s="93"/>
      <c r="AA101" s="93"/>
      <c r="AB101" s="204"/>
      <c r="AC101" s="93"/>
      <c r="AD101" s="93"/>
      <c r="AE101" s="204"/>
    </row>
    <row r="102" spans="1:31" ht="24" hidden="1" customHeight="1" x14ac:dyDescent="0.3">
      <c r="A102" s="201"/>
      <c r="B102" s="129" t="s">
        <v>128</v>
      </c>
      <c r="C102" s="202">
        <f t="shared" ca="1" si="61"/>
        <v>0</v>
      </c>
      <c r="D102" s="203">
        <f t="shared" ca="1" si="62"/>
        <v>0</v>
      </c>
      <c r="E102" s="93">
        <f ca="1">IFERROR(__xludf.DUMMYFUNCTION("IMPORTRANGE(""https://docs.google.com/spreadsheets/d/1-uDff_7J0KD5mKrp0Vvzr7lt3OU09vwQwhkpOPPYv2Y/edit?usp=sharing"",""งบพรบ!AX102"")"),0)</f>
        <v>0</v>
      </c>
      <c r="F102" s="93">
        <f ca="1">IFERROR(__xludf.DUMMYFUNCTION("IMPORTRANGE(""https://docs.google.com/spreadsheets/d/1-uDff_7J0KD5mKrp0Vvzr7lt3OU09vwQwhkpOPPYv2Y/edit?usp=sharing"",""งบพรบ!AY102"")"),0)</f>
        <v>0</v>
      </c>
      <c r="G102" s="93">
        <f ca="1">IFERROR(__xludf.DUMMYFUNCTION("IMPORTRANGE(""https://docs.google.com/spreadsheets/d/1-uDff_7J0KD5mKrp0Vvzr7lt3OU09vwQwhkpOPPYv2Y/edit?usp=sharing"",""งบพรบ!AZ102"")"),0)</f>
        <v>0</v>
      </c>
      <c r="H102" s="93">
        <f ca="1">IFERROR(__xludf.DUMMYFUNCTION("IMPORTRANGE(""https://docs.google.com/spreadsheets/d/1-uDff_7J0KD5mKrp0Vvzr7lt3OU09vwQwhkpOPPYv2Y/edit?usp=sharing"",""งบพรบ!BB102"")"),0)</f>
        <v>0</v>
      </c>
      <c r="I102" s="93">
        <f ca="1">IFERROR(__xludf.DUMMYFUNCTION("IMPORTRANGE(""https://docs.google.com/spreadsheets/d/1-uDff_7J0KD5mKrp0Vvzr7lt3OU09vwQwhkpOPPYv2Y/edit?usp=sharing"",""งบพรบ!BC102"")"),0)</f>
        <v>0</v>
      </c>
      <c r="J102" s="93">
        <f t="shared" ca="1" si="63"/>
        <v>0</v>
      </c>
      <c r="K102" s="94">
        <f t="shared" ca="1" si="64"/>
        <v>0</v>
      </c>
      <c r="L102" s="93">
        <f ca="1">IFERROR(__xludf.DUMMYFUNCTION("IMPORTRANGE(""https://docs.google.com/spreadsheets/d/1-uDff_7J0KD5mKrp0Vvzr7lt3OU09vwQwhkpOPPYv2Y/edit?usp=sharing"",""งบพรบ!BD102"")"),0)</f>
        <v>0</v>
      </c>
      <c r="M102" s="95">
        <f t="shared" ca="1" si="65"/>
        <v>0</v>
      </c>
      <c r="N102" s="95">
        <f t="shared" ca="1" si="66"/>
        <v>0</v>
      </c>
      <c r="O102" s="96">
        <f ca="1">IFERROR(__xludf.DUMMYFUNCTION("IMPORTRANGE(""https://docs.google.com/spreadsheets/d/1-uDff_7J0KD5mKrp0Vvzr7lt3OU09vwQwhkpOPPYv2Y/edit?usp=sharing"",""งบพรบ!BE102"")"),0)</f>
        <v>0</v>
      </c>
      <c r="P102" s="96">
        <f t="shared" ca="1" si="67"/>
        <v>0</v>
      </c>
      <c r="Q102" s="95">
        <f t="shared" ca="1" si="68"/>
        <v>0</v>
      </c>
      <c r="R102" s="130">
        <v>0</v>
      </c>
      <c r="S102" s="130">
        <v>0</v>
      </c>
      <c r="T102" s="130">
        <v>0</v>
      </c>
      <c r="U102" s="95">
        <f t="shared" si="33"/>
        <v>0</v>
      </c>
      <c r="V102" s="95">
        <f t="shared" si="34"/>
        <v>0</v>
      </c>
      <c r="W102" s="93"/>
      <c r="X102" s="93"/>
      <c r="Y102" s="204"/>
      <c r="Z102" s="93"/>
      <c r="AA102" s="93"/>
      <c r="AB102" s="204"/>
      <c r="AC102" s="93"/>
      <c r="AD102" s="93"/>
      <c r="AE102" s="204"/>
    </row>
    <row r="103" spans="1:31" ht="24" hidden="1" customHeight="1" x14ac:dyDescent="0.3">
      <c r="A103" s="201"/>
      <c r="B103" s="129" t="s">
        <v>129</v>
      </c>
      <c r="C103" s="202">
        <f t="shared" ca="1" si="61"/>
        <v>0</v>
      </c>
      <c r="D103" s="203">
        <f t="shared" ca="1" si="62"/>
        <v>0</v>
      </c>
      <c r="E103" s="93">
        <f ca="1">IFERROR(__xludf.DUMMYFUNCTION("IMPORTRANGE(""https://docs.google.com/spreadsheets/d/1-uDff_7J0KD5mKrp0Vvzr7lt3OU09vwQwhkpOPPYv2Y/edit?usp=sharing"",""งบพรบ!AX103"")"),0)</f>
        <v>0</v>
      </c>
      <c r="F103" s="93">
        <f ca="1">IFERROR(__xludf.DUMMYFUNCTION("IMPORTRANGE(""https://docs.google.com/spreadsheets/d/1-uDff_7J0KD5mKrp0Vvzr7lt3OU09vwQwhkpOPPYv2Y/edit?usp=sharing"",""งบพรบ!AY103"")"),0)</f>
        <v>0</v>
      </c>
      <c r="G103" s="93">
        <f ca="1">IFERROR(__xludf.DUMMYFUNCTION("IMPORTRANGE(""https://docs.google.com/spreadsheets/d/1-uDff_7J0KD5mKrp0Vvzr7lt3OU09vwQwhkpOPPYv2Y/edit?usp=sharing"",""งบพรบ!AZ103"")"),0)</f>
        <v>0</v>
      </c>
      <c r="H103" s="93">
        <f ca="1">IFERROR(__xludf.DUMMYFUNCTION("IMPORTRANGE(""https://docs.google.com/spreadsheets/d/1-uDff_7J0KD5mKrp0Vvzr7lt3OU09vwQwhkpOPPYv2Y/edit?usp=sharing"",""งบพรบ!BB103"")"),0)</f>
        <v>0</v>
      </c>
      <c r="I103" s="93">
        <f ca="1">IFERROR(__xludf.DUMMYFUNCTION("IMPORTRANGE(""https://docs.google.com/spreadsheets/d/1-uDff_7J0KD5mKrp0Vvzr7lt3OU09vwQwhkpOPPYv2Y/edit?usp=sharing"",""งบพรบ!BC103"")"),0)</f>
        <v>0</v>
      </c>
      <c r="J103" s="93">
        <f t="shared" ca="1" si="63"/>
        <v>0</v>
      </c>
      <c r="K103" s="94">
        <f t="shared" ca="1" si="64"/>
        <v>0</v>
      </c>
      <c r="L103" s="93">
        <f ca="1">IFERROR(__xludf.DUMMYFUNCTION("IMPORTRANGE(""https://docs.google.com/spreadsheets/d/1-uDff_7J0KD5mKrp0Vvzr7lt3OU09vwQwhkpOPPYv2Y/edit?usp=sharing"",""งบพรบ!BD103"")"),0)</f>
        <v>0</v>
      </c>
      <c r="M103" s="95">
        <f t="shared" ca="1" si="65"/>
        <v>0</v>
      </c>
      <c r="N103" s="95">
        <f t="shared" ca="1" si="66"/>
        <v>0</v>
      </c>
      <c r="O103" s="96">
        <f ca="1">IFERROR(__xludf.DUMMYFUNCTION("IMPORTRANGE(""https://docs.google.com/spreadsheets/d/1-uDff_7J0KD5mKrp0Vvzr7lt3OU09vwQwhkpOPPYv2Y/edit?usp=sharing"",""งบพรบ!BE103"")"),0)</f>
        <v>0</v>
      </c>
      <c r="P103" s="96">
        <f t="shared" ca="1" si="67"/>
        <v>0</v>
      </c>
      <c r="Q103" s="95">
        <f t="shared" ca="1" si="68"/>
        <v>0</v>
      </c>
      <c r="R103" s="131">
        <v>0</v>
      </c>
      <c r="S103" s="131">
        <v>0</v>
      </c>
      <c r="T103" s="131">
        <v>0</v>
      </c>
      <c r="U103" s="132">
        <f t="shared" si="33"/>
        <v>0</v>
      </c>
      <c r="V103" s="132">
        <f t="shared" si="34"/>
        <v>0</v>
      </c>
      <c r="W103" s="93"/>
      <c r="X103" s="93"/>
      <c r="Y103" s="204"/>
      <c r="Z103" s="93"/>
      <c r="AA103" s="93"/>
      <c r="AB103" s="204"/>
      <c r="AC103" s="93"/>
      <c r="AD103" s="93"/>
      <c r="AE103" s="204"/>
    </row>
    <row r="104" spans="1:31" ht="24" hidden="1" customHeight="1" x14ac:dyDescent="0.3">
      <c r="A104" s="201"/>
      <c r="B104" s="129" t="s">
        <v>130</v>
      </c>
      <c r="C104" s="202">
        <f t="shared" ca="1" si="61"/>
        <v>299800</v>
      </c>
      <c r="D104" s="203">
        <f t="shared" ca="1" si="62"/>
        <v>299800</v>
      </c>
      <c r="E104" s="93">
        <f ca="1">IFERROR(__xludf.DUMMYFUNCTION("IMPORTRANGE(""https://docs.google.com/spreadsheets/d/1-uDff_7J0KD5mKrp0Vvzr7lt3OU09vwQwhkpOPPYv2Y/edit?usp=sharing"",""งบพรบ!AX104"")"),299800)</f>
        <v>299800</v>
      </c>
      <c r="F104" s="93">
        <f ca="1">IFERROR(__xludf.DUMMYFUNCTION("IMPORTRANGE(""https://docs.google.com/spreadsheets/d/1-uDff_7J0KD5mKrp0Vvzr7lt3OU09vwQwhkpOPPYv2Y/edit?usp=sharing"",""งบพรบ!AY104"")"),0)</f>
        <v>0</v>
      </c>
      <c r="G104" s="93">
        <f ca="1">IFERROR(__xludf.DUMMYFUNCTION("IMPORTRANGE(""https://docs.google.com/spreadsheets/d/1-uDff_7J0KD5mKrp0Vvzr7lt3OU09vwQwhkpOPPYv2Y/edit?usp=sharing"",""งบพรบ!AZ104"")"),0)</f>
        <v>0</v>
      </c>
      <c r="H104" s="93">
        <f ca="1">IFERROR(__xludf.DUMMYFUNCTION("IMPORTRANGE(""https://docs.google.com/spreadsheets/d/1-uDff_7J0KD5mKrp0Vvzr7lt3OU09vwQwhkpOPPYv2Y/edit?usp=sharing"",""งบพรบ!BB104"")"),195900)</f>
        <v>195900</v>
      </c>
      <c r="I104" s="93">
        <f ca="1">IFERROR(__xludf.DUMMYFUNCTION("IMPORTRANGE(""https://docs.google.com/spreadsheets/d/1-uDff_7J0KD5mKrp0Vvzr7lt3OU09vwQwhkpOPPYv2Y/edit?usp=sharing"",""งบพรบ!BC104"")"),0)</f>
        <v>0</v>
      </c>
      <c r="J104" s="93">
        <f t="shared" ca="1" si="63"/>
        <v>149999.4</v>
      </c>
      <c r="K104" s="94">
        <f t="shared" ca="1" si="64"/>
        <v>50.033155436957969</v>
      </c>
      <c r="L104" s="93">
        <f ca="1">IFERROR(__xludf.DUMMYFUNCTION("IMPORTRANGE(""https://docs.google.com/spreadsheets/d/1-uDff_7J0KD5mKrp0Vvzr7lt3OU09vwQwhkpOPPYv2Y/edit?usp=sharing"",""งบพรบ!BD104"")"),149999.4)</f>
        <v>149999.4</v>
      </c>
      <c r="M104" s="95">
        <f t="shared" ca="1" si="65"/>
        <v>50.033155436957969</v>
      </c>
      <c r="N104" s="95">
        <f t="shared" ca="1" si="66"/>
        <v>76.569372128637056</v>
      </c>
      <c r="O104" s="96">
        <f ca="1">IFERROR(__xludf.DUMMYFUNCTION("IMPORTRANGE(""https://docs.google.com/spreadsheets/d/1-uDff_7J0KD5mKrp0Vvzr7lt3OU09vwQwhkpOPPYv2Y/edit?usp=sharing"",""งบพรบ!BE104"")"),0)</f>
        <v>0</v>
      </c>
      <c r="P104" s="96">
        <f t="shared" ca="1" si="67"/>
        <v>0</v>
      </c>
      <c r="Q104" s="95">
        <f t="shared" ca="1" si="68"/>
        <v>0</v>
      </c>
      <c r="R104" s="130">
        <v>0</v>
      </c>
      <c r="S104" s="130">
        <v>0</v>
      </c>
      <c r="T104" s="130">
        <v>0</v>
      </c>
      <c r="U104" s="95">
        <f t="shared" si="33"/>
        <v>0</v>
      </c>
      <c r="V104" s="95">
        <f t="shared" si="34"/>
        <v>0</v>
      </c>
      <c r="W104" s="93"/>
      <c r="X104" s="93"/>
      <c r="Y104" s="204"/>
      <c r="Z104" s="93"/>
      <c r="AA104" s="93"/>
      <c r="AB104" s="204"/>
      <c r="AC104" s="93"/>
      <c r="AD104" s="93"/>
      <c r="AE104" s="204"/>
    </row>
    <row r="105" spans="1:31" ht="24" hidden="1" customHeight="1" x14ac:dyDescent="0.3">
      <c r="A105" s="201"/>
      <c r="B105" s="133" t="s">
        <v>131</v>
      </c>
      <c r="C105" s="202">
        <f t="shared" ca="1" si="61"/>
        <v>0</v>
      </c>
      <c r="D105" s="203">
        <f t="shared" ca="1" si="62"/>
        <v>0</v>
      </c>
      <c r="E105" s="93">
        <f ca="1">IFERROR(__xludf.DUMMYFUNCTION("IMPORTRANGE(""https://docs.google.com/spreadsheets/d/1-uDff_7J0KD5mKrp0Vvzr7lt3OU09vwQwhkpOPPYv2Y/edit?usp=sharing"",""งบพรบ!AX105"")"),0)</f>
        <v>0</v>
      </c>
      <c r="F105" s="93">
        <f ca="1">IFERROR(__xludf.DUMMYFUNCTION("IMPORTRANGE(""https://docs.google.com/spreadsheets/d/1-uDff_7J0KD5mKrp0Vvzr7lt3OU09vwQwhkpOPPYv2Y/edit?usp=sharing"",""งบพรบ!AY105"")"),0)</f>
        <v>0</v>
      </c>
      <c r="G105" s="93">
        <v>0</v>
      </c>
      <c r="H105" s="93">
        <f ca="1">IFERROR(__xludf.DUMMYFUNCTION("IMPORTRANGE(""https://docs.google.com/spreadsheets/d/1-uDff_7J0KD5mKrp0Vvzr7lt3OU09vwQwhkpOPPYv2Y/edit?usp=sharing"",""งบพรบ!BB105"")"),0)</f>
        <v>0</v>
      </c>
      <c r="I105" s="93">
        <f ca="1">IFERROR(__xludf.DUMMYFUNCTION("IMPORTRANGE(""https://docs.google.com/spreadsheets/d/1-uDff_7J0KD5mKrp0Vvzr7lt3OU09vwQwhkpOPPYv2Y/edit?usp=sharing"",""งบพรบ!BC105"")"),0)</f>
        <v>0</v>
      </c>
      <c r="J105" s="93">
        <f t="shared" ca="1" si="63"/>
        <v>0</v>
      </c>
      <c r="K105" s="94">
        <f t="shared" ca="1" si="64"/>
        <v>0</v>
      </c>
      <c r="L105" s="93">
        <f ca="1">IFERROR(__xludf.DUMMYFUNCTION("IMPORTRANGE(""https://docs.google.com/spreadsheets/d/1-uDff_7J0KD5mKrp0Vvzr7lt3OU09vwQwhkpOPPYv2Y/edit?usp=sharing"",""งบพรบ!BD105"")"),0)</f>
        <v>0</v>
      </c>
      <c r="M105" s="95">
        <f t="shared" ca="1" si="65"/>
        <v>0</v>
      </c>
      <c r="N105" s="95">
        <f t="shared" ca="1" si="66"/>
        <v>0</v>
      </c>
      <c r="O105" s="96">
        <f ca="1">IFERROR(__xludf.DUMMYFUNCTION("IMPORTRANGE(""https://docs.google.com/spreadsheets/d/1-uDff_7J0KD5mKrp0Vvzr7lt3OU09vwQwhkpOPPYv2Y/edit?usp=sharing"",""งบพรบ!BE105"")"),0)</f>
        <v>0</v>
      </c>
      <c r="P105" s="96">
        <f t="shared" si="67"/>
        <v>0</v>
      </c>
      <c r="Q105" s="95">
        <f t="shared" ca="1" si="68"/>
        <v>0</v>
      </c>
      <c r="R105" s="134">
        <v>0</v>
      </c>
      <c r="S105" s="134">
        <v>0</v>
      </c>
      <c r="T105" s="134">
        <v>0</v>
      </c>
      <c r="U105" s="135">
        <f t="shared" si="33"/>
        <v>0</v>
      </c>
      <c r="V105" s="135">
        <f t="shared" si="34"/>
        <v>0</v>
      </c>
      <c r="W105" s="93"/>
      <c r="X105" s="93"/>
      <c r="Y105" s="93"/>
      <c r="Z105" s="93"/>
      <c r="AA105" s="93"/>
      <c r="AB105" s="93"/>
      <c r="AC105" s="93"/>
      <c r="AD105" s="93"/>
      <c r="AE105" s="93"/>
    </row>
    <row r="106" spans="1:31" ht="24" hidden="1" customHeight="1" x14ac:dyDescent="0.3">
      <c r="A106" s="205"/>
      <c r="B106" s="137" t="s">
        <v>132</v>
      </c>
      <c r="C106" s="206">
        <f t="shared" ca="1" si="61"/>
        <v>0</v>
      </c>
      <c r="D106" s="207">
        <f t="shared" ca="1" si="62"/>
        <v>0</v>
      </c>
      <c r="E106" s="104">
        <f ca="1">IFERROR(__xludf.DUMMYFUNCTION("IMPORTRANGE(""https://docs.google.com/spreadsheets/d/1-uDff_7J0KD5mKrp0Vvzr7lt3OU09vwQwhkpOPPYv2Y/edit?usp=sharing"",""งบพรบ!AX106"")"),0)</f>
        <v>0</v>
      </c>
      <c r="F106" s="104">
        <f ca="1">IFERROR(__xludf.DUMMYFUNCTION("IMPORTRANGE(""https://docs.google.com/spreadsheets/d/1-uDff_7J0KD5mKrp0Vvzr7lt3OU09vwQwhkpOPPYv2Y/edit?usp=sharing"",""งบพรบ!AY106"")"),0)</f>
        <v>0</v>
      </c>
      <c r="G106" s="104">
        <v>0</v>
      </c>
      <c r="H106" s="104">
        <f ca="1">IFERROR(__xludf.DUMMYFUNCTION("IMPORTRANGE(""https://docs.google.com/spreadsheets/d/1-uDff_7J0KD5mKrp0Vvzr7lt3OU09vwQwhkpOPPYv2Y/edit?usp=sharing"",""งบพรบ!BB106"")"),0)</f>
        <v>0</v>
      </c>
      <c r="I106" s="104">
        <f ca="1">IFERROR(__xludf.DUMMYFUNCTION("IMPORTRANGE(""https://docs.google.com/spreadsheets/d/1-uDff_7J0KD5mKrp0Vvzr7lt3OU09vwQwhkpOPPYv2Y/edit?usp=sharing"",""งบพรบ!BC106"")"),0)</f>
        <v>0</v>
      </c>
      <c r="J106" s="104">
        <f t="shared" ca="1" si="63"/>
        <v>0</v>
      </c>
      <c r="K106" s="105">
        <f t="shared" ca="1" si="64"/>
        <v>0</v>
      </c>
      <c r="L106" s="104">
        <f ca="1">IFERROR(__xludf.DUMMYFUNCTION("IMPORTRANGE(""https://docs.google.com/spreadsheets/d/1-uDff_7J0KD5mKrp0Vvzr7lt3OU09vwQwhkpOPPYv2Y/edit?usp=sharing"",""งบพรบ!BD106"")"),0)</f>
        <v>0</v>
      </c>
      <c r="M106" s="106">
        <f t="shared" ca="1" si="65"/>
        <v>0</v>
      </c>
      <c r="N106" s="106">
        <f t="shared" ca="1" si="66"/>
        <v>0</v>
      </c>
      <c r="O106" s="107">
        <f ca="1">IFERROR(__xludf.DUMMYFUNCTION("IMPORTRANGE(""https://docs.google.com/spreadsheets/d/1-uDff_7J0KD5mKrp0Vvzr7lt3OU09vwQwhkpOPPYv2Y/edit?usp=sharing"",""งบพรบ!BE106"")"),0)</f>
        <v>0</v>
      </c>
      <c r="P106" s="107">
        <f t="shared" si="67"/>
        <v>0</v>
      </c>
      <c r="Q106" s="106">
        <f t="shared" ca="1" si="68"/>
        <v>0</v>
      </c>
      <c r="R106" s="138">
        <v>0</v>
      </c>
      <c r="S106" s="138">
        <v>0</v>
      </c>
      <c r="T106" s="138">
        <v>0</v>
      </c>
      <c r="U106" s="106">
        <f t="shared" si="33"/>
        <v>0</v>
      </c>
      <c r="V106" s="106">
        <f t="shared" si="34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</row>
  </sheetData>
  <mergeCells count="32">
    <mergeCell ref="X5:Y5"/>
    <mergeCell ref="AA5:AB5"/>
    <mergeCell ref="A2:B6"/>
    <mergeCell ref="C2:AE2"/>
    <mergeCell ref="C3:Q3"/>
    <mergeCell ref="W3:Y4"/>
    <mergeCell ref="Z3:AB4"/>
    <mergeCell ref="AC3:AE4"/>
    <mergeCell ref="J4:Q4"/>
    <mergeCell ref="AD5:AE5"/>
    <mergeCell ref="C4:G4"/>
    <mergeCell ref="H4:I4"/>
    <mergeCell ref="R3:V3"/>
    <mergeCell ref="R4:R6"/>
    <mergeCell ref="S4:S6"/>
    <mergeCell ref="T4:T6"/>
    <mergeCell ref="A89:B89"/>
    <mergeCell ref="E5:E6"/>
    <mergeCell ref="F5:F6"/>
    <mergeCell ref="G5:G6"/>
    <mergeCell ref="J5:K5"/>
    <mergeCell ref="A7:B7"/>
    <mergeCell ref="A13:B13"/>
    <mergeCell ref="A31:B31"/>
    <mergeCell ref="A52:B52"/>
    <mergeCell ref="A74:B74"/>
    <mergeCell ref="U4:U6"/>
    <mergeCell ref="V4:V6"/>
    <mergeCell ref="C5:C6"/>
    <mergeCell ref="D5:D6"/>
    <mergeCell ref="L5:N5"/>
    <mergeCell ref="O5:Q5"/>
  </mergeCells>
  <printOptions horizontalCentered="1"/>
  <pageMargins left="0.23622047244094491" right="0.23622047244094491" top="0.55118110236220474" bottom="0.55118110236220474" header="0" footer="0"/>
  <pageSetup paperSize="9" scale="45" fitToWidth="0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outlinePr summaryBelow="0" summaryRight="0"/>
  </sheetPr>
  <dimension ref="A1:AG107"/>
  <sheetViews>
    <sheetView view="pageBreakPreview" zoomScale="60" zoomScaleNormal="60" workbookViewId="0">
      <selection activeCell="A2" sqref="A2:B6"/>
    </sheetView>
  </sheetViews>
  <sheetFormatPr defaultColWidth="12.5703125" defaultRowHeight="15.75" customHeight="1" x14ac:dyDescent="0.2"/>
  <cols>
    <col min="2" max="2" width="30.140625" bestFit="1" customWidth="1"/>
    <col min="18" max="18" width="18.7109375" bestFit="1" customWidth="1"/>
    <col min="20" max="20" width="14.42578125" bestFit="1" customWidth="1"/>
    <col min="23" max="33" width="23" customWidth="1"/>
  </cols>
  <sheetData>
    <row r="1" spans="1:33" ht="19.5" x14ac:dyDescent="0.3">
      <c r="A1" s="1" t="s">
        <v>0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  <c r="N1" s="141"/>
      <c r="O1" s="142"/>
      <c r="P1" s="142"/>
      <c r="Q1" s="142"/>
      <c r="R1" s="142"/>
      <c r="S1" s="142"/>
      <c r="T1" s="142"/>
      <c r="U1" s="142"/>
      <c r="V1" s="142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</row>
    <row r="2" spans="1:33" ht="19.5" x14ac:dyDescent="0.2">
      <c r="A2" s="639" t="s">
        <v>1</v>
      </c>
      <c r="B2" s="607"/>
      <c r="C2" s="642" t="s">
        <v>137</v>
      </c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3"/>
    </row>
    <row r="3" spans="1:33" ht="19.5" x14ac:dyDescent="0.2">
      <c r="A3" s="640"/>
      <c r="B3" s="590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584" t="s">
        <v>4</v>
      </c>
      <c r="S3" s="585"/>
      <c r="T3" s="585"/>
      <c r="U3" s="585"/>
      <c r="V3" s="585"/>
      <c r="W3" s="643" t="s">
        <v>138</v>
      </c>
      <c r="X3" s="585"/>
      <c r="Y3" s="585"/>
      <c r="Z3" s="607"/>
      <c r="AA3" s="643" t="s">
        <v>139</v>
      </c>
      <c r="AB3" s="585"/>
      <c r="AC3" s="585"/>
      <c r="AD3" s="607"/>
      <c r="AE3" s="643" t="s">
        <v>140</v>
      </c>
      <c r="AF3" s="585"/>
      <c r="AG3" s="607"/>
    </row>
    <row r="4" spans="1:33" ht="19.5" x14ac:dyDescent="0.3">
      <c r="A4" s="640"/>
      <c r="B4" s="590"/>
      <c r="C4" s="645" t="s">
        <v>7</v>
      </c>
      <c r="D4" s="592"/>
      <c r="E4" s="592"/>
      <c r="F4" s="592"/>
      <c r="G4" s="593"/>
      <c r="H4" s="646" t="s">
        <v>8</v>
      </c>
      <c r="I4" s="593"/>
      <c r="J4" s="644" t="s">
        <v>9</v>
      </c>
      <c r="K4" s="592"/>
      <c r="L4" s="592"/>
      <c r="M4" s="592"/>
      <c r="N4" s="592"/>
      <c r="O4" s="592"/>
      <c r="P4" s="592"/>
      <c r="Q4" s="593"/>
      <c r="R4" s="614" t="s">
        <v>10</v>
      </c>
      <c r="S4" s="615" t="s">
        <v>11</v>
      </c>
      <c r="T4" s="594" t="s">
        <v>12</v>
      </c>
      <c r="U4" s="752" t="s">
        <v>13</v>
      </c>
      <c r="V4" s="752" t="s">
        <v>14</v>
      </c>
      <c r="W4" s="641"/>
      <c r="X4" s="592"/>
      <c r="Y4" s="592"/>
      <c r="Z4" s="593"/>
      <c r="AA4" s="641"/>
      <c r="AB4" s="592"/>
      <c r="AC4" s="592"/>
      <c r="AD4" s="593"/>
      <c r="AE4" s="641"/>
      <c r="AF4" s="592"/>
      <c r="AG4" s="593"/>
    </row>
    <row r="5" spans="1:33" ht="58.5" x14ac:dyDescent="0.3">
      <c r="A5" s="640"/>
      <c r="B5" s="590"/>
      <c r="C5" s="733" t="s">
        <v>19</v>
      </c>
      <c r="D5" s="734" t="s">
        <v>20</v>
      </c>
      <c r="E5" s="735" t="s">
        <v>21</v>
      </c>
      <c r="F5" s="736" t="s">
        <v>22</v>
      </c>
      <c r="G5" s="737" t="s">
        <v>23</v>
      </c>
      <c r="H5" s="143" t="s">
        <v>24</v>
      </c>
      <c r="I5" s="143" t="s">
        <v>25</v>
      </c>
      <c r="J5" s="630" t="s">
        <v>26</v>
      </c>
      <c r="K5" s="593"/>
      <c r="L5" s="630" t="s">
        <v>24</v>
      </c>
      <c r="M5" s="592"/>
      <c r="N5" s="593"/>
      <c r="O5" s="631" t="s">
        <v>25</v>
      </c>
      <c r="P5" s="592"/>
      <c r="Q5" s="593"/>
      <c r="R5" s="595"/>
      <c r="S5" s="595"/>
      <c r="T5" s="595"/>
      <c r="U5" s="753"/>
      <c r="V5" s="753"/>
      <c r="W5" s="144" t="s">
        <v>27</v>
      </c>
      <c r="X5" s="638" t="s">
        <v>28</v>
      </c>
      <c r="Y5" s="593"/>
      <c r="Z5" s="208"/>
      <c r="AA5" s="144" t="s">
        <v>27</v>
      </c>
      <c r="AB5" s="638" t="s">
        <v>28</v>
      </c>
      <c r="AC5" s="593"/>
      <c r="AD5" s="208"/>
      <c r="AE5" s="144" t="s">
        <v>27</v>
      </c>
      <c r="AF5" s="638" t="s">
        <v>28</v>
      </c>
      <c r="AG5" s="593"/>
    </row>
    <row r="6" spans="1:33" ht="46.5" customHeight="1" x14ac:dyDescent="0.2">
      <c r="A6" s="641"/>
      <c r="B6" s="593"/>
      <c r="C6" s="738"/>
      <c r="D6" s="738"/>
      <c r="E6" s="738"/>
      <c r="F6" s="738"/>
      <c r="G6" s="738"/>
      <c r="H6" s="145"/>
      <c r="I6" s="145"/>
      <c r="J6" s="748" t="s">
        <v>29</v>
      </c>
      <c r="K6" s="749" t="s">
        <v>30</v>
      </c>
      <c r="L6" s="748" t="s">
        <v>29</v>
      </c>
      <c r="M6" s="750" t="s">
        <v>31</v>
      </c>
      <c r="N6" s="750" t="s">
        <v>32</v>
      </c>
      <c r="O6" s="751" t="s">
        <v>29</v>
      </c>
      <c r="P6" s="750" t="s">
        <v>31</v>
      </c>
      <c r="Q6" s="750" t="s">
        <v>32</v>
      </c>
      <c r="R6" s="596"/>
      <c r="S6" s="596"/>
      <c r="T6" s="596"/>
      <c r="U6" s="732"/>
      <c r="V6" s="732"/>
      <c r="W6" s="148" t="s">
        <v>34</v>
      </c>
      <c r="X6" s="149" t="s">
        <v>34</v>
      </c>
      <c r="Y6" s="147" t="s">
        <v>30</v>
      </c>
      <c r="Z6" s="149" t="s">
        <v>141</v>
      </c>
      <c r="AA6" s="148" t="s">
        <v>34</v>
      </c>
      <c r="AB6" s="149" t="s">
        <v>34</v>
      </c>
      <c r="AC6" s="147" t="s">
        <v>30</v>
      </c>
      <c r="AD6" s="149" t="s">
        <v>141</v>
      </c>
      <c r="AE6" s="148" t="s">
        <v>34</v>
      </c>
      <c r="AF6" s="149" t="s">
        <v>34</v>
      </c>
      <c r="AG6" s="147" t="s">
        <v>30</v>
      </c>
    </row>
    <row r="7" spans="1:33" ht="19.5" x14ac:dyDescent="0.3">
      <c r="A7" s="634" t="s">
        <v>289</v>
      </c>
      <c r="B7" s="635"/>
      <c r="C7" s="150">
        <f t="shared" ref="C7:C9" ca="1" si="0">D7+G7</f>
        <v>0</v>
      </c>
      <c r="D7" s="151">
        <f t="shared" ref="D7:E7" ca="1" si="1">D8+D9+D12</f>
        <v>0</v>
      </c>
      <c r="E7" s="152">
        <f t="shared" ca="1" si="1"/>
        <v>0</v>
      </c>
      <c r="F7" s="153">
        <f ca="1">F8+F9</f>
        <v>0</v>
      </c>
      <c r="G7" s="154">
        <f t="shared" ref="G7:I7" ca="1" si="2">G8+G9+G12</f>
        <v>0</v>
      </c>
      <c r="H7" s="155">
        <f t="shared" ca="1" si="2"/>
        <v>0</v>
      </c>
      <c r="I7" s="155">
        <f t="shared" ca="1" si="2"/>
        <v>0</v>
      </c>
      <c r="J7" s="156">
        <f t="shared" ref="J7:J9" ca="1" si="3">L7+O7</f>
        <v>0</v>
      </c>
      <c r="K7" s="157">
        <f t="shared" ref="K7:K9" ca="1" si="4">IF(C7&gt;0,J7*100/C7,0)</f>
        <v>0</v>
      </c>
      <c r="L7" s="156">
        <f ca="1">L8+L9+L12</f>
        <v>0</v>
      </c>
      <c r="M7" s="27">
        <f t="shared" ref="M7:M9" ca="1" si="5">IF(D7&gt;0,L7*100/D7,0)</f>
        <v>0</v>
      </c>
      <c r="N7" s="27">
        <f t="shared" ref="N7:N9" ca="1" si="6">IF(H7&gt;0,L7*100/H7,0)</f>
        <v>0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6">
        <f t="shared" ref="R7:T7" ca="1" si="9">R8+R9</f>
        <v>23588000</v>
      </c>
      <c r="S7" s="26">
        <f t="shared" ca="1" si="9"/>
        <v>0</v>
      </c>
      <c r="T7" s="26">
        <f t="shared" ca="1" si="9"/>
        <v>145189.25</v>
      </c>
      <c r="U7" s="27">
        <f t="shared" ref="U7:U9" ca="1" si="10">IF(R7&gt;0,T7*100/R7,0)</f>
        <v>0.61552166355774118</v>
      </c>
      <c r="V7" s="27">
        <f t="shared" ref="V7:V9" ca="1" si="11">IF(S7&gt;0,T7*100/S7,0)</f>
        <v>0</v>
      </c>
      <c r="W7" s="28">
        <f t="shared" ref="W7:X7" ca="1" si="12">W8</f>
        <v>2000</v>
      </c>
      <c r="X7" s="29">
        <f t="shared" ca="1" si="12"/>
        <v>60</v>
      </c>
      <c r="Y7" s="158">
        <f t="shared" ref="Y7:Y8" ca="1" si="13">IF(W7&gt;0,X7*100/W7,0)</f>
        <v>3</v>
      </c>
      <c r="Z7" s="29">
        <f t="shared" ref="Z7:AB7" ca="1" si="14">Z8</f>
        <v>5</v>
      </c>
      <c r="AA7" s="28">
        <f t="shared" ca="1" si="14"/>
        <v>1400</v>
      </c>
      <c r="AB7" s="29">
        <f t="shared" ca="1" si="14"/>
        <v>0</v>
      </c>
      <c r="AC7" s="158">
        <f t="shared" ref="AC7:AC8" ca="1" si="15">IF(AA7&gt;0,AB7*100/AA7,0)</f>
        <v>0</v>
      </c>
      <c r="AD7" s="158">
        <f t="shared" ref="AD7:AF7" ca="1" si="16">AD8</f>
        <v>0</v>
      </c>
      <c r="AE7" s="28">
        <f t="shared" si="16"/>
        <v>0</v>
      </c>
      <c r="AF7" s="29">
        <f t="shared" si="16"/>
        <v>0</v>
      </c>
      <c r="AG7" s="158">
        <f t="shared" ref="AG7:AG9" si="17">IF(AE7&gt;0,AF7*100/AE7,0)</f>
        <v>0</v>
      </c>
    </row>
    <row r="8" spans="1:33" ht="19.5" x14ac:dyDescent="0.3">
      <c r="A8" s="159" t="s">
        <v>37</v>
      </c>
      <c r="B8" s="160"/>
      <c r="C8" s="161">
        <f t="shared" ca="1" si="0"/>
        <v>0</v>
      </c>
      <c r="D8" s="161">
        <f t="shared" ref="D8:I8" ca="1" si="18">+D13+D31+D52+D74</f>
        <v>0</v>
      </c>
      <c r="E8" s="161">
        <f t="shared" ca="1" si="18"/>
        <v>0</v>
      </c>
      <c r="F8" s="161">
        <f t="shared" ca="1" si="18"/>
        <v>0</v>
      </c>
      <c r="G8" s="161">
        <f t="shared" ca="1" si="18"/>
        <v>0</v>
      </c>
      <c r="H8" s="161">
        <f t="shared" ca="1" si="18"/>
        <v>0</v>
      </c>
      <c r="I8" s="161">
        <f t="shared" ca="1" si="18"/>
        <v>0</v>
      </c>
      <c r="J8" s="161">
        <f t="shared" ca="1" si="3"/>
        <v>0</v>
      </c>
      <c r="K8" s="162">
        <f t="shared" ca="1" si="4"/>
        <v>0</v>
      </c>
      <c r="L8" s="161">
        <f ca="1">+L13+L31+L52+L74</f>
        <v>0</v>
      </c>
      <c r="M8" s="40">
        <f t="shared" ca="1" si="5"/>
        <v>0</v>
      </c>
      <c r="N8" s="40">
        <f t="shared" ca="1" si="6"/>
        <v>0</v>
      </c>
      <c r="O8" s="39">
        <f ca="1">+O13+O31+O52+O74</f>
        <v>0</v>
      </c>
      <c r="P8" s="39">
        <f t="shared" ca="1" si="7"/>
        <v>0</v>
      </c>
      <c r="Q8" s="40">
        <f t="shared" ca="1" si="8"/>
        <v>0</v>
      </c>
      <c r="R8" s="39">
        <f t="shared" ref="R8:T8" ca="1" si="19">+R13+R31+R52+R74</f>
        <v>21980680</v>
      </c>
      <c r="S8" s="39">
        <f t="shared" ca="1" si="19"/>
        <v>0</v>
      </c>
      <c r="T8" s="39">
        <f t="shared" ca="1" si="19"/>
        <v>145189.25</v>
      </c>
      <c r="U8" s="40">
        <f t="shared" ca="1" si="10"/>
        <v>0.6605312028563266</v>
      </c>
      <c r="V8" s="40">
        <f t="shared" ca="1" si="11"/>
        <v>0</v>
      </c>
      <c r="W8" s="35">
        <f t="shared" ref="W8:X8" ca="1" si="20">+W13+W31+W52+W74</f>
        <v>2000</v>
      </c>
      <c r="X8" s="35">
        <f t="shared" ca="1" si="20"/>
        <v>60</v>
      </c>
      <c r="Y8" s="161">
        <f t="shared" ca="1" si="13"/>
        <v>3</v>
      </c>
      <c r="Z8" s="35">
        <f t="shared" ref="Z8:AB8" ca="1" si="21">+Z13+Z31+Z52+Z74</f>
        <v>5</v>
      </c>
      <c r="AA8" s="35">
        <f t="shared" ca="1" si="21"/>
        <v>1400</v>
      </c>
      <c r="AB8" s="35">
        <f t="shared" ca="1" si="21"/>
        <v>0</v>
      </c>
      <c r="AC8" s="161">
        <f t="shared" ca="1" si="15"/>
        <v>0</v>
      </c>
      <c r="AD8" s="161">
        <f t="shared" ref="AD8:AF8" ca="1" si="22">+AD13+AD31+AD52+AD74</f>
        <v>0</v>
      </c>
      <c r="AE8" s="35">
        <f t="shared" si="22"/>
        <v>0</v>
      </c>
      <c r="AF8" s="35">
        <f t="shared" si="22"/>
        <v>0</v>
      </c>
      <c r="AG8" s="161">
        <f t="shared" si="17"/>
        <v>0</v>
      </c>
    </row>
    <row r="9" spans="1:33" ht="19.5" x14ac:dyDescent="0.3">
      <c r="A9" s="43" t="s">
        <v>38</v>
      </c>
      <c r="B9" s="163"/>
      <c r="C9" s="164">
        <f t="shared" ca="1" si="0"/>
        <v>0</v>
      </c>
      <c r="D9" s="164">
        <f t="shared" ref="D9:I9" ca="1" si="23">+D89</f>
        <v>0</v>
      </c>
      <c r="E9" s="164">
        <f t="shared" ca="1" si="23"/>
        <v>0</v>
      </c>
      <c r="F9" s="164">
        <f t="shared" ca="1" si="23"/>
        <v>0</v>
      </c>
      <c r="G9" s="164">
        <f t="shared" ca="1" si="23"/>
        <v>0</v>
      </c>
      <c r="H9" s="164">
        <f t="shared" ca="1" si="23"/>
        <v>0</v>
      </c>
      <c r="I9" s="164">
        <f t="shared" ca="1" si="23"/>
        <v>0</v>
      </c>
      <c r="J9" s="164">
        <f t="shared" ca="1" si="3"/>
        <v>0</v>
      </c>
      <c r="K9" s="165">
        <f t="shared" ca="1" si="4"/>
        <v>0</v>
      </c>
      <c r="L9" s="164">
        <f ca="1">+L89</f>
        <v>0</v>
      </c>
      <c r="M9" s="51">
        <f t="shared" ca="1" si="5"/>
        <v>0</v>
      </c>
      <c r="N9" s="51">
        <f t="shared" ca="1" si="6"/>
        <v>0</v>
      </c>
      <c r="O9" s="50">
        <f ca="1">+O89</f>
        <v>0</v>
      </c>
      <c r="P9" s="50">
        <f t="shared" ca="1" si="7"/>
        <v>0</v>
      </c>
      <c r="Q9" s="51">
        <f t="shared" ca="1" si="8"/>
        <v>0</v>
      </c>
      <c r="R9" s="50">
        <f ca="1">IFERROR(__xludf.DUMMYFUNCTION("IMPORTRANGE(""https://docs.google.com/spreadsheets/d/1ItG2mGa2ceCfYo0BwxsXqNm01IGEUdYcSSLTEv9YCik/edit?usp=sharing"",""เบิกจ่ายกองทุน!R11"")"),1607320)</f>
        <v>1607320</v>
      </c>
      <c r="S9" s="50">
        <f ca="1">IFERROR(__xludf.DUMMYFUNCTION("IMPORTRANGE(""https://docs.google.com/spreadsheets/d/1ItG2mGa2ceCfYo0BwxsXqNm01IGEUdYcSSLTEv9YCik/edit?usp=sharing"",""เบิกจ่ายกองทุน!S11"")"),0)</f>
        <v>0</v>
      </c>
      <c r="T9" s="50">
        <f ca="1">IFERROR(__xludf.DUMMYFUNCTION("IMPORTRANGE(""https://docs.google.com/spreadsheets/d/1ItG2mGa2ceCfYo0BwxsXqNm01IGEUdYcSSLTEv9YCik/edit?usp=sharing"",""เบิกจ่ายกองทุน!T11"")"),0)</f>
        <v>0</v>
      </c>
      <c r="U9" s="51">
        <f t="shared" ca="1" si="10"/>
        <v>0</v>
      </c>
      <c r="V9" s="51">
        <f t="shared" ca="1" si="11"/>
        <v>0</v>
      </c>
      <c r="W9" s="209">
        <v>0</v>
      </c>
      <c r="X9" s="209">
        <v>0</v>
      </c>
      <c r="Y9" s="210">
        <v>0</v>
      </c>
      <c r="Z9" s="209">
        <v>0</v>
      </c>
      <c r="AA9" s="209">
        <v>0</v>
      </c>
      <c r="AB9" s="209">
        <v>0</v>
      </c>
      <c r="AC9" s="210">
        <v>0</v>
      </c>
      <c r="AD9" s="210">
        <v>0</v>
      </c>
      <c r="AE9" s="45">
        <f ca="1">IFERROR(__xludf.DUMMYFUNCTION("IMPORTRANGE(""https://docs.google.com/spreadsheets/d/1W-HhGofCdyidljablT5AVQ143BAUWsE-bKbHVeok6Og/edit?usp=sharing"",""ทั้งประเทศ!I131"")"),0)</f>
        <v>0</v>
      </c>
      <c r="AF9" s="45">
        <f ca="1">IFERROR(__xludf.DUMMYFUNCTION("IMPORTRANGE(""https://docs.google.com/spreadsheets/d/1W-HhGofCdyidljablT5AVQ143BAUWsE-bKbHVeok6Og/edit?usp=sharing"",""ทั้งประเทศ!J131"")"),0)</f>
        <v>0</v>
      </c>
      <c r="AG9" s="164">
        <f t="shared" ca="1" si="17"/>
        <v>0</v>
      </c>
    </row>
    <row r="10" spans="1:33" ht="19.5" hidden="1" x14ac:dyDescent="0.3">
      <c r="A10" s="166"/>
      <c r="B10" s="16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61"/>
      <c r="S10" s="61"/>
      <c r="T10" s="61"/>
      <c r="U10" s="62"/>
      <c r="V10" s="62"/>
      <c r="W10" s="56"/>
      <c r="X10" s="56"/>
      <c r="Y10" s="168"/>
      <c r="Z10" s="56"/>
      <c r="AA10" s="56"/>
      <c r="AB10" s="56"/>
      <c r="AC10" s="168"/>
      <c r="AD10" s="168"/>
      <c r="AE10" s="56"/>
      <c r="AF10" s="56"/>
      <c r="AG10" s="168"/>
    </row>
    <row r="11" spans="1:33" ht="19.5" hidden="1" x14ac:dyDescent="0.3">
      <c r="A11" s="170"/>
      <c r="B11" s="16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61"/>
      <c r="S11" s="61"/>
      <c r="T11" s="61"/>
      <c r="U11" s="62"/>
      <c r="V11" s="62"/>
      <c r="W11" s="56"/>
      <c r="X11" s="56"/>
      <c r="Y11" s="168"/>
      <c r="Z11" s="56"/>
      <c r="AA11" s="56"/>
      <c r="AB11" s="56"/>
      <c r="AC11" s="168"/>
      <c r="AD11" s="168"/>
      <c r="AE11" s="56"/>
      <c r="AF11" s="56"/>
      <c r="AG11" s="168"/>
    </row>
    <row r="12" spans="1:33" ht="19.5" hidden="1" x14ac:dyDescent="0.3">
      <c r="A12" s="166"/>
      <c r="B12" s="171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61"/>
      <c r="S12" s="61"/>
      <c r="T12" s="61"/>
      <c r="U12" s="62"/>
      <c r="V12" s="62"/>
      <c r="W12" s="67"/>
      <c r="X12" s="67"/>
      <c r="Y12" s="168"/>
      <c r="Z12" s="67"/>
      <c r="AA12" s="67"/>
      <c r="AB12" s="67"/>
      <c r="AC12" s="168"/>
      <c r="AD12" s="211"/>
      <c r="AE12" s="67"/>
      <c r="AF12" s="67"/>
      <c r="AG12" s="168"/>
    </row>
    <row r="13" spans="1:33" ht="19.5" x14ac:dyDescent="0.3">
      <c r="A13" s="636" t="s">
        <v>39</v>
      </c>
      <c r="B13" s="633"/>
      <c r="C13" s="161">
        <f t="shared" ref="C13:C88" ca="1" si="24">D13+G13</f>
        <v>0</v>
      </c>
      <c r="D13" s="161">
        <f t="shared" ref="D13:I13" ca="1" si="25">SUM(D14:D30)</f>
        <v>0</v>
      </c>
      <c r="E13" s="161">
        <f t="shared" ca="1" si="25"/>
        <v>0</v>
      </c>
      <c r="F13" s="161">
        <f t="shared" ca="1" si="25"/>
        <v>0</v>
      </c>
      <c r="G13" s="161">
        <f t="shared" ca="1" si="25"/>
        <v>0</v>
      </c>
      <c r="H13" s="161">
        <f t="shared" ca="1" si="25"/>
        <v>0</v>
      </c>
      <c r="I13" s="161">
        <f t="shared" ca="1" si="25"/>
        <v>0</v>
      </c>
      <c r="J13" s="161">
        <f t="shared" ref="J13:J88" ca="1" si="26">L13+O13</f>
        <v>0</v>
      </c>
      <c r="K13" s="162">
        <f t="shared" ref="K13:K88" ca="1" si="27">IF(C13&gt;0,J13*100/C13,0)</f>
        <v>0</v>
      </c>
      <c r="L13" s="161">
        <f ca="1">SUM(L14:L30)</f>
        <v>0</v>
      </c>
      <c r="M13" s="40">
        <f t="shared" ref="M13:M88" ca="1" si="28">IF(D13&gt;0,L13*100/D13,0)</f>
        <v>0</v>
      </c>
      <c r="N13" s="40">
        <f t="shared" ref="N13:N88" ca="1" si="29">IF(H13&gt;0,L13*100/H13,0)</f>
        <v>0</v>
      </c>
      <c r="O13" s="39">
        <f ca="1">SUM(O14:O30)</f>
        <v>0</v>
      </c>
      <c r="P13" s="39">
        <f t="shared" ref="P13:P88" ca="1" si="30">IF(G13&gt;0,O13*100/G13,0)</f>
        <v>0</v>
      </c>
      <c r="Q13" s="40">
        <f t="shared" ref="Q13:Q88" ca="1" si="31">IF(I13&gt;0,O13*100/I13,0)</f>
        <v>0</v>
      </c>
      <c r="R13" s="39">
        <f t="shared" ref="R13:T13" ca="1" si="32">SUM(R14:R30)</f>
        <v>6899960</v>
      </c>
      <c r="S13" s="39">
        <f t="shared" ca="1" si="32"/>
        <v>0</v>
      </c>
      <c r="T13" s="39">
        <f t="shared" ca="1" si="32"/>
        <v>19546</v>
      </c>
      <c r="U13" s="40">
        <f t="shared" ref="U13:U106" ca="1" si="33">IF(R13&gt;0,T13*100/R13,0)</f>
        <v>0.28327700450437393</v>
      </c>
      <c r="V13" s="40">
        <f t="shared" ref="V13:V106" ca="1" si="34">IF(S13&gt;0,T13*100/S13,0)</f>
        <v>0</v>
      </c>
      <c r="W13" s="73">
        <f t="shared" ref="W13:X13" ca="1" si="35">SUM(W14:W30)</f>
        <v>735</v>
      </c>
      <c r="X13" s="73">
        <f t="shared" ca="1" si="35"/>
        <v>20</v>
      </c>
      <c r="Y13" s="161">
        <f t="shared" ref="Y13:Y88" ca="1" si="36">IF(W13&gt;0,X13*100/W13,0)</f>
        <v>2.7210884353741496</v>
      </c>
      <c r="Z13" s="73">
        <f t="shared" ref="Z13:AB13" ca="1" si="37">SUM(Z14:Z30)</f>
        <v>2</v>
      </c>
      <c r="AA13" s="73">
        <f t="shared" ca="1" si="37"/>
        <v>365</v>
      </c>
      <c r="AB13" s="73">
        <f t="shared" ca="1" si="37"/>
        <v>0</v>
      </c>
      <c r="AC13" s="161">
        <f t="shared" ref="AC13:AC88" ca="1" si="38">IF(AA13&gt;0,AB13*100/AA13,0)</f>
        <v>0</v>
      </c>
      <c r="AD13" s="212">
        <f ca="1">SUM(AD14:AD30)</f>
        <v>0</v>
      </c>
      <c r="AE13" s="213">
        <v>0</v>
      </c>
      <c r="AF13" s="213">
        <v>0</v>
      </c>
      <c r="AG13" s="214">
        <v>0</v>
      </c>
    </row>
    <row r="14" spans="1:33" ht="19.5" x14ac:dyDescent="0.3">
      <c r="A14" s="172">
        <v>1</v>
      </c>
      <c r="B14" s="173" t="s">
        <v>40</v>
      </c>
      <c r="C14" s="174">
        <f t="shared" ca="1" si="24"/>
        <v>0</v>
      </c>
      <c r="D14" s="175">
        <f t="shared" ref="D14:D30" ca="1" si="39">+E14+F14</f>
        <v>0</v>
      </c>
      <c r="E14" s="176">
        <f ca="1">IFERROR(__xludf.DUMMYFUNCTION("IMPORTRANGE(""https://docs.google.com/spreadsheets/d/1-uDff_7J0KD5mKrp0Vvzr7lt3OU09vwQwhkpOPPYv2Y/edit?usp=sharing"",""งบพรบ!BH14"")"),0)</f>
        <v>0</v>
      </c>
      <c r="F14" s="176">
        <f ca="1">IFERROR(__xludf.DUMMYFUNCTION("IMPORTRANGE(""https://docs.google.com/spreadsheets/d/1-uDff_7J0KD5mKrp0Vvzr7lt3OU09vwQwhkpOPPYv2Y/edit?usp=sharing"",""งบพรบ!BI14"")"),0)</f>
        <v>0</v>
      </c>
      <c r="G14" s="177">
        <f ca="1">IFERROR(__xludf.DUMMYFUNCTION("IMPORTRANGE(""https://docs.google.com/spreadsheets/d/1-uDff_7J0KD5mKrp0Vvzr7lt3OU09vwQwhkpOPPYv2Y/edit?usp=sharing"",""งบพรบ!BJ14"")"),0)</f>
        <v>0</v>
      </c>
      <c r="H14" s="177">
        <f ca="1">IFERROR(__xludf.DUMMYFUNCTION("IMPORTRANGE(""https://docs.google.com/spreadsheets/d/1-uDff_7J0KD5mKrp0Vvzr7lt3OU09vwQwhkpOPPYv2Y/edit?usp=sharing"",""งบพรบ!BL14"")"),0)</f>
        <v>0</v>
      </c>
      <c r="I14" s="177">
        <f ca="1">IFERROR(__xludf.DUMMYFUNCTION("IMPORTRANGE(""https://docs.google.com/spreadsheets/d/1-uDff_7J0KD5mKrp0Vvzr7lt3OU09vwQwhkpOPPYv2Y/edit?usp=sharing"",""งบพรบ!BM14"")"),0)</f>
        <v>0</v>
      </c>
      <c r="J14" s="177">
        <f t="shared" ca="1" si="26"/>
        <v>0</v>
      </c>
      <c r="K14" s="178">
        <f t="shared" ca="1" si="27"/>
        <v>0</v>
      </c>
      <c r="L14" s="177">
        <f ca="1">IFERROR(__xludf.DUMMYFUNCTION("IMPORTRANGE(""https://docs.google.com/spreadsheets/d/1-uDff_7J0KD5mKrp0Vvzr7lt3OU09vwQwhkpOPPYv2Y/edit?usp=sharing"",""งบพรบ!BN14"")"),0)</f>
        <v>0</v>
      </c>
      <c r="M14" s="87">
        <f t="shared" ca="1" si="28"/>
        <v>0</v>
      </c>
      <c r="N14" s="87">
        <f t="shared" ca="1" si="29"/>
        <v>0</v>
      </c>
      <c r="O14" s="86">
        <f ca="1">IFERROR(__xludf.DUMMYFUNCTION("IMPORTRANGE(""https://docs.google.com/spreadsheets/d/1-uDff_7J0KD5mKrp0Vvzr7lt3OU09vwQwhkpOPPYv2Y/edit?usp=sharing"",""งบพรบ!BO14"")"),0)</f>
        <v>0</v>
      </c>
      <c r="P14" s="86">
        <f t="shared" ca="1" si="30"/>
        <v>0</v>
      </c>
      <c r="Q14" s="87">
        <f t="shared" ca="1" si="31"/>
        <v>0</v>
      </c>
      <c r="R14" s="86">
        <f ca="1">IFERROR(__xludf.DUMMYFUNCTION("IMPORTRANGE(""https://docs.google.com/spreadsheets/d/1jTcq05yEiRwXcBMLjiodW9e4biSGYWAHcDj22rKWQ3s/edit?usp=sharing"",""กำแพงเพชร!Q117"")"),333320)</f>
        <v>333320</v>
      </c>
      <c r="S14" s="86">
        <f ca="1">IFERROR(__xludf.DUMMYFUNCTION("IMPORTRANGE(""https://docs.google.com/spreadsheets/d/1jTcq05yEiRwXcBMLjiodW9e4biSGYWAHcDj22rKWQ3s/edit?usp=sharing"",""กำแพงเพชร!R117"")"),0)</f>
        <v>0</v>
      </c>
      <c r="T14" s="86">
        <f ca="1">IFERROR(__xludf.DUMMYFUNCTION("IMPORTRANGE(""https://docs.google.com/spreadsheets/d/1jTcq05yEiRwXcBMLjiodW9e4biSGYWAHcDj22rKWQ3s/edit?usp=sharing"",""กำแพงเพชร!S117"")"),0)</f>
        <v>0</v>
      </c>
      <c r="U14" s="87">
        <f t="shared" ca="1" si="33"/>
        <v>0</v>
      </c>
      <c r="V14" s="87">
        <f t="shared" ca="1" si="34"/>
        <v>0</v>
      </c>
      <c r="W14" s="81">
        <f ca="1">IFERROR(__xludf.DUMMYFUNCTION("IMPORTRANGE(""https://docs.google.com/spreadsheets/d/1jTcq05yEiRwXcBMLjiodW9e4biSGYWAHcDj22rKWQ3s/edit?usp=sharing"",""กำแพงเพชร!I127"")"),70)</f>
        <v>70</v>
      </c>
      <c r="X14" s="81">
        <f ca="1">IFERROR(__xludf.DUMMYFUNCTION("IMPORTRANGE(""https://docs.google.com/spreadsheets/d/1jTcq05yEiRwXcBMLjiodW9e4biSGYWAHcDj22rKWQ3s/edit?usp=sharing"",""กำแพงเพชร!J127"")"),0)</f>
        <v>0</v>
      </c>
      <c r="Y14" s="177">
        <f t="shared" ca="1" si="36"/>
        <v>0</v>
      </c>
      <c r="Z14" s="81">
        <f ca="1">IFERROR(__xludf.DUMMYFUNCTION("IMPORTRANGE(""https://docs.google.com/spreadsheets/d/1jTcq05yEiRwXcBMLjiodW9e4biSGYWAHcDj22rKWQ3s/edit?usp=sharing"",""กำแพงเพชร!J128"")"),0)</f>
        <v>0</v>
      </c>
      <c r="AA14" s="81">
        <f ca="1">IFERROR(__xludf.DUMMYFUNCTION("IMPORTRANGE(""https://docs.google.com/spreadsheets/d/1jTcq05yEiRwXcBMLjiodW9e4biSGYWAHcDj22rKWQ3s/edit?usp=sharing"",""กำแพงเพชร!I129"")"),20)</f>
        <v>20</v>
      </c>
      <c r="AB14" s="81">
        <f ca="1">IFERROR(__xludf.DUMMYFUNCTION("IMPORTRANGE(""https://docs.google.com/spreadsheets/d/1jTcq05yEiRwXcBMLjiodW9e4biSGYWAHcDj22rKWQ3s/edit?usp=sharing"",""กำแพงเพชร!J129"")"),0)</f>
        <v>0</v>
      </c>
      <c r="AC14" s="177">
        <f t="shared" ca="1" si="38"/>
        <v>0</v>
      </c>
      <c r="AD14" s="177">
        <f ca="1">IFERROR(__xludf.DUMMYFUNCTION("IMPORTRANGE(""https://docs.google.com/spreadsheets/d/1jTcq05yEiRwXcBMLjiodW9e4biSGYWAHcDj22rKWQ3s/edit?usp=sharing"",""กำแพงเพชร!J130"")"),0)</f>
        <v>0</v>
      </c>
      <c r="AE14" s="215">
        <v>0</v>
      </c>
      <c r="AF14" s="215">
        <v>0</v>
      </c>
      <c r="AG14" s="215">
        <v>0</v>
      </c>
    </row>
    <row r="15" spans="1:33" ht="19.5" x14ac:dyDescent="0.3">
      <c r="A15" s="172">
        <v>2</v>
      </c>
      <c r="B15" s="173" t="s">
        <v>41</v>
      </c>
      <c r="C15" s="174">
        <f t="shared" ca="1" si="24"/>
        <v>0</v>
      </c>
      <c r="D15" s="175">
        <f t="shared" ca="1" si="39"/>
        <v>0</v>
      </c>
      <c r="E15" s="176">
        <f ca="1">IFERROR(__xludf.DUMMYFUNCTION("IMPORTRANGE(""https://docs.google.com/spreadsheets/d/1-uDff_7J0KD5mKrp0Vvzr7lt3OU09vwQwhkpOPPYv2Y/edit?usp=sharing"",""งบพรบ!BH15"")"),0)</f>
        <v>0</v>
      </c>
      <c r="F15" s="176">
        <f ca="1">IFERROR(__xludf.DUMMYFUNCTION("IMPORTRANGE(""https://docs.google.com/spreadsheets/d/1-uDff_7J0KD5mKrp0Vvzr7lt3OU09vwQwhkpOPPYv2Y/edit?usp=sharing"",""งบพรบ!BI15"")"),0)</f>
        <v>0</v>
      </c>
      <c r="G15" s="176">
        <f ca="1">IFERROR(__xludf.DUMMYFUNCTION("IMPORTRANGE(""https://docs.google.com/spreadsheets/d/1-uDff_7J0KD5mKrp0Vvzr7lt3OU09vwQwhkpOPPYv2Y/edit?usp=sharing"",""งบพรบ!BJ15"")"),0)</f>
        <v>0</v>
      </c>
      <c r="H15" s="176">
        <f ca="1">IFERROR(__xludf.DUMMYFUNCTION("IMPORTRANGE(""https://docs.google.com/spreadsheets/d/1-uDff_7J0KD5mKrp0Vvzr7lt3OU09vwQwhkpOPPYv2Y/edit?usp=sharing"",""งบพรบ!BL15"")"),0)</f>
        <v>0</v>
      </c>
      <c r="I15" s="176">
        <f ca="1">IFERROR(__xludf.DUMMYFUNCTION("IMPORTRANGE(""https://docs.google.com/spreadsheets/d/1-uDff_7J0KD5mKrp0Vvzr7lt3OU09vwQwhkpOPPYv2Y/edit?usp=sharing"",""งบพรบ!BM15"")"),0)</f>
        <v>0</v>
      </c>
      <c r="J15" s="176">
        <f t="shared" ca="1" si="26"/>
        <v>0</v>
      </c>
      <c r="K15" s="179">
        <f t="shared" ca="1" si="27"/>
        <v>0</v>
      </c>
      <c r="L15" s="176">
        <f ca="1">IFERROR(__xludf.DUMMYFUNCTION("IMPORTRANGE(""https://docs.google.com/spreadsheets/d/1-uDff_7J0KD5mKrp0Vvzr7lt3OU09vwQwhkpOPPYv2Y/edit?usp=sharing"",""งบพรบ!BN15"")"),0)</f>
        <v>0</v>
      </c>
      <c r="M15" s="87">
        <f t="shared" ca="1" si="28"/>
        <v>0</v>
      </c>
      <c r="N15" s="87">
        <f t="shared" ca="1" si="29"/>
        <v>0</v>
      </c>
      <c r="O15" s="86">
        <f ca="1">IFERROR(__xludf.DUMMYFUNCTION("IMPORTRANGE(""https://docs.google.com/spreadsheets/d/1-uDff_7J0KD5mKrp0Vvzr7lt3OU09vwQwhkpOPPYv2Y/edit?usp=sharing"",""งบพรบ!BO15"")"),0)</f>
        <v>0</v>
      </c>
      <c r="P15" s="86">
        <f t="shared" ca="1" si="30"/>
        <v>0</v>
      </c>
      <c r="Q15" s="87">
        <f t="shared" ca="1" si="31"/>
        <v>0</v>
      </c>
      <c r="R15" s="86">
        <f ca="1">IFERROR(__xludf.DUMMYFUNCTION("IMPORTRANGE(""https://docs.google.com/spreadsheets/d/1KS0zmDSZPk8KnTAbGN-Xk6MtX1YRZD0ldgdt20K4CRk/edit?usp=sharing"",""เชียงราย!Q117"")"),308920)</f>
        <v>308920</v>
      </c>
      <c r="S15" s="86">
        <f ca="1">IFERROR(__xludf.DUMMYFUNCTION("IMPORTRANGE(""https://docs.google.com/spreadsheets/d/1KS0zmDSZPk8KnTAbGN-Xk6MtX1YRZD0ldgdt20K4CRk/edit?usp=sharing"",""เชียงราย!R117"")"),0)</f>
        <v>0</v>
      </c>
      <c r="T15" s="86">
        <f ca="1">IFERROR(__xludf.DUMMYFUNCTION("IMPORTRANGE(""https://docs.google.com/spreadsheets/d/1KS0zmDSZPk8KnTAbGN-Xk6MtX1YRZD0ldgdt20K4CRk/edit?usp=sharing"",""เชียงราย!S117"")"),0)</f>
        <v>0</v>
      </c>
      <c r="U15" s="87">
        <f t="shared" ca="1" si="33"/>
        <v>0</v>
      </c>
      <c r="V15" s="87">
        <f t="shared" ca="1" si="34"/>
        <v>0</v>
      </c>
      <c r="W15" s="99">
        <f ca="1">IFERROR(__xludf.DUMMYFUNCTION("IMPORTRANGE(""https://docs.google.com/spreadsheets/d/1KS0zmDSZPk8KnTAbGN-Xk6MtX1YRZD0ldgdt20K4CRk/edit?usp=sharing"",""เชียงราย!I127"")"),60)</f>
        <v>60</v>
      </c>
      <c r="X15" s="99">
        <f ca="1">IFERROR(__xludf.DUMMYFUNCTION("IMPORTRANGE(""https://docs.google.com/spreadsheets/d/1KS0zmDSZPk8KnTAbGN-Xk6MtX1YRZD0ldgdt20K4CRk/edit?usp=sharing"",""เชียงราย!J127"")"),0)</f>
        <v>0</v>
      </c>
      <c r="Y15" s="177">
        <f t="shared" ca="1" si="36"/>
        <v>0</v>
      </c>
      <c r="Z15" s="99">
        <f ca="1">IFERROR(__xludf.DUMMYFUNCTION("IMPORTRANGE(""https://docs.google.com/spreadsheets/d/1KS0zmDSZPk8KnTAbGN-Xk6MtX1YRZD0ldgdt20K4CRk/edit?usp=sharing"",""เชียงราย!J128"")"),0)</f>
        <v>0</v>
      </c>
      <c r="AA15" s="99">
        <f ca="1">IFERROR(__xludf.DUMMYFUNCTION("IMPORTRANGE(""https://docs.google.com/spreadsheets/d/1KS0zmDSZPk8KnTAbGN-Xk6MtX1YRZD0ldgdt20K4CRk/edit?usp=sharing"",""เชียงราย!I129"")"),20)</f>
        <v>20</v>
      </c>
      <c r="AB15" s="99">
        <f ca="1">IFERROR(__xludf.DUMMYFUNCTION("IMPORTRANGE(""https://docs.google.com/spreadsheets/d/1KS0zmDSZPk8KnTAbGN-Xk6MtX1YRZD0ldgdt20K4CRk/edit?usp=sharing"",""เชียงราย!J129"")"),0)</f>
        <v>0</v>
      </c>
      <c r="AC15" s="177">
        <f t="shared" ca="1" si="38"/>
        <v>0</v>
      </c>
      <c r="AD15" s="177">
        <f ca="1">IFERROR(__xludf.DUMMYFUNCTION("IMPORTRANGE(""https://docs.google.com/spreadsheets/d/1KS0zmDSZPk8KnTAbGN-Xk6MtX1YRZD0ldgdt20K4CRk/edit?usp=sharing"",""เชียงราย!J130"")"),0)</f>
        <v>0</v>
      </c>
      <c r="AE15" s="99">
        <v>0</v>
      </c>
      <c r="AF15" s="99">
        <v>0</v>
      </c>
      <c r="AG15" s="99">
        <v>0</v>
      </c>
    </row>
    <row r="16" spans="1:33" ht="19.5" x14ac:dyDescent="0.3">
      <c r="A16" s="172">
        <v>3</v>
      </c>
      <c r="B16" s="173" t="s">
        <v>42</v>
      </c>
      <c r="C16" s="174">
        <f t="shared" ca="1" si="24"/>
        <v>0</v>
      </c>
      <c r="D16" s="175">
        <f t="shared" ca="1" si="39"/>
        <v>0</v>
      </c>
      <c r="E16" s="176">
        <f ca="1">IFERROR(__xludf.DUMMYFUNCTION("IMPORTRANGE(""https://docs.google.com/spreadsheets/d/1-uDff_7J0KD5mKrp0Vvzr7lt3OU09vwQwhkpOPPYv2Y/edit?usp=sharing"",""งบพรบ!BH16"")"),0)</f>
        <v>0</v>
      </c>
      <c r="F16" s="176">
        <f ca="1">IFERROR(__xludf.DUMMYFUNCTION("IMPORTRANGE(""https://docs.google.com/spreadsheets/d/1-uDff_7J0KD5mKrp0Vvzr7lt3OU09vwQwhkpOPPYv2Y/edit?usp=sharing"",""งบพรบ!BI16"")"),0)</f>
        <v>0</v>
      </c>
      <c r="G16" s="176">
        <f ca="1">IFERROR(__xludf.DUMMYFUNCTION("IMPORTRANGE(""https://docs.google.com/spreadsheets/d/1-uDff_7J0KD5mKrp0Vvzr7lt3OU09vwQwhkpOPPYv2Y/edit?usp=sharing"",""งบพรบ!BJ16"")"),0)</f>
        <v>0</v>
      </c>
      <c r="H16" s="176">
        <f ca="1">IFERROR(__xludf.DUMMYFUNCTION("IMPORTRANGE(""https://docs.google.com/spreadsheets/d/1-uDff_7J0KD5mKrp0Vvzr7lt3OU09vwQwhkpOPPYv2Y/edit?usp=sharing"",""งบพรบ!BL16"")"),0)</f>
        <v>0</v>
      </c>
      <c r="I16" s="176">
        <f ca="1">IFERROR(__xludf.DUMMYFUNCTION("IMPORTRANGE(""https://docs.google.com/spreadsheets/d/1-uDff_7J0KD5mKrp0Vvzr7lt3OU09vwQwhkpOPPYv2Y/edit?usp=sharing"",""งบพรบ!BM16"")"),0)</f>
        <v>0</v>
      </c>
      <c r="J16" s="176">
        <f t="shared" ca="1" si="26"/>
        <v>0</v>
      </c>
      <c r="K16" s="179">
        <f t="shared" ca="1" si="27"/>
        <v>0</v>
      </c>
      <c r="L16" s="176">
        <f ca="1">IFERROR(__xludf.DUMMYFUNCTION("IMPORTRANGE(""https://docs.google.com/spreadsheets/d/1-uDff_7J0KD5mKrp0Vvzr7lt3OU09vwQwhkpOPPYv2Y/edit?usp=sharing"",""งบพรบ!BN16"")"),0)</f>
        <v>0</v>
      </c>
      <c r="M16" s="87">
        <f t="shared" ca="1" si="28"/>
        <v>0</v>
      </c>
      <c r="N16" s="87">
        <f t="shared" ca="1" si="29"/>
        <v>0</v>
      </c>
      <c r="O16" s="86">
        <f ca="1">IFERROR(__xludf.DUMMYFUNCTION("IMPORTRANGE(""https://docs.google.com/spreadsheets/d/1-uDff_7J0KD5mKrp0Vvzr7lt3OU09vwQwhkpOPPYv2Y/edit?usp=sharing"",""งบพรบ!BO16"")"),0)</f>
        <v>0</v>
      </c>
      <c r="P16" s="86">
        <f t="shared" ca="1" si="30"/>
        <v>0</v>
      </c>
      <c r="Q16" s="87">
        <f t="shared" ca="1" si="31"/>
        <v>0</v>
      </c>
      <c r="R16" s="86">
        <f ca="1">IFERROR(__xludf.DUMMYFUNCTION("IMPORTRANGE(""https://docs.google.com/spreadsheets/d/1rEDxBtusbi64tE0zunoIbsTVV16HeL0oJ6trHQeQ7K8/edit?usp=sharing"",""เชียงใหม่!Q117"")"),209360)</f>
        <v>209360</v>
      </c>
      <c r="S16" s="86">
        <f ca="1">IFERROR(__xludf.DUMMYFUNCTION("IMPORTRANGE(""https://docs.google.com/spreadsheets/d/1rEDxBtusbi64tE0zunoIbsTVV16HeL0oJ6trHQeQ7K8/edit?usp=sharing"",""เชียงใหม่!R117"")"),0)</f>
        <v>0</v>
      </c>
      <c r="T16" s="86">
        <f ca="1">IFERROR(__xludf.DUMMYFUNCTION("IMPORTRANGE(""https://docs.google.com/spreadsheets/d/1rEDxBtusbi64tE0zunoIbsTVV16HeL0oJ6trHQeQ7K8/edit?usp=sharing"",""เชียงใหม่!S117"")"),19546)</f>
        <v>19546</v>
      </c>
      <c r="U16" s="87">
        <f t="shared" ca="1" si="33"/>
        <v>9.3360718379824235</v>
      </c>
      <c r="V16" s="87">
        <f t="shared" ca="1" si="34"/>
        <v>0</v>
      </c>
      <c r="W16" s="93">
        <f ca="1">IFERROR(__xludf.DUMMYFUNCTION("IMPORTRANGE(""https://docs.google.com/spreadsheets/d/1rEDxBtusbi64tE0zunoIbsTVV16HeL0oJ6trHQeQ7K8/edit?usp=sharing"",""เชียงใหม่!I127"")"),20)</f>
        <v>20</v>
      </c>
      <c r="X16" s="93">
        <f ca="1">IFERROR(__xludf.DUMMYFUNCTION("IMPORTRANGE(""https://docs.google.com/spreadsheets/d/1rEDxBtusbi64tE0zunoIbsTVV16HeL0oJ6trHQeQ7K8/edit?usp=sharing"",""เชียงใหม่!J127"")"),0)</f>
        <v>0</v>
      </c>
      <c r="Y16" s="177">
        <f t="shared" ca="1" si="36"/>
        <v>0</v>
      </c>
      <c r="Z16" s="93">
        <f ca="1">IFERROR(__xludf.DUMMYFUNCTION("IMPORTRANGE(""https://docs.google.com/spreadsheets/d/1rEDxBtusbi64tE0zunoIbsTVV16HeL0oJ6trHQeQ7K8/edit?usp=sharing"",""เชียงใหม่!J128"")"),0)</f>
        <v>0</v>
      </c>
      <c r="AA16" s="93">
        <f ca="1">IFERROR(__xludf.DUMMYFUNCTION("IMPORTRANGE(""https://docs.google.com/spreadsheets/d/1rEDxBtusbi64tE0zunoIbsTVV16HeL0oJ6trHQeQ7K8/edit?usp=sharing"",""เชียงใหม่!I129"")"),20)</f>
        <v>20</v>
      </c>
      <c r="AB16" s="93">
        <f ca="1">IFERROR(__xludf.DUMMYFUNCTION("IMPORTRANGE(""https://docs.google.com/spreadsheets/d/1rEDxBtusbi64tE0zunoIbsTVV16HeL0oJ6trHQeQ7K8/edit?usp=sharing"",""เชียงใหม่!J129"")"),0)</f>
        <v>0</v>
      </c>
      <c r="AC16" s="177">
        <f t="shared" ca="1" si="38"/>
        <v>0</v>
      </c>
      <c r="AD16" s="177">
        <f ca="1">IFERROR(__xludf.DUMMYFUNCTION("IMPORTRANGE(""https://docs.google.com/spreadsheets/d/1rEDxBtusbi64tE0zunoIbsTVV16HeL0oJ6trHQeQ7K8/edit?usp=sharing"",""เชียงใหม่!J130"")"),0)</f>
        <v>0</v>
      </c>
      <c r="AE16" s="216">
        <v>0</v>
      </c>
      <c r="AF16" s="216">
        <v>0</v>
      </c>
      <c r="AG16" s="216">
        <v>0</v>
      </c>
    </row>
    <row r="17" spans="1:33" ht="19.5" x14ac:dyDescent="0.3">
      <c r="A17" s="172">
        <v>4</v>
      </c>
      <c r="B17" s="173" t="s">
        <v>43</v>
      </c>
      <c r="C17" s="174">
        <f t="shared" ca="1" si="24"/>
        <v>0</v>
      </c>
      <c r="D17" s="175">
        <f t="shared" ca="1" si="39"/>
        <v>0</v>
      </c>
      <c r="E17" s="176">
        <f ca="1">IFERROR(__xludf.DUMMYFUNCTION("IMPORTRANGE(""https://docs.google.com/spreadsheets/d/1-uDff_7J0KD5mKrp0Vvzr7lt3OU09vwQwhkpOPPYv2Y/edit?usp=sharing"",""งบพรบ!BH17"")"),0)</f>
        <v>0</v>
      </c>
      <c r="F17" s="176">
        <f ca="1">IFERROR(__xludf.DUMMYFUNCTION("IMPORTRANGE(""https://docs.google.com/spreadsheets/d/1-uDff_7J0KD5mKrp0Vvzr7lt3OU09vwQwhkpOPPYv2Y/edit?usp=sharing"",""งบพรบ!BI17"")"),0)</f>
        <v>0</v>
      </c>
      <c r="G17" s="176">
        <f ca="1">IFERROR(__xludf.DUMMYFUNCTION("IMPORTRANGE(""https://docs.google.com/spreadsheets/d/1-uDff_7J0KD5mKrp0Vvzr7lt3OU09vwQwhkpOPPYv2Y/edit?usp=sharing"",""งบพรบ!BJ17"")"),0)</f>
        <v>0</v>
      </c>
      <c r="H17" s="176">
        <f ca="1">IFERROR(__xludf.DUMMYFUNCTION("IMPORTRANGE(""https://docs.google.com/spreadsheets/d/1-uDff_7J0KD5mKrp0Vvzr7lt3OU09vwQwhkpOPPYv2Y/edit?usp=sharing"",""งบพรบ!BL17"")"),0)</f>
        <v>0</v>
      </c>
      <c r="I17" s="176">
        <f ca="1">IFERROR(__xludf.DUMMYFUNCTION("IMPORTRANGE(""https://docs.google.com/spreadsheets/d/1-uDff_7J0KD5mKrp0Vvzr7lt3OU09vwQwhkpOPPYv2Y/edit?usp=sharing"",""งบพรบ!BM17"")"),0)</f>
        <v>0</v>
      </c>
      <c r="J17" s="176">
        <f t="shared" ca="1" si="26"/>
        <v>0</v>
      </c>
      <c r="K17" s="179">
        <f t="shared" ca="1" si="27"/>
        <v>0</v>
      </c>
      <c r="L17" s="176">
        <f ca="1">IFERROR(__xludf.DUMMYFUNCTION("IMPORTRANGE(""https://docs.google.com/spreadsheets/d/1-uDff_7J0KD5mKrp0Vvzr7lt3OU09vwQwhkpOPPYv2Y/edit?usp=sharing"",""งบพรบ!BN17"")"),0)</f>
        <v>0</v>
      </c>
      <c r="M17" s="87">
        <f t="shared" ca="1" si="28"/>
        <v>0</v>
      </c>
      <c r="N17" s="87">
        <f t="shared" ca="1" si="29"/>
        <v>0</v>
      </c>
      <c r="O17" s="86">
        <f ca="1">IFERROR(__xludf.DUMMYFUNCTION("IMPORTRANGE(""https://docs.google.com/spreadsheets/d/1-uDff_7J0KD5mKrp0Vvzr7lt3OU09vwQwhkpOPPYv2Y/edit?usp=sharing"",""งบพรบ!BO17"")"),0)</f>
        <v>0</v>
      </c>
      <c r="P17" s="86">
        <f t="shared" ca="1" si="30"/>
        <v>0</v>
      </c>
      <c r="Q17" s="87">
        <f t="shared" ca="1" si="31"/>
        <v>0</v>
      </c>
      <c r="R17" s="86">
        <f ca="1">IFERROR(__xludf.DUMMYFUNCTION("IMPORTRANGE(""https://docs.google.com/spreadsheets/d/1W6MnUbDkMi6xHnHko_XkFDO9kkuL6Wqyc-6OCDFjW9I/edit?usp=sharing"",""ตาก!Q117"")"),211520)</f>
        <v>211520</v>
      </c>
      <c r="S17" s="86">
        <f ca="1">IFERROR(__xludf.DUMMYFUNCTION("IMPORTRANGE(""https://docs.google.com/spreadsheets/d/1W6MnUbDkMi6xHnHko_XkFDO9kkuL6Wqyc-6OCDFjW9I/edit?usp=sharing"",""ตาก!R117"")"),0)</f>
        <v>0</v>
      </c>
      <c r="T17" s="86">
        <f ca="1">IFERROR(__xludf.DUMMYFUNCTION("IMPORTRANGE(""https://docs.google.com/spreadsheets/d/1W6MnUbDkMi6xHnHko_XkFDO9kkuL6Wqyc-6OCDFjW9I/edit?usp=sharing"",""ตาก!S117"")"),0)</f>
        <v>0</v>
      </c>
      <c r="U17" s="87">
        <f t="shared" ca="1" si="33"/>
        <v>0</v>
      </c>
      <c r="V17" s="87">
        <f t="shared" ca="1" si="34"/>
        <v>0</v>
      </c>
      <c r="W17" s="93">
        <f ca="1">IFERROR(__xludf.DUMMYFUNCTION("IMPORTRANGE(""https://docs.google.com/spreadsheets/d/1W6MnUbDkMi6xHnHko_XkFDO9kkuL6Wqyc-6OCDFjW9I/edit?usp=sharing"",""ตาก!I127"")"),20)</f>
        <v>20</v>
      </c>
      <c r="X17" s="93">
        <f ca="1">IFERROR(__xludf.DUMMYFUNCTION("IMPORTRANGE(""https://docs.google.com/spreadsheets/d/1W6MnUbDkMi6xHnHko_XkFDO9kkuL6Wqyc-6OCDFjW9I/edit?usp=sharing"",""ตาก!J127"")"),20)</f>
        <v>20</v>
      </c>
      <c r="Y17" s="177">
        <f t="shared" ca="1" si="36"/>
        <v>100</v>
      </c>
      <c r="Z17" s="93">
        <f ca="1">IFERROR(__xludf.DUMMYFUNCTION("IMPORTRANGE(""https://docs.google.com/spreadsheets/d/1W6MnUbDkMi6xHnHko_XkFDO9kkuL6Wqyc-6OCDFjW9I/edit?usp=sharing"",""ตาก!J128"")"),2)</f>
        <v>2</v>
      </c>
      <c r="AA17" s="93">
        <f ca="1">IFERROR(__xludf.DUMMYFUNCTION("IMPORTRANGE(""https://docs.google.com/spreadsheets/d/1W6MnUbDkMi6xHnHko_XkFDO9kkuL6Wqyc-6OCDFjW9I/edit?usp=sharing"",""ตาก!I129"")"),20)</f>
        <v>20</v>
      </c>
      <c r="AB17" s="93">
        <f ca="1">IFERROR(__xludf.DUMMYFUNCTION("IMPORTRANGE(""https://docs.google.com/spreadsheets/d/1W6MnUbDkMi6xHnHko_XkFDO9kkuL6Wqyc-6OCDFjW9I/edit?usp=sharing"",""ตาก!J129"")"),0)</f>
        <v>0</v>
      </c>
      <c r="AC17" s="177">
        <f t="shared" ca="1" si="38"/>
        <v>0</v>
      </c>
      <c r="AD17" s="177">
        <f ca="1">IFERROR(__xludf.DUMMYFUNCTION("IMPORTRANGE(""https://docs.google.com/spreadsheets/d/1W6MnUbDkMi6xHnHko_XkFDO9kkuL6Wqyc-6OCDFjW9I/edit?usp=sharing"",""ตาก!J130"")"),0)</f>
        <v>0</v>
      </c>
      <c r="AE17" s="216">
        <v>0</v>
      </c>
      <c r="AF17" s="216">
        <v>0</v>
      </c>
      <c r="AG17" s="216">
        <v>0</v>
      </c>
    </row>
    <row r="18" spans="1:33" ht="19.5" x14ac:dyDescent="0.3">
      <c r="A18" s="172">
        <v>5</v>
      </c>
      <c r="B18" s="173" t="s">
        <v>44</v>
      </c>
      <c r="C18" s="174">
        <f t="shared" ca="1" si="24"/>
        <v>0</v>
      </c>
      <c r="D18" s="175">
        <f t="shared" ca="1" si="39"/>
        <v>0</v>
      </c>
      <c r="E18" s="176">
        <f ca="1">IFERROR(__xludf.DUMMYFUNCTION("IMPORTRANGE(""https://docs.google.com/spreadsheets/d/1-uDff_7J0KD5mKrp0Vvzr7lt3OU09vwQwhkpOPPYv2Y/edit?usp=sharing"",""งบพรบ!BH18"")"),0)</f>
        <v>0</v>
      </c>
      <c r="F18" s="176">
        <f ca="1">IFERROR(__xludf.DUMMYFUNCTION("IMPORTRANGE(""https://docs.google.com/spreadsheets/d/1-uDff_7J0KD5mKrp0Vvzr7lt3OU09vwQwhkpOPPYv2Y/edit?usp=sharing"",""งบพรบ!BI18"")"),0)</f>
        <v>0</v>
      </c>
      <c r="G18" s="176">
        <f ca="1">IFERROR(__xludf.DUMMYFUNCTION("IMPORTRANGE(""https://docs.google.com/spreadsheets/d/1-uDff_7J0KD5mKrp0Vvzr7lt3OU09vwQwhkpOPPYv2Y/edit?usp=sharing"",""งบพรบ!BJ18"")"),0)</f>
        <v>0</v>
      </c>
      <c r="H18" s="176">
        <f ca="1">IFERROR(__xludf.DUMMYFUNCTION("IMPORTRANGE(""https://docs.google.com/spreadsheets/d/1-uDff_7J0KD5mKrp0Vvzr7lt3OU09vwQwhkpOPPYv2Y/edit?usp=sharing"",""งบพรบ!BL18"")"),0)</f>
        <v>0</v>
      </c>
      <c r="I18" s="176">
        <f ca="1">IFERROR(__xludf.DUMMYFUNCTION("IMPORTRANGE(""https://docs.google.com/spreadsheets/d/1-uDff_7J0KD5mKrp0Vvzr7lt3OU09vwQwhkpOPPYv2Y/edit?usp=sharing"",""งบพรบ!BM18"")"),0)</f>
        <v>0</v>
      </c>
      <c r="J18" s="176">
        <f t="shared" ca="1" si="26"/>
        <v>0</v>
      </c>
      <c r="K18" s="179">
        <f t="shared" ca="1" si="27"/>
        <v>0</v>
      </c>
      <c r="L18" s="176">
        <f ca="1">IFERROR(__xludf.DUMMYFUNCTION("IMPORTRANGE(""https://docs.google.com/spreadsheets/d/1-uDff_7J0KD5mKrp0Vvzr7lt3OU09vwQwhkpOPPYv2Y/edit?usp=sharing"",""งบพรบ!BN18"")"),0)</f>
        <v>0</v>
      </c>
      <c r="M18" s="87">
        <f t="shared" ca="1" si="28"/>
        <v>0</v>
      </c>
      <c r="N18" s="87">
        <f t="shared" ca="1" si="29"/>
        <v>0</v>
      </c>
      <c r="O18" s="86">
        <f ca="1">IFERROR(__xludf.DUMMYFUNCTION("IMPORTRANGE(""https://docs.google.com/spreadsheets/d/1-uDff_7J0KD5mKrp0Vvzr7lt3OU09vwQwhkpOPPYv2Y/edit?usp=sharing"",""งบพรบ!BO18"")"),0)</f>
        <v>0</v>
      </c>
      <c r="P18" s="86">
        <f t="shared" ca="1" si="30"/>
        <v>0</v>
      </c>
      <c r="Q18" s="87">
        <f t="shared" ca="1" si="31"/>
        <v>0</v>
      </c>
      <c r="R18" s="86">
        <f ca="1">IFERROR(__xludf.DUMMYFUNCTION("IMPORTRANGE(""https://docs.google.com/spreadsheets/d/1IQAWArduLkta9LpYo4a_ULsyqdta6-6aDDiwpUnQT6c/edit?usp=sharing"",""นครสวรรค์!Q117"")"),408480)</f>
        <v>408480</v>
      </c>
      <c r="S18" s="86">
        <f ca="1">IFERROR(__xludf.DUMMYFUNCTION("IMPORTRANGE(""https://docs.google.com/spreadsheets/d/1IQAWArduLkta9LpYo4a_ULsyqdta6-6aDDiwpUnQT6c/edit?usp=sharing"",""นครสวรรค์!R117"")"),0)</f>
        <v>0</v>
      </c>
      <c r="T18" s="86">
        <f ca="1">IFERROR(__xludf.DUMMYFUNCTION("IMPORTRANGE(""https://docs.google.com/spreadsheets/d/1IQAWArduLkta9LpYo4a_ULsyqdta6-6aDDiwpUnQT6c/edit?usp=sharing"",""นครสวรรค์!S117"")"),0)</f>
        <v>0</v>
      </c>
      <c r="U18" s="87">
        <f t="shared" ca="1" si="33"/>
        <v>0</v>
      </c>
      <c r="V18" s="87">
        <f t="shared" ca="1" si="34"/>
        <v>0</v>
      </c>
      <c r="W18" s="93">
        <f ca="1">IFERROR(__xludf.DUMMYFUNCTION("IMPORTRANGE(""https://docs.google.com/spreadsheets/d/1IQAWArduLkta9LpYo4a_ULsyqdta6-6aDDiwpUnQT6c/edit?usp=sharing"",""นครสวรรค์!I127"")"),100)</f>
        <v>100</v>
      </c>
      <c r="X18" s="93">
        <f ca="1">IFERROR(__xludf.DUMMYFUNCTION("IMPORTRANGE(""https://docs.google.com/spreadsheets/d/1IQAWArduLkta9LpYo4a_ULsyqdta6-6aDDiwpUnQT6c/edit?usp=sharing"",""นครสวรรค์!J127"")"),0)</f>
        <v>0</v>
      </c>
      <c r="Y18" s="177">
        <f t="shared" ca="1" si="36"/>
        <v>0</v>
      </c>
      <c r="Z18" s="93">
        <f ca="1">IFERROR(__xludf.DUMMYFUNCTION("IMPORTRANGE(""https://docs.google.com/spreadsheets/d/1IQAWArduLkta9LpYo4a_ULsyqdta6-6aDDiwpUnQT6c/edit?usp=sharing"",""นครสวรรค์!J128"")"),0)</f>
        <v>0</v>
      </c>
      <c r="AA18" s="93">
        <f ca="1">IFERROR(__xludf.DUMMYFUNCTION("IMPORTRANGE(""https://docs.google.com/spreadsheets/d/1IQAWArduLkta9LpYo4a_ULsyqdta6-6aDDiwpUnQT6c/edit?usp=sharing"",""นครสวรรค์!I129"")"),20)</f>
        <v>20</v>
      </c>
      <c r="AB18" s="93">
        <f ca="1">IFERROR(__xludf.DUMMYFUNCTION("IMPORTRANGE(""https://docs.google.com/spreadsheets/d/1IQAWArduLkta9LpYo4a_ULsyqdta6-6aDDiwpUnQT6c/edit?usp=sharing"",""นครสวรรค์!J129"")"),0)</f>
        <v>0</v>
      </c>
      <c r="AC18" s="177">
        <f t="shared" ca="1" si="38"/>
        <v>0</v>
      </c>
      <c r="AD18" s="177">
        <f ca="1">IFERROR(__xludf.DUMMYFUNCTION("IMPORTRANGE(""https://docs.google.com/spreadsheets/d/1IQAWArduLkta9LpYo4a_ULsyqdta6-6aDDiwpUnQT6c/edit?usp=sharing"",""นครสวรรค์!J130"")"),0)</f>
        <v>0</v>
      </c>
      <c r="AE18" s="216">
        <v>0</v>
      </c>
      <c r="AF18" s="216">
        <v>0</v>
      </c>
      <c r="AG18" s="216">
        <v>0</v>
      </c>
    </row>
    <row r="19" spans="1:33" ht="19.5" x14ac:dyDescent="0.3">
      <c r="A19" s="172">
        <v>6</v>
      </c>
      <c r="B19" s="173" t="s">
        <v>45</v>
      </c>
      <c r="C19" s="174">
        <f t="shared" ca="1" si="24"/>
        <v>0</v>
      </c>
      <c r="D19" s="175">
        <f t="shared" ca="1" si="39"/>
        <v>0</v>
      </c>
      <c r="E19" s="176">
        <f ca="1">IFERROR(__xludf.DUMMYFUNCTION("IMPORTRANGE(""https://docs.google.com/spreadsheets/d/1-uDff_7J0KD5mKrp0Vvzr7lt3OU09vwQwhkpOPPYv2Y/edit?usp=sharing"",""งบพรบ!BH19"")"),0)</f>
        <v>0</v>
      </c>
      <c r="F19" s="176">
        <f ca="1">IFERROR(__xludf.DUMMYFUNCTION("IMPORTRANGE(""https://docs.google.com/spreadsheets/d/1-uDff_7J0KD5mKrp0Vvzr7lt3OU09vwQwhkpOPPYv2Y/edit?usp=sharing"",""งบพรบ!BI19"")"),0)</f>
        <v>0</v>
      </c>
      <c r="G19" s="176">
        <f ca="1">IFERROR(__xludf.DUMMYFUNCTION("IMPORTRANGE(""https://docs.google.com/spreadsheets/d/1-uDff_7J0KD5mKrp0Vvzr7lt3OU09vwQwhkpOPPYv2Y/edit?usp=sharing"",""งบพรบ!BJ19"")"),0)</f>
        <v>0</v>
      </c>
      <c r="H19" s="176">
        <f ca="1">IFERROR(__xludf.DUMMYFUNCTION("IMPORTRANGE(""https://docs.google.com/spreadsheets/d/1-uDff_7J0KD5mKrp0Vvzr7lt3OU09vwQwhkpOPPYv2Y/edit?usp=sharing"",""งบพรบ!BL19"")"),0)</f>
        <v>0</v>
      </c>
      <c r="I19" s="176">
        <f ca="1">IFERROR(__xludf.DUMMYFUNCTION("IMPORTRANGE(""https://docs.google.com/spreadsheets/d/1-uDff_7J0KD5mKrp0Vvzr7lt3OU09vwQwhkpOPPYv2Y/edit?usp=sharing"",""งบพรบ!BM19"")"),0)</f>
        <v>0</v>
      </c>
      <c r="J19" s="176">
        <f t="shared" ca="1" si="26"/>
        <v>0</v>
      </c>
      <c r="K19" s="179">
        <f t="shared" ca="1" si="27"/>
        <v>0</v>
      </c>
      <c r="L19" s="176">
        <f ca="1">IFERROR(__xludf.DUMMYFUNCTION("IMPORTRANGE(""https://docs.google.com/spreadsheets/d/1-uDff_7J0KD5mKrp0Vvzr7lt3OU09vwQwhkpOPPYv2Y/edit?usp=sharing"",""งบพรบ!BN19"")"),0)</f>
        <v>0</v>
      </c>
      <c r="M19" s="87">
        <f t="shared" ca="1" si="28"/>
        <v>0</v>
      </c>
      <c r="N19" s="87">
        <f t="shared" ca="1" si="29"/>
        <v>0</v>
      </c>
      <c r="O19" s="86">
        <f ca="1">IFERROR(__xludf.DUMMYFUNCTION("IMPORTRANGE(""https://docs.google.com/spreadsheets/d/1-uDff_7J0KD5mKrp0Vvzr7lt3OU09vwQwhkpOPPYv2Y/edit?usp=sharing"",""งบพรบ!BO19"")"),0)</f>
        <v>0</v>
      </c>
      <c r="P19" s="86">
        <f t="shared" ca="1" si="30"/>
        <v>0</v>
      </c>
      <c r="Q19" s="87">
        <f t="shared" ca="1" si="31"/>
        <v>0</v>
      </c>
      <c r="R19" s="86">
        <f ca="1">IFERROR(__xludf.DUMMYFUNCTION("IMPORTRANGE(""https://docs.google.com/spreadsheets/d/10s13Sk5xrltsiR-Zkbmk5DwIaDIKO8XlbJAfqyT7Gvg/edit?usp=sharing"",""น่าน!Q117"")"),2605520)</f>
        <v>2605520</v>
      </c>
      <c r="S19" s="86">
        <f ca="1">IFERROR(__xludf.DUMMYFUNCTION("IMPORTRANGE(""https://docs.google.com/spreadsheets/d/10s13Sk5xrltsiR-Zkbmk5DwIaDIKO8XlbJAfqyT7Gvg/edit?usp=sharing"",""น่าน!R117"")"),0)</f>
        <v>0</v>
      </c>
      <c r="T19" s="86">
        <f ca="1">IFERROR(__xludf.DUMMYFUNCTION("IMPORTRANGE(""https://docs.google.com/spreadsheets/d/10s13Sk5xrltsiR-Zkbmk5DwIaDIKO8XlbJAfqyT7Gvg/edit?usp=sharing"",""น่าน!S117"")"),0)</f>
        <v>0</v>
      </c>
      <c r="U19" s="87">
        <f t="shared" ca="1" si="33"/>
        <v>0</v>
      </c>
      <c r="V19" s="87">
        <f t="shared" ca="1" si="34"/>
        <v>0</v>
      </c>
      <c r="W19" s="93">
        <f ca="1">IFERROR(__xludf.DUMMYFUNCTION("IMPORTRANGE(""https://docs.google.com/spreadsheets/d/10s13Sk5xrltsiR-Zkbmk5DwIaDIKO8XlbJAfqyT7Gvg/edit?usp=sharing"",""น่าน!I127"")"),50)</f>
        <v>50</v>
      </c>
      <c r="X19" s="93">
        <f ca="1">IFERROR(__xludf.DUMMYFUNCTION("IMPORTRANGE(""https://docs.google.com/spreadsheets/d/10s13Sk5xrltsiR-Zkbmk5DwIaDIKO8XlbJAfqyT7Gvg/edit?usp=sharing"",""น่าน!J127"")"),0)</f>
        <v>0</v>
      </c>
      <c r="Y19" s="177">
        <f t="shared" ca="1" si="36"/>
        <v>0</v>
      </c>
      <c r="Z19" s="93">
        <f ca="1">IFERROR(__xludf.DUMMYFUNCTION("IMPORTRANGE(""https://docs.google.com/spreadsheets/d/10s13Sk5xrltsiR-Zkbmk5DwIaDIKO8XlbJAfqyT7Gvg/edit?usp=sharing"",""น่าน!J128"")"),0)</f>
        <v>0</v>
      </c>
      <c r="AA19" s="93">
        <f ca="1">IFERROR(__xludf.DUMMYFUNCTION("IMPORTRANGE(""https://docs.google.com/spreadsheets/d/10s13Sk5xrltsiR-Zkbmk5DwIaDIKO8XlbJAfqyT7Gvg/edit?usp=sharing"",""น่าน!I129"")"),20)</f>
        <v>20</v>
      </c>
      <c r="AB19" s="93">
        <f ca="1">IFERROR(__xludf.DUMMYFUNCTION("IMPORTRANGE(""https://docs.google.com/spreadsheets/d/10s13Sk5xrltsiR-Zkbmk5DwIaDIKO8XlbJAfqyT7Gvg/edit?usp=sharing"",""น่าน!J129"")"),0)</f>
        <v>0</v>
      </c>
      <c r="AC19" s="177">
        <f t="shared" ca="1" si="38"/>
        <v>0</v>
      </c>
      <c r="AD19" s="177">
        <f ca="1">IFERROR(__xludf.DUMMYFUNCTION("IMPORTRANGE(""https://docs.google.com/spreadsheets/d/10s13Sk5xrltsiR-Zkbmk5DwIaDIKO8XlbJAfqyT7Gvg/edit?usp=sharing"",""น่าน!J130"")"),0)</f>
        <v>0</v>
      </c>
      <c r="AE19" s="216">
        <v>0</v>
      </c>
      <c r="AF19" s="216">
        <v>0</v>
      </c>
      <c r="AG19" s="216">
        <v>0</v>
      </c>
    </row>
    <row r="20" spans="1:33" ht="19.5" x14ac:dyDescent="0.3">
      <c r="A20" s="172">
        <v>7</v>
      </c>
      <c r="B20" s="173" t="s">
        <v>46</v>
      </c>
      <c r="C20" s="174">
        <f t="shared" ca="1" si="24"/>
        <v>0</v>
      </c>
      <c r="D20" s="175">
        <f t="shared" ca="1" si="39"/>
        <v>0</v>
      </c>
      <c r="E20" s="176">
        <f ca="1">IFERROR(__xludf.DUMMYFUNCTION("IMPORTRANGE(""https://docs.google.com/spreadsheets/d/1-uDff_7J0KD5mKrp0Vvzr7lt3OU09vwQwhkpOPPYv2Y/edit?usp=sharing"",""งบพรบ!BH20"")"),0)</f>
        <v>0</v>
      </c>
      <c r="F20" s="176">
        <f ca="1">IFERROR(__xludf.DUMMYFUNCTION("IMPORTRANGE(""https://docs.google.com/spreadsheets/d/1-uDff_7J0KD5mKrp0Vvzr7lt3OU09vwQwhkpOPPYv2Y/edit?usp=sharing"",""งบพรบ!BI20"")"),0)</f>
        <v>0</v>
      </c>
      <c r="G20" s="176">
        <f ca="1">IFERROR(__xludf.DUMMYFUNCTION("IMPORTRANGE(""https://docs.google.com/spreadsheets/d/1-uDff_7J0KD5mKrp0Vvzr7lt3OU09vwQwhkpOPPYv2Y/edit?usp=sharing"",""งบพรบ!BJ20"")"),0)</f>
        <v>0</v>
      </c>
      <c r="H20" s="176">
        <f ca="1">IFERROR(__xludf.DUMMYFUNCTION("IMPORTRANGE(""https://docs.google.com/spreadsheets/d/1-uDff_7J0KD5mKrp0Vvzr7lt3OU09vwQwhkpOPPYv2Y/edit?usp=sharing"",""งบพรบ!BL20"")"),0)</f>
        <v>0</v>
      </c>
      <c r="I20" s="176">
        <f ca="1">IFERROR(__xludf.DUMMYFUNCTION("IMPORTRANGE(""https://docs.google.com/spreadsheets/d/1-uDff_7J0KD5mKrp0Vvzr7lt3OU09vwQwhkpOPPYv2Y/edit?usp=sharing"",""งบพรบ!BM20"")"),0)</f>
        <v>0</v>
      </c>
      <c r="J20" s="176">
        <f t="shared" ca="1" si="26"/>
        <v>0</v>
      </c>
      <c r="K20" s="179">
        <f t="shared" ca="1" si="27"/>
        <v>0</v>
      </c>
      <c r="L20" s="176">
        <f ca="1">IFERROR(__xludf.DUMMYFUNCTION("IMPORTRANGE(""https://docs.google.com/spreadsheets/d/1-uDff_7J0KD5mKrp0Vvzr7lt3OU09vwQwhkpOPPYv2Y/edit?usp=sharing"",""งบพรบ!BN20"")"),0)</f>
        <v>0</v>
      </c>
      <c r="M20" s="87">
        <f t="shared" ca="1" si="28"/>
        <v>0</v>
      </c>
      <c r="N20" s="87">
        <f t="shared" ca="1" si="29"/>
        <v>0</v>
      </c>
      <c r="O20" s="86">
        <f ca="1">IFERROR(__xludf.DUMMYFUNCTION("IMPORTRANGE(""https://docs.google.com/spreadsheets/d/1-uDff_7J0KD5mKrp0Vvzr7lt3OU09vwQwhkpOPPYv2Y/edit?usp=sharing"",""งบพรบ!BO20"")"),0)</f>
        <v>0</v>
      </c>
      <c r="P20" s="86">
        <f t="shared" ca="1" si="30"/>
        <v>0</v>
      </c>
      <c r="Q20" s="87">
        <f t="shared" ca="1" si="31"/>
        <v>0</v>
      </c>
      <c r="R20" s="86">
        <f ca="1">IFERROR(__xludf.DUMMYFUNCTION("IMPORTRANGE(""https://docs.google.com/spreadsheets/d/1uu4nAn4Dbi1XREnLKKotUANlKXa7yCgRcgq8HEzQYW8/edit?usp=sharing"",""พะเยา!Q117"")"),322280)</f>
        <v>322280</v>
      </c>
      <c r="S20" s="86">
        <f ca="1">IFERROR(__xludf.DUMMYFUNCTION("IMPORTRANGE(""https://docs.google.com/spreadsheets/d/1uu4nAn4Dbi1XREnLKKotUANlKXa7yCgRcgq8HEzQYW8/edit?usp=sharing"",""พะเยา!R117"")"),0)</f>
        <v>0</v>
      </c>
      <c r="T20" s="86">
        <f ca="1">IFERROR(__xludf.DUMMYFUNCTION("IMPORTRANGE(""https://docs.google.com/spreadsheets/d/1uu4nAn4Dbi1XREnLKKotUANlKXa7yCgRcgq8HEzQYW8/edit?usp=sharing"",""พะเยา!S117"")"),0)</f>
        <v>0</v>
      </c>
      <c r="U20" s="87">
        <f t="shared" ca="1" si="33"/>
        <v>0</v>
      </c>
      <c r="V20" s="87">
        <f t="shared" ca="1" si="34"/>
        <v>0</v>
      </c>
      <c r="W20" s="93">
        <f ca="1">IFERROR(__xludf.DUMMYFUNCTION("IMPORTRANGE(""https://docs.google.com/spreadsheets/d/1uu4nAn4Dbi1XREnLKKotUANlKXa7yCgRcgq8HEzQYW8/edit?usp=sharing"",""พะเยา!I127"")"),60)</f>
        <v>60</v>
      </c>
      <c r="X20" s="93">
        <f ca="1">IFERROR(__xludf.DUMMYFUNCTION("IMPORTRANGE(""https://docs.google.com/spreadsheets/d/1uu4nAn4Dbi1XREnLKKotUANlKXa7yCgRcgq8HEzQYW8/edit?usp=sharing"",""พะเยา!J127"")"),0)</f>
        <v>0</v>
      </c>
      <c r="Y20" s="177">
        <f t="shared" ca="1" si="36"/>
        <v>0</v>
      </c>
      <c r="Z20" s="93">
        <f ca="1">IFERROR(__xludf.DUMMYFUNCTION("IMPORTRANGE(""https://docs.google.com/spreadsheets/d/1uu4nAn4Dbi1XREnLKKotUANlKXa7yCgRcgq8HEzQYW8/edit?usp=sharing"",""พะเยา!J128"")"),0)</f>
        <v>0</v>
      </c>
      <c r="AA20" s="93">
        <f ca="1">IFERROR(__xludf.DUMMYFUNCTION("IMPORTRANGE(""https://docs.google.com/spreadsheets/d/1uu4nAn4Dbi1XREnLKKotUANlKXa7yCgRcgq8HEzQYW8/edit?usp=sharing"",""พะเยา!I129"")"),30)</f>
        <v>30</v>
      </c>
      <c r="AB20" s="93">
        <f ca="1">IFERROR(__xludf.DUMMYFUNCTION("IMPORTRANGE(""https://docs.google.com/spreadsheets/d/1uu4nAn4Dbi1XREnLKKotUANlKXa7yCgRcgq8HEzQYW8/edit?usp=sharing"",""พะเยา!J129"")"),0)</f>
        <v>0</v>
      </c>
      <c r="AC20" s="177">
        <f t="shared" ca="1" si="38"/>
        <v>0</v>
      </c>
      <c r="AD20" s="177">
        <f ca="1">IFERROR(__xludf.DUMMYFUNCTION("IMPORTRANGE(""https://docs.google.com/spreadsheets/d/1uu4nAn4Dbi1XREnLKKotUANlKXa7yCgRcgq8HEzQYW8/edit?usp=sharing"",""พะเยา!J130"")"),0)</f>
        <v>0</v>
      </c>
      <c r="AE20" s="216">
        <v>0</v>
      </c>
      <c r="AF20" s="216">
        <v>0</v>
      </c>
      <c r="AG20" s="216">
        <v>0</v>
      </c>
    </row>
    <row r="21" spans="1:33" ht="19.5" x14ac:dyDescent="0.3">
      <c r="A21" s="172">
        <v>8</v>
      </c>
      <c r="B21" s="173" t="s">
        <v>47</v>
      </c>
      <c r="C21" s="174">
        <f t="shared" ca="1" si="24"/>
        <v>0</v>
      </c>
      <c r="D21" s="175">
        <f t="shared" ca="1" si="39"/>
        <v>0</v>
      </c>
      <c r="E21" s="176">
        <f ca="1">IFERROR(__xludf.DUMMYFUNCTION("IMPORTRANGE(""https://docs.google.com/spreadsheets/d/1-uDff_7J0KD5mKrp0Vvzr7lt3OU09vwQwhkpOPPYv2Y/edit?usp=sharing"",""งบพรบ!BH21"")"),0)</f>
        <v>0</v>
      </c>
      <c r="F21" s="176">
        <f ca="1">IFERROR(__xludf.DUMMYFUNCTION("IMPORTRANGE(""https://docs.google.com/spreadsheets/d/1-uDff_7J0KD5mKrp0Vvzr7lt3OU09vwQwhkpOPPYv2Y/edit?usp=sharing"",""งบพรบ!BI21"")"),0)</f>
        <v>0</v>
      </c>
      <c r="G21" s="176">
        <f ca="1">IFERROR(__xludf.DUMMYFUNCTION("IMPORTRANGE(""https://docs.google.com/spreadsheets/d/1-uDff_7J0KD5mKrp0Vvzr7lt3OU09vwQwhkpOPPYv2Y/edit?usp=sharing"",""งบพรบ!BJ21"")"),0)</f>
        <v>0</v>
      </c>
      <c r="H21" s="176">
        <f ca="1">IFERROR(__xludf.DUMMYFUNCTION("IMPORTRANGE(""https://docs.google.com/spreadsheets/d/1-uDff_7J0KD5mKrp0Vvzr7lt3OU09vwQwhkpOPPYv2Y/edit?usp=sharing"",""งบพรบ!BL21"")"),0)</f>
        <v>0</v>
      </c>
      <c r="I21" s="176">
        <f ca="1">IFERROR(__xludf.DUMMYFUNCTION("IMPORTRANGE(""https://docs.google.com/spreadsheets/d/1-uDff_7J0KD5mKrp0Vvzr7lt3OU09vwQwhkpOPPYv2Y/edit?usp=sharing"",""งบพรบ!BM21"")"),0)</f>
        <v>0</v>
      </c>
      <c r="J21" s="176">
        <f t="shared" ca="1" si="26"/>
        <v>0</v>
      </c>
      <c r="K21" s="179">
        <f t="shared" ca="1" si="27"/>
        <v>0</v>
      </c>
      <c r="L21" s="176">
        <f ca="1">IFERROR(__xludf.DUMMYFUNCTION("IMPORTRANGE(""https://docs.google.com/spreadsheets/d/1-uDff_7J0KD5mKrp0Vvzr7lt3OU09vwQwhkpOPPYv2Y/edit?usp=sharing"",""งบพรบ!BN21"")"),0)</f>
        <v>0</v>
      </c>
      <c r="M21" s="87">
        <f t="shared" ca="1" si="28"/>
        <v>0</v>
      </c>
      <c r="N21" s="87">
        <f t="shared" ca="1" si="29"/>
        <v>0</v>
      </c>
      <c r="O21" s="86">
        <f ca="1">IFERROR(__xludf.DUMMYFUNCTION("IMPORTRANGE(""https://docs.google.com/spreadsheets/d/1-uDff_7J0KD5mKrp0Vvzr7lt3OU09vwQwhkpOPPYv2Y/edit?usp=sharing"",""งบพรบ!BO21"")"),0)</f>
        <v>0</v>
      </c>
      <c r="P21" s="86">
        <f t="shared" ca="1" si="30"/>
        <v>0</v>
      </c>
      <c r="Q21" s="87">
        <f t="shared" ca="1" si="31"/>
        <v>0</v>
      </c>
      <c r="R21" s="86">
        <f ca="1">IFERROR(__xludf.DUMMYFUNCTION("IMPORTRANGE(""https://docs.google.com/spreadsheets/d/1xfJKIQxVOaPDIICqsflNlLu3JacTDk1FP9RH4phX7mI/edit?usp=sharing"",""พิจิตร!Q117"")"),209360)</f>
        <v>209360</v>
      </c>
      <c r="S21" s="86">
        <f ca="1">IFERROR(__xludf.DUMMYFUNCTION("IMPORTRANGE(""https://docs.google.com/spreadsheets/d/1xfJKIQxVOaPDIICqsflNlLu3JacTDk1FP9RH4phX7mI/edit?usp=sharing"",""พิจิตร!R117"")"),0)</f>
        <v>0</v>
      </c>
      <c r="T21" s="86">
        <f ca="1">IFERROR(__xludf.DUMMYFUNCTION("IMPORTRANGE(""https://docs.google.com/spreadsheets/d/1xfJKIQxVOaPDIICqsflNlLu3JacTDk1FP9RH4phX7mI/edit?usp=sharing"",""พิจิตร!S117"")"),0)</f>
        <v>0</v>
      </c>
      <c r="U21" s="87">
        <f t="shared" ca="1" si="33"/>
        <v>0</v>
      </c>
      <c r="V21" s="87">
        <f t="shared" ca="1" si="34"/>
        <v>0</v>
      </c>
      <c r="W21" s="93">
        <f ca="1">IFERROR(__xludf.DUMMYFUNCTION("IMPORTRANGE(""https://docs.google.com/spreadsheets/d/1xfJKIQxVOaPDIICqsflNlLu3JacTDk1FP9RH4phX7mI/edit?usp=sharing"",""พิจิตร!I127"")"),20)</f>
        <v>20</v>
      </c>
      <c r="X21" s="93">
        <f ca="1">IFERROR(__xludf.DUMMYFUNCTION("IMPORTRANGE(""https://docs.google.com/spreadsheets/d/1xfJKIQxVOaPDIICqsflNlLu3JacTDk1FP9RH4phX7mI/edit?usp=sharing"",""พิจิตร!J127"")"),0)</f>
        <v>0</v>
      </c>
      <c r="Y21" s="177">
        <f t="shared" ca="1" si="36"/>
        <v>0</v>
      </c>
      <c r="Z21" s="93">
        <f ca="1">IFERROR(__xludf.DUMMYFUNCTION("IMPORTRANGE(""https://docs.google.com/spreadsheets/d/1xfJKIQxVOaPDIICqsflNlLu3JacTDk1FP9RH4phX7mI/edit?usp=sharing"",""พิจิตร!J128"")"),0)</f>
        <v>0</v>
      </c>
      <c r="AA21" s="93">
        <f ca="1">IFERROR(__xludf.DUMMYFUNCTION("IMPORTRANGE(""https://docs.google.com/spreadsheets/d/1xfJKIQxVOaPDIICqsflNlLu3JacTDk1FP9RH4phX7mI/edit?usp=sharing"",""พิจิตร!I129"")"),20)</f>
        <v>20</v>
      </c>
      <c r="AB21" s="93">
        <f ca="1">IFERROR(__xludf.DUMMYFUNCTION("IMPORTRANGE(""https://docs.google.com/spreadsheets/d/1xfJKIQxVOaPDIICqsflNlLu3JacTDk1FP9RH4phX7mI/edit?usp=sharing"",""พิจิตร!J129"")"),0)</f>
        <v>0</v>
      </c>
      <c r="AC21" s="177">
        <f t="shared" ca="1" si="38"/>
        <v>0</v>
      </c>
      <c r="AD21" s="177">
        <f ca="1">IFERROR(__xludf.DUMMYFUNCTION("IMPORTRANGE(""https://docs.google.com/spreadsheets/d/1xfJKIQxVOaPDIICqsflNlLu3JacTDk1FP9RH4phX7mI/edit?usp=sharing"",""พิจิตร!J130"")"),0)</f>
        <v>0</v>
      </c>
      <c r="AE21" s="216">
        <v>0</v>
      </c>
      <c r="AF21" s="216">
        <v>0</v>
      </c>
      <c r="AG21" s="216">
        <v>0</v>
      </c>
    </row>
    <row r="22" spans="1:33" ht="19.5" x14ac:dyDescent="0.3">
      <c r="A22" s="172">
        <v>9</v>
      </c>
      <c r="B22" s="173" t="s">
        <v>48</v>
      </c>
      <c r="C22" s="174">
        <f t="shared" ca="1" si="24"/>
        <v>0</v>
      </c>
      <c r="D22" s="175">
        <f t="shared" ca="1" si="39"/>
        <v>0</v>
      </c>
      <c r="E22" s="176">
        <f ca="1">IFERROR(__xludf.DUMMYFUNCTION("IMPORTRANGE(""https://docs.google.com/spreadsheets/d/1-uDff_7J0KD5mKrp0Vvzr7lt3OU09vwQwhkpOPPYv2Y/edit?usp=sharing"",""งบพรบ!BH22"")"),0)</f>
        <v>0</v>
      </c>
      <c r="F22" s="176">
        <f ca="1">IFERROR(__xludf.DUMMYFUNCTION("IMPORTRANGE(""https://docs.google.com/spreadsheets/d/1-uDff_7J0KD5mKrp0Vvzr7lt3OU09vwQwhkpOPPYv2Y/edit?usp=sharing"",""งบพรบ!BI22"")"),0)</f>
        <v>0</v>
      </c>
      <c r="G22" s="176">
        <f ca="1">IFERROR(__xludf.DUMMYFUNCTION("IMPORTRANGE(""https://docs.google.com/spreadsheets/d/1-uDff_7J0KD5mKrp0Vvzr7lt3OU09vwQwhkpOPPYv2Y/edit?usp=sharing"",""งบพรบ!BJ22"")"),0)</f>
        <v>0</v>
      </c>
      <c r="H22" s="176">
        <f ca="1">IFERROR(__xludf.DUMMYFUNCTION("IMPORTRANGE(""https://docs.google.com/spreadsheets/d/1-uDff_7J0KD5mKrp0Vvzr7lt3OU09vwQwhkpOPPYv2Y/edit?usp=sharing"",""งบพรบ!BL22"")"),0)</f>
        <v>0</v>
      </c>
      <c r="I22" s="176">
        <f ca="1">IFERROR(__xludf.DUMMYFUNCTION("IMPORTRANGE(""https://docs.google.com/spreadsheets/d/1-uDff_7J0KD5mKrp0Vvzr7lt3OU09vwQwhkpOPPYv2Y/edit?usp=sharing"",""งบพรบ!BM22"")"),0)</f>
        <v>0</v>
      </c>
      <c r="J22" s="176">
        <f t="shared" ca="1" si="26"/>
        <v>0</v>
      </c>
      <c r="K22" s="179">
        <f t="shared" ca="1" si="27"/>
        <v>0</v>
      </c>
      <c r="L22" s="176">
        <f ca="1">IFERROR(__xludf.DUMMYFUNCTION("IMPORTRANGE(""https://docs.google.com/spreadsheets/d/1-uDff_7J0KD5mKrp0Vvzr7lt3OU09vwQwhkpOPPYv2Y/edit?usp=sharing"",""งบพรบ!BN22"")"),0)</f>
        <v>0</v>
      </c>
      <c r="M22" s="87">
        <f t="shared" ca="1" si="28"/>
        <v>0</v>
      </c>
      <c r="N22" s="87">
        <f t="shared" ca="1" si="29"/>
        <v>0</v>
      </c>
      <c r="O22" s="86">
        <f ca="1">IFERROR(__xludf.DUMMYFUNCTION("IMPORTRANGE(""https://docs.google.com/spreadsheets/d/1-uDff_7J0KD5mKrp0Vvzr7lt3OU09vwQwhkpOPPYv2Y/edit?usp=sharing"",""งบพรบ!BO22"")"),0)</f>
        <v>0</v>
      </c>
      <c r="P22" s="86">
        <f t="shared" ca="1" si="30"/>
        <v>0</v>
      </c>
      <c r="Q22" s="87">
        <f t="shared" ca="1" si="31"/>
        <v>0</v>
      </c>
      <c r="R22" s="86">
        <f ca="1">IFERROR(__xludf.DUMMYFUNCTION("IMPORTRANGE(""https://docs.google.com/spreadsheets/d/1JtRfZkJMHtEhI5RdRHxYUG4FIZHqKDpNyIuN7A1Q0_k/edit?usp=sharing"",""พิษณุโลก!Q117"")"),209360)</f>
        <v>209360</v>
      </c>
      <c r="S22" s="86">
        <f ca="1">IFERROR(__xludf.DUMMYFUNCTION("IMPORTRANGE(""https://docs.google.com/spreadsheets/d/1JtRfZkJMHtEhI5RdRHxYUG4FIZHqKDpNyIuN7A1Q0_k/edit?usp=sharing"",""พิษณุโลก!R117"")"),0)</f>
        <v>0</v>
      </c>
      <c r="T22" s="86">
        <f ca="1">IFERROR(__xludf.DUMMYFUNCTION("IMPORTRANGE(""https://docs.google.com/spreadsheets/d/1JtRfZkJMHtEhI5RdRHxYUG4FIZHqKDpNyIuN7A1Q0_k/edit?usp=sharing"",""พิษณุโลก!S117"")"),0)</f>
        <v>0</v>
      </c>
      <c r="U22" s="87">
        <f t="shared" ca="1" si="33"/>
        <v>0</v>
      </c>
      <c r="V22" s="87">
        <f t="shared" ca="1" si="34"/>
        <v>0</v>
      </c>
      <c r="W22" s="93">
        <f ca="1">IFERROR(__xludf.DUMMYFUNCTION("IMPORTRANGE(""https://docs.google.com/spreadsheets/d/1JtRfZkJMHtEhI5RdRHxYUG4FIZHqKDpNyIuN7A1Q0_k/edit?usp=sharing"",""พิษณุโลก!I127"")"),20)</f>
        <v>20</v>
      </c>
      <c r="X22" s="93">
        <f ca="1">IFERROR(__xludf.DUMMYFUNCTION("IMPORTRANGE(""https://docs.google.com/spreadsheets/d/1JtRfZkJMHtEhI5RdRHxYUG4FIZHqKDpNyIuN7A1Q0_k/edit?usp=sharing"",""พิษณุโลก!J127"")"),0)</f>
        <v>0</v>
      </c>
      <c r="Y22" s="177">
        <f t="shared" ca="1" si="36"/>
        <v>0</v>
      </c>
      <c r="Z22" s="93">
        <f ca="1">IFERROR(__xludf.DUMMYFUNCTION("IMPORTRANGE(""https://docs.google.com/spreadsheets/d/1JtRfZkJMHtEhI5RdRHxYUG4FIZHqKDpNyIuN7A1Q0_k/edit?usp=sharing"",""พิษณุโลก!J128"")"),0)</f>
        <v>0</v>
      </c>
      <c r="AA22" s="93">
        <f ca="1">IFERROR(__xludf.DUMMYFUNCTION("IMPORTRANGE(""https://docs.google.com/spreadsheets/d/1JtRfZkJMHtEhI5RdRHxYUG4FIZHqKDpNyIuN7A1Q0_k/edit?usp=sharing"",""พิษณุโลก!I129"")"),20)</f>
        <v>20</v>
      </c>
      <c r="AB22" s="93">
        <f ca="1">IFERROR(__xludf.DUMMYFUNCTION("IMPORTRANGE(""https://docs.google.com/spreadsheets/d/1JtRfZkJMHtEhI5RdRHxYUG4FIZHqKDpNyIuN7A1Q0_k/edit?usp=sharing"",""พิษณุโลก!J129"")"),0)</f>
        <v>0</v>
      </c>
      <c r="AC22" s="177">
        <f t="shared" ca="1" si="38"/>
        <v>0</v>
      </c>
      <c r="AD22" s="177">
        <f ca="1">IFERROR(__xludf.DUMMYFUNCTION("IMPORTRANGE(""https://docs.google.com/spreadsheets/d/1JtRfZkJMHtEhI5RdRHxYUG4FIZHqKDpNyIuN7A1Q0_k/edit?usp=sharing"",""พิษณุโลก!J130"")"),0)</f>
        <v>0</v>
      </c>
      <c r="AE22" s="216">
        <v>0</v>
      </c>
      <c r="AF22" s="216">
        <v>0</v>
      </c>
      <c r="AG22" s="216">
        <v>0</v>
      </c>
    </row>
    <row r="23" spans="1:33" ht="19.5" x14ac:dyDescent="0.3">
      <c r="A23" s="172">
        <v>10</v>
      </c>
      <c r="B23" s="173" t="s">
        <v>49</v>
      </c>
      <c r="C23" s="174">
        <f t="shared" ca="1" si="24"/>
        <v>0</v>
      </c>
      <c r="D23" s="175">
        <f t="shared" ca="1" si="39"/>
        <v>0</v>
      </c>
      <c r="E23" s="176">
        <f ca="1">IFERROR(__xludf.DUMMYFUNCTION("IMPORTRANGE(""https://docs.google.com/spreadsheets/d/1-uDff_7J0KD5mKrp0Vvzr7lt3OU09vwQwhkpOPPYv2Y/edit?usp=sharing"",""งบพรบ!BH23"")"),0)</f>
        <v>0</v>
      </c>
      <c r="F23" s="176">
        <f ca="1">IFERROR(__xludf.DUMMYFUNCTION("IMPORTRANGE(""https://docs.google.com/spreadsheets/d/1-uDff_7J0KD5mKrp0Vvzr7lt3OU09vwQwhkpOPPYv2Y/edit?usp=sharing"",""งบพรบ!BI23"")"),0)</f>
        <v>0</v>
      </c>
      <c r="G23" s="176">
        <f ca="1">IFERROR(__xludf.DUMMYFUNCTION("IMPORTRANGE(""https://docs.google.com/spreadsheets/d/1-uDff_7J0KD5mKrp0Vvzr7lt3OU09vwQwhkpOPPYv2Y/edit?usp=sharing"",""งบพรบ!BJ23"")"),0)</f>
        <v>0</v>
      </c>
      <c r="H23" s="176">
        <f ca="1">IFERROR(__xludf.DUMMYFUNCTION("IMPORTRANGE(""https://docs.google.com/spreadsheets/d/1-uDff_7J0KD5mKrp0Vvzr7lt3OU09vwQwhkpOPPYv2Y/edit?usp=sharing"",""งบพรบ!BL23"")"),0)</f>
        <v>0</v>
      </c>
      <c r="I23" s="176">
        <f ca="1">IFERROR(__xludf.DUMMYFUNCTION("IMPORTRANGE(""https://docs.google.com/spreadsheets/d/1-uDff_7J0KD5mKrp0Vvzr7lt3OU09vwQwhkpOPPYv2Y/edit?usp=sharing"",""งบพรบ!BM23"")"),0)</f>
        <v>0</v>
      </c>
      <c r="J23" s="176">
        <f t="shared" ca="1" si="26"/>
        <v>0</v>
      </c>
      <c r="K23" s="179">
        <f t="shared" ca="1" si="27"/>
        <v>0</v>
      </c>
      <c r="L23" s="176">
        <f ca="1">IFERROR(__xludf.DUMMYFUNCTION("IMPORTRANGE(""https://docs.google.com/spreadsheets/d/1-uDff_7J0KD5mKrp0Vvzr7lt3OU09vwQwhkpOPPYv2Y/edit?usp=sharing"",""งบพรบ!BN23"")"),0)</f>
        <v>0</v>
      </c>
      <c r="M23" s="87">
        <f t="shared" ca="1" si="28"/>
        <v>0</v>
      </c>
      <c r="N23" s="87">
        <f t="shared" ca="1" si="29"/>
        <v>0</v>
      </c>
      <c r="O23" s="86">
        <f ca="1">IFERROR(__xludf.DUMMYFUNCTION("IMPORTRANGE(""https://docs.google.com/spreadsheets/d/1-uDff_7J0KD5mKrp0Vvzr7lt3OU09vwQwhkpOPPYv2Y/edit?usp=sharing"",""งบพรบ!BO23"")"),0)</f>
        <v>0</v>
      </c>
      <c r="P23" s="86">
        <f t="shared" ca="1" si="30"/>
        <v>0</v>
      </c>
      <c r="Q23" s="87">
        <f t="shared" ca="1" si="31"/>
        <v>0</v>
      </c>
      <c r="R23" s="86">
        <f ca="1">IFERROR(__xludf.DUMMYFUNCTION("IMPORTRANGE(""https://docs.google.com/spreadsheets/d/1xlcVZWUNn6SuWm0c307h32SiGkd9BaeQWlAktfD3KO8/edit?usp=sharing"",""เพชรบูรณ์!Q117"")"),209360)</f>
        <v>209360</v>
      </c>
      <c r="S23" s="86">
        <f ca="1">IFERROR(__xludf.DUMMYFUNCTION("IMPORTRANGE(""https://docs.google.com/spreadsheets/d/1xlcVZWUNn6SuWm0c307h32SiGkd9BaeQWlAktfD3KO8/edit?usp=sharing"",""เพชรบูรณ์!R117"")"),0)</f>
        <v>0</v>
      </c>
      <c r="T23" s="86">
        <f ca="1">IFERROR(__xludf.DUMMYFUNCTION("IMPORTRANGE(""https://docs.google.com/spreadsheets/d/1xlcVZWUNn6SuWm0c307h32SiGkd9BaeQWlAktfD3KO8/edit?usp=sharing"",""เพชรบูรณ์!S117"")"),0)</f>
        <v>0</v>
      </c>
      <c r="U23" s="87">
        <f t="shared" ca="1" si="33"/>
        <v>0</v>
      </c>
      <c r="V23" s="87">
        <f t="shared" ca="1" si="34"/>
        <v>0</v>
      </c>
      <c r="W23" s="93">
        <f ca="1">IFERROR(__xludf.DUMMYFUNCTION("IMPORTRANGE(""https://docs.google.com/spreadsheets/d/1xlcVZWUNn6SuWm0c307h32SiGkd9BaeQWlAktfD3KO8/edit?usp=sharing"",""เพชรบูรณ์!I127"")"),20)</f>
        <v>20</v>
      </c>
      <c r="X23" s="93">
        <f ca="1">IFERROR(__xludf.DUMMYFUNCTION("IMPORTRANGE(""https://docs.google.com/spreadsheets/d/1xlcVZWUNn6SuWm0c307h32SiGkd9BaeQWlAktfD3KO8/edit?usp=sharing"",""เพชรบูรณ์!J127"")"),0)</f>
        <v>0</v>
      </c>
      <c r="Y23" s="177">
        <f t="shared" ca="1" si="36"/>
        <v>0</v>
      </c>
      <c r="Z23" s="93">
        <f ca="1">IFERROR(__xludf.DUMMYFUNCTION("IMPORTRANGE(""https://docs.google.com/spreadsheets/d/1xlcVZWUNn6SuWm0c307h32SiGkd9BaeQWlAktfD3KO8/edit?usp=sharing"",""เพชรบูรณ์!J128"")"),0)</f>
        <v>0</v>
      </c>
      <c r="AA23" s="93">
        <f ca="1">IFERROR(__xludf.DUMMYFUNCTION("IMPORTRANGE(""https://docs.google.com/spreadsheets/d/1xlcVZWUNn6SuWm0c307h32SiGkd9BaeQWlAktfD3KO8/edit?usp=sharing"",""เพชรบูรณ์!I129"")"),20)</f>
        <v>20</v>
      </c>
      <c r="AB23" s="93">
        <f ca="1">IFERROR(__xludf.DUMMYFUNCTION("IMPORTRANGE(""https://docs.google.com/spreadsheets/d/1xlcVZWUNn6SuWm0c307h32SiGkd9BaeQWlAktfD3KO8/edit?usp=sharing"",""เพชรบูรณ์!J129"")"),0)</f>
        <v>0</v>
      </c>
      <c r="AC23" s="177">
        <f t="shared" ca="1" si="38"/>
        <v>0</v>
      </c>
      <c r="AD23" s="177">
        <f ca="1">IFERROR(__xludf.DUMMYFUNCTION("IMPORTRANGE(""https://docs.google.com/spreadsheets/d/1xlcVZWUNn6SuWm0c307h32SiGkd9BaeQWlAktfD3KO8/edit?usp=sharing"",""เพชรบูรณ์!J130"")"),0)</f>
        <v>0</v>
      </c>
      <c r="AE23" s="216">
        <v>0</v>
      </c>
      <c r="AF23" s="216">
        <v>0</v>
      </c>
      <c r="AG23" s="216">
        <v>0</v>
      </c>
    </row>
    <row r="24" spans="1:33" ht="19.5" x14ac:dyDescent="0.3">
      <c r="A24" s="172">
        <v>11</v>
      </c>
      <c r="B24" s="173" t="s">
        <v>50</v>
      </c>
      <c r="C24" s="174">
        <f t="shared" ca="1" si="24"/>
        <v>0</v>
      </c>
      <c r="D24" s="175">
        <f t="shared" ca="1" si="39"/>
        <v>0</v>
      </c>
      <c r="E24" s="176">
        <f ca="1">IFERROR(__xludf.DUMMYFUNCTION("IMPORTRANGE(""https://docs.google.com/spreadsheets/d/1-uDff_7J0KD5mKrp0Vvzr7lt3OU09vwQwhkpOPPYv2Y/edit?usp=sharing"",""งบพรบ!BH24"")"),0)</f>
        <v>0</v>
      </c>
      <c r="F24" s="176">
        <f ca="1">IFERROR(__xludf.DUMMYFUNCTION("IMPORTRANGE(""https://docs.google.com/spreadsheets/d/1-uDff_7J0KD5mKrp0Vvzr7lt3OU09vwQwhkpOPPYv2Y/edit?usp=sharing"",""งบพรบ!BI24"")"),0)</f>
        <v>0</v>
      </c>
      <c r="G24" s="176">
        <f ca="1">IFERROR(__xludf.DUMMYFUNCTION("IMPORTRANGE(""https://docs.google.com/spreadsheets/d/1-uDff_7J0KD5mKrp0Vvzr7lt3OU09vwQwhkpOPPYv2Y/edit?usp=sharing"",""งบพรบ!BJ24"")"),0)</f>
        <v>0</v>
      </c>
      <c r="H24" s="176">
        <f ca="1">IFERROR(__xludf.DUMMYFUNCTION("IMPORTRANGE(""https://docs.google.com/spreadsheets/d/1-uDff_7J0KD5mKrp0Vvzr7lt3OU09vwQwhkpOPPYv2Y/edit?usp=sharing"",""งบพรบ!BL24"")"),0)</f>
        <v>0</v>
      </c>
      <c r="I24" s="176">
        <f ca="1">IFERROR(__xludf.DUMMYFUNCTION("IMPORTRANGE(""https://docs.google.com/spreadsheets/d/1-uDff_7J0KD5mKrp0Vvzr7lt3OU09vwQwhkpOPPYv2Y/edit?usp=sharing"",""งบพรบ!BM24"")"),0)</f>
        <v>0</v>
      </c>
      <c r="J24" s="176">
        <f t="shared" ca="1" si="26"/>
        <v>0</v>
      </c>
      <c r="K24" s="179">
        <f t="shared" ca="1" si="27"/>
        <v>0</v>
      </c>
      <c r="L24" s="176">
        <f ca="1">IFERROR(__xludf.DUMMYFUNCTION("IMPORTRANGE(""https://docs.google.com/spreadsheets/d/1-uDff_7J0KD5mKrp0Vvzr7lt3OU09vwQwhkpOPPYv2Y/edit?usp=sharing"",""งบพรบ!BN24"")"),0)</f>
        <v>0</v>
      </c>
      <c r="M24" s="87">
        <f t="shared" ca="1" si="28"/>
        <v>0</v>
      </c>
      <c r="N24" s="87">
        <f t="shared" ca="1" si="29"/>
        <v>0</v>
      </c>
      <c r="O24" s="86">
        <f ca="1">IFERROR(__xludf.DUMMYFUNCTION("IMPORTRANGE(""https://docs.google.com/spreadsheets/d/1-uDff_7J0KD5mKrp0Vvzr7lt3OU09vwQwhkpOPPYv2Y/edit?usp=sharing"",""งบพรบ!BO24"")"),0)</f>
        <v>0</v>
      </c>
      <c r="P24" s="86">
        <f t="shared" ca="1" si="30"/>
        <v>0</v>
      </c>
      <c r="Q24" s="87">
        <f t="shared" ca="1" si="31"/>
        <v>0</v>
      </c>
      <c r="R24" s="86">
        <f ca="1">IFERROR(__xludf.DUMMYFUNCTION("IMPORTRANGE(""https://docs.google.com/spreadsheets/d/1lOVebEIsI9qjGXl6EX66luk7wiuP2tBaryw-wKvv4e0/edit?usp=sharing"",""แพร่!Q117"")"),247020)</f>
        <v>247020</v>
      </c>
      <c r="S24" s="86">
        <f ca="1">IFERROR(__xludf.DUMMYFUNCTION("IMPORTRANGE(""https://docs.google.com/spreadsheets/d/1lOVebEIsI9qjGXl6EX66luk7wiuP2tBaryw-wKvv4e0/edit?usp=sharing"",""แพร่!R117"")"),0)</f>
        <v>0</v>
      </c>
      <c r="T24" s="86">
        <f ca="1">IFERROR(__xludf.DUMMYFUNCTION("IMPORTRANGE(""https://docs.google.com/spreadsheets/d/1lOVebEIsI9qjGXl6EX66luk7wiuP2tBaryw-wKvv4e0/edit?usp=sharing"",""แพร่!S117"")"),0)</f>
        <v>0</v>
      </c>
      <c r="U24" s="87">
        <f t="shared" ca="1" si="33"/>
        <v>0</v>
      </c>
      <c r="V24" s="87">
        <f t="shared" ca="1" si="34"/>
        <v>0</v>
      </c>
      <c r="W24" s="93">
        <f ca="1">IFERROR(__xludf.DUMMYFUNCTION("IMPORTRANGE(""https://docs.google.com/spreadsheets/d/1lOVebEIsI9qjGXl6EX66luk7wiuP2tBaryw-wKvv4e0/edit?usp=sharing"",""แพร่!I127"")"),30)</f>
        <v>30</v>
      </c>
      <c r="X24" s="93">
        <f ca="1">IFERROR(__xludf.DUMMYFUNCTION("IMPORTRANGE(""https://docs.google.com/spreadsheets/d/1lOVebEIsI9qjGXl6EX66luk7wiuP2tBaryw-wKvv4e0/edit?usp=sharing"",""แพร่!J127"")"),0)</f>
        <v>0</v>
      </c>
      <c r="Y24" s="177">
        <f t="shared" ca="1" si="36"/>
        <v>0</v>
      </c>
      <c r="Z24" s="93">
        <f ca="1">IFERROR(__xludf.DUMMYFUNCTION("IMPORTRANGE(""https://docs.google.com/spreadsheets/d/1lOVebEIsI9qjGXl6EX66luk7wiuP2tBaryw-wKvv4e0/edit?usp=sharing"",""แพร่!J128"")"),0)</f>
        <v>0</v>
      </c>
      <c r="AA24" s="93">
        <f ca="1">IFERROR(__xludf.DUMMYFUNCTION("IMPORTRANGE(""https://docs.google.com/spreadsheets/d/1lOVebEIsI9qjGXl6EX66luk7wiuP2tBaryw-wKvv4e0/edit?usp=sharing"",""แพร่!I129"")"),30)</f>
        <v>30</v>
      </c>
      <c r="AB24" s="93">
        <f ca="1">IFERROR(__xludf.DUMMYFUNCTION("IMPORTRANGE(""https://docs.google.com/spreadsheets/d/1lOVebEIsI9qjGXl6EX66luk7wiuP2tBaryw-wKvv4e0/edit?usp=sharing"",""แพร่!J129"")"),0)</f>
        <v>0</v>
      </c>
      <c r="AC24" s="177">
        <f t="shared" ca="1" si="38"/>
        <v>0</v>
      </c>
      <c r="AD24" s="177">
        <f ca="1">IFERROR(__xludf.DUMMYFUNCTION("IMPORTRANGE(""https://docs.google.com/spreadsheets/d/1lOVebEIsI9qjGXl6EX66luk7wiuP2tBaryw-wKvv4e0/edit?usp=sharing"",""แพร่!J130"")"),0)</f>
        <v>0</v>
      </c>
      <c r="AE24" s="216">
        <v>0</v>
      </c>
      <c r="AF24" s="216">
        <v>0</v>
      </c>
      <c r="AG24" s="216">
        <v>0</v>
      </c>
    </row>
    <row r="25" spans="1:33" ht="19.5" x14ac:dyDescent="0.3">
      <c r="A25" s="172">
        <v>12</v>
      </c>
      <c r="B25" s="173" t="s">
        <v>51</v>
      </c>
      <c r="C25" s="174">
        <f t="shared" ca="1" si="24"/>
        <v>0</v>
      </c>
      <c r="D25" s="175">
        <f t="shared" ca="1" si="39"/>
        <v>0</v>
      </c>
      <c r="E25" s="176">
        <f ca="1">IFERROR(__xludf.DUMMYFUNCTION("IMPORTRANGE(""https://docs.google.com/spreadsheets/d/1-uDff_7J0KD5mKrp0Vvzr7lt3OU09vwQwhkpOPPYv2Y/edit?usp=sharing"",""งบพรบ!BH25"")"),0)</f>
        <v>0</v>
      </c>
      <c r="F25" s="176">
        <f ca="1">IFERROR(__xludf.DUMMYFUNCTION("IMPORTRANGE(""https://docs.google.com/spreadsheets/d/1-uDff_7J0KD5mKrp0Vvzr7lt3OU09vwQwhkpOPPYv2Y/edit?usp=sharing"",""งบพรบ!BI25"")"),0)</f>
        <v>0</v>
      </c>
      <c r="G25" s="176">
        <f ca="1">IFERROR(__xludf.DUMMYFUNCTION("IMPORTRANGE(""https://docs.google.com/spreadsheets/d/1-uDff_7J0KD5mKrp0Vvzr7lt3OU09vwQwhkpOPPYv2Y/edit?usp=sharing"",""งบพรบ!BJ25"")"),0)</f>
        <v>0</v>
      </c>
      <c r="H25" s="176">
        <f ca="1">IFERROR(__xludf.DUMMYFUNCTION("IMPORTRANGE(""https://docs.google.com/spreadsheets/d/1-uDff_7J0KD5mKrp0Vvzr7lt3OU09vwQwhkpOPPYv2Y/edit?usp=sharing"",""งบพรบ!BL25"")"),0)</f>
        <v>0</v>
      </c>
      <c r="I25" s="176">
        <f ca="1">IFERROR(__xludf.DUMMYFUNCTION("IMPORTRANGE(""https://docs.google.com/spreadsheets/d/1-uDff_7J0KD5mKrp0Vvzr7lt3OU09vwQwhkpOPPYv2Y/edit?usp=sharing"",""งบพรบ!BM25"")"),0)</f>
        <v>0</v>
      </c>
      <c r="J25" s="176">
        <f t="shared" ca="1" si="26"/>
        <v>0</v>
      </c>
      <c r="K25" s="179">
        <f t="shared" ca="1" si="27"/>
        <v>0</v>
      </c>
      <c r="L25" s="176">
        <f ca="1">IFERROR(__xludf.DUMMYFUNCTION("IMPORTRANGE(""https://docs.google.com/spreadsheets/d/1-uDff_7J0KD5mKrp0Vvzr7lt3OU09vwQwhkpOPPYv2Y/edit?usp=sharing"",""งบพรบ!BN25"")"),0)</f>
        <v>0</v>
      </c>
      <c r="M25" s="87">
        <f t="shared" ca="1" si="28"/>
        <v>0</v>
      </c>
      <c r="N25" s="87">
        <f t="shared" ca="1" si="29"/>
        <v>0</v>
      </c>
      <c r="O25" s="86">
        <f ca="1">IFERROR(__xludf.DUMMYFUNCTION("IMPORTRANGE(""https://docs.google.com/spreadsheets/d/1-uDff_7J0KD5mKrp0Vvzr7lt3OU09vwQwhkpOPPYv2Y/edit?usp=sharing"",""งบพรบ!BO25"")"),0)</f>
        <v>0</v>
      </c>
      <c r="P25" s="86">
        <f t="shared" ca="1" si="30"/>
        <v>0</v>
      </c>
      <c r="Q25" s="87">
        <f t="shared" ca="1" si="31"/>
        <v>0</v>
      </c>
      <c r="R25" s="86">
        <f ca="1">IFERROR(__xludf.DUMMYFUNCTION("IMPORTRANGE(""https://docs.google.com/spreadsheets/d/1dQrvX0vEcN7Gu0fnZ0B5S90AeR19zth4XlExFBeExMY/edit?usp=sharing"",""แม่ฮ่องสอน!Q117"")"),209360)</f>
        <v>209360</v>
      </c>
      <c r="S25" s="86">
        <f ca="1">IFERROR(__xludf.DUMMYFUNCTION("IMPORTRANGE(""https://docs.google.com/spreadsheets/d/1dQrvX0vEcN7Gu0fnZ0B5S90AeR19zth4XlExFBeExMY/edit?usp=sharing"",""แม่ฮ่องสอน!R117"")"),0)</f>
        <v>0</v>
      </c>
      <c r="T25" s="86">
        <f ca="1">IFERROR(__xludf.DUMMYFUNCTION("IMPORTRANGE(""https://docs.google.com/spreadsheets/d/1dQrvX0vEcN7Gu0fnZ0B5S90AeR19zth4XlExFBeExMY/edit?usp=sharing"",""แม่ฮ่องสอน!S117"")"),0)</f>
        <v>0</v>
      </c>
      <c r="U25" s="87">
        <f t="shared" ca="1" si="33"/>
        <v>0</v>
      </c>
      <c r="V25" s="87">
        <f t="shared" ca="1" si="34"/>
        <v>0</v>
      </c>
      <c r="W25" s="93">
        <f ca="1">IFERROR(__xludf.DUMMYFUNCTION("IMPORTRANGE(""https://docs.google.com/spreadsheets/d/1dQrvX0vEcN7Gu0fnZ0B5S90AeR19zth4XlExFBeExMY/edit?usp=sharing"",""แม่ฮ่องสอน!I127"")"),20)</f>
        <v>20</v>
      </c>
      <c r="X25" s="93">
        <f ca="1">IFERROR(__xludf.DUMMYFUNCTION("IMPORTRANGE(""https://docs.google.com/spreadsheets/d/1dQrvX0vEcN7Gu0fnZ0B5S90AeR19zth4XlExFBeExMY/edit?usp=sharing"",""แม่ฮ่องสอน!J127"")"),0)</f>
        <v>0</v>
      </c>
      <c r="Y25" s="177">
        <f t="shared" ca="1" si="36"/>
        <v>0</v>
      </c>
      <c r="Z25" s="93">
        <f ca="1">IFERROR(__xludf.DUMMYFUNCTION("IMPORTRANGE(""https://docs.google.com/spreadsheets/d/1dQrvX0vEcN7Gu0fnZ0B5S90AeR19zth4XlExFBeExMY/edit?usp=sharing"",""แม่ฮ่องสอน!J128"")"),0)</f>
        <v>0</v>
      </c>
      <c r="AA25" s="93">
        <f ca="1">IFERROR(__xludf.DUMMYFUNCTION("IMPORTRANGE(""https://docs.google.com/spreadsheets/d/1dQrvX0vEcN7Gu0fnZ0B5S90AeR19zth4XlExFBeExMY/edit?usp=sharing"",""แม่ฮ่องสอน!I129"")"),20)</f>
        <v>20</v>
      </c>
      <c r="AB25" s="93">
        <f ca="1">IFERROR(__xludf.DUMMYFUNCTION("IMPORTRANGE(""https://docs.google.com/spreadsheets/d/1dQrvX0vEcN7Gu0fnZ0B5S90AeR19zth4XlExFBeExMY/edit?usp=sharing"",""แม่ฮ่องสอน!J129"")"),0)</f>
        <v>0</v>
      </c>
      <c r="AC25" s="177">
        <f t="shared" ca="1" si="38"/>
        <v>0</v>
      </c>
      <c r="AD25" s="177">
        <f ca="1">IFERROR(__xludf.DUMMYFUNCTION("IMPORTRANGE(""https://docs.google.com/spreadsheets/d/1dQrvX0vEcN7Gu0fnZ0B5S90AeR19zth4XlExFBeExMY/edit?usp=sharing"",""แม่ฮ่องสอน!J130"")"),0)</f>
        <v>0</v>
      </c>
      <c r="AE25" s="216">
        <v>0</v>
      </c>
      <c r="AF25" s="216">
        <v>0</v>
      </c>
      <c r="AG25" s="216">
        <v>0</v>
      </c>
    </row>
    <row r="26" spans="1:33" ht="19.5" x14ac:dyDescent="0.3">
      <c r="A26" s="172">
        <v>13</v>
      </c>
      <c r="B26" s="173" t="s">
        <v>52</v>
      </c>
      <c r="C26" s="174">
        <f t="shared" ca="1" si="24"/>
        <v>0</v>
      </c>
      <c r="D26" s="175">
        <f t="shared" ca="1" si="39"/>
        <v>0</v>
      </c>
      <c r="E26" s="176">
        <f ca="1">IFERROR(__xludf.DUMMYFUNCTION("IMPORTRANGE(""https://docs.google.com/spreadsheets/d/1-uDff_7J0KD5mKrp0Vvzr7lt3OU09vwQwhkpOPPYv2Y/edit?usp=sharing"",""งบพรบ!BH26"")"),0)</f>
        <v>0</v>
      </c>
      <c r="F26" s="176">
        <f ca="1">IFERROR(__xludf.DUMMYFUNCTION("IMPORTRANGE(""https://docs.google.com/spreadsheets/d/1-uDff_7J0KD5mKrp0Vvzr7lt3OU09vwQwhkpOPPYv2Y/edit?usp=sharing"",""งบพรบ!BI26"")"),0)</f>
        <v>0</v>
      </c>
      <c r="G26" s="176">
        <f ca="1">IFERROR(__xludf.DUMMYFUNCTION("IMPORTRANGE(""https://docs.google.com/spreadsheets/d/1-uDff_7J0KD5mKrp0Vvzr7lt3OU09vwQwhkpOPPYv2Y/edit?usp=sharing"",""งบพรบ!BJ26"")"),0)</f>
        <v>0</v>
      </c>
      <c r="H26" s="176">
        <f ca="1">IFERROR(__xludf.DUMMYFUNCTION("IMPORTRANGE(""https://docs.google.com/spreadsheets/d/1-uDff_7J0KD5mKrp0Vvzr7lt3OU09vwQwhkpOPPYv2Y/edit?usp=sharing"",""งบพรบ!BL26"")"),0)</f>
        <v>0</v>
      </c>
      <c r="I26" s="176">
        <f ca="1">IFERROR(__xludf.DUMMYFUNCTION("IMPORTRANGE(""https://docs.google.com/spreadsheets/d/1-uDff_7J0KD5mKrp0Vvzr7lt3OU09vwQwhkpOPPYv2Y/edit?usp=sharing"",""งบพรบ!BM26"")"),0)</f>
        <v>0</v>
      </c>
      <c r="J26" s="176">
        <f t="shared" ca="1" si="26"/>
        <v>0</v>
      </c>
      <c r="K26" s="179">
        <f t="shared" ca="1" si="27"/>
        <v>0</v>
      </c>
      <c r="L26" s="176">
        <f ca="1">IFERROR(__xludf.DUMMYFUNCTION("IMPORTRANGE(""https://docs.google.com/spreadsheets/d/1-uDff_7J0KD5mKrp0Vvzr7lt3OU09vwQwhkpOPPYv2Y/edit?usp=sharing"",""งบพรบ!BN26"")"),0)</f>
        <v>0</v>
      </c>
      <c r="M26" s="87">
        <f t="shared" ca="1" si="28"/>
        <v>0</v>
      </c>
      <c r="N26" s="87">
        <f t="shared" ca="1" si="29"/>
        <v>0</v>
      </c>
      <c r="O26" s="86">
        <f ca="1">IFERROR(__xludf.DUMMYFUNCTION("IMPORTRANGE(""https://docs.google.com/spreadsheets/d/1-uDff_7J0KD5mKrp0Vvzr7lt3OU09vwQwhkpOPPYv2Y/edit?usp=sharing"",""งบพรบ!BO26"")"),0)</f>
        <v>0</v>
      </c>
      <c r="P26" s="86">
        <f t="shared" ca="1" si="30"/>
        <v>0</v>
      </c>
      <c r="Q26" s="87">
        <f t="shared" ca="1" si="31"/>
        <v>0</v>
      </c>
      <c r="R26" s="86">
        <f ca="1">IFERROR(__xludf.DUMMYFUNCTION("IMPORTRANGE(""https://docs.google.com/spreadsheets/d/1DY4XTNNwjluuxqdfdn6qvOSlMRrZqUtmYcZR0ttFiG4/edit?usp=sharing"",""ลำปาง!Q117"")"),284520)</f>
        <v>284520</v>
      </c>
      <c r="S26" s="86">
        <f ca="1">IFERROR(__xludf.DUMMYFUNCTION("IMPORTRANGE(""https://docs.google.com/spreadsheets/d/1DY4XTNNwjluuxqdfdn6qvOSlMRrZqUtmYcZR0ttFiG4/edit?usp=sharing"",""ลำปาง!R117"")"),0)</f>
        <v>0</v>
      </c>
      <c r="T26" s="86">
        <f ca="1">IFERROR(__xludf.DUMMYFUNCTION("IMPORTRANGE(""https://docs.google.com/spreadsheets/d/1DY4XTNNwjluuxqdfdn6qvOSlMRrZqUtmYcZR0ttFiG4/edit?usp=sharing"",""ลำปาง!S117"")"),0)</f>
        <v>0</v>
      </c>
      <c r="U26" s="87">
        <f t="shared" ca="1" si="33"/>
        <v>0</v>
      </c>
      <c r="V26" s="87">
        <f t="shared" ca="1" si="34"/>
        <v>0</v>
      </c>
      <c r="W26" s="93">
        <f ca="1">IFERROR(__xludf.DUMMYFUNCTION("IMPORTRANGE(""https://docs.google.com/spreadsheets/d/1DY4XTNNwjluuxqdfdn6qvOSlMRrZqUtmYcZR0ttFiG4/edit?usp=sharing"",""ลำปาง!I127"")"),50)</f>
        <v>50</v>
      </c>
      <c r="X26" s="93">
        <f ca="1">IFERROR(__xludf.DUMMYFUNCTION("IMPORTRANGE(""https://docs.google.com/spreadsheets/d/1DY4XTNNwjluuxqdfdn6qvOSlMRrZqUtmYcZR0ttFiG4/edit?usp=sharing"",""ลำปาง!J127"")"),0)</f>
        <v>0</v>
      </c>
      <c r="Y26" s="177">
        <f t="shared" ca="1" si="36"/>
        <v>0</v>
      </c>
      <c r="Z26" s="93">
        <f ca="1">IFERROR(__xludf.DUMMYFUNCTION("IMPORTRANGE(""https://docs.google.com/spreadsheets/d/1DY4XTNNwjluuxqdfdn6qvOSlMRrZqUtmYcZR0ttFiG4/edit?usp=sharing"",""ลำปาง!J128"")"),0)</f>
        <v>0</v>
      </c>
      <c r="AA26" s="93">
        <f ca="1">IFERROR(__xludf.DUMMYFUNCTION("IMPORTRANGE(""https://docs.google.com/spreadsheets/d/1DY4XTNNwjluuxqdfdn6qvOSlMRrZqUtmYcZR0ttFiG4/edit?usp=sharing"",""ลำปาง!I129"")"),20)</f>
        <v>20</v>
      </c>
      <c r="AB26" s="93">
        <f ca="1">IFERROR(__xludf.DUMMYFUNCTION("IMPORTRANGE(""https://docs.google.com/spreadsheets/d/1DY4XTNNwjluuxqdfdn6qvOSlMRrZqUtmYcZR0ttFiG4/edit?usp=sharing"",""ลำปาง!J129"")"),0)</f>
        <v>0</v>
      </c>
      <c r="AC26" s="177">
        <f t="shared" ca="1" si="38"/>
        <v>0</v>
      </c>
      <c r="AD26" s="177">
        <f ca="1">IFERROR(__xludf.DUMMYFUNCTION("IMPORTRANGE(""https://docs.google.com/spreadsheets/d/1DY4XTNNwjluuxqdfdn6qvOSlMRrZqUtmYcZR0ttFiG4/edit?usp=sharing"",""ลำปาง!J130"")"),0)</f>
        <v>0</v>
      </c>
      <c r="AE26" s="216">
        <v>0</v>
      </c>
      <c r="AF26" s="216">
        <v>0</v>
      </c>
      <c r="AG26" s="216">
        <v>0</v>
      </c>
    </row>
    <row r="27" spans="1:33" ht="19.5" x14ac:dyDescent="0.3">
      <c r="A27" s="172">
        <v>14</v>
      </c>
      <c r="B27" s="173" t="s">
        <v>53</v>
      </c>
      <c r="C27" s="174">
        <f t="shared" ca="1" si="24"/>
        <v>0</v>
      </c>
      <c r="D27" s="175">
        <f t="shared" ca="1" si="39"/>
        <v>0</v>
      </c>
      <c r="E27" s="176">
        <f ca="1">IFERROR(__xludf.DUMMYFUNCTION("IMPORTRANGE(""https://docs.google.com/spreadsheets/d/1-uDff_7J0KD5mKrp0Vvzr7lt3OU09vwQwhkpOPPYv2Y/edit?usp=sharing"",""งบพรบ!BH27"")"),0)</f>
        <v>0</v>
      </c>
      <c r="F27" s="176">
        <f ca="1">IFERROR(__xludf.DUMMYFUNCTION("IMPORTRANGE(""https://docs.google.com/spreadsheets/d/1-uDff_7J0KD5mKrp0Vvzr7lt3OU09vwQwhkpOPPYv2Y/edit?usp=sharing"",""งบพรบ!BI27"")"),0)</f>
        <v>0</v>
      </c>
      <c r="G27" s="176">
        <f ca="1">IFERROR(__xludf.DUMMYFUNCTION("IMPORTRANGE(""https://docs.google.com/spreadsheets/d/1-uDff_7J0KD5mKrp0Vvzr7lt3OU09vwQwhkpOPPYv2Y/edit?usp=sharing"",""งบพรบ!BJ27"")"),0)</f>
        <v>0</v>
      </c>
      <c r="H27" s="176">
        <f ca="1">IFERROR(__xludf.DUMMYFUNCTION("IMPORTRANGE(""https://docs.google.com/spreadsheets/d/1-uDff_7J0KD5mKrp0Vvzr7lt3OU09vwQwhkpOPPYv2Y/edit?usp=sharing"",""งบพรบ!BL27"")"),0)</f>
        <v>0</v>
      </c>
      <c r="I27" s="176">
        <f ca="1">IFERROR(__xludf.DUMMYFUNCTION("IMPORTRANGE(""https://docs.google.com/spreadsheets/d/1-uDff_7J0KD5mKrp0Vvzr7lt3OU09vwQwhkpOPPYv2Y/edit?usp=sharing"",""งบพรบ!BM27"")"),0)</f>
        <v>0</v>
      </c>
      <c r="J27" s="176">
        <f t="shared" ca="1" si="26"/>
        <v>0</v>
      </c>
      <c r="K27" s="179">
        <f t="shared" ca="1" si="27"/>
        <v>0</v>
      </c>
      <c r="L27" s="176">
        <f ca="1">IFERROR(__xludf.DUMMYFUNCTION("IMPORTRANGE(""https://docs.google.com/spreadsheets/d/1-uDff_7J0KD5mKrp0Vvzr7lt3OU09vwQwhkpOPPYv2Y/edit?usp=sharing"",""งบพรบ!BN27"")"),0)</f>
        <v>0</v>
      </c>
      <c r="M27" s="87">
        <f t="shared" ca="1" si="28"/>
        <v>0</v>
      </c>
      <c r="N27" s="87">
        <f t="shared" ca="1" si="29"/>
        <v>0</v>
      </c>
      <c r="O27" s="86">
        <f ca="1">IFERROR(__xludf.DUMMYFUNCTION("IMPORTRANGE(""https://docs.google.com/spreadsheets/d/1-uDff_7J0KD5mKrp0Vvzr7lt3OU09vwQwhkpOPPYv2Y/edit?usp=sharing"",""งบพรบ!BO27"")"),0)</f>
        <v>0</v>
      </c>
      <c r="P27" s="86">
        <f t="shared" ca="1" si="30"/>
        <v>0</v>
      </c>
      <c r="Q27" s="87">
        <f t="shared" ca="1" si="31"/>
        <v>0</v>
      </c>
      <c r="R27" s="86">
        <f ca="1">IFERROR(__xludf.DUMMYFUNCTION("IMPORTRANGE(""https://docs.google.com/spreadsheets/d/1ICwG78r0OFT8biBlxnBF8r7she7gNSzOvJ958PWT09c/edit?usp=sharing"",""ลำพูน!Q117"")"),284520)</f>
        <v>284520</v>
      </c>
      <c r="S27" s="86">
        <f ca="1">IFERROR(__xludf.DUMMYFUNCTION("IMPORTRANGE(""https://docs.google.com/spreadsheets/d/1ICwG78r0OFT8biBlxnBF8r7she7gNSzOvJ958PWT09c/edit?usp=sharing"",""ลำพูน!R117"")"),0)</f>
        <v>0</v>
      </c>
      <c r="T27" s="86">
        <f ca="1">IFERROR(__xludf.DUMMYFUNCTION("IMPORTRANGE(""https://docs.google.com/spreadsheets/d/1ICwG78r0OFT8biBlxnBF8r7she7gNSzOvJ958PWT09c/edit?usp=sharing"",""ลำพูน!S117"")"),0)</f>
        <v>0</v>
      </c>
      <c r="U27" s="87">
        <f t="shared" ca="1" si="33"/>
        <v>0</v>
      </c>
      <c r="V27" s="87">
        <f t="shared" ca="1" si="34"/>
        <v>0</v>
      </c>
      <c r="W27" s="93">
        <f ca="1">IFERROR(__xludf.DUMMYFUNCTION("IMPORTRANGE(""https://docs.google.com/spreadsheets/d/1ICwG78r0OFT8biBlxnBF8r7she7gNSzOvJ958PWT09c/edit?usp=sharing"",""ลำพูน!I127"")"),50)</f>
        <v>50</v>
      </c>
      <c r="X27" s="93">
        <f ca="1">IFERROR(__xludf.DUMMYFUNCTION("IMPORTRANGE(""https://docs.google.com/spreadsheets/d/1ICwG78r0OFT8biBlxnBF8r7she7gNSzOvJ958PWT09c/edit?usp=sharing"",""ลำพูน!J127"")"),0)</f>
        <v>0</v>
      </c>
      <c r="Y27" s="177">
        <f t="shared" ca="1" si="36"/>
        <v>0</v>
      </c>
      <c r="Z27" s="93">
        <f ca="1">IFERROR(__xludf.DUMMYFUNCTION("IMPORTRANGE(""https://docs.google.com/spreadsheets/d/1ICwG78r0OFT8biBlxnBF8r7she7gNSzOvJ958PWT09c/edit?usp=sharing"",""ลำพูน!J128"")"),0)</f>
        <v>0</v>
      </c>
      <c r="AA27" s="93">
        <f ca="1">IFERROR(__xludf.DUMMYFUNCTION("IMPORTRANGE(""https://docs.google.com/spreadsheets/d/1ICwG78r0OFT8biBlxnBF8r7she7gNSzOvJ958PWT09c/edit?usp=sharing"",""ลำพูน!I129"")"),20)</f>
        <v>20</v>
      </c>
      <c r="AB27" s="93">
        <f ca="1">IFERROR(__xludf.DUMMYFUNCTION("IMPORTRANGE(""https://docs.google.com/spreadsheets/d/1ICwG78r0OFT8biBlxnBF8r7she7gNSzOvJ958PWT09c/edit?usp=sharing"",""ลำพูน!J129"")"),0)</f>
        <v>0</v>
      </c>
      <c r="AC27" s="177">
        <f t="shared" ca="1" si="38"/>
        <v>0</v>
      </c>
      <c r="AD27" s="177">
        <f ca="1">IFERROR(__xludf.DUMMYFUNCTION("IMPORTRANGE(""https://docs.google.com/spreadsheets/d/1ICwG78r0OFT8biBlxnBF8r7she7gNSzOvJ958PWT09c/edit?usp=sharing"",""ลำพูน!J130"")"),0)</f>
        <v>0</v>
      </c>
      <c r="AE27" s="216">
        <v>0</v>
      </c>
      <c r="AF27" s="216">
        <v>0</v>
      </c>
      <c r="AG27" s="216">
        <v>0</v>
      </c>
    </row>
    <row r="28" spans="1:33" ht="19.5" x14ac:dyDescent="0.3">
      <c r="A28" s="172">
        <v>15</v>
      </c>
      <c r="B28" s="173" t="s">
        <v>54</v>
      </c>
      <c r="C28" s="174">
        <f t="shared" ca="1" si="24"/>
        <v>0</v>
      </c>
      <c r="D28" s="175">
        <f t="shared" ca="1" si="39"/>
        <v>0</v>
      </c>
      <c r="E28" s="176">
        <f ca="1">IFERROR(__xludf.DUMMYFUNCTION("IMPORTRANGE(""https://docs.google.com/spreadsheets/d/1-uDff_7J0KD5mKrp0Vvzr7lt3OU09vwQwhkpOPPYv2Y/edit?usp=sharing"",""งบพรบ!BH28"")"),0)</f>
        <v>0</v>
      </c>
      <c r="F28" s="176">
        <f ca="1">IFERROR(__xludf.DUMMYFUNCTION("IMPORTRANGE(""https://docs.google.com/spreadsheets/d/1-uDff_7J0KD5mKrp0Vvzr7lt3OU09vwQwhkpOPPYv2Y/edit?usp=sharing"",""งบพรบ!BI28"")"),0)</f>
        <v>0</v>
      </c>
      <c r="G28" s="176">
        <f ca="1">IFERROR(__xludf.DUMMYFUNCTION("IMPORTRANGE(""https://docs.google.com/spreadsheets/d/1-uDff_7J0KD5mKrp0Vvzr7lt3OU09vwQwhkpOPPYv2Y/edit?usp=sharing"",""งบพรบ!BJ28"")"),0)</f>
        <v>0</v>
      </c>
      <c r="H28" s="176">
        <f ca="1">IFERROR(__xludf.DUMMYFUNCTION("IMPORTRANGE(""https://docs.google.com/spreadsheets/d/1-uDff_7J0KD5mKrp0Vvzr7lt3OU09vwQwhkpOPPYv2Y/edit?usp=sharing"",""งบพรบ!BL28"")"),0)</f>
        <v>0</v>
      </c>
      <c r="I28" s="176">
        <f ca="1">IFERROR(__xludf.DUMMYFUNCTION("IMPORTRANGE(""https://docs.google.com/spreadsheets/d/1-uDff_7J0KD5mKrp0Vvzr7lt3OU09vwQwhkpOPPYv2Y/edit?usp=sharing"",""งบพรบ!BM28"")"),0)</f>
        <v>0</v>
      </c>
      <c r="J28" s="176">
        <f t="shared" ca="1" si="26"/>
        <v>0</v>
      </c>
      <c r="K28" s="179">
        <f t="shared" ca="1" si="27"/>
        <v>0</v>
      </c>
      <c r="L28" s="176">
        <f ca="1">IFERROR(__xludf.DUMMYFUNCTION("IMPORTRANGE(""https://docs.google.com/spreadsheets/d/1-uDff_7J0KD5mKrp0Vvzr7lt3OU09vwQwhkpOPPYv2Y/edit?usp=sharing"",""งบพรบ!BN28"")"),0)</f>
        <v>0</v>
      </c>
      <c r="M28" s="87">
        <f t="shared" ca="1" si="28"/>
        <v>0</v>
      </c>
      <c r="N28" s="87">
        <f t="shared" ca="1" si="29"/>
        <v>0</v>
      </c>
      <c r="O28" s="86">
        <f ca="1">IFERROR(__xludf.DUMMYFUNCTION("IMPORTRANGE(""https://docs.google.com/spreadsheets/d/1-uDff_7J0KD5mKrp0Vvzr7lt3OU09vwQwhkpOPPYv2Y/edit?usp=sharing"",""งบพรบ!BO28"")"),0)</f>
        <v>0</v>
      </c>
      <c r="P28" s="86">
        <f t="shared" ca="1" si="30"/>
        <v>0</v>
      </c>
      <c r="Q28" s="87">
        <f t="shared" ca="1" si="31"/>
        <v>0</v>
      </c>
      <c r="R28" s="86">
        <f ca="1">IFERROR(__xludf.DUMMYFUNCTION("IMPORTRANGE(""https://docs.google.com/spreadsheets/d/1B0f2xJpZUC6Z0xXnqKlZtEPzsf6L84eP1r1Q15seqRM/edit?usp=sharing"",""สุโขทัย!Q117"")"),408480)</f>
        <v>408480</v>
      </c>
      <c r="S28" s="86">
        <f ca="1">IFERROR(__xludf.DUMMYFUNCTION("IMPORTRANGE(""https://docs.google.com/spreadsheets/d/1B0f2xJpZUC6Z0xXnqKlZtEPzsf6L84eP1r1Q15seqRM/edit?usp=sharing"",""สุโขทัย!R117"")"),0)</f>
        <v>0</v>
      </c>
      <c r="T28" s="86">
        <f ca="1">IFERROR(__xludf.DUMMYFUNCTION("IMPORTRANGE(""https://docs.google.com/spreadsheets/d/1B0f2xJpZUC6Z0xXnqKlZtEPzsf6L84eP1r1Q15seqRM/edit?usp=sharing"",""สุโขทัย!S117"")"),0)</f>
        <v>0</v>
      </c>
      <c r="U28" s="87">
        <f t="shared" ca="1" si="33"/>
        <v>0</v>
      </c>
      <c r="V28" s="87">
        <f t="shared" ca="1" si="34"/>
        <v>0</v>
      </c>
      <c r="W28" s="93">
        <f ca="1">IFERROR(__xludf.DUMMYFUNCTION("IMPORTRANGE(""https://docs.google.com/spreadsheets/d/1B0f2xJpZUC6Z0xXnqKlZtEPzsf6L84eP1r1Q15seqRM/edit?usp=sharing"",""สุโขทัย!I127"")"),100)</f>
        <v>100</v>
      </c>
      <c r="X28" s="93">
        <f ca="1">IFERROR(__xludf.DUMMYFUNCTION("IMPORTRANGE(""https://docs.google.com/spreadsheets/d/1B0f2xJpZUC6Z0xXnqKlZtEPzsf6L84eP1r1Q15seqRM/edit?usp=sharing"",""สุโขทัย!J127"")"),0)</f>
        <v>0</v>
      </c>
      <c r="Y28" s="177">
        <f t="shared" ca="1" si="36"/>
        <v>0</v>
      </c>
      <c r="Z28" s="93">
        <f ca="1">IFERROR(__xludf.DUMMYFUNCTION("IMPORTRANGE(""https://docs.google.com/spreadsheets/d/1B0f2xJpZUC6Z0xXnqKlZtEPzsf6L84eP1r1Q15seqRM/edit?usp=sharing"",""สุโขทัย!J128"")"),0)</f>
        <v>0</v>
      </c>
      <c r="AA28" s="93">
        <f ca="1">IFERROR(__xludf.DUMMYFUNCTION("IMPORTRANGE(""https://docs.google.com/spreadsheets/d/1B0f2xJpZUC6Z0xXnqKlZtEPzsf6L84eP1r1Q15seqRM/edit?usp=sharing"",""สุโขทัย!I129"")"),20)</f>
        <v>20</v>
      </c>
      <c r="AB28" s="93">
        <f ca="1">IFERROR(__xludf.DUMMYFUNCTION("IMPORTRANGE(""https://docs.google.com/spreadsheets/d/1B0f2xJpZUC6Z0xXnqKlZtEPzsf6L84eP1r1Q15seqRM/edit?usp=sharing"",""สุโขทัย!J129"")"),0)</f>
        <v>0</v>
      </c>
      <c r="AC28" s="177">
        <f t="shared" ca="1" si="38"/>
        <v>0</v>
      </c>
      <c r="AD28" s="177">
        <f ca="1">IFERROR(__xludf.DUMMYFUNCTION("IMPORTRANGE(""https://docs.google.com/spreadsheets/d/1B0f2xJpZUC6Z0xXnqKlZtEPzsf6L84eP1r1Q15seqRM/edit?usp=sharing"",""สุโขทัย!J130"")"),0)</f>
        <v>0</v>
      </c>
      <c r="AE28" s="216">
        <v>0</v>
      </c>
      <c r="AF28" s="216">
        <v>0</v>
      </c>
      <c r="AG28" s="216">
        <v>0</v>
      </c>
    </row>
    <row r="29" spans="1:33" ht="19.5" x14ac:dyDescent="0.3">
      <c r="A29" s="172">
        <v>16</v>
      </c>
      <c r="B29" s="173" t="s">
        <v>55</v>
      </c>
      <c r="C29" s="174">
        <f t="shared" ca="1" si="24"/>
        <v>0</v>
      </c>
      <c r="D29" s="175">
        <f t="shared" ca="1" si="39"/>
        <v>0</v>
      </c>
      <c r="E29" s="176">
        <f ca="1">IFERROR(__xludf.DUMMYFUNCTION("IMPORTRANGE(""https://docs.google.com/spreadsheets/d/1-uDff_7J0KD5mKrp0Vvzr7lt3OU09vwQwhkpOPPYv2Y/edit?usp=sharing"",""งบพรบ!BH29"")"),0)</f>
        <v>0</v>
      </c>
      <c r="F29" s="176">
        <f ca="1">IFERROR(__xludf.DUMMYFUNCTION("IMPORTRANGE(""https://docs.google.com/spreadsheets/d/1-uDff_7J0KD5mKrp0Vvzr7lt3OU09vwQwhkpOPPYv2Y/edit?usp=sharing"",""งบพรบ!BI29"")"),0)</f>
        <v>0</v>
      </c>
      <c r="G29" s="176">
        <f ca="1">IFERROR(__xludf.DUMMYFUNCTION("IMPORTRANGE(""https://docs.google.com/spreadsheets/d/1-uDff_7J0KD5mKrp0Vvzr7lt3OU09vwQwhkpOPPYv2Y/edit?usp=sharing"",""งบพรบ!BJ29"")"),0)</f>
        <v>0</v>
      </c>
      <c r="H29" s="176">
        <f ca="1">IFERROR(__xludf.DUMMYFUNCTION("IMPORTRANGE(""https://docs.google.com/spreadsheets/d/1-uDff_7J0KD5mKrp0Vvzr7lt3OU09vwQwhkpOPPYv2Y/edit?usp=sharing"",""งบพรบ!BL29"")"),0)</f>
        <v>0</v>
      </c>
      <c r="I29" s="176">
        <f ca="1">IFERROR(__xludf.DUMMYFUNCTION("IMPORTRANGE(""https://docs.google.com/spreadsheets/d/1-uDff_7J0KD5mKrp0Vvzr7lt3OU09vwQwhkpOPPYv2Y/edit?usp=sharing"",""งบพรบ!BM29"")"),0)</f>
        <v>0</v>
      </c>
      <c r="J29" s="176">
        <f t="shared" ca="1" si="26"/>
        <v>0</v>
      </c>
      <c r="K29" s="179">
        <f t="shared" ca="1" si="27"/>
        <v>0</v>
      </c>
      <c r="L29" s="176">
        <f ca="1">IFERROR(__xludf.DUMMYFUNCTION("IMPORTRANGE(""https://docs.google.com/spreadsheets/d/1-uDff_7J0KD5mKrp0Vvzr7lt3OU09vwQwhkpOPPYv2Y/edit?usp=sharing"",""งบพรบ!BN29"")"),0)</f>
        <v>0</v>
      </c>
      <c r="M29" s="87">
        <f t="shared" ca="1" si="28"/>
        <v>0</v>
      </c>
      <c r="N29" s="87">
        <f t="shared" ca="1" si="29"/>
        <v>0</v>
      </c>
      <c r="O29" s="86">
        <f ca="1">IFERROR(__xludf.DUMMYFUNCTION("IMPORTRANGE(""https://docs.google.com/spreadsheets/d/1-uDff_7J0KD5mKrp0Vvzr7lt3OU09vwQwhkpOPPYv2Y/edit?usp=sharing"",""งบพรบ!BO29"")"),0)</f>
        <v>0</v>
      </c>
      <c r="P29" s="86">
        <f t="shared" ca="1" si="30"/>
        <v>0</v>
      </c>
      <c r="Q29" s="87">
        <f t="shared" ca="1" si="31"/>
        <v>0</v>
      </c>
      <c r="R29" s="86">
        <f ca="1">IFERROR(__xludf.DUMMYFUNCTION("IMPORTRANGE(""https://docs.google.com/spreadsheets/d/1v0b9pFQCsKUVExMei7AgY2yQkdeNQvtOssygGsXbiKo/edit?usp=sharing"",""อุตรดิตถ์!Q117"")"),229220)</f>
        <v>229220</v>
      </c>
      <c r="S29" s="86">
        <f ca="1">IFERROR(__xludf.DUMMYFUNCTION("IMPORTRANGE(""https://docs.google.com/spreadsheets/d/1v0b9pFQCsKUVExMei7AgY2yQkdeNQvtOssygGsXbiKo/edit?usp=sharing"",""อุตรดิตถ์!R117"")"),0)</f>
        <v>0</v>
      </c>
      <c r="T29" s="86">
        <f ca="1">IFERROR(__xludf.DUMMYFUNCTION("IMPORTRANGE(""https://docs.google.com/spreadsheets/d/1v0b9pFQCsKUVExMei7AgY2yQkdeNQvtOssygGsXbiKo/edit?usp=sharing"",""อุตรดิตถ์!S117"")"),0)</f>
        <v>0</v>
      </c>
      <c r="U29" s="87">
        <f t="shared" ca="1" si="33"/>
        <v>0</v>
      </c>
      <c r="V29" s="87">
        <f t="shared" ca="1" si="34"/>
        <v>0</v>
      </c>
      <c r="W29" s="93">
        <f ca="1">IFERROR(__xludf.DUMMYFUNCTION("IMPORTRANGE(""https://docs.google.com/spreadsheets/d/1v0b9pFQCsKUVExMei7AgY2yQkdeNQvtOssygGsXbiKo/edit?usp=sharing"",""อุตรดิตถ์!I127"")"),25)</f>
        <v>25</v>
      </c>
      <c r="X29" s="93">
        <f ca="1">IFERROR(__xludf.DUMMYFUNCTION("IMPORTRANGE(""https://docs.google.com/spreadsheets/d/1v0b9pFQCsKUVExMei7AgY2yQkdeNQvtOssygGsXbiKo/edit?usp=sharing"",""อุตรดิตถ์!J127"")"),0)</f>
        <v>0</v>
      </c>
      <c r="Y29" s="177">
        <f t="shared" ca="1" si="36"/>
        <v>0</v>
      </c>
      <c r="Z29" s="93">
        <f ca="1">IFERROR(__xludf.DUMMYFUNCTION("IMPORTRANGE(""https://docs.google.com/spreadsheets/d/1v0b9pFQCsKUVExMei7AgY2yQkdeNQvtOssygGsXbiKo/edit?usp=sharing"",""อุตรดิตถ์!J128"")"),0)</f>
        <v>0</v>
      </c>
      <c r="AA29" s="93">
        <f ca="1">IFERROR(__xludf.DUMMYFUNCTION("IMPORTRANGE(""https://docs.google.com/spreadsheets/d/1v0b9pFQCsKUVExMei7AgY2yQkdeNQvtOssygGsXbiKo/edit?usp=sharing"",""อุตรดิตถ์!I129"")"),25)</f>
        <v>25</v>
      </c>
      <c r="AB29" s="93">
        <f ca="1">IFERROR(__xludf.DUMMYFUNCTION("IMPORTRANGE(""https://docs.google.com/spreadsheets/d/1v0b9pFQCsKUVExMei7AgY2yQkdeNQvtOssygGsXbiKo/edit?usp=sharing"",""อุตรดิตถ์!J129"")"),0)</f>
        <v>0</v>
      </c>
      <c r="AC29" s="177">
        <f t="shared" ca="1" si="38"/>
        <v>0</v>
      </c>
      <c r="AD29" s="177">
        <f ca="1">IFERROR(__xludf.DUMMYFUNCTION("IMPORTRANGE(""https://docs.google.com/spreadsheets/d/1v0b9pFQCsKUVExMei7AgY2yQkdeNQvtOssygGsXbiKo/edit?usp=sharing"",""อุตรดิตถ์!J130"")"),0)</f>
        <v>0</v>
      </c>
      <c r="AE29" s="216">
        <v>0</v>
      </c>
      <c r="AF29" s="216">
        <v>0</v>
      </c>
      <c r="AG29" s="216">
        <v>0</v>
      </c>
    </row>
    <row r="30" spans="1:33" ht="19.5" x14ac:dyDescent="0.3">
      <c r="A30" s="180">
        <v>17</v>
      </c>
      <c r="B30" s="181" t="s">
        <v>56</v>
      </c>
      <c r="C30" s="182">
        <f t="shared" ca="1" si="24"/>
        <v>0</v>
      </c>
      <c r="D30" s="183">
        <f t="shared" ca="1" si="39"/>
        <v>0</v>
      </c>
      <c r="E30" s="184">
        <f ca="1">IFERROR(__xludf.DUMMYFUNCTION("IMPORTRANGE(""https://docs.google.com/spreadsheets/d/1-uDff_7J0KD5mKrp0Vvzr7lt3OU09vwQwhkpOPPYv2Y/edit?usp=sharing"",""งบพรบ!BH30"")"),0)</f>
        <v>0</v>
      </c>
      <c r="F30" s="184">
        <f ca="1">IFERROR(__xludf.DUMMYFUNCTION("IMPORTRANGE(""https://docs.google.com/spreadsheets/d/1-uDff_7J0KD5mKrp0Vvzr7lt3OU09vwQwhkpOPPYv2Y/edit?usp=sharing"",""งบพรบ!BI30"")"),0)</f>
        <v>0</v>
      </c>
      <c r="G30" s="184">
        <f ca="1">IFERROR(__xludf.DUMMYFUNCTION("IMPORTRANGE(""https://docs.google.com/spreadsheets/d/1-uDff_7J0KD5mKrp0Vvzr7lt3OU09vwQwhkpOPPYv2Y/edit?usp=sharing"",""งบพรบ!BJ30"")"),0)</f>
        <v>0</v>
      </c>
      <c r="H30" s="184">
        <f ca="1">IFERROR(__xludf.DUMMYFUNCTION("IMPORTRANGE(""https://docs.google.com/spreadsheets/d/1-uDff_7J0KD5mKrp0Vvzr7lt3OU09vwQwhkpOPPYv2Y/edit?usp=sharing"",""งบพรบ!BL30"")"),0)</f>
        <v>0</v>
      </c>
      <c r="I30" s="184">
        <f ca="1">IFERROR(__xludf.DUMMYFUNCTION("IMPORTRANGE(""https://docs.google.com/spreadsheets/d/1-uDff_7J0KD5mKrp0Vvzr7lt3OU09vwQwhkpOPPYv2Y/edit?usp=sharing"",""งบพรบ!BM30"")"),0)</f>
        <v>0</v>
      </c>
      <c r="J30" s="184">
        <f t="shared" ca="1" si="26"/>
        <v>0</v>
      </c>
      <c r="K30" s="185">
        <f t="shared" ca="1" si="27"/>
        <v>0</v>
      </c>
      <c r="L30" s="184">
        <f ca="1">IFERROR(__xludf.DUMMYFUNCTION("IMPORTRANGE(""https://docs.google.com/spreadsheets/d/1-uDff_7J0KD5mKrp0Vvzr7lt3OU09vwQwhkpOPPYv2Y/edit?usp=sharing"",""งบพรบ!BN30"")"),0)</f>
        <v>0</v>
      </c>
      <c r="M30" s="109">
        <f t="shared" ca="1" si="28"/>
        <v>0</v>
      </c>
      <c r="N30" s="109">
        <f t="shared" ca="1" si="29"/>
        <v>0</v>
      </c>
      <c r="O30" s="108">
        <f ca="1">IFERROR(__xludf.DUMMYFUNCTION("IMPORTRANGE(""https://docs.google.com/spreadsheets/d/1-uDff_7J0KD5mKrp0Vvzr7lt3OU09vwQwhkpOPPYv2Y/edit?usp=sharing"",""งบพรบ!BO30"")"),0)</f>
        <v>0</v>
      </c>
      <c r="P30" s="108">
        <f t="shared" ca="1" si="30"/>
        <v>0</v>
      </c>
      <c r="Q30" s="109">
        <f t="shared" ca="1" si="31"/>
        <v>0</v>
      </c>
      <c r="R30" s="108">
        <f ca="1">IFERROR(__xludf.DUMMYFUNCTION("IMPORTRANGE(""https://docs.google.com/spreadsheets/d/1UsNK1e-WWiCo2PvGqdNfdme4m17_Ezd3J69EeeiQPD0/edit?usp=sharing"",""อุทัยธานี!Q117"")"),209360)</f>
        <v>209360</v>
      </c>
      <c r="S30" s="108">
        <f ca="1">IFERROR(__xludf.DUMMYFUNCTION("IMPORTRANGE(""https://docs.google.com/spreadsheets/d/1UsNK1e-WWiCo2PvGqdNfdme4m17_Ezd3J69EeeiQPD0/edit?usp=sharing"",""อุทัยธานี!R117"")"),0)</f>
        <v>0</v>
      </c>
      <c r="T30" s="108">
        <f ca="1">IFERROR(__xludf.DUMMYFUNCTION("IMPORTRANGE(""https://docs.google.com/spreadsheets/d/1UsNK1e-WWiCo2PvGqdNfdme4m17_Ezd3J69EeeiQPD0/edit?usp=sharing"",""อุทัยธานี!S117"")"),0)</f>
        <v>0</v>
      </c>
      <c r="U30" s="109">
        <f t="shared" ca="1" si="33"/>
        <v>0</v>
      </c>
      <c r="V30" s="109">
        <f t="shared" ca="1" si="34"/>
        <v>0</v>
      </c>
      <c r="W30" s="104">
        <f ca="1">IFERROR(__xludf.DUMMYFUNCTION("IMPORTRANGE(""https://docs.google.com/spreadsheets/d/1UsNK1e-WWiCo2PvGqdNfdme4m17_Ezd3J69EeeiQPD0/edit?usp=sharing"",""อุทัยธานี!I127"")"),20)</f>
        <v>20</v>
      </c>
      <c r="X30" s="104">
        <f ca="1">IFERROR(__xludf.DUMMYFUNCTION("IMPORTRANGE(""https://docs.google.com/spreadsheets/d/1UsNK1e-WWiCo2PvGqdNfdme4m17_Ezd3J69EeeiQPD0/edit?usp=sharing"",""อุทัยธานี!J127"")"),0)</f>
        <v>0</v>
      </c>
      <c r="Y30" s="186">
        <f t="shared" ca="1" si="36"/>
        <v>0</v>
      </c>
      <c r="Z30" s="104">
        <f ca="1">IFERROR(__xludf.DUMMYFUNCTION("IMPORTRANGE(""https://docs.google.com/spreadsheets/d/1UsNK1e-WWiCo2PvGqdNfdme4m17_Ezd3J69EeeiQPD0/edit?usp=sharing"",""อุทัยธานี!J128"")"),0)</f>
        <v>0</v>
      </c>
      <c r="AA30" s="104">
        <f ca="1">IFERROR(__xludf.DUMMYFUNCTION("IMPORTRANGE(""https://docs.google.com/spreadsheets/d/1UsNK1e-WWiCo2PvGqdNfdme4m17_Ezd3J69EeeiQPD0/edit?usp=sharing"",""อุทัยธานี!I129"")"),20)</f>
        <v>20</v>
      </c>
      <c r="AB30" s="104">
        <f ca="1">IFERROR(__xludf.DUMMYFUNCTION("IMPORTRANGE(""https://docs.google.com/spreadsheets/d/1UsNK1e-WWiCo2PvGqdNfdme4m17_Ezd3J69EeeiQPD0/edit?usp=sharing"",""อุทัยธานี!J129"")"),0)</f>
        <v>0</v>
      </c>
      <c r="AC30" s="186">
        <f t="shared" ca="1" si="38"/>
        <v>0</v>
      </c>
      <c r="AD30" s="186">
        <f ca="1">IFERROR(__xludf.DUMMYFUNCTION("IMPORTRANGE(""https://docs.google.com/spreadsheets/d/1UsNK1e-WWiCo2PvGqdNfdme4m17_Ezd3J69EeeiQPD0/edit?usp=sharing"",""อุทัยธานี!J130"")"),0)</f>
        <v>0</v>
      </c>
      <c r="AE30" s="217">
        <v>0</v>
      </c>
      <c r="AF30" s="217">
        <v>0</v>
      </c>
      <c r="AG30" s="217">
        <v>0</v>
      </c>
    </row>
    <row r="31" spans="1:33" ht="19.5" x14ac:dyDescent="0.3">
      <c r="A31" s="636" t="s">
        <v>57</v>
      </c>
      <c r="B31" s="633"/>
      <c r="C31" s="161">
        <f t="shared" ca="1" si="24"/>
        <v>0</v>
      </c>
      <c r="D31" s="161">
        <f t="shared" ref="D31:I31" ca="1" si="40">SUM(D32:D51)</f>
        <v>0</v>
      </c>
      <c r="E31" s="161">
        <f t="shared" ca="1" si="40"/>
        <v>0</v>
      </c>
      <c r="F31" s="161">
        <f t="shared" ca="1" si="40"/>
        <v>0</v>
      </c>
      <c r="G31" s="161">
        <f t="shared" ca="1" si="40"/>
        <v>0</v>
      </c>
      <c r="H31" s="161">
        <f t="shared" ca="1" si="40"/>
        <v>0</v>
      </c>
      <c r="I31" s="161">
        <f t="shared" ca="1" si="40"/>
        <v>0</v>
      </c>
      <c r="J31" s="161">
        <f t="shared" ca="1" si="26"/>
        <v>0</v>
      </c>
      <c r="K31" s="162">
        <f t="shared" ca="1" si="27"/>
        <v>0</v>
      </c>
      <c r="L31" s="161">
        <f ca="1">SUM(L32:L51)</f>
        <v>0</v>
      </c>
      <c r="M31" s="40">
        <f t="shared" ca="1" si="28"/>
        <v>0</v>
      </c>
      <c r="N31" s="40">
        <f t="shared" ca="1" si="29"/>
        <v>0</v>
      </c>
      <c r="O31" s="39">
        <f ca="1">SUM(O32:O51)</f>
        <v>0</v>
      </c>
      <c r="P31" s="39">
        <f t="shared" ca="1" si="30"/>
        <v>0</v>
      </c>
      <c r="Q31" s="40">
        <f t="shared" ca="1" si="31"/>
        <v>0</v>
      </c>
      <c r="R31" s="39">
        <f t="shared" ref="R31:T31" ca="1" si="41">SUM(R32:R51)</f>
        <v>4716070</v>
      </c>
      <c r="S31" s="39">
        <f t="shared" ca="1" si="41"/>
        <v>0</v>
      </c>
      <c r="T31" s="39">
        <f t="shared" ca="1" si="41"/>
        <v>21463.25</v>
      </c>
      <c r="U31" s="40">
        <f t="shared" ca="1" si="33"/>
        <v>0.4551088088175112</v>
      </c>
      <c r="V31" s="40">
        <f t="shared" ca="1" si="34"/>
        <v>0</v>
      </c>
      <c r="W31" s="71">
        <f t="shared" ref="W31:X31" ca="1" si="42">SUM(W32:W51)</f>
        <v>589</v>
      </c>
      <c r="X31" s="71">
        <f t="shared" ca="1" si="42"/>
        <v>0</v>
      </c>
      <c r="Y31" s="161">
        <f t="shared" ca="1" si="36"/>
        <v>0</v>
      </c>
      <c r="Z31" s="71">
        <f t="shared" ref="Z31:AB31" ca="1" si="43">SUM(Z32:Z51)</f>
        <v>0</v>
      </c>
      <c r="AA31" s="71">
        <f t="shared" ca="1" si="43"/>
        <v>454</v>
      </c>
      <c r="AB31" s="71">
        <f t="shared" ca="1" si="43"/>
        <v>0</v>
      </c>
      <c r="AC31" s="161">
        <f t="shared" ca="1" si="38"/>
        <v>0</v>
      </c>
      <c r="AD31" s="161">
        <f ca="1">SUM(AD32:AD51)</f>
        <v>0</v>
      </c>
      <c r="AE31" s="218">
        <v>0</v>
      </c>
      <c r="AF31" s="218">
        <v>0</v>
      </c>
      <c r="AG31" s="214">
        <v>0</v>
      </c>
    </row>
    <row r="32" spans="1:33" ht="19.5" x14ac:dyDescent="0.3">
      <c r="A32" s="172">
        <v>1</v>
      </c>
      <c r="B32" s="173" t="s">
        <v>58</v>
      </c>
      <c r="C32" s="174">
        <f t="shared" ca="1" si="24"/>
        <v>0</v>
      </c>
      <c r="D32" s="175">
        <f t="shared" ref="D32:D51" ca="1" si="44">+E32+F32</f>
        <v>0</v>
      </c>
      <c r="E32" s="176">
        <f ca="1">IFERROR(__xludf.DUMMYFUNCTION("IMPORTRANGE(""https://docs.google.com/spreadsheets/d/1-uDff_7J0KD5mKrp0Vvzr7lt3OU09vwQwhkpOPPYv2Y/edit?usp=sharing"",""งบพรบ!BH32"")"),0)</f>
        <v>0</v>
      </c>
      <c r="F32" s="176">
        <f ca="1">IFERROR(__xludf.DUMMYFUNCTION("IMPORTRANGE(""https://docs.google.com/spreadsheets/d/1-uDff_7J0KD5mKrp0Vvzr7lt3OU09vwQwhkpOPPYv2Y/edit?usp=sharing"",""งบพรบ!BI32"")"),0)</f>
        <v>0</v>
      </c>
      <c r="G32" s="177">
        <f ca="1">IFERROR(__xludf.DUMMYFUNCTION("IMPORTRANGE(""https://docs.google.com/spreadsheets/d/1-uDff_7J0KD5mKrp0Vvzr7lt3OU09vwQwhkpOPPYv2Y/edit?usp=sharing"",""งบพรบ!BJ32"")"),0)</f>
        <v>0</v>
      </c>
      <c r="H32" s="177">
        <f ca="1">IFERROR(__xludf.DUMMYFUNCTION("IMPORTRANGE(""https://docs.google.com/spreadsheets/d/1-uDff_7J0KD5mKrp0Vvzr7lt3OU09vwQwhkpOPPYv2Y/edit?usp=sharing"",""งบพรบ!BL32"")"),0)</f>
        <v>0</v>
      </c>
      <c r="I32" s="177">
        <f ca="1">IFERROR(__xludf.DUMMYFUNCTION("IMPORTRANGE(""https://docs.google.com/spreadsheets/d/1-uDff_7J0KD5mKrp0Vvzr7lt3OU09vwQwhkpOPPYv2Y/edit?usp=sharing"",""งบพรบ!BM32"")"),0)</f>
        <v>0</v>
      </c>
      <c r="J32" s="177">
        <f t="shared" ca="1" si="26"/>
        <v>0</v>
      </c>
      <c r="K32" s="178">
        <f t="shared" ca="1" si="27"/>
        <v>0</v>
      </c>
      <c r="L32" s="177">
        <f ca="1">IFERROR(__xludf.DUMMYFUNCTION("IMPORTRANGE(""https://docs.google.com/spreadsheets/d/1-uDff_7J0KD5mKrp0Vvzr7lt3OU09vwQwhkpOPPYv2Y/edit?usp=sharing"",""งบพรบ!BN32"")"),0)</f>
        <v>0</v>
      </c>
      <c r="M32" s="87">
        <f t="shared" ca="1" si="28"/>
        <v>0</v>
      </c>
      <c r="N32" s="87">
        <f t="shared" ca="1" si="29"/>
        <v>0</v>
      </c>
      <c r="O32" s="86">
        <f ca="1">IFERROR(__xludf.DUMMYFUNCTION("IMPORTRANGE(""https://docs.google.com/spreadsheets/d/1-uDff_7J0KD5mKrp0Vvzr7lt3OU09vwQwhkpOPPYv2Y/edit?usp=sharing"",""งบพรบ!BO32"")"),0)</f>
        <v>0</v>
      </c>
      <c r="P32" s="86">
        <f t="shared" ca="1" si="30"/>
        <v>0</v>
      </c>
      <c r="Q32" s="87">
        <f t="shared" ca="1" si="31"/>
        <v>0</v>
      </c>
      <c r="R32" s="86">
        <f ca="1">IFERROR(__xludf.DUMMYFUNCTION("IMPORTRANGE(""https://docs.google.com/spreadsheets/d/1yhBcrRPreicbMKl9Bu_Snb2-OcQAF62RKfhTLhJ2eAA/edit?usp=sharing"",""กาฬสินธุ์!Q117"")"),209360)</f>
        <v>209360</v>
      </c>
      <c r="S32" s="86">
        <f ca="1">IFERROR(__xludf.DUMMYFUNCTION("IMPORTRANGE(""https://docs.google.com/spreadsheets/d/1yhBcrRPreicbMKl9Bu_Snb2-OcQAF62RKfhTLhJ2eAA/edit?usp=sharing"",""กาฬสินธุ์!R117"")"),0)</f>
        <v>0</v>
      </c>
      <c r="T32" s="86">
        <f ca="1">IFERROR(__xludf.DUMMYFUNCTION("IMPORTRANGE(""https://docs.google.com/spreadsheets/d/1yhBcrRPreicbMKl9Bu_Snb2-OcQAF62RKfhTLhJ2eAA/edit?usp=sharing"",""กาฬสินธุ์!S117"")"),0)</f>
        <v>0</v>
      </c>
      <c r="U32" s="87">
        <f t="shared" ca="1" si="33"/>
        <v>0</v>
      </c>
      <c r="V32" s="87">
        <f t="shared" ca="1" si="34"/>
        <v>0</v>
      </c>
      <c r="W32" s="81">
        <f ca="1">IFERROR(__xludf.DUMMYFUNCTION("IMPORTRANGE(""https://docs.google.com/spreadsheets/d/1yhBcrRPreicbMKl9Bu_Snb2-OcQAF62RKfhTLhJ2eAA/edit?usp=sharing"",""กาฬสินธุ์!I127"")"),20)</f>
        <v>20</v>
      </c>
      <c r="X32" s="81">
        <f ca="1">IFERROR(__xludf.DUMMYFUNCTION("IMPORTRANGE(""https://docs.google.com/spreadsheets/d/1yhBcrRPreicbMKl9Bu_Snb2-OcQAF62RKfhTLhJ2eAA/edit?usp=sharing"",""กาฬสินธุ์!J127"")"),0)</f>
        <v>0</v>
      </c>
      <c r="Y32" s="177">
        <f t="shared" ca="1" si="36"/>
        <v>0</v>
      </c>
      <c r="Z32" s="81">
        <f ca="1">IFERROR(__xludf.DUMMYFUNCTION("IMPORTRANGE(""https://docs.google.com/spreadsheets/d/1yhBcrRPreicbMKl9Bu_Snb2-OcQAF62RKfhTLhJ2eAA/edit?usp=sharing"",""กาฬสินธุ์!J128"")"),0)</f>
        <v>0</v>
      </c>
      <c r="AA32" s="81">
        <f ca="1">IFERROR(__xludf.DUMMYFUNCTION("IMPORTRANGE(""https://docs.google.com/spreadsheets/d/1yhBcrRPreicbMKl9Bu_Snb2-OcQAF62RKfhTLhJ2eAA/edit?usp=sharing"",""กาฬสินธุ์!I129"")"),20)</f>
        <v>20</v>
      </c>
      <c r="AB32" s="81">
        <f ca="1">IFERROR(__xludf.DUMMYFUNCTION("IMPORTRANGE(""https://docs.google.com/spreadsheets/d/1yhBcrRPreicbMKl9Bu_Snb2-OcQAF62RKfhTLhJ2eAA/edit?usp=sharing"",""กาฬสินธุ์!J129"")"),0)</f>
        <v>0</v>
      </c>
      <c r="AC32" s="177">
        <f t="shared" ca="1" si="38"/>
        <v>0</v>
      </c>
      <c r="AD32" s="177">
        <f ca="1">IFERROR(__xludf.DUMMYFUNCTION("IMPORTRANGE(""https://docs.google.com/spreadsheets/d/1yhBcrRPreicbMKl9Bu_Snb2-OcQAF62RKfhTLhJ2eAA/edit?usp=sharing"",""กาฬสินธุ์!J130"")"),0)</f>
        <v>0</v>
      </c>
      <c r="AE32" s="215">
        <v>0</v>
      </c>
      <c r="AF32" s="215">
        <v>0</v>
      </c>
      <c r="AG32" s="219">
        <v>0</v>
      </c>
    </row>
    <row r="33" spans="1:33" ht="19.5" x14ac:dyDescent="0.3">
      <c r="A33" s="172">
        <v>2</v>
      </c>
      <c r="B33" s="173" t="s">
        <v>59</v>
      </c>
      <c r="C33" s="174">
        <f t="shared" ca="1" si="24"/>
        <v>0</v>
      </c>
      <c r="D33" s="175">
        <f t="shared" ca="1" si="44"/>
        <v>0</v>
      </c>
      <c r="E33" s="176">
        <f ca="1">IFERROR(__xludf.DUMMYFUNCTION("IMPORTRANGE(""https://docs.google.com/spreadsheets/d/1-uDff_7J0KD5mKrp0Vvzr7lt3OU09vwQwhkpOPPYv2Y/edit?usp=sharing"",""งบพรบ!BH33"")"),0)</f>
        <v>0</v>
      </c>
      <c r="F33" s="176">
        <f ca="1">IFERROR(__xludf.DUMMYFUNCTION("IMPORTRANGE(""https://docs.google.com/spreadsheets/d/1-uDff_7J0KD5mKrp0Vvzr7lt3OU09vwQwhkpOPPYv2Y/edit?usp=sharing"",""งบพรบ!BI33"")"),0)</f>
        <v>0</v>
      </c>
      <c r="G33" s="176">
        <f ca="1">IFERROR(__xludf.DUMMYFUNCTION("IMPORTRANGE(""https://docs.google.com/spreadsheets/d/1-uDff_7J0KD5mKrp0Vvzr7lt3OU09vwQwhkpOPPYv2Y/edit?usp=sharing"",""งบพรบ!BJ33"")"),0)</f>
        <v>0</v>
      </c>
      <c r="H33" s="176">
        <f ca="1">IFERROR(__xludf.DUMMYFUNCTION("IMPORTRANGE(""https://docs.google.com/spreadsheets/d/1-uDff_7J0KD5mKrp0Vvzr7lt3OU09vwQwhkpOPPYv2Y/edit?usp=sharing"",""งบพรบ!BL33"")"),0)</f>
        <v>0</v>
      </c>
      <c r="I33" s="176">
        <f ca="1">IFERROR(__xludf.DUMMYFUNCTION("IMPORTRANGE(""https://docs.google.com/spreadsheets/d/1-uDff_7J0KD5mKrp0Vvzr7lt3OU09vwQwhkpOPPYv2Y/edit?usp=sharing"",""งบพรบ!BM33"")"),0)</f>
        <v>0</v>
      </c>
      <c r="J33" s="176">
        <f t="shared" ca="1" si="26"/>
        <v>0</v>
      </c>
      <c r="K33" s="179">
        <f t="shared" ca="1" si="27"/>
        <v>0</v>
      </c>
      <c r="L33" s="176">
        <f ca="1">IFERROR(__xludf.DUMMYFUNCTION("IMPORTRANGE(""https://docs.google.com/spreadsheets/d/1-uDff_7J0KD5mKrp0Vvzr7lt3OU09vwQwhkpOPPYv2Y/edit?usp=sharing"",""งบพรบ!BN33"")"),0)</f>
        <v>0</v>
      </c>
      <c r="M33" s="87">
        <f t="shared" ca="1" si="28"/>
        <v>0</v>
      </c>
      <c r="N33" s="87">
        <f t="shared" ca="1" si="29"/>
        <v>0</v>
      </c>
      <c r="O33" s="86">
        <f ca="1">IFERROR(__xludf.DUMMYFUNCTION("IMPORTRANGE(""https://docs.google.com/spreadsheets/d/1-uDff_7J0KD5mKrp0Vvzr7lt3OU09vwQwhkpOPPYv2Y/edit?usp=sharing"",""งบพรบ!BO33"")"),0)</f>
        <v>0</v>
      </c>
      <c r="P33" s="86">
        <f t="shared" ca="1" si="30"/>
        <v>0</v>
      </c>
      <c r="Q33" s="87">
        <f t="shared" ca="1" si="31"/>
        <v>0</v>
      </c>
      <c r="R33" s="86">
        <f ca="1">IFERROR(__xludf.DUMMYFUNCTION("IMPORTRANGE(""https://docs.google.com/spreadsheets/d/1aHkj4IaQMThhwWwevcOymEh837vdxeC_PycurhTbGFA/edit?usp=sharing"",""ขอนแก่น!Q117"")"),209360)</f>
        <v>209360</v>
      </c>
      <c r="S33" s="86">
        <f ca="1">IFERROR(__xludf.DUMMYFUNCTION("IMPORTRANGE(""https://docs.google.com/spreadsheets/d/1aHkj4IaQMThhwWwevcOymEh837vdxeC_PycurhTbGFA/edit?usp=sharing"",""ขอนแก่น!R117"")"),0)</f>
        <v>0</v>
      </c>
      <c r="T33" s="86">
        <f ca="1">IFERROR(__xludf.DUMMYFUNCTION("IMPORTRANGE(""https://docs.google.com/spreadsheets/d/1aHkj4IaQMThhwWwevcOymEh837vdxeC_PycurhTbGFA/edit?usp=sharing"",""ขอนแก่น!S117"")"),0)</f>
        <v>0</v>
      </c>
      <c r="U33" s="87">
        <f t="shared" ca="1" si="33"/>
        <v>0</v>
      </c>
      <c r="V33" s="87">
        <f t="shared" ca="1" si="34"/>
        <v>0</v>
      </c>
      <c r="W33" s="93">
        <f ca="1">IFERROR(__xludf.DUMMYFUNCTION("IMPORTRANGE(""https://docs.google.com/spreadsheets/d/1aHkj4IaQMThhwWwevcOymEh837vdxeC_PycurhTbGFA/edit?usp=sharing"",""ขอนแก่น!I127"")"),20)</f>
        <v>20</v>
      </c>
      <c r="X33" s="93">
        <f ca="1">IFERROR(__xludf.DUMMYFUNCTION("IMPORTRANGE(""https://docs.google.com/spreadsheets/d/1aHkj4IaQMThhwWwevcOymEh837vdxeC_PycurhTbGFA/edit?usp=sharing"",""ขอนแก่น!J127"")"),0)</f>
        <v>0</v>
      </c>
      <c r="Y33" s="177">
        <f t="shared" ca="1" si="36"/>
        <v>0</v>
      </c>
      <c r="Z33" s="93">
        <f ca="1">IFERROR(__xludf.DUMMYFUNCTION("IMPORTRANGE(""https://docs.google.com/spreadsheets/d/1aHkj4IaQMThhwWwevcOymEh837vdxeC_PycurhTbGFA/edit?usp=sharing"",""ขอนแก่น!J128"")"),0)</f>
        <v>0</v>
      </c>
      <c r="AA33" s="93">
        <f ca="1">IFERROR(__xludf.DUMMYFUNCTION("IMPORTRANGE(""https://docs.google.com/spreadsheets/d/1aHkj4IaQMThhwWwevcOymEh837vdxeC_PycurhTbGFA/edit?usp=sharing"",""ขอนแก่น!I129"")"),20)</f>
        <v>20</v>
      </c>
      <c r="AB33" s="93">
        <f ca="1">IFERROR(__xludf.DUMMYFUNCTION("IMPORTRANGE(""https://docs.google.com/spreadsheets/d/1aHkj4IaQMThhwWwevcOymEh837vdxeC_PycurhTbGFA/edit?usp=sharing"",""ขอนแก่น!J129"")"),0)</f>
        <v>0</v>
      </c>
      <c r="AC33" s="177">
        <f t="shared" ca="1" si="38"/>
        <v>0</v>
      </c>
      <c r="AD33" s="177">
        <f ca="1">IFERROR(__xludf.DUMMYFUNCTION("IMPORTRANGE(""https://docs.google.com/spreadsheets/d/1aHkj4IaQMThhwWwevcOymEh837vdxeC_PycurhTbGFA/edit?usp=sharing"",""ขอนแก่น!J130"")"),0)</f>
        <v>0</v>
      </c>
      <c r="AE33" s="216">
        <v>0</v>
      </c>
      <c r="AF33" s="216">
        <v>0</v>
      </c>
      <c r="AG33" s="219">
        <v>0</v>
      </c>
    </row>
    <row r="34" spans="1:33" ht="19.5" x14ac:dyDescent="0.3">
      <c r="A34" s="172">
        <v>3</v>
      </c>
      <c r="B34" s="173" t="s">
        <v>60</v>
      </c>
      <c r="C34" s="174">
        <f t="shared" ca="1" si="24"/>
        <v>0</v>
      </c>
      <c r="D34" s="175">
        <f t="shared" ca="1" si="44"/>
        <v>0</v>
      </c>
      <c r="E34" s="176">
        <f ca="1">IFERROR(__xludf.DUMMYFUNCTION("IMPORTRANGE(""https://docs.google.com/spreadsheets/d/1-uDff_7J0KD5mKrp0Vvzr7lt3OU09vwQwhkpOPPYv2Y/edit?usp=sharing"",""งบพรบ!BH34"")"),0)</f>
        <v>0</v>
      </c>
      <c r="F34" s="176">
        <f ca="1">IFERROR(__xludf.DUMMYFUNCTION("IMPORTRANGE(""https://docs.google.com/spreadsheets/d/1-uDff_7J0KD5mKrp0Vvzr7lt3OU09vwQwhkpOPPYv2Y/edit?usp=sharing"",""งบพรบ!BI34"")"),0)</f>
        <v>0</v>
      </c>
      <c r="G34" s="176">
        <f ca="1">IFERROR(__xludf.DUMMYFUNCTION("IMPORTRANGE(""https://docs.google.com/spreadsheets/d/1-uDff_7J0KD5mKrp0Vvzr7lt3OU09vwQwhkpOPPYv2Y/edit?usp=sharing"",""งบพรบ!BJ34"")"),0)</f>
        <v>0</v>
      </c>
      <c r="H34" s="176">
        <f ca="1">IFERROR(__xludf.DUMMYFUNCTION("IMPORTRANGE(""https://docs.google.com/spreadsheets/d/1-uDff_7J0KD5mKrp0Vvzr7lt3OU09vwQwhkpOPPYv2Y/edit?usp=sharing"",""งบพรบ!BL34"")"),0)</f>
        <v>0</v>
      </c>
      <c r="I34" s="176">
        <f ca="1">IFERROR(__xludf.DUMMYFUNCTION("IMPORTRANGE(""https://docs.google.com/spreadsheets/d/1-uDff_7J0KD5mKrp0Vvzr7lt3OU09vwQwhkpOPPYv2Y/edit?usp=sharing"",""งบพรบ!BM34"")"),0)</f>
        <v>0</v>
      </c>
      <c r="J34" s="176">
        <f t="shared" ca="1" si="26"/>
        <v>0</v>
      </c>
      <c r="K34" s="179">
        <f t="shared" ca="1" si="27"/>
        <v>0</v>
      </c>
      <c r="L34" s="176">
        <f ca="1">IFERROR(__xludf.DUMMYFUNCTION("IMPORTRANGE(""https://docs.google.com/spreadsheets/d/1-uDff_7J0KD5mKrp0Vvzr7lt3OU09vwQwhkpOPPYv2Y/edit?usp=sharing"",""งบพรบ!BN34"")"),0)</f>
        <v>0</v>
      </c>
      <c r="M34" s="87">
        <f t="shared" ca="1" si="28"/>
        <v>0</v>
      </c>
      <c r="N34" s="87">
        <f t="shared" ca="1" si="29"/>
        <v>0</v>
      </c>
      <c r="O34" s="86">
        <f ca="1">IFERROR(__xludf.DUMMYFUNCTION("IMPORTRANGE(""https://docs.google.com/spreadsheets/d/1-uDff_7J0KD5mKrp0Vvzr7lt3OU09vwQwhkpOPPYv2Y/edit?usp=sharing"",""งบพรบ!BO34"")"),0)</f>
        <v>0</v>
      </c>
      <c r="P34" s="86">
        <f t="shared" ca="1" si="30"/>
        <v>0</v>
      </c>
      <c r="Q34" s="87">
        <f t="shared" ca="1" si="31"/>
        <v>0</v>
      </c>
      <c r="R34" s="86">
        <f ca="1">IFERROR(__xludf.DUMMYFUNCTION("IMPORTRANGE(""https://docs.google.com/spreadsheets/d/1FvTu2DsIWUjP6WCWra38Bkj_oOl_sOMf14r5Fg5srxU/edit?usp=sharing"",""ชัยภูมิ!Q117"")"),191460)</f>
        <v>191460</v>
      </c>
      <c r="S34" s="86">
        <f ca="1">IFERROR(__xludf.DUMMYFUNCTION("IMPORTRANGE(""https://docs.google.com/spreadsheets/d/1FvTu2DsIWUjP6WCWra38Bkj_oOl_sOMf14r5Fg5srxU/edit?usp=sharing"",""ชัยภูมิ!R117"")"),0)</f>
        <v>0</v>
      </c>
      <c r="T34" s="86">
        <f ca="1">IFERROR(__xludf.DUMMYFUNCTION("IMPORTRANGE(""https://docs.google.com/spreadsheets/d/1FvTu2DsIWUjP6WCWra38Bkj_oOl_sOMf14r5Fg5srxU/edit?usp=sharing"",""ชัยภูมิ!S117"")"),6160)</f>
        <v>6160</v>
      </c>
      <c r="U34" s="87">
        <f t="shared" ca="1" si="33"/>
        <v>3.2173822208294163</v>
      </c>
      <c r="V34" s="87">
        <f t="shared" ca="1" si="34"/>
        <v>0</v>
      </c>
      <c r="W34" s="93">
        <f ca="1">IFERROR(__xludf.DUMMYFUNCTION("IMPORTRANGE(""https://docs.google.com/spreadsheets/d/1FvTu2DsIWUjP6WCWra38Bkj_oOl_sOMf14r5Fg5srxU/edit?usp=sharing"",""ชัยภูมิ!I127"")"),15)</f>
        <v>15</v>
      </c>
      <c r="X34" s="93">
        <f ca="1">IFERROR(__xludf.DUMMYFUNCTION("IMPORTRANGE(""https://docs.google.com/spreadsheets/d/1FvTu2DsIWUjP6WCWra38Bkj_oOl_sOMf14r5Fg5srxU/edit?usp=sharing"",""ชัยภูมิ!J127"")"),0)</f>
        <v>0</v>
      </c>
      <c r="Y34" s="177">
        <f t="shared" ca="1" si="36"/>
        <v>0</v>
      </c>
      <c r="Z34" s="93">
        <f ca="1">IFERROR(__xludf.DUMMYFUNCTION("IMPORTRANGE(""https://docs.google.com/spreadsheets/d/1FvTu2DsIWUjP6WCWra38Bkj_oOl_sOMf14r5Fg5srxU/edit?usp=sharing"",""ชัยภูมิ!J128"")"),0)</f>
        <v>0</v>
      </c>
      <c r="AA34" s="93">
        <f ca="1">IFERROR(__xludf.DUMMYFUNCTION("IMPORTRANGE(""https://docs.google.com/spreadsheets/d/1FvTu2DsIWUjP6WCWra38Bkj_oOl_sOMf14r5Fg5srxU/edit?usp=sharing"",""ชัยภูมิ!I129"")"),15)</f>
        <v>15</v>
      </c>
      <c r="AB34" s="93">
        <f ca="1">IFERROR(__xludf.DUMMYFUNCTION("IMPORTRANGE(""https://docs.google.com/spreadsheets/d/1FvTu2DsIWUjP6WCWra38Bkj_oOl_sOMf14r5Fg5srxU/edit?usp=sharing"",""ชัยภูมิ!J129"")"),0)</f>
        <v>0</v>
      </c>
      <c r="AC34" s="177">
        <f t="shared" ca="1" si="38"/>
        <v>0</v>
      </c>
      <c r="AD34" s="177">
        <f ca="1">IFERROR(__xludf.DUMMYFUNCTION("IMPORTRANGE(""https://docs.google.com/spreadsheets/d/1FvTu2DsIWUjP6WCWra38Bkj_oOl_sOMf14r5Fg5srxU/edit?usp=sharing"",""ชัยภูมิ!J130"")"),0)</f>
        <v>0</v>
      </c>
      <c r="AE34" s="216">
        <v>0</v>
      </c>
      <c r="AF34" s="216">
        <v>0</v>
      </c>
      <c r="AG34" s="219">
        <v>0</v>
      </c>
    </row>
    <row r="35" spans="1:33" ht="19.5" x14ac:dyDescent="0.3">
      <c r="A35" s="172">
        <v>4</v>
      </c>
      <c r="B35" s="173" t="s">
        <v>61</v>
      </c>
      <c r="C35" s="174">
        <f t="shared" ca="1" si="24"/>
        <v>0</v>
      </c>
      <c r="D35" s="175">
        <f t="shared" ca="1" si="44"/>
        <v>0</v>
      </c>
      <c r="E35" s="176">
        <f ca="1">IFERROR(__xludf.DUMMYFUNCTION("IMPORTRANGE(""https://docs.google.com/spreadsheets/d/1-uDff_7J0KD5mKrp0Vvzr7lt3OU09vwQwhkpOPPYv2Y/edit?usp=sharing"",""งบพรบ!BH35"")"),0)</f>
        <v>0</v>
      </c>
      <c r="F35" s="176">
        <f ca="1">IFERROR(__xludf.DUMMYFUNCTION("IMPORTRANGE(""https://docs.google.com/spreadsheets/d/1-uDff_7J0KD5mKrp0Vvzr7lt3OU09vwQwhkpOPPYv2Y/edit?usp=sharing"",""งบพรบ!BI35"")"),0)</f>
        <v>0</v>
      </c>
      <c r="G35" s="176">
        <f ca="1">IFERROR(__xludf.DUMMYFUNCTION("IMPORTRANGE(""https://docs.google.com/spreadsheets/d/1-uDff_7J0KD5mKrp0Vvzr7lt3OU09vwQwhkpOPPYv2Y/edit?usp=sharing"",""งบพรบ!BJ35"")"),0)</f>
        <v>0</v>
      </c>
      <c r="H35" s="176">
        <f ca="1">IFERROR(__xludf.DUMMYFUNCTION("IMPORTRANGE(""https://docs.google.com/spreadsheets/d/1-uDff_7J0KD5mKrp0Vvzr7lt3OU09vwQwhkpOPPYv2Y/edit?usp=sharing"",""งบพรบ!BL35"")"),0)</f>
        <v>0</v>
      </c>
      <c r="I35" s="176">
        <f ca="1">IFERROR(__xludf.DUMMYFUNCTION("IMPORTRANGE(""https://docs.google.com/spreadsheets/d/1-uDff_7J0KD5mKrp0Vvzr7lt3OU09vwQwhkpOPPYv2Y/edit?usp=sharing"",""งบพรบ!BM35"")"),0)</f>
        <v>0</v>
      </c>
      <c r="J35" s="176">
        <f t="shared" ca="1" si="26"/>
        <v>0</v>
      </c>
      <c r="K35" s="179">
        <f t="shared" ca="1" si="27"/>
        <v>0</v>
      </c>
      <c r="L35" s="176">
        <f ca="1">IFERROR(__xludf.DUMMYFUNCTION("IMPORTRANGE(""https://docs.google.com/spreadsheets/d/1-uDff_7J0KD5mKrp0Vvzr7lt3OU09vwQwhkpOPPYv2Y/edit?usp=sharing"",""งบพรบ!BN35"")"),0)</f>
        <v>0</v>
      </c>
      <c r="M35" s="87">
        <f t="shared" ca="1" si="28"/>
        <v>0</v>
      </c>
      <c r="N35" s="87">
        <f t="shared" ca="1" si="29"/>
        <v>0</v>
      </c>
      <c r="O35" s="86">
        <f ca="1">IFERROR(__xludf.DUMMYFUNCTION("IMPORTRANGE(""https://docs.google.com/spreadsheets/d/1-uDff_7J0KD5mKrp0Vvzr7lt3OU09vwQwhkpOPPYv2Y/edit?usp=sharing"",""งบพรบ!BO35"")"),0)</f>
        <v>0</v>
      </c>
      <c r="P35" s="86">
        <f t="shared" ca="1" si="30"/>
        <v>0</v>
      </c>
      <c r="Q35" s="87">
        <f t="shared" ca="1" si="31"/>
        <v>0</v>
      </c>
      <c r="R35" s="86">
        <f ca="1">IFERROR(__xludf.DUMMYFUNCTION("IMPORTRANGE(""https://docs.google.com/spreadsheets/d/1XVB7oCJ3pr-vBUdflwPQ8Z2LlzhnCvZaaYjAfP-647E/edit?usp=sharing"",""นครพนม!Q117"")"),227060)</f>
        <v>227060</v>
      </c>
      <c r="S35" s="86">
        <f ca="1">IFERROR(__xludf.DUMMYFUNCTION("IMPORTRANGE(""https://docs.google.com/spreadsheets/d/1XVB7oCJ3pr-vBUdflwPQ8Z2LlzhnCvZaaYjAfP-647E/edit?usp=sharing"",""นครพนม!R117"")"),0)</f>
        <v>0</v>
      </c>
      <c r="T35" s="86">
        <f ca="1">IFERROR(__xludf.DUMMYFUNCTION("IMPORTRANGE(""https://docs.google.com/spreadsheets/d/1XVB7oCJ3pr-vBUdflwPQ8Z2LlzhnCvZaaYjAfP-647E/edit?usp=sharing"",""นครพนม!S117"")"),0)</f>
        <v>0</v>
      </c>
      <c r="U35" s="87">
        <f t="shared" ca="1" si="33"/>
        <v>0</v>
      </c>
      <c r="V35" s="87">
        <f t="shared" ca="1" si="34"/>
        <v>0</v>
      </c>
      <c r="W35" s="93">
        <f ca="1">IFERROR(__xludf.DUMMYFUNCTION("IMPORTRANGE(""https://docs.google.com/spreadsheets/d/1XVB7oCJ3pr-vBUdflwPQ8Z2LlzhnCvZaaYjAfP-647E/edit?usp=sharing"",""นครพนม!I127"")"),25)</f>
        <v>25</v>
      </c>
      <c r="X35" s="93">
        <f ca="1">IFERROR(__xludf.DUMMYFUNCTION("IMPORTRANGE(""https://docs.google.com/spreadsheets/d/1XVB7oCJ3pr-vBUdflwPQ8Z2LlzhnCvZaaYjAfP-647E/edit?usp=sharing"",""นครพนม!J127"")"),0)</f>
        <v>0</v>
      </c>
      <c r="Y35" s="177">
        <f t="shared" ca="1" si="36"/>
        <v>0</v>
      </c>
      <c r="Z35" s="93">
        <f ca="1">IFERROR(__xludf.DUMMYFUNCTION("IMPORTRANGE(""https://docs.google.com/spreadsheets/d/1XVB7oCJ3pr-vBUdflwPQ8Z2LlzhnCvZaaYjAfP-647E/edit?usp=sharing"",""นครพนม!J128"")"),0)</f>
        <v>0</v>
      </c>
      <c r="AA35" s="93">
        <f ca="1">IFERROR(__xludf.DUMMYFUNCTION("IMPORTRANGE(""https://docs.google.com/spreadsheets/d/1XVB7oCJ3pr-vBUdflwPQ8Z2LlzhnCvZaaYjAfP-647E/edit?usp=sharing"",""นครพนม!I129"")"),25)</f>
        <v>25</v>
      </c>
      <c r="AB35" s="93">
        <f ca="1">IFERROR(__xludf.DUMMYFUNCTION("IMPORTRANGE(""https://docs.google.com/spreadsheets/d/1XVB7oCJ3pr-vBUdflwPQ8Z2LlzhnCvZaaYjAfP-647E/edit?usp=sharing"",""นครพนม!J129"")"),0)</f>
        <v>0</v>
      </c>
      <c r="AC35" s="177">
        <f t="shared" ca="1" si="38"/>
        <v>0</v>
      </c>
      <c r="AD35" s="177">
        <f ca="1">IFERROR(__xludf.DUMMYFUNCTION("IMPORTRANGE(""https://docs.google.com/spreadsheets/d/1XVB7oCJ3pr-vBUdflwPQ8Z2LlzhnCvZaaYjAfP-647E/edit?usp=sharing"",""นครพนม!J130"")"),0)</f>
        <v>0</v>
      </c>
      <c r="AE35" s="216">
        <v>0</v>
      </c>
      <c r="AF35" s="216">
        <v>0</v>
      </c>
      <c r="AG35" s="219">
        <v>0</v>
      </c>
    </row>
    <row r="36" spans="1:33" ht="19.5" x14ac:dyDescent="0.3">
      <c r="A36" s="172">
        <v>5</v>
      </c>
      <c r="B36" s="173" t="s">
        <v>62</v>
      </c>
      <c r="C36" s="174">
        <f t="shared" ca="1" si="24"/>
        <v>0</v>
      </c>
      <c r="D36" s="175">
        <f t="shared" ca="1" si="44"/>
        <v>0</v>
      </c>
      <c r="E36" s="176">
        <f ca="1">IFERROR(__xludf.DUMMYFUNCTION("IMPORTRANGE(""https://docs.google.com/spreadsheets/d/1-uDff_7J0KD5mKrp0Vvzr7lt3OU09vwQwhkpOPPYv2Y/edit?usp=sharing"",""งบพรบ!BH36"")"),0)</f>
        <v>0</v>
      </c>
      <c r="F36" s="176">
        <f ca="1">IFERROR(__xludf.DUMMYFUNCTION("IMPORTRANGE(""https://docs.google.com/spreadsheets/d/1-uDff_7J0KD5mKrp0Vvzr7lt3OU09vwQwhkpOPPYv2Y/edit?usp=sharing"",""งบพรบ!BI36"")"),0)</f>
        <v>0</v>
      </c>
      <c r="G36" s="176">
        <f ca="1">IFERROR(__xludf.DUMMYFUNCTION("IMPORTRANGE(""https://docs.google.com/spreadsheets/d/1-uDff_7J0KD5mKrp0Vvzr7lt3OU09vwQwhkpOPPYv2Y/edit?usp=sharing"",""งบพรบ!BJ36"")"),0)</f>
        <v>0</v>
      </c>
      <c r="H36" s="176">
        <f ca="1">IFERROR(__xludf.DUMMYFUNCTION("IMPORTRANGE(""https://docs.google.com/spreadsheets/d/1-uDff_7J0KD5mKrp0Vvzr7lt3OU09vwQwhkpOPPYv2Y/edit?usp=sharing"",""งบพรบ!BL36"")"),0)</f>
        <v>0</v>
      </c>
      <c r="I36" s="176">
        <f ca="1">IFERROR(__xludf.DUMMYFUNCTION("IMPORTRANGE(""https://docs.google.com/spreadsheets/d/1-uDff_7J0KD5mKrp0Vvzr7lt3OU09vwQwhkpOPPYv2Y/edit?usp=sharing"",""งบพรบ!BM36"")"),0)</f>
        <v>0</v>
      </c>
      <c r="J36" s="176">
        <f t="shared" ca="1" si="26"/>
        <v>0</v>
      </c>
      <c r="K36" s="179">
        <f t="shared" ca="1" si="27"/>
        <v>0</v>
      </c>
      <c r="L36" s="176">
        <f ca="1">IFERROR(__xludf.DUMMYFUNCTION("IMPORTRANGE(""https://docs.google.com/spreadsheets/d/1-uDff_7J0KD5mKrp0Vvzr7lt3OU09vwQwhkpOPPYv2Y/edit?usp=sharing"",""งบพรบ!BN36"")"),0)</f>
        <v>0</v>
      </c>
      <c r="M36" s="87">
        <f t="shared" ca="1" si="28"/>
        <v>0</v>
      </c>
      <c r="N36" s="87">
        <f t="shared" ca="1" si="29"/>
        <v>0</v>
      </c>
      <c r="O36" s="86">
        <f ca="1">IFERROR(__xludf.DUMMYFUNCTION("IMPORTRANGE(""https://docs.google.com/spreadsheets/d/1-uDff_7J0KD5mKrp0Vvzr7lt3OU09vwQwhkpOPPYv2Y/edit?usp=sharing"",""งบพรบ!BO36"")"),0)</f>
        <v>0</v>
      </c>
      <c r="P36" s="86">
        <f t="shared" ca="1" si="30"/>
        <v>0</v>
      </c>
      <c r="Q36" s="87">
        <f t="shared" ca="1" si="31"/>
        <v>0</v>
      </c>
      <c r="R36" s="86">
        <f ca="1">IFERROR(__xludf.DUMMYFUNCTION("IMPORTRANGE(""https://docs.google.com/spreadsheets/d/1Mnpb-8PYAgn85W6KOTD40hc_Xc55CaLfHoGAbrZ8tls/edit?usp=sharing"",""นครราชสีมา!Q117"")"),619440)</f>
        <v>619440</v>
      </c>
      <c r="S36" s="86">
        <f ca="1">IFERROR(__xludf.DUMMYFUNCTION("IMPORTRANGE(""https://docs.google.com/spreadsheets/d/1Mnpb-8PYAgn85W6KOTD40hc_Xc55CaLfHoGAbrZ8tls/edit?usp=sharing"",""นครราชสีมา!R117"")"),0)</f>
        <v>0</v>
      </c>
      <c r="T36" s="86">
        <f ca="1">IFERROR(__xludf.DUMMYFUNCTION("IMPORTRANGE(""https://docs.google.com/spreadsheets/d/1Mnpb-8PYAgn85W6KOTD40hc_Xc55CaLfHoGAbrZ8tls/edit?usp=sharing"",""นครราชสีมา!S117"")"),0)</f>
        <v>0</v>
      </c>
      <c r="U36" s="87">
        <f t="shared" ca="1" si="33"/>
        <v>0</v>
      </c>
      <c r="V36" s="87">
        <f t="shared" ca="1" si="34"/>
        <v>0</v>
      </c>
      <c r="W36" s="93">
        <f ca="1">IFERROR(__xludf.DUMMYFUNCTION("IMPORTRANGE(""https://docs.google.com/spreadsheets/d/1Mnpb-8PYAgn85W6KOTD40hc_Xc55CaLfHoGAbrZ8tls/edit?usp=sharing"",""นครราชสีมา!I127"")"),165)</f>
        <v>165</v>
      </c>
      <c r="X36" s="93">
        <f ca="1">IFERROR(__xludf.DUMMYFUNCTION("IMPORTRANGE(""https://docs.google.com/spreadsheets/d/1Mnpb-8PYAgn85W6KOTD40hc_Xc55CaLfHoGAbrZ8tls/edit?usp=sharing"",""นครราชสีมา!J127"")"),0)</f>
        <v>0</v>
      </c>
      <c r="Y36" s="177">
        <f t="shared" ca="1" si="36"/>
        <v>0</v>
      </c>
      <c r="Z36" s="93">
        <f ca="1">IFERROR(__xludf.DUMMYFUNCTION("IMPORTRANGE(""https://docs.google.com/spreadsheets/d/1Mnpb-8PYAgn85W6KOTD40hc_Xc55CaLfHoGAbrZ8tls/edit?usp=sharing"",""นครราชสีมา!J128"")"),0)</f>
        <v>0</v>
      </c>
      <c r="AA36" s="93">
        <f ca="1">IFERROR(__xludf.DUMMYFUNCTION("IMPORTRANGE(""https://docs.google.com/spreadsheets/d/1Mnpb-8PYAgn85W6KOTD40hc_Xc55CaLfHoGAbrZ8tls/edit?usp=sharing"",""นครราชสีมา!I129"")"),65)</f>
        <v>65</v>
      </c>
      <c r="AB36" s="93">
        <f ca="1">IFERROR(__xludf.DUMMYFUNCTION("IMPORTRANGE(""https://docs.google.com/spreadsheets/d/1Mnpb-8PYAgn85W6KOTD40hc_Xc55CaLfHoGAbrZ8tls/edit?usp=sharing"",""นครราชสีมา!J129"")"),0)</f>
        <v>0</v>
      </c>
      <c r="AC36" s="177">
        <f t="shared" ca="1" si="38"/>
        <v>0</v>
      </c>
      <c r="AD36" s="177">
        <f ca="1">IFERROR(__xludf.DUMMYFUNCTION("IMPORTRANGE(""https://docs.google.com/spreadsheets/d/1Mnpb-8PYAgn85W6KOTD40hc_Xc55CaLfHoGAbrZ8tls/edit?usp=sharing"",""นครราชสีมา!J130"")"),0)</f>
        <v>0</v>
      </c>
      <c r="AE36" s="216">
        <v>0</v>
      </c>
      <c r="AF36" s="216">
        <v>0</v>
      </c>
      <c r="AG36" s="219">
        <v>0</v>
      </c>
    </row>
    <row r="37" spans="1:33" ht="19.5" x14ac:dyDescent="0.3">
      <c r="A37" s="172">
        <v>6</v>
      </c>
      <c r="B37" s="173" t="s">
        <v>63</v>
      </c>
      <c r="C37" s="174">
        <f t="shared" ca="1" si="24"/>
        <v>0</v>
      </c>
      <c r="D37" s="175">
        <f t="shared" ca="1" si="44"/>
        <v>0</v>
      </c>
      <c r="E37" s="176">
        <f ca="1">IFERROR(__xludf.DUMMYFUNCTION("IMPORTRANGE(""https://docs.google.com/spreadsheets/d/1-uDff_7J0KD5mKrp0Vvzr7lt3OU09vwQwhkpOPPYv2Y/edit?usp=sharing"",""งบพรบ!BH37"")"),0)</f>
        <v>0</v>
      </c>
      <c r="F37" s="176">
        <f ca="1">IFERROR(__xludf.DUMMYFUNCTION("IMPORTRANGE(""https://docs.google.com/spreadsheets/d/1-uDff_7J0KD5mKrp0Vvzr7lt3OU09vwQwhkpOPPYv2Y/edit?usp=sharing"",""งบพรบ!BI37"")"),0)</f>
        <v>0</v>
      </c>
      <c r="G37" s="176">
        <f ca="1">IFERROR(__xludf.DUMMYFUNCTION("IMPORTRANGE(""https://docs.google.com/spreadsheets/d/1-uDff_7J0KD5mKrp0Vvzr7lt3OU09vwQwhkpOPPYv2Y/edit?usp=sharing"",""งบพรบ!BJ37"")"),0)</f>
        <v>0</v>
      </c>
      <c r="H37" s="176">
        <f ca="1">IFERROR(__xludf.DUMMYFUNCTION("IMPORTRANGE(""https://docs.google.com/spreadsheets/d/1-uDff_7J0KD5mKrp0Vvzr7lt3OU09vwQwhkpOPPYv2Y/edit?usp=sharing"",""งบพรบ!BL37"")"),0)</f>
        <v>0</v>
      </c>
      <c r="I37" s="176">
        <f ca="1">IFERROR(__xludf.DUMMYFUNCTION("IMPORTRANGE(""https://docs.google.com/spreadsheets/d/1-uDff_7J0KD5mKrp0Vvzr7lt3OU09vwQwhkpOPPYv2Y/edit?usp=sharing"",""งบพรบ!BM37"")"),0)</f>
        <v>0</v>
      </c>
      <c r="J37" s="176">
        <f t="shared" ca="1" si="26"/>
        <v>0</v>
      </c>
      <c r="K37" s="179">
        <f t="shared" ca="1" si="27"/>
        <v>0</v>
      </c>
      <c r="L37" s="176">
        <f ca="1">IFERROR(__xludf.DUMMYFUNCTION("IMPORTRANGE(""https://docs.google.com/spreadsheets/d/1-uDff_7J0KD5mKrp0Vvzr7lt3OU09vwQwhkpOPPYv2Y/edit?usp=sharing"",""งบพรบ!BN37"")"),0)</f>
        <v>0</v>
      </c>
      <c r="M37" s="87">
        <f t="shared" ca="1" si="28"/>
        <v>0</v>
      </c>
      <c r="N37" s="87">
        <f t="shared" ca="1" si="29"/>
        <v>0</v>
      </c>
      <c r="O37" s="86">
        <f ca="1">IFERROR(__xludf.DUMMYFUNCTION("IMPORTRANGE(""https://docs.google.com/spreadsheets/d/1-uDff_7J0KD5mKrp0Vvzr7lt3OU09vwQwhkpOPPYv2Y/edit?usp=sharing"",""งบพรบ!BO37"")"),0)</f>
        <v>0</v>
      </c>
      <c r="P37" s="86">
        <f t="shared" ca="1" si="30"/>
        <v>0</v>
      </c>
      <c r="Q37" s="87">
        <f t="shared" ca="1" si="31"/>
        <v>0</v>
      </c>
      <c r="R37" s="86">
        <f ca="1">IFERROR(__xludf.DUMMYFUNCTION("IMPORTRANGE(""https://docs.google.com/spreadsheets/d/1xoDLGBv9CYbyosIhki0kTq6IpYNj-gpjxfobnaDiut0/edit?usp=sharing"",""บึงกาฬ!Q117"")"),191460)</f>
        <v>191460</v>
      </c>
      <c r="S37" s="86">
        <f ca="1">IFERROR(__xludf.DUMMYFUNCTION("IMPORTRANGE(""https://docs.google.com/spreadsheets/d/1xoDLGBv9CYbyosIhki0kTq6IpYNj-gpjxfobnaDiut0/edit?usp=sharing"",""บึงกาฬ!R117"")"),0)</f>
        <v>0</v>
      </c>
      <c r="T37" s="86">
        <f ca="1">IFERROR(__xludf.DUMMYFUNCTION("IMPORTRANGE(""https://docs.google.com/spreadsheets/d/1xoDLGBv9CYbyosIhki0kTq6IpYNj-gpjxfobnaDiut0/edit?usp=sharing"",""บึงกาฬ!S117"")"),0)</f>
        <v>0</v>
      </c>
      <c r="U37" s="87">
        <f t="shared" ca="1" si="33"/>
        <v>0</v>
      </c>
      <c r="V37" s="87">
        <f t="shared" ca="1" si="34"/>
        <v>0</v>
      </c>
      <c r="W37" s="93">
        <f ca="1">IFERROR(__xludf.DUMMYFUNCTION("IMPORTRANGE(""https://docs.google.com/spreadsheets/d/1xoDLGBv9CYbyosIhki0kTq6IpYNj-gpjxfobnaDiut0/edit?usp=sharing"",""บึงกาฬ!I127"")"),15)</f>
        <v>15</v>
      </c>
      <c r="X37" s="93">
        <f ca="1">IFERROR(__xludf.DUMMYFUNCTION("IMPORTRANGE(""https://docs.google.com/spreadsheets/d/1xoDLGBv9CYbyosIhki0kTq6IpYNj-gpjxfobnaDiut0/edit?usp=sharing"",""บึงกาฬ!J127"")"),0)</f>
        <v>0</v>
      </c>
      <c r="Y37" s="177">
        <f t="shared" ca="1" si="36"/>
        <v>0</v>
      </c>
      <c r="Z37" s="93">
        <f ca="1">IFERROR(__xludf.DUMMYFUNCTION("IMPORTRANGE(""https://docs.google.com/spreadsheets/d/1xoDLGBv9CYbyosIhki0kTq6IpYNj-gpjxfobnaDiut0/edit?usp=sharing"",""บึงกาฬ!J128"")"),0)</f>
        <v>0</v>
      </c>
      <c r="AA37" s="93">
        <f ca="1">IFERROR(__xludf.DUMMYFUNCTION("IMPORTRANGE(""https://docs.google.com/spreadsheets/d/1xoDLGBv9CYbyosIhki0kTq6IpYNj-gpjxfobnaDiut0/edit?usp=sharing"",""บึงกาฬ!I129"")"),15)</f>
        <v>15</v>
      </c>
      <c r="AB37" s="93">
        <f ca="1">IFERROR(__xludf.DUMMYFUNCTION("IMPORTRANGE(""https://docs.google.com/spreadsheets/d/1xoDLGBv9CYbyosIhki0kTq6IpYNj-gpjxfobnaDiut0/edit?usp=sharing"",""บึงกาฬ!J129"")"),0)</f>
        <v>0</v>
      </c>
      <c r="AC37" s="177">
        <f t="shared" ca="1" si="38"/>
        <v>0</v>
      </c>
      <c r="AD37" s="177">
        <f ca="1">IFERROR(__xludf.DUMMYFUNCTION("IMPORTRANGE(""https://docs.google.com/spreadsheets/d/1xoDLGBv9CYbyosIhki0kTq6IpYNj-gpjxfobnaDiut0/edit?usp=sharing"",""บึงกาฬ!J130"")"),0)</f>
        <v>0</v>
      </c>
      <c r="AE37" s="216">
        <v>0</v>
      </c>
      <c r="AF37" s="216">
        <v>0</v>
      </c>
      <c r="AG37" s="219">
        <v>0</v>
      </c>
    </row>
    <row r="38" spans="1:33" ht="19.5" x14ac:dyDescent="0.3">
      <c r="A38" s="172">
        <v>7</v>
      </c>
      <c r="B38" s="173" t="s">
        <v>64</v>
      </c>
      <c r="C38" s="174">
        <f t="shared" ca="1" si="24"/>
        <v>0</v>
      </c>
      <c r="D38" s="175">
        <f t="shared" ca="1" si="44"/>
        <v>0</v>
      </c>
      <c r="E38" s="176">
        <f ca="1">IFERROR(__xludf.DUMMYFUNCTION("IMPORTRANGE(""https://docs.google.com/spreadsheets/d/1-uDff_7J0KD5mKrp0Vvzr7lt3OU09vwQwhkpOPPYv2Y/edit?usp=sharing"",""งบพรบ!BH38"")"),0)</f>
        <v>0</v>
      </c>
      <c r="F38" s="176">
        <f ca="1">IFERROR(__xludf.DUMMYFUNCTION("IMPORTRANGE(""https://docs.google.com/spreadsheets/d/1-uDff_7J0KD5mKrp0Vvzr7lt3OU09vwQwhkpOPPYv2Y/edit?usp=sharing"",""งบพรบ!BI38"")"),0)</f>
        <v>0</v>
      </c>
      <c r="G38" s="176">
        <f ca="1">IFERROR(__xludf.DUMMYFUNCTION("IMPORTRANGE(""https://docs.google.com/spreadsheets/d/1-uDff_7J0KD5mKrp0Vvzr7lt3OU09vwQwhkpOPPYv2Y/edit?usp=sharing"",""งบพรบ!BJ38"")"),0)</f>
        <v>0</v>
      </c>
      <c r="H38" s="176">
        <f ca="1">IFERROR(__xludf.DUMMYFUNCTION("IMPORTRANGE(""https://docs.google.com/spreadsheets/d/1-uDff_7J0KD5mKrp0Vvzr7lt3OU09vwQwhkpOPPYv2Y/edit?usp=sharing"",""งบพรบ!BL38"")"),0)</f>
        <v>0</v>
      </c>
      <c r="I38" s="176">
        <f ca="1">IFERROR(__xludf.DUMMYFUNCTION("IMPORTRANGE(""https://docs.google.com/spreadsheets/d/1-uDff_7J0KD5mKrp0Vvzr7lt3OU09vwQwhkpOPPYv2Y/edit?usp=sharing"",""งบพรบ!BM38"")"),0)</f>
        <v>0</v>
      </c>
      <c r="J38" s="176">
        <f t="shared" ca="1" si="26"/>
        <v>0</v>
      </c>
      <c r="K38" s="179">
        <f t="shared" ca="1" si="27"/>
        <v>0</v>
      </c>
      <c r="L38" s="176">
        <f ca="1">IFERROR(__xludf.DUMMYFUNCTION("IMPORTRANGE(""https://docs.google.com/spreadsheets/d/1-uDff_7J0KD5mKrp0Vvzr7lt3OU09vwQwhkpOPPYv2Y/edit?usp=sharing"",""งบพรบ!BN38"")"),0)</f>
        <v>0</v>
      </c>
      <c r="M38" s="87">
        <f t="shared" ca="1" si="28"/>
        <v>0</v>
      </c>
      <c r="N38" s="87">
        <f t="shared" ca="1" si="29"/>
        <v>0</v>
      </c>
      <c r="O38" s="86">
        <f ca="1">IFERROR(__xludf.DUMMYFUNCTION("IMPORTRANGE(""https://docs.google.com/spreadsheets/d/1-uDff_7J0KD5mKrp0Vvzr7lt3OU09vwQwhkpOPPYv2Y/edit?usp=sharing"",""งบพรบ!BO38"")"),0)</f>
        <v>0</v>
      </c>
      <c r="P38" s="86">
        <f t="shared" ca="1" si="30"/>
        <v>0</v>
      </c>
      <c r="Q38" s="87">
        <f t="shared" ca="1" si="31"/>
        <v>0</v>
      </c>
      <c r="R38" s="86">
        <f ca="1">IFERROR(__xludf.DUMMYFUNCTION("IMPORTRANGE(""https://docs.google.com/spreadsheets/d/1MMPq-JyI6DSgQETxuSiXkesP-P7JHuemnE6QJIa-Nlw/edit?usp=sharing"",""บุรีรัมย์!Q117"")"),209360)</f>
        <v>209360</v>
      </c>
      <c r="S38" s="86">
        <f ca="1">IFERROR(__xludf.DUMMYFUNCTION("IMPORTRANGE(""https://docs.google.com/spreadsheets/d/1MMPq-JyI6DSgQETxuSiXkesP-P7JHuemnE6QJIa-Nlw/edit?usp=sharing"",""บุรีรัมย์!R117"")"),0)</f>
        <v>0</v>
      </c>
      <c r="T38" s="86">
        <f ca="1">IFERROR(__xludf.DUMMYFUNCTION("IMPORTRANGE(""https://docs.google.com/spreadsheets/d/1MMPq-JyI6DSgQETxuSiXkesP-P7JHuemnE6QJIa-Nlw/edit?usp=sharing"",""บุรีรัมย์!S117"")"),0)</f>
        <v>0</v>
      </c>
      <c r="U38" s="87">
        <f t="shared" ca="1" si="33"/>
        <v>0</v>
      </c>
      <c r="V38" s="87">
        <f t="shared" ca="1" si="34"/>
        <v>0</v>
      </c>
      <c r="W38" s="97">
        <f ca="1">IFERROR(__xludf.DUMMYFUNCTION("IMPORTRANGE(""https://docs.google.com/spreadsheets/d/1MMPq-JyI6DSgQETxuSiXkesP-P7JHuemnE6QJIa-Nlw/edit?usp=sharing"",""บุรีรัมย์!I127"")"),20)</f>
        <v>20</v>
      </c>
      <c r="X38" s="97">
        <f ca="1">IFERROR(__xludf.DUMMYFUNCTION("IMPORTRANGE(""https://docs.google.com/spreadsheets/d/1MMPq-JyI6DSgQETxuSiXkesP-P7JHuemnE6QJIa-Nlw/edit?usp=sharing"",""บุรีรัมย์!J127"")"),0)</f>
        <v>0</v>
      </c>
      <c r="Y38" s="177">
        <f t="shared" ca="1" si="36"/>
        <v>0</v>
      </c>
      <c r="Z38" s="97">
        <f ca="1">IFERROR(__xludf.DUMMYFUNCTION("IMPORTRANGE(""https://docs.google.com/spreadsheets/d/1MMPq-JyI6DSgQETxuSiXkesP-P7JHuemnE6QJIa-Nlw/edit?usp=sharing"",""บุรีรัมย์!J128"")"),0)</f>
        <v>0</v>
      </c>
      <c r="AA38" s="97">
        <f ca="1">IFERROR(__xludf.DUMMYFUNCTION("IMPORTRANGE(""https://docs.google.com/spreadsheets/d/1MMPq-JyI6DSgQETxuSiXkesP-P7JHuemnE6QJIa-Nlw/edit?usp=sharing"",""บุรีรัมย์!I129"")"),20)</f>
        <v>20</v>
      </c>
      <c r="AB38" s="97">
        <f ca="1">IFERROR(__xludf.DUMMYFUNCTION("IMPORTRANGE(""https://docs.google.com/spreadsheets/d/1MMPq-JyI6DSgQETxuSiXkesP-P7JHuemnE6QJIa-Nlw/edit?usp=sharing"",""บุรีรัมย์!J129"")"),0)</f>
        <v>0</v>
      </c>
      <c r="AC38" s="177">
        <f t="shared" ca="1" si="38"/>
        <v>0</v>
      </c>
      <c r="AD38" s="177">
        <f ca="1">IFERROR(__xludf.DUMMYFUNCTION("IMPORTRANGE(""https://docs.google.com/spreadsheets/d/1MMPq-JyI6DSgQETxuSiXkesP-P7JHuemnE6QJIa-Nlw/edit?usp=sharing"",""บุรีรัมย์!J130"")"),0)</f>
        <v>0</v>
      </c>
      <c r="AE38" s="99">
        <v>0</v>
      </c>
      <c r="AF38" s="99">
        <v>0</v>
      </c>
      <c r="AG38" s="219">
        <v>0</v>
      </c>
    </row>
    <row r="39" spans="1:33" ht="19.5" x14ac:dyDescent="0.3">
      <c r="A39" s="172">
        <v>8</v>
      </c>
      <c r="B39" s="173" t="s">
        <v>65</v>
      </c>
      <c r="C39" s="174">
        <f t="shared" ca="1" si="24"/>
        <v>0</v>
      </c>
      <c r="D39" s="175">
        <f t="shared" ca="1" si="44"/>
        <v>0</v>
      </c>
      <c r="E39" s="176">
        <f ca="1">IFERROR(__xludf.DUMMYFUNCTION("IMPORTRANGE(""https://docs.google.com/spreadsheets/d/1-uDff_7J0KD5mKrp0Vvzr7lt3OU09vwQwhkpOPPYv2Y/edit?usp=sharing"",""งบพรบ!BH39"")"),0)</f>
        <v>0</v>
      </c>
      <c r="F39" s="176">
        <f ca="1">IFERROR(__xludf.DUMMYFUNCTION("IMPORTRANGE(""https://docs.google.com/spreadsheets/d/1-uDff_7J0KD5mKrp0Vvzr7lt3OU09vwQwhkpOPPYv2Y/edit?usp=sharing"",""งบพรบ!BI39"")"),0)</f>
        <v>0</v>
      </c>
      <c r="G39" s="176">
        <f ca="1">IFERROR(__xludf.DUMMYFUNCTION("IMPORTRANGE(""https://docs.google.com/spreadsheets/d/1-uDff_7J0KD5mKrp0Vvzr7lt3OU09vwQwhkpOPPYv2Y/edit?usp=sharing"",""งบพรบ!BJ39"")"),0)</f>
        <v>0</v>
      </c>
      <c r="H39" s="176">
        <f ca="1">IFERROR(__xludf.DUMMYFUNCTION("IMPORTRANGE(""https://docs.google.com/spreadsheets/d/1-uDff_7J0KD5mKrp0Vvzr7lt3OU09vwQwhkpOPPYv2Y/edit?usp=sharing"",""งบพรบ!BL39"")"),0)</f>
        <v>0</v>
      </c>
      <c r="I39" s="176">
        <f ca="1">IFERROR(__xludf.DUMMYFUNCTION("IMPORTRANGE(""https://docs.google.com/spreadsheets/d/1-uDff_7J0KD5mKrp0Vvzr7lt3OU09vwQwhkpOPPYv2Y/edit?usp=sharing"",""งบพรบ!BM39"")"),0)</f>
        <v>0</v>
      </c>
      <c r="J39" s="176">
        <f t="shared" ca="1" si="26"/>
        <v>0</v>
      </c>
      <c r="K39" s="179">
        <f t="shared" ca="1" si="27"/>
        <v>0</v>
      </c>
      <c r="L39" s="176">
        <f ca="1">IFERROR(__xludf.DUMMYFUNCTION("IMPORTRANGE(""https://docs.google.com/spreadsheets/d/1-uDff_7J0KD5mKrp0Vvzr7lt3OU09vwQwhkpOPPYv2Y/edit?usp=sharing"",""งบพรบ!BN39"")"),0)</f>
        <v>0</v>
      </c>
      <c r="M39" s="87">
        <f t="shared" ca="1" si="28"/>
        <v>0</v>
      </c>
      <c r="N39" s="87">
        <f t="shared" ca="1" si="29"/>
        <v>0</v>
      </c>
      <c r="O39" s="86">
        <f ca="1">IFERROR(__xludf.DUMMYFUNCTION("IMPORTRANGE(""https://docs.google.com/spreadsheets/d/1-uDff_7J0KD5mKrp0Vvzr7lt3OU09vwQwhkpOPPYv2Y/edit?usp=sharing"",""งบพรบ!BO39"")"),0)</f>
        <v>0</v>
      </c>
      <c r="P39" s="86">
        <f t="shared" ca="1" si="30"/>
        <v>0</v>
      </c>
      <c r="Q39" s="87">
        <f t="shared" ca="1" si="31"/>
        <v>0</v>
      </c>
      <c r="R39" s="86">
        <f ca="1">IFERROR(__xludf.DUMMYFUNCTION("IMPORTRANGE(""https://docs.google.com/spreadsheets/d/1l6IZ8xUPgMrESzcTYwhA1k_tPjeQjJPTqlm8Gd9eU5g/edit?usp=sharing"",""มหาสารคาม!Q117"")"),227060)</f>
        <v>227060</v>
      </c>
      <c r="S39" s="86">
        <f ca="1">IFERROR(__xludf.DUMMYFUNCTION("IMPORTRANGE(""https://docs.google.com/spreadsheets/d/1l6IZ8xUPgMrESzcTYwhA1k_tPjeQjJPTqlm8Gd9eU5g/edit?usp=sharing"",""มหาสารคาม!R117"")"),0)</f>
        <v>0</v>
      </c>
      <c r="T39" s="86">
        <f ca="1">IFERROR(__xludf.DUMMYFUNCTION("IMPORTRANGE(""https://docs.google.com/spreadsheets/d/1l6IZ8xUPgMrESzcTYwhA1k_tPjeQjJPTqlm8Gd9eU5g/edit?usp=sharing"",""มหาสารคาม!S117"")"),0)</f>
        <v>0</v>
      </c>
      <c r="U39" s="87">
        <f t="shared" ca="1" si="33"/>
        <v>0</v>
      </c>
      <c r="V39" s="87">
        <f t="shared" ca="1" si="34"/>
        <v>0</v>
      </c>
      <c r="W39" s="97">
        <f ca="1">IFERROR(__xludf.DUMMYFUNCTION("IMPORTRANGE(""https://docs.google.com/spreadsheets/d/1l6IZ8xUPgMrESzcTYwhA1k_tPjeQjJPTqlm8Gd9eU5g/edit?usp=sharing"",""มหาสารคาม!I127"")"),25)</f>
        <v>25</v>
      </c>
      <c r="X39" s="97">
        <f ca="1">IFERROR(__xludf.DUMMYFUNCTION("IMPORTRANGE(""https://docs.google.com/spreadsheets/d/1l6IZ8xUPgMrESzcTYwhA1k_tPjeQjJPTqlm8Gd9eU5g/edit?usp=sharing"",""มหาสารคาม!J127"")"),0)</f>
        <v>0</v>
      </c>
      <c r="Y39" s="177">
        <f t="shared" ca="1" si="36"/>
        <v>0</v>
      </c>
      <c r="Z39" s="97">
        <f ca="1">IFERROR(__xludf.DUMMYFUNCTION("IMPORTRANGE(""https://docs.google.com/spreadsheets/d/1l6IZ8xUPgMrESzcTYwhA1k_tPjeQjJPTqlm8Gd9eU5g/edit?usp=sharing"",""มหาสารคาม!J128"")"),0)</f>
        <v>0</v>
      </c>
      <c r="AA39" s="97">
        <f ca="1">IFERROR(__xludf.DUMMYFUNCTION("IMPORTRANGE(""https://docs.google.com/spreadsheets/d/1l6IZ8xUPgMrESzcTYwhA1k_tPjeQjJPTqlm8Gd9eU5g/edit?usp=sharing"",""มหาสารคาม!I129"")"),25)</f>
        <v>25</v>
      </c>
      <c r="AB39" s="97">
        <f ca="1">IFERROR(__xludf.DUMMYFUNCTION("IMPORTRANGE(""https://docs.google.com/spreadsheets/d/1l6IZ8xUPgMrESzcTYwhA1k_tPjeQjJPTqlm8Gd9eU5g/edit?usp=sharing"",""มหาสารคาม!J129"")"),0)</f>
        <v>0</v>
      </c>
      <c r="AC39" s="177">
        <f t="shared" ca="1" si="38"/>
        <v>0</v>
      </c>
      <c r="AD39" s="177">
        <f ca="1">IFERROR(__xludf.DUMMYFUNCTION("IMPORTRANGE(""https://docs.google.com/spreadsheets/d/1l6IZ8xUPgMrESzcTYwhA1k_tPjeQjJPTqlm8Gd9eU5g/edit?usp=sharing"",""มหาสารคาม!J130"")"),0)</f>
        <v>0</v>
      </c>
      <c r="AE39" s="99">
        <v>0</v>
      </c>
      <c r="AF39" s="99">
        <v>0</v>
      </c>
      <c r="AG39" s="219">
        <v>0</v>
      </c>
    </row>
    <row r="40" spans="1:33" ht="19.5" x14ac:dyDescent="0.3">
      <c r="A40" s="172">
        <v>9</v>
      </c>
      <c r="B40" s="173" t="s">
        <v>66</v>
      </c>
      <c r="C40" s="174">
        <f t="shared" ca="1" si="24"/>
        <v>0</v>
      </c>
      <c r="D40" s="175">
        <f t="shared" ca="1" si="44"/>
        <v>0</v>
      </c>
      <c r="E40" s="176">
        <f ca="1">IFERROR(__xludf.DUMMYFUNCTION("IMPORTRANGE(""https://docs.google.com/spreadsheets/d/1-uDff_7J0KD5mKrp0Vvzr7lt3OU09vwQwhkpOPPYv2Y/edit?usp=sharing"",""งบพรบ!BH40"")"),0)</f>
        <v>0</v>
      </c>
      <c r="F40" s="176">
        <f ca="1">IFERROR(__xludf.DUMMYFUNCTION("IMPORTRANGE(""https://docs.google.com/spreadsheets/d/1-uDff_7J0KD5mKrp0Vvzr7lt3OU09vwQwhkpOPPYv2Y/edit?usp=sharing"",""งบพรบ!BI40"")"),0)</f>
        <v>0</v>
      </c>
      <c r="G40" s="176">
        <f ca="1">IFERROR(__xludf.DUMMYFUNCTION("IMPORTRANGE(""https://docs.google.com/spreadsheets/d/1-uDff_7J0KD5mKrp0Vvzr7lt3OU09vwQwhkpOPPYv2Y/edit?usp=sharing"",""งบพรบ!BJ40"")"),0)</f>
        <v>0</v>
      </c>
      <c r="H40" s="176">
        <f ca="1">IFERROR(__xludf.DUMMYFUNCTION("IMPORTRANGE(""https://docs.google.com/spreadsheets/d/1-uDff_7J0KD5mKrp0Vvzr7lt3OU09vwQwhkpOPPYv2Y/edit?usp=sharing"",""งบพรบ!BL40"")"),0)</f>
        <v>0</v>
      </c>
      <c r="I40" s="176">
        <f ca="1">IFERROR(__xludf.DUMMYFUNCTION("IMPORTRANGE(""https://docs.google.com/spreadsheets/d/1-uDff_7J0KD5mKrp0Vvzr7lt3OU09vwQwhkpOPPYv2Y/edit?usp=sharing"",""งบพรบ!BM40"")"),0)</f>
        <v>0</v>
      </c>
      <c r="J40" s="176">
        <f t="shared" ca="1" si="26"/>
        <v>0</v>
      </c>
      <c r="K40" s="179">
        <f t="shared" ca="1" si="27"/>
        <v>0</v>
      </c>
      <c r="L40" s="176">
        <f ca="1">IFERROR(__xludf.DUMMYFUNCTION("IMPORTRANGE(""https://docs.google.com/spreadsheets/d/1-uDff_7J0KD5mKrp0Vvzr7lt3OU09vwQwhkpOPPYv2Y/edit?usp=sharing"",""งบพรบ!BN40"")"),0)</f>
        <v>0</v>
      </c>
      <c r="M40" s="87">
        <f t="shared" ca="1" si="28"/>
        <v>0</v>
      </c>
      <c r="N40" s="87">
        <f t="shared" ca="1" si="29"/>
        <v>0</v>
      </c>
      <c r="O40" s="86">
        <f ca="1">IFERROR(__xludf.DUMMYFUNCTION("IMPORTRANGE(""https://docs.google.com/spreadsheets/d/1-uDff_7J0KD5mKrp0Vvzr7lt3OU09vwQwhkpOPPYv2Y/edit?usp=sharing"",""งบพรบ!BO40"")"),0)</f>
        <v>0</v>
      </c>
      <c r="P40" s="86">
        <f t="shared" ca="1" si="30"/>
        <v>0</v>
      </c>
      <c r="Q40" s="87">
        <f t="shared" ca="1" si="31"/>
        <v>0</v>
      </c>
      <c r="R40" s="86">
        <f ca="1">IFERROR(__xludf.DUMMYFUNCTION("IMPORTRANGE(""https://docs.google.com/spreadsheets/d/1uB74YLqNjWX6FObjekfB2NtSYigTQyR2rq9u4Ub2Sq4/edit?usp=sharing"",""มุกดาหาร!Q117"")"),227060)</f>
        <v>227060</v>
      </c>
      <c r="S40" s="86">
        <f ca="1">IFERROR(__xludf.DUMMYFUNCTION("IMPORTRANGE(""https://docs.google.com/spreadsheets/d/1uB74YLqNjWX6FObjekfB2NtSYigTQyR2rq9u4Ub2Sq4/edit?usp=sharing"",""มุกดาหาร!R117"")"),0)</f>
        <v>0</v>
      </c>
      <c r="T40" s="86">
        <f ca="1">IFERROR(__xludf.DUMMYFUNCTION("IMPORTRANGE(""https://docs.google.com/spreadsheets/d/1uB74YLqNjWX6FObjekfB2NtSYigTQyR2rq9u4Ub2Sq4/edit?usp=sharing"",""มุกดาหาร!S117"")"),0)</f>
        <v>0</v>
      </c>
      <c r="U40" s="87">
        <f t="shared" ca="1" si="33"/>
        <v>0</v>
      </c>
      <c r="V40" s="87">
        <f t="shared" ca="1" si="34"/>
        <v>0</v>
      </c>
      <c r="W40" s="97">
        <f ca="1">IFERROR(__xludf.DUMMYFUNCTION("IMPORTRANGE(""https://docs.google.com/spreadsheets/d/1uB74YLqNjWX6FObjekfB2NtSYigTQyR2rq9u4Ub2Sq4/edit?usp=sharing"",""มุกดาหาร!I127"")"),25)</f>
        <v>25</v>
      </c>
      <c r="X40" s="97">
        <f ca="1">IFERROR(__xludf.DUMMYFUNCTION("IMPORTRANGE(""https://docs.google.com/spreadsheets/d/1uB74YLqNjWX6FObjekfB2NtSYigTQyR2rq9u4Ub2Sq4/edit?usp=sharing"",""มุกดาหาร!J127"")"),0)</f>
        <v>0</v>
      </c>
      <c r="Y40" s="177">
        <f t="shared" ca="1" si="36"/>
        <v>0</v>
      </c>
      <c r="Z40" s="97">
        <f ca="1">IFERROR(__xludf.DUMMYFUNCTION("IMPORTRANGE(""https://docs.google.com/spreadsheets/d/1uB74YLqNjWX6FObjekfB2NtSYigTQyR2rq9u4Ub2Sq4/edit?usp=sharing"",""มุกดาหาร!J128"")"),0)</f>
        <v>0</v>
      </c>
      <c r="AA40" s="97">
        <f ca="1">IFERROR(__xludf.DUMMYFUNCTION("IMPORTRANGE(""https://docs.google.com/spreadsheets/d/1uB74YLqNjWX6FObjekfB2NtSYigTQyR2rq9u4Ub2Sq4/edit?usp=sharing"",""มุกดาหาร!I129"")"),25)</f>
        <v>25</v>
      </c>
      <c r="AB40" s="97">
        <f ca="1">IFERROR(__xludf.DUMMYFUNCTION("IMPORTRANGE(""https://docs.google.com/spreadsheets/d/1uB74YLqNjWX6FObjekfB2NtSYigTQyR2rq9u4Ub2Sq4/edit?usp=sharing"",""มุกดาหาร!J129"")"),0)</f>
        <v>0</v>
      </c>
      <c r="AC40" s="177">
        <f t="shared" ca="1" si="38"/>
        <v>0</v>
      </c>
      <c r="AD40" s="177">
        <f ca="1">IFERROR(__xludf.DUMMYFUNCTION("IMPORTRANGE(""https://docs.google.com/spreadsheets/d/1uB74YLqNjWX6FObjekfB2NtSYigTQyR2rq9u4Ub2Sq4/edit?usp=sharing"",""มุกดาหาร!J130"")"),0)</f>
        <v>0</v>
      </c>
      <c r="AE40" s="99">
        <v>0</v>
      </c>
      <c r="AF40" s="99">
        <v>0</v>
      </c>
      <c r="AG40" s="219">
        <v>0</v>
      </c>
    </row>
    <row r="41" spans="1:33" ht="19.5" x14ac:dyDescent="0.3">
      <c r="A41" s="172">
        <v>10</v>
      </c>
      <c r="B41" s="173" t="s">
        <v>67</v>
      </c>
      <c r="C41" s="174">
        <f t="shared" ca="1" si="24"/>
        <v>0</v>
      </c>
      <c r="D41" s="175">
        <f t="shared" ca="1" si="44"/>
        <v>0</v>
      </c>
      <c r="E41" s="176">
        <f ca="1">IFERROR(__xludf.DUMMYFUNCTION("IMPORTRANGE(""https://docs.google.com/spreadsheets/d/1-uDff_7J0KD5mKrp0Vvzr7lt3OU09vwQwhkpOPPYv2Y/edit?usp=sharing"",""งบพรบ!BH41"")"),0)</f>
        <v>0</v>
      </c>
      <c r="F41" s="176">
        <f ca="1">IFERROR(__xludf.DUMMYFUNCTION("IMPORTRANGE(""https://docs.google.com/spreadsheets/d/1-uDff_7J0KD5mKrp0Vvzr7lt3OU09vwQwhkpOPPYv2Y/edit?usp=sharing"",""งบพรบ!BI41"")"),0)</f>
        <v>0</v>
      </c>
      <c r="G41" s="176">
        <f ca="1">IFERROR(__xludf.DUMMYFUNCTION("IMPORTRANGE(""https://docs.google.com/spreadsheets/d/1-uDff_7J0KD5mKrp0Vvzr7lt3OU09vwQwhkpOPPYv2Y/edit?usp=sharing"",""งบพรบ!BJ41"")"),0)</f>
        <v>0</v>
      </c>
      <c r="H41" s="176">
        <f ca="1">IFERROR(__xludf.DUMMYFUNCTION("IMPORTRANGE(""https://docs.google.com/spreadsheets/d/1-uDff_7J0KD5mKrp0Vvzr7lt3OU09vwQwhkpOPPYv2Y/edit?usp=sharing"",""งบพรบ!BL41"")"),0)</f>
        <v>0</v>
      </c>
      <c r="I41" s="176">
        <f ca="1">IFERROR(__xludf.DUMMYFUNCTION("IMPORTRANGE(""https://docs.google.com/spreadsheets/d/1-uDff_7J0KD5mKrp0Vvzr7lt3OU09vwQwhkpOPPYv2Y/edit?usp=sharing"",""งบพรบ!BM41"")"),0)</f>
        <v>0</v>
      </c>
      <c r="J41" s="176">
        <f t="shared" ca="1" si="26"/>
        <v>0</v>
      </c>
      <c r="K41" s="179">
        <f t="shared" ca="1" si="27"/>
        <v>0</v>
      </c>
      <c r="L41" s="176">
        <f ca="1">IFERROR(__xludf.DUMMYFUNCTION("IMPORTRANGE(""https://docs.google.com/spreadsheets/d/1-uDff_7J0KD5mKrp0Vvzr7lt3OU09vwQwhkpOPPYv2Y/edit?usp=sharing"",""งบพรบ!BN41"")"),0)</f>
        <v>0</v>
      </c>
      <c r="M41" s="87">
        <f t="shared" ca="1" si="28"/>
        <v>0</v>
      </c>
      <c r="N41" s="87">
        <f t="shared" ca="1" si="29"/>
        <v>0</v>
      </c>
      <c r="O41" s="86">
        <f ca="1">IFERROR(__xludf.DUMMYFUNCTION("IMPORTRANGE(""https://docs.google.com/spreadsheets/d/1-uDff_7J0KD5mKrp0Vvzr7lt3OU09vwQwhkpOPPYv2Y/edit?usp=sharing"",""งบพรบ!BO41"")"),0)</f>
        <v>0</v>
      </c>
      <c r="P41" s="86">
        <f t="shared" ca="1" si="30"/>
        <v>0</v>
      </c>
      <c r="Q41" s="87">
        <f t="shared" ca="1" si="31"/>
        <v>0</v>
      </c>
      <c r="R41" s="86">
        <f ca="1">IFERROR(__xludf.DUMMYFUNCTION("IMPORTRANGE(""https://docs.google.com/spreadsheets/d/1NexK3geCPxCTO1fzNF8dPec7yZyUx3OaWkFBC9HsQOo/edit?usp=sharing"",""ยโสธร!Q117"")"),209360)</f>
        <v>209360</v>
      </c>
      <c r="S41" s="86">
        <f ca="1">IFERROR(__xludf.DUMMYFUNCTION("IMPORTRANGE(""https://docs.google.com/spreadsheets/d/1NexK3geCPxCTO1fzNF8dPec7yZyUx3OaWkFBC9HsQOo/edit?usp=sharing"",""ยโสธร!R117"")"),0)</f>
        <v>0</v>
      </c>
      <c r="T41" s="86">
        <f ca="1">IFERROR(__xludf.DUMMYFUNCTION("IMPORTRANGE(""https://docs.google.com/spreadsheets/d/1NexK3geCPxCTO1fzNF8dPec7yZyUx3OaWkFBC9HsQOo/edit?usp=sharing"",""ยโสธร!S117"")"),0)</f>
        <v>0</v>
      </c>
      <c r="U41" s="87">
        <f t="shared" ca="1" si="33"/>
        <v>0</v>
      </c>
      <c r="V41" s="87">
        <f t="shared" ca="1" si="34"/>
        <v>0</v>
      </c>
      <c r="W41" s="97">
        <f ca="1">IFERROR(__xludf.DUMMYFUNCTION("IMPORTRANGE(""https://docs.google.com/spreadsheets/d/1NexK3geCPxCTO1fzNF8dPec7yZyUx3OaWkFBC9HsQOo/edit?usp=sharing"",""ยโสธร!I127"")"),20)</f>
        <v>20</v>
      </c>
      <c r="X41" s="97">
        <f ca="1">IFERROR(__xludf.DUMMYFUNCTION("IMPORTRANGE(""https://docs.google.com/spreadsheets/d/1NexK3geCPxCTO1fzNF8dPec7yZyUx3OaWkFBC9HsQOo/edit?usp=sharing"",""ยโสธร!J127"")"),0)</f>
        <v>0</v>
      </c>
      <c r="Y41" s="177">
        <f t="shared" ca="1" si="36"/>
        <v>0</v>
      </c>
      <c r="Z41" s="97">
        <f ca="1">IFERROR(__xludf.DUMMYFUNCTION("IMPORTRANGE(""https://docs.google.com/spreadsheets/d/1NexK3geCPxCTO1fzNF8dPec7yZyUx3OaWkFBC9HsQOo/edit?usp=sharing"",""ยโสธร!J128"")"),0)</f>
        <v>0</v>
      </c>
      <c r="AA41" s="97">
        <f ca="1">IFERROR(__xludf.DUMMYFUNCTION("IMPORTRANGE(""https://docs.google.com/spreadsheets/d/1NexK3geCPxCTO1fzNF8dPec7yZyUx3OaWkFBC9HsQOo/edit?usp=sharing"",""ยโสธร!I129"")"),20)</f>
        <v>20</v>
      </c>
      <c r="AB41" s="97">
        <f ca="1">IFERROR(__xludf.DUMMYFUNCTION("IMPORTRANGE(""https://docs.google.com/spreadsheets/d/1NexK3geCPxCTO1fzNF8dPec7yZyUx3OaWkFBC9HsQOo/edit?usp=sharing"",""ยโสธร!J129"")"),0)</f>
        <v>0</v>
      </c>
      <c r="AC41" s="177">
        <f t="shared" ca="1" si="38"/>
        <v>0</v>
      </c>
      <c r="AD41" s="177">
        <f ca="1">IFERROR(__xludf.DUMMYFUNCTION("IMPORTRANGE(""https://docs.google.com/spreadsheets/d/1NexK3geCPxCTO1fzNF8dPec7yZyUx3OaWkFBC9HsQOo/edit?usp=sharing"",""ยโสธร!J130"")"),0)</f>
        <v>0</v>
      </c>
      <c r="AE41" s="99">
        <v>0</v>
      </c>
      <c r="AF41" s="99">
        <v>0</v>
      </c>
      <c r="AG41" s="219">
        <v>0</v>
      </c>
    </row>
    <row r="42" spans="1:33" ht="19.5" x14ac:dyDescent="0.3">
      <c r="A42" s="172">
        <v>11</v>
      </c>
      <c r="B42" s="173" t="s">
        <v>68</v>
      </c>
      <c r="C42" s="174">
        <f t="shared" ca="1" si="24"/>
        <v>0</v>
      </c>
      <c r="D42" s="175">
        <f t="shared" ca="1" si="44"/>
        <v>0</v>
      </c>
      <c r="E42" s="176">
        <f ca="1">IFERROR(__xludf.DUMMYFUNCTION("IMPORTRANGE(""https://docs.google.com/spreadsheets/d/1-uDff_7J0KD5mKrp0Vvzr7lt3OU09vwQwhkpOPPYv2Y/edit?usp=sharing"",""งบพรบ!BH42"")"),0)</f>
        <v>0</v>
      </c>
      <c r="F42" s="176">
        <f ca="1">IFERROR(__xludf.DUMMYFUNCTION("IMPORTRANGE(""https://docs.google.com/spreadsheets/d/1-uDff_7J0KD5mKrp0Vvzr7lt3OU09vwQwhkpOPPYv2Y/edit?usp=sharing"",""งบพรบ!BI42"")"),0)</f>
        <v>0</v>
      </c>
      <c r="G42" s="176">
        <f ca="1">IFERROR(__xludf.DUMMYFUNCTION("IMPORTRANGE(""https://docs.google.com/spreadsheets/d/1-uDff_7J0KD5mKrp0Vvzr7lt3OU09vwQwhkpOPPYv2Y/edit?usp=sharing"",""งบพรบ!BJ42"")"),0)</f>
        <v>0</v>
      </c>
      <c r="H42" s="176">
        <f ca="1">IFERROR(__xludf.DUMMYFUNCTION("IMPORTRANGE(""https://docs.google.com/spreadsheets/d/1-uDff_7J0KD5mKrp0Vvzr7lt3OU09vwQwhkpOPPYv2Y/edit?usp=sharing"",""งบพรบ!BL42"")"),0)</f>
        <v>0</v>
      </c>
      <c r="I42" s="176">
        <f ca="1">IFERROR(__xludf.DUMMYFUNCTION("IMPORTRANGE(""https://docs.google.com/spreadsheets/d/1-uDff_7J0KD5mKrp0Vvzr7lt3OU09vwQwhkpOPPYv2Y/edit?usp=sharing"",""งบพรบ!BM42"")"),0)</f>
        <v>0</v>
      </c>
      <c r="J42" s="176">
        <f t="shared" ca="1" si="26"/>
        <v>0</v>
      </c>
      <c r="K42" s="179">
        <f t="shared" ca="1" si="27"/>
        <v>0</v>
      </c>
      <c r="L42" s="176">
        <f ca="1">IFERROR(__xludf.DUMMYFUNCTION("IMPORTRANGE(""https://docs.google.com/spreadsheets/d/1-uDff_7J0KD5mKrp0Vvzr7lt3OU09vwQwhkpOPPYv2Y/edit?usp=sharing"",""งบพรบ!BN42"")"),0)</f>
        <v>0</v>
      </c>
      <c r="M42" s="87">
        <f t="shared" ca="1" si="28"/>
        <v>0</v>
      </c>
      <c r="N42" s="87">
        <f t="shared" ca="1" si="29"/>
        <v>0</v>
      </c>
      <c r="O42" s="86">
        <f ca="1">IFERROR(__xludf.DUMMYFUNCTION("IMPORTRANGE(""https://docs.google.com/spreadsheets/d/1-uDff_7J0KD5mKrp0Vvzr7lt3OU09vwQwhkpOPPYv2Y/edit?usp=sharing"",""งบพรบ!BO42"")"),0)</f>
        <v>0</v>
      </c>
      <c r="P42" s="86">
        <f t="shared" ca="1" si="30"/>
        <v>0</v>
      </c>
      <c r="Q42" s="87">
        <f t="shared" ca="1" si="31"/>
        <v>0</v>
      </c>
      <c r="R42" s="86">
        <f ca="1">IFERROR(__xludf.DUMMYFUNCTION("IMPORTRANGE(""https://docs.google.com/spreadsheets/d/1v_cJrbBlyqmnHPReHk44g9NrMRdENNlSy_E_c5M9fIg/edit?usp=sharing"",""ร้อยเอ็ด!Q117"")"),209360)</f>
        <v>209360</v>
      </c>
      <c r="S42" s="86">
        <f ca="1">IFERROR(__xludf.DUMMYFUNCTION("IMPORTRANGE(""https://docs.google.com/spreadsheets/d/1v_cJrbBlyqmnHPReHk44g9NrMRdENNlSy_E_c5M9fIg/edit?usp=sharing"",""ร้อยเอ็ด!R117"")"),0)</f>
        <v>0</v>
      </c>
      <c r="T42" s="86">
        <f ca="1">IFERROR(__xludf.DUMMYFUNCTION("IMPORTRANGE(""https://docs.google.com/spreadsheets/d/1v_cJrbBlyqmnHPReHk44g9NrMRdENNlSy_E_c5M9fIg/edit?usp=sharing"",""ร้อยเอ็ด!S117"")"),0)</f>
        <v>0</v>
      </c>
      <c r="U42" s="87">
        <f t="shared" ca="1" si="33"/>
        <v>0</v>
      </c>
      <c r="V42" s="87">
        <f t="shared" ca="1" si="34"/>
        <v>0</v>
      </c>
      <c r="W42" s="93">
        <f ca="1">IFERROR(__xludf.DUMMYFUNCTION("IMPORTRANGE(""https://docs.google.com/spreadsheets/d/1v_cJrbBlyqmnHPReHk44g9NrMRdENNlSy_E_c5M9fIg/edit?usp=sharing"",""ร้อยเอ็ด!I127"")"),20)</f>
        <v>20</v>
      </c>
      <c r="X42" s="93">
        <f ca="1">IFERROR(__xludf.DUMMYFUNCTION("IMPORTRANGE(""https://docs.google.com/spreadsheets/d/1v_cJrbBlyqmnHPReHk44g9NrMRdENNlSy_E_c5M9fIg/edit?usp=sharing"",""ร้อยเอ็ด!J127"")"),0)</f>
        <v>0</v>
      </c>
      <c r="Y42" s="177">
        <f t="shared" ca="1" si="36"/>
        <v>0</v>
      </c>
      <c r="Z42" s="93">
        <f ca="1">IFERROR(__xludf.DUMMYFUNCTION("IMPORTRANGE(""https://docs.google.com/spreadsheets/d/1v_cJrbBlyqmnHPReHk44g9NrMRdENNlSy_E_c5M9fIg/edit?usp=sharing"",""ร้อยเอ็ด!J128"")"),0)</f>
        <v>0</v>
      </c>
      <c r="AA42" s="93">
        <f ca="1">IFERROR(__xludf.DUMMYFUNCTION("IMPORTRANGE(""https://docs.google.com/spreadsheets/d/1v_cJrbBlyqmnHPReHk44g9NrMRdENNlSy_E_c5M9fIg/edit?usp=sharing"",""ร้อยเอ็ด!I129"")"),20)</f>
        <v>20</v>
      </c>
      <c r="AB42" s="93">
        <f ca="1">IFERROR(__xludf.DUMMYFUNCTION("IMPORTRANGE(""https://docs.google.com/spreadsheets/d/1v_cJrbBlyqmnHPReHk44g9NrMRdENNlSy_E_c5M9fIg/edit?usp=sharing"",""ร้อยเอ็ด!J129"")"),0)</f>
        <v>0</v>
      </c>
      <c r="AC42" s="177">
        <f t="shared" ca="1" si="38"/>
        <v>0</v>
      </c>
      <c r="AD42" s="177">
        <f ca="1">IFERROR(__xludf.DUMMYFUNCTION("IMPORTRANGE(""https://docs.google.com/spreadsheets/d/1v_cJrbBlyqmnHPReHk44g9NrMRdENNlSy_E_c5M9fIg/edit?usp=sharing"",""ร้อยเอ็ด!J130"")"),0)</f>
        <v>0</v>
      </c>
      <c r="AE42" s="216">
        <v>0</v>
      </c>
      <c r="AF42" s="216">
        <v>0</v>
      </c>
      <c r="AG42" s="219">
        <v>0</v>
      </c>
    </row>
    <row r="43" spans="1:33" ht="19.5" x14ac:dyDescent="0.3">
      <c r="A43" s="172">
        <v>12</v>
      </c>
      <c r="B43" s="173" t="s">
        <v>69</v>
      </c>
      <c r="C43" s="174">
        <f t="shared" ca="1" si="24"/>
        <v>0</v>
      </c>
      <c r="D43" s="175">
        <f t="shared" ca="1" si="44"/>
        <v>0</v>
      </c>
      <c r="E43" s="176">
        <f ca="1">IFERROR(__xludf.DUMMYFUNCTION("IMPORTRANGE(""https://docs.google.com/spreadsheets/d/1-uDff_7J0KD5mKrp0Vvzr7lt3OU09vwQwhkpOPPYv2Y/edit?usp=sharing"",""งบพรบ!BH43"")"),0)</f>
        <v>0</v>
      </c>
      <c r="F43" s="176">
        <f ca="1">IFERROR(__xludf.DUMMYFUNCTION("IMPORTRANGE(""https://docs.google.com/spreadsheets/d/1-uDff_7J0KD5mKrp0Vvzr7lt3OU09vwQwhkpOPPYv2Y/edit?usp=sharing"",""งบพรบ!BI43"")"),0)</f>
        <v>0</v>
      </c>
      <c r="G43" s="176">
        <f ca="1">IFERROR(__xludf.DUMMYFUNCTION("IMPORTRANGE(""https://docs.google.com/spreadsheets/d/1-uDff_7J0KD5mKrp0Vvzr7lt3OU09vwQwhkpOPPYv2Y/edit?usp=sharing"",""งบพรบ!BJ43"")"),0)</f>
        <v>0</v>
      </c>
      <c r="H43" s="176">
        <f ca="1">IFERROR(__xludf.DUMMYFUNCTION("IMPORTRANGE(""https://docs.google.com/spreadsheets/d/1-uDff_7J0KD5mKrp0Vvzr7lt3OU09vwQwhkpOPPYv2Y/edit?usp=sharing"",""งบพรบ!BL43"")"),0)</f>
        <v>0</v>
      </c>
      <c r="I43" s="176">
        <f ca="1">IFERROR(__xludf.DUMMYFUNCTION("IMPORTRANGE(""https://docs.google.com/spreadsheets/d/1-uDff_7J0KD5mKrp0Vvzr7lt3OU09vwQwhkpOPPYv2Y/edit?usp=sharing"",""งบพรบ!BM43"")"),0)</f>
        <v>0</v>
      </c>
      <c r="J43" s="176">
        <f t="shared" ca="1" si="26"/>
        <v>0</v>
      </c>
      <c r="K43" s="179">
        <f t="shared" ca="1" si="27"/>
        <v>0</v>
      </c>
      <c r="L43" s="176">
        <f ca="1">IFERROR(__xludf.DUMMYFUNCTION("IMPORTRANGE(""https://docs.google.com/spreadsheets/d/1-uDff_7J0KD5mKrp0Vvzr7lt3OU09vwQwhkpOPPYv2Y/edit?usp=sharing"",""งบพรบ!BN43"")"),0)</f>
        <v>0</v>
      </c>
      <c r="M43" s="87">
        <f t="shared" ca="1" si="28"/>
        <v>0</v>
      </c>
      <c r="N43" s="87">
        <f t="shared" ca="1" si="29"/>
        <v>0</v>
      </c>
      <c r="O43" s="86">
        <f ca="1">IFERROR(__xludf.DUMMYFUNCTION("IMPORTRANGE(""https://docs.google.com/spreadsheets/d/1-uDff_7J0KD5mKrp0Vvzr7lt3OU09vwQwhkpOPPYv2Y/edit?usp=sharing"",""งบพรบ!BO43"")"),0)</f>
        <v>0</v>
      </c>
      <c r="P43" s="86">
        <f t="shared" ca="1" si="30"/>
        <v>0</v>
      </c>
      <c r="Q43" s="87">
        <f t="shared" ca="1" si="31"/>
        <v>0</v>
      </c>
      <c r="R43" s="86">
        <f ca="1">IFERROR(__xludf.DUMMYFUNCTION("IMPORTRANGE(""https://docs.google.com/spreadsheets/d/1Ul4RCpCX66NxYADU1QpwAPjOmBzW64SsT11s1wzXw_c/edit?usp=sharing"",""เลย!Q117"")"),209360)</f>
        <v>209360</v>
      </c>
      <c r="S43" s="86">
        <f ca="1">IFERROR(__xludf.DUMMYFUNCTION("IMPORTRANGE(""https://docs.google.com/spreadsheets/d/1Ul4RCpCX66NxYADU1QpwAPjOmBzW64SsT11s1wzXw_c/edit?usp=sharing"",""เลย!R117"")"),0)</f>
        <v>0</v>
      </c>
      <c r="T43" s="86">
        <f ca="1">IFERROR(__xludf.DUMMYFUNCTION("IMPORTRANGE(""https://docs.google.com/spreadsheets/d/1Ul4RCpCX66NxYADU1QpwAPjOmBzW64SsT11s1wzXw_c/edit?usp=sharing"",""เลย!S117"")"),0)</f>
        <v>0</v>
      </c>
      <c r="U43" s="87">
        <f t="shared" ca="1" si="33"/>
        <v>0</v>
      </c>
      <c r="V43" s="87">
        <f t="shared" ca="1" si="34"/>
        <v>0</v>
      </c>
      <c r="W43" s="93">
        <f ca="1">IFERROR(__xludf.DUMMYFUNCTION("IMPORTRANGE(""https://docs.google.com/spreadsheets/d/1Ul4RCpCX66NxYADU1QpwAPjOmBzW64SsT11s1wzXw_c/edit?usp=sharing"",""เลย!I127"")"),20)</f>
        <v>20</v>
      </c>
      <c r="X43" s="93">
        <f ca="1">IFERROR(__xludf.DUMMYFUNCTION("IMPORTRANGE(""https://docs.google.com/spreadsheets/d/1Ul4RCpCX66NxYADU1QpwAPjOmBzW64SsT11s1wzXw_c/edit?usp=sharing"",""เลย!J127"")"),0)</f>
        <v>0</v>
      </c>
      <c r="Y43" s="177">
        <f t="shared" ca="1" si="36"/>
        <v>0</v>
      </c>
      <c r="Z43" s="93">
        <f ca="1">IFERROR(__xludf.DUMMYFUNCTION("IMPORTRANGE(""https://docs.google.com/spreadsheets/d/1Ul4RCpCX66NxYADU1QpwAPjOmBzW64SsT11s1wzXw_c/edit?usp=sharing"",""เลย!J128"")"),0)</f>
        <v>0</v>
      </c>
      <c r="AA43" s="93">
        <f ca="1">IFERROR(__xludf.DUMMYFUNCTION("IMPORTRANGE(""https://docs.google.com/spreadsheets/d/1Ul4RCpCX66NxYADU1QpwAPjOmBzW64SsT11s1wzXw_c/edit?usp=sharing"",""เลย!I129"")"),20)</f>
        <v>20</v>
      </c>
      <c r="AB43" s="93">
        <f ca="1">IFERROR(__xludf.DUMMYFUNCTION("IMPORTRANGE(""https://docs.google.com/spreadsheets/d/1Ul4RCpCX66NxYADU1QpwAPjOmBzW64SsT11s1wzXw_c/edit?usp=sharing"",""เลย!J129"")"),0)</f>
        <v>0</v>
      </c>
      <c r="AC43" s="177">
        <f t="shared" ca="1" si="38"/>
        <v>0</v>
      </c>
      <c r="AD43" s="177">
        <f ca="1">IFERROR(__xludf.DUMMYFUNCTION("IMPORTRANGE(""https://docs.google.com/spreadsheets/d/1Ul4RCpCX66NxYADU1QpwAPjOmBzW64SsT11s1wzXw_c/edit?usp=sharing"",""เลย!J130"")"),0)</f>
        <v>0</v>
      </c>
      <c r="AE43" s="216">
        <v>0</v>
      </c>
      <c r="AF43" s="216">
        <v>0</v>
      </c>
      <c r="AG43" s="219">
        <v>0</v>
      </c>
    </row>
    <row r="44" spans="1:33" ht="19.5" x14ac:dyDescent="0.3">
      <c r="A44" s="172">
        <v>13</v>
      </c>
      <c r="B44" s="173" t="s">
        <v>70</v>
      </c>
      <c r="C44" s="174">
        <f t="shared" ca="1" si="24"/>
        <v>0</v>
      </c>
      <c r="D44" s="175">
        <f t="shared" ca="1" si="44"/>
        <v>0</v>
      </c>
      <c r="E44" s="176">
        <f ca="1">IFERROR(__xludf.DUMMYFUNCTION("IMPORTRANGE(""https://docs.google.com/spreadsheets/d/1-uDff_7J0KD5mKrp0Vvzr7lt3OU09vwQwhkpOPPYv2Y/edit?usp=sharing"",""งบพรบ!BH44"")"),0)</f>
        <v>0</v>
      </c>
      <c r="F44" s="176">
        <f ca="1">IFERROR(__xludf.DUMMYFUNCTION("IMPORTRANGE(""https://docs.google.com/spreadsheets/d/1-uDff_7J0KD5mKrp0Vvzr7lt3OU09vwQwhkpOPPYv2Y/edit?usp=sharing"",""งบพรบ!BI44"")"),0)</f>
        <v>0</v>
      </c>
      <c r="G44" s="176">
        <f ca="1">IFERROR(__xludf.DUMMYFUNCTION("IMPORTRANGE(""https://docs.google.com/spreadsheets/d/1-uDff_7J0KD5mKrp0Vvzr7lt3OU09vwQwhkpOPPYv2Y/edit?usp=sharing"",""งบพรบ!BJ44"")"),0)</f>
        <v>0</v>
      </c>
      <c r="H44" s="176">
        <f ca="1">IFERROR(__xludf.DUMMYFUNCTION("IMPORTRANGE(""https://docs.google.com/spreadsheets/d/1-uDff_7J0KD5mKrp0Vvzr7lt3OU09vwQwhkpOPPYv2Y/edit?usp=sharing"",""งบพรบ!BL44"")"),0)</f>
        <v>0</v>
      </c>
      <c r="I44" s="176">
        <f ca="1">IFERROR(__xludf.DUMMYFUNCTION("IMPORTRANGE(""https://docs.google.com/spreadsheets/d/1-uDff_7J0KD5mKrp0Vvzr7lt3OU09vwQwhkpOPPYv2Y/edit?usp=sharing"",""งบพรบ!BM44"")"),0)</f>
        <v>0</v>
      </c>
      <c r="J44" s="176">
        <f t="shared" ca="1" si="26"/>
        <v>0</v>
      </c>
      <c r="K44" s="179">
        <f t="shared" ca="1" si="27"/>
        <v>0</v>
      </c>
      <c r="L44" s="176">
        <f ca="1">IFERROR(__xludf.DUMMYFUNCTION("IMPORTRANGE(""https://docs.google.com/spreadsheets/d/1-uDff_7J0KD5mKrp0Vvzr7lt3OU09vwQwhkpOPPYv2Y/edit?usp=sharing"",""งบพรบ!BN44"")"),0)</f>
        <v>0</v>
      </c>
      <c r="M44" s="87">
        <f t="shared" ca="1" si="28"/>
        <v>0</v>
      </c>
      <c r="N44" s="87">
        <f t="shared" ca="1" si="29"/>
        <v>0</v>
      </c>
      <c r="O44" s="86">
        <f ca="1">IFERROR(__xludf.DUMMYFUNCTION("IMPORTRANGE(""https://docs.google.com/spreadsheets/d/1-uDff_7J0KD5mKrp0Vvzr7lt3OU09vwQwhkpOPPYv2Y/edit?usp=sharing"",""งบพรบ!BO44"")"),0)</f>
        <v>0</v>
      </c>
      <c r="P44" s="86">
        <f t="shared" ca="1" si="30"/>
        <v>0</v>
      </c>
      <c r="Q44" s="87">
        <f t="shared" ca="1" si="31"/>
        <v>0</v>
      </c>
      <c r="R44" s="86">
        <f ca="1">IFERROR(__xludf.DUMMYFUNCTION("IMPORTRANGE(""https://docs.google.com/spreadsheets/d/1bRrNKwbHDVktQG10isr5vbWRtt5spIZPpkOSWgbT5ug/edit?usp=sharing"",""ศรีสะเกษ!Q117"")"),227090)</f>
        <v>227090</v>
      </c>
      <c r="S44" s="86">
        <f ca="1">IFERROR(__xludf.DUMMYFUNCTION("IMPORTRANGE(""https://docs.google.com/spreadsheets/d/1bRrNKwbHDVktQG10isr5vbWRtt5spIZPpkOSWgbT5ug/edit?usp=sharing"",""ศรีสะเกษ!R117"")"),0)</f>
        <v>0</v>
      </c>
      <c r="T44" s="86">
        <f ca="1">IFERROR(__xludf.DUMMYFUNCTION("IMPORTRANGE(""https://docs.google.com/spreadsheets/d/1bRrNKwbHDVktQG10isr5vbWRtt5spIZPpkOSWgbT5ug/edit?usp=sharing"",""ศรีสะเกษ!S117"")"),0)</f>
        <v>0</v>
      </c>
      <c r="U44" s="87">
        <f t="shared" ca="1" si="33"/>
        <v>0</v>
      </c>
      <c r="V44" s="87">
        <f t="shared" ca="1" si="34"/>
        <v>0</v>
      </c>
      <c r="W44" s="93">
        <f ca="1">IFERROR(__xludf.DUMMYFUNCTION("IMPORTRANGE(""https://docs.google.com/spreadsheets/d/1bRrNKwbHDVktQG10isr5vbWRtt5spIZPpkOSWgbT5ug/edit?usp=sharing"",""ศรีสะเกษ!I127"")"),25)</f>
        <v>25</v>
      </c>
      <c r="X44" s="93">
        <f ca="1">IFERROR(__xludf.DUMMYFUNCTION("IMPORTRANGE(""https://docs.google.com/spreadsheets/d/1bRrNKwbHDVktQG10isr5vbWRtt5spIZPpkOSWgbT5ug/edit?usp=sharing"",""ศรีสะเกษ!J127"")"),0)</f>
        <v>0</v>
      </c>
      <c r="Y44" s="177">
        <f t="shared" ca="1" si="36"/>
        <v>0</v>
      </c>
      <c r="Z44" s="93">
        <f ca="1">IFERROR(__xludf.DUMMYFUNCTION("IMPORTRANGE(""https://docs.google.com/spreadsheets/d/1bRrNKwbHDVktQG10isr5vbWRtt5spIZPpkOSWgbT5ug/edit?usp=sharing"",""ศรีสะเกษ!J128"")"),0)</f>
        <v>0</v>
      </c>
      <c r="AA44" s="93">
        <f ca="1">IFERROR(__xludf.DUMMYFUNCTION("IMPORTRANGE(""https://docs.google.com/spreadsheets/d/1bRrNKwbHDVktQG10isr5vbWRtt5spIZPpkOSWgbT5ug/edit?usp=sharing"",""ศรีสะเกษ!I129"")"),25)</f>
        <v>25</v>
      </c>
      <c r="AB44" s="93">
        <f ca="1">IFERROR(__xludf.DUMMYFUNCTION("IMPORTRANGE(""https://docs.google.com/spreadsheets/d/1bRrNKwbHDVktQG10isr5vbWRtt5spIZPpkOSWgbT5ug/edit?usp=sharing"",""ศรีสะเกษ!J129"")"),0)</f>
        <v>0</v>
      </c>
      <c r="AC44" s="177">
        <f t="shared" ca="1" si="38"/>
        <v>0</v>
      </c>
      <c r="AD44" s="177">
        <f ca="1">IFERROR(__xludf.DUMMYFUNCTION("IMPORTRANGE(""https://docs.google.com/spreadsheets/d/1bRrNKwbHDVktQG10isr5vbWRtt5spIZPpkOSWgbT5ug/edit?usp=sharing"",""ศรีสะเกษ!J130"")"),0)</f>
        <v>0</v>
      </c>
      <c r="AE44" s="216">
        <v>0</v>
      </c>
      <c r="AF44" s="216">
        <v>0</v>
      </c>
      <c r="AG44" s="219">
        <v>0</v>
      </c>
    </row>
    <row r="45" spans="1:33" ht="19.5" x14ac:dyDescent="0.3">
      <c r="A45" s="172">
        <v>14</v>
      </c>
      <c r="B45" s="173" t="s">
        <v>71</v>
      </c>
      <c r="C45" s="174">
        <f t="shared" ca="1" si="24"/>
        <v>0</v>
      </c>
      <c r="D45" s="175">
        <f t="shared" ca="1" si="44"/>
        <v>0</v>
      </c>
      <c r="E45" s="176">
        <f ca="1">IFERROR(__xludf.DUMMYFUNCTION("IMPORTRANGE(""https://docs.google.com/spreadsheets/d/1-uDff_7J0KD5mKrp0Vvzr7lt3OU09vwQwhkpOPPYv2Y/edit?usp=sharing"",""งบพรบ!BH45"")"),0)</f>
        <v>0</v>
      </c>
      <c r="F45" s="176">
        <f ca="1">IFERROR(__xludf.DUMMYFUNCTION("IMPORTRANGE(""https://docs.google.com/spreadsheets/d/1-uDff_7J0KD5mKrp0Vvzr7lt3OU09vwQwhkpOPPYv2Y/edit?usp=sharing"",""งบพรบ!BI45"")"),0)</f>
        <v>0</v>
      </c>
      <c r="G45" s="176">
        <f ca="1">IFERROR(__xludf.DUMMYFUNCTION("IMPORTRANGE(""https://docs.google.com/spreadsheets/d/1-uDff_7J0KD5mKrp0Vvzr7lt3OU09vwQwhkpOPPYv2Y/edit?usp=sharing"",""งบพรบ!BJ45"")"),0)</f>
        <v>0</v>
      </c>
      <c r="H45" s="176">
        <f ca="1">IFERROR(__xludf.DUMMYFUNCTION("IMPORTRANGE(""https://docs.google.com/spreadsheets/d/1-uDff_7J0KD5mKrp0Vvzr7lt3OU09vwQwhkpOPPYv2Y/edit?usp=sharing"",""งบพรบ!BL45"")"),0)</f>
        <v>0</v>
      </c>
      <c r="I45" s="176">
        <f ca="1">IFERROR(__xludf.DUMMYFUNCTION("IMPORTRANGE(""https://docs.google.com/spreadsheets/d/1-uDff_7J0KD5mKrp0Vvzr7lt3OU09vwQwhkpOPPYv2Y/edit?usp=sharing"",""งบพรบ!BM45"")"),0)</f>
        <v>0</v>
      </c>
      <c r="J45" s="176">
        <f t="shared" ca="1" si="26"/>
        <v>0</v>
      </c>
      <c r="K45" s="179">
        <f t="shared" ca="1" si="27"/>
        <v>0</v>
      </c>
      <c r="L45" s="176">
        <f ca="1">IFERROR(__xludf.DUMMYFUNCTION("IMPORTRANGE(""https://docs.google.com/spreadsheets/d/1-uDff_7J0KD5mKrp0Vvzr7lt3OU09vwQwhkpOPPYv2Y/edit?usp=sharing"",""งบพรบ!BN45"")"),0)</f>
        <v>0</v>
      </c>
      <c r="M45" s="87">
        <f t="shared" ca="1" si="28"/>
        <v>0</v>
      </c>
      <c r="N45" s="87">
        <f t="shared" ca="1" si="29"/>
        <v>0</v>
      </c>
      <c r="O45" s="86">
        <f ca="1">IFERROR(__xludf.DUMMYFUNCTION("IMPORTRANGE(""https://docs.google.com/spreadsheets/d/1-uDff_7J0KD5mKrp0Vvzr7lt3OU09vwQwhkpOPPYv2Y/edit?usp=sharing"",""งบพรบ!BO45"")"),0)</f>
        <v>0</v>
      </c>
      <c r="P45" s="86">
        <f t="shared" ca="1" si="30"/>
        <v>0</v>
      </c>
      <c r="Q45" s="87">
        <f t="shared" ca="1" si="31"/>
        <v>0</v>
      </c>
      <c r="R45" s="86">
        <f ca="1">IFERROR(__xludf.DUMMYFUNCTION("IMPORTRANGE(""https://docs.google.com/spreadsheets/d/17P34_Ow5kFBfdQD0qspb2UuPX5zpi6WMrQzslghyvrI/edit?usp=sharing"",""สกลนคร!Q117"")"),188160)</f>
        <v>188160</v>
      </c>
      <c r="S45" s="86">
        <f ca="1">IFERROR(__xludf.DUMMYFUNCTION("IMPORTRANGE(""https://docs.google.com/spreadsheets/d/17P34_Ow5kFBfdQD0qspb2UuPX5zpi6WMrQzslghyvrI/edit?usp=sharing"",""สกลนคร!R117"")"),0)</f>
        <v>0</v>
      </c>
      <c r="T45" s="86">
        <f ca="1">IFERROR(__xludf.DUMMYFUNCTION("IMPORTRANGE(""https://docs.google.com/spreadsheets/d/17P34_Ow5kFBfdQD0qspb2UuPX5zpi6WMrQzslghyvrI/edit?usp=sharing"",""สกลนคร!S117"")"),4470)</f>
        <v>4470</v>
      </c>
      <c r="U45" s="87">
        <f t="shared" ca="1" si="33"/>
        <v>2.3756377551020407</v>
      </c>
      <c r="V45" s="87">
        <f t="shared" ca="1" si="34"/>
        <v>0</v>
      </c>
      <c r="W45" s="93">
        <f ca="1">IFERROR(__xludf.DUMMYFUNCTION("IMPORTRANGE(""https://docs.google.com/spreadsheets/d/17P34_Ow5kFBfdQD0qspb2UuPX5zpi6WMrQzslghyvrI/edit?usp=sharing"",""สกลนคร!I127"")"),14)</f>
        <v>14</v>
      </c>
      <c r="X45" s="93">
        <f ca="1">IFERROR(__xludf.DUMMYFUNCTION("IMPORTRANGE(""https://docs.google.com/spreadsheets/d/17P34_Ow5kFBfdQD0qspb2UuPX5zpi6WMrQzslghyvrI/edit?usp=sharing"",""สกลนคร!J127"")"),0)</f>
        <v>0</v>
      </c>
      <c r="Y45" s="177">
        <f t="shared" ca="1" si="36"/>
        <v>0</v>
      </c>
      <c r="Z45" s="93">
        <f ca="1">IFERROR(__xludf.DUMMYFUNCTION("IMPORTRANGE(""https://docs.google.com/spreadsheets/d/17P34_Ow5kFBfdQD0qspb2UuPX5zpi6WMrQzslghyvrI/edit?usp=sharing"",""สกลนคร!J128"")"),0)</f>
        <v>0</v>
      </c>
      <c r="AA45" s="93">
        <f ca="1">IFERROR(__xludf.DUMMYFUNCTION("IMPORTRANGE(""https://docs.google.com/spreadsheets/d/17P34_Ow5kFBfdQD0qspb2UuPX5zpi6WMrQzslghyvrI/edit?usp=sharing"",""สกลนคร!I129"")"),14)</f>
        <v>14</v>
      </c>
      <c r="AB45" s="93">
        <f ca="1">IFERROR(__xludf.DUMMYFUNCTION("IMPORTRANGE(""https://docs.google.com/spreadsheets/d/17P34_Ow5kFBfdQD0qspb2UuPX5zpi6WMrQzslghyvrI/edit?usp=sharing"",""สกลนคร!J129"")"),0)</f>
        <v>0</v>
      </c>
      <c r="AC45" s="177">
        <f t="shared" ca="1" si="38"/>
        <v>0</v>
      </c>
      <c r="AD45" s="177">
        <f ca="1">IFERROR(__xludf.DUMMYFUNCTION("IMPORTRANGE(""https://docs.google.com/spreadsheets/d/17P34_Ow5kFBfdQD0qspb2UuPX5zpi6WMrQzslghyvrI/edit?usp=sharing"",""สกลนคร!J130"")"),0)</f>
        <v>0</v>
      </c>
      <c r="AE45" s="216">
        <v>0</v>
      </c>
      <c r="AF45" s="216">
        <v>0</v>
      </c>
      <c r="AG45" s="219">
        <v>0</v>
      </c>
    </row>
    <row r="46" spans="1:33" ht="19.5" x14ac:dyDescent="0.3">
      <c r="A46" s="172">
        <v>15</v>
      </c>
      <c r="B46" s="173" t="s">
        <v>72</v>
      </c>
      <c r="C46" s="174">
        <f t="shared" ca="1" si="24"/>
        <v>0</v>
      </c>
      <c r="D46" s="175">
        <f t="shared" ca="1" si="44"/>
        <v>0</v>
      </c>
      <c r="E46" s="176">
        <f ca="1">IFERROR(__xludf.DUMMYFUNCTION("IMPORTRANGE(""https://docs.google.com/spreadsheets/d/1-uDff_7J0KD5mKrp0Vvzr7lt3OU09vwQwhkpOPPYv2Y/edit?usp=sharing"",""งบพรบ!BH46"")"),0)</f>
        <v>0</v>
      </c>
      <c r="F46" s="176">
        <f ca="1">IFERROR(__xludf.DUMMYFUNCTION("IMPORTRANGE(""https://docs.google.com/spreadsheets/d/1-uDff_7J0KD5mKrp0Vvzr7lt3OU09vwQwhkpOPPYv2Y/edit?usp=sharing"",""งบพรบ!BI46"")"),0)</f>
        <v>0</v>
      </c>
      <c r="G46" s="176">
        <f ca="1">IFERROR(__xludf.DUMMYFUNCTION("IMPORTRANGE(""https://docs.google.com/spreadsheets/d/1-uDff_7J0KD5mKrp0Vvzr7lt3OU09vwQwhkpOPPYv2Y/edit?usp=sharing"",""งบพรบ!BJ46"")"),0)</f>
        <v>0</v>
      </c>
      <c r="H46" s="176">
        <f ca="1">IFERROR(__xludf.DUMMYFUNCTION("IMPORTRANGE(""https://docs.google.com/spreadsheets/d/1-uDff_7J0KD5mKrp0Vvzr7lt3OU09vwQwhkpOPPYv2Y/edit?usp=sharing"",""งบพรบ!BL46"")"),0)</f>
        <v>0</v>
      </c>
      <c r="I46" s="176">
        <f ca="1">IFERROR(__xludf.DUMMYFUNCTION("IMPORTRANGE(""https://docs.google.com/spreadsheets/d/1-uDff_7J0KD5mKrp0Vvzr7lt3OU09vwQwhkpOPPYv2Y/edit?usp=sharing"",""งบพรบ!BM46"")"),0)</f>
        <v>0</v>
      </c>
      <c r="J46" s="176">
        <f t="shared" ca="1" si="26"/>
        <v>0</v>
      </c>
      <c r="K46" s="179">
        <f t="shared" ca="1" si="27"/>
        <v>0</v>
      </c>
      <c r="L46" s="176">
        <f ca="1">IFERROR(__xludf.DUMMYFUNCTION("IMPORTRANGE(""https://docs.google.com/spreadsheets/d/1-uDff_7J0KD5mKrp0Vvzr7lt3OU09vwQwhkpOPPYv2Y/edit?usp=sharing"",""งบพรบ!BN46"")"),0)</f>
        <v>0</v>
      </c>
      <c r="M46" s="87">
        <f t="shared" ca="1" si="28"/>
        <v>0</v>
      </c>
      <c r="N46" s="87">
        <f t="shared" ca="1" si="29"/>
        <v>0</v>
      </c>
      <c r="O46" s="86">
        <f ca="1">IFERROR(__xludf.DUMMYFUNCTION("IMPORTRANGE(""https://docs.google.com/spreadsheets/d/1-uDff_7J0KD5mKrp0Vvzr7lt3OU09vwQwhkpOPPYv2Y/edit?usp=sharing"",""งบพรบ!BO46"")"),0)</f>
        <v>0</v>
      </c>
      <c r="P46" s="86">
        <f t="shared" ca="1" si="30"/>
        <v>0</v>
      </c>
      <c r="Q46" s="87">
        <f t="shared" ca="1" si="31"/>
        <v>0</v>
      </c>
      <c r="R46" s="86">
        <f ca="1">IFERROR(__xludf.DUMMYFUNCTION("IMPORTRANGE(""https://docs.google.com/spreadsheets/d/1yswqbM3-AEpThF3ZSUa1AcmHnmRTF1vlJ1CZGcJ8YuU/edit?usp=sharing"",""สุรินทร์!Q117"")"),296720)</f>
        <v>296720</v>
      </c>
      <c r="S46" s="86">
        <f ca="1">IFERROR(__xludf.DUMMYFUNCTION("IMPORTRANGE(""https://docs.google.com/spreadsheets/d/1yswqbM3-AEpThF3ZSUa1AcmHnmRTF1vlJ1CZGcJ8YuU/edit?usp=sharing"",""สุรินทร์!R117"")"),0)</f>
        <v>0</v>
      </c>
      <c r="T46" s="86">
        <f ca="1">IFERROR(__xludf.DUMMYFUNCTION("IMPORTRANGE(""https://docs.google.com/spreadsheets/d/1yswqbM3-AEpThF3ZSUa1AcmHnmRTF1vlJ1CZGcJ8YuU/edit?usp=sharing"",""สุรินทร์!S117"")"),10833.25)</f>
        <v>10833.25</v>
      </c>
      <c r="U46" s="87">
        <f t="shared" ca="1" si="33"/>
        <v>3.6510009436505797</v>
      </c>
      <c r="V46" s="87">
        <f t="shared" ca="1" si="34"/>
        <v>0</v>
      </c>
      <c r="W46" s="93">
        <f ca="1">IFERROR(__xludf.DUMMYFUNCTION("IMPORTRANGE(""https://docs.google.com/spreadsheets/d/1yswqbM3-AEpThF3ZSUa1AcmHnmRTF1vlJ1CZGcJ8YuU/edit?usp=sharing"",""สุรินทร์!I127"")"),55)</f>
        <v>55</v>
      </c>
      <c r="X46" s="93">
        <f ca="1">IFERROR(__xludf.DUMMYFUNCTION("IMPORTRANGE(""https://docs.google.com/spreadsheets/d/1yswqbM3-AEpThF3ZSUa1AcmHnmRTF1vlJ1CZGcJ8YuU/edit?usp=sharing"",""สุรินทร์!J127"")"),0)</f>
        <v>0</v>
      </c>
      <c r="Y46" s="177">
        <f t="shared" ca="1" si="36"/>
        <v>0</v>
      </c>
      <c r="Z46" s="93">
        <f ca="1">IFERROR(__xludf.DUMMYFUNCTION("IMPORTRANGE(""https://docs.google.com/spreadsheets/d/1yswqbM3-AEpThF3ZSUa1AcmHnmRTF1vlJ1CZGcJ8YuU/edit?usp=sharing"",""สุรินทร์!J128"")"),0)</f>
        <v>0</v>
      </c>
      <c r="AA46" s="93">
        <f ca="1">IFERROR(__xludf.DUMMYFUNCTION("IMPORTRANGE(""https://docs.google.com/spreadsheets/d/1yswqbM3-AEpThF3ZSUa1AcmHnmRTF1vlJ1CZGcJ8YuU/edit?usp=sharing"",""สุรินทร์!I129"")"),20)</f>
        <v>20</v>
      </c>
      <c r="AB46" s="93">
        <f ca="1">IFERROR(__xludf.DUMMYFUNCTION("IMPORTRANGE(""https://docs.google.com/spreadsheets/d/1yswqbM3-AEpThF3ZSUa1AcmHnmRTF1vlJ1CZGcJ8YuU/edit?usp=sharing"",""สุรินทร์!J129"")"),0)</f>
        <v>0</v>
      </c>
      <c r="AC46" s="177">
        <f t="shared" ca="1" si="38"/>
        <v>0</v>
      </c>
      <c r="AD46" s="177">
        <f ca="1">IFERROR(__xludf.DUMMYFUNCTION("IMPORTRANGE(""https://docs.google.com/spreadsheets/d/1yswqbM3-AEpThF3ZSUa1AcmHnmRTF1vlJ1CZGcJ8YuU/edit?usp=sharing"",""สุรินทร์!J130"")"),0)</f>
        <v>0</v>
      </c>
      <c r="AE46" s="216">
        <v>0</v>
      </c>
      <c r="AF46" s="216">
        <v>0</v>
      </c>
      <c r="AG46" s="219">
        <v>0</v>
      </c>
    </row>
    <row r="47" spans="1:33" ht="19.5" x14ac:dyDescent="0.3">
      <c r="A47" s="172">
        <v>16</v>
      </c>
      <c r="B47" s="173" t="s">
        <v>73</v>
      </c>
      <c r="C47" s="174">
        <f t="shared" ca="1" si="24"/>
        <v>0</v>
      </c>
      <c r="D47" s="175">
        <f t="shared" ca="1" si="44"/>
        <v>0</v>
      </c>
      <c r="E47" s="176">
        <f ca="1">IFERROR(__xludf.DUMMYFUNCTION("IMPORTRANGE(""https://docs.google.com/spreadsheets/d/1-uDff_7J0KD5mKrp0Vvzr7lt3OU09vwQwhkpOPPYv2Y/edit?usp=sharing"",""งบพรบ!BH47"")"),0)</f>
        <v>0</v>
      </c>
      <c r="F47" s="176">
        <f ca="1">IFERROR(__xludf.DUMMYFUNCTION("IMPORTRANGE(""https://docs.google.com/spreadsheets/d/1-uDff_7J0KD5mKrp0Vvzr7lt3OU09vwQwhkpOPPYv2Y/edit?usp=sharing"",""งบพรบ!BI47"")"),0)</f>
        <v>0</v>
      </c>
      <c r="G47" s="176">
        <f ca="1">IFERROR(__xludf.DUMMYFUNCTION("IMPORTRANGE(""https://docs.google.com/spreadsheets/d/1-uDff_7J0KD5mKrp0Vvzr7lt3OU09vwQwhkpOPPYv2Y/edit?usp=sharing"",""งบพรบ!BJ47"")"),0)</f>
        <v>0</v>
      </c>
      <c r="H47" s="176">
        <f ca="1">IFERROR(__xludf.DUMMYFUNCTION("IMPORTRANGE(""https://docs.google.com/spreadsheets/d/1-uDff_7J0KD5mKrp0Vvzr7lt3OU09vwQwhkpOPPYv2Y/edit?usp=sharing"",""งบพรบ!BL47"")"),0)</f>
        <v>0</v>
      </c>
      <c r="I47" s="176">
        <f ca="1">IFERROR(__xludf.DUMMYFUNCTION("IMPORTRANGE(""https://docs.google.com/spreadsheets/d/1-uDff_7J0KD5mKrp0Vvzr7lt3OU09vwQwhkpOPPYv2Y/edit?usp=sharing"",""งบพรบ!BM47"")"),0)</f>
        <v>0</v>
      </c>
      <c r="J47" s="176">
        <f t="shared" ca="1" si="26"/>
        <v>0</v>
      </c>
      <c r="K47" s="179">
        <f t="shared" ca="1" si="27"/>
        <v>0</v>
      </c>
      <c r="L47" s="176">
        <f ca="1">IFERROR(__xludf.DUMMYFUNCTION("IMPORTRANGE(""https://docs.google.com/spreadsheets/d/1-uDff_7J0KD5mKrp0Vvzr7lt3OU09vwQwhkpOPPYv2Y/edit?usp=sharing"",""งบพรบ!BN47"")"),0)</f>
        <v>0</v>
      </c>
      <c r="M47" s="87">
        <f t="shared" ca="1" si="28"/>
        <v>0</v>
      </c>
      <c r="N47" s="87">
        <f t="shared" ca="1" si="29"/>
        <v>0</v>
      </c>
      <c r="O47" s="86">
        <f ca="1">IFERROR(__xludf.DUMMYFUNCTION("IMPORTRANGE(""https://docs.google.com/spreadsheets/d/1-uDff_7J0KD5mKrp0Vvzr7lt3OU09vwQwhkpOPPYv2Y/edit?usp=sharing"",""งบพรบ!BO47"")"),0)</f>
        <v>0</v>
      </c>
      <c r="P47" s="86">
        <f t="shared" ca="1" si="30"/>
        <v>0</v>
      </c>
      <c r="Q47" s="87">
        <f t="shared" ca="1" si="31"/>
        <v>0</v>
      </c>
      <c r="R47" s="86">
        <f ca="1">IFERROR(__xludf.DUMMYFUNCTION("IMPORTRANGE(""https://docs.google.com/spreadsheets/d/13JHU_EFbsQOUQ0JSQ3dWy1VTRosIWcDq6Nc99z2qzdc/edit?usp=sharing"",""หนองคาย!Q117"")"),244860)</f>
        <v>244860</v>
      </c>
      <c r="S47" s="86">
        <f ca="1">IFERROR(__xludf.DUMMYFUNCTION("IMPORTRANGE(""https://docs.google.com/spreadsheets/d/13JHU_EFbsQOUQ0JSQ3dWy1VTRosIWcDq6Nc99z2qzdc/edit?usp=sharing"",""หนองคาย!R117"")"),0)</f>
        <v>0</v>
      </c>
      <c r="T47" s="86">
        <f ca="1">IFERROR(__xludf.DUMMYFUNCTION("IMPORTRANGE(""https://docs.google.com/spreadsheets/d/13JHU_EFbsQOUQ0JSQ3dWy1VTRosIWcDq6Nc99z2qzdc/edit?usp=sharing"",""หนองคาย!S117"")"),0)</f>
        <v>0</v>
      </c>
      <c r="U47" s="87">
        <f t="shared" ca="1" si="33"/>
        <v>0</v>
      </c>
      <c r="V47" s="87">
        <f t="shared" ca="1" si="34"/>
        <v>0</v>
      </c>
      <c r="W47" s="93">
        <f ca="1">IFERROR(__xludf.DUMMYFUNCTION("IMPORTRANGE(""https://docs.google.com/spreadsheets/d/13JHU_EFbsQOUQ0JSQ3dWy1VTRosIWcDq6Nc99z2qzdc/edit?usp=sharing"",""หนองคาย!I127"")"),30)</f>
        <v>30</v>
      </c>
      <c r="X47" s="93">
        <f ca="1">IFERROR(__xludf.DUMMYFUNCTION("IMPORTRANGE(""https://docs.google.com/spreadsheets/d/13JHU_EFbsQOUQ0JSQ3dWy1VTRosIWcDq6Nc99z2qzdc/edit?usp=sharing"",""หนองคาย!J127"")"),0)</f>
        <v>0</v>
      </c>
      <c r="Y47" s="177">
        <f t="shared" ca="1" si="36"/>
        <v>0</v>
      </c>
      <c r="Z47" s="93">
        <f ca="1">IFERROR(__xludf.DUMMYFUNCTION("IMPORTRANGE(""https://docs.google.com/spreadsheets/d/13JHU_EFbsQOUQ0JSQ3dWy1VTRosIWcDq6Nc99z2qzdc/edit?usp=sharing"",""หนองคาย!J128"")"),0)</f>
        <v>0</v>
      </c>
      <c r="AA47" s="93">
        <f ca="1">IFERROR(__xludf.DUMMYFUNCTION("IMPORTRANGE(""https://docs.google.com/spreadsheets/d/13JHU_EFbsQOUQ0JSQ3dWy1VTRosIWcDq6Nc99z2qzdc/edit?usp=sharing"",""หนองคาย!I129"")"),30)</f>
        <v>30</v>
      </c>
      <c r="AB47" s="93">
        <f ca="1">IFERROR(__xludf.DUMMYFUNCTION("IMPORTRANGE(""https://docs.google.com/spreadsheets/d/13JHU_EFbsQOUQ0JSQ3dWy1VTRosIWcDq6Nc99z2qzdc/edit?usp=sharing"",""หนองคาย!J129"")"),0)</f>
        <v>0</v>
      </c>
      <c r="AC47" s="177">
        <f t="shared" ca="1" si="38"/>
        <v>0</v>
      </c>
      <c r="AD47" s="177">
        <f ca="1">IFERROR(__xludf.DUMMYFUNCTION("IMPORTRANGE(""https://docs.google.com/spreadsheets/d/13JHU_EFbsQOUQ0JSQ3dWy1VTRosIWcDq6Nc99z2qzdc/edit?usp=sharing"",""หนองคาย!J130"")"),0)</f>
        <v>0</v>
      </c>
      <c r="AE47" s="216">
        <v>0</v>
      </c>
      <c r="AF47" s="216">
        <v>0</v>
      </c>
      <c r="AG47" s="219">
        <v>0</v>
      </c>
    </row>
    <row r="48" spans="1:33" ht="19.5" x14ac:dyDescent="0.3">
      <c r="A48" s="172">
        <v>17</v>
      </c>
      <c r="B48" s="173" t="s">
        <v>74</v>
      </c>
      <c r="C48" s="174">
        <f t="shared" ca="1" si="24"/>
        <v>0</v>
      </c>
      <c r="D48" s="175">
        <f t="shared" ca="1" si="44"/>
        <v>0</v>
      </c>
      <c r="E48" s="176">
        <f ca="1">IFERROR(__xludf.DUMMYFUNCTION("IMPORTRANGE(""https://docs.google.com/spreadsheets/d/1-uDff_7J0KD5mKrp0Vvzr7lt3OU09vwQwhkpOPPYv2Y/edit?usp=sharing"",""งบพรบ!BH48"")"),0)</f>
        <v>0</v>
      </c>
      <c r="F48" s="176">
        <f ca="1">IFERROR(__xludf.DUMMYFUNCTION("IMPORTRANGE(""https://docs.google.com/spreadsheets/d/1-uDff_7J0KD5mKrp0Vvzr7lt3OU09vwQwhkpOPPYv2Y/edit?usp=sharing"",""งบพรบ!BI48"")"),0)</f>
        <v>0</v>
      </c>
      <c r="G48" s="176">
        <f ca="1">IFERROR(__xludf.DUMMYFUNCTION("IMPORTRANGE(""https://docs.google.com/spreadsheets/d/1-uDff_7J0KD5mKrp0Vvzr7lt3OU09vwQwhkpOPPYv2Y/edit?usp=sharing"",""งบพรบ!BJ48"")"),0)</f>
        <v>0</v>
      </c>
      <c r="H48" s="176">
        <f ca="1">IFERROR(__xludf.DUMMYFUNCTION("IMPORTRANGE(""https://docs.google.com/spreadsheets/d/1-uDff_7J0KD5mKrp0Vvzr7lt3OU09vwQwhkpOPPYv2Y/edit?usp=sharing"",""งบพรบ!BL48"")"),0)</f>
        <v>0</v>
      </c>
      <c r="I48" s="176">
        <f ca="1">IFERROR(__xludf.DUMMYFUNCTION("IMPORTRANGE(""https://docs.google.com/spreadsheets/d/1-uDff_7J0KD5mKrp0Vvzr7lt3OU09vwQwhkpOPPYv2Y/edit?usp=sharing"",""งบพรบ!BM48"")"),0)</f>
        <v>0</v>
      </c>
      <c r="J48" s="176">
        <f t="shared" ca="1" si="26"/>
        <v>0</v>
      </c>
      <c r="K48" s="179">
        <f t="shared" ca="1" si="27"/>
        <v>0</v>
      </c>
      <c r="L48" s="176">
        <f ca="1">IFERROR(__xludf.DUMMYFUNCTION("IMPORTRANGE(""https://docs.google.com/spreadsheets/d/1-uDff_7J0KD5mKrp0Vvzr7lt3OU09vwQwhkpOPPYv2Y/edit?usp=sharing"",""งบพรบ!BN48"")"),0)</f>
        <v>0</v>
      </c>
      <c r="M48" s="87">
        <f t="shared" ca="1" si="28"/>
        <v>0</v>
      </c>
      <c r="N48" s="87">
        <f t="shared" ca="1" si="29"/>
        <v>0</v>
      </c>
      <c r="O48" s="86">
        <f ca="1">IFERROR(__xludf.DUMMYFUNCTION("IMPORTRANGE(""https://docs.google.com/spreadsheets/d/1-uDff_7J0KD5mKrp0Vvzr7lt3OU09vwQwhkpOPPYv2Y/edit?usp=sharing"",""งบพรบ!BO48"")"),0)</f>
        <v>0</v>
      </c>
      <c r="P48" s="86">
        <f t="shared" ca="1" si="30"/>
        <v>0</v>
      </c>
      <c r="Q48" s="87">
        <f t="shared" ca="1" si="31"/>
        <v>0</v>
      </c>
      <c r="R48" s="86">
        <f ca="1">IFERROR(__xludf.DUMMYFUNCTION("IMPORTRANGE(""https://docs.google.com/spreadsheets/d/1Hx73zIEgVdDZZaYSTc46Dqv64atFhpr3GelxLbaIN8A/edit?usp=sharing"",""หนองบัวลำภู!Q117"")"),191460)</f>
        <v>191460</v>
      </c>
      <c r="S48" s="86">
        <f ca="1">IFERROR(__xludf.DUMMYFUNCTION("IMPORTRANGE(""https://docs.google.com/spreadsheets/d/1Hx73zIEgVdDZZaYSTc46Dqv64atFhpr3GelxLbaIN8A/edit?usp=sharing"",""หนองบัวลำภู!R117"")"),0)</f>
        <v>0</v>
      </c>
      <c r="T48" s="86">
        <f ca="1">IFERROR(__xludf.DUMMYFUNCTION("IMPORTRANGE(""https://docs.google.com/spreadsheets/d/1Hx73zIEgVdDZZaYSTc46Dqv64atFhpr3GelxLbaIN8A/edit?usp=sharing"",""หนองบัวลำภู!S117"")"),0)</f>
        <v>0</v>
      </c>
      <c r="U48" s="87">
        <f t="shared" ca="1" si="33"/>
        <v>0</v>
      </c>
      <c r="V48" s="87">
        <f t="shared" ca="1" si="34"/>
        <v>0</v>
      </c>
      <c r="W48" s="93">
        <f ca="1">IFERROR(__xludf.DUMMYFUNCTION("IMPORTRANGE(""https://docs.google.com/spreadsheets/d/1Hx73zIEgVdDZZaYSTc46Dqv64atFhpr3GelxLbaIN8A/edit?usp=sharing"",""หนองบัวลำภู!I127"")"),15)</f>
        <v>15</v>
      </c>
      <c r="X48" s="93">
        <f ca="1">IFERROR(__xludf.DUMMYFUNCTION("IMPORTRANGE(""https://docs.google.com/spreadsheets/d/1Hx73zIEgVdDZZaYSTc46Dqv64atFhpr3GelxLbaIN8A/edit?usp=sharing"",""หนองบัวลำภู!J127"")"),0)</f>
        <v>0</v>
      </c>
      <c r="Y48" s="177">
        <f t="shared" ca="1" si="36"/>
        <v>0</v>
      </c>
      <c r="Z48" s="93">
        <f ca="1">IFERROR(__xludf.DUMMYFUNCTION("IMPORTRANGE(""https://docs.google.com/spreadsheets/d/1Hx73zIEgVdDZZaYSTc46Dqv64atFhpr3GelxLbaIN8A/edit?usp=sharing"",""หนองบัวลำภู!J128"")"),0)</f>
        <v>0</v>
      </c>
      <c r="AA48" s="93">
        <f ca="1">IFERROR(__xludf.DUMMYFUNCTION("IMPORTRANGE(""https://docs.google.com/spreadsheets/d/1Hx73zIEgVdDZZaYSTc46Dqv64atFhpr3GelxLbaIN8A/edit?usp=sharing"",""หนองบัวลำภู!I129"")"),15)</f>
        <v>15</v>
      </c>
      <c r="AB48" s="93">
        <f ca="1">IFERROR(__xludf.DUMMYFUNCTION("IMPORTRANGE(""https://docs.google.com/spreadsheets/d/1Hx73zIEgVdDZZaYSTc46Dqv64atFhpr3GelxLbaIN8A/edit?usp=sharing"",""หนองบัวลำภู!J129"")"),0)</f>
        <v>0</v>
      </c>
      <c r="AC48" s="177">
        <f t="shared" ca="1" si="38"/>
        <v>0</v>
      </c>
      <c r="AD48" s="177">
        <f ca="1">IFERROR(__xludf.DUMMYFUNCTION("IMPORTRANGE(""https://docs.google.com/spreadsheets/d/1Hx73zIEgVdDZZaYSTc46Dqv64atFhpr3GelxLbaIN8A/edit?usp=sharing"",""หนองบัวลำภู!J130"")"),0)</f>
        <v>0</v>
      </c>
      <c r="AE48" s="216">
        <v>0</v>
      </c>
      <c r="AF48" s="216">
        <v>0</v>
      </c>
      <c r="AG48" s="219">
        <v>0</v>
      </c>
    </row>
    <row r="49" spans="1:33" ht="19.5" x14ac:dyDescent="0.3">
      <c r="A49" s="172">
        <v>18</v>
      </c>
      <c r="B49" s="173" t="s">
        <v>75</v>
      </c>
      <c r="C49" s="174">
        <f t="shared" ca="1" si="24"/>
        <v>0</v>
      </c>
      <c r="D49" s="175">
        <f t="shared" ca="1" si="44"/>
        <v>0</v>
      </c>
      <c r="E49" s="176">
        <f ca="1">IFERROR(__xludf.DUMMYFUNCTION("IMPORTRANGE(""https://docs.google.com/spreadsheets/d/1-uDff_7J0KD5mKrp0Vvzr7lt3OU09vwQwhkpOPPYv2Y/edit?usp=sharing"",""งบพรบ!BH49"")"),0)</f>
        <v>0</v>
      </c>
      <c r="F49" s="176">
        <f ca="1">IFERROR(__xludf.DUMMYFUNCTION("IMPORTRANGE(""https://docs.google.com/spreadsheets/d/1-uDff_7J0KD5mKrp0Vvzr7lt3OU09vwQwhkpOPPYv2Y/edit?usp=sharing"",""งบพรบ!BI49"")"),0)</f>
        <v>0</v>
      </c>
      <c r="G49" s="176">
        <f ca="1">IFERROR(__xludf.DUMMYFUNCTION("IMPORTRANGE(""https://docs.google.com/spreadsheets/d/1-uDff_7J0KD5mKrp0Vvzr7lt3OU09vwQwhkpOPPYv2Y/edit?usp=sharing"",""งบพรบ!BJ49"")"),0)</f>
        <v>0</v>
      </c>
      <c r="H49" s="176">
        <f ca="1">IFERROR(__xludf.DUMMYFUNCTION("IMPORTRANGE(""https://docs.google.com/spreadsheets/d/1-uDff_7J0KD5mKrp0Vvzr7lt3OU09vwQwhkpOPPYv2Y/edit?usp=sharing"",""งบพรบ!BL49"")"),0)</f>
        <v>0</v>
      </c>
      <c r="I49" s="176">
        <f ca="1">IFERROR(__xludf.DUMMYFUNCTION("IMPORTRANGE(""https://docs.google.com/spreadsheets/d/1-uDff_7J0KD5mKrp0Vvzr7lt3OU09vwQwhkpOPPYv2Y/edit?usp=sharing"",""งบพรบ!BM49"")"),0)</f>
        <v>0</v>
      </c>
      <c r="J49" s="176">
        <f t="shared" ca="1" si="26"/>
        <v>0</v>
      </c>
      <c r="K49" s="179">
        <f t="shared" ca="1" si="27"/>
        <v>0</v>
      </c>
      <c r="L49" s="176">
        <f ca="1">IFERROR(__xludf.DUMMYFUNCTION("IMPORTRANGE(""https://docs.google.com/spreadsheets/d/1-uDff_7J0KD5mKrp0Vvzr7lt3OU09vwQwhkpOPPYv2Y/edit?usp=sharing"",""งบพรบ!BN49"")"),0)</f>
        <v>0</v>
      </c>
      <c r="M49" s="87">
        <f t="shared" ca="1" si="28"/>
        <v>0</v>
      </c>
      <c r="N49" s="87">
        <f t="shared" ca="1" si="29"/>
        <v>0</v>
      </c>
      <c r="O49" s="86">
        <f ca="1">IFERROR(__xludf.DUMMYFUNCTION("IMPORTRANGE(""https://docs.google.com/spreadsheets/d/1-uDff_7J0KD5mKrp0Vvzr7lt3OU09vwQwhkpOPPYv2Y/edit?usp=sharing"",""งบพรบ!BO49"")"),0)</f>
        <v>0</v>
      </c>
      <c r="P49" s="86">
        <f t="shared" ca="1" si="30"/>
        <v>0</v>
      </c>
      <c r="Q49" s="87">
        <f t="shared" ca="1" si="31"/>
        <v>0</v>
      </c>
      <c r="R49" s="86">
        <f ca="1">IFERROR(__xludf.DUMMYFUNCTION("IMPORTRANGE(""https://docs.google.com/spreadsheets/d/1lFxr3ctmjFN90yc-xV6jrQ9Ty8BKYVBWnAZ15wcNIJc/edit?usp=sharing"",""อำนาจเจริญ!Q117"")"),209360)</f>
        <v>209360</v>
      </c>
      <c r="S49" s="86">
        <f ca="1">IFERROR(__xludf.DUMMYFUNCTION("IMPORTRANGE(""https://docs.google.com/spreadsheets/d/1lFxr3ctmjFN90yc-xV6jrQ9Ty8BKYVBWnAZ15wcNIJc/edit?usp=sharing"",""อำนาจเจริญ!R117"")"),0)</f>
        <v>0</v>
      </c>
      <c r="T49" s="86">
        <f ca="1">IFERROR(__xludf.DUMMYFUNCTION("IMPORTRANGE(""https://docs.google.com/spreadsheets/d/1lFxr3ctmjFN90yc-xV6jrQ9Ty8BKYVBWnAZ15wcNIJc/edit?usp=sharing"",""อำนาจเจริญ!S117"")"),0)</f>
        <v>0</v>
      </c>
      <c r="U49" s="87">
        <f t="shared" ca="1" si="33"/>
        <v>0</v>
      </c>
      <c r="V49" s="87">
        <f t="shared" ca="1" si="34"/>
        <v>0</v>
      </c>
      <c r="W49" s="93">
        <f ca="1">IFERROR(__xludf.DUMMYFUNCTION("IMPORTRANGE(""https://docs.google.com/spreadsheets/d/1lFxr3ctmjFN90yc-xV6jrQ9Ty8BKYVBWnAZ15wcNIJc/edit?usp=sharing"",""อำนาจเจริญ!I127"")"),20)</f>
        <v>20</v>
      </c>
      <c r="X49" s="93">
        <f ca="1">IFERROR(__xludf.DUMMYFUNCTION("IMPORTRANGE(""https://docs.google.com/spreadsheets/d/1lFxr3ctmjFN90yc-xV6jrQ9Ty8BKYVBWnAZ15wcNIJc/edit?usp=sharing"",""อำนาจเจริญ!J127"")"),0)</f>
        <v>0</v>
      </c>
      <c r="Y49" s="177">
        <f t="shared" ca="1" si="36"/>
        <v>0</v>
      </c>
      <c r="Z49" s="93">
        <f ca="1">IFERROR(__xludf.DUMMYFUNCTION("IMPORTRANGE(""https://docs.google.com/spreadsheets/d/1lFxr3ctmjFN90yc-xV6jrQ9Ty8BKYVBWnAZ15wcNIJc/edit?usp=sharing"",""อำนาจเจริญ!J128"")"),0)</f>
        <v>0</v>
      </c>
      <c r="AA49" s="93">
        <f ca="1">IFERROR(__xludf.DUMMYFUNCTION("IMPORTRANGE(""https://docs.google.com/spreadsheets/d/1lFxr3ctmjFN90yc-xV6jrQ9Ty8BKYVBWnAZ15wcNIJc/edit?usp=sharing"",""อำนาจเจริญ!I129"")"),20)</f>
        <v>20</v>
      </c>
      <c r="AB49" s="93">
        <f ca="1">IFERROR(__xludf.DUMMYFUNCTION("IMPORTRANGE(""https://docs.google.com/spreadsheets/d/1lFxr3ctmjFN90yc-xV6jrQ9Ty8BKYVBWnAZ15wcNIJc/edit?usp=sharing"",""อำนาจเจริญ!J129"")"),0)</f>
        <v>0</v>
      </c>
      <c r="AC49" s="177">
        <f t="shared" ca="1" si="38"/>
        <v>0</v>
      </c>
      <c r="AD49" s="177">
        <f ca="1">IFERROR(__xludf.DUMMYFUNCTION("IMPORTRANGE(""https://docs.google.com/spreadsheets/d/1lFxr3ctmjFN90yc-xV6jrQ9Ty8BKYVBWnAZ15wcNIJc/edit?usp=sharing"",""อำนาจเจริญ!J130"")"),0)</f>
        <v>0</v>
      </c>
      <c r="AE49" s="216">
        <v>0</v>
      </c>
      <c r="AF49" s="216">
        <v>0</v>
      </c>
      <c r="AG49" s="219">
        <v>0</v>
      </c>
    </row>
    <row r="50" spans="1:33" ht="19.5" x14ac:dyDescent="0.3">
      <c r="A50" s="172">
        <v>19</v>
      </c>
      <c r="B50" s="173" t="s">
        <v>76</v>
      </c>
      <c r="C50" s="174">
        <f t="shared" ca="1" si="24"/>
        <v>0</v>
      </c>
      <c r="D50" s="175">
        <f t="shared" ca="1" si="44"/>
        <v>0</v>
      </c>
      <c r="E50" s="176">
        <f ca="1">IFERROR(__xludf.DUMMYFUNCTION("IMPORTRANGE(""https://docs.google.com/spreadsheets/d/1-uDff_7J0KD5mKrp0Vvzr7lt3OU09vwQwhkpOPPYv2Y/edit?usp=sharing"",""งบพรบ!BH50"")"),0)</f>
        <v>0</v>
      </c>
      <c r="F50" s="176">
        <f ca="1">IFERROR(__xludf.DUMMYFUNCTION("IMPORTRANGE(""https://docs.google.com/spreadsheets/d/1-uDff_7J0KD5mKrp0Vvzr7lt3OU09vwQwhkpOPPYv2Y/edit?usp=sharing"",""งบพรบ!BI50"")"),0)</f>
        <v>0</v>
      </c>
      <c r="G50" s="176">
        <f ca="1">IFERROR(__xludf.DUMMYFUNCTION("IMPORTRANGE(""https://docs.google.com/spreadsheets/d/1-uDff_7J0KD5mKrp0Vvzr7lt3OU09vwQwhkpOPPYv2Y/edit?usp=sharing"",""งบพรบ!BJ50"")"),0)</f>
        <v>0</v>
      </c>
      <c r="H50" s="176">
        <f ca="1">IFERROR(__xludf.DUMMYFUNCTION("IMPORTRANGE(""https://docs.google.com/spreadsheets/d/1-uDff_7J0KD5mKrp0Vvzr7lt3OU09vwQwhkpOPPYv2Y/edit?usp=sharing"",""งบพรบ!BL50"")"),0)</f>
        <v>0</v>
      </c>
      <c r="I50" s="176">
        <f ca="1">IFERROR(__xludf.DUMMYFUNCTION("IMPORTRANGE(""https://docs.google.com/spreadsheets/d/1-uDff_7J0KD5mKrp0Vvzr7lt3OU09vwQwhkpOPPYv2Y/edit?usp=sharing"",""งบพรบ!BM50"")"),0)</f>
        <v>0</v>
      </c>
      <c r="J50" s="176">
        <f t="shared" ca="1" si="26"/>
        <v>0</v>
      </c>
      <c r="K50" s="179">
        <f t="shared" ca="1" si="27"/>
        <v>0</v>
      </c>
      <c r="L50" s="176">
        <f ca="1">IFERROR(__xludf.DUMMYFUNCTION("IMPORTRANGE(""https://docs.google.com/spreadsheets/d/1-uDff_7J0KD5mKrp0Vvzr7lt3OU09vwQwhkpOPPYv2Y/edit?usp=sharing"",""งบพรบ!BN50"")"),0)</f>
        <v>0</v>
      </c>
      <c r="M50" s="87">
        <f t="shared" ca="1" si="28"/>
        <v>0</v>
      </c>
      <c r="N50" s="87">
        <f t="shared" ca="1" si="29"/>
        <v>0</v>
      </c>
      <c r="O50" s="86">
        <f ca="1">IFERROR(__xludf.DUMMYFUNCTION("IMPORTRANGE(""https://docs.google.com/spreadsheets/d/1-uDff_7J0KD5mKrp0Vvzr7lt3OU09vwQwhkpOPPYv2Y/edit?usp=sharing"",""งบพรบ!BO50"")"),0)</f>
        <v>0</v>
      </c>
      <c r="P50" s="86">
        <f t="shared" ca="1" si="30"/>
        <v>0</v>
      </c>
      <c r="Q50" s="87">
        <f t="shared" ca="1" si="31"/>
        <v>0</v>
      </c>
      <c r="R50" s="86">
        <f ca="1">IFERROR(__xludf.DUMMYFUNCTION("IMPORTRANGE(""https://docs.google.com/spreadsheets/d/1gF7RJpRnL-1oyjyeWxs5SFWEH7y8ahOZsQlyp2A2e-A/edit?usp=sharing"",""อุดรธานี!Q117"")"),209360)</f>
        <v>209360</v>
      </c>
      <c r="S50" s="86">
        <f ca="1">IFERROR(__xludf.DUMMYFUNCTION("IMPORTRANGE(""https://docs.google.com/spreadsheets/d/1gF7RJpRnL-1oyjyeWxs5SFWEH7y8ahOZsQlyp2A2e-A/edit?usp=sharing"",""อุดรธานี!R117"")"),0)</f>
        <v>0</v>
      </c>
      <c r="T50" s="86">
        <f ca="1">IFERROR(__xludf.DUMMYFUNCTION("IMPORTRANGE(""https://docs.google.com/spreadsheets/d/1gF7RJpRnL-1oyjyeWxs5SFWEH7y8ahOZsQlyp2A2e-A/edit?usp=sharing"",""อุดรธานี!S117"")"),0)</f>
        <v>0</v>
      </c>
      <c r="U50" s="87">
        <f t="shared" ca="1" si="33"/>
        <v>0</v>
      </c>
      <c r="V50" s="87">
        <f t="shared" ca="1" si="34"/>
        <v>0</v>
      </c>
      <c r="W50" s="93">
        <f ca="1">IFERROR(__xludf.DUMMYFUNCTION("IMPORTRANGE(""https://docs.google.com/spreadsheets/d/1gF7RJpRnL-1oyjyeWxs5SFWEH7y8ahOZsQlyp2A2e-A/edit?usp=sharing"",""อุดรธานี!I127"")"),20)</f>
        <v>20</v>
      </c>
      <c r="X50" s="93">
        <f ca="1">IFERROR(__xludf.DUMMYFUNCTION("IMPORTRANGE(""https://docs.google.com/spreadsheets/d/1gF7RJpRnL-1oyjyeWxs5SFWEH7y8ahOZsQlyp2A2e-A/edit?usp=sharing"",""อุดรธานี!J127"")"),0)</f>
        <v>0</v>
      </c>
      <c r="Y50" s="177">
        <f t="shared" ca="1" si="36"/>
        <v>0</v>
      </c>
      <c r="Z50" s="93">
        <f ca="1">IFERROR(__xludf.DUMMYFUNCTION("IMPORTRANGE(""https://docs.google.com/spreadsheets/d/1gF7RJpRnL-1oyjyeWxs5SFWEH7y8ahOZsQlyp2A2e-A/edit?usp=sharing"",""อุดรธานี!J128"")"),0)</f>
        <v>0</v>
      </c>
      <c r="AA50" s="93">
        <f ca="1">IFERROR(__xludf.DUMMYFUNCTION("IMPORTRANGE(""https://docs.google.com/spreadsheets/d/1gF7RJpRnL-1oyjyeWxs5SFWEH7y8ahOZsQlyp2A2e-A/edit?usp=sharing"",""อุดรธานี!I129"")"),20)</f>
        <v>20</v>
      </c>
      <c r="AB50" s="93">
        <f ca="1">IFERROR(__xludf.DUMMYFUNCTION("IMPORTRANGE(""https://docs.google.com/spreadsheets/d/1gF7RJpRnL-1oyjyeWxs5SFWEH7y8ahOZsQlyp2A2e-A/edit?usp=sharing"",""อุดรธานี!J129"")"),0)</f>
        <v>0</v>
      </c>
      <c r="AC50" s="177">
        <f t="shared" ca="1" si="38"/>
        <v>0</v>
      </c>
      <c r="AD50" s="177">
        <f ca="1">IFERROR(__xludf.DUMMYFUNCTION("IMPORTRANGE(""https://docs.google.com/spreadsheets/d/1gF7RJpRnL-1oyjyeWxs5SFWEH7y8ahOZsQlyp2A2e-A/edit?usp=sharing"",""อุดรธานี!J130"")"),0)</f>
        <v>0</v>
      </c>
      <c r="AE50" s="216">
        <v>0</v>
      </c>
      <c r="AF50" s="216">
        <v>0</v>
      </c>
      <c r="AG50" s="219">
        <v>0</v>
      </c>
    </row>
    <row r="51" spans="1:33" ht="19.5" x14ac:dyDescent="0.3">
      <c r="A51" s="187">
        <v>20</v>
      </c>
      <c r="B51" s="188" t="s">
        <v>77</v>
      </c>
      <c r="C51" s="189">
        <f t="shared" ca="1" si="24"/>
        <v>0</v>
      </c>
      <c r="D51" s="190">
        <f t="shared" ca="1" si="44"/>
        <v>0</v>
      </c>
      <c r="E51" s="191">
        <f ca="1">IFERROR(__xludf.DUMMYFUNCTION("IMPORTRANGE(""https://docs.google.com/spreadsheets/d/1-uDff_7J0KD5mKrp0Vvzr7lt3OU09vwQwhkpOPPYv2Y/edit?usp=sharing"",""งบพรบ!BH51"")"),0)</f>
        <v>0</v>
      </c>
      <c r="F51" s="191">
        <f ca="1">IFERROR(__xludf.DUMMYFUNCTION("IMPORTRANGE(""https://docs.google.com/spreadsheets/d/1-uDff_7J0KD5mKrp0Vvzr7lt3OU09vwQwhkpOPPYv2Y/edit?usp=sharing"",""งบพรบ!BI51"")"),0)</f>
        <v>0</v>
      </c>
      <c r="G51" s="191">
        <f ca="1">IFERROR(__xludf.DUMMYFUNCTION("IMPORTRANGE(""https://docs.google.com/spreadsheets/d/1-uDff_7J0KD5mKrp0Vvzr7lt3OU09vwQwhkpOPPYv2Y/edit?usp=sharing"",""งบพรบ!BJ51"")"),0)</f>
        <v>0</v>
      </c>
      <c r="H51" s="191">
        <f ca="1">IFERROR(__xludf.DUMMYFUNCTION("IMPORTRANGE(""https://docs.google.com/spreadsheets/d/1-uDff_7J0KD5mKrp0Vvzr7lt3OU09vwQwhkpOPPYv2Y/edit?usp=sharing"",""งบพรบ!BL51"")"),0)</f>
        <v>0</v>
      </c>
      <c r="I51" s="191">
        <f ca="1">IFERROR(__xludf.DUMMYFUNCTION("IMPORTRANGE(""https://docs.google.com/spreadsheets/d/1-uDff_7J0KD5mKrp0Vvzr7lt3OU09vwQwhkpOPPYv2Y/edit?usp=sharing"",""งบพรบ!BM51"")"),0)</f>
        <v>0</v>
      </c>
      <c r="J51" s="191">
        <f t="shared" ca="1" si="26"/>
        <v>0</v>
      </c>
      <c r="K51" s="192">
        <f t="shared" ca="1" si="27"/>
        <v>0</v>
      </c>
      <c r="L51" s="191">
        <f ca="1">IFERROR(__xludf.DUMMYFUNCTION("IMPORTRANGE(""https://docs.google.com/spreadsheets/d/1-uDff_7J0KD5mKrp0Vvzr7lt3OU09vwQwhkpOPPYv2Y/edit?usp=sharing"",""งบพรบ!BN51"")"),0)</f>
        <v>0</v>
      </c>
      <c r="M51" s="118">
        <f t="shared" ca="1" si="28"/>
        <v>0</v>
      </c>
      <c r="N51" s="118">
        <f t="shared" ca="1" si="29"/>
        <v>0</v>
      </c>
      <c r="O51" s="117">
        <f ca="1">IFERROR(__xludf.DUMMYFUNCTION("IMPORTRANGE(""https://docs.google.com/spreadsheets/d/1-uDff_7J0KD5mKrp0Vvzr7lt3OU09vwQwhkpOPPYv2Y/edit?usp=sharing"",""งบพรบ!BO51"")"),0)</f>
        <v>0</v>
      </c>
      <c r="P51" s="117">
        <f t="shared" ca="1" si="30"/>
        <v>0</v>
      </c>
      <c r="Q51" s="118">
        <f t="shared" ca="1" si="31"/>
        <v>0</v>
      </c>
      <c r="R51" s="117">
        <f ca="1">IFERROR(__xludf.DUMMYFUNCTION("IMPORTRANGE(""https://docs.google.com/spreadsheets/d/1kfLP0j3INXRa8bTDpcEmoWewMBV61jlFlfzczfjWIgc/edit?usp=sharing"",""อุบลราชธานี!Q117"")"),209360)</f>
        <v>209360</v>
      </c>
      <c r="S51" s="117">
        <f ca="1">IFERROR(__xludf.DUMMYFUNCTION("IMPORTRANGE(""https://docs.google.com/spreadsheets/d/1kfLP0j3INXRa8bTDpcEmoWewMBV61jlFlfzczfjWIgc/edit?usp=sharing"",""อุบลราชธานี!R117"")"),0)</f>
        <v>0</v>
      </c>
      <c r="T51" s="117">
        <f ca="1">IFERROR(__xludf.DUMMYFUNCTION("IMPORTRANGE(""https://docs.google.com/spreadsheets/d/1kfLP0j3INXRa8bTDpcEmoWewMBV61jlFlfzczfjWIgc/edit?usp=sharing"",""อุบลราชธานี!S117"")"),0)</f>
        <v>0</v>
      </c>
      <c r="U51" s="118">
        <f t="shared" ca="1" si="33"/>
        <v>0</v>
      </c>
      <c r="V51" s="118">
        <f t="shared" ca="1" si="34"/>
        <v>0</v>
      </c>
      <c r="W51" s="104">
        <f ca="1">IFERROR(__xludf.DUMMYFUNCTION("IMPORTRANGE(""https://docs.google.com/spreadsheets/d/1kfLP0j3INXRa8bTDpcEmoWewMBV61jlFlfzczfjWIgc/edit?usp=sharing"",""อุบลราชธานี!I127"")"),20)</f>
        <v>20</v>
      </c>
      <c r="X51" s="104">
        <f ca="1">IFERROR(__xludf.DUMMYFUNCTION("IMPORTRANGE(""https://docs.google.com/spreadsheets/d/1kfLP0j3INXRa8bTDpcEmoWewMBV61jlFlfzczfjWIgc/edit?usp=sharing"",""อุบลราชธานี!J127"")"),0)</f>
        <v>0</v>
      </c>
      <c r="Y51" s="193">
        <f t="shared" ca="1" si="36"/>
        <v>0</v>
      </c>
      <c r="Z51" s="104">
        <f ca="1">IFERROR(__xludf.DUMMYFUNCTION("IMPORTRANGE(""https://docs.google.com/spreadsheets/d/1kfLP0j3INXRa8bTDpcEmoWewMBV61jlFlfzczfjWIgc/edit?usp=sharing"",""อุบลราชธานี!J128"")"),0)</f>
        <v>0</v>
      </c>
      <c r="AA51" s="104">
        <f ca="1">IFERROR(__xludf.DUMMYFUNCTION("IMPORTRANGE(""https://docs.google.com/spreadsheets/d/1kfLP0j3INXRa8bTDpcEmoWewMBV61jlFlfzczfjWIgc/edit?usp=sharing"",""อุบลราชธานี!I129"")"),20)</f>
        <v>20</v>
      </c>
      <c r="AB51" s="104">
        <f ca="1">IFERROR(__xludf.DUMMYFUNCTION("IMPORTRANGE(""https://docs.google.com/spreadsheets/d/1kfLP0j3INXRa8bTDpcEmoWewMBV61jlFlfzczfjWIgc/edit?usp=sharing"",""อุบลราชธานี!J129"")"),0)</f>
        <v>0</v>
      </c>
      <c r="AC51" s="193">
        <f t="shared" ca="1" si="38"/>
        <v>0</v>
      </c>
      <c r="AD51" s="193">
        <f ca="1">IFERROR(__xludf.DUMMYFUNCTION("IMPORTRANGE(""https://docs.google.com/spreadsheets/d/1kfLP0j3INXRa8bTDpcEmoWewMBV61jlFlfzczfjWIgc/edit?usp=sharing"",""อุบลราชธานี!J130"")"),0)</f>
        <v>0</v>
      </c>
      <c r="AE51" s="217">
        <v>0</v>
      </c>
      <c r="AF51" s="217">
        <v>0</v>
      </c>
      <c r="AG51" s="220">
        <v>0</v>
      </c>
    </row>
    <row r="52" spans="1:33" ht="19.5" x14ac:dyDescent="0.3">
      <c r="A52" s="637" t="s">
        <v>78</v>
      </c>
      <c r="B52" s="583"/>
      <c r="C52" s="194">
        <f t="shared" ca="1" si="24"/>
        <v>0</v>
      </c>
      <c r="D52" s="194">
        <f t="shared" ref="D52:I52" ca="1" si="45">SUM(D53:D73)</f>
        <v>0</v>
      </c>
      <c r="E52" s="194">
        <f t="shared" ca="1" si="45"/>
        <v>0</v>
      </c>
      <c r="F52" s="194">
        <f t="shared" ca="1" si="45"/>
        <v>0</v>
      </c>
      <c r="G52" s="194">
        <f t="shared" ca="1" si="45"/>
        <v>0</v>
      </c>
      <c r="H52" s="194">
        <f t="shared" ca="1" si="45"/>
        <v>0</v>
      </c>
      <c r="I52" s="194">
        <f t="shared" ca="1" si="45"/>
        <v>0</v>
      </c>
      <c r="J52" s="194">
        <f t="shared" ca="1" si="26"/>
        <v>0</v>
      </c>
      <c r="K52" s="195">
        <f t="shared" ca="1" si="27"/>
        <v>0</v>
      </c>
      <c r="L52" s="194">
        <f ca="1">SUM(L53:L73)</f>
        <v>0</v>
      </c>
      <c r="M52" s="120">
        <f t="shared" ca="1" si="28"/>
        <v>0</v>
      </c>
      <c r="N52" s="120">
        <f t="shared" ca="1" si="29"/>
        <v>0</v>
      </c>
      <c r="O52" s="119">
        <f ca="1">SUM(O53:O73)</f>
        <v>0</v>
      </c>
      <c r="P52" s="119">
        <f t="shared" ca="1" si="30"/>
        <v>0</v>
      </c>
      <c r="Q52" s="120">
        <f t="shared" ca="1" si="31"/>
        <v>0</v>
      </c>
      <c r="R52" s="119">
        <f t="shared" ref="R52:T52" ca="1" si="46">SUM(R53:R73)</f>
        <v>4203090</v>
      </c>
      <c r="S52" s="119">
        <f t="shared" ca="1" si="46"/>
        <v>0</v>
      </c>
      <c r="T52" s="119">
        <f t="shared" ca="1" si="46"/>
        <v>67940</v>
      </c>
      <c r="U52" s="120">
        <f t="shared" ca="1" si="33"/>
        <v>1.6164298171107447</v>
      </c>
      <c r="V52" s="120">
        <f t="shared" ca="1" si="34"/>
        <v>0</v>
      </c>
      <c r="W52" s="71">
        <f t="shared" ref="W52:X52" ca="1" si="47">SUM(W53:W73)</f>
        <v>421</v>
      </c>
      <c r="X52" s="71">
        <f t="shared" ca="1" si="47"/>
        <v>40</v>
      </c>
      <c r="Y52" s="194">
        <f t="shared" ca="1" si="36"/>
        <v>9.5011876484560567</v>
      </c>
      <c r="Z52" s="71">
        <f t="shared" ref="Z52:AB52" ca="1" si="48">SUM(Z53:Z73)</f>
        <v>3</v>
      </c>
      <c r="AA52" s="71">
        <f t="shared" ca="1" si="48"/>
        <v>356</v>
      </c>
      <c r="AB52" s="71">
        <f t="shared" ca="1" si="48"/>
        <v>0</v>
      </c>
      <c r="AC52" s="194">
        <f t="shared" ca="1" si="38"/>
        <v>0</v>
      </c>
      <c r="AD52" s="194">
        <f ca="1">SUM(AD53:AD73)</f>
        <v>0</v>
      </c>
      <c r="AE52" s="218">
        <v>0</v>
      </c>
      <c r="AF52" s="218">
        <v>0</v>
      </c>
      <c r="AG52" s="221">
        <v>0</v>
      </c>
    </row>
    <row r="53" spans="1:33" ht="19.5" x14ac:dyDescent="0.3">
      <c r="A53" s="172">
        <v>1</v>
      </c>
      <c r="B53" s="173" t="s">
        <v>79</v>
      </c>
      <c r="C53" s="174">
        <f t="shared" ca="1" si="24"/>
        <v>0</v>
      </c>
      <c r="D53" s="175">
        <f t="shared" ref="D53:D73" ca="1" si="49">+E53+F53</f>
        <v>0</v>
      </c>
      <c r="E53" s="176">
        <f ca="1">IFERROR(__xludf.DUMMYFUNCTION("IMPORTRANGE(""https://docs.google.com/spreadsheets/d/1-uDff_7J0KD5mKrp0Vvzr7lt3OU09vwQwhkpOPPYv2Y/edit?usp=sharing"",""งบพรบ!BH53"")"),0)</f>
        <v>0</v>
      </c>
      <c r="F53" s="176">
        <f ca="1">IFERROR(__xludf.DUMMYFUNCTION("IMPORTRANGE(""https://docs.google.com/spreadsheets/d/1-uDff_7J0KD5mKrp0Vvzr7lt3OU09vwQwhkpOPPYv2Y/edit?usp=sharing"",""งบพรบ!BI53"")"),0)</f>
        <v>0</v>
      </c>
      <c r="G53" s="177">
        <f ca="1">IFERROR(__xludf.DUMMYFUNCTION("IMPORTRANGE(""https://docs.google.com/spreadsheets/d/1-uDff_7J0KD5mKrp0Vvzr7lt3OU09vwQwhkpOPPYv2Y/edit?usp=sharing"",""งบพรบ!BJ53"")"),0)</f>
        <v>0</v>
      </c>
      <c r="H53" s="177">
        <f ca="1">IFERROR(__xludf.DUMMYFUNCTION("IMPORTRANGE(""https://docs.google.com/spreadsheets/d/1-uDff_7J0KD5mKrp0Vvzr7lt3OU09vwQwhkpOPPYv2Y/edit?usp=sharing"",""งบพรบ!BL53"")"),0)</f>
        <v>0</v>
      </c>
      <c r="I53" s="177">
        <f ca="1">IFERROR(__xludf.DUMMYFUNCTION("IMPORTRANGE(""https://docs.google.com/spreadsheets/d/1-uDff_7J0KD5mKrp0Vvzr7lt3OU09vwQwhkpOPPYv2Y/edit?usp=sharing"",""งบพรบ!BM53"")"),0)</f>
        <v>0</v>
      </c>
      <c r="J53" s="177">
        <f t="shared" ca="1" si="26"/>
        <v>0</v>
      </c>
      <c r="K53" s="178">
        <f t="shared" ca="1" si="27"/>
        <v>0</v>
      </c>
      <c r="L53" s="177">
        <f ca="1">IFERROR(__xludf.DUMMYFUNCTION("IMPORTRANGE(""https://docs.google.com/spreadsheets/d/1-uDff_7J0KD5mKrp0Vvzr7lt3OU09vwQwhkpOPPYv2Y/edit?usp=sharing"",""งบพรบ!BN53"")"),0)</f>
        <v>0</v>
      </c>
      <c r="M53" s="87">
        <f t="shared" ca="1" si="28"/>
        <v>0</v>
      </c>
      <c r="N53" s="87">
        <f t="shared" ca="1" si="29"/>
        <v>0</v>
      </c>
      <c r="O53" s="86">
        <f ca="1">IFERROR(__xludf.DUMMYFUNCTION("IMPORTRANGE(""https://docs.google.com/spreadsheets/d/1-uDff_7J0KD5mKrp0Vvzr7lt3OU09vwQwhkpOPPYv2Y/edit?usp=sharing"",""งบพรบ!BO53"")"),0)</f>
        <v>0</v>
      </c>
      <c r="P53" s="86">
        <f t="shared" ca="1" si="30"/>
        <v>0</v>
      </c>
      <c r="Q53" s="87">
        <f t="shared" ca="1" si="31"/>
        <v>0</v>
      </c>
      <c r="R53" s="86">
        <f ca="1">IFERROR(__xludf.DUMMYFUNCTION("IMPORTRANGE(""https://docs.google.com/spreadsheets/d/13wPX838HrBrQMCywv1BsuMkt4PEKTChp52zj44s2izQ/edit?usp=sharing"",""กาญจนบุรี!Q117"")"),209360)</f>
        <v>209360</v>
      </c>
      <c r="S53" s="86">
        <f ca="1">IFERROR(__xludf.DUMMYFUNCTION("IMPORTRANGE(""https://docs.google.com/spreadsheets/d/13wPX838HrBrQMCywv1BsuMkt4PEKTChp52zj44s2izQ/edit?usp=sharing"",""กาญจนบุรี!R117"")"),0)</f>
        <v>0</v>
      </c>
      <c r="T53" s="86">
        <f ca="1">IFERROR(__xludf.DUMMYFUNCTION("IMPORTRANGE(""https://docs.google.com/spreadsheets/d/13wPX838HrBrQMCywv1BsuMkt4PEKTChp52zj44s2izQ/edit?usp=sharing"",""กาญจนบุรี!S117"")"),1200)</f>
        <v>1200</v>
      </c>
      <c r="U53" s="87">
        <f t="shared" ca="1" si="33"/>
        <v>0.57317539166985099</v>
      </c>
      <c r="V53" s="87">
        <f t="shared" ca="1" si="34"/>
        <v>0</v>
      </c>
      <c r="W53" s="81">
        <f ca="1">IFERROR(__xludf.DUMMYFUNCTION("IMPORTRANGE(""https://docs.google.com/spreadsheets/d/13wPX838HrBrQMCywv1BsuMkt4PEKTChp52zj44s2izQ/edit?usp=sharing"",""กาญจนบุรี!I127"")"),20)</f>
        <v>20</v>
      </c>
      <c r="X53" s="81">
        <f ca="1">IFERROR(__xludf.DUMMYFUNCTION("IMPORTRANGE(""https://docs.google.com/spreadsheets/d/13wPX838HrBrQMCywv1BsuMkt4PEKTChp52zj44s2izQ/edit?usp=sharing"",""กาญจนบุรี!J127"")"),0)</f>
        <v>0</v>
      </c>
      <c r="Y53" s="177">
        <f t="shared" ca="1" si="36"/>
        <v>0</v>
      </c>
      <c r="Z53" s="81">
        <f ca="1">IFERROR(__xludf.DUMMYFUNCTION("IMPORTRANGE(""https://docs.google.com/spreadsheets/d/13wPX838HrBrQMCywv1BsuMkt4PEKTChp52zj44s2izQ/edit?usp=sharing"",""กาญจนบุรี!J128"")"),0)</f>
        <v>0</v>
      </c>
      <c r="AA53" s="81">
        <f ca="1">IFERROR(__xludf.DUMMYFUNCTION("IMPORTRANGE(""https://docs.google.com/spreadsheets/d/13wPX838HrBrQMCywv1BsuMkt4PEKTChp52zj44s2izQ/edit?usp=sharing"",""กาญจนบุรี!I129"")"),20)</f>
        <v>20</v>
      </c>
      <c r="AB53" s="81">
        <f ca="1">IFERROR(__xludf.DUMMYFUNCTION("IMPORTRANGE(""https://docs.google.com/spreadsheets/d/13wPX838HrBrQMCywv1BsuMkt4PEKTChp52zj44s2izQ/edit?usp=sharing"",""กาญจนบุรี!J129"")"),0)</f>
        <v>0</v>
      </c>
      <c r="AC53" s="177">
        <f t="shared" ca="1" si="38"/>
        <v>0</v>
      </c>
      <c r="AD53" s="177">
        <f ca="1">IFERROR(__xludf.DUMMYFUNCTION("IMPORTRANGE(""https://docs.google.com/spreadsheets/d/13wPX838HrBrQMCywv1BsuMkt4PEKTChp52zj44s2izQ/edit?usp=sharing"",""กาญจนบุรี!J130"")"),0)</f>
        <v>0</v>
      </c>
      <c r="AE53" s="215">
        <v>0</v>
      </c>
      <c r="AF53" s="215">
        <v>0</v>
      </c>
      <c r="AG53" s="219">
        <v>0</v>
      </c>
    </row>
    <row r="54" spans="1:33" ht="19.5" x14ac:dyDescent="0.3">
      <c r="A54" s="172">
        <v>2</v>
      </c>
      <c r="B54" s="173" t="s">
        <v>80</v>
      </c>
      <c r="C54" s="174">
        <f t="shared" ca="1" si="24"/>
        <v>0</v>
      </c>
      <c r="D54" s="175">
        <f t="shared" ca="1" si="49"/>
        <v>0</v>
      </c>
      <c r="E54" s="176">
        <f ca="1">IFERROR(__xludf.DUMMYFUNCTION("IMPORTRANGE(""https://docs.google.com/spreadsheets/d/1-uDff_7J0KD5mKrp0Vvzr7lt3OU09vwQwhkpOPPYv2Y/edit?usp=sharing"",""งบพรบ!BH54"")"),0)</f>
        <v>0</v>
      </c>
      <c r="F54" s="176">
        <f ca="1">IFERROR(__xludf.DUMMYFUNCTION("IMPORTRANGE(""https://docs.google.com/spreadsheets/d/1-uDff_7J0KD5mKrp0Vvzr7lt3OU09vwQwhkpOPPYv2Y/edit?usp=sharing"",""งบพรบ!BI54"")"),0)</f>
        <v>0</v>
      </c>
      <c r="G54" s="176">
        <f ca="1">IFERROR(__xludf.DUMMYFUNCTION("IMPORTRANGE(""https://docs.google.com/spreadsheets/d/1-uDff_7J0KD5mKrp0Vvzr7lt3OU09vwQwhkpOPPYv2Y/edit?usp=sharing"",""งบพรบ!BJ54"")"),0)</f>
        <v>0</v>
      </c>
      <c r="H54" s="176">
        <f ca="1">IFERROR(__xludf.DUMMYFUNCTION("IMPORTRANGE(""https://docs.google.com/spreadsheets/d/1-uDff_7J0KD5mKrp0Vvzr7lt3OU09vwQwhkpOPPYv2Y/edit?usp=sharing"",""งบพรบ!BL54"")"),0)</f>
        <v>0</v>
      </c>
      <c r="I54" s="176">
        <f ca="1">IFERROR(__xludf.DUMMYFUNCTION("IMPORTRANGE(""https://docs.google.com/spreadsheets/d/1-uDff_7J0KD5mKrp0Vvzr7lt3OU09vwQwhkpOPPYv2Y/edit?usp=sharing"",""งบพรบ!BM54"")"),0)</f>
        <v>0</v>
      </c>
      <c r="J54" s="176">
        <f t="shared" ca="1" si="26"/>
        <v>0</v>
      </c>
      <c r="K54" s="179">
        <f t="shared" ca="1" si="27"/>
        <v>0</v>
      </c>
      <c r="L54" s="176">
        <f ca="1">IFERROR(__xludf.DUMMYFUNCTION("IMPORTRANGE(""https://docs.google.com/spreadsheets/d/1-uDff_7J0KD5mKrp0Vvzr7lt3OU09vwQwhkpOPPYv2Y/edit?usp=sharing"",""งบพรบ!BN54"")"),0)</f>
        <v>0</v>
      </c>
      <c r="M54" s="87">
        <f t="shared" ca="1" si="28"/>
        <v>0</v>
      </c>
      <c r="N54" s="87">
        <f t="shared" ca="1" si="29"/>
        <v>0</v>
      </c>
      <c r="O54" s="86">
        <f ca="1">IFERROR(__xludf.DUMMYFUNCTION("IMPORTRANGE(""https://docs.google.com/spreadsheets/d/1-uDff_7J0KD5mKrp0Vvzr7lt3OU09vwQwhkpOPPYv2Y/edit?usp=sharing"",""งบพรบ!BO54"")"),0)</f>
        <v>0</v>
      </c>
      <c r="P54" s="86">
        <f t="shared" ca="1" si="30"/>
        <v>0</v>
      </c>
      <c r="Q54" s="87">
        <f t="shared" ca="1" si="31"/>
        <v>0</v>
      </c>
      <c r="R54" s="86">
        <f ca="1">IFERROR(__xludf.DUMMYFUNCTION("IMPORTRANGE(""https://docs.google.com/spreadsheets/d/1ddFKvqj1W1NEiWytbGlB1zMx_ykJDVtmfEQ-6-lIUBA/edit?usp=sharing"",""จันทบุรี!Q117"")"),209360)</f>
        <v>209360</v>
      </c>
      <c r="S54" s="86">
        <f ca="1">IFERROR(__xludf.DUMMYFUNCTION("IMPORTRANGE(""https://docs.google.com/spreadsheets/d/1ddFKvqj1W1NEiWytbGlB1zMx_ykJDVtmfEQ-6-lIUBA/edit?usp=sharing"",""จันทบุรี!R117"")"),0)</f>
        <v>0</v>
      </c>
      <c r="T54" s="86">
        <f ca="1">IFERROR(__xludf.DUMMYFUNCTION("IMPORTRANGE(""https://docs.google.com/spreadsheets/d/1ddFKvqj1W1NEiWytbGlB1zMx_ykJDVtmfEQ-6-lIUBA/edit?usp=sharing"",""จันทบุรี!S117"")"),13000)</f>
        <v>13000</v>
      </c>
      <c r="U54" s="87">
        <f t="shared" ca="1" si="33"/>
        <v>6.2094000764233854</v>
      </c>
      <c r="V54" s="87">
        <f t="shared" ca="1" si="34"/>
        <v>0</v>
      </c>
      <c r="W54" s="93">
        <f ca="1">IFERROR(__xludf.DUMMYFUNCTION("IMPORTRANGE(""https://docs.google.com/spreadsheets/d/1ddFKvqj1W1NEiWytbGlB1zMx_ykJDVtmfEQ-6-lIUBA/edit?usp=sharing"",""จันทบุรี!I127"")"),20)</f>
        <v>20</v>
      </c>
      <c r="X54" s="93">
        <f ca="1">IFERROR(__xludf.DUMMYFUNCTION("IMPORTRANGE(""https://docs.google.com/spreadsheets/d/1ddFKvqj1W1NEiWytbGlB1zMx_ykJDVtmfEQ-6-lIUBA/edit?usp=sharing"",""จันทบุรี!J127"")"),0)</f>
        <v>0</v>
      </c>
      <c r="Y54" s="177">
        <f t="shared" ca="1" si="36"/>
        <v>0</v>
      </c>
      <c r="Z54" s="93">
        <f ca="1">IFERROR(__xludf.DUMMYFUNCTION("IMPORTRANGE(""https://docs.google.com/spreadsheets/d/1ddFKvqj1W1NEiWytbGlB1zMx_ykJDVtmfEQ-6-lIUBA/edit?usp=sharing"",""จันทบุรี!J128"")"),0)</f>
        <v>0</v>
      </c>
      <c r="AA54" s="93">
        <f ca="1">IFERROR(__xludf.DUMMYFUNCTION("IMPORTRANGE(""https://docs.google.com/spreadsheets/d/1ddFKvqj1W1NEiWytbGlB1zMx_ykJDVtmfEQ-6-lIUBA/edit?usp=sharing"",""จันทบุรี!I129"")"),20)</f>
        <v>20</v>
      </c>
      <c r="AB54" s="93">
        <f ca="1">IFERROR(__xludf.DUMMYFUNCTION("IMPORTRANGE(""https://docs.google.com/spreadsheets/d/1ddFKvqj1W1NEiWytbGlB1zMx_ykJDVtmfEQ-6-lIUBA/edit?usp=sharing"",""จันทบุรี!J129"")"),0)</f>
        <v>0</v>
      </c>
      <c r="AC54" s="177">
        <f t="shared" ca="1" si="38"/>
        <v>0</v>
      </c>
      <c r="AD54" s="177">
        <f ca="1">IFERROR(__xludf.DUMMYFUNCTION("IMPORTRANGE(""https://docs.google.com/spreadsheets/d/1ddFKvqj1W1NEiWytbGlB1zMx_ykJDVtmfEQ-6-lIUBA/edit?usp=sharing"",""จันทบุรี!J130"")"),0)</f>
        <v>0</v>
      </c>
      <c r="AE54" s="216">
        <v>0</v>
      </c>
      <c r="AF54" s="216">
        <v>0</v>
      </c>
      <c r="AG54" s="219">
        <v>0</v>
      </c>
    </row>
    <row r="55" spans="1:33" ht="19.5" x14ac:dyDescent="0.3">
      <c r="A55" s="172">
        <v>3</v>
      </c>
      <c r="B55" s="173" t="s">
        <v>81</v>
      </c>
      <c r="C55" s="174">
        <f t="shared" ca="1" si="24"/>
        <v>0</v>
      </c>
      <c r="D55" s="175">
        <f t="shared" ca="1" si="49"/>
        <v>0</v>
      </c>
      <c r="E55" s="176">
        <f ca="1">IFERROR(__xludf.DUMMYFUNCTION("IMPORTRANGE(""https://docs.google.com/spreadsheets/d/1-uDff_7J0KD5mKrp0Vvzr7lt3OU09vwQwhkpOPPYv2Y/edit?usp=sharing"",""งบพรบ!BH55"")"),0)</f>
        <v>0</v>
      </c>
      <c r="F55" s="176">
        <f ca="1">IFERROR(__xludf.DUMMYFUNCTION("IMPORTRANGE(""https://docs.google.com/spreadsheets/d/1-uDff_7J0KD5mKrp0Vvzr7lt3OU09vwQwhkpOPPYv2Y/edit?usp=sharing"",""งบพรบ!BI55"")"),0)</f>
        <v>0</v>
      </c>
      <c r="G55" s="176">
        <f ca="1">IFERROR(__xludf.DUMMYFUNCTION("IMPORTRANGE(""https://docs.google.com/spreadsheets/d/1-uDff_7J0KD5mKrp0Vvzr7lt3OU09vwQwhkpOPPYv2Y/edit?usp=sharing"",""งบพรบ!BJ55"")"),0)</f>
        <v>0</v>
      </c>
      <c r="H55" s="176">
        <f ca="1">IFERROR(__xludf.DUMMYFUNCTION("IMPORTRANGE(""https://docs.google.com/spreadsheets/d/1-uDff_7J0KD5mKrp0Vvzr7lt3OU09vwQwhkpOPPYv2Y/edit?usp=sharing"",""งบพรบ!BL55"")"),0)</f>
        <v>0</v>
      </c>
      <c r="I55" s="176">
        <f ca="1">IFERROR(__xludf.DUMMYFUNCTION("IMPORTRANGE(""https://docs.google.com/spreadsheets/d/1-uDff_7J0KD5mKrp0Vvzr7lt3OU09vwQwhkpOPPYv2Y/edit?usp=sharing"",""งบพรบ!BM55"")"),0)</f>
        <v>0</v>
      </c>
      <c r="J55" s="176">
        <f t="shared" ca="1" si="26"/>
        <v>0</v>
      </c>
      <c r="K55" s="179">
        <f t="shared" ca="1" si="27"/>
        <v>0</v>
      </c>
      <c r="L55" s="176">
        <f ca="1">IFERROR(__xludf.DUMMYFUNCTION("IMPORTRANGE(""https://docs.google.com/spreadsheets/d/1-uDff_7J0KD5mKrp0Vvzr7lt3OU09vwQwhkpOPPYv2Y/edit?usp=sharing"",""งบพรบ!BN55"")"),0)</f>
        <v>0</v>
      </c>
      <c r="M55" s="87">
        <f t="shared" ca="1" si="28"/>
        <v>0</v>
      </c>
      <c r="N55" s="87">
        <f t="shared" ca="1" si="29"/>
        <v>0</v>
      </c>
      <c r="O55" s="86">
        <f ca="1">IFERROR(__xludf.DUMMYFUNCTION("IMPORTRANGE(""https://docs.google.com/spreadsheets/d/1-uDff_7J0KD5mKrp0Vvzr7lt3OU09vwQwhkpOPPYv2Y/edit?usp=sharing"",""งบพรบ!BO55"")"),0)</f>
        <v>0</v>
      </c>
      <c r="P55" s="86">
        <f t="shared" ca="1" si="30"/>
        <v>0</v>
      </c>
      <c r="Q55" s="87">
        <f t="shared" ca="1" si="31"/>
        <v>0</v>
      </c>
      <c r="R55" s="86">
        <f ca="1">IFERROR(__xludf.DUMMYFUNCTION("IMPORTRANGE(""https://docs.google.com/spreadsheets/d/1T1PQvRODqOBZk8BRht_U031fIS1beLA0Ub2CEytj2q0/edit?usp=sharing"",""ฉะเชิงเทรา!Q117"")"),209360)</f>
        <v>209360</v>
      </c>
      <c r="S55" s="86">
        <f ca="1">IFERROR(__xludf.DUMMYFUNCTION("IMPORTRANGE(""https://docs.google.com/spreadsheets/d/1T1PQvRODqOBZk8BRht_U031fIS1beLA0Ub2CEytj2q0/edit?usp=sharing"",""ฉะเชิงเทรา!R117"")"),0)</f>
        <v>0</v>
      </c>
      <c r="T55" s="86">
        <f ca="1">IFERROR(__xludf.DUMMYFUNCTION("IMPORTRANGE(""https://docs.google.com/spreadsheets/d/1T1PQvRODqOBZk8BRht_U031fIS1beLA0Ub2CEytj2q0/edit?usp=sharing"",""ฉะเชิงเทรา!S117"")"),920)</f>
        <v>920</v>
      </c>
      <c r="U55" s="87">
        <f t="shared" ca="1" si="33"/>
        <v>0.43943446694688576</v>
      </c>
      <c r="V55" s="87">
        <f t="shared" ca="1" si="34"/>
        <v>0</v>
      </c>
      <c r="W55" s="93">
        <f ca="1">IFERROR(__xludf.DUMMYFUNCTION("IMPORTRANGE(""https://docs.google.com/spreadsheets/d/1T1PQvRODqOBZk8BRht_U031fIS1beLA0Ub2CEytj2q0/edit?usp=sharing"",""ฉะเชิงเทรา!I127"")"),20)</f>
        <v>20</v>
      </c>
      <c r="X55" s="93">
        <f ca="1">IFERROR(__xludf.DUMMYFUNCTION("IMPORTRANGE(""https://docs.google.com/spreadsheets/d/1T1PQvRODqOBZk8BRht_U031fIS1beLA0Ub2CEytj2q0/edit?usp=sharing"",""ฉะเชิงเทรา!J127"")"),20)</f>
        <v>20</v>
      </c>
      <c r="Y55" s="177">
        <f t="shared" ca="1" si="36"/>
        <v>100</v>
      </c>
      <c r="Z55" s="93">
        <f ca="1">IFERROR(__xludf.DUMMYFUNCTION("IMPORTRANGE(""https://docs.google.com/spreadsheets/d/1T1PQvRODqOBZk8BRht_U031fIS1beLA0Ub2CEytj2q0/edit?usp=sharing"",""ฉะเชิงเทรา!J128"")"),1)</f>
        <v>1</v>
      </c>
      <c r="AA55" s="93">
        <f ca="1">IFERROR(__xludf.DUMMYFUNCTION("IMPORTRANGE(""https://docs.google.com/spreadsheets/d/1T1PQvRODqOBZk8BRht_U031fIS1beLA0Ub2CEytj2q0/edit?usp=sharing"",""ฉะเชิงเทรา!I129"")"),20)</f>
        <v>20</v>
      </c>
      <c r="AB55" s="93">
        <f ca="1">IFERROR(__xludf.DUMMYFUNCTION("IMPORTRANGE(""https://docs.google.com/spreadsheets/d/1T1PQvRODqOBZk8BRht_U031fIS1beLA0Ub2CEytj2q0/edit?usp=sharing"",""ฉะเชิงเทรา!J129"")"),0)</f>
        <v>0</v>
      </c>
      <c r="AC55" s="177">
        <f t="shared" ca="1" si="38"/>
        <v>0</v>
      </c>
      <c r="AD55" s="177">
        <f ca="1">IFERROR(__xludf.DUMMYFUNCTION("IMPORTRANGE(""https://docs.google.com/spreadsheets/d/1T1PQvRODqOBZk8BRht_U031fIS1beLA0Ub2CEytj2q0/edit?usp=sharing"",""ฉะเชิงเทรา!J130"")"),0)</f>
        <v>0</v>
      </c>
      <c r="AE55" s="216">
        <v>0</v>
      </c>
      <c r="AF55" s="216">
        <v>0</v>
      </c>
      <c r="AG55" s="219">
        <v>0</v>
      </c>
    </row>
    <row r="56" spans="1:33" ht="19.5" x14ac:dyDescent="0.3">
      <c r="A56" s="172">
        <v>4</v>
      </c>
      <c r="B56" s="173" t="s">
        <v>82</v>
      </c>
      <c r="C56" s="174">
        <f t="shared" ca="1" si="24"/>
        <v>0</v>
      </c>
      <c r="D56" s="175">
        <f t="shared" ca="1" si="49"/>
        <v>0</v>
      </c>
      <c r="E56" s="176">
        <f ca="1">IFERROR(__xludf.DUMMYFUNCTION("IMPORTRANGE(""https://docs.google.com/spreadsheets/d/1-uDff_7J0KD5mKrp0Vvzr7lt3OU09vwQwhkpOPPYv2Y/edit?usp=sharing"",""งบพรบ!BH56"")"),0)</f>
        <v>0</v>
      </c>
      <c r="F56" s="176">
        <f ca="1">IFERROR(__xludf.DUMMYFUNCTION("IMPORTRANGE(""https://docs.google.com/spreadsheets/d/1-uDff_7J0KD5mKrp0Vvzr7lt3OU09vwQwhkpOPPYv2Y/edit?usp=sharing"",""งบพรบ!BI56"")"),0)</f>
        <v>0</v>
      </c>
      <c r="G56" s="176">
        <f ca="1">IFERROR(__xludf.DUMMYFUNCTION("IMPORTRANGE(""https://docs.google.com/spreadsheets/d/1-uDff_7J0KD5mKrp0Vvzr7lt3OU09vwQwhkpOPPYv2Y/edit?usp=sharing"",""งบพรบ!BJ56"")"),0)</f>
        <v>0</v>
      </c>
      <c r="H56" s="176">
        <f ca="1">IFERROR(__xludf.DUMMYFUNCTION("IMPORTRANGE(""https://docs.google.com/spreadsheets/d/1-uDff_7J0KD5mKrp0Vvzr7lt3OU09vwQwhkpOPPYv2Y/edit?usp=sharing"",""งบพรบ!BL56"")"),0)</f>
        <v>0</v>
      </c>
      <c r="I56" s="176">
        <f ca="1">IFERROR(__xludf.DUMMYFUNCTION("IMPORTRANGE(""https://docs.google.com/spreadsheets/d/1-uDff_7J0KD5mKrp0Vvzr7lt3OU09vwQwhkpOPPYv2Y/edit?usp=sharing"",""งบพรบ!BM56"")"),0)</f>
        <v>0</v>
      </c>
      <c r="J56" s="176">
        <f t="shared" ca="1" si="26"/>
        <v>0</v>
      </c>
      <c r="K56" s="179">
        <f t="shared" ca="1" si="27"/>
        <v>0</v>
      </c>
      <c r="L56" s="176">
        <f ca="1">IFERROR(__xludf.DUMMYFUNCTION("IMPORTRANGE(""https://docs.google.com/spreadsheets/d/1-uDff_7J0KD5mKrp0Vvzr7lt3OU09vwQwhkpOPPYv2Y/edit?usp=sharing"",""งบพรบ!BN56"")"),0)</f>
        <v>0</v>
      </c>
      <c r="M56" s="87">
        <f t="shared" ca="1" si="28"/>
        <v>0</v>
      </c>
      <c r="N56" s="87">
        <f t="shared" ca="1" si="29"/>
        <v>0</v>
      </c>
      <c r="O56" s="86">
        <f ca="1">IFERROR(__xludf.DUMMYFUNCTION("IMPORTRANGE(""https://docs.google.com/spreadsheets/d/1-uDff_7J0KD5mKrp0Vvzr7lt3OU09vwQwhkpOPPYv2Y/edit?usp=sharing"",""งบพรบ!BO56"")"),0)</f>
        <v>0</v>
      </c>
      <c r="P56" s="86">
        <f t="shared" ca="1" si="30"/>
        <v>0</v>
      </c>
      <c r="Q56" s="87">
        <f t="shared" ca="1" si="31"/>
        <v>0</v>
      </c>
      <c r="R56" s="86">
        <f ca="1">IFERROR(__xludf.DUMMYFUNCTION("IMPORTRANGE(""https://docs.google.com/spreadsheets/d/11tr1B-Bhyr79v2bkwVh5h_fR-PStkgjlZtkrZpYurG0/edit?usp=sharing"",""ชลบุรี!Q117"")"),173660)</f>
        <v>173660</v>
      </c>
      <c r="S56" s="86">
        <f ca="1">IFERROR(__xludf.DUMMYFUNCTION("IMPORTRANGE(""https://docs.google.com/spreadsheets/d/11tr1B-Bhyr79v2bkwVh5h_fR-PStkgjlZtkrZpYurG0/edit?usp=sharing"",""ชลบุรี!R117"")"),0)</f>
        <v>0</v>
      </c>
      <c r="T56" s="86">
        <f ca="1">IFERROR(__xludf.DUMMYFUNCTION("IMPORTRANGE(""https://docs.google.com/spreadsheets/d/11tr1B-Bhyr79v2bkwVh5h_fR-PStkgjlZtkrZpYurG0/edit?usp=sharing"",""ชลบุรี!S117"")"),35600)</f>
        <v>35600</v>
      </c>
      <c r="U56" s="87">
        <f t="shared" ca="1" si="33"/>
        <v>20.499827248646781</v>
      </c>
      <c r="V56" s="87">
        <f t="shared" ca="1" si="34"/>
        <v>0</v>
      </c>
      <c r="W56" s="93">
        <f ca="1">IFERROR(__xludf.DUMMYFUNCTION("IMPORTRANGE(""https://docs.google.com/spreadsheets/d/11tr1B-Bhyr79v2bkwVh5h_fR-PStkgjlZtkrZpYurG0/edit?usp=sharing"",""ชลบุรี!I127"")"),10)</f>
        <v>10</v>
      </c>
      <c r="X56" s="93">
        <f ca="1">IFERROR(__xludf.DUMMYFUNCTION("IMPORTRANGE(""https://docs.google.com/spreadsheets/d/11tr1B-Bhyr79v2bkwVh5h_fR-PStkgjlZtkrZpYurG0/edit?usp=sharing"",""ชลบุรี!J127"")"),0)</f>
        <v>0</v>
      </c>
      <c r="Y56" s="177">
        <f t="shared" ca="1" si="36"/>
        <v>0</v>
      </c>
      <c r="Z56" s="93">
        <f ca="1">IFERROR(__xludf.DUMMYFUNCTION("IMPORTRANGE(""https://docs.google.com/spreadsheets/d/11tr1B-Bhyr79v2bkwVh5h_fR-PStkgjlZtkrZpYurG0/edit?usp=sharing"",""ชลบุรี!J128"")"),0)</f>
        <v>0</v>
      </c>
      <c r="AA56" s="93">
        <f ca="1">IFERROR(__xludf.DUMMYFUNCTION("IMPORTRANGE(""https://docs.google.com/spreadsheets/d/11tr1B-Bhyr79v2bkwVh5h_fR-PStkgjlZtkrZpYurG0/edit?usp=sharing"",""ชลบุรี!I129"")"),10)</f>
        <v>10</v>
      </c>
      <c r="AB56" s="93">
        <f ca="1">IFERROR(__xludf.DUMMYFUNCTION("IMPORTRANGE(""https://docs.google.com/spreadsheets/d/11tr1B-Bhyr79v2bkwVh5h_fR-PStkgjlZtkrZpYurG0/edit?usp=sharing"",""ชลบุรี!J129"")"),0)</f>
        <v>0</v>
      </c>
      <c r="AC56" s="177">
        <f t="shared" ca="1" si="38"/>
        <v>0</v>
      </c>
      <c r="AD56" s="177">
        <f ca="1">IFERROR(__xludf.DUMMYFUNCTION("IMPORTRANGE(""https://docs.google.com/spreadsheets/d/11tr1B-Bhyr79v2bkwVh5h_fR-PStkgjlZtkrZpYurG0/edit?usp=sharing"",""ชลบุรี!J130"")"),0)</f>
        <v>0</v>
      </c>
      <c r="AE56" s="216">
        <v>0</v>
      </c>
      <c r="AF56" s="216">
        <v>0</v>
      </c>
      <c r="AG56" s="219">
        <v>0</v>
      </c>
    </row>
    <row r="57" spans="1:33" ht="19.5" x14ac:dyDescent="0.3">
      <c r="A57" s="172">
        <v>5</v>
      </c>
      <c r="B57" s="173" t="s">
        <v>83</v>
      </c>
      <c r="C57" s="174">
        <f t="shared" ca="1" si="24"/>
        <v>0</v>
      </c>
      <c r="D57" s="175">
        <f t="shared" ca="1" si="49"/>
        <v>0</v>
      </c>
      <c r="E57" s="176">
        <f ca="1">IFERROR(__xludf.DUMMYFUNCTION("IMPORTRANGE(""https://docs.google.com/spreadsheets/d/1-uDff_7J0KD5mKrp0Vvzr7lt3OU09vwQwhkpOPPYv2Y/edit?usp=sharing"",""งบพรบ!BH57"")"),0)</f>
        <v>0</v>
      </c>
      <c r="F57" s="176">
        <f ca="1">IFERROR(__xludf.DUMMYFUNCTION("IMPORTRANGE(""https://docs.google.com/spreadsheets/d/1-uDff_7J0KD5mKrp0Vvzr7lt3OU09vwQwhkpOPPYv2Y/edit?usp=sharing"",""งบพรบ!BI57"")"),0)</f>
        <v>0</v>
      </c>
      <c r="G57" s="176">
        <f ca="1">IFERROR(__xludf.DUMMYFUNCTION("IMPORTRANGE(""https://docs.google.com/spreadsheets/d/1-uDff_7J0KD5mKrp0Vvzr7lt3OU09vwQwhkpOPPYv2Y/edit?usp=sharing"",""งบพรบ!BJ57"")"),0)</f>
        <v>0</v>
      </c>
      <c r="H57" s="176">
        <f ca="1">IFERROR(__xludf.DUMMYFUNCTION("IMPORTRANGE(""https://docs.google.com/spreadsheets/d/1-uDff_7J0KD5mKrp0Vvzr7lt3OU09vwQwhkpOPPYv2Y/edit?usp=sharing"",""งบพรบ!BL57"")"),0)</f>
        <v>0</v>
      </c>
      <c r="I57" s="176">
        <f ca="1">IFERROR(__xludf.DUMMYFUNCTION("IMPORTRANGE(""https://docs.google.com/spreadsheets/d/1-uDff_7J0KD5mKrp0Vvzr7lt3OU09vwQwhkpOPPYv2Y/edit?usp=sharing"",""งบพรบ!BM57"")"),0)</f>
        <v>0</v>
      </c>
      <c r="J57" s="176">
        <f t="shared" ca="1" si="26"/>
        <v>0</v>
      </c>
      <c r="K57" s="179">
        <f t="shared" ca="1" si="27"/>
        <v>0</v>
      </c>
      <c r="L57" s="176">
        <f ca="1">IFERROR(__xludf.DUMMYFUNCTION("IMPORTRANGE(""https://docs.google.com/spreadsheets/d/1-uDff_7J0KD5mKrp0Vvzr7lt3OU09vwQwhkpOPPYv2Y/edit?usp=sharing"",""งบพรบ!BN57"")"),0)</f>
        <v>0</v>
      </c>
      <c r="M57" s="87">
        <f t="shared" ca="1" si="28"/>
        <v>0</v>
      </c>
      <c r="N57" s="87">
        <f t="shared" ca="1" si="29"/>
        <v>0</v>
      </c>
      <c r="O57" s="86">
        <f ca="1">IFERROR(__xludf.DUMMYFUNCTION("IMPORTRANGE(""https://docs.google.com/spreadsheets/d/1-uDff_7J0KD5mKrp0Vvzr7lt3OU09vwQwhkpOPPYv2Y/edit?usp=sharing"",""งบพรบ!BO57"")"),0)</f>
        <v>0</v>
      </c>
      <c r="P57" s="86">
        <f t="shared" ca="1" si="30"/>
        <v>0</v>
      </c>
      <c r="Q57" s="87">
        <f t="shared" ca="1" si="31"/>
        <v>0</v>
      </c>
      <c r="R57" s="86">
        <f ca="1">IFERROR(__xludf.DUMMYFUNCTION("IMPORTRANGE(""https://docs.google.com/spreadsheets/d/1hh-FVnSX0vozXhGluamEcS54Dw9_zqW0N7qJUWgJ0Sw/edit?usp=sharing"",""ชัยนาท!Q117"")"),209360)</f>
        <v>209360</v>
      </c>
      <c r="S57" s="86">
        <f ca="1">IFERROR(__xludf.DUMMYFUNCTION("IMPORTRANGE(""https://docs.google.com/spreadsheets/d/1hh-FVnSX0vozXhGluamEcS54Dw9_zqW0N7qJUWgJ0Sw/edit?usp=sharing"",""ชัยนาท!R117"")"),0)</f>
        <v>0</v>
      </c>
      <c r="T57" s="86">
        <f ca="1">IFERROR(__xludf.DUMMYFUNCTION("IMPORTRANGE(""https://docs.google.com/spreadsheets/d/1hh-FVnSX0vozXhGluamEcS54Dw9_zqW0N7qJUWgJ0Sw/edit?usp=sharing"",""ชัยนาท!S117"")"),0)</f>
        <v>0</v>
      </c>
      <c r="U57" s="87">
        <f t="shared" ca="1" si="33"/>
        <v>0</v>
      </c>
      <c r="V57" s="87">
        <f t="shared" ca="1" si="34"/>
        <v>0</v>
      </c>
      <c r="W57" s="93">
        <f ca="1">IFERROR(__xludf.DUMMYFUNCTION("IMPORTRANGE(""https://docs.google.com/spreadsheets/d/1hh-FVnSX0vozXhGluamEcS54Dw9_zqW0N7qJUWgJ0Sw/edit?usp=sharing"",""ชัยนาท!I127"")"),20)</f>
        <v>20</v>
      </c>
      <c r="X57" s="93">
        <f ca="1">IFERROR(__xludf.DUMMYFUNCTION("IMPORTRANGE(""https://docs.google.com/spreadsheets/d/1hh-FVnSX0vozXhGluamEcS54Dw9_zqW0N7qJUWgJ0Sw/edit?usp=sharing"",""ชัยนาท!J127"")"),0)</f>
        <v>0</v>
      </c>
      <c r="Y57" s="177">
        <f t="shared" ca="1" si="36"/>
        <v>0</v>
      </c>
      <c r="Z57" s="93">
        <f ca="1">IFERROR(__xludf.DUMMYFUNCTION("IMPORTRANGE(""https://docs.google.com/spreadsheets/d/1hh-FVnSX0vozXhGluamEcS54Dw9_zqW0N7qJUWgJ0Sw/edit?usp=sharing"",""ชัยนาท!J128"")"),0)</f>
        <v>0</v>
      </c>
      <c r="AA57" s="93">
        <f ca="1">IFERROR(__xludf.DUMMYFUNCTION("IMPORTRANGE(""https://docs.google.com/spreadsheets/d/1hh-FVnSX0vozXhGluamEcS54Dw9_zqW0N7qJUWgJ0Sw/edit?usp=sharing"",""ชัยนาท!I129"")"),20)</f>
        <v>20</v>
      </c>
      <c r="AB57" s="93">
        <f ca="1">IFERROR(__xludf.DUMMYFUNCTION("IMPORTRANGE(""https://docs.google.com/spreadsheets/d/1hh-FVnSX0vozXhGluamEcS54Dw9_zqW0N7qJUWgJ0Sw/edit?usp=sharing"",""ชัยนาท!J129"")"),0)</f>
        <v>0</v>
      </c>
      <c r="AC57" s="177">
        <f t="shared" ca="1" si="38"/>
        <v>0</v>
      </c>
      <c r="AD57" s="177">
        <f ca="1">IFERROR(__xludf.DUMMYFUNCTION("IMPORTRANGE(""https://docs.google.com/spreadsheets/d/1hh-FVnSX0vozXhGluamEcS54Dw9_zqW0N7qJUWgJ0Sw/edit?usp=sharing"",""ชัยนาท!J130"")"),0)</f>
        <v>0</v>
      </c>
      <c r="AE57" s="216">
        <v>0</v>
      </c>
      <c r="AF57" s="216">
        <v>0</v>
      </c>
      <c r="AG57" s="219">
        <v>0</v>
      </c>
    </row>
    <row r="58" spans="1:33" ht="19.5" x14ac:dyDescent="0.3">
      <c r="A58" s="172">
        <v>6</v>
      </c>
      <c r="B58" s="173" t="s">
        <v>84</v>
      </c>
      <c r="C58" s="174">
        <f t="shared" ca="1" si="24"/>
        <v>0</v>
      </c>
      <c r="D58" s="175">
        <f t="shared" ca="1" si="49"/>
        <v>0</v>
      </c>
      <c r="E58" s="176">
        <f ca="1">IFERROR(__xludf.DUMMYFUNCTION("IMPORTRANGE(""https://docs.google.com/spreadsheets/d/1-uDff_7J0KD5mKrp0Vvzr7lt3OU09vwQwhkpOPPYv2Y/edit?usp=sharing"",""งบพรบ!BH58"")"),0)</f>
        <v>0</v>
      </c>
      <c r="F58" s="176">
        <f ca="1">IFERROR(__xludf.DUMMYFUNCTION("IMPORTRANGE(""https://docs.google.com/spreadsheets/d/1-uDff_7J0KD5mKrp0Vvzr7lt3OU09vwQwhkpOPPYv2Y/edit?usp=sharing"",""งบพรบ!BI58"")"),0)</f>
        <v>0</v>
      </c>
      <c r="G58" s="176">
        <f ca="1">IFERROR(__xludf.DUMMYFUNCTION("IMPORTRANGE(""https://docs.google.com/spreadsheets/d/1-uDff_7J0KD5mKrp0Vvzr7lt3OU09vwQwhkpOPPYv2Y/edit?usp=sharing"",""งบพรบ!BJ58"")"),0)</f>
        <v>0</v>
      </c>
      <c r="H58" s="176">
        <f ca="1">IFERROR(__xludf.DUMMYFUNCTION("IMPORTRANGE(""https://docs.google.com/spreadsheets/d/1-uDff_7J0KD5mKrp0Vvzr7lt3OU09vwQwhkpOPPYv2Y/edit?usp=sharing"",""งบพรบ!BL58"")"),0)</f>
        <v>0</v>
      </c>
      <c r="I58" s="176">
        <f ca="1">IFERROR(__xludf.DUMMYFUNCTION("IMPORTRANGE(""https://docs.google.com/spreadsheets/d/1-uDff_7J0KD5mKrp0Vvzr7lt3OU09vwQwhkpOPPYv2Y/edit?usp=sharing"",""งบพรบ!BM58"")"),0)</f>
        <v>0</v>
      </c>
      <c r="J58" s="176">
        <f t="shared" ca="1" si="26"/>
        <v>0</v>
      </c>
      <c r="K58" s="179">
        <f t="shared" ca="1" si="27"/>
        <v>0</v>
      </c>
      <c r="L58" s="176">
        <f ca="1">IFERROR(__xludf.DUMMYFUNCTION("IMPORTRANGE(""https://docs.google.com/spreadsheets/d/1-uDff_7J0KD5mKrp0Vvzr7lt3OU09vwQwhkpOPPYv2Y/edit?usp=sharing"",""งบพรบ!BN58"")"),0)</f>
        <v>0</v>
      </c>
      <c r="M58" s="87">
        <f t="shared" ca="1" si="28"/>
        <v>0</v>
      </c>
      <c r="N58" s="87">
        <f t="shared" ca="1" si="29"/>
        <v>0</v>
      </c>
      <c r="O58" s="86">
        <f ca="1">IFERROR(__xludf.DUMMYFUNCTION("IMPORTRANGE(""https://docs.google.com/spreadsheets/d/1-uDff_7J0KD5mKrp0Vvzr7lt3OU09vwQwhkpOPPYv2Y/edit?usp=sharing"",""งบพรบ!BO58"")"),0)</f>
        <v>0</v>
      </c>
      <c r="P58" s="86">
        <f t="shared" ca="1" si="30"/>
        <v>0</v>
      </c>
      <c r="Q58" s="87">
        <f t="shared" ca="1" si="31"/>
        <v>0</v>
      </c>
      <c r="R58" s="86">
        <f ca="1">IFERROR(__xludf.DUMMYFUNCTION("IMPORTRANGE(""https://docs.google.com/spreadsheets/d/1jkqa6GXxSacMcY1eN8AHjMNJ_7dDXMJVRLDlaFSOdPM/edit?usp=sharing"",""ตราด!Q117"")"),211520)</f>
        <v>211520</v>
      </c>
      <c r="S58" s="86">
        <f ca="1">IFERROR(__xludf.DUMMYFUNCTION("IMPORTRANGE(""https://docs.google.com/spreadsheets/d/1jkqa6GXxSacMcY1eN8AHjMNJ_7dDXMJVRLDlaFSOdPM/edit?usp=sharing"",""ตราด!R117"")"),0)</f>
        <v>0</v>
      </c>
      <c r="T58" s="86">
        <f ca="1">IFERROR(__xludf.DUMMYFUNCTION("IMPORTRANGE(""https://docs.google.com/spreadsheets/d/1jkqa6GXxSacMcY1eN8AHjMNJ_7dDXMJVRLDlaFSOdPM/edit?usp=sharing"",""ตราด!S117"")"),0)</f>
        <v>0</v>
      </c>
      <c r="U58" s="87">
        <f t="shared" ca="1" si="33"/>
        <v>0</v>
      </c>
      <c r="V58" s="87">
        <f t="shared" ca="1" si="34"/>
        <v>0</v>
      </c>
      <c r="W58" s="93">
        <f ca="1">IFERROR(__xludf.DUMMYFUNCTION("IMPORTRANGE(""https://docs.google.com/spreadsheets/d/1jkqa6GXxSacMcY1eN8AHjMNJ_7dDXMJVRLDlaFSOdPM/edit?usp=sharing"",""ตราด!I127"")"),20)</f>
        <v>20</v>
      </c>
      <c r="X58" s="93">
        <f ca="1">IFERROR(__xludf.DUMMYFUNCTION("IMPORTRANGE(""https://docs.google.com/spreadsheets/d/1jkqa6GXxSacMcY1eN8AHjMNJ_7dDXMJVRLDlaFSOdPM/edit?usp=sharing"",""ตราด!J127"")"),20)</f>
        <v>20</v>
      </c>
      <c r="Y58" s="177">
        <f t="shared" ca="1" si="36"/>
        <v>100</v>
      </c>
      <c r="Z58" s="93">
        <f ca="1">IFERROR(__xludf.DUMMYFUNCTION("IMPORTRANGE(""https://docs.google.com/spreadsheets/d/1jkqa6GXxSacMcY1eN8AHjMNJ_7dDXMJVRLDlaFSOdPM/edit?usp=sharing"",""ตราด!J128"")"),2)</f>
        <v>2</v>
      </c>
      <c r="AA58" s="93">
        <f ca="1">IFERROR(__xludf.DUMMYFUNCTION("IMPORTRANGE(""https://docs.google.com/spreadsheets/d/1jkqa6GXxSacMcY1eN8AHjMNJ_7dDXMJVRLDlaFSOdPM/edit?usp=sharing"",""ตราด!I129"")"),20)</f>
        <v>20</v>
      </c>
      <c r="AB58" s="93">
        <f ca="1">IFERROR(__xludf.DUMMYFUNCTION("IMPORTRANGE(""https://docs.google.com/spreadsheets/d/1jkqa6GXxSacMcY1eN8AHjMNJ_7dDXMJVRLDlaFSOdPM/edit?usp=sharing"",""ตราด!J129"")"),0)</f>
        <v>0</v>
      </c>
      <c r="AC58" s="177">
        <f t="shared" ca="1" si="38"/>
        <v>0</v>
      </c>
      <c r="AD58" s="177">
        <f ca="1">IFERROR(__xludf.DUMMYFUNCTION("IMPORTRANGE(""https://docs.google.com/spreadsheets/d/1jkqa6GXxSacMcY1eN8AHjMNJ_7dDXMJVRLDlaFSOdPM/edit?usp=sharing"",""ตราด!J130"")"),0)</f>
        <v>0</v>
      </c>
      <c r="AE58" s="216">
        <v>0</v>
      </c>
      <c r="AF58" s="216">
        <v>0</v>
      </c>
      <c r="AG58" s="219">
        <v>0</v>
      </c>
    </row>
    <row r="59" spans="1:33" ht="19.5" x14ac:dyDescent="0.3">
      <c r="A59" s="172">
        <v>7</v>
      </c>
      <c r="B59" s="173" t="s">
        <v>85</v>
      </c>
      <c r="C59" s="174">
        <f t="shared" ca="1" si="24"/>
        <v>0</v>
      </c>
      <c r="D59" s="175">
        <f t="shared" ca="1" si="49"/>
        <v>0</v>
      </c>
      <c r="E59" s="176">
        <f ca="1">IFERROR(__xludf.DUMMYFUNCTION("IMPORTRANGE(""https://docs.google.com/spreadsheets/d/1-uDff_7J0KD5mKrp0Vvzr7lt3OU09vwQwhkpOPPYv2Y/edit?usp=sharing"",""งบพรบ!BH59"")"),0)</f>
        <v>0</v>
      </c>
      <c r="F59" s="176">
        <f ca="1">IFERROR(__xludf.DUMMYFUNCTION("IMPORTRANGE(""https://docs.google.com/spreadsheets/d/1-uDff_7J0KD5mKrp0Vvzr7lt3OU09vwQwhkpOPPYv2Y/edit?usp=sharing"",""งบพรบ!BI59"")"),0)</f>
        <v>0</v>
      </c>
      <c r="G59" s="176">
        <f ca="1">IFERROR(__xludf.DUMMYFUNCTION("IMPORTRANGE(""https://docs.google.com/spreadsheets/d/1-uDff_7J0KD5mKrp0Vvzr7lt3OU09vwQwhkpOPPYv2Y/edit?usp=sharing"",""งบพรบ!BJ59"")"),0)</f>
        <v>0</v>
      </c>
      <c r="H59" s="176">
        <f ca="1">IFERROR(__xludf.DUMMYFUNCTION("IMPORTRANGE(""https://docs.google.com/spreadsheets/d/1-uDff_7J0KD5mKrp0Vvzr7lt3OU09vwQwhkpOPPYv2Y/edit?usp=sharing"",""งบพรบ!BL59"")"),0)</f>
        <v>0</v>
      </c>
      <c r="I59" s="176">
        <f ca="1">IFERROR(__xludf.DUMMYFUNCTION("IMPORTRANGE(""https://docs.google.com/spreadsheets/d/1-uDff_7J0KD5mKrp0Vvzr7lt3OU09vwQwhkpOPPYv2Y/edit?usp=sharing"",""งบพรบ!BM59"")"),0)</f>
        <v>0</v>
      </c>
      <c r="J59" s="176">
        <f t="shared" ca="1" si="26"/>
        <v>0</v>
      </c>
      <c r="K59" s="179">
        <f t="shared" ca="1" si="27"/>
        <v>0</v>
      </c>
      <c r="L59" s="176">
        <f ca="1">IFERROR(__xludf.DUMMYFUNCTION("IMPORTRANGE(""https://docs.google.com/spreadsheets/d/1-uDff_7J0KD5mKrp0Vvzr7lt3OU09vwQwhkpOPPYv2Y/edit?usp=sharing"",""งบพรบ!BN59"")"),0)</f>
        <v>0</v>
      </c>
      <c r="M59" s="87">
        <f t="shared" ca="1" si="28"/>
        <v>0</v>
      </c>
      <c r="N59" s="87">
        <f t="shared" ca="1" si="29"/>
        <v>0</v>
      </c>
      <c r="O59" s="86">
        <f ca="1">IFERROR(__xludf.DUMMYFUNCTION("IMPORTRANGE(""https://docs.google.com/spreadsheets/d/1-uDff_7J0KD5mKrp0Vvzr7lt3OU09vwQwhkpOPPYv2Y/edit?usp=sharing"",""งบพรบ!BO59"")"),0)</f>
        <v>0</v>
      </c>
      <c r="P59" s="86">
        <f t="shared" ca="1" si="30"/>
        <v>0</v>
      </c>
      <c r="Q59" s="87">
        <f t="shared" ca="1" si="31"/>
        <v>0</v>
      </c>
      <c r="R59" s="86">
        <f ca="1">IFERROR(__xludf.DUMMYFUNCTION("IMPORTRANGE(""https://docs.google.com/spreadsheets/d/18hSgUJ3VwClqi_qtULmmW3cLr0oe3OKaSYoKzdpTsYQ/edit?usp=sharing"",""นครนายก!Q117"")"),209360)</f>
        <v>209360</v>
      </c>
      <c r="S59" s="86">
        <f ca="1">IFERROR(__xludf.DUMMYFUNCTION("IMPORTRANGE(""https://docs.google.com/spreadsheets/d/18hSgUJ3VwClqi_qtULmmW3cLr0oe3OKaSYoKzdpTsYQ/edit?usp=sharing"",""นครนายก!R117"")"),0)</f>
        <v>0</v>
      </c>
      <c r="T59" s="86">
        <f ca="1">IFERROR(__xludf.DUMMYFUNCTION("IMPORTRANGE(""https://docs.google.com/spreadsheets/d/18hSgUJ3VwClqi_qtULmmW3cLr0oe3OKaSYoKzdpTsYQ/edit?usp=sharing"",""นครนายก!S117"")"),0)</f>
        <v>0</v>
      </c>
      <c r="U59" s="87">
        <f t="shared" ca="1" si="33"/>
        <v>0</v>
      </c>
      <c r="V59" s="87">
        <f t="shared" ca="1" si="34"/>
        <v>0</v>
      </c>
      <c r="W59" s="93">
        <f ca="1">IFERROR(__xludf.DUMMYFUNCTION("IMPORTRANGE(""https://docs.google.com/spreadsheets/d/18hSgUJ3VwClqi_qtULmmW3cLr0oe3OKaSYoKzdpTsYQ/edit?usp=sharing"",""นครนายก!I127"")"),20)</f>
        <v>20</v>
      </c>
      <c r="X59" s="93">
        <f ca="1">IFERROR(__xludf.DUMMYFUNCTION("IMPORTRANGE(""https://docs.google.com/spreadsheets/d/18hSgUJ3VwClqi_qtULmmW3cLr0oe3OKaSYoKzdpTsYQ/edit?usp=sharing"",""นครนายก!J127"")"),0)</f>
        <v>0</v>
      </c>
      <c r="Y59" s="177">
        <f t="shared" ca="1" si="36"/>
        <v>0</v>
      </c>
      <c r="Z59" s="93">
        <f ca="1">IFERROR(__xludf.DUMMYFUNCTION("IMPORTRANGE(""https://docs.google.com/spreadsheets/d/18hSgUJ3VwClqi_qtULmmW3cLr0oe3OKaSYoKzdpTsYQ/edit?usp=sharing"",""นครนายก!J128"")"),0)</f>
        <v>0</v>
      </c>
      <c r="AA59" s="93">
        <f ca="1">IFERROR(__xludf.DUMMYFUNCTION("IMPORTRANGE(""https://docs.google.com/spreadsheets/d/18hSgUJ3VwClqi_qtULmmW3cLr0oe3OKaSYoKzdpTsYQ/edit?usp=sharing"",""นครนายก!I129"")"),20)</f>
        <v>20</v>
      </c>
      <c r="AB59" s="93">
        <f ca="1">IFERROR(__xludf.DUMMYFUNCTION("IMPORTRANGE(""https://docs.google.com/spreadsheets/d/18hSgUJ3VwClqi_qtULmmW3cLr0oe3OKaSYoKzdpTsYQ/edit?usp=sharing"",""นครนายก!J129"")"),0)</f>
        <v>0</v>
      </c>
      <c r="AC59" s="177">
        <f t="shared" ca="1" si="38"/>
        <v>0</v>
      </c>
      <c r="AD59" s="177">
        <f ca="1">IFERROR(__xludf.DUMMYFUNCTION("IMPORTRANGE(""https://docs.google.com/spreadsheets/d/18hSgUJ3VwClqi_qtULmmW3cLr0oe3OKaSYoKzdpTsYQ/edit?usp=sharing"",""นครนายก!J130"")"),0)</f>
        <v>0</v>
      </c>
      <c r="AE59" s="216">
        <v>0</v>
      </c>
      <c r="AF59" s="216">
        <v>0</v>
      </c>
      <c r="AG59" s="219">
        <v>0</v>
      </c>
    </row>
    <row r="60" spans="1:33" ht="19.5" x14ac:dyDescent="0.3">
      <c r="A60" s="172">
        <v>8</v>
      </c>
      <c r="B60" s="173" t="s">
        <v>86</v>
      </c>
      <c r="C60" s="174">
        <f t="shared" ca="1" si="24"/>
        <v>0</v>
      </c>
      <c r="D60" s="175">
        <f t="shared" ca="1" si="49"/>
        <v>0</v>
      </c>
      <c r="E60" s="176">
        <f ca="1">IFERROR(__xludf.DUMMYFUNCTION("IMPORTRANGE(""https://docs.google.com/spreadsheets/d/1-uDff_7J0KD5mKrp0Vvzr7lt3OU09vwQwhkpOPPYv2Y/edit?usp=sharing"",""งบพรบ!BH60"")"),0)</f>
        <v>0</v>
      </c>
      <c r="F60" s="176">
        <f ca="1">IFERROR(__xludf.DUMMYFUNCTION("IMPORTRANGE(""https://docs.google.com/spreadsheets/d/1-uDff_7J0KD5mKrp0Vvzr7lt3OU09vwQwhkpOPPYv2Y/edit?usp=sharing"",""งบพรบ!BI60"")"),0)</f>
        <v>0</v>
      </c>
      <c r="G60" s="176">
        <f ca="1">IFERROR(__xludf.DUMMYFUNCTION("IMPORTRANGE(""https://docs.google.com/spreadsheets/d/1-uDff_7J0KD5mKrp0Vvzr7lt3OU09vwQwhkpOPPYv2Y/edit?usp=sharing"",""งบพรบ!BJ60"")"),0)</f>
        <v>0</v>
      </c>
      <c r="H60" s="176">
        <f ca="1">IFERROR(__xludf.DUMMYFUNCTION("IMPORTRANGE(""https://docs.google.com/spreadsheets/d/1-uDff_7J0KD5mKrp0Vvzr7lt3OU09vwQwhkpOPPYv2Y/edit?usp=sharing"",""งบพรบ!BL60"")"),0)</f>
        <v>0</v>
      </c>
      <c r="I60" s="176">
        <f ca="1">IFERROR(__xludf.DUMMYFUNCTION("IMPORTRANGE(""https://docs.google.com/spreadsheets/d/1-uDff_7J0KD5mKrp0Vvzr7lt3OU09vwQwhkpOPPYv2Y/edit?usp=sharing"",""งบพรบ!BM60"")"),0)</f>
        <v>0</v>
      </c>
      <c r="J60" s="176">
        <f t="shared" ca="1" si="26"/>
        <v>0</v>
      </c>
      <c r="K60" s="179">
        <f t="shared" ca="1" si="27"/>
        <v>0</v>
      </c>
      <c r="L60" s="176">
        <f ca="1">IFERROR(__xludf.DUMMYFUNCTION("IMPORTRANGE(""https://docs.google.com/spreadsheets/d/1-uDff_7J0KD5mKrp0Vvzr7lt3OU09vwQwhkpOPPYv2Y/edit?usp=sharing"",""งบพรบ!BN60"")"),0)</f>
        <v>0</v>
      </c>
      <c r="M60" s="87">
        <f t="shared" ca="1" si="28"/>
        <v>0</v>
      </c>
      <c r="N60" s="87">
        <f t="shared" ca="1" si="29"/>
        <v>0</v>
      </c>
      <c r="O60" s="86">
        <f ca="1">IFERROR(__xludf.DUMMYFUNCTION("IMPORTRANGE(""https://docs.google.com/spreadsheets/d/1-uDff_7J0KD5mKrp0Vvzr7lt3OU09vwQwhkpOPPYv2Y/edit?usp=sharing"",""งบพรบ!BO60"")"),0)</f>
        <v>0</v>
      </c>
      <c r="P60" s="86">
        <f t="shared" ca="1" si="30"/>
        <v>0</v>
      </c>
      <c r="Q60" s="87">
        <f t="shared" ca="1" si="31"/>
        <v>0</v>
      </c>
      <c r="R60" s="86">
        <f ca="1">IFERROR(__xludf.DUMMYFUNCTION("IMPORTRANGE(""https://docs.google.com/spreadsheets/d/1YTZo6WM2dQ6Ix6FSdnL5P7uVnVKu40sxZu975tgG10E/edit?usp=sharing"",""นครปฐม!Q117"")"),173660)</f>
        <v>173660</v>
      </c>
      <c r="S60" s="86">
        <f ca="1">IFERROR(__xludf.DUMMYFUNCTION("IMPORTRANGE(""https://docs.google.com/spreadsheets/d/1YTZo6WM2dQ6Ix6FSdnL5P7uVnVKu40sxZu975tgG10E/edit?usp=sharing"",""นครปฐม!R117"")"),0)</f>
        <v>0</v>
      </c>
      <c r="T60" s="86">
        <f ca="1">IFERROR(__xludf.DUMMYFUNCTION("IMPORTRANGE(""https://docs.google.com/spreadsheets/d/1YTZo6WM2dQ6Ix6FSdnL5P7uVnVKu40sxZu975tgG10E/edit?usp=sharing"",""นครปฐม!S117"")"),1720)</f>
        <v>1720</v>
      </c>
      <c r="U60" s="87">
        <f t="shared" ca="1" si="33"/>
        <v>0.99044109178855233</v>
      </c>
      <c r="V60" s="87">
        <f t="shared" ca="1" si="34"/>
        <v>0</v>
      </c>
      <c r="W60" s="93">
        <f ca="1">IFERROR(__xludf.DUMMYFUNCTION("IMPORTRANGE(""https://docs.google.com/spreadsheets/d/1YTZo6WM2dQ6Ix6FSdnL5P7uVnVKu40sxZu975tgG10E/edit?usp=sharing"",""นครปฐม!I127"")"),10)</f>
        <v>10</v>
      </c>
      <c r="X60" s="93">
        <f ca="1">IFERROR(__xludf.DUMMYFUNCTION("IMPORTRANGE(""https://docs.google.com/spreadsheets/d/1YTZo6WM2dQ6Ix6FSdnL5P7uVnVKu40sxZu975tgG10E/edit?usp=sharing"",""นครปฐม!J127"")"),0)</f>
        <v>0</v>
      </c>
      <c r="Y60" s="177">
        <f t="shared" ca="1" si="36"/>
        <v>0</v>
      </c>
      <c r="Z60" s="93">
        <f ca="1">IFERROR(__xludf.DUMMYFUNCTION("IMPORTRANGE(""https://docs.google.com/spreadsheets/d/1YTZo6WM2dQ6Ix6FSdnL5P7uVnVKu40sxZu975tgG10E/edit?usp=sharing"",""นครปฐม!J128"")"),0)</f>
        <v>0</v>
      </c>
      <c r="AA60" s="93">
        <f ca="1">IFERROR(__xludf.DUMMYFUNCTION("IMPORTRANGE(""https://docs.google.com/spreadsheets/d/1YTZo6WM2dQ6Ix6FSdnL5P7uVnVKu40sxZu975tgG10E/edit?usp=sharing"",""นครปฐม!I129"")"),10)</f>
        <v>10</v>
      </c>
      <c r="AB60" s="93">
        <f ca="1">IFERROR(__xludf.DUMMYFUNCTION("IMPORTRANGE(""https://docs.google.com/spreadsheets/d/1YTZo6WM2dQ6Ix6FSdnL5P7uVnVKu40sxZu975tgG10E/edit?usp=sharing"",""นครปฐม!J129"")"),0)</f>
        <v>0</v>
      </c>
      <c r="AC60" s="177">
        <f t="shared" ca="1" si="38"/>
        <v>0</v>
      </c>
      <c r="AD60" s="177">
        <f ca="1">IFERROR(__xludf.DUMMYFUNCTION("IMPORTRANGE(""https://docs.google.com/spreadsheets/d/1YTZo6WM2dQ6Ix6FSdnL5P7uVnVKu40sxZu975tgG10E/edit?usp=sharing"",""นครปฐม!J130"")"),0)</f>
        <v>0</v>
      </c>
      <c r="AE60" s="216">
        <v>0</v>
      </c>
      <c r="AF60" s="216">
        <v>0</v>
      </c>
      <c r="AG60" s="219">
        <v>0</v>
      </c>
    </row>
    <row r="61" spans="1:33" ht="19.5" x14ac:dyDescent="0.3">
      <c r="A61" s="172">
        <v>9</v>
      </c>
      <c r="B61" s="173" t="s">
        <v>87</v>
      </c>
      <c r="C61" s="174">
        <f t="shared" ca="1" si="24"/>
        <v>0</v>
      </c>
      <c r="D61" s="175">
        <f t="shared" ca="1" si="49"/>
        <v>0</v>
      </c>
      <c r="E61" s="176">
        <f ca="1">IFERROR(__xludf.DUMMYFUNCTION("IMPORTRANGE(""https://docs.google.com/spreadsheets/d/1-uDff_7J0KD5mKrp0Vvzr7lt3OU09vwQwhkpOPPYv2Y/edit?usp=sharing"",""งบพรบ!BH61"")"),0)</f>
        <v>0</v>
      </c>
      <c r="F61" s="176">
        <f ca="1">IFERROR(__xludf.DUMMYFUNCTION("IMPORTRANGE(""https://docs.google.com/spreadsheets/d/1-uDff_7J0KD5mKrp0Vvzr7lt3OU09vwQwhkpOPPYv2Y/edit?usp=sharing"",""งบพรบ!BI61"")"),0)</f>
        <v>0</v>
      </c>
      <c r="G61" s="176">
        <f ca="1">IFERROR(__xludf.DUMMYFUNCTION("IMPORTRANGE(""https://docs.google.com/spreadsheets/d/1-uDff_7J0KD5mKrp0Vvzr7lt3OU09vwQwhkpOPPYv2Y/edit?usp=sharing"",""งบพรบ!BJ61"")"),0)</f>
        <v>0</v>
      </c>
      <c r="H61" s="176">
        <f ca="1">IFERROR(__xludf.DUMMYFUNCTION("IMPORTRANGE(""https://docs.google.com/spreadsheets/d/1-uDff_7J0KD5mKrp0Vvzr7lt3OU09vwQwhkpOPPYv2Y/edit?usp=sharing"",""งบพรบ!BL61"")"),0)</f>
        <v>0</v>
      </c>
      <c r="I61" s="176">
        <f ca="1">IFERROR(__xludf.DUMMYFUNCTION("IMPORTRANGE(""https://docs.google.com/spreadsheets/d/1-uDff_7J0KD5mKrp0Vvzr7lt3OU09vwQwhkpOPPYv2Y/edit?usp=sharing"",""งบพรบ!BM61"")"),0)</f>
        <v>0</v>
      </c>
      <c r="J61" s="176">
        <f t="shared" ca="1" si="26"/>
        <v>0</v>
      </c>
      <c r="K61" s="179">
        <f t="shared" ca="1" si="27"/>
        <v>0</v>
      </c>
      <c r="L61" s="176">
        <f ca="1">IFERROR(__xludf.DUMMYFUNCTION("IMPORTRANGE(""https://docs.google.com/spreadsheets/d/1-uDff_7J0KD5mKrp0Vvzr7lt3OU09vwQwhkpOPPYv2Y/edit?usp=sharing"",""งบพรบ!BN61"")"),0)</f>
        <v>0</v>
      </c>
      <c r="M61" s="87">
        <f t="shared" ca="1" si="28"/>
        <v>0</v>
      </c>
      <c r="N61" s="87">
        <f t="shared" ca="1" si="29"/>
        <v>0</v>
      </c>
      <c r="O61" s="86">
        <f ca="1">IFERROR(__xludf.DUMMYFUNCTION("IMPORTRANGE(""https://docs.google.com/spreadsheets/d/1-uDff_7J0KD5mKrp0Vvzr7lt3OU09vwQwhkpOPPYv2Y/edit?usp=sharing"",""งบพรบ!BO61"")"),0)</f>
        <v>0</v>
      </c>
      <c r="P61" s="86">
        <f t="shared" ca="1" si="30"/>
        <v>0</v>
      </c>
      <c r="Q61" s="87">
        <f t="shared" ca="1" si="31"/>
        <v>0</v>
      </c>
      <c r="R61" s="86">
        <f ca="1">IFERROR(__xludf.DUMMYFUNCTION("IMPORTRANGE(""https://docs.google.com/spreadsheets/d/1OYoGg4WDg5RIzwGeB10padOxJF9E_Vljuvvct_M7RDo/edit?usp=sharing"",""ปทุมธานี!Q117"")"),173660)</f>
        <v>173660</v>
      </c>
      <c r="S61" s="86">
        <f ca="1">IFERROR(__xludf.DUMMYFUNCTION("IMPORTRANGE(""https://docs.google.com/spreadsheets/d/1OYoGg4WDg5RIzwGeB10padOxJF9E_Vljuvvct_M7RDo/edit?usp=sharing"",""ปทุมธานี!R117"")"),0)</f>
        <v>0</v>
      </c>
      <c r="T61" s="86">
        <f ca="1">IFERROR(__xludf.DUMMYFUNCTION("IMPORTRANGE(""https://docs.google.com/spreadsheets/d/1OYoGg4WDg5RIzwGeB10padOxJF9E_Vljuvvct_M7RDo/edit?usp=sharing"",""ปทุมธานี!S117"")"),0)</f>
        <v>0</v>
      </c>
      <c r="U61" s="87">
        <f t="shared" ca="1" si="33"/>
        <v>0</v>
      </c>
      <c r="V61" s="87">
        <f t="shared" ca="1" si="34"/>
        <v>0</v>
      </c>
      <c r="W61" s="93">
        <f ca="1">IFERROR(__xludf.DUMMYFUNCTION("IMPORTRANGE(""https://docs.google.com/spreadsheets/d/1OYoGg4WDg5RIzwGeB10padOxJF9E_Vljuvvct_M7RDo/edit?usp=sharing"",""ปทุมธานี!I127"")"),10)</f>
        <v>10</v>
      </c>
      <c r="X61" s="93">
        <f ca="1">IFERROR(__xludf.DUMMYFUNCTION("IMPORTRANGE(""https://docs.google.com/spreadsheets/d/1OYoGg4WDg5RIzwGeB10padOxJF9E_Vljuvvct_M7RDo/edit?usp=sharing"",""ปทุมธานี!J127"")"),0)</f>
        <v>0</v>
      </c>
      <c r="Y61" s="177">
        <f t="shared" ca="1" si="36"/>
        <v>0</v>
      </c>
      <c r="Z61" s="93">
        <f ca="1">IFERROR(__xludf.DUMMYFUNCTION("IMPORTRANGE(""https://docs.google.com/spreadsheets/d/1OYoGg4WDg5RIzwGeB10padOxJF9E_Vljuvvct_M7RDo/edit?usp=sharing"",""ปทุมธานี!J128"")"),0)</f>
        <v>0</v>
      </c>
      <c r="AA61" s="93">
        <f ca="1">IFERROR(__xludf.DUMMYFUNCTION("IMPORTRANGE(""https://docs.google.com/spreadsheets/d/1OYoGg4WDg5RIzwGeB10padOxJF9E_Vljuvvct_M7RDo/edit?usp=sharing"",""ปทุมธานี!I129"")"),10)</f>
        <v>10</v>
      </c>
      <c r="AB61" s="93">
        <f ca="1">IFERROR(__xludf.DUMMYFUNCTION("IMPORTRANGE(""https://docs.google.com/spreadsheets/d/1OYoGg4WDg5RIzwGeB10padOxJF9E_Vljuvvct_M7RDo/edit?usp=sharing"",""ปทุมธานี!J129"")"),0)</f>
        <v>0</v>
      </c>
      <c r="AC61" s="177">
        <f t="shared" ca="1" si="38"/>
        <v>0</v>
      </c>
      <c r="AD61" s="177">
        <f ca="1">IFERROR(__xludf.DUMMYFUNCTION("IMPORTRANGE(""https://docs.google.com/spreadsheets/d/1OYoGg4WDg5RIzwGeB10padOxJF9E_Vljuvvct_M7RDo/edit?usp=sharing"",""ปทุมธานี!J130"")"),0)</f>
        <v>0</v>
      </c>
      <c r="AE61" s="216">
        <v>0</v>
      </c>
      <c r="AF61" s="216">
        <v>0</v>
      </c>
      <c r="AG61" s="219">
        <v>0</v>
      </c>
    </row>
    <row r="62" spans="1:33" ht="19.5" x14ac:dyDescent="0.3">
      <c r="A62" s="172">
        <v>10</v>
      </c>
      <c r="B62" s="173" t="s">
        <v>88</v>
      </c>
      <c r="C62" s="174">
        <f t="shared" ca="1" si="24"/>
        <v>0</v>
      </c>
      <c r="D62" s="175">
        <f t="shared" ca="1" si="49"/>
        <v>0</v>
      </c>
      <c r="E62" s="176">
        <f ca="1">IFERROR(__xludf.DUMMYFUNCTION("IMPORTRANGE(""https://docs.google.com/spreadsheets/d/1-uDff_7J0KD5mKrp0Vvzr7lt3OU09vwQwhkpOPPYv2Y/edit?usp=sharing"",""งบพรบ!BH62"")"),0)</f>
        <v>0</v>
      </c>
      <c r="F62" s="176">
        <f ca="1">IFERROR(__xludf.DUMMYFUNCTION("IMPORTRANGE(""https://docs.google.com/spreadsheets/d/1-uDff_7J0KD5mKrp0Vvzr7lt3OU09vwQwhkpOPPYv2Y/edit?usp=sharing"",""งบพรบ!BI62"")"),0)</f>
        <v>0</v>
      </c>
      <c r="G62" s="176">
        <f ca="1">IFERROR(__xludf.DUMMYFUNCTION("IMPORTRANGE(""https://docs.google.com/spreadsheets/d/1-uDff_7J0KD5mKrp0Vvzr7lt3OU09vwQwhkpOPPYv2Y/edit?usp=sharing"",""งบพรบ!BJ62"")"),0)</f>
        <v>0</v>
      </c>
      <c r="H62" s="176">
        <f ca="1">IFERROR(__xludf.DUMMYFUNCTION("IMPORTRANGE(""https://docs.google.com/spreadsheets/d/1-uDff_7J0KD5mKrp0Vvzr7lt3OU09vwQwhkpOPPYv2Y/edit?usp=sharing"",""งบพรบ!BL62"")"),0)</f>
        <v>0</v>
      </c>
      <c r="I62" s="176">
        <f ca="1">IFERROR(__xludf.DUMMYFUNCTION("IMPORTRANGE(""https://docs.google.com/spreadsheets/d/1-uDff_7J0KD5mKrp0Vvzr7lt3OU09vwQwhkpOPPYv2Y/edit?usp=sharing"",""งบพรบ!BM62"")"),0)</f>
        <v>0</v>
      </c>
      <c r="J62" s="176">
        <f t="shared" ca="1" si="26"/>
        <v>0</v>
      </c>
      <c r="K62" s="179">
        <f t="shared" ca="1" si="27"/>
        <v>0</v>
      </c>
      <c r="L62" s="176">
        <f ca="1">IFERROR(__xludf.DUMMYFUNCTION("IMPORTRANGE(""https://docs.google.com/spreadsheets/d/1-uDff_7J0KD5mKrp0Vvzr7lt3OU09vwQwhkpOPPYv2Y/edit?usp=sharing"",""งบพรบ!BN62"")"),0)</f>
        <v>0</v>
      </c>
      <c r="M62" s="87">
        <f t="shared" ca="1" si="28"/>
        <v>0</v>
      </c>
      <c r="N62" s="87">
        <f t="shared" ca="1" si="29"/>
        <v>0</v>
      </c>
      <c r="O62" s="86">
        <f ca="1">IFERROR(__xludf.DUMMYFUNCTION("IMPORTRANGE(""https://docs.google.com/spreadsheets/d/1-uDff_7J0KD5mKrp0Vvzr7lt3OU09vwQwhkpOPPYv2Y/edit?usp=sharing"",""งบพรบ!BO62"")"),0)</f>
        <v>0</v>
      </c>
      <c r="P62" s="86">
        <f t="shared" ca="1" si="30"/>
        <v>0</v>
      </c>
      <c r="Q62" s="87">
        <f t="shared" ca="1" si="31"/>
        <v>0</v>
      </c>
      <c r="R62" s="86">
        <f ca="1">IFERROR(__xludf.DUMMYFUNCTION("IMPORTRANGE(""https://docs.google.com/spreadsheets/d/1GbCIE4D4wk9FUozzqk7SxfDMxDVBwVmI5zcaVUSzKAc/edit?usp=sharing"",""ประจวบคีรีขันธ์!Q117"")"),177330)</f>
        <v>177330</v>
      </c>
      <c r="S62" s="86">
        <f ca="1">IFERROR(__xludf.DUMMYFUNCTION("IMPORTRANGE(""https://docs.google.com/spreadsheets/d/1GbCIE4D4wk9FUozzqk7SxfDMxDVBwVmI5zcaVUSzKAc/edit?usp=sharing"",""ประจวบคีรีขันธ์!R117"")"),0)</f>
        <v>0</v>
      </c>
      <c r="T62" s="86">
        <f ca="1">IFERROR(__xludf.DUMMYFUNCTION("IMPORTRANGE(""https://docs.google.com/spreadsheets/d/1GbCIE4D4wk9FUozzqk7SxfDMxDVBwVmI5zcaVUSzKAc/edit?usp=sharing"",""ประจวบคีรีขันธ์!S117"")"),0)</f>
        <v>0</v>
      </c>
      <c r="U62" s="87">
        <f t="shared" ca="1" si="33"/>
        <v>0</v>
      </c>
      <c r="V62" s="87">
        <f t="shared" ca="1" si="34"/>
        <v>0</v>
      </c>
      <c r="W62" s="93">
        <f ca="1">IFERROR(__xludf.DUMMYFUNCTION("IMPORTRANGE(""https://docs.google.com/spreadsheets/d/1GbCIE4D4wk9FUozzqk7SxfDMxDVBwVmI5zcaVUSzKAc/edit?usp=sharing"",""ประจวบคีรีขันธ์!I127"")"),11)</f>
        <v>11</v>
      </c>
      <c r="X62" s="93">
        <f ca="1">IFERROR(__xludf.DUMMYFUNCTION("IMPORTRANGE(""https://docs.google.com/spreadsheets/d/1GbCIE4D4wk9FUozzqk7SxfDMxDVBwVmI5zcaVUSzKAc/edit?usp=sharing"",""ประจวบคีรีขันธ์!J127"")"),0)</f>
        <v>0</v>
      </c>
      <c r="Y62" s="177">
        <f t="shared" ca="1" si="36"/>
        <v>0</v>
      </c>
      <c r="Z62" s="93">
        <f ca="1">IFERROR(__xludf.DUMMYFUNCTION("IMPORTRANGE(""https://docs.google.com/spreadsheets/d/1GbCIE4D4wk9FUozzqk7SxfDMxDVBwVmI5zcaVUSzKAc/edit?usp=sharing"",""ประจวบคีรีขันธ์!J128"")"),0)</f>
        <v>0</v>
      </c>
      <c r="AA62" s="93">
        <f ca="1">IFERROR(__xludf.DUMMYFUNCTION("IMPORTRANGE(""https://docs.google.com/spreadsheets/d/1GbCIE4D4wk9FUozzqk7SxfDMxDVBwVmI5zcaVUSzKAc/edit?usp=sharing"",""ประจวบคีรีขันธ์!I129"")"),11)</f>
        <v>11</v>
      </c>
      <c r="AB62" s="93">
        <f ca="1">IFERROR(__xludf.DUMMYFUNCTION("IMPORTRANGE(""https://docs.google.com/spreadsheets/d/1GbCIE4D4wk9FUozzqk7SxfDMxDVBwVmI5zcaVUSzKAc/edit?usp=sharing"",""ประจวบคีรีขันธ์!J129"")"),0)</f>
        <v>0</v>
      </c>
      <c r="AC62" s="177">
        <f t="shared" ca="1" si="38"/>
        <v>0</v>
      </c>
      <c r="AD62" s="177">
        <f ca="1">IFERROR(__xludf.DUMMYFUNCTION("IMPORTRANGE(""https://docs.google.com/spreadsheets/d/1GbCIE4D4wk9FUozzqk7SxfDMxDVBwVmI5zcaVUSzKAc/edit?usp=sharing"",""ประจวบคีรีขันธ์!J130"")"),0)</f>
        <v>0</v>
      </c>
      <c r="AE62" s="216">
        <v>0</v>
      </c>
      <c r="AF62" s="216">
        <v>0</v>
      </c>
      <c r="AG62" s="219">
        <v>0</v>
      </c>
    </row>
    <row r="63" spans="1:33" ht="19.5" x14ac:dyDescent="0.3">
      <c r="A63" s="172">
        <v>11</v>
      </c>
      <c r="B63" s="173" t="s">
        <v>89</v>
      </c>
      <c r="C63" s="174">
        <f t="shared" ca="1" si="24"/>
        <v>0</v>
      </c>
      <c r="D63" s="175">
        <f t="shared" ca="1" si="49"/>
        <v>0</v>
      </c>
      <c r="E63" s="176">
        <f ca="1">IFERROR(__xludf.DUMMYFUNCTION("IMPORTRANGE(""https://docs.google.com/spreadsheets/d/1-uDff_7J0KD5mKrp0Vvzr7lt3OU09vwQwhkpOPPYv2Y/edit?usp=sharing"",""งบพรบ!BH63"")"),0)</f>
        <v>0</v>
      </c>
      <c r="F63" s="176">
        <f ca="1">IFERROR(__xludf.DUMMYFUNCTION("IMPORTRANGE(""https://docs.google.com/spreadsheets/d/1-uDff_7J0KD5mKrp0Vvzr7lt3OU09vwQwhkpOPPYv2Y/edit?usp=sharing"",""งบพรบ!BI63"")"),0)</f>
        <v>0</v>
      </c>
      <c r="G63" s="176">
        <f ca="1">IFERROR(__xludf.DUMMYFUNCTION("IMPORTRANGE(""https://docs.google.com/spreadsheets/d/1-uDff_7J0KD5mKrp0Vvzr7lt3OU09vwQwhkpOPPYv2Y/edit?usp=sharing"",""งบพรบ!BJ63"")"),0)</f>
        <v>0</v>
      </c>
      <c r="H63" s="176">
        <f ca="1">IFERROR(__xludf.DUMMYFUNCTION("IMPORTRANGE(""https://docs.google.com/spreadsheets/d/1-uDff_7J0KD5mKrp0Vvzr7lt3OU09vwQwhkpOPPYv2Y/edit?usp=sharing"",""งบพรบ!BL63"")"),0)</f>
        <v>0</v>
      </c>
      <c r="I63" s="176">
        <f ca="1">IFERROR(__xludf.DUMMYFUNCTION("IMPORTRANGE(""https://docs.google.com/spreadsheets/d/1-uDff_7J0KD5mKrp0Vvzr7lt3OU09vwQwhkpOPPYv2Y/edit?usp=sharing"",""งบพรบ!BM63"")"),0)</f>
        <v>0</v>
      </c>
      <c r="J63" s="176">
        <f t="shared" ca="1" si="26"/>
        <v>0</v>
      </c>
      <c r="K63" s="179">
        <f t="shared" ca="1" si="27"/>
        <v>0</v>
      </c>
      <c r="L63" s="176">
        <f ca="1">IFERROR(__xludf.DUMMYFUNCTION("IMPORTRANGE(""https://docs.google.com/spreadsheets/d/1-uDff_7J0KD5mKrp0Vvzr7lt3OU09vwQwhkpOPPYv2Y/edit?usp=sharing"",""งบพรบ!BN63"")"),0)</f>
        <v>0</v>
      </c>
      <c r="M63" s="87">
        <f t="shared" ca="1" si="28"/>
        <v>0</v>
      </c>
      <c r="N63" s="87">
        <f t="shared" ca="1" si="29"/>
        <v>0</v>
      </c>
      <c r="O63" s="86">
        <f ca="1">IFERROR(__xludf.DUMMYFUNCTION("IMPORTRANGE(""https://docs.google.com/spreadsheets/d/1-uDff_7J0KD5mKrp0Vvzr7lt3OU09vwQwhkpOPPYv2Y/edit?usp=sharing"",""งบพรบ!BO63"")"),0)</f>
        <v>0</v>
      </c>
      <c r="P63" s="86">
        <f t="shared" ca="1" si="30"/>
        <v>0</v>
      </c>
      <c r="Q63" s="87">
        <f t="shared" ca="1" si="31"/>
        <v>0</v>
      </c>
      <c r="R63" s="86">
        <f ca="1">IFERROR(__xludf.DUMMYFUNCTION("IMPORTRANGE(""https://docs.google.com/spreadsheets/d/1vVf6wykvW_lAyu7Yo9L4hUTqHqIeP_qcVuxCtosJEbg/edit?usp=sharing"",""ปราจีนบุรี!Q117"")"),191460)</f>
        <v>191460</v>
      </c>
      <c r="S63" s="86">
        <f ca="1">IFERROR(__xludf.DUMMYFUNCTION("IMPORTRANGE(""https://docs.google.com/spreadsheets/d/1vVf6wykvW_lAyu7Yo9L4hUTqHqIeP_qcVuxCtosJEbg/edit?usp=sharing"",""ปราจีนบุรี!R117"")"),0)</f>
        <v>0</v>
      </c>
      <c r="T63" s="86">
        <f ca="1">IFERROR(__xludf.DUMMYFUNCTION("IMPORTRANGE(""https://docs.google.com/spreadsheets/d/1vVf6wykvW_lAyu7Yo9L4hUTqHqIeP_qcVuxCtosJEbg/edit?usp=sharing"",""ปราจีนบุรี!S117"")"),0)</f>
        <v>0</v>
      </c>
      <c r="U63" s="87">
        <f t="shared" ca="1" si="33"/>
        <v>0</v>
      </c>
      <c r="V63" s="87">
        <f t="shared" ca="1" si="34"/>
        <v>0</v>
      </c>
      <c r="W63" s="93">
        <f ca="1">IFERROR(__xludf.DUMMYFUNCTION("IMPORTRANGE(""https://docs.google.com/spreadsheets/d/1vVf6wykvW_lAyu7Yo9L4hUTqHqIeP_qcVuxCtosJEbg/edit?usp=sharing"",""ปราจีนบุรี!I127"")"),15)</f>
        <v>15</v>
      </c>
      <c r="X63" s="93">
        <f ca="1">IFERROR(__xludf.DUMMYFUNCTION("IMPORTRANGE(""https://docs.google.com/spreadsheets/d/1vVf6wykvW_lAyu7Yo9L4hUTqHqIeP_qcVuxCtosJEbg/edit?usp=sharing"",""ปราจีนบุรี!J127"")"),0)</f>
        <v>0</v>
      </c>
      <c r="Y63" s="177">
        <f t="shared" ca="1" si="36"/>
        <v>0</v>
      </c>
      <c r="Z63" s="93">
        <f ca="1">IFERROR(__xludf.DUMMYFUNCTION("IMPORTRANGE(""https://docs.google.com/spreadsheets/d/1vVf6wykvW_lAyu7Yo9L4hUTqHqIeP_qcVuxCtosJEbg/edit?usp=sharing"",""ปราจีนบุรี!J128"")"),0)</f>
        <v>0</v>
      </c>
      <c r="AA63" s="93">
        <f ca="1">IFERROR(__xludf.DUMMYFUNCTION("IMPORTRANGE(""https://docs.google.com/spreadsheets/d/1vVf6wykvW_lAyu7Yo9L4hUTqHqIeP_qcVuxCtosJEbg/edit?usp=sharing"",""ปราจีนบุรี!I129"")"),15)</f>
        <v>15</v>
      </c>
      <c r="AB63" s="93">
        <f ca="1">IFERROR(__xludf.DUMMYFUNCTION("IMPORTRANGE(""https://docs.google.com/spreadsheets/d/1vVf6wykvW_lAyu7Yo9L4hUTqHqIeP_qcVuxCtosJEbg/edit?usp=sharing"",""ปราจีนบุรี!J129"")"),0)</f>
        <v>0</v>
      </c>
      <c r="AC63" s="177">
        <f t="shared" ca="1" si="38"/>
        <v>0</v>
      </c>
      <c r="AD63" s="177">
        <f ca="1">IFERROR(__xludf.DUMMYFUNCTION("IMPORTRANGE(""https://docs.google.com/spreadsheets/d/1vVf6wykvW_lAyu7Yo9L4hUTqHqIeP_qcVuxCtosJEbg/edit?usp=sharing"",""ปราจีนบุรี!J130"")"),0)</f>
        <v>0</v>
      </c>
      <c r="AE63" s="216">
        <v>0</v>
      </c>
      <c r="AF63" s="216">
        <v>0</v>
      </c>
      <c r="AG63" s="219">
        <v>0</v>
      </c>
    </row>
    <row r="64" spans="1:33" ht="19.5" x14ac:dyDescent="0.3">
      <c r="A64" s="172">
        <v>12</v>
      </c>
      <c r="B64" s="173" t="s">
        <v>90</v>
      </c>
      <c r="C64" s="174">
        <f t="shared" ca="1" si="24"/>
        <v>0</v>
      </c>
      <c r="D64" s="175">
        <f t="shared" ca="1" si="49"/>
        <v>0</v>
      </c>
      <c r="E64" s="176">
        <f ca="1">IFERROR(__xludf.DUMMYFUNCTION("IMPORTRANGE(""https://docs.google.com/spreadsheets/d/1-uDff_7J0KD5mKrp0Vvzr7lt3OU09vwQwhkpOPPYv2Y/edit?usp=sharing"",""งบพรบ!BH64"")"),0)</f>
        <v>0</v>
      </c>
      <c r="F64" s="176">
        <f ca="1">IFERROR(__xludf.DUMMYFUNCTION("IMPORTRANGE(""https://docs.google.com/spreadsheets/d/1-uDff_7J0KD5mKrp0Vvzr7lt3OU09vwQwhkpOPPYv2Y/edit?usp=sharing"",""งบพรบ!BI64"")"),0)</f>
        <v>0</v>
      </c>
      <c r="G64" s="176">
        <f ca="1">IFERROR(__xludf.DUMMYFUNCTION("IMPORTRANGE(""https://docs.google.com/spreadsheets/d/1-uDff_7J0KD5mKrp0Vvzr7lt3OU09vwQwhkpOPPYv2Y/edit?usp=sharing"",""งบพรบ!BJ64"")"),0)</f>
        <v>0</v>
      </c>
      <c r="H64" s="176">
        <f ca="1">IFERROR(__xludf.DUMMYFUNCTION("IMPORTRANGE(""https://docs.google.com/spreadsheets/d/1-uDff_7J0KD5mKrp0Vvzr7lt3OU09vwQwhkpOPPYv2Y/edit?usp=sharing"",""งบพรบ!BL64"")"),0)</f>
        <v>0</v>
      </c>
      <c r="I64" s="176">
        <f ca="1">IFERROR(__xludf.DUMMYFUNCTION("IMPORTRANGE(""https://docs.google.com/spreadsheets/d/1-uDff_7J0KD5mKrp0Vvzr7lt3OU09vwQwhkpOPPYv2Y/edit?usp=sharing"",""งบพรบ!BM64"")"),0)</f>
        <v>0</v>
      </c>
      <c r="J64" s="176">
        <f t="shared" ca="1" si="26"/>
        <v>0</v>
      </c>
      <c r="K64" s="179">
        <f t="shared" ca="1" si="27"/>
        <v>0</v>
      </c>
      <c r="L64" s="176">
        <f ca="1">IFERROR(__xludf.DUMMYFUNCTION("IMPORTRANGE(""https://docs.google.com/spreadsheets/d/1-uDff_7J0KD5mKrp0Vvzr7lt3OU09vwQwhkpOPPYv2Y/edit?usp=sharing"",""งบพรบ!BN64"")"),0)</f>
        <v>0</v>
      </c>
      <c r="M64" s="87">
        <f t="shared" ca="1" si="28"/>
        <v>0</v>
      </c>
      <c r="N64" s="87">
        <f t="shared" ca="1" si="29"/>
        <v>0</v>
      </c>
      <c r="O64" s="86">
        <f ca="1">IFERROR(__xludf.DUMMYFUNCTION("IMPORTRANGE(""https://docs.google.com/spreadsheets/d/1-uDff_7J0KD5mKrp0Vvzr7lt3OU09vwQwhkpOPPYv2Y/edit?usp=sharing"",""งบพรบ!BO64"")"),0)</f>
        <v>0</v>
      </c>
      <c r="P64" s="86">
        <f t="shared" ca="1" si="30"/>
        <v>0</v>
      </c>
      <c r="Q64" s="87">
        <f t="shared" ca="1" si="31"/>
        <v>0</v>
      </c>
      <c r="R64" s="86">
        <f ca="1">IFERROR(__xludf.DUMMYFUNCTION("IMPORTRANGE(""https://docs.google.com/spreadsheets/d/1BIDqLLg5jk3v59G8NlR8rk5xfQDKne0sAvZHSj7TI6I/edit?usp=sharing"",""พระนครศรีอยุธยา!Q117"")"),346680)</f>
        <v>346680</v>
      </c>
      <c r="S64" s="86">
        <f ca="1">IFERROR(__xludf.DUMMYFUNCTION("IMPORTRANGE(""https://docs.google.com/spreadsheets/d/1BIDqLLg5jk3v59G8NlR8rk5xfQDKne0sAvZHSj7TI6I/edit?usp=sharing"",""พระนครศรีอยุธยา!R117"")"),0)</f>
        <v>0</v>
      </c>
      <c r="T64" s="86">
        <f ca="1">IFERROR(__xludf.DUMMYFUNCTION("IMPORTRANGE(""https://docs.google.com/spreadsheets/d/1BIDqLLg5jk3v59G8NlR8rk5xfQDKne0sAvZHSj7TI6I/edit?usp=sharing"",""พระนครศรีอยุธยา!S117"")"),0)</f>
        <v>0</v>
      </c>
      <c r="U64" s="87">
        <f t="shared" ca="1" si="33"/>
        <v>0</v>
      </c>
      <c r="V64" s="87">
        <f t="shared" ca="1" si="34"/>
        <v>0</v>
      </c>
      <c r="W64" s="93">
        <f ca="1">IFERROR(__xludf.DUMMYFUNCTION("IMPORTRANGE(""https://docs.google.com/spreadsheets/d/1BIDqLLg5jk3v59G8NlR8rk5xfQDKne0sAvZHSj7TI6I/edit?usp=sharing"",""พระนครศรีอยุธยา!I127"")"),70)</f>
        <v>70</v>
      </c>
      <c r="X64" s="93">
        <f ca="1">IFERROR(__xludf.DUMMYFUNCTION("IMPORTRANGE(""https://docs.google.com/spreadsheets/d/1BIDqLLg5jk3v59G8NlR8rk5xfQDKne0sAvZHSj7TI6I/edit?usp=sharing"",""พระนครศรีอยุธยา!J127"")"),0)</f>
        <v>0</v>
      </c>
      <c r="Y64" s="177">
        <f t="shared" ca="1" si="36"/>
        <v>0</v>
      </c>
      <c r="Z64" s="93">
        <f ca="1">IFERROR(__xludf.DUMMYFUNCTION("IMPORTRANGE(""https://docs.google.com/spreadsheets/d/1BIDqLLg5jk3v59G8NlR8rk5xfQDKne0sAvZHSj7TI6I/edit?usp=sharing"",""พระนครศรีอยุธยา!J128"")"),0)</f>
        <v>0</v>
      </c>
      <c r="AA64" s="93">
        <f ca="1">IFERROR(__xludf.DUMMYFUNCTION("IMPORTRANGE(""https://docs.google.com/spreadsheets/d/1BIDqLLg5jk3v59G8NlR8rk5xfQDKne0sAvZHSj7TI6I/edit?usp=sharing"",""พระนครศรีอยุธยา!I129"")"),30)</f>
        <v>30</v>
      </c>
      <c r="AB64" s="93">
        <f ca="1">IFERROR(__xludf.DUMMYFUNCTION("IMPORTRANGE(""https://docs.google.com/spreadsheets/d/1BIDqLLg5jk3v59G8NlR8rk5xfQDKne0sAvZHSj7TI6I/edit?usp=sharing"",""พระนครศรีอยุธยา!J129"")"),0)</f>
        <v>0</v>
      </c>
      <c r="AC64" s="177">
        <f t="shared" ca="1" si="38"/>
        <v>0</v>
      </c>
      <c r="AD64" s="177">
        <f ca="1">IFERROR(__xludf.DUMMYFUNCTION("IMPORTRANGE(""https://docs.google.com/spreadsheets/d/1BIDqLLg5jk3v59G8NlR8rk5xfQDKne0sAvZHSj7TI6I/edit?usp=sharing"",""พระนครศรีอยุธยา!J130"")"),0)</f>
        <v>0</v>
      </c>
      <c r="AE64" s="216">
        <v>0</v>
      </c>
      <c r="AF64" s="216">
        <v>0</v>
      </c>
      <c r="AG64" s="219">
        <v>0</v>
      </c>
    </row>
    <row r="65" spans="1:33" ht="19.5" x14ac:dyDescent="0.3">
      <c r="A65" s="172">
        <v>13</v>
      </c>
      <c r="B65" s="173" t="s">
        <v>91</v>
      </c>
      <c r="C65" s="174">
        <f t="shared" ca="1" si="24"/>
        <v>0</v>
      </c>
      <c r="D65" s="175">
        <f t="shared" ca="1" si="49"/>
        <v>0</v>
      </c>
      <c r="E65" s="176">
        <f ca="1">IFERROR(__xludf.DUMMYFUNCTION("IMPORTRANGE(""https://docs.google.com/spreadsheets/d/1-uDff_7J0KD5mKrp0Vvzr7lt3OU09vwQwhkpOPPYv2Y/edit?usp=sharing"",""งบพรบ!BH65"")"),0)</f>
        <v>0</v>
      </c>
      <c r="F65" s="176">
        <f ca="1">IFERROR(__xludf.DUMMYFUNCTION("IMPORTRANGE(""https://docs.google.com/spreadsheets/d/1-uDff_7J0KD5mKrp0Vvzr7lt3OU09vwQwhkpOPPYv2Y/edit?usp=sharing"",""งบพรบ!BI65"")"),0)</f>
        <v>0</v>
      </c>
      <c r="G65" s="176">
        <f ca="1">IFERROR(__xludf.DUMMYFUNCTION("IMPORTRANGE(""https://docs.google.com/spreadsheets/d/1-uDff_7J0KD5mKrp0Vvzr7lt3OU09vwQwhkpOPPYv2Y/edit?usp=sharing"",""งบพรบ!BJ65"")"),0)</f>
        <v>0</v>
      </c>
      <c r="H65" s="176">
        <f ca="1">IFERROR(__xludf.DUMMYFUNCTION("IMPORTRANGE(""https://docs.google.com/spreadsheets/d/1-uDff_7J0KD5mKrp0Vvzr7lt3OU09vwQwhkpOPPYv2Y/edit?usp=sharing"",""งบพรบ!BL65"")"),0)</f>
        <v>0</v>
      </c>
      <c r="I65" s="176">
        <f ca="1">IFERROR(__xludf.DUMMYFUNCTION("IMPORTRANGE(""https://docs.google.com/spreadsheets/d/1-uDff_7J0KD5mKrp0Vvzr7lt3OU09vwQwhkpOPPYv2Y/edit?usp=sharing"",""งบพรบ!BM65"")"),0)</f>
        <v>0</v>
      </c>
      <c r="J65" s="176">
        <f t="shared" ca="1" si="26"/>
        <v>0</v>
      </c>
      <c r="K65" s="179">
        <f t="shared" ca="1" si="27"/>
        <v>0</v>
      </c>
      <c r="L65" s="176">
        <f ca="1">IFERROR(__xludf.DUMMYFUNCTION("IMPORTRANGE(""https://docs.google.com/spreadsheets/d/1-uDff_7J0KD5mKrp0Vvzr7lt3OU09vwQwhkpOPPYv2Y/edit?usp=sharing"",""งบพรบ!BN65"")"),0)</f>
        <v>0</v>
      </c>
      <c r="M65" s="87">
        <f t="shared" ca="1" si="28"/>
        <v>0</v>
      </c>
      <c r="N65" s="87">
        <f t="shared" ca="1" si="29"/>
        <v>0</v>
      </c>
      <c r="O65" s="86">
        <f ca="1">IFERROR(__xludf.DUMMYFUNCTION("IMPORTRANGE(""https://docs.google.com/spreadsheets/d/1-uDff_7J0KD5mKrp0Vvzr7lt3OU09vwQwhkpOPPYv2Y/edit?usp=sharing"",""งบพรบ!BO65"")"),0)</f>
        <v>0</v>
      </c>
      <c r="P65" s="86">
        <f t="shared" ca="1" si="30"/>
        <v>0</v>
      </c>
      <c r="Q65" s="87">
        <f t="shared" ca="1" si="31"/>
        <v>0</v>
      </c>
      <c r="R65" s="86">
        <f ca="1">IFERROR(__xludf.DUMMYFUNCTION("IMPORTRANGE(""https://docs.google.com/spreadsheets/d/1YXvxf8Yu6_rV4hTBrwMqAcAnv6DfhUxh5emyM3CJp_w/edit?usp=sharing"",""เพชรบุรี!Q117"")"),249180)</f>
        <v>249180</v>
      </c>
      <c r="S65" s="86">
        <f ca="1">IFERROR(__xludf.DUMMYFUNCTION("IMPORTRANGE(""https://docs.google.com/spreadsheets/d/1YXvxf8Yu6_rV4hTBrwMqAcAnv6DfhUxh5emyM3CJp_w/edit?usp=sharing"",""เพชรบุรี!R117"")"),0)</f>
        <v>0</v>
      </c>
      <c r="T65" s="86">
        <f ca="1">IFERROR(__xludf.DUMMYFUNCTION("IMPORTRANGE(""https://docs.google.com/spreadsheets/d/1YXvxf8Yu6_rV4hTBrwMqAcAnv6DfhUxh5emyM3CJp_w/edit?usp=sharing"",""เพชรบุรี!S117"")"),0)</f>
        <v>0</v>
      </c>
      <c r="U65" s="87">
        <f t="shared" ca="1" si="33"/>
        <v>0</v>
      </c>
      <c r="V65" s="87">
        <f t="shared" ca="1" si="34"/>
        <v>0</v>
      </c>
      <c r="W65" s="93">
        <f ca="1">IFERROR(__xludf.DUMMYFUNCTION("IMPORTRANGE(""https://docs.google.com/spreadsheets/d/1YXvxf8Yu6_rV4hTBrwMqAcAnv6DfhUxh5emyM3CJp_w/edit?usp=sharing"",""เพชรบุรี!I127"")"),30)</f>
        <v>30</v>
      </c>
      <c r="X65" s="93">
        <f ca="1">IFERROR(__xludf.DUMMYFUNCTION("IMPORTRANGE(""https://docs.google.com/spreadsheets/d/1YXvxf8Yu6_rV4hTBrwMqAcAnv6DfhUxh5emyM3CJp_w/edit?usp=sharing"",""เพชรบุรี!J127"")"),0)</f>
        <v>0</v>
      </c>
      <c r="Y65" s="177">
        <f t="shared" ca="1" si="36"/>
        <v>0</v>
      </c>
      <c r="Z65" s="93">
        <f ca="1">IFERROR(__xludf.DUMMYFUNCTION("IMPORTRANGE(""https://docs.google.com/spreadsheets/d/1YXvxf8Yu6_rV4hTBrwMqAcAnv6DfhUxh5emyM3CJp_w/edit?usp=sharing"",""เพชรบุรี!J128"")"),0)</f>
        <v>0</v>
      </c>
      <c r="AA65" s="93">
        <f ca="1">IFERROR(__xludf.DUMMYFUNCTION("IMPORTRANGE(""https://docs.google.com/spreadsheets/d/1YXvxf8Yu6_rV4hTBrwMqAcAnv6DfhUxh5emyM3CJp_w/edit?usp=sharing"",""เพชรบุรี!I129"")"),30)</f>
        <v>30</v>
      </c>
      <c r="AB65" s="93">
        <f ca="1">IFERROR(__xludf.DUMMYFUNCTION("IMPORTRANGE(""https://docs.google.com/spreadsheets/d/1YXvxf8Yu6_rV4hTBrwMqAcAnv6DfhUxh5emyM3CJp_w/edit?usp=sharing"",""เพชรบุรี!J129"")"),0)</f>
        <v>0</v>
      </c>
      <c r="AC65" s="177">
        <f t="shared" ca="1" si="38"/>
        <v>0</v>
      </c>
      <c r="AD65" s="177">
        <f ca="1">IFERROR(__xludf.DUMMYFUNCTION("IMPORTRANGE(""https://docs.google.com/spreadsheets/d/1YXvxf8Yu6_rV4hTBrwMqAcAnv6DfhUxh5emyM3CJp_w/edit?usp=sharing"",""เพชรบุรี!J130"")"),0)</f>
        <v>0</v>
      </c>
      <c r="AE65" s="216">
        <v>0</v>
      </c>
      <c r="AF65" s="216">
        <v>0</v>
      </c>
      <c r="AG65" s="219">
        <v>0</v>
      </c>
    </row>
    <row r="66" spans="1:33" ht="19.5" x14ac:dyDescent="0.3">
      <c r="A66" s="172">
        <v>14</v>
      </c>
      <c r="B66" s="173" t="s">
        <v>92</v>
      </c>
      <c r="C66" s="174">
        <f t="shared" ca="1" si="24"/>
        <v>0</v>
      </c>
      <c r="D66" s="175">
        <f t="shared" ca="1" si="49"/>
        <v>0</v>
      </c>
      <c r="E66" s="176">
        <f ca="1">IFERROR(__xludf.DUMMYFUNCTION("IMPORTRANGE(""https://docs.google.com/spreadsheets/d/1-uDff_7J0KD5mKrp0Vvzr7lt3OU09vwQwhkpOPPYv2Y/edit?usp=sharing"",""งบพรบ!BH66"")"),0)</f>
        <v>0</v>
      </c>
      <c r="F66" s="176">
        <f ca="1">IFERROR(__xludf.DUMMYFUNCTION("IMPORTRANGE(""https://docs.google.com/spreadsheets/d/1-uDff_7J0KD5mKrp0Vvzr7lt3OU09vwQwhkpOPPYv2Y/edit?usp=sharing"",""งบพรบ!BI66"")"),0)</f>
        <v>0</v>
      </c>
      <c r="G66" s="176">
        <f ca="1">IFERROR(__xludf.DUMMYFUNCTION("IMPORTRANGE(""https://docs.google.com/spreadsheets/d/1-uDff_7J0KD5mKrp0Vvzr7lt3OU09vwQwhkpOPPYv2Y/edit?usp=sharing"",""งบพรบ!BJ66"")"),0)</f>
        <v>0</v>
      </c>
      <c r="H66" s="176">
        <f ca="1">IFERROR(__xludf.DUMMYFUNCTION("IMPORTRANGE(""https://docs.google.com/spreadsheets/d/1-uDff_7J0KD5mKrp0Vvzr7lt3OU09vwQwhkpOPPYv2Y/edit?usp=sharing"",""งบพรบ!BL66"")"),0)</f>
        <v>0</v>
      </c>
      <c r="I66" s="176">
        <f ca="1">IFERROR(__xludf.DUMMYFUNCTION("IMPORTRANGE(""https://docs.google.com/spreadsheets/d/1-uDff_7J0KD5mKrp0Vvzr7lt3OU09vwQwhkpOPPYv2Y/edit?usp=sharing"",""งบพรบ!BM66"")"),0)</f>
        <v>0</v>
      </c>
      <c r="J66" s="176">
        <f t="shared" ca="1" si="26"/>
        <v>0</v>
      </c>
      <c r="K66" s="179">
        <f t="shared" ca="1" si="27"/>
        <v>0</v>
      </c>
      <c r="L66" s="176">
        <f ca="1">IFERROR(__xludf.DUMMYFUNCTION("IMPORTRANGE(""https://docs.google.com/spreadsheets/d/1-uDff_7J0KD5mKrp0Vvzr7lt3OU09vwQwhkpOPPYv2Y/edit?usp=sharing"",""งบพรบ!BN66"")"),0)</f>
        <v>0</v>
      </c>
      <c r="M66" s="87">
        <f t="shared" ca="1" si="28"/>
        <v>0</v>
      </c>
      <c r="N66" s="87">
        <f t="shared" ca="1" si="29"/>
        <v>0</v>
      </c>
      <c r="O66" s="86">
        <f ca="1">IFERROR(__xludf.DUMMYFUNCTION("IMPORTRANGE(""https://docs.google.com/spreadsheets/d/1-uDff_7J0KD5mKrp0Vvzr7lt3OU09vwQwhkpOPPYv2Y/edit?usp=sharing"",""งบพรบ!BO66"")"),0)</f>
        <v>0</v>
      </c>
      <c r="P66" s="86">
        <f t="shared" ca="1" si="30"/>
        <v>0</v>
      </c>
      <c r="Q66" s="87">
        <f t="shared" ca="1" si="31"/>
        <v>0</v>
      </c>
      <c r="R66" s="86">
        <f ca="1">IFERROR(__xludf.DUMMYFUNCTION("IMPORTRANGE(""https://docs.google.com/spreadsheets/d/19KBlQQs7uwvsao6t2n-KvW3Ax8J8uRRfZPq1zPbXgKc/edit?usp=sharing"",""ระยอง!Q117"")"),209360)</f>
        <v>209360</v>
      </c>
      <c r="S66" s="86">
        <f ca="1">IFERROR(__xludf.DUMMYFUNCTION("IMPORTRANGE(""https://docs.google.com/spreadsheets/d/19KBlQQs7uwvsao6t2n-KvW3Ax8J8uRRfZPq1zPbXgKc/edit?usp=sharing"",""ระยอง!R117"")"),0)</f>
        <v>0</v>
      </c>
      <c r="T66" s="86">
        <f ca="1">IFERROR(__xludf.DUMMYFUNCTION("IMPORTRANGE(""https://docs.google.com/spreadsheets/d/19KBlQQs7uwvsao6t2n-KvW3Ax8J8uRRfZPq1zPbXgKc/edit?usp=sharing"",""ระยอง!S117"")"),0)</f>
        <v>0</v>
      </c>
      <c r="U66" s="87">
        <f t="shared" ca="1" si="33"/>
        <v>0</v>
      </c>
      <c r="V66" s="87">
        <f t="shared" ca="1" si="34"/>
        <v>0</v>
      </c>
      <c r="W66" s="93">
        <f ca="1">IFERROR(__xludf.DUMMYFUNCTION("IMPORTRANGE(""https://docs.google.com/spreadsheets/d/19KBlQQs7uwvsao6t2n-KvW3Ax8J8uRRfZPq1zPbXgKc/edit?usp=sharing"",""ระยอง!I127"")"),20)</f>
        <v>20</v>
      </c>
      <c r="X66" s="93">
        <f ca="1">IFERROR(__xludf.DUMMYFUNCTION("IMPORTRANGE(""https://docs.google.com/spreadsheets/d/19KBlQQs7uwvsao6t2n-KvW3Ax8J8uRRfZPq1zPbXgKc/edit?usp=sharing"",""ระยอง!J127"")"),0)</f>
        <v>0</v>
      </c>
      <c r="Y66" s="177">
        <f t="shared" ca="1" si="36"/>
        <v>0</v>
      </c>
      <c r="Z66" s="93">
        <f ca="1">IFERROR(__xludf.DUMMYFUNCTION("IMPORTRANGE(""https://docs.google.com/spreadsheets/d/19KBlQQs7uwvsao6t2n-KvW3Ax8J8uRRfZPq1zPbXgKc/edit?usp=sharing"",""ระยอง!J128"")"),0)</f>
        <v>0</v>
      </c>
      <c r="AA66" s="93">
        <f ca="1">IFERROR(__xludf.DUMMYFUNCTION("IMPORTRANGE(""https://docs.google.com/spreadsheets/d/19KBlQQs7uwvsao6t2n-KvW3Ax8J8uRRfZPq1zPbXgKc/edit?usp=sharing"",""ระยอง!I129"")"),20)</f>
        <v>20</v>
      </c>
      <c r="AB66" s="93">
        <f ca="1">IFERROR(__xludf.DUMMYFUNCTION("IMPORTRANGE(""https://docs.google.com/spreadsheets/d/19KBlQQs7uwvsao6t2n-KvW3Ax8J8uRRfZPq1zPbXgKc/edit?usp=sharing"",""ระยอง!J129"")"),0)</f>
        <v>0</v>
      </c>
      <c r="AC66" s="177">
        <f t="shared" ca="1" si="38"/>
        <v>0</v>
      </c>
      <c r="AD66" s="177">
        <f ca="1">IFERROR(__xludf.DUMMYFUNCTION("IMPORTRANGE(""https://docs.google.com/spreadsheets/d/19KBlQQs7uwvsao6t2n-KvW3Ax8J8uRRfZPq1zPbXgKc/edit?usp=sharing"",""ระยอง!J130"")"),0)</f>
        <v>0</v>
      </c>
      <c r="AE66" s="216">
        <v>0</v>
      </c>
      <c r="AF66" s="216">
        <v>0</v>
      </c>
      <c r="AG66" s="219">
        <v>0</v>
      </c>
    </row>
    <row r="67" spans="1:33" ht="19.5" x14ac:dyDescent="0.3">
      <c r="A67" s="172">
        <v>15</v>
      </c>
      <c r="B67" s="173" t="s">
        <v>93</v>
      </c>
      <c r="C67" s="174">
        <f t="shared" ca="1" si="24"/>
        <v>0</v>
      </c>
      <c r="D67" s="175">
        <f t="shared" ca="1" si="49"/>
        <v>0</v>
      </c>
      <c r="E67" s="176">
        <f ca="1">IFERROR(__xludf.DUMMYFUNCTION("IMPORTRANGE(""https://docs.google.com/spreadsheets/d/1-uDff_7J0KD5mKrp0Vvzr7lt3OU09vwQwhkpOPPYv2Y/edit?usp=sharing"",""งบพรบ!BH67"")"),0)</f>
        <v>0</v>
      </c>
      <c r="F67" s="176">
        <f ca="1">IFERROR(__xludf.DUMMYFUNCTION("IMPORTRANGE(""https://docs.google.com/spreadsheets/d/1-uDff_7J0KD5mKrp0Vvzr7lt3OU09vwQwhkpOPPYv2Y/edit?usp=sharing"",""งบพรบ!BI67"")"),0)</f>
        <v>0</v>
      </c>
      <c r="G67" s="176">
        <f ca="1">IFERROR(__xludf.DUMMYFUNCTION("IMPORTRANGE(""https://docs.google.com/spreadsheets/d/1-uDff_7J0KD5mKrp0Vvzr7lt3OU09vwQwhkpOPPYv2Y/edit?usp=sharing"",""งบพรบ!BJ67"")"),0)</f>
        <v>0</v>
      </c>
      <c r="H67" s="176">
        <f ca="1">IFERROR(__xludf.DUMMYFUNCTION("IMPORTRANGE(""https://docs.google.com/spreadsheets/d/1-uDff_7J0KD5mKrp0Vvzr7lt3OU09vwQwhkpOPPYv2Y/edit?usp=sharing"",""งบพรบ!BL67"")"),0)</f>
        <v>0</v>
      </c>
      <c r="I67" s="176">
        <f ca="1">IFERROR(__xludf.DUMMYFUNCTION("IMPORTRANGE(""https://docs.google.com/spreadsheets/d/1-uDff_7J0KD5mKrp0Vvzr7lt3OU09vwQwhkpOPPYv2Y/edit?usp=sharing"",""งบพรบ!BM67"")"),0)</f>
        <v>0</v>
      </c>
      <c r="J67" s="176">
        <f t="shared" ca="1" si="26"/>
        <v>0</v>
      </c>
      <c r="K67" s="179">
        <f t="shared" ca="1" si="27"/>
        <v>0</v>
      </c>
      <c r="L67" s="176">
        <f ca="1">IFERROR(__xludf.DUMMYFUNCTION("IMPORTRANGE(""https://docs.google.com/spreadsheets/d/1-uDff_7J0KD5mKrp0Vvzr7lt3OU09vwQwhkpOPPYv2Y/edit?usp=sharing"",""งบพรบ!BN67"")"),0)</f>
        <v>0</v>
      </c>
      <c r="M67" s="87">
        <f t="shared" ca="1" si="28"/>
        <v>0</v>
      </c>
      <c r="N67" s="87">
        <f t="shared" ca="1" si="29"/>
        <v>0</v>
      </c>
      <c r="O67" s="86">
        <f ca="1">IFERROR(__xludf.DUMMYFUNCTION("IMPORTRANGE(""https://docs.google.com/spreadsheets/d/1-uDff_7J0KD5mKrp0Vvzr7lt3OU09vwQwhkpOPPYv2Y/edit?usp=sharing"",""งบพรบ!BO67"")"),0)</f>
        <v>0</v>
      </c>
      <c r="P67" s="86">
        <f t="shared" ca="1" si="30"/>
        <v>0</v>
      </c>
      <c r="Q67" s="87">
        <f t="shared" ca="1" si="31"/>
        <v>0</v>
      </c>
      <c r="R67" s="86">
        <f ca="1">IFERROR(__xludf.DUMMYFUNCTION("IMPORTRANGE(""https://docs.google.com/spreadsheets/d/1jQ6P4QcrGM89YfqcC_PxOHGCMq5ezhucwJd8ci-NHng/edit?usp=sharing"",""ราชบุรี!Q117"")"),173660)</f>
        <v>173660</v>
      </c>
      <c r="S67" s="86">
        <f ca="1">IFERROR(__xludf.DUMMYFUNCTION("IMPORTRANGE(""https://docs.google.com/spreadsheets/d/1jQ6P4QcrGM89YfqcC_PxOHGCMq5ezhucwJd8ci-NHng/edit?usp=sharing"",""ราชบุรี!R117"")"),0)</f>
        <v>0</v>
      </c>
      <c r="T67" s="86">
        <f ca="1">IFERROR(__xludf.DUMMYFUNCTION("IMPORTRANGE(""https://docs.google.com/spreadsheets/d/1jQ6P4QcrGM89YfqcC_PxOHGCMq5ezhucwJd8ci-NHng/edit?usp=sharing"",""ราชบุรี!S117"")"),0)</f>
        <v>0</v>
      </c>
      <c r="U67" s="87">
        <f t="shared" ca="1" si="33"/>
        <v>0</v>
      </c>
      <c r="V67" s="87">
        <f t="shared" ca="1" si="34"/>
        <v>0</v>
      </c>
      <c r="W67" s="93">
        <f ca="1">IFERROR(__xludf.DUMMYFUNCTION("IMPORTRANGE(""https://docs.google.com/spreadsheets/d/1jQ6P4QcrGM89YfqcC_PxOHGCMq5ezhucwJd8ci-NHng/edit?usp=sharing"",""ราชบุรี!I127"")"),10)</f>
        <v>10</v>
      </c>
      <c r="X67" s="93">
        <f ca="1">IFERROR(__xludf.DUMMYFUNCTION("IMPORTRANGE(""https://docs.google.com/spreadsheets/d/1jQ6P4QcrGM89YfqcC_PxOHGCMq5ezhucwJd8ci-NHng/edit?usp=sharing"",""ราชบุรี!J127"")"),0)</f>
        <v>0</v>
      </c>
      <c r="Y67" s="177">
        <f t="shared" ca="1" si="36"/>
        <v>0</v>
      </c>
      <c r="Z67" s="93">
        <f ca="1">IFERROR(__xludf.DUMMYFUNCTION("IMPORTRANGE(""https://docs.google.com/spreadsheets/d/1jQ6P4QcrGM89YfqcC_PxOHGCMq5ezhucwJd8ci-NHng/edit?usp=sharing"",""ราชบุรี!J128"")"),0)</f>
        <v>0</v>
      </c>
      <c r="AA67" s="93">
        <f ca="1">IFERROR(__xludf.DUMMYFUNCTION("IMPORTRANGE(""https://docs.google.com/spreadsheets/d/1jQ6P4QcrGM89YfqcC_PxOHGCMq5ezhucwJd8ci-NHng/edit?usp=sharing"",""ราชบุรี!I129"")"),10)</f>
        <v>10</v>
      </c>
      <c r="AB67" s="93">
        <f ca="1">IFERROR(__xludf.DUMMYFUNCTION("IMPORTRANGE(""https://docs.google.com/spreadsheets/d/1jQ6P4QcrGM89YfqcC_PxOHGCMq5ezhucwJd8ci-NHng/edit?usp=sharing"",""ราชบุรี!J129"")"),0)</f>
        <v>0</v>
      </c>
      <c r="AC67" s="177">
        <f t="shared" ca="1" si="38"/>
        <v>0</v>
      </c>
      <c r="AD67" s="177">
        <f ca="1">IFERROR(__xludf.DUMMYFUNCTION("IMPORTRANGE(""https://docs.google.com/spreadsheets/d/1jQ6P4QcrGM89YfqcC_PxOHGCMq5ezhucwJd8ci-NHng/edit?usp=sharing"",""ราชบุรี!J130"")"),0)</f>
        <v>0</v>
      </c>
      <c r="AE67" s="216">
        <v>0</v>
      </c>
      <c r="AF67" s="216">
        <v>0</v>
      </c>
      <c r="AG67" s="219">
        <v>0</v>
      </c>
    </row>
    <row r="68" spans="1:33" ht="19.5" x14ac:dyDescent="0.3">
      <c r="A68" s="172">
        <v>16</v>
      </c>
      <c r="B68" s="173" t="s">
        <v>94</v>
      </c>
      <c r="C68" s="174">
        <f t="shared" ca="1" si="24"/>
        <v>0</v>
      </c>
      <c r="D68" s="175">
        <f t="shared" ca="1" si="49"/>
        <v>0</v>
      </c>
      <c r="E68" s="176">
        <f ca="1">IFERROR(__xludf.DUMMYFUNCTION("IMPORTRANGE(""https://docs.google.com/spreadsheets/d/1-uDff_7J0KD5mKrp0Vvzr7lt3OU09vwQwhkpOPPYv2Y/edit?usp=sharing"",""งบพรบ!BH68"")"),0)</f>
        <v>0</v>
      </c>
      <c r="F68" s="176">
        <f ca="1">IFERROR(__xludf.DUMMYFUNCTION("IMPORTRANGE(""https://docs.google.com/spreadsheets/d/1-uDff_7J0KD5mKrp0Vvzr7lt3OU09vwQwhkpOPPYv2Y/edit?usp=sharing"",""งบพรบ!BI68"")"),0)</f>
        <v>0</v>
      </c>
      <c r="G68" s="176">
        <f ca="1">IFERROR(__xludf.DUMMYFUNCTION("IMPORTRANGE(""https://docs.google.com/spreadsheets/d/1-uDff_7J0KD5mKrp0Vvzr7lt3OU09vwQwhkpOPPYv2Y/edit?usp=sharing"",""งบพรบ!BJ68"")"),0)</f>
        <v>0</v>
      </c>
      <c r="H68" s="176">
        <f ca="1">IFERROR(__xludf.DUMMYFUNCTION("IMPORTRANGE(""https://docs.google.com/spreadsheets/d/1-uDff_7J0KD5mKrp0Vvzr7lt3OU09vwQwhkpOPPYv2Y/edit?usp=sharing"",""งบพรบ!BL68"")"),0)</f>
        <v>0</v>
      </c>
      <c r="I68" s="176">
        <f ca="1">IFERROR(__xludf.DUMMYFUNCTION("IMPORTRANGE(""https://docs.google.com/spreadsheets/d/1-uDff_7J0KD5mKrp0Vvzr7lt3OU09vwQwhkpOPPYv2Y/edit?usp=sharing"",""งบพรบ!BM68"")"),0)</f>
        <v>0</v>
      </c>
      <c r="J68" s="176">
        <f t="shared" ca="1" si="26"/>
        <v>0</v>
      </c>
      <c r="K68" s="179">
        <f t="shared" ca="1" si="27"/>
        <v>0</v>
      </c>
      <c r="L68" s="176">
        <f ca="1">IFERROR(__xludf.DUMMYFUNCTION("IMPORTRANGE(""https://docs.google.com/spreadsheets/d/1-uDff_7J0KD5mKrp0Vvzr7lt3OU09vwQwhkpOPPYv2Y/edit?usp=sharing"",""งบพรบ!BN68"")"),0)</f>
        <v>0</v>
      </c>
      <c r="M68" s="87">
        <f t="shared" ca="1" si="28"/>
        <v>0</v>
      </c>
      <c r="N68" s="87">
        <f t="shared" ca="1" si="29"/>
        <v>0</v>
      </c>
      <c r="O68" s="86">
        <f ca="1">IFERROR(__xludf.DUMMYFUNCTION("IMPORTRANGE(""https://docs.google.com/spreadsheets/d/1-uDff_7J0KD5mKrp0Vvzr7lt3OU09vwQwhkpOPPYv2Y/edit?usp=sharing"",""งบพรบ!BO68"")"),0)</f>
        <v>0</v>
      </c>
      <c r="P68" s="86">
        <f t="shared" ca="1" si="30"/>
        <v>0</v>
      </c>
      <c r="Q68" s="87">
        <f t="shared" ca="1" si="31"/>
        <v>0</v>
      </c>
      <c r="R68" s="86">
        <f ca="1">IFERROR(__xludf.DUMMYFUNCTION("IMPORTRANGE(""https://docs.google.com/spreadsheets/d/1lufeA2cfFqM-elVq2hznhDzC6Pr7wkJ9ZG_sYNGCMCU/edit?usp=sharing"",""ลพบุรี!Q117"")"),310080)</f>
        <v>310080</v>
      </c>
      <c r="S68" s="86">
        <f ca="1">IFERROR(__xludf.DUMMYFUNCTION("IMPORTRANGE(""https://docs.google.com/spreadsheets/d/1lufeA2cfFqM-elVq2hznhDzC6Pr7wkJ9ZG_sYNGCMCU/edit?usp=sharing"",""ลพบุรี!R117"")"),0)</f>
        <v>0</v>
      </c>
      <c r="T68" s="86">
        <f ca="1">IFERROR(__xludf.DUMMYFUNCTION("IMPORTRANGE(""https://docs.google.com/spreadsheets/d/1lufeA2cfFqM-elVq2hznhDzC6Pr7wkJ9ZG_sYNGCMCU/edit?usp=sharing"",""ลพบุรี!S117"")"),0)</f>
        <v>0</v>
      </c>
      <c r="U68" s="87">
        <f t="shared" ca="1" si="33"/>
        <v>0</v>
      </c>
      <c r="V68" s="87">
        <f t="shared" ca="1" si="34"/>
        <v>0</v>
      </c>
      <c r="W68" s="97">
        <f ca="1">IFERROR(__xludf.DUMMYFUNCTION("IMPORTRANGE(""https://docs.google.com/spreadsheets/d/1lufeA2cfFqM-elVq2hznhDzC6Pr7wkJ9ZG_sYNGCMCU/edit?usp=sharing"",""ลพบุรี!I127"")"),55)</f>
        <v>55</v>
      </c>
      <c r="X68" s="97">
        <f ca="1">IFERROR(__xludf.DUMMYFUNCTION("IMPORTRANGE(""https://docs.google.com/spreadsheets/d/1lufeA2cfFqM-elVq2hznhDzC6Pr7wkJ9ZG_sYNGCMCU/edit?usp=sharing"",""ลพบุรี!J127"")"),0)</f>
        <v>0</v>
      </c>
      <c r="Y68" s="177">
        <f t="shared" ca="1" si="36"/>
        <v>0</v>
      </c>
      <c r="Z68" s="97">
        <f ca="1">IFERROR(__xludf.DUMMYFUNCTION("IMPORTRANGE(""https://docs.google.com/spreadsheets/d/1lufeA2cfFqM-elVq2hznhDzC6Pr7wkJ9ZG_sYNGCMCU/edit?usp=sharing"",""ลพบุรี!J128"")"),0)</f>
        <v>0</v>
      </c>
      <c r="AA68" s="97">
        <f ca="1">IFERROR(__xludf.DUMMYFUNCTION("IMPORTRANGE(""https://docs.google.com/spreadsheets/d/1lufeA2cfFqM-elVq2hznhDzC6Pr7wkJ9ZG_sYNGCMCU/edit?usp=sharing"",""ลพบุรี!I129"")"),30)</f>
        <v>30</v>
      </c>
      <c r="AB68" s="97">
        <f ca="1">IFERROR(__xludf.DUMMYFUNCTION("IMPORTRANGE(""https://docs.google.com/spreadsheets/d/1lufeA2cfFqM-elVq2hznhDzC6Pr7wkJ9ZG_sYNGCMCU/edit?usp=sharing"",""ลพบุรี!J129"")"),0)</f>
        <v>0</v>
      </c>
      <c r="AC68" s="177">
        <f t="shared" ca="1" si="38"/>
        <v>0</v>
      </c>
      <c r="AD68" s="177">
        <f ca="1">IFERROR(__xludf.DUMMYFUNCTION("IMPORTRANGE(""https://docs.google.com/spreadsheets/d/1lufeA2cfFqM-elVq2hznhDzC6Pr7wkJ9ZG_sYNGCMCU/edit?usp=sharing"",""ลพบุรี!J130"")"),0)</f>
        <v>0</v>
      </c>
      <c r="AE68" s="99">
        <v>0</v>
      </c>
      <c r="AF68" s="99">
        <v>0</v>
      </c>
      <c r="AG68" s="219">
        <v>0</v>
      </c>
    </row>
    <row r="69" spans="1:33" ht="19.5" x14ac:dyDescent="0.3">
      <c r="A69" s="172">
        <v>17</v>
      </c>
      <c r="B69" s="173" t="s">
        <v>95</v>
      </c>
      <c r="C69" s="174">
        <f t="shared" ca="1" si="24"/>
        <v>0</v>
      </c>
      <c r="D69" s="175">
        <f t="shared" ca="1" si="49"/>
        <v>0</v>
      </c>
      <c r="E69" s="176">
        <f ca="1">IFERROR(__xludf.DUMMYFUNCTION("IMPORTRANGE(""https://docs.google.com/spreadsheets/d/1-uDff_7J0KD5mKrp0Vvzr7lt3OU09vwQwhkpOPPYv2Y/edit?usp=sharing"",""งบพรบ!BH69"")"),0)</f>
        <v>0</v>
      </c>
      <c r="F69" s="176">
        <f ca="1">IFERROR(__xludf.DUMMYFUNCTION("IMPORTRANGE(""https://docs.google.com/spreadsheets/d/1-uDff_7J0KD5mKrp0Vvzr7lt3OU09vwQwhkpOPPYv2Y/edit?usp=sharing"",""งบพรบ!BI69"")"),0)</f>
        <v>0</v>
      </c>
      <c r="G69" s="176">
        <f ca="1">IFERROR(__xludf.DUMMYFUNCTION("IMPORTRANGE(""https://docs.google.com/spreadsheets/d/1-uDff_7J0KD5mKrp0Vvzr7lt3OU09vwQwhkpOPPYv2Y/edit?usp=sharing"",""งบพรบ!BJ69"")"),0)</f>
        <v>0</v>
      </c>
      <c r="H69" s="176">
        <f ca="1">IFERROR(__xludf.DUMMYFUNCTION("IMPORTRANGE(""https://docs.google.com/spreadsheets/d/1-uDff_7J0KD5mKrp0Vvzr7lt3OU09vwQwhkpOPPYv2Y/edit?usp=sharing"",""งบพรบ!BL69"")"),0)</f>
        <v>0</v>
      </c>
      <c r="I69" s="176">
        <f ca="1">IFERROR(__xludf.DUMMYFUNCTION("IMPORTRANGE(""https://docs.google.com/spreadsheets/d/1-uDff_7J0KD5mKrp0Vvzr7lt3OU09vwQwhkpOPPYv2Y/edit?usp=sharing"",""งบพรบ!BM69"")"),0)</f>
        <v>0</v>
      </c>
      <c r="J69" s="176">
        <f t="shared" ca="1" si="26"/>
        <v>0</v>
      </c>
      <c r="K69" s="179">
        <f t="shared" ca="1" si="27"/>
        <v>0</v>
      </c>
      <c r="L69" s="176">
        <f ca="1">IFERROR(__xludf.DUMMYFUNCTION("IMPORTRANGE(""https://docs.google.com/spreadsheets/d/1-uDff_7J0KD5mKrp0Vvzr7lt3OU09vwQwhkpOPPYv2Y/edit?usp=sharing"",""งบพรบ!BN69"")"),0)</f>
        <v>0</v>
      </c>
      <c r="M69" s="87">
        <f t="shared" ca="1" si="28"/>
        <v>0</v>
      </c>
      <c r="N69" s="87">
        <f t="shared" ca="1" si="29"/>
        <v>0</v>
      </c>
      <c r="O69" s="86">
        <f ca="1">IFERROR(__xludf.DUMMYFUNCTION("IMPORTRANGE(""https://docs.google.com/spreadsheets/d/1-uDff_7J0KD5mKrp0Vvzr7lt3OU09vwQwhkpOPPYv2Y/edit?usp=sharing"",""งบพรบ!BO69"")"),0)</f>
        <v>0</v>
      </c>
      <c r="P69" s="86">
        <f t="shared" ca="1" si="30"/>
        <v>0</v>
      </c>
      <c r="Q69" s="87">
        <f t="shared" ca="1" si="31"/>
        <v>0</v>
      </c>
      <c r="R69" s="86">
        <f ca="1">IFERROR(__xludf.DUMMYFUNCTION("IMPORTRANGE(""https://docs.google.com/spreadsheets/d/10oOiF7loTyfsTkbd4MpaIm0HQ9SwB7IYHdIUvt-U1Uc/edit?usp=sharing"",""สระแก้ว!Q117"")"),209360)</f>
        <v>209360</v>
      </c>
      <c r="S69" s="86">
        <f ca="1">IFERROR(__xludf.DUMMYFUNCTION("IMPORTRANGE(""https://docs.google.com/spreadsheets/d/10oOiF7loTyfsTkbd4MpaIm0HQ9SwB7IYHdIUvt-U1Uc/edit?usp=sharing"",""สระแก้ว!R117"")"),0)</f>
        <v>0</v>
      </c>
      <c r="T69" s="86">
        <f ca="1">IFERROR(__xludf.DUMMYFUNCTION("IMPORTRANGE(""https://docs.google.com/spreadsheets/d/10oOiF7loTyfsTkbd4MpaIm0HQ9SwB7IYHdIUvt-U1Uc/edit?usp=sharing"",""สระแก้ว!S117"")"),0)</f>
        <v>0</v>
      </c>
      <c r="U69" s="87">
        <f t="shared" ca="1" si="33"/>
        <v>0</v>
      </c>
      <c r="V69" s="87">
        <f t="shared" ca="1" si="34"/>
        <v>0</v>
      </c>
      <c r="W69" s="93">
        <f ca="1">IFERROR(__xludf.DUMMYFUNCTION("IMPORTRANGE(""https://docs.google.com/spreadsheets/d/10oOiF7loTyfsTkbd4MpaIm0HQ9SwB7IYHdIUvt-U1Uc/edit?usp=sharing"",""สระแก้ว!I127"")"),20)</f>
        <v>20</v>
      </c>
      <c r="X69" s="93">
        <f ca="1">IFERROR(__xludf.DUMMYFUNCTION("IMPORTRANGE(""https://docs.google.com/spreadsheets/d/10oOiF7loTyfsTkbd4MpaIm0HQ9SwB7IYHdIUvt-U1Uc/edit?usp=sharing"",""สระแก้ว!J127"")"),0)</f>
        <v>0</v>
      </c>
      <c r="Y69" s="177">
        <f t="shared" ca="1" si="36"/>
        <v>0</v>
      </c>
      <c r="Z69" s="93">
        <f ca="1">IFERROR(__xludf.DUMMYFUNCTION("IMPORTRANGE(""https://docs.google.com/spreadsheets/d/10oOiF7loTyfsTkbd4MpaIm0HQ9SwB7IYHdIUvt-U1Uc/edit?usp=sharing"",""สระแก้ว!J128"")"),0)</f>
        <v>0</v>
      </c>
      <c r="AA69" s="93">
        <f ca="1">IFERROR(__xludf.DUMMYFUNCTION("IMPORTRANGE(""https://docs.google.com/spreadsheets/d/10oOiF7loTyfsTkbd4MpaIm0HQ9SwB7IYHdIUvt-U1Uc/edit?usp=sharing"",""สระแก้ว!I129"")"),20)</f>
        <v>20</v>
      </c>
      <c r="AB69" s="93">
        <f ca="1">IFERROR(__xludf.DUMMYFUNCTION("IMPORTRANGE(""https://docs.google.com/spreadsheets/d/10oOiF7loTyfsTkbd4MpaIm0HQ9SwB7IYHdIUvt-U1Uc/edit?usp=sharing"",""สระแก้ว!J129"")"),0)</f>
        <v>0</v>
      </c>
      <c r="AC69" s="177">
        <f t="shared" ca="1" si="38"/>
        <v>0</v>
      </c>
      <c r="AD69" s="177">
        <f ca="1">IFERROR(__xludf.DUMMYFUNCTION("IMPORTRANGE(""https://docs.google.com/spreadsheets/d/10oOiF7loTyfsTkbd4MpaIm0HQ9SwB7IYHdIUvt-U1Uc/edit?usp=sharing"",""สระแก้ว!J130"")"),0)</f>
        <v>0</v>
      </c>
      <c r="AE69" s="216">
        <v>0</v>
      </c>
      <c r="AF69" s="216">
        <v>0</v>
      </c>
      <c r="AG69" s="219">
        <v>0</v>
      </c>
    </row>
    <row r="70" spans="1:33" ht="19.5" x14ac:dyDescent="0.3">
      <c r="A70" s="172">
        <v>18</v>
      </c>
      <c r="B70" s="173" t="s">
        <v>96</v>
      </c>
      <c r="C70" s="174">
        <f t="shared" ca="1" si="24"/>
        <v>0</v>
      </c>
      <c r="D70" s="175">
        <f t="shared" ca="1" si="49"/>
        <v>0</v>
      </c>
      <c r="E70" s="176">
        <f ca="1">IFERROR(__xludf.DUMMYFUNCTION("IMPORTRANGE(""https://docs.google.com/spreadsheets/d/1-uDff_7J0KD5mKrp0Vvzr7lt3OU09vwQwhkpOPPYv2Y/edit?usp=sharing"",""งบพรบ!BH70"")"),0)</f>
        <v>0</v>
      </c>
      <c r="F70" s="176">
        <f ca="1">IFERROR(__xludf.DUMMYFUNCTION("IMPORTRANGE(""https://docs.google.com/spreadsheets/d/1-uDff_7J0KD5mKrp0Vvzr7lt3OU09vwQwhkpOPPYv2Y/edit?usp=sharing"",""งบพรบ!BI70"")"),0)</f>
        <v>0</v>
      </c>
      <c r="G70" s="176">
        <f ca="1">IFERROR(__xludf.DUMMYFUNCTION("IMPORTRANGE(""https://docs.google.com/spreadsheets/d/1-uDff_7J0KD5mKrp0Vvzr7lt3OU09vwQwhkpOPPYv2Y/edit?usp=sharing"",""งบพรบ!BJ70"")"),0)</f>
        <v>0</v>
      </c>
      <c r="H70" s="176">
        <f ca="1">IFERROR(__xludf.DUMMYFUNCTION("IMPORTRANGE(""https://docs.google.com/spreadsheets/d/1-uDff_7J0KD5mKrp0Vvzr7lt3OU09vwQwhkpOPPYv2Y/edit?usp=sharing"",""งบพรบ!BL70"")"),0)</f>
        <v>0</v>
      </c>
      <c r="I70" s="176">
        <f ca="1">IFERROR(__xludf.DUMMYFUNCTION("IMPORTRANGE(""https://docs.google.com/spreadsheets/d/1-uDff_7J0KD5mKrp0Vvzr7lt3OU09vwQwhkpOPPYv2Y/edit?usp=sharing"",""งบพรบ!BM70"")"),0)</f>
        <v>0</v>
      </c>
      <c r="J70" s="176">
        <f t="shared" ca="1" si="26"/>
        <v>0</v>
      </c>
      <c r="K70" s="179">
        <f t="shared" ca="1" si="27"/>
        <v>0</v>
      </c>
      <c r="L70" s="176">
        <f ca="1">IFERROR(__xludf.DUMMYFUNCTION("IMPORTRANGE(""https://docs.google.com/spreadsheets/d/1-uDff_7J0KD5mKrp0Vvzr7lt3OU09vwQwhkpOPPYv2Y/edit?usp=sharing"",""งบพรบ!BN70"")"),0)</f>
        <v>0</v>
      </c>
      <c r="M70" s="87">
        <f t="shared" ca="1" si="28"/>
        <v>0</v>
      </c>
      <c r="N70" s="87">
        <f t="shared" ca="1" si="29"/>
        <v>0</v>
      </c>
      <c r="O70" s="86">
        <f ca="1">IFERROR(__xludf.DUMMYFUNCTION("IMPORTRANGE(""https://docs.google.com/spreadsheets/d/1-uDff_7J0KD5mKrp0Vvzr7lt3OU09vwQwhkpOPPYv2Y/edit?usp=sharing"",""งบพรบ!BO70"")"),0)</f>
        <v>0</v>
      </c>
      <c r="P70" s="86">
        <f t="shared" ca="1" si="30"/>
        <v>0</v>
      </c>
      <c r="Q70" s="87">
        <f t="shared" ca="1" si="31"/>
        <v>0</v>
      </c>
      <c r="R70" s="86">
        <f ca="1">IFERROR(__xludf.DUMMYFUNCTION("IMPORTRANGE(""https://docs.google.com/spreadsheets/d/1xmPlrr1QbdSIKvl1dWUl9K4PjAfSL9oeMr_37QVzcxc/edit?usp=sharing"",""สระบุรี!Q117"")"),173660)</f>
        <v>173660</v>
      </c>
      <c r="S70" s="86">
        <f ca="1">IFERROR(__xludf.DUMMYFUNCTION("IMPORTRANGE(""https://docs.google.com/spreadsheets/d/1xmPlrr1QbdSIKvl1dWUl9K4PjAfSL9oeMr_37QVzcxc/edit?usp=sharing"",""สระบุรี!R117"")"),0)</f>
        <v>0</v>
      </c>
      <c r="T70" s="86">
        <f ca="1">IFERROR(__xludf.DUMMYFUNCTION("IMPORTRANGE(""https://docs.google.com/spreadsheets/d/1xmPlrr1QbdSIKvl1dWUl9K4PjAfSL9oeMr_37QVzcxc/edit?usp=sharing"",""สระบุรี!S117"")"),0)</f>
        <v>0</v>
      </c>
      <c r="U70" s="87">
        <f t="shared" ca="1" si="33"/>
        <v>0</v>
      </c>
      <c r="V70" s="87">
        <f t="shared" ca="1" si="34"/>
        <v>0</v>
      </c>
      <c r="W70" s="93">
        <f ca="1">IFERROR(__xludf.DUMMYFUNCTION("IMPORTRANGE(""https://docs.google.com/spreadsheets/d/1xmPlrr1QbdSIKvl1dWUl9K4PjAfSL9oeMr_37QVzcxc/edit?usp=sharing"",""สระบุรี!I127"")"),10)</f>
        <v>10</v>
      </c>
      <c r="X70" s="93">
        <f ca="1">IFERROR(__xludf.DUMMYFUNCTION("IMPORTRANGE(""https://docs.google.com/spreadsheets/d/1xmPlrr1QbdSIKvl1dWUl9K4PjAfSL9oeMr_37QVzcxc/edit?usp=sharing"",""สระบุรี!J127"")"),0)</f>
        <v>0</v>
      </c>
      <c r="Y70" s="177">
        <f t="shared" ca="1" si="36"/>
        <v>0</v>
      </c>
      <c r="Z70" s="93">
        <f ca="1">IFERROR(__xludf.DUMMYFUNCTION("IMPORTRANGE(""https://docs.google.com/spreadsheets/d/1xmPlrr1QbdSIKvl1dWUl9K4PjAfSL9oeMr_37QVzcxc/edit?usp=sharing"",""สระบุรี!J128"")"),0)</f>
        <v>0</v>
      </c>
      <c r="AA70" s="93">
        <f ca="1">IFERROR(__xludf.DUMMYFUNCTION("IMPORTRANGE(""https://docs.google.com/spreadsheets/d/1xmPlrr1QbdSIKvl1dWUl9K4PjAfSL9oeMr_37QVzcxc/edit?usp=sharing"",""สระบุรี!I129"")"),10)</f>
        <v>10</v>
      </c>
      <c r="AB70" s="93">
        <f ca="1">IFERROR(__xludf.DUMMYFUNCTION("IMPORTRANGE(""https://docs.google.com/spreadsheets/d/1xmPlrr1QbdSIKvl1dWUl9K4PjAfSL9oeMr_37QVzcxc/edit?usp=sharing"",""สระบุรี!J129"")"),0)</f>
        <v>0</v>
      </c>
      <c r="AC70" s="177">
        <f t="shared" ca="1" si="38"/>
        <v>0</v>
      </c>
      <c r="AD70" s="177">
        <f ca="1">IFERROR(__xludf.DUMMYFUNCTION("IMPORTRANGE(""https://docs.google.com/spreadsheets/d/1xmPlrr1QbdSIKvl1dWUl9K4PjAfSL9oeMr_37QVzcxc/edit?usp=sharing"",""สระบุรี!J130"")"),0)</f>
        <v>0</v>
      </c>
      <c r="AE70" s="216">
        <v>0</v>
      </c>
      <c r="AF70" s="216">
        <v>0</v>
      </c>
      <c r="AG70" s="219">
        <v>0</v>
      </c>
    </row>
    <row r="71" spans="1:33" ht="19.5" x14ac:dyDescent="0.3">
      <c r="A71" s="172">
        <v>19</v>
      </c>
      <c r="B71" s="173" t="s">
        <v>97</v>
      </c>
      <c r="C71" s="174">
        <f t="shared" ca="1" si="24"/>
        <v>0</v>
      </c>
      <c r="D71" s="175">
        <f t="shared" ca="1" si="49"/>
        <v>0</v>
      </c>
      <c r="E71" s="176">
        <f ca="1">IFERROR(__xludf.DUMMYFUNCTION("IMPORTRANGE(""https://docs.google.com/spreadsheets/d/1-uDff_7J0KD5mKrp0Vvzr7lt3OU09vwQwhkpOPPYv2Y/edit?usp=sharing"",""งบพรบ!BH71"")"),0)</f>
        <v>0</v>
      </c>
      <c r="F71" s="176">
        <f ca="1">IFERROR(__xludf.DUMMYFUNCTION("IMPORTRANGE(""https://docs.google.com/spreadsheets/d/1-uDff_7J0KD5mKrp0Vvzr7lt3OU09vwQwhkpOPPYv2Y/edit?usp=sharing"",""งบพรบ!BI71"")"),0)</f>
        <v>0</v>
      </c>
      <c r="G71" s="176">
        <f ca="1">IFERROR(__xludf.DUMMYFUNCTION("IMPORTRANGE(""https://docs.google.com/spreadsheets/d/1-uDff_7J0KD5mKrp0Vvzr7lt3OU09vwQwhkpOPPYv2Y/edit?usp=sharing"",""งบพรบ!BJ71"")"),0)</f>
        <v>0</v>
      </c>
      <c r="H71" s="176">
        <f ca="1">IFERROR(__xludf.DUMMYFUNCTION("IMPORTRANGE(""https://docs.google.com/spreadsheets/d/1-uDff_7J0KD5mKrp0Vvzr7lt3OU09vwQwhkpOPPYv2Y/edit?usp=sharing"",""งบพรบ!BL71"")"),0)</f>
        <v>0</v>
      </c>
      <c r="I71" s="176">
        <f ca="1">IFERROR(__xludf.DUMMYFUNCTION("IMPORTRANGE(""https://docs.google.com/spreadsheets/d/1-uDff_7J0KD5mKrp0Vvzr7lt3OU09vwQwhkpOPPYv2Y/edit?usp=sharing"",""งบพรบ!BM71"")"),0)</f>
        <v>0</v>
      </c>
      <c r="J71" s="176">
        <f t="shared" ca="1" si="26"/>
        <v>0</v>
      </c>
      <c r="K71" s="179">
        <f t="shared" ca="1" si="27"/>
        <v>0</v>
      </c>
      <c r="L71" s="176">
        <f ca="1">IFERROR(__xludf.DUMMYFUNCTION("IMPORTRANGE(""https://docs.google.com/spreadsheets/d/1-uDff_7J0KD5mKrp0Vvzr7lt3OU09vwQwhkpOPPYv2Y/edit?usp=sharing"",""งบพรบ!BN71"")"),0)</f>
        <v>0</v>
      </c>
      <c r="M71" s="87">
        <f t="shared" ca="1" si="28"/>
        <v>0</v>
      </c>
      <c r="N71" s="87">
        <f t="shared" ca="1" si="29"/>
        <v>0</v>
      </c>
      <c r="O71" s="86">
        <f ca="1">IFERROR(__xludf.DUMMYFUNCTION("IMPORTRANGE(""https://docs.google.com/spreadsheets/d/1-uDff_7J0KD5mKrp0Vvzr7lt3OU09vwQwhkpOPPYv2Y/edit?usp=sharing"",""งบพรบ!BO71"")"),0)</f>
        <v>0</v>
      </c>
      <c r="P71" s="86">
        <f t="shared" ca="1" si="30"/>
        <v>0</v>
      </c>
      <c r="Q71" s="87">
        <f t="shared" ca="1" si="31"/>
        <v>0</v>
      </c>
      <c r="R71" s="86">
        <f ca="1">IFERROR(__xludf.DUMMYFUNCTION("IMPORTRANGE(""https://docs.google.com/spreadsheets/d/1j51vR6CYVGhABJpv6tkstgok82RLpXieLzW1yOY5rHw/edit?usp=sharing"",""สิงห์บุรี!Q117"")"),173660)</f>
        <v>173660</v>
      </c>
      <c r="S71" s="86">
        <f ca="1">IFERROR(__xludf.DUMMYFUNCTION("IMPORTRANGE(""https://docs.google.com/spreadsheets/d/1j51vR6CYVGhABJpv6tkstgok82RLpXieLzW1yOY5rHw/edit?usp=sharing"",""สิงห์บุรี!R117"")"),0)</f>
        <v>0</v>
      </c>
      <c r="T71" s="86">
        <f ca="1">IFERROR(__xludf.DUMMYFUNCTION("IMPORTRANGE(""https://docs.google.com/spreadsheets/d/1j51vR6CYVGhABJpv6tkstgok82RLpXieLzW1yOY5rHw/edit?usp=sharing"",""สิงห์บุรี!S117"")"),0)</f>
        <v>0</v>
      </c>
      <c r="U71" s="87">
        <f t="shared" ca="1" si="33"/>
        <v>0</v>
      </c>
      <c r="V71" s="87">
        <f t="shared" ca="1" si="34"/>
        <v>0</v>
      </c>
      <c r="W71" s="93">
        <f ca="1">IFERROR(__xludf.DUMMYFUNCTION("IMPORTRANGE(""https://docs.google.com/spreadsheets/d/1j51vR6CYVGhABJpv6tkstgok82RLpXieLzW1yOY5rHw/edit?usp=sharing"",""สิงห์บุรี!I127"")"),10)</f>
        <v>10</v>
      </c>
      <c r="X71" s="93">
        <f ca="1">IFERROR(__xludf.DUMMYFUNCTION("IMPORTRANGE(""https://docs.google.com/spreadsheets/d/1j51vR6CYVGhABJpv6tkstgok82RLpXieLzW1yOY5rHw/edit?usp=sharing"",""สิงห์บุรี!J127"")"),0)</f>
        <v>0</v>
      </c>
      <c r="Y71" s="177">
        <f t="shared" ca="1" si="36"/>
        <v>0</v>
      </c>
      <c r="Z71" s="93">
        <f ca="1">IFERROR(__xludf.DUMMYFUNCTION("IMPORTRANGE(""https://docs.google.com/spreadsheets/d/1j51vR6CYVGhABJpv6tkstgok82RLpXieLzW1yOY5rHw/edit?usp=sharing"",""สิงห์บุรี!J128"")"),0)</f>
        <v>0</v>
      </c>
      <c r="AA71" s="93">
        <f ca="1">IFERROR(__xludf.DUMMYFUNCTION("IMPORTRANGE(""https://docs.google.com/spreadsheets/d/1j51vR6CYVGhABJpv6tkstgok82RLpXieLzW1yOY5rHw/edit?usp=sharing"",""สิงห์บุรี!I129"")"),10)</f>
        <v>10</v>
      </c>
      <c r="AB71" s="93">
        <f ca="1">IFERROR(__xludf.DUMMYFUNCTION("IMPORTRANGE(""https://docs.google.com/spreadsheets/d/1j51vR6CYVGhABJpv6tkstgok82RLpXieLzW1yOY5rHw/edit?usp=sharing"",""สิงห์บุรี!J129"")"),0)</f>
        <v>0</v>
      </c>
      <c r="AC71" s="177">
        <f t="shared" ca="1" si="38"/>
        <v>0</v>
      </c>
      <c r="AD71" s="177">
        <f ca="1">IFERROR(__xludf.DUMMYFUNCTION("IMPORTRANGE(""https://docs.google.com/spreadsheets/d/1j51vR6CYVGhABJpv6tkstgok82RLpXieLzW1yOY5rHw/edit?usp=sharing"",""สิงห์บุรี!J130"")"),0)</f>
        <v>0</v>
      </c>
      <c r="AE71" s="216">
        <v>0</v>
      </c>
      <c r="AF71" s="216">
        <v>0</v>
      </c>
      <c r="AG71" s="219">
        <v>0</v>
      </c>
    </row>
    <row r="72" spans="1:33" ht="19.5" x14ac:dyDescent="0.3">
      <c r="A72" s="172">
        <v>20</v>
      </c>
      <c r="B72" s="173" t="s">
        <v>98</v>
      </c>
      <c r="C72" s="174">
        <f t="shared" ca="1" si="24"/>
        <v>0</v>
      </c>
      <c r="D72" s="175">
        <f t="shared" ca="1" si="49"/>
        <v>0</v>
      </c>
      <c r="E72" s="176">
        <f ca="1">IFERROR(__xludf.DUMMYFUNCTION("IMPORTRANGE(""https://docs.google.com/spreadsheets/d/1-uDff_7J0KD5mKrp0Vvzr7lt3OU09vwQwhkpOPPYv2Y/edit?usp=sharing"",""งบพรบ!BH72"")"),0)</f>
        <v>0</v>
      </c>
      <c r="F72" s="176">
        <f ca="1">IFERROR(__xludf.DUMMYFUNCTION("IMPORTRANGE(""https://docs.google.com/spreadsheets/d/1-uDff_7J0KD5mKrp0Vvzr7lt3OU09vwQwhkpOPPYv2Y/edit?usp=sharing"",""งบพรบ!BI72"")"),0)</f>
        <v>0</v>
      </c>
      <c r="G72" s="176">
        <f ca="1">IFERROR(__xludf.DUMMYFUNCTION("IMPORTRANGE(""https://docs.google.com/spreadsheets/d/1-uDff_7J0KD5mKrp0Vvzr7lt3OU09vwQwhkpOPPYv2Y/edit?usp=sharing"",""งบพรบ!BJ72"")"),0)</f>
        <v>0</v>
      </c>
      <c r="H72" s="176">
        <f ca="1">IFERROR(__xludf.DUMMYFUNCTION("IMPORTRANGE(""https://docs.google.com/spreadsheets/d/1-uDff_7J0KD5mKrp0Vvzr7lt3OU09vwQwhkpOPPYv2Y/edit?usp=sharing"",""งบพรบ!BL72"")"),0)</f>
        <v>0</v>
      </c>
      <c r="I72" s="176">
        <f ca="1">IFERROR(__xludf.DUMMYFUNCTION("IMPORTRANGE(""https://docs.google.com/spreadsheets/d/1-uDff_7J0KD5mKrp0Vvzr7lt3OU09vwQwhkpOPPYv2Y/edit?usp=sharing"",""งบพรบ!BM72"")"),0)</f>
        <v>0</v>
      </c>
      <c r="J72" s="176">
        <f t="shared" ca="1" si="26"/>
        <v>0</v>
      </c>
      <c r="K72" s="179">
        <f t="shared" ca="1" si="27"/>
        <v>0</v>
      </c>
      <c r="L72" s="176">
        <f ca="1">IFERROR(__xludf.DUMMYFUNCTION("IMPORTRANGE(""https://docs.google.com/spreadsheets/d/1-uDff_7J0KD5mKrp0Vvzr7lt3OU09vwQwhkpOPPYv2Y/edit?usp=sharing"",""งบพรบ!BN72"")"),0)</f>
        <v>0</v>
      </c>
      <c r="M72" s="87">
        <f t="shared" ca="1" si="28"/>
        <v>0</v>
      </c>
      <c r="N72" s="87">
        <f t="shared" ca="1" si="29"/>
        <v>0</v>
      </c>
      <c r="O72" s="86">
        <f ca="1">IFERROR(__xludf.DUMMYFUNCTION("IMPORTRANGE(""https://docs.google.com/spreadsheets/d/1-uDff_7J0KD5mKrp0Vvzr7lt3OU09vwQwhkpOPPYv2Y/edit?usp=sharing"",""งบพรบ!BO72"")"),0)</f>
        <v>0</v>
      </c>
      <c r="P72" s="86">
        <f t="shared" ca="1" si="30"/>
        <v>0</v>
      </c>
      <c r="Q72" s="87">
        <f t="shared" ca="1" si="31"/>
        <v>0</v>
      </c>
      <c r="R72" s="86">
        <f ca="1">IFERROR(__xludf.DUMMYFUNCTION("IMPORTRANGE(""https://docs.google.com/spreadsheets/d/1H1EalTWKUSzO4Z1-1CwzoDUaVffgrThEBe2sl74kKG0/edit?usp=sharing"",""สุพรรณบุรี!Q117"")"),209360)</f>
        <v>209360</v>
      </c>
      <c r="S72" s="86">
        <f ca="1">IFERROR(__xludf.DUMMYFUNCTION("IMPORTRANGE(""https://docs.google.com/spreadsheets/d/1H1EalTWKUSzO4Z1-1CwzoDUaVffgrThEBe2sl74kKG0/edit?usp=sharing"",""สุพรรณบุรี!R117"")"),0)</f>
        <v>0</v>
      </c>
      <c r="T72" s="86">
        <f ca="1">IFERROR(__xludf.DUMMYFUNCTION("IMPORTRANGE(""https://docs.google.com/spreadsheets/d/1H1EalTWKUSzO4Z1-1CwzoDUaVffgrThEBe2sl74kKG0/edit?usp=sharing"",""สุพรรณบุรี!S117"")"),15500)</f>
        <v>15500</v>
      </c>
      <c r="U72" s="87">
        <f t="shared" ca="1" si="33"/>
        <v>7.403515475735575</v>
      </c>
      <c r="V72" s="87">
        <f t="shared" ca="1" si="34"/>
        <v>0</v>
      </c>
      <c r="W72" s="93">
        <f ca="1">IFERROR(__xludf.DUMMYFUNCTION("IMPORTRANGE(""https://docs.google.com/spreadsheets/d/1H1EalTWKUSzO4Z1-1CwzoDUaVffgrThEBe2sl74kKG0/edit?usp=sharing"",""สุพรรณบุรี!I127"")"),20)</f>
        <v>20</v>
      </c>
      <c r="X72" s="93">
        <f ca="1">IFERROR(__xludf.DUMMYFUNCTION("IMPORTRANGE(""https://docs.google.com/spreadsheets/d/1H1EalTWKUSzO4Z1-1CwzoDUaVffgrThEBe2sl74kKG0/edit?usp=sharing"",""สุพรรณบุรี!J127"")"),0)</f>
        <v>0</v>
      </c>
      <c r="Y72" s="177">
        <f t="shared" ca="1" si="36"/>
        <v>0</v>
      </c>
      <c r="Z72" s="93">
        <f ca="1">IFERROR(__xludf.DUMMYFUNCTION("IMPORTRANGE(""https://docs.google.com/spreadsheets/d/1H1EalTWKUSzO4Z1-1CwzoDUaVffgrThEBe2sl74kKG0/edit?usp=sharing"",""สุพรรณบุรี!J128"")"),0)</f>
        <v>0</v>
      </c>
      <c r="AA72" s="93">
        <f ca="1">IFERROR(__xludf.DUMMYFUNCTION("IMPORTRANGE(""https://docs.google.com/spreadsheets/d/1H1EalTWKUSzO4Z1-1CwzoDUaVffgrThEBe2sl74kKG0/edit?usp=sharing"",""สุพรรณบุรี!I129"")"),20)</f>
        <v>20</v>
      </c>
      <c r="AB72" s="93">
        <f ca="1">IFERROR(__xludf.DUMMYFUNCTION("IMPORTRANGE(""https://docs.google.com/spreadsheets/d/1H1EalTWKUSzO4Z1-1CwzoDUaVffgrThEBe2sl74kKG0/edit?usp=sharing"",""สุพรรณบุรี!J129"")"),0)</f>
        <v>0</v>
      </c>
      <c r="AC72" s="177">
        <f t="shared" ca="1" si="38"/>
        <v>0</v>
      </c>
      <c r="AD72" s="177">
        <f ca="1">IFERROR(__xludf.DUMMYFUNCTION("IMPORTRANGE(""https://docs.google.com/spreadsheets/d/1H1EalTWKUSzO4Z1-1CwzoDUaVffgrThEBe2sl74kKG0/edit?usp=sharing"",""สุพรรณบุรี!J130"")"),0)</f>
        <v>0</v>
      </c>
      <c r="AE72" s="216">
        <v>0</v>
      </c>
      <c r="AF72" s="216">
        <v>0</v>
      </c>
      <c r="AG72" s="219">
        <v>0</v>
      </c>
    </row>
    <row r="73" spans="1:33" ht="19.5" x14ac:dyDescent="0.3">
      <c r="A73" s="180">
        <v>21</v>
      </c>
      <c r="B73" s="181" t="s">
        <v>99</v>
      </c>
      <c r="C73" s="182">
        <f t="shared" ca="1" si="24"/>
        <v>0</v>
      </c>
      <c r="D73" s="183">
        <f t="shared" ca="1" si="49"/>
        <v>0</v>
      </c>
      <c r="E73" s="184">
        <f ca="1">IFERROR(__xludf.DUMMYFUNCTION("IMPORTRANGE(""https://docs.google.com/spreadsheets/d/1-uDff_7J0KD5mKrp0Vvzr7lt3OU09vwQwhkpOPPYv2Y/edit?usp=sharing"",""งบพรบ!BH73"")"),0)</f>
        <v>0</v>
      </c>
      <c r="F73" s="184">
        <f ca="1">IFERROR(__xludf.DUMMYFUNCTION("IMPORTRANGE(""https://docs.google.com/spreadsheets/d/1-uDff_7J0KD5mKrp0Vvzr7lt3OU09vwQwhkpOPPYv2Y/edit?usp=sharing"",""งบพรบ!BI73"")"),0)</f>
        <v>0</v>
      </c>
      <c r="G73" s="184">
        <f ca="1">IFERROR(__xludf.DUMMYFUNCTION("IMPORTRANGE(""https://docs.google.com/spreadsheets/d/1-uDff_7J0KD5mKrp0Vvzr7lt3OU09vwQwhkpOPPYv2Y/edit?usp=sharing"",""งบพรบ!BJ73"")"),0)</f>
        <v>0</v>
      </c>
      <c r="H73" s="184">
        <f ca="1">IFERROR(__xludf.DUMMYFUNCTION("IMPORTRANGE(""https://docs.google.com/spreadsheets/d/1-uDff_7J0KD5mKrp0Vvzr7lt3OU09vwQwhkpOPPYv2Y/edit?usp=sharing"",""งบพรบ!BL73"")"),0)</f>
        <v>0</v>
      </c>
      <c r="I73" s="184">
        <f ca="1">IFERROR(__xludf.DUMMYFUNCTION("IMPORTRANGE(""https://docs.google.com/spreadsheets/d/1-uDff_7J0KD5mKrp0Vvzr7lt3OU09vwQwhkpOPPYv2Y/edit?usp=sharing"",""งบพรบ!BM73"")"),0)</f>
        <v>0</v>
      </c>
      <c r="J73" s="184">
        <f t="shared" ca="1" si="26"/>
        <v>0</v>
      </c>
      <c r="K73" s="185">
        <f t="shared" ca="1" si="27"/>
        <v>0</v>
      </c>
      <c r="L73" s="184">
        <f ca="1">IFERROR(__xludf.DUMMYFUNCTION("IMPORTRANGE(""https://docs.google.com/spreadsheets/d/1-uDff_7J0KD5mKrp0Vvzr7lt3OU09vwQwhkpOPPYv2Y/edit?usp=sharing"",""งบพรบ!BN73"")"),0)</f>
        <v>0</v>
      </c>
      <c r="M73" s="109">
        <f t="shared" ca="1" si="28"/>
        <v>0</v>
      </c>
      <c r="N73" s="109">
        <f t="shared" ca="1" si="29"/>
        <v>0</v>
      </c>
      <c r="O73" s="108">
        <f ca="1">IFERROR(__xludf.DUMMYFUNCTION("IMPORTRANGE(""https://docs.google.com/spreadsheets/d/1-uDff_7J0KD5mKrp0Vvzr7lt3OU09vwQwhkpOPPYv2Y/edit?usp=sharing"",""งบพรบ!BO73"")"),0)</f>
        <v>0</v>
      </c>
      <c r="P73" s="108">
        <f t="shared" ca="1" si="30"/>
        <v>0</v>
      </c>
      <c r="Q73" s="109">
        <f t="shared" ca="1" si="31"/>
        <v>0</v>
      </c>
      <c r="R73" s="108">
        <f ca="1">IFERROR(__xludf.DUMMYFUNCTION("IMPORTRANGE(""https://docs.google.com/spreadsheets/d/1BmIruG_sIrJLYao_Pdr7zVArWsfoBt2692TMi6x_854/edit?usp=sharing"",""อ่างทอง!Q117"")"),0)</f>
        <v>0</v>
      </c>
      <c r="S73" s="108">
        <f ca="1">IFERROR(__xludf.DUMMYFUNCTION("IMPORTRANGE(""https://docs.google.com/spreadsheets/d/1BmIruG_sIrJLYao_Pdr7zVArWsfoBt2692TMi6x_854/edit?usp=sharing"",""อ่างทอง!R117"")"),0)</f>
        <v>0</v>
      </c>
      <c r="T73" s="108">
        <f ca="1">IFERROR(__xludf.DUMMYFUNCTION("IMPORTRANGE(""https://docs.google.com/spreadsheets/d/1BmIruG_sIrJLYao_Pdr7zVArWsfoBt2692TMi6x_854/edit?usp=sharing"",""อ่างทอง!S117"")"),0)</f>
        <v>0</v>
      </c>
      <c r="U73" s="109">
        <f t="shared" ca="1" si="33"/>
        <v>0</v>
      </c>
      <c r="V73" s="109">
        <f t="shared" ca="1" si="34"/>
        <v>0</v>
      </c>
      <c r="W73" s="104">
        <f ca="1">IFERROR(__xludf.DUMMYFUNCTION("IMPORTRANGE(""https://docs.google.com/spreadsheets/d/1BmIruG_sIrJLYao_Pdr7zVArWsfoBt2692TMi6x_854/edit?usp=sharing"",""อ่างทอง!I127"")"),0)</f>
        <v>0</v>
      </c>
      <c r="X73" s="104">
        <f ca="1">IFERROR(__xludf.DUMMYFUNCTION("IMPORTRANGE(""https://docs.google.com/spreadsheets/d/1BmIruG_sIrJLYao_Pdr7zVArWsfoBt2692TMi6x_854/edit?usp=sharing"",""อ่างทอง!J127"")"),0)</f>
        <v>0</v>
      </c>
      <c r="Y73" s="186">
        <f t="shared" ca="1" si="36"/>
        <v>0</v>
      </c>
      <c r="Z73" s="104">
        <f ca="1">IFERROR(__xludf.DUMMYFUNCTION("IMPORTRANGE(""https://docs.google.com/spreadsheets/d/1BmIruG_sIrJLYao_Pdr7zVArWsfoBt2692TMi6x_854/edit?usp=sharing"",""อ่างทอง!J128"")"),0)</f>
        <v>0</v>
      </c>
      <c r="AA73" s="104">
        <f ca="1">IFERROR(__xludf.DUMMYFUNCTION("IMPORTRANGE(""https://docs.google.com/spreadsheets/d/1BmIruG_sIrJLYao_Pdr7zVArWsfoBt2692TMi6x_854/edit?usp=sharing"",""อ่างทอง!I129"")"),0)</f>
        <v>0</v>
      </c>
      <c r="AB73" s="104">
        <f ca="1">IFERROR(__xludf.DUMMYFUNCTION("IMPORTRANGE(""https://docs.google.com/spreadsheets/d/1BmIruG_sIrJLYao_Pdr7zVArWsfoBt2692TMi6x_854/edit?usp=sharing"",""อ่างทอง!J129"")"),0)</f>
        <v>0</v>
      </c>
      <c r="AC73" s="186">
        <f t="shared" ca="1" si="38"/>
        <v>0</v>
      </c>
      <c r="AD73" s="186">
        <f ca="1">IFERROR(__xludf.DUMMYFUNCTION("IMPORTRANGE(""https://docs.google.com/spreadsheets/d/1BmIruG_sIrJLYao_Pdr7zVArWsfoBt2692TMi6x_854/edit?usp=sharing"",""อ่างทอง!J130"")"),0)</f>
        <v>0</v>
      </c>
      <c r="AE73" s="217">
        <v>0</v>
      </c>
      <c r="AF73" s="217">
        <v>0</v>
      </c>
      <c r="AG73" s="222">
        <v>0</v>
      </c>
    </row>
    <row r="74" spans="1:33" ht="19.5" x14ac:dyDescent="0.3">
      <c r="A74" s="636" t="s">
        <v>100</v>
      </c>
      <c r="B74" s="633"/>
      <c r="C74" s="161">
        <f t="shared" ca="1" si="24"/>
        <v>0</v>
      </c>
      <c r="D74" s="161">
        <f t="shared" ref="D74:I74" ca="1" si="50">SUM(D75:D88)</f>
        <v>0</v>
      </c>
      <c r="E74" s="161">
        <f t="shared" ca="1" si="50"/>
        <v>0</v>
      </c>
      <c r="F74" s="161">
        <f t="shared" ca="1" si="50"/>
        <v>0</v>
      </c>
      <c r="G74" s="161">
        <f t="shared" ca="1" si="50"/>
        <v>0</v>
      </c>
      <c r="H74" s="161">
        <f t="shared" ca="1" si="50"/>
        <v>0</v>
      </c>
      <c r="I74" s="161">
        <f t="shared" ca="1" si="50"/>
        <v>0</v>
      </c>
      <c r="J74" s="161">
        <f t="shared" ca="1" si="26"/>
        <v>0</v>
      </c>
      <c r="K74" s="162">
        <f t="shared" ca="1" si="27"/>
        <v>0</v>
      </c>
      <c r="L74" s="161">
        <f ca="1">SUM(L75:L88)</f>
        <v>0</v>
      </c>
      <c r="M74" s="40">
        <f t="shared" ca="1" si="28"/>
        <v>0</v>
      </c>
      <c r="N74" s="40">
        <f t="shared" ca="1" si="29"/>
        <v>0</v>
      </c>
      <c r="O74" s="39">
        <f ca="1">SUM(O75:O88)</f>
        <v>0</v>
      </c>
      <c r="P74" s="39">
        <f t="shared" ca="1" si="30"/>
        <v>0</v>
      </c>
      <c r="Q74" s="40">
        <f t="shared" ca="1" si="31"/>
        <v>0</v>
      </c>
      <c r="R74" s="39">
        <f t="shared" ref="R74:T74" ca="1" si="51">SUM(R75:R88)</f>
        <v>6161560</v>
      </c>
      <c r="S74" s="39">
        <f t="shared" ca="1" si="51"/>
        <v>0</v>
      </c>
      <c r="T74" s="39">
        <f t="shared" ca="1" si="51"/>
        <v>36240</v>
      </c>
      <c r="U74" s="40">
        <f t="shared" ca="1" si="33"/>
        <v>0.58816273800790708</v>
      </c>
      <c r="V74" s="40">
        <f t="shared" ca="1" si="34"/>
        <v>0</v>
      </c>
      <c r="W74" s="71">
        <f t="shared" ref="W74:X74" ca="1" si="52">SUM(W75:W88)</f>
        <v>255</v>
      </c>
      <c r="X74" s="71">
        <f t="shared" ca="1" si="52"/>
        <v>0</v>
      </c>
      <c r="Y74" s="161">
        <f t="shared" ca="1" si="36"/>
        <v>0</v>
      </c>
      <c r="Z74" s="71">
        <f t="shared" ref="Z74:AB74" ca="1" si="53">SUM(Z75:Z88)</f>
        <v>0</v>
      </c>
      <c r="AA74" s="71">
        <f t="shared" ca="1" si="53"/>
        <v>225</v>
      </c>
      <c r="AB74" s="71">
        <f t="shared" ca="1" si="53"/>
        <v>0</v>
      </c>
      <c r="AC74" s="161">
        <f t="shared" ca="1" si="38"/>
        <v>0</v>
      </c>
      <c r="AD74" s="161">
        <f ca="1">SUM(AD75:AD88)</f>
        <v>0</v>
      </c>
      <c r="AE74" s="218">
        <v>0</v>
      </c>
      <c r="AF74" s="218">
        <v>0</v>
      </c>
      <c r="AG74" s="214">
        <v>0</v>
      </c>
    </row>
    <row r="75" spans="1:33" ht="19.5" x14ac:dyDescent="0.3">
      <c r="A75" s="172">
        <v>1</v>
      </c>
      <c r="B75" s="173" t="s">
        <v>101</v>
      </c>
      <c r="C75" s="174">
        <f t="shared" ca="1" si="24"/>
        <v>0</v>
      </c>
      <c r="D75" s="175">
        <f t="shared" ref="D75:D88" ca="1" si="54">+E75+F75</f>
        <v>0</v>
      </c>
      <c r="E75" s="176">
        <f ca="1">IFERROR(__xludf.DUMMYFUNCTION("IMPORTRANGE(""https://docs.google.com/spreadsheets/d/1-uDff_7J0KD5mKrp0Vvzr7lt3OU09vwQwhkpOPPYv2Y/edit?usp=sharing"",""งบพรบ!BH75"")"),0)</f>
        <v>0</v>
      </c>
      <c r="F75" s="176">
        <f ca="1">IFERROR(__xludf.DUMMYFUNCTION("IMPORTRANGE(""https://docs.google.com/spreadsheets/d/1-uDff_7J0KD5mKrp0Vvzr7lt3OU09vwQwhkpOPPYv2Y/edit?usp=sharing"",""งบพรบ!BI75"")"),0)</f>
        <v>0</v>
      </c>
      <c r="G75" s="176">
        <f ca="1">IFERROR(__xludf.DUMMYFUNCTION("IMPORTRANGE(""https://docs.google.com/spreadsheets/d/1-uDff_7J0KD5mKrp0Vvzr7lt3OU09vwQwhkpOPPYv2Y/edit?usp=sharing"",""งบพรบ!BJ75"")"),0)</f>
        <v>0</v>
      </c>
      <c r="H75" s="176">
        <f ca="1">IFERROR(__xludf.DUMMYFUNCTION("IMPORTRANGE(""https://docs.google.com/spreadsheets/d/1-uDff_7J0KD5mKrp0Vvzr7lt3OU09vwQwhkpOPPYv2Y/edit?usp=sharing"",""งบพรบ!BL75"")"),0)</f>
        <v>0</v>
      </c>
      <c r="I75" s="176">
        <f ca="1">IFERROR(__xludf.DUMMYFUNCTION("IMPORTRANGE(""https://docs.google.com/spreadsheets/d/1-uDff_7J0KD5mKrp0Vvzr7lt3OU09vwQwhkpOPPYv2Y/edit?usp=sharing"",""งบพรบ!BM75"")"),0)</f>
        <v>0</v>
      </c>
      <c r="J75" s="176">
        <f t="shared" ca="1" si="26"/>
        <v>0</v>
      </c>
      <c r="K75" s="179">
        <f t="shared" ca="1" si="27"/>
        <v>0</v>
      </c>
      <c r="L75" s="176">
        <f ca="1">IFERROR(__xludf.DUMMYFUNCTION("IMPORTRANGE(""https://docs.google.com/spreadsheets/d/1-uDff_7J0KD5mKrp0Vvzr7lt3OU09vwQwhkpOPPYv2Y/edit?usp=sharing"",""งบพรบ!BN75"")"),0)</f>
        <v>0</v>
      </c>
      <c r="M75" s="87">
        <f t="shared" ca="1" si="28"/>
        <v>0</v>
      </c>
      <c r="N75" s="87">
        <f t="shared" ca="1" si="29"/>
        <v>0</v>
      </c>
      <c r="O75" s="86">
        <f ca="1">IFERROR(__xludf.DUMMYFUNCTION("IMPORTRANGE(""https://docs.google.com/spreadsheets/d/1-uDff_7J0KD5mKrp0Vvzr7lt3OU09vwQwhkpOPPYv2Y/edit?usp=sharing"",""งบพรบ!BO75"")"),0)</f>
        <v>0</v>
      </c>
      <c r="P75" s="86">
        <f t="shared" ca="1" si="30"/>
        <v>0</v>
      </c>
      <c r="Q75" s="87">
        <f t="shared" ca="1" si="31"/>
        <v>0</v>
      </c>
      <c r="R75" s="86">
        <f ca="1">IFERROR(__xludf.DUMMYFUNCTION("IMPORTRANGE(""https://docs.google.com/spreadsheets/d/1kKUcYdkIfrgTSj8iHHHB2MD2FAtwyyocFgqGQn6ADyI/edit?usp=sharing"",""กระบี่!Q117"")"),191460)</f>
        <v>191460</v>
      </c>
      <c r="S75" s="86">
        <f ca="1">IFERROR(__xludf.DUMMYFUNCTION("IMPORTRANGE(""https://docs.google.com/spreadsheets/d/1kKUcYdkIfrgTSj8iHHHB2MD2FAtwyyocFgqGQn6ADyI/edit?usp=sharing"",""กระบี่!R117"")"),0)</f>
        <v>0</v>
      </c>
      <c r="T75" s="86">
        <f ca="1">IFERROR(__xludf.DUMMYFUNCTION("IMPORTRANGE(""https://docs.google.com/spreadsheets/d/1kKUcYdkIfrgTSj8iHHHB2MD2FAtwyyocFgqGQn6ADyI/edit?usp=sharing"",""กระบี่!S117"")"),0)</f>
        <v>0</v>
      </c>
      <c r="U75" s="87">
        <f t="shared" ca="1" si="33"/>
        <v>0</v>
      </c>
      <c r="V75" s="87">
        <f t="shared" ca="1" si="34"/>
        <v>0</v>
      </c>
      <c r="W75" s="81">
        <f ca="1">IFERROR(__xludf.DUMMYFUNCTION("IMPORTRANGE(""https://docs.google.com/spreadsheets/d/1kKUcYdkIfrgTSj8iHHHB2MD2FAtwyyocFgqGQn6ADyI/edit?usp=sharing"",""กระบี่!I127"")"),15)</f>
        <v>15</v>
      </c>
      <c r="X75" s="81">
        <f ca="1">IFERROR(__xludf.DUMMYFUNCTION("IMPORTRANGE(""https://docs.google.com/spreadsheets/d/1kKUcYdkIfrgTSj8iHHHB2MD2FAtwyyocFgqGQn6ADyI/edit?usp=sharing"",""กระบี่!J127"")"),0)</f>
        <v>0</v>
      </c>
      <c r="Y75" s="177">
        <f t="shared" ca="1" si="36"/>
        <v>0</v>
      </c>
      <c r="Z75" s="81">
        <f ca="1">IFERROR(__xludf.DUMMYFUNCTION("IMPORTRANGE(""https://docs.google.com/spreadsheets/d/1kKUcYdkIfrgTSj8iHHHB2MD2FAtwyyocFgqGQn6ADyI/edit?usp=sharing"",""กระบี่!J128"")"),0)</f>
        <v>0</v>
      </c>
      <c r="AA75" s="81">
        <f ca="1">IFERROR(__xludf.DUMMYFUNCTION("IMPORTRANGE(""https://docs.google.com/spreadsheets/d/1kKUcYdkIfrgTSj8iHHHB2MD2FAtwyyocFgqGQn6ADyI/edit?usp=sharing"",""กระบี่!I129"")"),15)</f>
        <v>15</v>
      </c>
      <c r="AB75" s="81">
        <f ca="1">IFERROR(__xludf.DUMMYFUNCTION("IMPORTRANGE(""https://docs.google.com/spreadsheets/d/1kKUcYdkIfrgTSj8iHHHB2MD2FAtwyyocFgqGQn6ADyI/edit?usp=sharing"",""กระบี่!J129"")"),0)</f>
        <v>0</v>
      </c>
      <c r="AC75" s="177">
        <f t="shared" ca="1" si="38"/>
        <v>0</v>
      </c>
      <c r="AD75" s="177">
        <f ca="1">IFERROR(__xludf.DUMMYFUNCTION("IMPORTRANGE(""https://docs.google.com/spreadsheets/d/1kKUcYdkIfrgTSj8iHHHB2MD2FAtwyyocFgqGQn6ADyI/edit?usp=sharing"",""กระบี่!J130"")"),0)</f>
        <v>0</v>
      </c>
      <c r="AE75" s="215">
        <v>0</v>
      </c>
      <c r="AF75" s="215">
        <v>0</v>
      </c>
      <c r="AG75" s="219">
        <v>0</v>
      </c>
    </row>
    <row r="76" spans="1:33" ht="19.5" x14ac:dyDescent="0.3">
      <c r="A76" s="172">
        <v>2</v>
      </c>
      <c r="B76" s="173" t="s">
        <v>102</v>
      </c>
      <c r="C76" s="174">
        <f t="shared" ca="1" si="24"/>
        <v>0</v>
      </c>
      <c r="D76" s="175">
        <f t="shared" ca="1" si="54"/>
        <v>0</v>
      </c>
      <c r="E76" s="176">
        <f ca="1">IFERROR(__xludf.DUMMYFUNCTION("IMPORTRANGE(""https://docs.google.com/spreadsheets/d/1-uDff_7J0KD5mKrp0Vvzr7lt3OU09vwQwhkpOPPYv2Y/edit?usp=sharing"",""งบพรบ!BH76"")"),0)</f>
        <v>0</v>
      </c>
      <c r="F76" s="176">
        <f ca="1">IFERROR(__xludf.DUMMYFUNCTION("IMPORTRANGE(""https://docs.google.com/spreadsheets/d/1-uDff_7J0KD5mKrp0Vvzr7lt3OU09vwQwhkpOPPYv2Y/edit?usp=sharing"",""งบพรบ!BI76"")"),0)</f>
        <v>0</v>
      </c>
      <c r="G76" s="176">
        <f ca="1">IFERROR(__xludf.DUMMYFUNCTION("IMPORTRANGE(""https://docs.google.com/spreadsheets/d/1-uDff_7J0KD5mKrp0Vvzr7lt3OU09vwQwhkpOPPYv2Y/edit?usp=sharing"",""งบพรบ!BJ76"")"),0)</f>
        <v>0</v>
      </c>
      <c r="H76" s="176">
        <f ca="1">IFERROR(__xludf.DUMMYFUNCTION("IMPORTRANGE(""https://docs.google.com/spreadsheets/d/1-uDff_7J0KD5mKrp0Vvzr7lt3OU09vwQwhkpOPPYv2Y/edit?usp=sharing"",""งบพรบ!BL76"")"),0)</f>
        <v>0</v>
      </c>
      <c r="I76" s="176">
        <f ca="1">IFERROR(__xludf.DUMMYFUNCTION("IMPORTRANGE(""https://docs.google.com/spreadsheets/d/1-uDff_7J0KD5mKrp0Vvzr7lt3OU09vwQwhkpOPPYv2Y/edit?usp=sharing"",""งบพรบ!BM76"")"),0)</f>
        <v>0</v>
      </c>
      <c r="J76" s="176">
        <f t="shared" ca="1" si="26"/>
        <v>0</v>
      </c>
      <c r="K76" s="179">
        <f t="shared" ca="1" si="27"/>
        <v>0</v>
      </c>
      <c r="L76" s="176">
        <f ca="1">IFERROR(__xludf.DUMMYFUNCTION("IMPORTRANGE(""https://docs.google.com/spreadsheets/d/1-uDff_7J0KD5mKrp0Vvzr7lt3OU09vwQwhkpOPPYv2Y/edit?usp=sharing"",""งบพรบ!BN76"")"),0)</f>
        <v>0</v>
      </c>
      <c r="M76" s="87">
        <f t="shared" ca="1" si="28"/>
        <v>0</v>
      </c>
      <c r="N76" s="87">
        <f t="shared" ca="1" si="29"/>
        <v>0</v>
      </c>
      <c r="O76" s="86">
        <f ca="1">IFERROR(__xludf.DUMMYFUNCTION("IMPORTRANGE(""https://docs.google.com/spreadsheets/d/1-uDff_7J0KD5mKrp0Vvzr7lt3OU09vwQwhkpOPPYv2Y/edit?usp=sharing"",""งบพรบ!BO76"")"),0)</f>
        <v>0</v>
      </c>
      <c r="P76" s="86">
        <f t="shared" ca="1" si="30"/>
        <v>0</v>
      </c>
      <c r="Q76" s="87">
        <f t="shared" ca="1" si="31"/>
        <v>0</v>
      </c>
      <c r="R76" s="86">
        <f ca="1">IFERROR(__xludf.DUMMYFUNCTION("IMPORTRANGE(""https://docs.google.com/spreadsheets/d/1GwtLaSlNZkLk7iDqcyZz22giiy40b_usZZBXYciEN1U/edit?usp=sharing"",""ชุมพร!Q117"")"),209360)</f>
        <v>209360</v>
      </c>
      <c r="S76" s="86">
        <f ca="1">IFERROR(__xludf.DUMMYFUNCTION("IMPORTRANGE(""https://docs.google.com/spreadsheets/d/1GwtLaSlNZkLk7iDqcyZz22giiy40b_usZZBXYciEN1U/edit?usp=sharing"",""ชุมพร!R117"")"),0)</f>
        <v>0</v>
      </c>
      <c r="T76" s="86">
        <f ca="1">IFERROR(__xludf.DUMMYFUNCTION("IMPORTRANGE(""https://docs.google.com/spreadsheets/d/1GwtLaSlNZkLk7iDqcyZz22giiy40b_usZZBXYciEN1U/edit?usp=sharing"",""ชุมพร!S117"")"),0)</f>
        <v>0</v>
      </c>
      <c r="U76" s="87">
        <f t="shared" ca="1" si="33"/>
        <v>0</v>
      </c>
      <c r="V76" s="87">
        <f t="shared" ca="1" si="34"/>
        <v>0</v>
      </c>
      <c r="W76" s="93">
        <f ca="1">IFERROR(__xludf.DUMMYFUNCTION("IMPORTRANGE(""https://docs.google.com/spreadsheets/d/1GwtLaSlNZkLk7iDqcyZz22giiy40b_usZZBXYciEN1U/edit?usp=sharing"",""ชุมพร!I127"")"),20)</f>
        <v>20</v>
      </c>
      <c r="X76" s="93">
        <f ca="1">IFERROR(__xludf.DUMMYFUNCTION("IMPORTRANGE(""https://docs.google.com/spreadsheets/d/1GwtLaSlNZkLk7iDqcyZz22giiy40b_usZZBXYciEN1U/edit?usp=sharing"",""ชุมพร!J127"")"),0)</f>
        <v>0</v>
      </c>
      <c r="Y76" s="177">
        <f t="shared" ca="1" si="36"/>
        <v>0</v>
      </c>
      <c r="Z76" s="93">
        <f ca="1">IFERROR(__xludf.DUMMYFUNCTION("IMPORTRANGE(""https://docs.google.com/spreadsheets/d/1GwtLaSlNZkLk7iDqcyZz22giiy40b_usZZBXYciEN1U/edit?usp=sharing"",""ชุมพร!J128"")"),0)</f>
        <v>0</v>
      </c>
      <c r="AA76" s="93">
        <f ca="1">IFERROR(__xludf.DUMMYFUNCTION("IMPORTRANGE(""https://docs.google.com/spreadsheets/d/1GwtLaSlNZkLk7iDqcyZz22giiy40b_usZZBXYciEN1U/edit?usp=sharing"",""ชุมพร!I129"")"),20)</f>
        <v>20</v>
      </c>
      <c r="AB76" s="93">
        <f ca="1">IFERROR(__xludf.DUMMYFUNCTION("IMPORTRANGE(""https://docs.google.com/spreadsheets/d/1GwtLaSlNZkLk7iDqcyZz22giiy40b_usZZBXYciEN1U/edit?usp=sharing"",""ชุมพร!J129"")"),0)</f>
        <v>0</v>
      </c>
      <c r="AC76" s="177">
        <f t="shared" ca="1" si="38"/>
        <v>0</v>
      </c>
      <c r="AD76" s="177">
        <f ca="1">IFERROR(__xludf.DUMMYFUNCTION("IMPORTRANGE(""https://docs.google.com/spreadsheets/d/1GwtLaSlNZkLk7iDqcyZz22giiy40b_usZZBXYciEN1U/edit?usp=sharing"",""ชุมพร!J130"")"),0)</f>
        <v>0</v>
      </c>
      <c r="AE76" s="216">
        <v>0</v>
      </c>
      <c r="AF76" s="216">
        <v>0</v>
      </c>
      <c r="AG76" s="219">
        <v>0</v>
      </c>
    </row>
    <row r="77" spans="1:33" ht="19.5" x14ac:dyDescent="0.3">
      <c r="A77" s="172">
        <v>3</v>
      </c>
      <c r="B77" s="173" t="s">
        <v>103</v>
      </c>
      <c r="C77" s="174">
        <f t="shared" ca="1" si="24"/>
        <v>0</v>
      </c>
      <c r="D77" s="175">
        <f t="shared" ca="1" si="54"/>
        <v>0</v>
      </c>
      <c r="E77" s="176">
        <f ca="1">IFERROR(__xludf.DUMMYFUNCTION("IMPORTRANGE(""https://docs.google.com/spreadsheets/d/1-uDff_7J0KD5mKrp0Vvzr7lt3OU09vwQwhkpOPPYv2Y/edit?usp=sharing"",""งบพรบ!BH77"")"),0)</f>
        <v>0</v>
      </c>
      <c r="F77" s="176">
        <f ca="1">IFERROR(__xludf.DUMMYFUNCTION("IMPORTRANGE(""https://docs.google.com/spreadsheets/d/1-uDff_7J0KD5mKrp0Vvzr7lt3OU09vwQwhkpOPPYv2Y/edit?usp=sharing"",""งบพรบ!BI77"")"),0)</f>
        <v>0</v>
      </c>
      <c r="G77" s="176">
        <f ca="1">IFERROR(__xludf.DUMMYFUNCTION("IMPORTRANGE(""https://docs.google.com/spreadsheets/d/1-uDff_7J0KD5mKrp0Vvzr7lt3OU09vwQwhkpOPPYv2Y/edit?usp=sharing"",""งบพรบ!BJ77"")"),0)</f>
        <v>0</v>
      </c>
      <c r="H77" s="176">
        <f ca="1">IFERROR(__xludf.DUMMYFUNCTION("IMPORTRANGE(""https://docs.google.com/spreadsheets/d/1-uDff_7J0KD5mKrp0Vvzr7lt3OU09vwQwhkpOPPYv2Y/edit?usp=sharing"",""งบพรบ!BL77"")"),0)</f>
        <v>0</v>
      </c>
      <c r="I77" s="176">
        <f ca="1">IFERROR(__xludf.DUMMYFUNCTION("IMPORTRANGE(""https://docs.google.com/spreadsheets/d/1-uDff_7J0KD5mKrp0Vvzr7lt3OU09vwQwhkpOPPYv2Y/edit?usp=sharing"",""งบพรบ!BM77"")"),0)</f>
        <v>0</v>
      </c>
      <c r="J77" s="176">
        <f t="shared" ca="1" si="26"/>
        <v>0</v>
      </c>
      <c r="K77" s="179">
        <f t="shared" ca="1" si="27"/>
        <v>0</v>
      </c>
      <c r="L77" s="176">
        <f ca="1">IFERROR(__xludf.DUMMYFUNCTION("IMPORTRANGE(""https://docs.google.com/spreadsheets/d/1-uDff_7J0KD5mKrp0Vvzr7lt3OU09vwQwhkpOPPYv2Y/edit?usp=sharing"",""งบพรบ!BN77"")"),0)</f>
        <v>0</v>
      </c>
      <c r="M77" s="87">
        <f t="shared" ca="1" si="28"/>
        <v>0</v>
      </c>
      <c r="N77" s="87">
        <f t="shared" ca="1" si="29"/>
        <v>0</v>
      </c>
      <c r="O77" s="86">
        <f ca="1">IFERROR(__xludf.DUMMYFUNCTION("IMPORTRANGE(""https://docs.google.com/spreadsheets/d/1-uDff_7J0KD5mKrp0Vvzr7lt3OU09vwQwhkpOPPYv2Y/edit?usp=sharing"",""งบพรบ!BO77"")"),0)</f>
        <v>0</v>
      </c>
      <c r="P77" s="86">
        <f t="shared" ca="1" si="30"/>
        <v>0</v>
      </c>
      <c r="Q77" s="87">
        <f t="shared" ca="1" si="31"/>
        <v>0</v>
      </c>
      <c r="R77" s="86">
        <f ca="1">IFERROR(__xludf.DUMMYFUNCTION("IMPORTRANGE(""https://docs.google.com/spreadsheets/d/16pAz3pOhQEZBhvFNMa5KGgZS6iKWpsKX0pg6tQmwFpo/edit?usp=sharing"",""ตรัง!Q117"")"),191460)</f>
        <v>191460</v>
      </c>
      <c r="S77" s="86">
        <f ca="1">IFERROR(__xludf.DUMMYFUNCTION("IMPORTRANGE(""https://docs.google.com/spreadsheets/d/16pAz3pOhQEZBhvFNMa5KGgZS6iKWpsKX0pg6tQmwFpo/edit?usp=sharing"",""ตรัง!R117"")"),0)</f>
        <v>0</v>
      </c>
      <c r="T77" s="86">
        <f ca="1">IFERROR(__xludf.DUMMYFUNCTION("IMPORTRANGE(""https://docs.google.com/spreadsheets/d/16pAz3pOhQEZBhvFNMa5KGgZS6iKWpsKX0pg6tQmwFpo/edit?usp=sharing"",""ตรัง!S117"")"),0)</f>
        <v>0</v>
      </c>
      <c r="U77" s="87">
        <f t="shared" ca="1" si="33"/>
        <v>0</v>
      </c>
      <c r="V77" s="87">
        <f t="shared" ca="1" si="34"/>
        <v>0</v>
      </c>
      <c r="W77" s="93">
        <f ca="1">IFERROR(__xludf.DUMMYFUNCTION("IMPORTRANGE(""https://docs.google.com/spreadsheets/d/16pAz3pOhQEZBhvFNMa5KGgZS6iKWpsKX0pg6tQmwFpo/edit?usp=sharing"",""ตรัง!I127"")"),15)</f>
        <v>15</v>
      </c>
      <c r="X77" s="93">
        <f ca="1">IFERROR(__xludf.DUMMYFUNCTION("IMPORTRANGE(""https://docs.google.com/spreadsheets/d/16pAz3pOhQEZBhvFNMa5KGgZS6iKWpsKX0pg6tQmwFpo/edit?usp=sharing"",""ตรัง!J127"")"),0)</f>
        <v>0</v>
      </c>
      <c r="Y77" s="177">
        <f t="shared" ca="1" si="36"/>
        <v>0</v>
      </c>
      <c r="Z77" s="93">
        <f ca="1">IFERROR(__xludf.DUMMYFUNCTION("IMPORTRANGE(""https://docs.google.com/spreadsheets/d/16pAz3pOhQEZBhvFNMa5KGgZS6iKWpsKX0pg6tQmwFpo/edit?usp=sharing"",""ตรัง!J128"")"),0)</f>
        <v>0</v>
      </c>
      <c r="AA77" s="93">
        <f ca="1">IFERROR(__xludf.DUMMYFUNCTION("IMPORTRANGE(""https://docs.google.com/spreadsheets/d/16pAz3pOhQEZBhvFNMa5KGgZS6iKWpsKX0pg6tQmwFpo/edit?usp=sharing"",""ตรัง!I129"")"),15)</f>
        <v>15</v>
      </c>
      <c r="AB77" s="93">
        <f ca="1">IFERROR(__xludf.DUMMYFUNCTION("IMPORTRANGE(""https://docs.google.com/spreadsheets/d/16pAz3pOhQEZBhvFNMa5KGgZS6iKWpsKX0pg6tQmwFpo/edit?usp=sharing"",""ตรัง!J129"")"),0)</f>
        <v>0</v>
      </c>
      <c r="AC77" s="177">
        <f t="shared" ca="1" si="38"/>
        <v>0</v>
      </c>
      <c r="AD77" s="177">
        <f ca="1">IFERROR(__xludf.DUMMYFUNCTION("IMPORTRANGE(""https://docs.google.com/spreadsheets/d/16pAz3pOhQEZBhvFNMa5KGgZS6iKWpsKX0pg6tQmwFpo/edit?usp=sharing"",""ตรัง!J130"")"),0)</f>
        <v>0</v>
      </c>
      <c r="AE77" s="216">
        <v>0</v>
      </c>
      <c r="AF77" s="216">
        <v>0</v>
      </c>
      <c r="AG77" s="219">
        <v>0</v>
      </c>
    </row>
    <row r="78" spans="1:33" ht="19.5" x14ac:dyDescent="0.3">
      <c r="A78" s="172">
        <v>4</v>
      </c>
      <c r="B78" s="173" t="s">
        <v>104</v>
      </c>
      <c r="C78" s="174">
        <f t="shared" ca="1" si="24"/>
        <v>0</v>
      </c>
      <c r="D78" s="175">
        <f t="shared" ca="1" si="54"/>
        <v>0</v>
      </c>
      <c r="E78" s="176">
        <f ca="1">IFERROR(__xludf.DUMMYFUNCTION("IMPORTRANGE(""https://docs.google.com/spreadsheets/d/1-uDff_7J0KD5mKrp0Vvzr7lt3OU09vwQwhkpOPPYv2Y/edit?usp=sharing"",""งบพรบ!BH78"")"),0)</f>
        <v>0</v>
      </c>
      <c r="F78" s="176">
        <f ca="1">IFERROR(__xludf.DUMMYFUNCTION("IMPORTRANGE(""https://docs.google.com/spreadsheets/d/1-uDff_7J0KD5mKrp0Vvzr7lt3OU09vwQwhkpOPPYv2Y/edit?usp=sharing"",""งบพรบ!BI78"")"),0)</f>
        <v>0</v>
      </c>
      <c r="G78" s="176">
        <f ca="1">IFERROR(__xludf.DUMMYFUNCTION("IMPORTRANGE(""https://docs.google.com/spreadsheets/d/1-uDff_7J0KD5mKrp0Vvzr7lt3OU09vwQwhkpOPPYv2Y/edit?usp=sharing"",""งบพรบ!BJ78"")"),0)</f>
        <v>0</v>
      </c>
      <c r="H78" s="176">
        <f ca="1">IFERROR(__xludf.DUMMYFUNCTION("IMPORTRANGE(""https://docs.google.com/spreadsheets/d/1-uDff_7J0KD5mKrp0Vvzr7lt3OU09vwQwhkpOPPYv2Y/edit?usp=sharing"",""งบพรบ!BL78"")"),0)</f>
        <v>0</v>
      </c>
      <c r="I78" s="176">
        <f ca="1">IFERROR(__xludf.DUMMYFUNCTION("IMPORTRANGE(""https://docs.google.com/spreadsheets/d/1-uDff_7J0KD5mKrp0Vvzr7lt3OU09vwQwhkpOPPYv2Y/edit?usp=sharing"",""งบพรบ!BM78"")"),0)</f>
        <v>0</v>
      </c>
      <c r="J78" s="176">
        <f t="shared" ca="1" si="26"/>
        <v>0</v>
      </c>
      <c r="K78" s="179">
        <f t="shared" ca="1" si="27"/>
        <v>0</v>
      </c>
      <c r="L78" s="176">
        <f ca="1">IFERROR(__xludf.DUMMYFUNCTION("IMPORTRANGE(""https://docs.google.com/spreadsheets/d/1-uDff_7J0KD5mKrp0Vvzr7lt3OU09vwQwhkpOPPYv2Y/edit?usp=sharing"",""งบพรบ!BN78"")"),0)</f>
        <v>0</v>
      </c>
      <c r="M78" s="87">
        <f t="shared" ca="1" si="28"/>
        <v>0</v>
      </c>
      <c r="N78" s="87">
        <f t="shared" ca="1" si="29"/>
        <v>0</v>
      </c>
      <c r="O78" s="86">
        <f ca="1">IFERROR(__xludf.DUMMYFUNCTION("IMPORTRANGE(""https://docs.google.com/spreadsheets/d/1-uDff_7J0KD5mKrp0Vvzr7lt3OU09vwQwhkpOPPYv2Y/edit?usp=sharing"",""งบพรบ!BO78"")"),0)</f>
        <v>0</v>
      </c>
      <c r="P78" s="86">
        <f t="shared" ca="1" si="30"/>
        <v>0</v>
      </c>
      <c r="Q78" s="87">
        <f t="shared" ca="1" si="31"/>
        <v>0</v>
      </c>
      <c r="R78" s="86">
        <f ca="1">IFERROR(__xludf.DUMMYFUNCTION("IMPORTRANGE(""https://docs.google.com/spreadsheets/d/1Dj4jcHCTV9JXKCaMoheSXS52JE63kDKyG7bPXnFogHk/edit?usp=sharing"",""นครศรีธรรมราช!Q117"")"),209360)</f>
        <v>209360</v>
      </c>
      <c r="S78" s="86">
        <f ca="1">IFERROR(__xludf.DUMMYFUNCTION("IMPORTRANGE(""https://docs.google.com/spreadsheets/d/1Dj4jcHCTV9JXKCaMoheSXS52JE63kDKyG7bPXnFogHk/edit?usp=sharing"",""นครศรีธรรมราช!R117"")"),0)</f>
        <v>0</v>
      </c>
      <c r="T78" s="86">
        <f ca="1">IFERROR(__xludf.DUMMYFUNCTION("IMPORTRANGE(""https://docs.google.com/spreadsheets/d/1Dj4jcHCTV9JXKCaMoheSXS52JE63kDKyG7bPXnFogHk/edit?usp=sharing"",""นครศรีธรรมราช!S117"")"),0)</f>
        <v>0</v>
      </c>
      <c r="U78" s="87">
        <f t="shared" ca="1" si="33"/>
        <v>0</v>
      </c>
      <c r="V78" s="87">
        <f t="shared" ca="1" si="34"/>
        <v>0</v>
      </c>
      <c r="W78" s="93">
        <f ca="1">IFERROR(__xludf.DUMMYFUNCTION("IMPORTRANGE(""https://docs.google.com/spreadsheets/d/1Dj4jcHCTV9JXKCaMoheSXS52JE63kDKyG7bPXnFogHk/edit?usp=sharing"",""นครศรีธรรมราช!I127"")"),20)</f>
        <v>20</v>
      </c>
      <c r="X78" s="93">
        <f ca="1">IFERROR(__xludf.DUMMYFUNCTION("IMPORTRANGE(""https://docs.google.com/spreadsheets/d/1Dj4jcHCTV9JXKCaMoheSXS52JE63kDKyG7bPXnFogHk/edit?usp=sharing"",""นครศรีธรรมราช!J127"")"),0)</f>
        <v>0</v>
      </c>
      <c r="Y78" s="177">
        <f t="shared" ca="1" si="36"/>
        <v>0</v>
      </c>
      <c r="Z78" s="93">
        <f ca="1">IFERROR(__xludf.DUMMYFUNCTION("IMPORTRANGE(""https://docs.google.com/spreadsheets/d/1Dj4jcHCTV9JXKCaMoheSXS52JE63kDKyG7bPXnFogHk/edit?usp=sharing"",""นครศรีธรรมราช!J128"")"),0)</f>
        <v>0</v>
      </c>
      <c r="AA78" s="93">
        <f ca="1">IFERROR(__xludf.DUMMYFUNCTION("IMPORTRANGE(""https://docs.google.com/spreadsheets/d/1Dj4jcHCTV9JXKCaMoheSXS52JE63kDKyG7bPXnFogHk/edit?usp=sharing"",""นครศรีธรรมราช!I129"")"),20)</f>
        <v>20</v>
      </c>
      <c r="AB78" s="93">
        <f ca="1">IFERROR(__xludf.DUMMYFUNCTION("IMPORTRANGE(""https://docs.google.com/spreadsheets/d/1Dj4jcHCTV9JXKCaMoheSXS52JE63kDKyG7bPXnFogHk/edit?usp=sharing"",""นครศรีธรรมราช!J129"")"),0)</f>
        <v>0</v>
      </c>
      <c r="AC78" s="177">
        <f t="shared" ca="1" si="38"/>
        <v>0</v>
      </c>
      <c r="AD78" s="177">
        <f ca="1">IFERROR(__xludf.DUMMYFUNCTION("IMPORTRANGE(""https://docs.google.com/spreadsheets/d/1Dj4jcHCTV9JXKCaMoheSXS52JE63kDKyG7bPXnFogHk/edit?usp=sharing"",""นครศรีธรรมราช!J130"")"),0)</f>
        <v>0</v>
      </c>
      <c r="AE78" s="216">
        <v>0</v>
      </c>
      <c r="AF78" s="216">
        <v>0</v>
      </c>
      <c r="AG78" s="219">
        <v>0</v>
      </c>
    </row>
    <row r="79" spans="1:33" ht="19.5" x14ac:dyDescent="0.3">
      <c r="A79" s="172">
        <v>5</v>
      </c>
      <c r="B79" s="173" t="s">
        <v>105</v>
      </c>
      <c r="C79" s="174">
        <f t="shared" ca="1" si="24"/>
        <v>0</v>
      </c>
      <c r="D79" s="175">
        <f t="shared" ca="1" si="54"/>
        <v>0</v>
      </c>
      <c r="E79" s="176">
        <f ca="1">IFERROR(__xludf.DUMMYFUNCTION("IMPORTRANGE(""https://docs.google.com/spreadsheets/d/1-uDff_7J0KD5mKrp0Vvzr7lt3OU09vwQwhkpOPPYv2Y/edit?usp=sharing"",""งบพรบ!BH79"")"),0)</f>
        <v>0</v>
      </c>
      <c r="F79" s="176">
        <f ca="1">IFERROR(__xludf.DUMMYFUNCTION("IMPORTRANGE(""https://docs.google.com/spreadsheets/d/1-uDff_7J0KD5mKrp0Vvzr7lt3OU09vwQwhkpOPPYv2Y/edit?usp=sharing"",""งบพรบ!BI79"")"),0)</f>
        <v>0</v>
      </c>
      <c r="G79" s="176">
        <f ca="1">IFERROR(__xludf.DUMMYFUNCTION("IMPORTRANGE(""https://docs.google.com/spreadsheets/d/1-uDff_7J0KD5mKrp0Vvzr7lt3OU09vwQwhkpOPPYv2Y/edit?usp=sharing"",""งบพรบ!BJ79"")"),0)</f>
        <v>0</v>
      </c>
      <c r="H79" s="176">
        <f ca="1">IFERROR(__xludf.DUMMYFUNCTION("IMPORTRANGE(""https://docs.google.com/spreadsheets/d/1-uDff_7J0KD5mKrp0Vvzr7lt3OU09vwQwhkpOPPYv2Y/edit?usp=sharing"",""งบพรบ!BL79"")"),0)</f>
        <v>0</v>
      </c>
      <c r="I79" s="176">
        <f ca="1">IFERROR(__xludf.DUMMYFUNCTION("IMPORTRANGE(""https://docs.google.com/spreadsheets/d/1-uDff_7J0KD5mKrp0Vvzr7lt3OU09vwQwhkpOPPYv2Y/edit?usp=sharing"",""งบพรบ!BM79"")"),0)</f>
        <v>0</v>
      </c>
      <c r="J79" s="176">
        <f t="shared" ca="1" si="26"/>
        <v>0</v>
      </c>
      <c r="K79" s="179">
        <f t="shared" ca="1" si="27"/>
        <v>0</v>
      </c>
      <c r="L79" s="176">
        <f ca="1">IFERROR(__xludf.DUMMYFUNCTION("IMPORTRANGE(""https://docs.google.com/spreadsheets/d/1-uDff_7J0KD5mKrp0Vvzr7lt3OU09vwQwhkpOPPYv2Y/edit?usp=sharing"",""งบพรบ!BN79"")"),0)</f>
        <v>0</v>
      </c>
      <c r="M79" s="87">
        <f t="shared" ca="1" si="28"/>
        <v>0</v>
      </c>
      <c r="N79" s="87">
        <f t="shared" ca="1" si="29"/>
        <v>0</v>
      </c>
      <c r="O79" s="86">
        <f ca="1">IFERROR(__xludf.DUMMYFUNCTION("IMPORTRANGE(""https://docs.google.com/spreadsheets/d/1-uDff_7J0KD5mKrp0Vvzr7lt3OU09vwQwhkpOPPYv2Y/edit?usp=sharing"",""งบพรบ!BO79"")"),0)</f>
        <v>0</v>
      </c>
      <c r="P79" s="86">
        <f t="shared" ca="1" si="30"/>
        <v>0</v>
      </c>
      <c r="Q79" s="87">
        <f t="shared" ca="1" si="31"/>
        <v>0</v>
      </c>
      <c r="R79" s="86">
        <f ca="1">IFERROR(__xludf.DUMMYFUNCTION("IMPORTRANGE(""https://docs.google.com/spreadsheets/d/1iodCdmuK2GR3jzUwk8tpccY2JHQQA-87DLOtJP-ooyU/edit?usp=sharing"",""นราธิวาส!Q117"")"),229220)</f>
        <v>229220</v>
      </c>
      <c r="S79" s="86">
        <f ca="1">IFERROR(__xludf.DUMMYFUNCTION("IMPORTRANGE(""https://docs.google.com/spreadsheets/d/1iodCdmuK2GR3jzUwk8tpccY2JHQQA-87DLOtJP-ooyU/edit?usp=sharing"",""นราธิวาส!R117"")"),0)</f>
        <v>0</v>
      </c>
      <c r="T79" s="86">
        <f ca="1">IFERROR(__xludf.DUMMYFUNCTION("IMPORTRANGE(""https://docs.google.com/spreadsheets/d/1iodCdmuK2GR3jzUwk8tpccY2JHQQA-87DLOtJP-ooyU/edit?usp=sharing"",""นราธิวาส!S117"")"),0)</f>
        <v>0</v>
      </c>
      <c r="U79" s="87">
        <f t="shared" ca="1" si="33"/>
        <v>0</v>
      </c>
      <c r="V79" s="87">
        <f t="shared" ca="1" si="34"/>
        <v>0</v>
      </c>
      <c r="W79" s="93">
        <f ca="1">IFERROR(__xludf.DUMMYFUNCTION("IMPORTRANGE(""https://docs.google.com/spreadsheets/d/1iodCdmuK2GR3jzUwk8tpccY2JHQQA-87DLOtJP-ooyU/edit?usp=sharing"",""นราธิวาส!I127"")"),25)</f>
        <v>25</v>
      </c>
      <c r="X79" s="93">
        <f ca="1">IFERROR(__xludf.DUMMYFUNCTION("IMPORTRANGE(""https://docs.google.com/spreadsheets/d/1iodCdmuK2GR3jzUwk8tpccY2JHQQA-87DLOtJP-ooyU/edit?usp=sharing"",""นราธิวาส!J127"")"),0)</f>
        <v>0</v>
      </c>
      <c r="Y79" s="177">
        <f t="shared" ca="1" si="36"/>
        <v>0</v>
      </c>
      <c r="Z79" s="93">
        <f ca="1">IFERROR(__xludf.DUMMYFUNCTION("IMPORTRANGE(""https://docs.google.com/spreadsheets/d/1iodCdmuK2GR3jzUwk8tpccY2JHQQA-87DLOtJP-ooyU/edit?usp=sharing"",""นราธิวาส!J128"")"),0)</f>
        <v>0</v>
      </c>
      <c r="AA79" s="93">
        <f ca="1">IFERROR(__xludf.DUMMYFUNCTION("IMPORTRANGE(""https://docs.google.com/spreadsheets/d/1iodCdmuK2GR3jzUwk8tpccY2JHQQA-87DLOtJP-ooyU/edit?usp=sharing"",""นราธิวาส!I129"")"),25)</f>
        <v>25</v>
      </c>
      <c r="AB79" s="93">
        <f ca="1">IFERROR(__xludf.DUMMYFUNCTION("IMPORTRANGE(""https://docs.google.com/spreadsheets/d/1iodCdmuK2GR3jzUwk8tpccY2JHQQA-87DLOtJP-ooyU/edit?usp=sharing"",""นราธิวาส!J129"")"),0)</f>
        <v>0</v>
      </c>
      <c r="AC79" s="177">
        <f t="shared" ca="1" si="38"/>
        <v>0</v>
      </c>
      <c r="AD79" s="177">
        <f ca="1">IFERROR(__xludf.DUMMYFUNCTION("IMPORTRANGE(""https://docs.google.com/spreadsheets/d/1iodCdmuK2GR3jzUwk8tpccY2JHQQA-87DLOtJP-ooyU/edit?usp=sharing"",""นราธิวาส!J130"")"),0)</f>
        <v>0</v>
      </c>
      <c r="AE79" s="216">
        <v>0</v>
      </c>
      <c r="AF79" s="216">
        <v>0</v>
      </c>
      <c r="AG79" s="219">
        <v>0</v>
      </c>
    </row>
    <row r="80" spans="1:33" ht="19.5" x14ac:dyDescent="0.3">
      <c r="A80" s="172">
        <v>6</v>
      </c>
      <c r="B80" s="173" t="s">
        <v>106</v>
      </c>
      <c r="C80" s="174">
        <f t="shared" ca="1" si="24"/>
        <v>0</v>
      </c>
      <c r="D80" s="175">
        <f t="shared" ca="1" si="54"/>
        <v>0</v>
      </c>
      <c r="E80" s="176">
        <f ca="1">IFERROR(__xludf.DUMMYFUNCTION("IMPORTRANGE(""https://docs.google.com/spreadsheets/d/1-uDff_7J0KD5mKrp0Vvzr7lt3OU09vwQwhkpOPPYv2Y/edit?usp=sharing"",""งบพรบ!BH80"")"),0)</f>
        <v>0</v>
      </c>
      <c r="F80" s="176">
        <f ca="1">IFERROR(__xludf.DUMMYFUNCTION("IMPORTRANGE(""https://docs.google.com/spreadsheets/d/1-uDff_7J0KD5mKrp0Vvzr7lt3OU09vwQwhkpOPPYv2Y/edit?usp=sharing"",""งบพรบ!BI80"")"),0)</f>
        <v>0</v>
      </c>
      <c r="G80" s="176">
        <f ca="1">IFERROR(__xludf.DUMMYFUNCTION("IMPORTRANGE(""https://docs.google.com/spreadsheets/d/1-uDff_7J0KD5mKrp0Vvzr7lt3OU09vwQwhkpOPPYv2Y/edit?usp=sharing"",""งบพรบ!BJ80"")"),0)</f>
        <v>0</v>
      </c>
      <c r="H80" s="176">
        <f ca="1">IFERROR(__xludf.DUMMYFUNCTION("IMPORTRANGE(""https://docs.google.com/spreadsheets/d/1-uDff_7J0KD5mKrp0Vvzr7lt3OU09vwQwhkpOPPYv2Y/edit?usp=sharing"",""งบพรบ!BL80"")"),0)</f>
        <v>0</v>
      </c>
      <c r="I80" s="176">
        <f ca="1">IFERROR(__xludf.DUMMYFUNCTION("IMPORTRANGE(""https://docs.google.com/spreadsheets/d/1-uDff_7J0KD5mKrp0Vvzr7lt3OU09vwQwhkpOPPYv2Y/edit?usp=sharing"",""งบพรบ!BM80"")"),0)</f>
        <v>0</v>
      </c>
      <c r="J80" s="176">
        <f t="shared" ca="1" si="26"/>
        <v>0</v>
      </c>
      <c r="K80" s="179">
        <f t="shared" ca="1" si="27"/>
        <v>0</v>
      </c>
      <c r="L80" s="176">
        <f ca="1">IFERROR(__xludf.DUMMYFUNCTION("IMPORTRANGE(""https://docs.google.com/spreadsheets/d/1-uDff_7J0KD5mKrp0Vvzr7lt3OU09vwQwhkpOPPYv2Y/edit?usp=sharing"",""งบพรบ!BN80"")"),0)</f>
        <v>0</v>
      </c>
      <c r="M80" s="87">
        <f t="shared" ca="1" si="28"/>
        <v>0</v>
      </c>
      <c r="N80" s="87">
        <f t="shared" ca="1" si="29"/>
        <v>0</v>
      </c>
      <c r="O80" s="86">
        <f ca="1">IFERROR(__xludf.DUMMYFUNCTION("IMPORTRANGE(""https://docs.google.com/spreadsheets/d/1-uDff_7J0KD5mKrp0Vvzr7lt3OU09vwQwhkpOPPYv2Y/edit?usp=sharing"",""งบพรบ!BO80"")"),0)</f>
        <v>0</v>
      </c>
      <c r="P80" s="86">
        <f t="shared" ca="1" si="30"/>
        <v>0</v>
      </c>
      <c r="Q80" s="87">
        <f t="shared" ca="1" si="31"/>
        <v>0</v>
      </c>
      <c r="R80" s="86">
        <f ca="1">IFERROR(__xludf.DUMMYFUNCTION("IMPORTRANGE(""https://docs.google.com/spreadsheets/d/1SDNX3JhDdYRuIOsj0Wh2M-Qa_eaXl0NbWmhAOTbfQAs/edit?usp=sharing"",""ปัตตานี!Q117"")"),173660)</f>
        <v>173660</v>
      </c>
      <c r="S80" s="86">
        <f ca="1">IFERROR(__xludf.DUMMYFUNCTION("IMPORTRANGE(""https://docs.google.com/spreadsheets/d/1SDNX3JhDdYRuIOsj0Wh2M-Qa_eaXl0NbWmhAOTbfQAs/edit?usp=sharing"",""ปัตตานี!R117"")"),0)</f>
        <v>0</v>
      </c>
      <c r="T80" s="86">
        <f ca="1">IFERROR(__xludf.DUMMYFUNCTION("IMPORTRANGE(""https://docs.google.com/spreadsheets/d/1SDNX3JhDdYRuIOsj0Wh2M-Qa_eaXl0NbWmhAOTbfQAs/edit?usp=sharing"",""ปัตตานี!S117"")"),0)</f>
        <v>0</v>
      </c>
      <c r="U80" s="87">
        <f t="shared" ca="1" si="33"/>
        <v>0</v>
      </c>
      <c r="V80" s="87">
        <f t="shared" ca="1" si="34"/>
        <v>0</v>
      </c>
      <c r="W80" s="93">
        <f ca="1">IFERROR(__xludf.DUMMYFUNCTION("IMPORTRANGE(""https://docs.google.com/spreadsheets/d/1SDNX3JhDdYRuIOsj0Wh2M-Qa_eaXl0NbWmhAOTbfQAs/edit?usp=sharing"",""ปัตตานี!I127"")"),10)</f>
        <v>10</v>
      </c>
      <c r="X80" s="93">
        <f ca="1">IFERROR(__xludf.DUMMYFUNCTION("IMPORTRANGE(""https://docs.google.com/spreadsheets/d/1SDNX3JhDdYRuIOsj0Wh2M-Qa_eaXl0NbWmhAOTbfQAs/edit?usp=sharing"",""ปัตตานี!J127"")"),0)</f>
        <v>0</v>
      </c>
      <c r="Y80" s="177">
        <f t="shared" ca="1" si="36"/>
        <v>0</v>
      </c>
      <c r="Z80" s="93">
        <f ca="1">IFERROR(__xludf.DUMMYFUNCTION("IMPORTRANGE(""https://docs.google.com/spreadsheets/d/1SDNX3JhDdYRuIOsj0Wh2M-Qa_eaXl0NbWmhAOTbfQAs/edit?usp=sharing"",""ปัตตานี!J128"")"),0)</f>
        <v>0</v>
      </c>
      <c r="AA80" s="93">
        <f ca="1">IFERROR(__xludf.DUMMYFUNCTION("IMPORTRANGE(""https://docs.google.com/spreadsheets/d/1SDNX3JhDdYRuIOsj0Wh2M-Qa_eaXl0NbWmhAOTbfQAs/edit?usp=sharing"",""ปัตตานี!I129"")"),10)</f>
        <v>10</v>
      </c>
      <c r="AB80" s="93">
        <f ca="1">IFERROR(__xludf.DUMMYFUNCTION("IMPORTRANGE(""https://docs.google.com/spreadsheets/d/1SDNX3JhDdYRuIOsj0Wh2M-Qa_eaXl0NbWmhAOTbfQAs/edit?usp=sharing"",""ปัตตานี!J129"")"),0)</f>
        <v>0</v>
      </c>
      <c r="AC80" s="177">
        <f t="shared" ca="1" si="38"/>
        <v>0</v>
      </c>
      <c r="AD80" s="177">
        <f ca="1">IFERROR(__xludf.DUMMYFUNCTION("IMPORTRANGE(""https://docs.google.com/spreadsheets/d/1SDNX3JhDdYRuIOsj0Wh2M-Qa_eaXl0NbWmhAOTbfQAs/edit?usp=sharing"",""ปัตตานี!J130"")"),0)</f>
        <v>0</v>
      </c>
      <c r="AE80" s="216">
        <v>0</v>
      </c>
      <c r="AF80" s="216">
        <v>0</v>
      </c>
      <c r="AG80" s="219">
        <v>0</v>
      </c>
    </row>
    <row r="81" spans="1:33" ht="19.5" x14ac:dyDescent="0.3">
      <c r="A81" s="172">
        <v>7</v>
      </c>
      <c r="B81" s="173" t="s">
        <v>107</v>
      </c>
      <c r="C81" s="174">
        <f t="shared" ca="1" si="24"/>
        <v>0</v>
      </c>
      <c r="D81" s="175">
        <f t="shared" ca="1" si="54"/>
        <v>0</v>
      </c>
      <c r="E81" s="176">
        <f ca="1">IFERROR(__xludf.DUMMYFUNCTION("IMPORTRANGE(""https://docs.google.com/spreadsheets/d/1-uDff_7J0KD5mKrp0Vvzr7lt3OU09vwQwhkpOPPYv2Y/edit?usp=sharing"",""งบพรบ!BH81"")"),0)</f>
        <v>0</v>
      </c>
      <c r="F81" s="176">
        <f ca="1">IFERROR(__xludf.DUMMYFUNCTION("IMPORTRANGE(""https://docs.google.com/spreadsheets/d/1-uDff_7J0KD5mKrp0Vvzr7lt3OU09vwQwhkpOPPYv2Y/edit?usp=sharing"",""งบพรบ!BI81"")"),0)</f>
        <v>0</v>
      </c>
      <c r="G81" s="176">
        <f ca="1">IFERROR(__xludf.DUMMYFUNCTION("IMPORTRANGE(""https://docs.google.com/spreadsheets/d/1-uDff_7J0KD5mKrp0Vvzr7lt3OU09vwQwhkpOPPYv2Y/edit?usp=sharing"",""งบพรบ!BJ81"")"),0)</f>
        <v>0</v>
      </c>
      <c r="H81" s="176">
        <f ca="1">IFERROR(__xludf.DUMMYFUNCTION("IMPORTRANGE(""https://docs.google.com/spreadsheets/d/1-uDff_7J0KD5mKrp0Vvzr7lt3OU09vwQwhkpOPPYv2Y/edit?usp=sharing"",""งบพรบ!BL81"")"),0)</f>
        <v>0</v>
      </c>
      <c r="I81" s="176">
        <f ca="1">IFERROR(__xludf.DUMMYFUNCTION("IMPORTRANGE(""https://docs.google.com/spreadsheets/d/1-uDff_7J0KD5mKrp0Vvzr7lt3OU09vwQwhkpOPPYv2Y/edit?usp=sharing"",""งบพรบ!BM81"")"),0)</f>
        <v>0</v>
      </c>
      <c r="J81" s="176">
        <f t="shared" ca="1" si="26"/>
        <v>0</v>
      </c>
      <c r="K81" s="179">
        <f t="shared" ca="1" si="27"/>
        <v>0</v>
      </c>
      <c r="L81" s="176">
        <f ca="1">IFERROR(__xludf.DUMMYFUNCTION("IMPORTRANGE(""https://docs.google.com/spreadsheets/d/1-uDff_7J0KD5mKrp0Vvzr7lt3OU09vwQwhkpOPPYv2Y/edit?usp=sharing"",""งบพรบ!BN81"")"),0)</f>
        <v>0</v>
      </c>
      <c r="M81" s="87">
        <f t="shared" ca="1" si="28"/>
        <v>0</v>
      </c>
      <c r="N81" s="87">
        <f t="shared" ca="1" si="29"/>
        <v>0</v>
      </c>
      <c r="O81" s="86">
        <f ca="1">IFERROR(__xludf.DUMMYFUNCTION("IMPORTRANGE(""https://docs.google.com/spreadsheets/d/1-uDff_7J0KD5mKrp0Vvzr7lt3OU09vwQwhkpOPPYv2Y/edit?usp=sharing"",""งบพรบ!BO81"")"),0)</f>
        <v>0</v>
      </c>
      <c r="P81" s="86">
        <f t="shared" ca="1" si="30"/>
        <v>0</v>
      </c>
      <c r="Q81" s="87">
        <f t="shared" ca="1" si="31"/>
        <v>0</v>
      </c>
      <c r="R81" s="86">
        <f ca="1">IFERROR(__xludf.DUMMYFUNCTION("IMPORTRANGE(""https://docs.google.com/spreadsheets/d/16JDLGguT8s5DsGCND1KcwHP_AWR_zDMTqLHPLJUKhaU/edit?usp=sharing"",""พังงา!Q117"")"),191460)</f>
        <v>191460</v>
      </c>
      <c r="S81" s="86">
        <f ca="1">IFERROR(__xludf.DUMMYFUNCTION("IMPORTRANGE(""https://docs.google.com/spreadsheets/d/16JDLGguT8s5DsGCND1KcwHP_AWR_zDMTqLHPLJUKhaU/edit?usp=sharing"",""พังงา!R117"")"),0)</f>
        <v>0</v>
      </c>
      <c r="T81" s="86">
        <f ca="1">IFERROR(__xludf.DUMMYFUNCTION("IMPORTRANGE(""https://docs.google.com/spreadsheets/d/16JDLGguT8s5DsGCND1KcwHP_AWR_zDMTqLHPLJUKhaU/edit?usp=sharing"",""พังงา!S117"")"),0)</f>
        <v>0</v>
      </c>
      <c r="U81" s="87">
        <f t="shared" ca="1" si="33"/>
        <v>0</v>
      </c>
      <c r="V81" s="87">
        <f t="shared" ca="1" si="34"/>
        <v>0</v>
      </c>
      <c r="W81" s="93">
        <f ca="1">IFERROR(__xludf.DUMMYFUNCTION("IMPORTRANGE(""https://docs.google.com/spreadsheets/d/16JDLGguT8s5DsGCND1KcwHP_AWR_zDMTqLHPLJUKhaU/edit?usp=sharing"",""พังงา!I127"")"),15)</f>
        <v>15</v>
      </c>
      <c r="X81" s="93">
        <f ca="1">IFERROR(__xludf.DUMMYFUNCTION("IMPORTRANGE(""https://docs.google.com/spreadsheets/d/16JDLGguT8s5DsGCND1KcwHP_AWR_zDMTqLHPLJUKhaU/edit?usp=sharing"",""พังงา!J127"")"),0)</f>
        <v>0</v>
      </c>
      <c r="Y81" s="177">
        <f t="shared" ca="1" si="36"/>
        <v>0</v>
      </c>
      <c r="Z81" s="93">
        <f ca="1">IFERROR(__xludf.DUMMYFUNCTION("IMPORTRANGE(""https://docs.google.com/spreadsheets/d/16JDLGguT8s5DsGCND1KcwHP_AWR_zDMTqLHPLJUKhaU/edit?usp=sharing"",""พังงา!J128"")"),0)</f>
        <v>0</v>
      </c>
      <c r="AA81" s="93">
        <f ca="1">IFERROR(__xludf.DUMMYFUNCTION("IMPORTRANGE(""https://docs.google.com/spreadsheets/d/16JDLGguT8s5DsGCND1KcwHP_AWR_zDMTqLHPLJUKhaU/edit?usp=sharing"",""พังงา!I129"")"),15)</f>
        <v>15</v>
      </c>
      <c r="AB81" s="93">
        <f ca="1">IFERROR(__xludf.DUMMYFUNCTION("IMPORTRANGE(""https://docs.google.com/spreadsheets/d/16JDLGguT8s5DsGCND1KcwHP_AWR_zDMTqLHPLJUKhaU/edit?usp=sharing"",""พังงา!J129"")"),0)</f>
        <v>0</v>
      </c>
      <c r="AC81" s="177">
        <f t="shared" ca="1" si="38"/>
        <v>0</v>
      </c>
      <c r="AD81" s="177">
        <f ca="1">IFERROR(__xludf.DUMMYFUNCTION("IMPORTRANGE(""https://docs.google.com/spreadsheets/d/16JDLGguT8s5DsGCND1KcwHP_AWR_zDMTqLHPLJUKhaU/edit?usp=sharing"",""พังงา!J130"")"),0)</f>
        <v>0</v>
      </c>
      <c r="AE81" s="216">
        <v>0</v>
      </c>
      <c r="AF81" s="216">
        <v>0</v>
      </c>
      <c r="AG81" s="219">
        <v>0</v>
      </c>
    </row>
    <row r="82" spans="1:33" ht="19.5" x14ac:dyDescent="0.3">
      <c r="A82" s="172">
        <v>8</v>
      </c>
      <c r="B82" s="173" t="s">
        <v>108</v>
      </c>
      <c r="C82" s="174">
        <f t="shared" ca="1" si="24"/>
        <v>0</v>
      </c>
      <c r="D82" s="175">
        <f t="shared" ca="1" si="54"/>
        <v>0</v>
      </c>
      <c r="E82" s="176">
        <f ca="1">IFERROR(__xludf.DUMMYFUNCTION("IMPORTRANGE(""https://docs.google.com/spreadsheets/d/1-uDff_7J0KD5mKrp0Vvzr7lt3OU09vwQwhkpOPPYv2Y/edit?usp=sharing"",""งบพรบ!BH82"")"),0)</f>
        <v>0</v>
      </c>
      <c r="F82" s="176">
        <f ca="1">IFERROR(__xludf.DUMMYFUNCTION("IMPORTRANGE(""https://docs.google.com/spreadsheets/d/1-uDff_7J0KD5mKrp0Vvzr7lt3OU09vwQwhkpOPPYv2Y/edit?usp=sharing"",""งบพรบ!BI82"")"),0)</f>
        <v>0</v>
      </c>
      <c r="G82" s="176">
        <f ca="1">IFERROR(__xludf.DUMMYFUNCTION("IMPORTRANGE(""https://docs.google.com/spreadsheets/d/1-uDff_7J0KD5mKrp0Vvzr7lt3OU09vwQwhkpOPPYv2Y/edit?usp=sharing"",""งบพรบ!BJ82"")"),0)</f>
        <v>0</v>
      </c>
      <c r="H82" s="176">
        <f ca="1">IFERROR(__xludf.DUMMYFUNCTION("IMPORTRANGE(""https://docs.google.com/spreadsheets/d/1-uDff_7J0KD5mKrp0Vvzr7lt3OU09vwQwhkpOPPYv2Y/edit?usp=sharing"",""งบพรบ!BL82"")"),0)</f>
        <v>0</v>
      </c>
      <c r="I82" s="176">
        <f ca="1">IFERROR(__xludf.DUMMYFUNCTION("IMPORTRANGE(""https://docs.google.com/spreadsheets/d/1-uDff_7J0KD5mKrp0Vvzr7lt3OU09vwQwhkpOPPYv2Y/edit?usp=sharing"",""งบพรบ!BM82"")"),0)</f>
        <v>0</v>
      </c>
      <c r="J82" s="176">
        <f t="shared" ca="1" si="26"/>
        <v>0</v>
      </c>
      <c r="K82" s="179">
        <f t="shared" ca="1" si="27"/>
        <v>0</v>
      </c>
      <c r="L82" s="176">
        <f ca="1">IFERROR(__xludf.DUMMYFUNCTION("IMPORTRANGE(""https://docs.google.com/spreadsheets/d/1-uDff_7J0KD5mKrp0Vvzr7lt3OU09vwQwhkpOPPYv2Y/edit?usp=sharing"",""งบพรบ!BN82"")"),0)</f>
        <v>0</v>
      </c>
      <c r="M82" s="87">
        <f t="shared" ca="1" si="28"/>
        <v>0</v>
      </c>
      <c r="N82" s="87">
        <f t="shared" ca="1" si="29"/>
        <v>0</v>
      </c>
      <c r="O82" s="86">
        <f ca="1">IFERROR(__xludf.DUMMYFUNCTION("IMPORTRANGE(""https://docs.google.com/spreadsheets/d/1-uDff_7J0KD5mKrp0Vvzr7lt3OU09vwQwhkpOPPYv2Y/edit?usp=sharing"",""งบพรบ!BO82"")"),0)</f>
        <v>0</v>
      </c>
      <c r="P82" s="86">
        <f t="shared" ca="1" si="30"/>
        <v>0</v>
      </c>
      <c r="Q82" s="87">
        <f t="shared" ca="1" si="31"/>
        <v>0</v>
      </c>
      <c r="R82" s="86">
        <f ca="1">IFERROR(__xludf.DUMMYFUNCTION("IMPORTRANGE(""https://docs.google.com/spreadsheets/d/17ht0gPKzzT3PObBL1XJkeRmntBXI7wGjpLV7QorqlTk/edit?usp=sharing"",""พัทลุง!Q117"")"),3541460)</f>
        <v>3541460</v>
      </c>
      <c r="S82" s="86">
        <f ca="1">IFERROR(__xludf.DUMMYFUNCTION("IMPORTRANGE(""https://docs.google.com/spreadsheets/d/17ht0gPKzzT3PObBL1XJkeRmntBXI7wGjpLV7QorqlTk/edit?usp=sharing"",""พัทลุง!R117"")"),0)</f>
        <v>0</v>
      </c>
      <c r="T82" s="86">
        <f ca="1">IFERROR(__xludf.DUMMYFUNCTION("IMPORTRANGE(""https://docs.google.com/spreadsheets/d/17ht0gPKzzT3PObBL1XJkeRmntBXI7wGjpLV7QorqlTk/edit?usp=sharing"",""พัทลุง!S117"")"),2440)</f>
        <v>2440</v>
      </c>
      <c r="U82" s="87">
        <f t="shared" ca="1" si="33"/>
        <v>6.8898138056055977E-2</v>
      </c>
      <c r="V82" s="87">
        <f t="shared" ca="1" si="34"/>
        <v>0</v>
      </c>
      <c r="W82" s="93">
        <f ca="1">IFERROR(__xludf.DUMMYFUNCTION("IMPORTRANGE(""https://docs.google.com/spreadsheets/d/17ht0gPKzzT3PObBL1XJkeRmntBXI7wGjpLV7QorqlTk/edit?usp=sharing"",""พัทลุง!I127"")"),15)</f>
        <v>15</v>
      </c>
      <c r="X82" s="93">
        <f ca="1">IFERROR(__xludf.DUMMYFUNCTION("IMPORTRANGE(""https://docs.google.com/spreadsheets/d/17ht0gPKzzT3PObBL1XJkeRmntBXI7wGjpLV7QorqlTk/edit?usp=sharing"",""พัทลุง!J127"")"),0)</f>
        <v>0</v>
      </c>
      <c r="Y82" s="177">
        <f t="shared" ca="1" si="36"/>
        <v>0</v>
      </c>
      <c r="Z82" s="93">
        <f ca="1">IFERROR(__xludf.DUMMYFUNCTION("IMPORTRANGE(""https://docs.google.com/spreadsheets/d/17ht0gPKzzT3PObBL1XJkeRmntBXI7wGjpLV7QorqlTk/edit?usp=sharing"",""พัทลุง!J128"")"),0)</f>
        <v>0</v>
      </c>
      <c r="AA82" s="93">
        <f ca="1">IFERROR(__xludf.DUMMYFUNCTION("IMPORTRANGE(""https://docs.google.com/spreadsheets/d/17ht0gPKzzT3PObBL1XJkeRmntBXI7wGjpLV7QorqlTk/edit?usp=sharing"",""พัทลุง!I129"")"),15)</f>
        <v>15</v>
      </c>
      <c r="AB82" s="93">
        <f ca="1">IFERROR(__xludf.DUMMYFUNCTION("IMPORTRANGE(""https://docs.google.com/spreadsheets/d/17ht0gPKzzT3PObBL1XJkeRmntBXI7wGjpLV7QorqlTk/edit?usp=sharing"",""พัทลุง!J129"")"),0)</f>
        <v>0</v>
      </c>
      <c r="AC82" s="177">
        <f t="shared" ca="1" si="38"/>
        <v>0</v>
      </c>
      <c r="AD82" s="177">
        <f ca="1">IFERROR(__xludf.DUMMYFUNCTION("IMPORTRANGE(""https://docs.google.com/spreadsheets/d/17ht0gPKzzT3PObBL1XJkeRmntBXI7wGjpLV7QorqlTk/edit?usp=sharing"",""พัทลุง!J130"")"),0)</f>
        <v>0</v>
      </c>
      <c r="AE82" s="216">
        <v>0</v>
      </c>
      <c r="AF82" s="216">
        <v>0</v>
      </c>
      <c r="AG82" s="219">
        <v>0</v>
      </c>
    </row>
    <row r="83" spans="1:33" ht="19.5" x14ac:dyDescent="0.3">
      <c r="A83" s="172">
        <v>9</v>
      </c>
      <c r="B83" s="173" t="s">
        <v>109</v>
      </c>
      <c r="C83" s="174">
        <f t="shared" ca="1" si="24"/>
        <v>0</v>
      </c>
      <c r="D83" s="175">
        <f t="shared" ca="1" si="54"/>
        <v>0</v>
      </c>
      <c r="E83" s="176">
        <f ca="1">IFERROR(__xludf.DUMMYFUNCTION("IMPORTRANGE(""https://docs.google.com/spreadsheets/d/1-uDff_7J0KD5mKrp0Vvzr7lt3OU09vwQwhkpOPPYv2Y/edit?usp=sharing"",""งบพรบ!BH83"")"),0)</f>
        <v>0</v>
      </c>
      <c r="F83" s="176">
        <f ca="1">IFERROR(__xludf.DUMMYFUNCTION("IMPORTRANGE(""https://docs.google.com/spreadsheets/d/1-uDff_7J0KD5mKrp0Vvzr7lt3OU09vwQwhkpOPPYv2Y/edit?usp=sharing"",""งบพรบ!BI83"")"),0)</f>
        <v>0</v>
      </c>
      <c r="G83" s="176">
        <f ca="1">IFERROR(__xludf.DUMMYFUNCTION("IMPORTRANGE(""https://docs.google.com/spreadsheets/d/1-uDff_7J0KD5mKrp0Vvzr7lt3OU09vwQwhkpOPPYv2Y/edit?usp=sharing"",""งบพรบ!BJ83"")"),0)</f>
        <v>0</v>
      </c>
      <c r="H83" s="176">
        <f ca="1">IFERROR(__xludf.DUMMYFUNCTION("IMPORTRANGE(""https://docs.google.com/spreadsheets/d/1-uDff_7J0KD5mKrp0Vvzr7lt3OU09vwQwhkpOPPYv2Y/edit?usp=sharing"",""งบพรบ!BL83"")"),0)</f>
        <v>0</v>
      </c>
      <c r="I83" s="176">
        <f ca="1">IFERROR(__xludf.DUMMYFUNCTION("IMPORTRANGE(""https://docs.google.com/spreadsheets/d/1-uDff_7J0KD5mKrp0Vvzr7lt3OU09vwQwhkpOPPYv2Y/edit?usp=sharing"",""งบพรบ!BM83"")"),0)</f>
        <v>0</v>
      </c>
      <c r="J83" s="176">
        <f t="shared" ca="1" si="26"/>
        <v>0</v>
      </c>
      <c r="K83" s="179">
        <f t="shared" ca="1" si="27"/>
        <v>0</v>
      </c>
      <c r="L83" s="176">
        <f ca="1">IFERROR(__xludf.DUMMYFUNCTION("IMPORTRANGE(""https://docs.google.com/spreadsheets/d/1-uDff_7J0KD5mKrp0Vvzr7lt3OU09vwQwhkpOPPYv2Y/edit?usp=sharing"",""งบพรบ!BN83"")"),0)</f>
        <v>0</v>
      </c>
      <c r="M83" s="87">
        <f t="shared" ca="1" si="28"/>
        <v>0</v>
      </c>
      <c r="N83" s="87">
        <f t="shared" ca="1" si="29"/>
        <v>0</v>
      </c>
      <c r="O83" s="86">
        <f ca="1">IFERROR(__xludf.DUMMYFUNCTION("IMPORTRANGE(""https://docs.google.com/spreadsheets/d/1-uDff_7J0KD5mKrp0Vvzr7lt3OU09vwQwhkpOPPYv2Y/edit?usp=sharing"",""งบพรบ!BO83"")"),0)</f>
        <v>0</v>
      </c>
      <c r="P83" s="86">
        <f t="shared" ca="1" si="30"/>
        <v>0</v>
      </c>
      <c r="Q83" s="87">
        <f t="shared" ca="1" si="31"/>
        <v>0</v>
      </c>
      <c r="R83" s="86">
        <f ca="1">IFERROR(__xludf.DUMMYFUNCTION("IMPORTRANGE(""https://docs.google.com/spreadsheets/d/1rd4qoM1q_hsgaolqNGfrim9gbsoLxQsda4-vOz5x_BM/edit?usp=sharing"",""ภูเก็ต!Q117"")"),173660)</f>
        <v>173660</v>
      </c>
      <c r="S83" s="86">
        <f ca="1">IFERROR(__xludf.DUMMYFUNCTION("IMPORTRANGE(""https://docs.google.com/spreadsheets/d/1rd4qoM1q_hsgaolqNGfrim9gbsoLxQsda4-vOz5x_BM/edit?usp=sharing"",""ภูเก็ต!R117"")"),0)</f>
        <v>0</v>
      </c>
      <c r="T83" s="86">
        <f ca="1">IFERROR(__xludf.DUMMYFUNCTION("IMPORTRANGE(""https://docs.google.com/spreadsheets/d/1rd4qoM1q_hsgaolqNGfrim9gbsoLxQsda4-vOz5x_BM/edit?usp=sharing"",""ภูเก็ต!S117"")"),6600)</f>
        <v>6600</v>
      </c>
      <c r="U83" s="87">
        <f t="shared" ca="1" si="33"/>
        <v>3.8005297708165382</v>
      </c>
      <c r="V83" s="87">
        <f t="shared" ca="1" si="34"/>
        <v>0</v>
      </c>
      <c r="W83" s="93">
        <f ca="1">IFERROR(__xludf.DUMMYFUNCTION("IMPORTRANGE(""https://docs.google.com/spreadsheets/d/1rd4qoM1q_hsgaolqNGfrim9gbsoLxQsda4-vOz5x_BM/edit?usp=sharing"",""ภูเก็ต!I127"")"),10)</f>
        <v>10</v>
      </c>
      <c r="X83" s="93">
        <f ca="1">IFERROR(__xludf.DUMMYFUNCTION("IMPORTRANGE(""https://docs.google.com/spreadsheets/d/1rd4qoM1q_hsgaolqNGfrim9gbsoLxQsda4-vOz5x_BM/edit?usp=sharing"",""ภูเก็ต!J127"")"),0)</f>
        <v>0</v>
      </c>
      <c r="Y83" s="177">
        <f t="shared" ca="1" si="36"/>
        <v>0</v>
      </c>
      <c r="Z83" s="93">
        <f ca="1">IFERROR(__xludf.DUMMYFUNCTION("IMPORTRANGE(""https://docs.google.com/spreadsheets/d/1rd4qoM1q_hsgaolqNGfrim9gbsoLxQsda4-vOz5x_BM/edit?usp=sharing"",""ภูเก็ต!J128"")"),0)</f>
        <v>0</v>
      </c>
      <c r="AA83" s="93">
        <f ca="1">IFERROR(__xludf.DUMMYFUNCTION("IMPORTRANGE(""https://docs.google.com/spreadsheets/d/1rd4qoM1q_hsgaolqNGfrim9gbsoLxQsda4-vOz5x_BM/edit?usp=sharing"",""ภูเก็ต!I129"")"),10)</f>
        <v>10</v>
      </c>
      <c r="AB83" s="93">
        <f ca="1">IFERROR(__xludf.DUMMYFUNCTION("IMPORTRANGE(""https://docs.google.com/spreadsheets/d/1rd4qoM1q_hsgaolqNGfrim9gbsoLxQsda4-vOz5x_BM/edit?usp=sharing"",""ภูเก็ต!J129"")"),0)</f>
        <v>0</v>
      </c>
      <c r="AC83" s="177">
        <f t="shared" ca="1" si="38"/>
        <v>0</v>
      </c>
      <c r="AD83" s="177">
        <f ca="1">IFERROR(__xludf.DUMMYFUNCTION("IMPORTRANGE(""https://docs.google.com/spreadsheets/d/1rd4qoM1q_hsgaolqNGfrim9gbsoLxQsda4-vOz5x_BM/edit?usp=sharing"",""ภูเก็ต!J130"")"),0)</f>
        <v>0</v>
      </c>
      <c r="AE83" s="216">
        <v>0</v>
      </c>
      <c r="AF83" s="216">
        <v>0</v>
      </c>
      <c r="AG83" s="219">
        <v>0</v>
      </c>
    </row>
    <row r="84" spans="1:33" ht="19.5" x14ac:dyDescent="0.3">
      <c r="A84" s="172">
        <v>10</v>
      </c>
      <c r="B84" s="173" t="s">
        <v>110</v>
      </c>
      <c r="C84" s="174">
        <f t="shared" ca="1" si="24"/>
        <v>0</v>
      </c>
      <c r="D84" s="175">
        <f t="shared" ca="1" si="54"/>
        <v>0</v>
      </c>
      <c r="E84" s="176">
        <f ca="1">IFERROR(__xludf.DUMMYFUNCTION("IMPORTRANGE(""https://docs.google.com/spreadsheets/d/1-uDff_7J0KD5mKrp0Vvzr7lt3OU09vwQwhkpOPPYv2Y/edit?usp=sharing"",""งบพรบ!BH84"")"),0)</f>
        <v>0</v>
      </c>
      <c r="F84" s="176">
        <f ca="1">IFERROR(__xludf.DUMMYFUNCTION("IMPORTRANGE(""https://docs.google.com/spreadsheets/d/1-uDff_7J0KD5mKrp0Vvzr7lt3OU09vwQwhkpOPPYv2Y/edit?usp=sharing"",""งบพรบ!BI84"")"),0)</f>
        <v>0</v>
      </c>
      <c r="G84" s="176">
        <f ca="1">IFERROR(__xludf.DUMMYFUNCTION("IMPORTRANGE(""https://docs.google.com/spreadsheets/d/1-uDff_7J0KD5mKrp0Vvzr7lt3OU09vwQwhkpOPPYv2Y/edit?usp=sharing"",""งบพรบ!BJ84"")"),0)</f>
        <v>0</v>
      </c>
      <c r="H84" s="176">
        <f ca="1">IFERROR(__xludf.DUMMYFUNCTION("IMPORTRANGE(""https://docs.google.com/spreadsheets/d/1-uDff_7J0KD5mKrp0Vvzr7lt3OU09vwQwhkpOPPYv2Y/edit?usp=sharing"",""งบพรบ!BL84"")"),0)</f>
        <v>0</v>
      </c>
      <c r="I84" s="176">
        <f ca="1">IFERROR(__xludf.DUMMYFUNCTION("IMPORTRANGE(""https://docs.google.com/spreadsheets/d/1-uDff_7J0KD5mKrp0Vvzr7lt3OU09vwQwhkpOPPYv2Y/edit?usp=sharing"",""งบพรบ!BM84"")"),0)</f>
        <v>0</v>
      </c>
      <c r="J84" s="176">
        <f t="shared" ca="1" si="26"/>
        <v>0</v>
      </c>
      <c r="K84" s="179">
        <f t="shared" ca="1" si="27"/>
        <v>0</v>
      </c>
      <c r="L84" s="176">
        <f ca="1">IFERROR(__xludf.DUMMYFUNCTION("IMPORTRANGE(""https://docs.google.com/spreadsheets/d/1-uDff_7J0KD5mKrp0Vvzr7lt3OU09vwQwhkpOPPYv2Y/edit?usp=sharing"",""งบพรบ!BN84"")"),0)</f>
        <v>0</v>
      </c>
      <c r="M84" s="87">
        <f t="shared" ca="1" si="28"/>
        <v>0</v>
      </c>
      <c r="N84" s="87">
        <f t="shared" ca="1" si="29"/>
        <v>0</v>
      </c>
      <c r="O84" s="86">
        <f ca="1">IFERROR(__xludf.DUMMYFUNCTION("IMPORTRANGE(""https://docs.google.com/spreadsheets/d/1-uDff_7J0KD5mKrp0Vvzr7lt3OU09vwQwhkpOPPYv2Y/edit?usp=sharing"",""งบพรบ!BO84"")"),0)</f>
        <v>0</v>
      </c>
      <c r="P84" s="86">
        <f t="shared" ca="1" si="30"/>
        <v>0</v>
      </c>
      <c r="Q84" s="87">
        <f t="shared" ca="1" si="31"/>
        <v>0</v>
      </c>
      <c r="R84" s="86">
        <f ca="1">IFERROR(__xludf.DUMMYFUNCTION("IMPORTRANGE(""https://docs.google.com/spreadsheets/d/1woKwKjgoLssDvPcPeVyezB5izizAn4X1JDrys69n6xI/edit?usp=sharing"",""ยะลา!Q117"")"),191460)</f>
        <v>191460</v>
      </c>
      <c r="S84" s="86">
        <f ca="1">IFERROR(__xludf.DUMMYFUNCTION("IMPORTRANGE(""https://docs.google.com/spreadsheets/d/1woKwKjgoLssDvPcPeVyezB5izizAn4X1JDrys69n6xI/edit?usp=sharing"",""ยะลา!R117"")"),0)</f>
        <v>0</v>
      </c>
      <c r="T84" s="86">
        <f ca="1">IFERROR(__xludf.DUMMYFUNCTION("IMPORTRANGE(""https://docs.google.com/spreadsheets/d/1woKwKjgoLssDvPcPeVyezB5izizAn4X1JDrys69n6xI/edit?usp=sharing"",""ยะลา!S117"")"),27200)</f>
        <v>27200</v>
      </c>
      <c r="U84" s="87">
        <f t="shared" ca="1" si="33"/>
        <v>14.206622793272746</v>
      </c>
      <c r="V84" s="87">
        <f t="shared" ca="1" si="34"/>
        <v>0</v>
      </c>
      <c r="W84" s="93">
        <f ca="1">IFERROR(__xludf.DUMMYFUNCTION("IMPORTRANGE(""https://docs.google.com/spreadsheets/d/1woKwKjgoLssDvPcPeVyezB5izizAn4X1JDrys69n6xI/edit?usp=sharing"",""ยะลา!I127"")"),15)</f>
        <v>15</v>
      </c>
      <c r="X84" s="93">
        <f ca="1">IFERROR(__xludf.DUMMYFUNCTION("IMPORTRANGE(""https://docs.google.com/spreadsheets/d/1woKwKjgoLssDvPcPeVyezB5izizAn4X1JDrys69n6xI/edit?usp=sharing"",""ยะลา!J127"")"),0)</f>
        <v>0</v>
      </c>
      <c r="Y84" s="177">
        <f t="shared" ca="1" si="36"/>
        <v>0</v>
      </c>
      <c r="Z84" s="93">
        <f ca="1">IFERROR(__xludf.DUMMYFUNCTION("IMPORTRANGE(""https://docs.google.com/spreadsheets/d/1woKwKjgoLssDvPcPeVyezB5izizAn4X1JDrys69n6xI/edit?usp=sharing"",""ยะลา!J128"")"),0)</f>
        <v>0</v>
      </c>
      <c r="AA84" s="93">
        <f ca="1">IFERROR(__xludf.DUMMYFUNCTION("IMPORTRANGE(""https://docs.google.com/spreadsheets/d/1woKwKjgoLssDvPcPeVyezB5izizAn4X1JDrys69n6xI/edit?usp=sharing"",""ยะลา!I129"")"),15)</f>
        <v>15</v>
      </c>
      <c r="AB84" s="93">
        <f ca="1">IFERROR(__xludf.DUMMYFUNCTION("IMPORTRANGE(""https://docs.google.com/spreadsheets/d/1woKwKjgoLssDvPcPeVyezB5izizAn4X1JDrys69n6xI/edit?usp=sharing"",""ยะลา!J129"")"),0)</f>
        <v>0</v>
      </c>
      <c r="AC84" s="177">
        <f t="shared" ca="1" si="38"/>
        <v>0</v>
      </c>
      <c r="AD84" s="177">
        <f ca="1">IFERROR(__xludf.DUMMYFUNCTION("IMPORTRANGE(""https://docs.google.com/spreadsheets/d/1woKwKjgoLssDvPcPeVyezB5izizAn4X1JDrys69n6xI/edit?usp=sharing"",""ยะลา!J130"")"),0)</f>
        <v>0</v>
      </c>
      <c r="AE84" s="216">
        <v>0</v>
      </c>
      <c r="AF84" s="216">
        <v>0</v>
      </c>
      <c r="AG84" s="219">
        <v>0</v>
      </c>
    </row>
    <row r="85" spans="1:33" ht="19.5" x14ac:dyDescent="0.3">
      <c r="A85" s="172">
        <v>11</v>
      </c>
      <c r="B85" s="173" t="s">
        <v>111</v>
      </c>
      <c r="C85" s="174">
        <f t="shared" ca="1" si="24"/>
        <v>0</v>
      </c>
      <c r="D85" s="175">
        <f t="shared" ca="1" si="54"/>
        <v>0</v>
      </c>
      <c r="E85" s="176">
        <f ca="1">IFERROR(__xludf.DUMMYFUNCTION("IMPORTRANGE(""https://docs.google.com/spreadsheets/d/1-uDff_7J0KD5mKrp0Vvzr7lt3OU09vwQwhkpOPPYv2Y/edit?usp=sharing"",""งบพรบ!BH85"")"),0)</f>
        <v>0</v>
      </c>
      <c r="F85" s="176">
        <f ca="1">IFERROR(__xludf.DUMMYFUNCTION("IMPORTRANGE(""https://docs.google.com/spreadsheets/d/1-uDff_7J0KD5mKrp0Vvzr7lt3OU09vwQwhkpOPPYv2Y/edit?usp=sharing"",""งบพรบ!BI85"")"),0)</f>
        <v>0</v>
      </c>
      <c r="G85" s="176">
        <f ca="1">IFERROR(__xludf.DUMMYFUNCTION("IMPORTRANGE(""https://docs.google.com/spreadsheets/d/1-uDff_7J0KD5mKrp0Vvzr7lt3OU09vwQwhkpOPPYv2Y/edit?usp=sharing"",""งบพรบ!BJ85"")"),0)</f>
        <v>0</v>
      </c>
      <c r="H85" s="176">
        <f ca="1">IFERROR(__xludf.DUMMYFUNCTION("IMPORTRANGE(""https://docs.google.com/spreadsheets/d/1-uDff_7J0KD5mKrp0Vvzr7lt3OU09vwQwhkpOPPYv2Y/edit?usp=sharing"",""งบพรบ!BL85"")"),0)</f>
        <v>0</v>
      </c>
      <c r="I85" s="176">
        <f ca="1">IFERROR(__xludf.DUMMYFUNCTION("IMPORTRANGE(""https://docs.google.com/spreadsheets/d/1-uDff_7J0KD5mKrp0Vvzr7lt3OU09vwQwhkpOPPYv2Y/edit?usp=sharing"",""งบพรบ!BM85"")"),0)</f>
        <v>0</v>
      </c>
      <c r="J85" s="176">
        <f t="shared" ca="1" si="26"/>
        <v>0</v>
      </c>
      <c r="K85" s="179">
        <f t="shared" ca="1" si="27"/>
        <v>0</v>
      </c>
      <c r="L85" s="176">
        <f ca="1">IFERROR(__xludf.DUMMYFUNCTION("IMPORTRANGE(""https://docs.google.com/spreadsheets/d/1-uDff_7J0KD5mKrp0Vvzr7lt3OU09vwQwhkpOPPYv2Y/edit?usp=sharing"",""งบพรบ!BN85"")"),0)</f>
        <v>0</v>
      </c>
      <c r="M85" s="87">
        <f t="shared" ca="1" si="28"/>
        <v>0</v>
      </c>
      <c r="N85" s="87">
        <f t="shared" ca="1" si="29"/>
        <v>0</v>
      </c>
      <c r="O85" s="86">
        <f ca="1">IFERROR(__xludf.DUMMYFUNCTION("IMPORTRANGE(""https://docs.google.com/spreadsheets/d/1-uDff_7J0KD5mKrp0Vvzr7lt3OU09vwQwhkpOPPYv2Y/edit?usp=sharing"",""งบพรบ!BO85"")"),0)</f>
        <v>0</v>
      </c>
      <c r="P85" s="86">
        <f t="shared" ca="1" si="30"/>
        <v>0</v>
      </c>
      <c r="Q85" s="87">
        <f t="shared" ca="1" si="31"/>
        <v>0</v>
      </c>
      <c r="R85" s="86">
        <f ca="1">IFERROR(__xludf.DUMMYFUNCTION("IMPORTRANGE(""https://docs.google.com/spreadsheets/d/1qfrKjzMhm2HJfxQ-qVlJlJQ25Hne1d0khsySbZyGtPA/edit?usp=sharing"",""ระนอง!Q117"")"),191460)</f>
        <v>191460</v>
      </c>
      <c r="S85" s="86">
        <f ca="1">IFERROR(__xludf.DUMMYFUNCTION("IMPORTRANGE(""https://docs.google.com/spreadsheets/d/1qfrKjzMhm2HJfxQ-qVlJlJQ25Hne1d0khsySbZyGtPA/edit?usp=sharing"",""ระนอง!R117"")"),0)</f>
        <v>0</v>
      </c>
      <c r="T85" s="86">
        <f ca="1">IFERROR(__xludf.DUMMYFUNCTION("IMPORTRANGE(""https://docs.google.com/spreadsheets/d/1qfrKjzMhm2HJfxQ-qVlJlJQ25Hne1d0khsySbZyGtPA/edit?usp=sharing"",""ระนอง!S117"")"),0)</f>
        <v>0</v>
      </c>
      <c r="U85" s="87">
        <f t="shared" ca="1" si="33"/>
        <v>0</v>
      </c>
      <c r="V85" s="87">
        <f t="shared" ca="1" si="34"/>
        <v>0</v>
      </c>
      <c r="W85" s="93">
        <f ca="1">IFERROR(__xludf.DUMMYFUNCTION("IMPORTRANGE(""https://docs.google.com/spreadsheets/d/1qfrKjzMhm2HJfxQ-qVlJlJQ25Hne1d0khsySbZyGtPA/edit?usp=sharing"",""ระนอง!I127"")"),15)</f>
        <v>15</v>
      </c>
      <c r="X85" s="93">
        <f ca="1">IFERROR(__xludf.DUMMYFUNCTION("IMPORTRANGE(""https://docs.google.com/spreadsheets/d/1qfrKjzMhm2HJfxQ-qVlJlJQ25Hne1d0khsySbZyGtPA/edit?usp=sharing"",""ระนอง!J127"")"),0)</f>
        <v>0</v>
      </c>
      <c r="Y85" s="177">
        <f t="shared" ca="1" si="36"/>
        <v>0</v>
      </c>
      <c r="Z85" s="93">
        <f ca="1">IFERROR(__xludf.DUMMYFUNCTION("IMPORTRANGE(""https://docs.google.com/spreadsheets/d/1qfrKjzMhm2HJfxQ-qVlJlJQ25Hne1d0khsySbZyGtPA/edit?usp=sharing"",""ระนอง!J128"")"),0)</f>
        <v>0</v>
      </c>
      <c r="AA85" s="93">
        <f ca="1">IFERROR(__xludf.DUMMYFUNCTION("IMPORTRANGE(""https://docs.google.com/spreadsheets/d/1qfrKjzMhm2HJfxQ-qVlJlJQ25Hne1d0khsySbZyGtPA/edit?usp=sharing"",""ระนอง!I129"")"),15)</f>
        <v>15</v>
      </c>
      <c r="AB85" s="93">
        <f ca="1">IFERROR(__xludf.DUMMYFUNCTION("IMPORTRANGE(""https://docs.google.com/spreadsheets/d/1qfrKjzMhm2HJfxQ-qVlJlJQ25Hne1d0khsySbZyGtPA/edit?usp=sharing"",""ระนอง!J129"")"),0)</f>
        <v>0</v>
      </c>
      <c r="AC85" s="177">
        <f t="shared" ca="1" si="38"/>
        <v>0</v>
      </c>
      <c r="AD85" s="177">
        <f ca="1">IFERROR(__xludf.DUMMYFUNCTION("IMPORTRANGE(""https://docs.google.com/spreadsheets/d/1qfrKjzMhm2HJfxQ-qVlJlJQ25Hne1d0khsySbZyGtPA/edit?usp=sharing"",""ระนอง!J130"")"),0)</f>
        <v>0</v>
      </c>
      <c r="AE85" s="216">
        <v>0</v>
      </c>
      <c r="AF85" s="216">
        <v>0</v>
      </c>
      <c r="AG85" s="219">
        <v>0</v>
      </c>
    </row>
    <row r="86" spans="1:33" ht="19.5" x14ac:dyDescent="0.3">
      <c r="A86" s="172">
        <v>12</v>
      </c>
      <c r="B86" s="173" t="s">
        <v>112</v>
      </c>
      <c r="C86" s="174">
        <f t="shared" ca="1" si="24"/>
        <v>0</v>
      </c>
      <c r="D86" s="175">
        <f t="shared" ca="1" si="54"/>
        <v>0</v>
      </c>
      <c r="E86" s="176">
        <f ca="1">IFERROR(__xludf.DUMMYFUNCTION("IMPORTRANGE(""https://docs.google.com/spreadsheets/d/1-uDff_7J0KD5mKrp0Vvzr7lt3OU09vwQwhkpOPPYv2Y/edit?usp=sharing"",""งบพรบ!BH86"")"),0)</f>
        <v>0</v>
      </c>
      <c r="F86" s="176">
        <f ca="1">IFERROR(__xludf.DUMMYFUNCTION("IMPORTRANGE(""https://docs.google.com/spreadsheets/d/1-uDff_7J0KD5mKrp0Vvzr7lt3OU09vwQwhkpOPPYv2Y/edit?usp=sharing"",""งบพรบ!BI86"")"),0)</f>
        <v>0</v>
      </c>
      <c r="G86" s="176">
        <f ca="1">IFERROR(__xludf.DUMMYFUNCTION("IMPORTRANGE(""https://docs.google.com/spreadsheets/d/1-uDff_7J0KD5mKrp0Vvzr7lt3OU09vwQwhkpOPPYv2Y/edit?usp=sharing"",""งบพรบ!BJ86"")"),0)</f>
        <v>0</v>
      </c>
      <c r="H86" s="176">
        <f ca="1">IFERROR(__xludf.DUMMYFUNCTION("IMPORTRANGE(""https://docs.google.com/spreadsheets/d/1-uDff_7J0KD5mKrp0Vvzr7lt3OU09vwQwhkpOPPYv2Y/edit?usp=sharing"",""งบพรบ!BL86"")"),0)</f>
        <v>0</v>
      </c>
      <c r="I86" s="176">
        <f ca="1">IFERROR(__xludf.DUMMYFUNCTION("IMPORTRANGE(""https://docs.google.com/spreadsheets/d/1-uDff_7J0KD5mKrp0Vvzr7lt3OU09vwQwhkpOPPYv2Y/edit?usp=sharing"",""งบพรบ!BM86"")"),0)</f>
        <v>0</v>
      </c>
      <c r="J86" s="176">
        <f t="shared" ca="1" si="26"/>
        <v>0</v>
      </c>
      <c r="K86" s="179">
        <f t="shared" ca="1" si="27"/>
        <v>0</v>
      </c>
      <c r="L86" s="176">
        <f ca="1">IFERROR(__xludf.DUMMYFUNCTION("IMPORTRANGE(""https://docs.google.com/spreadsheets/d/1-uDff_7J0KD5mKrp0Vvzr7lt3OU09vwQwhkpOPPYv2Y/edit?usp=sharing"",""งบพรบ!BN86"")"),0)</f>
        <v>0</v>
      </c>
      <c r="M86" s="87">
        <f t="shared" ca="1" si="28"/>
        <v>0</v>
      </c>
      <c r="N86" s="87">
        <f t="shared" ca="1" si="29"/>
        <v>0</v>
      </c>
      <c r="O86" s="86">
        <f ca="1">IFERROR(__xludf.DUMMYFUNCTION("IMPORTRANGE(""https://docs.google.com/spreadsheets/d/1-uDff_7J0KD5mKrp0Vvzr7lt3OU09vwQwhkpOPPYv2Y/edit?usp=sharing"",""งบพรบ!BO86"")"),0)</f>
        <v>0</v>
      </c>
      <c r="P86" s="86">
        <f t="shared" ca="1" si="30"/>
        <v>0</v>
      </c>
      <c r="Q86" s="87">
        <f t="shared" ca="1" si="31"/>
        <v>0</v>
      </c>
      <c r="R86" s="86">
        <f ca="1">IFERROR(__xludf.DUMMYFUNCTION("IMPORTRANGE(""https://docs.google.com/spreadsheets/d/1IbSCnFOKpZsnFogBHJnL_isstZVaOMnFiIN0fGTPZZw/edit?usp=sharing"",""สงขลา!Q117"")"),209360)</f>
        <v>209360</v>
      </c>
      <c r="S86" s="86">
        <f ca="1">IFERROR(__xludf.DUMMYFUNCTION("IMPORTRANGE(""https://docs.google.com/spreadsheets/d/1IbSCnFOKpZsnFogBHJnL_isstZVaOMnFiIN0fGTPZZw/edit?usp=sharing"",""สงขลา!R117"")"),0)</f>
        <v>0</v>
      </c>
      <c r="T86" s="86">
        <f ca="1">IFERROR(__xludf.DUMMYFUNCTION("IMPORTRANGE(""https://docs.google.com/spreadsheets/d/1IbSCnFOKpZsnFogBHJnL_isstZVaOMnFiIN0fGTPZZw/edit?usp=sharing"",""สงขลา!S117"")"),0)</f>
        <v>0</v>
      </c>
      <c r="U86" s="87">
        <f t="shared" ca="1" si="33"/>
        <v>0</v>
      </c>
      <c r="V86" s="87">
        <f t="shared" ca="1" si="34"/>
        <v>0</v>
      </c>
      <c r="W86" s="93">
        <f ca="1">IFERROR(__xludf.DUMMYFUNCTION("IMPORTRANGE(""https://docs.google.com/spreadsheets/d/1IbSCnFOKpZsnFogBHJnL_isstZVaOMnFiIN0fGTPZZw/edit?usp=sharing"",""สงขลา!I127"")"),20)</f>
        <v>20</v>
      </c>
      <c r="X86" s="93">
        <f ca="1">IFERROR(__xludf.DUMMYFUNCTION("IMPORTRANGE(""https://docs.google.com/spreadsheets/d/1IbSCnFOKpZsnFogBHJnL_isstZVaOMnFiIN0fGTPZZw/edit?usp=sharing"",""สงขลา!J127"")"),0)</f>
        <v>0</v>
      </c>
      <c r="Y86" s="177">
        <f t="shared" ca="1" si="36"/>
        <v>0</v>
      </c>
      <c r="Z86" s="93">
        <f ca="1">IFERROR(__xludf.DUMMYFUNCTION("IMPORTRANGE(""https://docs.google.com/spreadsheets/d/1IbSCnFOKpZsnFogBHJnL_isstZVaOMnFiIN0fGTPZZw/edit?usp=sharing"",""สงขลา!J128"")"),0)</f>
        <v>0</v>
      </c>
      <c r="AA86" s="93">
        <f ca="1">IFERROR(__xludf.DUMMYFUNCTION("IMPORTRANGE(""https://docs.google.com/spreadsheets/d/1IbSCnFOKpZsnFogBHJnL_isstZVaOMnFiIN0fGTPZZw/edit?usp=sharing"",""สงขลา!I129"")"),20)</f>
        <v>20</v>
      </c>
      <c r="AB86" s="93">
        <f ca="1">IFERROR(__xludf.DUMMYFUNCTION("IMPORTRANGE(""https://docs.google.com/spreadsheets/d/1IbSCnFOKpZsnFogBHJnL_isstZVaOMnFiIN0fGTPZZw/edit?usp=sharing"",""สงขลา!J129"")"),0)</f>
        <v>0</v>
      </c>
      <c r="AC86" s="177">
        <f t="shared" ca="1" si="38"/>
        <v>0</v>
      </c>
      <c r="AD86" s="177">
        <f ca="1">IFERROR(__xludf.DUMMYFUNCTION("IMPORTRANGE(""https://docs.google.com/spreadsheets/d/1IbSCnFOKpZsnFogBHJnL_isstZVaOMnFiIN0fGTPZZw/edit?usp=sharing"",""สงขลา!J130"")"),0)</f>
        <v>0</v>
      </c>
      <c r="AE86" s="216">
        <v>0</v>
      </c>
      <c r="AF86" s="216">
        <v>0</v>
      </c>
      <c r="AG86" s="219">
        <v>0</v>
      </c>
    </row>
    <row r="87" spans="1:33" ht="19.5" x14ac:dyDescent="0.3">
      <c r="A87" s="172">
        <v>13</v>
      </c>
      <c r="B87" s="173" t="s">
        <v>113</v>
      </c>
      <c r="C87" s="174">
        <f t="shared" ca="1" si="24"/>
        <v>0</v>
      </c>
      <c r="D87" s="175">
        <f t="shared" ca="1" si="54"/>
        <v>0</v>
      </c>
      <c r="E87" s="176">
        <f ca="1">IFERROR(__xludf.DUMMYFUNCTION("IMPORTRANGE(""https://docs.google.com/spreadsheets/d/1-uDff_7J0KD5mKrp0Vvzr7lt3OU09vwQwhkpOPPYv2Y/edit?usp=sharing"",""งบพรบ!BH87"")"),0)</f>
        <v>0</v>
      </c>
      <c r="F87" s="176">
        <f ca="1">IFERROR(__xludf.DUMMYFUNCTION("IMPORTRANGE(""https://docs.google.com/spreadsheets/d/1-uDff_7J0KD5mKrp0Vvzr7lt3OU09vwQwhkpOPPYv2Y/edit?usp=sharing"",""งบพรบ!BI87"")"),0)</f>
        <v>0</v>
      </c>
      <c r="G87" s="176">
        <f ca="1">IFERROR(__xludf.DUMMYFUNCTION("IMPORTRANGE(""https://docs.google.com/spreadsheets/d/1-uDff_7J0KD5mKrp0Vvzr7lt3OU09vwQwhkpOPPYv2Y/edit?usp=sharing"",""งบพรบ!BJ87"")"),0)</f>
        <v>0</v>
      </c>
      <c r="H87" s="176">
        <f ca="1">IFERROR(__xludf.DUMMYFUNCTION("IMPORTRANGE(""https://docs.google.com/spreadsheets/d/1-uDff_7J0KD5mKrp0Vvzr7lt3OU09vwQwhkpOPPYv2Y/edit?usp=sharing"",""งบพรบ!BL87"")"),0)</f>
        <v>0</v>
      </c>
      <c r="I87" s="176">
        <f ca="1">IFERROR(__xludf.DUMMYFUNCTION("IMPORTRANGE(""https://docs.google.com/spreadsheets/d/1-uDff_7J0KD5mKrp0Vvzr7lt3OU09vwQwhkpOPPYv2Y/edit?usp=sharing"",""งบพรบ!BM87"")"),0)</f>
        <v>0</v>
      </c>
      <c r="J87" s="176">
        <f t="shared" ca="1" si="26"/>
        <v>0</v>
      </c>
      <c r="K87" s="179">
        <f t="shared" ca="1" si="27"/>
        <v>0</v>
      </c>
      <c r="L87" s="176">
        <f ca="1">IFERROR(__xludf.DUMMYFUNCTION("IMPORTRANGE(""https://docs.google.com/spreadsheets/d/1-uDff_7J0KD5mKrp0Vvzr7lt3OU09vwQwhkpOPPYv2Y/edit?usp=sharing"",""งบพรบ!BN87"")"),0)</f>
        <v>0</v>
      </c>
      <c r="M87" s="87">
        <f t="shared" ca="1" si="28"/>
        <v>0</v>
      </c>
      <c r="N87" s="87">
        <f t="shared" ca="1" si="29"/>
        <v>0</v>
      </c>
      <c r="O87" s="86">
        <f ca="1">IFERROR(__xludf.DUMMYFUNCTION("IMPORTRANGE(""https://docs.google.com/spreadsheets/d/1-uDff_7J0KD5mKrp0Vvzr7lt3OU09vwQwhkpOPPYv2Y/edit?usp=sharing"",""งบพรบ!BO87"")"),0)</f>
        <v>0</v>
      </c>
      <c r="P87" s="86">
        <f t="shared" ca="1" si="30"/>
        <v>0</v>
      </c>
      <c r="Q87" s="87">
        <f t="shared" ca="1" si="31"/>
        <v>0</v>
      </c>
      <c r="R87" s="86">
        <f ca="1">IFERROR(__xludf.DUMMYFUNCTION("IMPORTRANGE(""https://docs.google.com/spreadsheets/d/1q9nWasZJ-K8bFGvbE9n0qSRuKGA4Toe3Y89cKCiVtCU/edit?usp=sharing"",""สตูล!Q117"")"),173660)</f>
        <v>173660</v>
      </c>
      <c r="S87" s="86">
        <f ca="1">IFERROR(__xludf.DUMMYFUNCTION("IMPORTRANGE(""https://docs.google.com/spreadsheets/d/1q9nWasZJ-K8bFGvbE9n0qSRuKGA4Toe3Y89cKCiVtCU/edit?usp=sharing"",""สตูล!R117"")"),0)</f>
        <v>0</v>
      </c>
      <c r="T87" s="86">
        <f ca="1">IFERROR(__xludf.DUMMYFUNCTION("IMPORTRANGE(""https://docs.google.com/spreadsheets/d/1q9nWasZJ-K8bFGvbE9n0qSRuKGA4Toe3Y89cKCiVtCU/edit?usp=sharing"",""สตูล!S117"")"),0)</f>
        <v>0</v>
      </c>
      <c r="U87" s="87">
        <f t="shared" ca="1" si="33"/>
        <v>0</v>
      </c>
      <c r="V87" s="87">
        <f t="shared" ca="1" si="34"/>
        <v>0</v>
      </c>
      <c r="W87" s="93">
        <f ca="1">IFERROR(__xludf.DUMMYFUNCTION("IMPORTRANGE(""https://docs.google.com/spreadsheets/d/1q9nWasZJ-K8bFGvbE9n0qSRuKGA4Toe3Y89cKCiVtCU/edit?usp=sharing"",""สตูล!I127"")"),10)</f>
        <v>10</v>
      </c>
      <c r="X87" s="93">
        <f ca="1">IFERROR(__xludf.DUMMYFUNCTION("IMPORTRANGE(""https://docs.google.com/spreadsheets/d/1q9nWasZJ-K8bFGvbE9n0qSRuKGA4Toe3Y89cKCiVtCU/edit?usp=sharing"",""สตูล!J127"")"),0)</f>
        <v>0</v>
      </c>
      <c r="Y87" s="177">
        <f t="shared" ca="1" si="36"/>
        <v>0</v>
      </c>
      <c r="Z87" s="93">
        <f ca="1">IFERROR(__xludf.DUMMYFUNCTION("IMPORTRANGE(""https://docs.google.com/spreadsheets/d/1q9nWasZJ-K8bFGvbE9n0qSRuKGA4Toe3Y89cKCiVtCU/edit?usp=sharing"",""สตูล!J128"")"),0)</f>
        <v>0</v>
      </c>
      <c r="AA87" s="93">
        <f ca="1">IFERROR(__xludf.DUMMYFUNCTION("IMPORTRANGE(""https://docs.google.com/spreadsheets/d/1q9nWasZJ-K8bFGvbE9n0qSRuKGA4Toe3Y89cKCiVtCU/edit?usp=sharing"",""สตูล!I129"")"),10)</f>
        <v>10</v>
      </c>
      <c r="AB87" s="93">
        <f ca="1">IFERROR(__xludf.DUMMYFUNCTION("IMPORTRANGE(""https://docs.google.com/spreadsheets/d/1q9nWasZJ-K8bFGvbE9n0qSRuKGA4Toe3Y89cKCiVtCU/edit?usp=sharing"",""สตูล!J129"")"),0)</f>
        <v>0</v>
      </c>
      <c r="AC87" s="177">
        <f t="shared" ca="1" si="38"/>
        <v>0</v>
      </c>
      <c r="AD87" s="177">
        <f ca="1">IFERROR(__xludf.DUMMYFUNCTION("IMPORTRANGE(""https://docs.google.com/spreadsheets/d/1q9nWasZJ-K8bFGvbE9n0qSRuKGA4Toe3Y89cKCiVtCU/edit?usp=sharing"",""สตูล!J130"")"),0)</f>
        <v>0</v>
      </c>
      <c r="AE87" s="216">
        <v>0</v>
      </c>
      <c r="AF87" s="216">
        <v>0</v>
      </c>
      <c r="AG87" s="219">
        <v>0</v>
      </c>
    </row>
    <row r="88" spans="1:33" ht="19.5" x14ac:dyDescent="0.3">
      <c r="A88" s="180">
        <v>14</v>
      </c>
      <c r="B88" s="181" t="s">
        <v>114</v>
      </c>
      <c r="C88" s="182">
        <f t="shared" ca="1" si="24"/>
        <v>0</v>
      </c>
      <c r="D88" s="183">
        <f t="shared" ca="1" si="54"/>
        <v>0</v>
      </c>
      <c r="E88" s="184">
        <f ca="1">IFERROR(__xludf.DUMMYFUNCTION("IMPORTRANGE(""https://docs.google.com/spreadsheets/d/1-uDff_7J0KD5mKrp0Vvzr7lt3OU09vwQwhkpOPPYv2Y/edit?usp=sharing"",""งบพรบ!BH88"")"),0)</f>
        <v>0</v>
      </c>
      <c r="F88" s="184">
        <f ca="1">IFERROR(__xludf.DUMMYFUNCTION("IMPORTRANGE(""https://docs.google.com/spreadsheets/d/1-uDff_7J0KD5mKrp0Vvzr7lt3OU09vwQwhkpOPPYv2Y/edit?usp=sharing"",""งบพรบ!BI88"")"),0)</f>
        <v>0</v>
      </c>
      <c r="G88" s="184">
        <f ca="1">IFERROR(__xludf.DUMMYFUNCTION("IMPORTRANGE(""https://docs.google.com/spreadsheets/d/1-uDff_7J0KD5mKrp0Vvzr7lt3OU09vwQwhkpOPPYv2Y/edit?usp=sharing"",""งบพรบ!BJ88"")"),0)</f>
        <v>0</v>
      </c>
      <c r="H88" s="184">
        <f ca="1">IFERROR(__xludf.DUMMYFUNCTION("IMPORTRANGE(""https://docs.google.com/spreadsheets/d/1-uDff_7J0KD5mKrp0Vvzr7lt3OU09vwQwhkpOPPYv2Y/edit?usp=sharing"",""งบพรบ!BL88"")"),0)</f>
        <v>0</v>
      </c>
      <c r="I88" s="184">
        <f ca="1">IFERROR(__xludf.DUMMYFUNCTION("IMPORTRANGE(""https://docs.google.com/spreadsheets/d/1-uDff_7J0KD5mKrp0Vvzr7lt3OU09vwQwhkpOPPYv2Y/edit?usp=sharing"",""งบพรบ!BM88"")"),0)</f>
        <v>0</v>
      </c>
      <c r="J88" s="184">
        <f t="shared" ca="1" si="26"/>
        <v>0</v>
      </c>
      <c r="K88" s="185">
        <f t="shared" ca="1" si="27"/>
        <v>0</v>
      </c>
      <c r="L88" s="184">
        <f ca="1">IFERROR(__xludf.DUMMYFUNCTION("IMPORTRANGE(""https://docs.google.com/spreadsheets/d/1-uDff_7J0KD5mKrp0Vvzr7lt3OU09vwQwhkpOPPYv2Y/edit?usp=sharing"",""งบพรบ!BN88"")"),0)</f>
        <v>0</v>
      </c>
      <c r="M88" s="109">
        <f t="shared" ca="1" si="28"/>
        <v>0</v>
      </c>
      <c r="N88" s="109">
        <f t="shared" ca="1" si="29"/>
        <v>0</v>
      </c>
      <c r="O88" s="108">
        <f ca="1">IFERROR(__xludf.DUMMYFUNCTION("IMPORTRANGE(""https://docs.google.com/spreadsheets/d/1-uDff_7J0KD5mKrp0Vvzr7lt3OU09vwQwhkpOPPYv2Y/edit?usp=sharing"",""งบพรบ!BO88"")"),0)</f>
        <v>0</v>
      </c>
      <c r="P88" s="108">
        <f t="shared" ca="1" si="30"/>
        <v>0</v>
      </c>
      <c r="Q88" s="109">
        <f t="shared" ca="1" si="31"/>
        <v>0</v>
      </c>
      <c r="R88" s="108">
        <f ca="1">IFERROR(__xludf.DUMMYFUNCTION("IMPORTRANGE(""https://docs.google.com/spreadsheets/d/18T20gbkS_WBjdscyTOV05cvq_JqvqQ17C81mpxf7Ncs/edit?usp=sharing"",""สุราษฎร์ธานี!Q117"")"),284520)</f>
        <v>284520</v>
      </c>
      <c r="S88" s="108">
        <f ca="1">IFERROR(__xludf.DUMMYFUNCTION("IMPORTRANGE(""https://docs.google.com/spreadsheets/d/18T20gbkS_WBjdscyTOV05cvq_JqvqQ17C81mpxf7Ncs/edit?usp=sharing"",""สุราษฎร์ธานี!R117"")"),0)</f>
        <v>0</v>
      </c>
      <c r="T88" s="108">
        <f ca="1">IFERROR(__xludf.DUMMYFUNCTION("IMPORTRANGE(""https://docs.google.com/spreadsheets/d/18T20gbkS_WBjdscyTOV05cvq_JqvqQ17C81mpxf7Ncs/edit?usp=sharing"",""สุราษฎร์ธานี!S117"")"),0)</f>
        <v>0</v>
      </c>
      <c r="U88" s="109">
        <f t="shared" ca="1" si="33"/>
        <v>0</v>
      </c>
      <c r="V88" s="109">
        <f t="shared" ca="1" si="34"/>
        <v>0</v>
      </c>
      <c r="W88" s="104">
        <f ca="1">IFERROR(__xludf.DUMMYFUNCTION("IMPORTRANGE(""https://docs.google.com/spreadsheets/d/18T20gbkS_WBjdscyTOV05cvq_JqvqQ17C81mpxf7Ncs/edit?usp=sharing"",""สุราษฎร์ธานี!I127"")"),50)</f>
        <v>50</v>
      </c>
      <c r="X88" s="104">
        <f ca="1">IFERROR(__xludf.DUMMYFUNCTION("IMPORTRANGE(""https://docs.google.com/spreadsheets/d/18T20gbkS_WBjdscyTOV05cvq_JqvqQ17C81mpxf7Ncs/edit?usp=sharing"",""สุราษฎร์ธานี!J127"")"),0)</f>
        <v>0</v>
      </c>
      <c r="Y88" s="186">
        <f t="shared" ca="1" si="36"/>
        <v>0</v>
      </c>
      <c r="Z88" s="104">
        <f ca="1">IFERROR(__xludf.DUMMYFUNCTION("IMPORTRANGE(""https://docs.google.com/spreadsheets/d/18T20gbkS_WBjdscyTOV05cvq_JqvqQ17C81mpxf7Ncs/edit?usp=sharing"",""สุราษฎร์ธานี!J128"")"),0)</f>
        <v>0</v>
      </c>
      <c r="AA88" s="104">
        <f ca="1">IFERROR(__xludf.DUMMYFUNCTION("IMPORTRANGE(""https://docs.google.com/spreadsheets/d/18T20gbkS_WBjdscyTOV05cvq_JqvqQ17C81mpxf7Ncs/edit?usp=sharing"",""สุราษฎร์ธานี!I129"")"),20)</f>
        <v>20</v>
      </c>
      <c r="AB88" s="104">
        <f ca="1">IFERROR(__xludf.DUMMYFUNCTION("IMPORTRANGE(""https://docs.google.com/spreadsheets/d/18T20gbkS_WBjdscyTOV05cvq_JqvqQ17C81mpxf7Ncs/edit?usp=sharing"",""สุราษฎร์ธานี!J129"")"),0)</f>
        <v>0</v>
      </c>
      <c r="AC88" s="186">
        <f t="shared" ca="1" si="38"/>
        <v>0</v>
      </c>
      <c r="AD88" s="186">
        <f ca="1">IFERROR(__xludf.DUMMYFUNCTION("IMPORTRANGE(""https://docs.google.com/spreadsheets/d/18T20gbkS_WBjdscyTOV05cvq_JqvqQ17C81mpxf7Ncs/edit?usp=sharing"",""สุราษฎร์ธานี!J130"")"),0)</f>
        <v>0</v>
      </c>
      <c r="AE88" s="217">
        <v>0</v>
      </c>
      <c r="AF88" s="217">
        <v>0</v>
      </c>
      <c r="AG88" s="222">
        <v>0</v>
      </c>
    </row>
    <row r="89" spans="1:33" ht="19.5" hidden="1" x14ac:dyDescent="0.3">
      <c r="A89" s="632" t="s">
        <v>115</v>
      </c>
      <c r="B89" s="633"/>
      <c r="C89" s="45">
        <f t="shared" ref="C89:T89" ca="1" si="55">SUM(C90:C106)</f>
        <v>0</v>
      </c>
      <c r="D89" s="45">
        <f t="shared" ca="1" si="55"/>
        <v>0</v>
      </c>
      <c r="E89" s="45">
        <f t="shared" ca="1" si="55"/>
        <v>0</v>
      </c>
      <c r="F89" s="45">
        <f t="shared" ca="1" si="55"/>
        <v>0</v>
      </c>
      <c r="G89" s="45">
        <f t="shared" ca="1" si="55"/>
        <v>0</v>
      </c>
      <c r="H89" s="45">
        <f t="shared" ca="1" si="55"/>
        <v>0</v>
      </c>
      <c r="I89" s="45">
        <f t="shared" ca="1" si="55"/>
        <v>0</v>
      </c>
      <c r="J89" s="45">
        <f t="shared" ca="1" si="55"/>
        <v>0</v>
      </c>
      <c r="K89" s="47">
        <f t="shared" ca="1" si="55"/>
        <v>0</v>
      </c>
      <c r="L89" s="45">
        <f t="shared" ca="1" si="55"/>
        <v>0</v>
      </c>
      <c r="M89" s="47">
        <f t="shared" ca="1" si="55"/>
        <v>0</v>
      </c>
      <c r="N89" s="47">
        <f t="shared" ca="1" si="55"/>
        <v>0</v>
      </c>
      <c r="O89" s="45">
        <f t="shared" ca="1" si="55"/>
        <v>0</v>
      </c>
      <c r="P89" s="45">
        <f t="shared" ca="1" si="55"/>
        <v>0</v>
      </c>
      <c r="Q89" s="45">
        <f t="shared" ca="1" si="55"/>
        <v>0</v>
      </c>
      <c r="R89" s="45">
        <f t="shared" si="55"/>
        <v>0</v>
      </c>
      <c r="S89" s="45">
        <f t="shared" si="55"/>
        <v>0</v>
      </c>
      <c r="T89" s="45">
        <f t="shared" si="55"/>
        <v>0</v>
      </c>
      <c r="U89" s="45">
        <f t="shared" si="33"/>
        <v>0</v>
      </c>
      <c r="V89" s="45">
        <f t="shared" si="34"/>
        <v>0</v>
      </c>
      <c r="W89" s="45"/>
      <c r="X89" s="45"/>
      <c r="Y89" s="196"/>
      <c r="Z89" s="196"/>
      <c r="AA89" s="45"/>
      <c r="AB89" s="45"/>
      <c r="AC89" s="196"/>
      <c r="AD89" s="196"/>
      <c r="AE89" s="45"/>
      <c r="AF89" s="45"/>
      <c r="AG89" s="196"/>
    </row>
    <row r="90" spans="1:33" ht="19.5" hidden="1" x14ac:dyDescent="0.3">
      <c r="A90" s="197"/>
      <c r="B90" s="125" t="s">
        <v>116</v>
      </c>
      <c r="C90" s="198">
        <f t="shared" ref="C90:C106" ca="1" si="56">D90+G90</f>
        <v>0</v>
      </c>
      <c r="D90" s="199">
        <f t="shared" ref="D90:D106" ca="1" si="57">+E90+F90</f>
        <v>0</v>
      </c>
      <c r="E90" s="81">
        <f ca="1">IFERROR(__xludf.DUMMYFUNCTION("IMPORTRANGE(""https://docs.google.com/spreadsheets/d/1-uDff_7J0KD5mKrp0Vvzr7lt3OU09vwQwhkpOPPYv2Y/edit?usp=sharing"",""งบพรบ!BH90"")"),0)</f>
        <v>0</v>
      </c>
      <c r="F90" s="81">
        <f ca="1">IFERROR(__xludf.DUMMYFUNCTION("IMPORTRANGE(""https://docs.google.com/spreadsheets/d/1-uDff_7J0KD5mKrp0Vvzr7lt3OU09vwQwhkpOPPYv2Y/edit?usp=sharing"",""งบพรบ!BI90"")"),0)</f>
        <v>0</v>
      </c>
      <c r="G90" s="81">
        <f ca="1">IFERROR(__xludf.DUMMYFUNCTION("IMPORTRANGE(""https://docs.google.com/spreadsheets/d/1-uDff_7J0KD5mKrp0Vvzr7lt3OU09vwQwhkpOPPYv2Y/edit?usp=sharing"",""งบพรบ!BJ90"")"),0)</f>
        <v>0</v>
      </c>
      <c r="H90" s="81">
        <f ca="1">IFERROR(__xludf.DUMMYFUNCTION("IMPORTRANGE(""https://docs.google.com/spreadsheets/d/1-uDff_7J0KD5mKrp0Vvzr7lt3OU09vwQwhkpOPPYv2Y/edit?usp=sharing"",""งบพรบ!BL90"")"),0)</f>
        <v>0</v>
      </c>
      <c r="I90" s="81">
        <f ca="1">IFERROR(__xludf.DUMMYFUNCTION("IMPORTRANGE(""https://docs.google.com/spreadsheets/d/1-uDff_7J0KD5mKrp0Vvzr7lt3OU09vwQwhkpOPPYv2Y/edit?usp=sharing"",""งบพรบ!BM90"")"),0)</f>
        <v>0</v>
      </c>
      <c r="J90" s="81">
        <f t="shared" ref="J90:J106" ca="1" si="58">L90+O90</f>
        <v>0</v>
      </c>
      <c r="K90" s="126">
        <f t="shared" ref="K90:K106" ca="1" si="59">IF(C90&gt;0,J90*100/C90,0)</f>
        <v>0</v>
      </c>
      <c r="L90" s="81">
        <f ca="1">IFERROR(__xludf.DUMMYFUNCTION("IMPORTRANGE(""https://docs.google.com/spreadsheets/d/1-uDff_7J0KD5mKrp0Vvzr7lt3OU09vwQwhkpOPPYv2Y/edit?usp=sharing"",""งบพรบ!BN90"")"),0)</f>
        <v>0</v>
      </c>
      <c r="M90" s="84">
        <f t="shared" ref="M90:M106" ca="1" si="60">IF(D90&gt;0,L90*100/D90,0)</f>
        <v>0</v>
      </c>
      <c r="N90" s="84">
        <f t="shared" ref="N90:N106" ca="1" si="61">IF(H90&gt;0,L90*100/H90,0)</f>
        <v>0</v>
      </c>
      <c r="O90" s="85">
        <f ca="1">IFERROR(__xludf.DUMMYFUNCTION("IMPORTRANGE(""https://docs.google.com/spreadsheets/d/1-uDff_7J0KD5mKrp0Vvzr7lt3OU09vwQwhkpOPPYv2Y/edit?usp=sharing"",""งบพรบ!BO90"")"),0)</f>
        <v>0</v>
      </c>
      <c r="P90" s="85">
        <f t="shared" ref="P90:P106" ca="1" si="62">IF(G90&gt;0,O90*100/G90,0)</f>
        <v>0</v>
      </c>
      <c r="Q90" s="84">
        <f t="shared" ref="Q90:Q106" ca="1" si="63">IF(I90&gt;0,O90*100/I90,0)</f>
        <v>0</v>
      </c>
      <c r="R90" s="127">
        <v>0</v>
      </c>
      <c r="S90" s="127">
        <v>0</v>
      </c>
      <c r="T90" s="127">
        <v>0</v>
      </c>
      <c r="U90" s="84">
        <f t="shared" si="33"/>
        <v>0</v>
      </c>
      <c r="V90" s="84">
        <f t="shared" si="34"/>
        <v>0</v>
      </c>
      <c r="W90" s="81"/>
      <c r="X90" s="81"/>
      <c r="Y90" s="200"/>
      <c r="Z90" s="200"/>
      <c r="AA90" s="81"/>
      <c r="AB90" s="81"/>
      <c r="AC90" s="200"/>
      <c r="AD90" s="200"/>
      <c r="AE90" s="81"/>
      <c r="AF90" s="81"/>
      <c r="AG90" s="200"/>
    </row>
    <row r="91" spans="1:33" ht="19.5" hidden="1" x14ac:dyDescent="0.3">
      <c r="A91" s="201"/>
      <c r="B91" s="129" t="s">
        <v>117</v>
      </c>
      <c r="C91" s="202">
        <f t="shared" ca="1" si="56"/>
        <v>0</v>
      </c>
      <c r="D91" s="203">
        <f t="shared" ca="1" si="57"/>
        <v>0</v>
      </c>
      <c r="E91" s="93">
        <f ca="1">IFERROR(__xludf.DUMMYFUNCTION("IMPORTRANGE(""https://docs.google.com/spreadsheets/d/1-uDff_7J0KD5mKrp0Vvzr7lt3OU09vwQwhkpOPPYv2Y/edit?usp=sharing"",""งบพรบ!BH91"")"),0)</f>
        <v>0</v>
      </c>
      <c r="F91" s="93">
        <f ca="1">IFERROR(__xludf.DUMMYFUNCTION("IMPORTRANGE(""https://docs.google.com/spreadsheets/d/1-uDff_7J0KD5mKrp0Vvzr7lt3OU09vwQwhkpOPPYv2Y/edit?usp=sharing"",""งบพรบ!BI91"")"),0)</f>
        <v>0</v>
      </c>
      <c r="G91" s="93">
        <f ca="1">IFERROR(__xludf.DUMMYFUNCTION("IMPORTRANGE(""https://docs.google.com/spreadsheets/d/1-uDff_7J0KD5mKrp0Vvzr7lt3OU09vwQwhkpOPPYv2Y/edit?usp=sharing"",""งบพรบ!BJ91"")"),0)</f>
        <v>0</v>
      </c>
      <c r="H91" s="93">
        <f ca="1">IFERROR(__xludf.DUMMYFUNCTION("IMPORTRANGE(""https://docs.google.com/spreadsheets/d/1-uDff_7J0KD5mKrp0Vvzr7lt3OU09vwQwhkpOPPYv2Y/edit?usp=sharing"",""งบพรบ!BL91"")"),0)</f>
        <v>0</v>
      </c>
      <c r="I91" s="93">
        <f ca="1">IFERROR(__xludf.DUMMYFUNCTION("IMPORTRANGE(""https://docs.google.com/spreadsheets/d/1-uDff_7J0KD5mKrp0Vvzr7lt3OU09vwQwhkpOPPYv2Y/edit?usp=sharing"",""งบพรบ!BM91"")"),0)</f>
        <v>0</v>
      </c>
      <c r="J91" s="93">
        <f t="shared" ca="1" si="58"/>
        <v>0</v>
      </c>
      <c r="K91" s="94">
        <f t="shared" ca="1" si="59"/>
        <v>0</v>
      </c>
      <c r="L91" s="93">
        <f ca="1">IFERROR(__xludf.DUMMYFUNCTION("IMPORTRANGE(""https://docs.google.com/spreadsheets/d/1-uDff_7J0KD5mKrp0Vvzr7lt3OU09vwQwhkpOPPYv2Y/edit?usp=sharing"",""งบพรบ!BN91"")"),0)</f>
        <v>0</v>
      </c>
      <c r="M91" s="95">
        <f t="shared" ca="1" si="60"/>
        <v>0</v>
      </c>
      <c r="N91" s="95">
        <f t="shared" ca="1" si="61"/>
        <v>0</v>
      </c>
      <c r="O91" s="96">
        <f ca="1">IFERROR(__xludf.DUMMYFUNCTION("IMPORTRANGE(""https://docs.google.com/spreadsheets/d/1-uDff_7J0KD5mKrp0Vvzr7lt3OU09vwQwhkpOPPYv2Y/edit?usp=sharing"",""งบพรบ!BO91"")"),0)</f>
        <v>0</v>
      </c>
      <c r="P91" s="96">
        <f t="shared" ca="1" si="62"/>
        <v>0</v>
      </c>
      <c r="Q91" s="95">
        <f t="shared" ca="1" si="63"/>
        <v>0</v>
      </c>
      <c r="R91" s="130">
        <v>0</v>
      </c>
      <c r="S91" s="130">
        <v>0</v>
      </c>
      <c r="T91" s="130">
        <v>0</v>
      </c>
      <c r="U91" s="95">
        <f t="shared" si="33"/>
        <v>0</v>
      </c>
      <c r="V91" s="95">
        <f t="shared" si="34"/>
        <v>0</v>
      </c>
      <c r="W91" s="93"/>
      <c r="X91" s="93"/>
      <c r="Y91" s="204"/>
      <c r="Z91" s="204"/>
      <c r="AA91" s="93"/>
      <c r="AB91" s="93"/>
      <c r="AC91" s="204"/>
      <c r="AD91" s="204"/>
      <c r="AE91" s="93"/>
      <c r="AF91" s="93"/>
      <c r="AG91" s="204"/>
    </row>
    <row r="92" spans="1:33" ht="19.5" hidden="1" x14ac:dyDescent="0.3">
      <c r="A92" s="201"/>
      <c r="B92" s="129" t="s">
        <v>118</v>
      </c>
      <c r="C92" s="202">
        <f t="shared" ca="1" si="56"/>
        <v>0</v>
      </c>
      <c r="D92" s="203">
        <f t="shared" ca="1" si="57"/>
        <v>0</v>
      </c>
      <c r="E92" s="93">
        <f ca="1">IFERROR(__xludf.DUMMYFUNCTION("IMPORTRANGE(""https://docs.google.com/spreadsheets/d/1-uDff_7J0KD5mKrp0Vvzr7lt3OU09vwQwhkpOPPYv2Y/edit?usp=sharing"",""งบพรบ!BH92"")"),0)</f>
        <v>0</v>
      </c>
      <c r="F92" s="93">
        <f ca="1">IFERROR(__xludf.DUMMYFUNCTION("IMPORTRANGE(""https://docs.google.com/spreadsheets/d/1-uDff_7J0KD5mKrp0Vvzr7lt3OU09vwQwhkpOPPYv2Y/edit?usp=sharing"",""งบพรบ!BI92"")"),0)</f>
        <v>0</v>
      </c>
      <c r="G92" s="93">
        <f ca="1">IFERROR(__xludf.DUMMYFUNCTION("IMPORTRANGE(""https://docs.google.com/spreadsheets/d/1-uDff_7J0KD5mKrp0Vvzr7lt3OU09vwQwhkpOPPYv2Y/edit?usp=sharing"",""งบพรบ!BJ92"")"),0)</f>
        <v>0</v>
      </c>
      <c r="H92" s="93">
        <f ca="1">IFERROR(__xludf.DUMMYFUNCTION("IMPORTRANGE(""https://docs.google.com/spreadsheets/d/1-uDff_7J0KD5mKrp0Vvzr7lt3OU09vwQwhkpOPPYv2Y/edit?usp=sharing"",""งบพรบ!BL92"")"),0)</f>
        <v>0</v>
      </c>
      <c r="I92" s="93">
        <f ca="1">IFERROR(__xludf.DUMMYFUNCTION("IMPORTRANGE(""https://docs.google.com/spreadsheets/d/1-uDff_7J0KD5mKrp0Vvzr7lt3OU09vwQwhkpOPPYv2Y/edit?usp=sharing"",""งบพรบ!BM92"")"),0)</f>
        <v>0</v>
      </c>
      <c r="J92" s="93">
        <f t="shared" ca="1" si="58"/>
        <v>0</v>
      </c>
      <c r="K92" s="94">
        <f t="shared" ca="1" si="59"/>
        <v>0</v>
      </c>
      <c r="L92" s="93">
        <f ca="1">IFERROR(__xludf.DUMMYFUNCTION("IMPORTRANGE(""https://docs.google.com/spreadsheets/d/1-uDff_7J0KD5mKrp0Vvzr7lt3OU09vwQwhkpOPPYv2Y/edit?usp=sharing"",""งบพรบ!BN92"")"),0)</f>
        <v>0</v>
      </c>
      <c r="M92" s="95">
        <f t="shared" ca="1" si="60"/>
        <v>0</v>
      </c>
      <c r="N92" s="95">
        <f t="shared" ca="1" si="61"/>
        <v>0</v>
      </c>
      <c r="O92" s="96">
        <f ca="1">IFERROR(__xludf.DUMMYFUNCTION("IMPORTRANGE(""https://docs.google.com/spreadsheets/d/1-uDff_7J0KD5mKrp0Vvzr7lt3OU09vwQwhkpOPPYv2Y/edit?usp=sharing"",""งบพรบ!BO92"")"),0)</f>
        <v>0</v>
      </c>
      <c r="P92" s="96">
        <f t="shared" ca="1" si="62"/>
        <v>0</v>
      </c>
      <c r="Q92" s="95">
        <f t="shared" ca="1" si="63"/>
        <v>0</v>
      </c>
      <c r="R92" s="130">
        <v>0</v>
      </c>
      <c r="S92" s="130">
        <v>0</v>
      </c>
      <c r="T92" s="130">
        <v>0</v>
      </c>
      <c r="U92" s="95">
        <f t="shared" si="33"/>
        <v>0</v>
      </c>
      <c r="V92" s="95">
        <f t="shared" si="34"/>
        <v>0</v>
      </c>
      <c r="W92" s="93"/>
      <c r="X92" s="93"/>
      <c r="Y92" s="204"/>
      <c r="Z92" s="204"/>
      <c r="AA92" s="93"/>
      <c r="AB92" s="93"/>
      <c r="AC92" s="204"/>
      <c r="AD92" s="204"/>
      <c r="AE92" s="93"/>
      <c r="AF92" s="93"/>
      <c r="AG92" s="204"/>
    </row>
    <row r="93" spans="1:33" ht="19.5" hidden="1" x14ac:dyDescent="0.3">
      <c r="A93" s="201"/>
      <c r="B93" s="129" t="s">
        <v>119</v>
      </c>
      <c r="C93" s="202">
        <f t="shared" ca="1" si="56"/>
        <v>0</v>
      </c>
      <c r="D93" s="203">
        <f t="shared" ca="1" si="57"/>
        <v>0</v>
      </c>
      <c r="E93" s="93">
        <f ca="1">IFERROR(__xludf.DUMMYFUNCTION("IMPORTRANGE(""https://docs.google.com/spreadsheets/d/1-uDff_7J0KD5mKrp0Vvzr7lt3OU09vwQwhkpOPPYv2Y/edit?usp=sharing"",""งบพรบ!BH93"")"),0)</f>
        <v>0</v>
      </c>
      <c r="F93" s="93">
        <f ca="1">IFERROR(__xludf.DUMMYFUNCTION("IMPORTRANGE(""https://docs.google.com/spreadsheets/d/1-uDff_7J0KD5mKrp0Vvzr7lt3OU09vwQwhkpOPPYv2Y/edit?usp=sharing"",""งบพรบ!BI93"")"),0)</f>
        <v>0</v>
      </c>
      <c r="G93" s="93">
        <f ca="1">IFERROR(__xludf.DUMMYFUNCTION("IMPORTRANGE(""https://docs.google.com/spreadsheets/d/1-uDff_7J0KD5mKrp0Vvzr7lt3OU09vwQwhkpOPPYv2Y/edit?usp=sharing"",""งบพรบ!BJ93"")"),0)</f>
        <v>0</v>
      </c>
      <c r="H93" s="93">
        <f ca="1">IFERROR(__xludf.DUMMYFUNCTION("IMPORTRANGE(""https://docs.google.com/spreadsheets/d/1-uDff_7J0KD5mKrp0Vvzr7lt3OU09vwQwhkpOPPYv2Y/edit?usp=sharing"",""งบพรบ!BL93"")"),0)</f>
        <v>0</v>
      </c>
      <c r="I93" s="93">
        <f ca="1">IFERROR(__xludf.DUMMYFUNCTION("IMPORTRANGE(""https://docs.google.com/spreadsheets/d/1-uDff_7J0KD5mKrp0Vvzr7lt3OU09vwQwhkpOPPYv2Y/edit?usp=sharing"",""งบพรบ!BM93"")"),0)</f>
        <v>0</v>
      </c>
      <c r="J93" s="93">
        <f t="shared" ca="1" si="58"/>
        <v>0</v>
      </c>
      <c r="K93" s="94">
        <f t="shared" ca="1" si="59"/>
        <v>0</v>
      </c>
      <c r="L93" s="93">
        <f ca="1">IFERROR(__xludf.DUMMYFUNCTION("IMPORTRANGE(""https://docs.google.com/spreadsheets/d/1-uDff_7J0KD5mKrp0Vvzr7lt3OU09vwQwhkpOPPYv2Y/edit?usp=sharing"",""งบพรบ!BN93"")"),0)</f>
        <v>0</v>
      </c>
      <c r="M93" s="95">
        <f t="shared" ca="1" si="60"/>
        <v>0</v>
      </c>
      <c r="N93" s="95">
        <f t="shared" ca="1" si="61"/>
        <v>0</v>
      </c>
      <c r="O93" s="96">
        <f ca="1">IFERROR(__xludf.DUMMYFUNCTION("IMPORTRANGE(""https://docs.google.com/spreadsheets/d/1-uDff_7J0KD5mKrp0Vvzr7lt3OU09vwQwhkpOPPYv2Y/edit?usp=sharing"",""งบพรบ!BO93"")"),0)</f>
        <v>0</v>
      </c>
      <c r="P93" s="96">
        <f t="shared" ca="1" si="62"/>
        <v>0</v>
      </c>
      <c r="Q93" s="95">
        <f t="shared" ca="1" si="63"/>
        <v>0</v>
      </c>
      <c r="R93" s="130">
        <v>0</v>
      </c>
      <c r="S93" s="130">
        <v>0</v>
      </c>
      <c r="T93" s="130">
        <v>0</v>
      </c>
      <c r="U93" s="95">
        <f t="shared" si="33"/>
        <v>0</v>
      </c>
      <c r="V93" s="95">
        <f t="shared" si="34"/>
        <v>0</v>
      </c>
      <c r="W93" s="93"/>
      <c r="X93" s="93"/>
      <c r="Y93" s="204"/>
      <c r="Z93" s="204"/>
      <c r="AA93" s="93"/>
      <c r="AB93" s="93"/>
      <c r="AC93" s="204"/>
      <c r="AD93" s="204"/>
      <c r="AE93" s="93"/>
      <c r="AF93" s="93"/>
      <c r="AG93" s="204"/>
    </row>
    <row r="94" spans="1:33" ht="19.5" hidden="1" x14ac:dyDescent="0.3">
      <c r="A94" s="201"/>
      <c r="B94" s="129" t="s">
        <v>120</v>
      </c>
      <c r="C94" s="202">
        <f t="shared" ca="1" si="56"/>
        <v>0</v>
      </c>
      <c r="D94" s="203">
        <f t="shared" ca="1" si="57"/>
        <v>0</v>
      </c>
      <c r="E94" s="93">
        <f ca="1">IFERROR(__xludf.DUMMYFUNCTION("IMPORTRANGE(""https://docs.google.com/spreadsheets/d/1-uDff_7J0KD5mKrp0Vvzr7lt3OU09vwQwhkpOPPYv2Y/edit?usp=sharing"",""งบพรบ!BH94"")"),0)</f>
        <v>0</v>
      </c>
      <c r="F94" s="93">
        <f ca="1">IFERROR(__xludf.DUMMYFUNCTION("IMPORTRANGE(""https://docs.google.com/spreadsheets/d/1-uDff_7J0KD5mKrp0Vvzr7lt3OU09vwQwhkpOPPYv2Y/edit?usp=sharing"",""งบพรบ!BI94"")"),0)</f>
        <v>0</v>
      </c>
      <c r="G94" s="93">
        <f ca="1">IFERROR(__xludf.DUMMYFUNCTION("IMPORTRANGE(""https://docs.google.com/spreadsheets/d/1-uDff_7J0KD5mKrp0Vvzr7lt3OU09vwQwhkpOPPYv2Y/edit?usp=sharing"",""งบพรบ!BJ94"")"),0)</f>
        <v>0</v>
      </c>
      <c r="H94" s="93">
        <f ca="1">IFERROR(__xludf.DUMMYFUNCTION("IMPORTRANGE(""https://docs.google.com/spreadsheets/d/1-uDff_7J0KD5mKrp0Vvzr7lt3OU09vwQwhkpOPPYv2Y/edit?usp=sharing"",""งบพรบ!BL94"")"),0)</f>
        <v>0</v>
      </c>
      <c r="I94" s="93">
        <f ca="1">IFERROR(__xludf.DUMMYFUNCTION("IMPORTRANGE(""https://docs.google.com/spreadsheets/d/1-uDff_7J0KD5mKrp0Vvzr7lt3OU09vwQwhkpOPPYv2Y/edit?usp=sharing"",""งบพรบ!BM94"")"),0)</f>
        <v>0</v>
      </c>
      <c r="J94" s="93">
        <f t="shared" ca="1" si="58"/>
        <v>0</v>
      </c>
      <c r="K94" s="94">
        <f t="shared" ca="1" si="59"/>
        <v>0</v>
      </c>
      <c r="L94" s="93">
        <f ca="1">IFERROR(__xludf.DUMMYFUNCTION("IMPORTRANGE(""https://docs.google.com/spreadsheets/d/1-uDff_7J0KD5mKrp0Vvzr7lt3OU09vwQwhkpOPPYv2Y/edit?usp=sharing"",""งบพรบ!BN94"")"),0)</f>
        <v>0</v>
      </c>
      <c r="M94" s="95">
        <f t="shared" ca="1" si="60"/>
        <v>0</v>
      </c>
      <c r="N94" s="95">
        <f t="shared" ca="1" si="61"/>
        <v>0</v>
      </c>
      <c r="O94" s="96">
        <f ca="1">IFERROR(__xludf.DUMMYFUNCTION("IMPORTRANGE(""https://docs.google.com/spreadsheets/d/1-uDff_7J0KD5mKrp0Vvzr7lt3OU09vwQwhkpOPPYv2Y/edit?usp=sharing"",""งบพรบ!BO94"")"),0)</f>
        <v>0</v>
      </c>
      <c r="P94" s="96">
        <f t="shared" ca="1" si="62"/>
        <v>0</v>
      </c>
      <c r="Q94" s="95">
        <f t="shared" ca="1" si="63"/>
        <v>0</v>
      </c>
      <c r="R94" s="130">
        <v>0</v>
      </c>
      <c r="S94" s="130">
        <v>0</v>
      </c>
      <c r="T94" s="130">
        <v>0</v>
      </c>
      <c r="U94" s="95">
        <f t="shared" si="33"/>
        <v>0</v>
      </c>
      <c r="V94" s="95">
        <f t="shared" si="34"/>
        <v>0</v>
      </c>
      <c r="W94" s="93"/>
      <c r="X94" s="93"/>
      <c r="Y94" s="204"/>
      <c r="Z94" s="204"/>
      <c r="AA94" s="93"/>
      <c r="AB94" s="93"/>
      <c r="AC94" s="204"/>
      <c r="AD94" s="204"/>
      <c r="AE94" s="93"/>
      <c r="AF94" s="93"/>
      <c r="AG94" s="204"/>
    </row>
    <row r="95" spans="1:33" ht="19.5" hidden="1" x14ac:dyDescent="0.3">
      <c r="A95" s="201"/>
      <c r="B95" s="129" t="s">
        <v>121</v>
      </c>
      <c r="C95" s="202">
        <f t="shared" ca="1" si="56"/>
        <v>0</v>
      </c>
      <c r="D95" s="203">
        <f t="shared" ca="1" si="57"/>
        <v>0</v>
      </c>
      <c r="E95" s="93">
        <f ca="1">IFERROR(__xludf.DUMMYFUNCTION("IMPORTRANGE(""https://docs.google.com/spreadsheets/d/1-uDff_7J0KD5mKrp0Vvzr7lt3OU09vwQwhkpOPPYv2Y/edit?usp=sharing"",""งบพรบ!BH95"")"),0)</f>
        <v>0</v>
      </c>
      <c r="F95" s="93">
        <f ca="1">IFERROR(__xludf.DUMMYFUNCTION("IMPORTRANGE(""https://docs.google.com/spreadsheets/d/1-uDff_7J0KD5mKrp0Vvzr7lt3OU09vwQwhkpOPPYv2Y/edit?usp=sharing"",""งบพรบ!BI95"")"),0)</f>
        <v>0</v>
      </c>
      <c r="G95" s="93">
        <f ca="1">IFERROR(__xludf.DUMMYFUNCTION("IMPORTRANGE(""https://docs.google.com/spreadsheets/d/1-uDff_7J0KD5mKrp0Vvzr7lt3OU09vwQwhkpOPPYv2Y/edit?usp=sharing"",""งบพรบ!BJ95"")"),0)</f>
        <v>0</v>
      </c>
      <c r="H95" s="93">
        <f ca="1">IFERROR(__xludf.DUMMYFUNCTION("IMPORTRANGE(""https://docs.google.com/spreadsheets/d/1-uDff_7J0KD5mKrp0Vvzr7lt3OU09vwQwhkpOPPYv2Y/edit?usp=sharing"",""งบพรบ!BL95"")"),0)</f>
        <v>0</v>
      </c>
      <c r="I95" s="93">
        <f ca="1">IFERROR(__xludf.DUMMYFUNCTION("IMPORTRANGE(""https://docs.google.com/spreadsheets/d/1-uDff_7J0KD5mKrp0Vvzr7lt3OU09vwQwhkpOPPYv2Y/edit?usp=sharing"",""งบพรบ!BM95"")"),0)</f>
        <v>0</v>
      </c>
      <c r="J95" s="93">
        <f t="shared" ca="1" si="58"/>
        <v>0</v>
      </c>
      <c r="K95" s="94">
        <f t="shared" ca="1" si="59"/>
        <v>0</v>
      </c>
      <c r="L95" s="93">
        <f ca="1">IFERROR(__xludf.DUMMYFUNCTION("IMPORTRANGE(""https://docs.google.com/spreadsheets/d/1-uDff_7J0KD5mKrp0Vvzr7lt3OU09vwQwhkpOPPYv2Y/edit?usp=sharing"",""งบพรบ!BN95"")"),0)</f>
        <v>0</v>
      </c>
      <c r="M95" s="95">
        <f t="shared" ca="1" si="60"/>
        <v>0</v>
      </c>
      <c r="N95" s="95">
        <f t="shared" ca="1" si="61"/>
        <v>0</v>
      </c>
      <c r="O95" s="96">
        <f ca="1">IFERROR(__xludf.DUMMYFUNCTION("IMPORTRANGE(""https://docs.google.com/spreadsheets/d/1-uDff_7J0KD5mKrp0Vvzr7lt3OU09vwQwhkpOPPYv2Y/edit?usp=sharing"",""งบพรบ!BO95"")"),0)</f>
        <v>0</v>
      </c>
      <c r="P95" s="96">
        <f t="shared" ca="1" si="62"/>
        <v>0</v>
      </c>
      <c r="Q95" s="95">
        <f t="shared" ca="1" si="63"/>
        <v>0</v>
      </c>
      <c r="R95" s="130">
        <v>0</v>
      </c>
      <c r="S95" s="130">
        <v>0</v>
      </c>
      <c r="T95" s="130">
        <v>0</v>
      </c>
      <c r="U95" s="95">
        <f t="shared" si="33"/>
        <v>0</v>
      </c>
      <c r="V95" s="95">
        <f t="shared" si="34"/>
        <v>0</v>
      </c>
      <c r="W95" s="93"/>
      <c r="X95" s="93"/>
      <c r="Y95" s="204"/>
      <c r="Z95" s="204"/>
      <c r="AA95" s="93"/>
      <c r="AB95" s="93"/>
      <c r="AC95" s="204"/>
      <c r="AD95" s="204"/>
      <c r="AE95" s="93"/>
      <c r="AF95" s="93"/>
      <c r="AG95" s="204"/>
    </row>
    <row r="96" spans="1:33" ht="19.5" hidden="1" x14ac:dyDescent="0.3">
      <c r="A96" s="201"/>
      <c r="B96" s="129" t="s">
        <v>122</v>
      </c>
      <c r="C96" s="202">
        <f t="shared" ca="1" si="56"/>
        <v>0</v>
      </c>
      <c r="D96" s="203">
        <f t="shared" ca="1" si="57"/>
        <v>0</v>
      </c>
      <c r="E96" s="93">
        <f ca="1">IFERROR(__xludf.DUMMYFUNCTION("IMPORTRANGE(""https://docs.google.com/spreadsheets/d/1-uDff_7J0KD5mKrp0Vvzr7lt3OU09vwQwhkpOPPYv2Y/edit?usp=sharing"",""งบพรบ!BH96"")"),0)</f>
        <v>0</v>
      </c>
      <c r="F96" s="93">
        <f ca="1">IFERROR(__xludf.DUMMYFUNCTION("IMPORTRANGE(""https://docs.google.com/spreadsheets/d/1-uDff_7J0KD5mKrp0Vvzr7lt3OU09vwQwhkpOPPYv2Y/edit?usp=sharing"",""งบพรบ!BI96"")"),0)</f>
        <v>0</v>
      </c>
      <c r="G96" s="93">
        <f ca="1">IFERROR(__xludf.DUMMYFUNCTION("IMPORTRANGE(""https://docs.google.com/spreadsheets/d/1-uDff_7J0KD5mKrp0Vvzr7lt3OU09vwQwhkpOPPYv2Y/edit?usp=sharing"",""งบพรบ!BJ96"")"),0)</f>
        <v>0</v>
      </c>
      <c r="H96" s="93">
        <f ca="1">IFERROR(__xludf.DUMMYFUNCTION("IMPORTRANGE(""https://docs.google.com/spreadsheets/d/1-uDff_7J0KD5mKrp0Vvzr7lt3OU09vwQwhkpOPPYv2Y/edit?usp=sharing"",""งบพรบ!BL96"")"),0)</f>
        <v>0</v>
      </c>
      <c r="I96" s="93">
        <f ca="1">IFERROR(__xludf.DUMMYFUNCTION("IMPORTRANGE(""https://docs.google.com/spreadsheets/d/1-uDff_7J0KD5mKrp0Vvzr7lt3OU09vwQwhkpOPPYv2Y/edit?usp=sharing"",""งบพรบ!BM96"")"),0)</f>
        <v>0</v>
      </c>
      <c r="J96" s="93">
        <f t="shared" ca="1" si="58"/>
        <v>0</v>
      </c>
      <c r="K96" s="94">
        <f t="shared" ca="1" si="59"/>
        <v>0</v>
      </c>
      <c r="L96" s="93">
        <f ca="1">IFERROR(__xludf.DUMMYFUNCTION("IMPORTRANGE(""https://docs.google.com/spreadsheets/d/1-uDff_7J0KD5mKrp0Vvzr7lt3OU09vwQwhkpOPPYv2Y/edit?usp=sharing"",""งบพรบ!BN96"")"),0)</f>
        <v>0</v>
      </c>
      <c r="M96" s="95">
        <f t="shared" ca="1" si="60"/>
        <v>0</v>
      </c>
      <c r="N96" s="95">
        <f t="shared" ca="1" si="61"/>
        <v>0</v>
      </c>
      <c r="O96" s="96">
        <f ca="1">IFERROR(__xludf.DUMMYFUNCTION("IMPORTRANGE(""https://docs.google.com/spreadsheets/d/1-uDff_7J0KD5mKrp0Vvzr7lt3OU09vwQwhkpOPPYv2Y/edit?usp=sharing"",""งบพรบ!BO96"")"),0)</f>
        <v>0</v>
      </c>
      <c r="P96" s="96">
        <f t="shared" ca="1" si="62"/>
        <v>0</v>
      </c>
      <c r="Q96" s="95">
        <f t="shared" ca="1" si="63"/>
        <v>0</v>
      </c>
      <c r="R96" s="130">
        <v>0</v>
      </c>
      <c r="S96" s="130">
        <v>0</v>
      </c>
      <c r="T96" s="130">
        <v>0</v>
      </c>
      <c r="U96" s="95">
        <f t="shared" si="33"/>
        <v>0</v>
      </c>
      <c r="V96" s="95">
        <f t="shared" si="34"/>
        <v>0</v>
      </c>
      <c r="W96" s="93"/>
      <c r="X96" s="93"/>
      <c r="Y96" s="204"/>
      <c r="Z96" s="204"/>
      <c r="AA96" s="93"/>
      <c r="AB96" s="93"/>
      <c r="AC96" s="204"/>
      <c r="AD96" s="204"/>
      <c r="AE96" s="93"/>
      <c r="AF96" s="93"/>
      <c r="AG96" s="204"/>
    </row>
    <row r="97" spans="1:33" ht="19.5" hidden="1" x14ac:dyDescent="0.3">
      <c r="A97" s="201"/>
      <c r="B97" s="129" t="s">
        <v>123</v>
      </c>
      <c r="C97" s="202">
        <f t="shared" ca="1" si="56"/>
        <v>0</v>
      </c>
      <c r="D97" s="203">
        <f t="shared" ca="1" si="57"/>
        <v>0</v>
      </c>
      <c r="E97" s="93">
        <f ca="1">IFERROR(__xludf.DUMMYFUNCTION("IMPORTRANGE(""https://docs.google.com/spreadsheets/d/1-uDff_7J0KD5mKrp0Vvzr7lt3OU09vwQwhkpOPPYv2Y/edit?usp=sharing"",""งบพรบ!BH97"")"),0)</f>
        <v>0</v>
      </c>
      <c r="F97" s="93">
        <f ca="1">IFERROR(__xludf.DUMMYFUNCTION("IMPORTRANGE(""https://docs.google.com/spreadsheets/d/1-uDff_7J0KD5mKrp0Vvzr7lt3OU09vwQwhkpOPPYv2Y/edit?usp=sharing"",""งบพรบ!BI97"")"),0)</f>
        <v>0</v>
      </c>
      <c r="G97" s="93">
        <f ca="1">IFERROR(__xludf.DUMMYFUNCTION("IMPORTRANGE(""https://docs.google.com/spreadsheets/d/1-uDff_7J0KD5mKrp0Vvzr7lt3OU09vwQwhkpOPPYv2Y/edit?usp=sharing"",""งบพรบ!BJ97"")"),0)</f>
        <v>0</v>
      </c>
      <c r="H97" s="93">
        <f ca="1">IFERROR(__xludf.DUMMYFUNCTION("IMPORTRANGE(""https://docs.google.com/spreadsheets/d/1-uDff_7J0KD5mKrp0Vvzr7lt3OU09vwQwhkpOPPYv2Y/edit?usp=sharing"",""งบพรบ!BL97"")"),0)</f>
        <v>0</v>
      </c>
      <c r="I97" s="93">
        <f ca="1">IFERROR(__xludf.DUMMYFUNCTION("IMPORTRANGE(""https://docs.google.com/spreadsheets/d/1-uDff_7J0KD5mKrp0Vvzr7lt3OU09vwQwhkpOPPYv2Y/edit?usp=sharing"",""งบพรบ!BM97"")"),0)</f>
        <v>0</v>
      </c>
      <c r="J97" s="93">
        <f t="shared" ca="1" si="58"/>
        <v>0</v>
      </c>
      <c r="K97" s="94">
        <f t="shared" ca="1" si="59"/>
        <v>0</v>
      </c>
      <c r="L97" s="93">
        <f ca="1">IFERROR(__xludf.DUMMYFUNCTION("IMPORTRANGE(""https://docs.google.com/spreadsheets/d/1-uDff_7J0KD5mKrp0Vvzr7lt3OU09vwQwhkpOPPYv2Y/edit?usp=sharing"",""งบพรบ!BN97"")"),0)</f>
        <v>0</v>
      </c>
      <c r="M97" s="95">
        <f t="shared" ca="1" si="60"/>
        <v>0</v>
      </c>
      <c r="N97" s="95">
        <f t="shared" ca="1" si="61"/>
        <v>0</v>
      </c>
      <c r="O97" s="96">
        <f ca="1">IFERROR(__xludf.DUMMYFUNCTION("IMPORTRANGE(""https://docs.google.com/spreadsheets/d/1-uDff_7J0KD5mKrp0Vvzr7lt3OU09vwQwhkpOPPYv2Y/edit?usp=sharing"",""งบพรบ!BO97"")"),0)</f>
        <v>0</v>
      </c>
      <c r="P97" s="96">
        <f t="shared" ca="1" si="62"/>
        <v>0</v>
      </c>
      <c r="Q97" s="95">
        <f t="shared" ca="1" si="63"/>
        <v>0</v>
      </c>
      <c r="R97" s="130">
        <v>0</v>
      </c>
      <c r="S97" s="130">
        <v>0</v>
      </c>
      <c r="T97" s="130">
        <v>0</v>
      </c>
      <c r="U97" s="95">
        <f t="shared" si="33"/>
        <v>0</v>
      </c>
      <c r="V97" s="95">
        <f t="shared" si="34"/>
        <v>0</v>
      </c>
      <c r="W97" s="93"/>
      <c r="X97" s="93"/>
      <c r="Y97" s="204"/>
      <c r="Z97" s="204"/>
      <c r="AA97" s="93"/>
      <c r="AB97" s="93"/>
      <c r="AC97" s="204"/>
      <c r="AD97" s="204"/>
      <c r="AE97" s="93"/>
      <c r="AF97" s="93"/>
      <c r="AG97" s="204"/>
    </row>
    <row r="98" spans="1:33" ht="19.5" hidden="1" x14ac:dyDescent="0.3">
      <c r="A98" s="201"/>
      <c r="B98" s="129" t="s">
        <v>124</v>
      </c>
      <c r="C98" s="202">
        <f t="shared" ca="1" si="56"/>
        <v>0</v>
      </c>
      <c r="D98" s="203">
        <f t="shared" ca="1" si="57"/>
        <v>0</v>
      </c>
      <c r="E98" s="93">
        <f ca="1">IFERROR(__xludf.DUMMYFUNCTION("IMPORTRANGE(""https://docs.google.com/spreadsheets/d/1-uDff_7J0KD5mKrp0Vvzr7lt3OU09vwQwhkpOPPYv2Y/edit?usp=sharing"",""งบพรบ!BH98"")"),0)</f>
        <v>0</v>
      </c>
      <c r="F98" s="93">
        <f ca="1">IFERROR(__xludf.DUMMYFUNCTION("IMPORTRANGE(""https://docs.google.com/spreadsheets/d/1-uDff_7J0KD5mKrp0Vvzr7lt3OU09vwQwhkpOPPYv2Y/edit?usp=sharing"",""งบพรบ!BI98"")"),0)</f>
        <v>0</v>
      </c>
      <c r="G98" s="93">
        <f ca="1">IFERROR(__xludf.DUMMYFUNCTION("IMPORTRANGE(""https://docs.google.com/spreadsheets/d/1-uDff_7J0KD5mKrp0Vvzr7lt3OU09vwQwhkpOPPYv2Y/edit?usp=sharing"",""งบพรบ!BJ98"")"),0)</f>
        <v>0</v>
      </c>
      <c r="H98" s="93">
        <f ca="1">IFERROR(__xludf.DUMMYFUNCTION("IMPORTRANGE(""https://docs.google.com/spreadsheets/d/1-uDff_7J0KD5mKrp0Vvzr7lt3OU09vwQwhkpOPPYv2Y/edit?usp=sharing"",""งบพรบ!BL98"")"),0)</f>
        <v>0</v>
      </c>
      <c r="I98" s="93">
        <f ca="1">IFERROR(__xludf.DUMMYFUNCTION("IMPORTRANGE(""https://docs.google.com/spreadsheets/d/1-uDff_7J0KD5mKrp0Vvzr7lt3OU09vwQwhkpOPPYv2Y/edit?usp=sharing"",""งบพรบ!BM98"")"),0)</f>
        <v>0</v>
      </c>
      <c r="J98" s="93">
        <f t="shared" ca="1" si="58"/>
        <v>0</v>
      </c>
      <c r="K98" s="94">
        <f t="shared" ca="1" si="59"/>
        <v>0</v>
      </c>
      <c r="L98" s="93">
        <f ca="1">IFERROR(__xludf.DUMMYFUNCTION("IMPORTRANGE(""https://docs.google.com/spreadsheets/d/1-uDff_7J0KD5mKrp0Vvzr7lt3OU09vwQwhkpOPPYv2Y/edit?usp=sharing"",""งบพรบ!BN98"")"),0)</f>
        <v>0</v>
      </c>
      <c r="M98" s="95">
        <f t="shared" ca="1" si="60"/>
        <v>0</v>
      </c>
      <c r="N98" s="95">
        <f t="shared" ca="1" si="61"/>
        <v>0</v>
      </c>
      <c r="O98" s="96">
        <f ca="1">IFERROR(__xludf.DUMMYFUNCTION("IMPORTRANGE(""https://docs.google.com/spreadsheets/d/1-uDff_7J0KD5mKrp0Vvzr7lt3OU09vwQwhkpOPPYv2Y/edit?usp=sharing"",""งบพรบ!BO98"")"),0)</f>
        <v>0</v>
      </c>
      <c r="P98" s="96">
        <f t="shared" ca="1" si="62"/>
        <v>0</v>
      </c>
      <c r="Q98" s="95">
        <f t="shared" ca="1" si="63"/>
        <v>0</v>
      </c>
      <c r="R98" s="130">
        <v>0</v>
      </c>
      <c r="S98" s="130">
        <v>0</v>
      </c>
      <c r="T98" s="130">
        <v>0</v>
      </c>
      <c r="U98" s="95">
        <f t="shared" si="33"/>
        <v>0</v>
      </c>
      <c r="V98" s="95">
        <f t="shared" si="34"/>
        <v>0</v>
      </c>
      <c r="W98" s="93"/>
      <c r="X98" s="93"/>
      <c r="Y98" s="204"/>
      <c r="Z98" s="204"/>
      <c r="AA98" s="93"/>
      <c r="AB98" s="93"/>
      <c r="AC98" s="204"/>
      <c r="AD98" s="204"/>
      <c r="AE98" s="93"/>
      <c r="AF98" s="93"/>
      <c r="AG98" s="204"/>
    </row>
    <row r="99" spans="1:33" ht="19.5" hidden="1" x14ac:dyDescent="0.3">
      <c r="A99" s="201"/>
      <c r="B99" s="129" t="s">
        <v>125</v>
      </c>
      <c r="C99" s="202">
        <f t="shared" ca="1" si="56"/>
        <v>0</v>
      </c>
      <c r="D99" s="203">
        <f t="shared" ca="1" si="57"/>
        <v>0</v>
      </c>
      <c r="E99" s="93">
        <f ca="1">IFERROR(__xludf.DUMMYFUNCTION("IMPORTRANGE(""https://docs.google.com/spreadsheets/d/1-uDff_7J0KD5mKrp0Vvzr7lt3OU09vwQwhkpOPPYv2Y/edit?usp=sharing"",""งบพรบ!BH99"")"),0)</f>
        <v>0</v>
      </c>
      <c r="F99" s="93">
        <f ca="1">IFERROR(__xludf.DUMMYFUNCTION("IMPORTRANGE(""https://docs.google.com/spreadsheets/d/1-uDff_7J0KD5mKrp0Vvzr7lt3OU09vwQwhkpOPPYv2Y/edit?usp=sharing"",""งบพรบ!BI99"")"),0)</f>
        <v>0</v>
      </c>
      <c r="G99" s="93">
        <f ca="1">IFERROR(__xludf.DUMMYFUNCTION("IMPORTRANGE(""https://docs.google.com/spreadsheets/d/1-uDff_7J0KD5mKrp0Vvzr7lt3OU09vwQwhkpOPPYv2Y/edit?usp=sharing"",""งบพรบ!BJ99"")"),0)</f>
        <v>0</v>
      </c>
      <c r="H99" s="93">
        <f ca="1">IFERROR(__xludf.DUMMYFUNCTION("IMPORTRANGE(""https://docs.google.com/spreadsheets/d/1-uDff_7J0KD5mKrp0Vvzr7lt3OU09vwQwhkpOPPYv2Y/edit?usp=sharing"",""งบพรบ!BL99"")"),0)</f>
        <v>0</v>
      </c>
      <c r="I99" s="93">
        <f ca="1">IFERROR(__xludf.DUMMYFUNCTION("IMPORTRANGE(""https://docs.google.com/spreadsheets/d/1-uDff_7J0KD5mKrp0Vvzr7lt3OU09vwQwhkpOPPYv2Y/edit?usp=sharing"",""งบพรบ!BM99"")"),0)</f>
        <v>0</v>
      </c>
      <c r="J99" s="93">
        <f t="shared" ca="1" si="58"/>
        <v>0</v>
      </c>
      <c r="K99" s="94">
        <f t="shared" ca="1" si="59"/>
        <v>0</v>
      </c>
      <c r="L99" s="93">
        <f ca="1">IFERROR(__xludf.DUMMYFUNCTION("IMPORTRANGE(""https://docs.google.com/spreadsheets/d/1-uDff_7J0KD5mKrp0Vvzr7lt3OU09vwQwhkpOPPYv2Y/edit?usp=sharing"",""งบพรบ!BN99"")"),0)</f>
        <v>0</v>
      </c>
      <c r="M99" s="95">
        <f t="shared" ca="1" si="60"/>
        <v>0</v>
      </c>
      <c r="N99" s="95">
        <f t="shared" ca="1" si="61"/>
        <v>0</v>
      </c>
      <c r="O99" s="96">
        <f ca="1">IFERROR(__xludf.DUMMYFUNCTION("IMPORTRANGE(""https://docs.google.com/spreadsheets/d/1-uDff_7J0KD5mKrp0Vvzr7lt3OU09vwQwhkpOPPYv2Y/edit?usp=sharing"",""งบพรบ!BO99"")"),0)</f>
        <v>0</v>
      </c>
      <c r="P99" s="96">
        <f t="shared" ca="1" si="62"/>
        <v>0</v>
      </c>
      <c r="Q99" s="95">
        <f t="shared" ca="1" si="63"/>
        <v>0</v>
      </c>
      <c r="R99" s="130">
        <v>0</v>
      </c>
      <c r="S99" s="130">
        <v>0</v>
      </c>
      <c r="T99" s="130">
        <v>0</v>
      </c>
      <c r="U99" s="95">
        <f t="shared" si="33"/>
        <v>0</v>
      </c>
      <c r="V99" s="95">
        <f t="shared" si="34"/>
        <v>0</v>
      </c>
      <c r="W99" s="93"/>
      <c r="X99" s="93"/>
      <c r="Y99" s="204"/>
      <c r="Z99" s="204"/>
      <c r="AA99" s="93"/>
      <c r="AB99" s="93"/>
      <c r="AC99" s="204"/>
      <c r="AD99" s="204"/>
      <c r="AE99" s="93"/>
      <c r="AF99" s="93"/>
      <c r="AG99" s="204"/>
    </row>
    <row r="100" spans="1:33" ht="19.5" hidden="1" x14ac:dyDescent="0.3">
      <c r="A100" s="201"/>
      <c r="B100" s="129" t="s">
        <v>126</v>
      </c>
      <c r="C100" s="202">
        <f t="shared" ca="1" si="56"/>
        <v>0</v>
      </c>
      <c r="D100" s="203">
        <f t="shared" ca="1" si="57"/>
        <v>0</v>
      </c>
      <c r="E100" s="93">
        <f ca="1">IFERROR(__xludf.DUMMYFUNCTION("IMPORTRANGE(""https://docs.google.com/spreadsheets/d/1-uDff_7J0KD5mKrp0Vvzr7lt3OU09vwQwhkpOPPYv2Y/edit?usp=sharing"",""งบพรบ!BH100"")"),0)</f>
        <v>0</v>
      </c>
      <c r="F100" s="93">
        <f ca="1">IFERROR(__xludf.DUMMYFUNCTION("IMPORTRANGE(""https://docs.google.com/spreadsheets/d/1-uDff_7J0KD5mKrp0Vvzr7lt3OU09vwQwhkpOPPYv2Y/edit?usp=sharing"",""งบพรบ!BI100"")"),0)</f>
        <v>0</v>
      </c>
      <c r="G100" s="93">
        <f ca="1">IFERROR(__xludf.DUMMYFUNCTION("IMPORTRANGE(""https://docs.google.com/spreadsheets/d/1-uDff_7J0KD5mKrp0Vvzr7lt3OU09vwQwhkpOPPYv2Y/edit?usp=sharing"",""งบพรบ!BJ100"")"),0)</f>
        <v>0</v>
      </c>
      <c r="H100" s="93">
        <f ca="1">IFERROR(__xludf.DUMMYFUNCTION("IMPORTRANGE(""https://docs.google.com/spreadsheets/d/1-uDff_7J0KD5mKrp0Vvzr7lt3OU09vwQwhkpOPPYv2Y/edit?usp=sharing"",""งบพรบ!BL100"")"),0)</f>
        <v>0</v>
      </c>
      <c r="I100" s="93">
        <f ca="1">IFERROR(__xludf.DUMMYFUNCTION("IMPORTRANGE(""https://docs.google.com/spreadsheets/d/1-uDff_7J0KD5mKrp0Vvzr7lt3OU09vwQwhkpOPPYv2Y/edit?usp=sharing"",""งบพรบ!BM100"")"),0)</f>
        <v>0</v>
      </c>
      <c r="J100" s="93">
        <f t="shared" ca="1" si="58"/>
        <v>0</v>
      </c>
      <c r="K100" s="94">
        <f t="shared" ca="1" si="59"/>
        <v>0</v>
      </c>
      <c r="L100" s="93">
        <f ca="1">IFERROR(__xludf.DUMMYFUNCTION("IMPORTRANGE(""https://docs.google.com/spreadsheets/d/1-uDff_7J0KD5mKrp0Vvzr7lt3OU09vwQwhkpOPPYv2Y/edit?usp=sharing"",""งบพรบ!BN100"")"),0)</f>
        <v>0</v>
      </c>
      <c r="M100" s="95">
        <f t="shared" ca="1" si="60"/>
        <v>0</v>
      </c>
      <c r="N100" s="95">
        <f t="shared" ca="1" si="61"/>
        <v>0</v>
      </c>
      <c r="O100" s="96">
        <f ca="1">IFERROR(__xludf.DUMMYFUNCTION("IMPORTRANGE(""https://docs.google.com/spreadsheets/d/1-uDff_7J0KD5mKrp0Vvzr7lt3OU09vwQwhkpOPPYv2Y/edit?usp=sharing"",""งบพรบ!BO100"")"),0)</f>
        <v>0</v>
      </c>
      <c r="P100" s="96">
        <f t="shared" ca="1" si="62"/>
        <v>0</v>
      </c>
      <c r="Q100" s="95">
        <f t="shared" ca="1" si="63"/>
        <v>0</v>
      </c>
      <c r="R100" s="130">
        <v>0</v>
      </c>
      <c r="S100" s="130">
        <v>0</v>
      </c>
      <c r="T100" s="130">
        <v>0</v>
      </c>
      <c r="U100" s="95">
        <f t="shared" si="33"/>
        <v>0</v>
      </c>
      <c r="V100" s="95">
        <f t="shared" si="34"/>
        <v>0</v>
      </c>
      <c r="W100" s="93"/>
      <c r="X100" s="93"/>
      <c r="Y100" s="204"/>
      <c r="Z100" s="204"/>
      <c r="AA100" s="93"/>
      <c r="AB100" s="93"/>
      <c r="AC100" s="204"/>
      <c r="AD100" s="204"/>
      <c r="AE100" s="93"/>
      <c r="AF100" s="93"/>
      <c r="AG100" s="204"/>
    </row>
    <row r="101" spans="1:33" ht="19.5" hidden="1" x14ac:dyDescent="0.3">
      <c r="A101" s="201"/>
      <c r="B101" s="129" t="s">
        <v>127</v>
      </c>
      <c r="C101" s="202">
        <f t="shared" ca="1" si="56"/>
        <v>0</v>
      </c>
      <c r="D101" s="203">
        <f t="shared" ca="1" si="57"/>
        <v>0</v>
      </c>
      <c r="E101" s="93">
        <f ca="1">IFERROR(__xludf.DUMMYFUNCTION("IMPORTRANGE(""https://docs.google.com/spreadsheets/d/1-uDff_7J0KD5mKrp0Vvzr7lt3OU09vwQwhkpOPPYv2Y/edit?usp=sharing"",""งบพรบ!BH101"")"),0)</f>
        <v>0</v>
      </c>
      <c r="F101" s="93">
        <f ca="1">IFERROR(__xludf.DUMMYFUNCTION("IMPORTRANGE(""https://docs.google.com/spreadsheets/d/1-uDff_7J0KD5mKrp0Vvzr7lt3OU09vwQwhkpOPPYv2Y/edit?usp=sharing"",""งบพรบ!BI101"")"),0)</f>
        <v>0</v>
      </c>
      <c r="G101" s="93">
        <f ca="1">IFERROR(__xludf.DUMMYFUNCTION("IMPORTRANGE(""https://docs.google.com/spreadsheets/d/1-uDff_7J0KD5mKrp0Vvzr7lt3OU09vwQwhkpOPPYv2Y/edit?usp=sharing"",""งบพรบ!BJ101"")"),0)</f>
        <v>0</v>
      </c>
      <c r="H101" s="93">
        <f ca="1">IFERROR(__xludf.DUMMYFUNCTION("IMPORTRANGE(""https://docs.google.com/spreadsheets/d/1-uDff_7J0KD5mKrp0Vvzr7lt3OU09vwQwhkpOPPYv2Y/edit?usp=sharing"",""งบพรบ!BL101"")"),0)</f>
        <v>0</v>
      </c>
      <c r="I101" s="93">
        <f ca="1">IFERROR(__xludf.DUMMYFUNCTION("IMPORTRANGE(""https://docs.google.com/spreadsheets/d/1-uDff_7J0KD5mKrp0Vvzr7lt3OU09vwQwhkpOPPYv2Y/edit?usp=sharing"",""งบพรบ!BM101"")"),0)</f>
        <v>0</v>
      </c>
      <c r="J101" s="93">
        <f t="shared" ca="1" si="58"/>
        <v>0</v>
      </c>
      <c r="K101" s="94">
        <f t="shared" ca="1" si="59"/>
        <v>0</v>
      </c>
      <c r="L101" s="93">
        <f ca="1">IFERROR(__xludf.DUMMYFUNCTION("IMPORTRANGE(""https://docs.google.com/spreadsheets/d/1-uDff_7J0KD5mKrp0Vvzr7lt3OU09vwQwhkpOPPYv2Y/edit?usp=sharing"",""งบพรบ!BN101"")"),0)</f>
        <v>0</v>
      </c>
      <c r="M101" s="95">
        <f t="shared" ca="1" si="60"/>
        <v>0</v>
      </c>
      <c r="N101" s="95">
        <f t="shared" ca="1" si="61"/>
        <v>0</v>
      </c>
      <c r="O101" s="96">
        <f ca="1">IFERROR(__xludf.DUMMYFUNCTION("IMPORTRANGE(""https://docs.google.com/spreadsheets/d/1-uDff_7J0KD5mKrp0Vvzr7lt3OU09vwQwhkpOPPYv2Y/edit?usp=sharing"",""งบพรบ!BO101"")"),0)</f>
        <v>0</v>
      </c>
      <c r="P101" s="96">
        <f t="shared" ca="1" si="62"/>
        <v>0</v>
      </c>
      <c r="Q101" s="95">
        <f t="shared" ca="1" si="63"/>
        <v>0</v>
      </c>
      <c r="R101" s="130">
        <v>0</v>
      </c>
      <c r="S101" s="130">
        <v>0</v>
      </c>
      <c r="T101" s="130">
        <v>0</v>
      </c>
      <c r="U101" s="95">
        <f t="shared" si="33"/>
        <v>0</v>
      </c>
      <c r="V101" s="95">
        <f t="shared" si="34"/>
        <v>0</v>
      </c>
      <c r="W101" s="93"/>
      <c r="X101" s="93"/>
      <c r="Y101" s="204"/>
      <c r="Z101" s="204"/>
      <c r="AA101" s="93"/>
      <c r="AB101" s="93"/>
      <c r="AC101" s="204"/>
      <c r="AD101" s="204"/>
      <c r="AE101" s="93"/>
      <c r="AF101" s="93"/>
      <c r="AG101" s="204"/>
    </row>
    <row r="102" spans="1:33" ht="19.5" hidden="1" x14ac:dyDescent="0.3">
      <c r="A102" s="201"/>
      <c r="B102" s="129" t="s">
        <v>128</v>
      </c>
      <c r="C102" s="202">
        <f t="shared" ca="1" si="56"/>
        <v>0</v>
      </c>
      <c r="D102" s="203">
        <f t="shared" ca="1" si="57"/>
        <v>0</v>
      </c>
      <c r="E102" s="93">
        <f ca="1">IFERROR(__xludf.DUMMYFUNCTION("IMPORTRANGE(""https://docs.google.com/spreadsheets/d/1-uDff_7J0KD5mKrp0Vvzr7lt3OU09vwQwhkpOPPYv2Y/edit?usp=sharing"",""งบพรบ!BH102"")"),0)</f>
        <v>0</v>
      </c>
      <c r="F102" s="93">
        <f ca="1">IFERROR(__xludf.DUMMYFUNCTION("IMPORTRANGE(""https://docs.google.com/spreadsheets/d/1-uDff_7J0KD5mKrp0Vvzr7lt3OU09vwQwhkpOPPYv2Y/edit?usp=sharing"",""งบพรบ!BI102"")"),0)</f>
        <v>0</v>
      </c>
      <c r="G102" s="93">
        <f ca="1">IFERROR(__xludf.DUMMYFUNCTION("IMPORTRANGE(""https://docs.google.com/spreadsheets/d/1-uDff_7J0KD5mKrp0Vvzr7lt3OU09vwQwhkpOPPYv2Y/edit?usp=sharing"",""งบพรบ!BJ102"")"),0)</f>
        <v>0</v>
      </c>
      <c r="H102" s="93">
        <f ca="1">IFERROR(__xludf.DUMMYFUNCTION("IMPORTRANGE(""https://docs.google.com/spreadsheets/d/1-uDff_7J0KD5mKrp0Vvzr7lt3OU09vwQwhkpOPPYv2Y/edit?usp=sharing"",""งบพรบ!BL102"")"),0)</f>
        <v>0</v>
      </c>
      <c r="I102" s="93">
        <f ca="1">IFERROR(__xludf.DUMMYFUNCTION("IMPORTRANGE(""https://docs.google.com/spreadsheets/d/1-uDff_7J0KD5mKrp0Vvzr7lt3OU09vwQwhkpOPPYv2Y/edit?usp=sharing"",""งบพรบ!BM102"")"),0)</f>
        <v>0</v>
      </c>
      <c r="J102" s="93">
        <f t="shared" ca="1" si="58"/>
        <v>0</v>
      </c>
      <c r="K102" s="94">
        <f t="shared" ca="1" si="59"/>
        <v>0</v>
      </c>
      <c r="L102" s="93">
        <f ca="1">IFERROR(__xludf.DUMMYFUNCTION("IMPORTRANGE(""https://docs.google.com/spreadsheets/d/1-uDff_7J0KD5mKrp0Vvzr7lt3OU09vwQwhkpOPPYv2Y/edit?usp=sharing"",""งบพรบ!BN102"")"),0)</f>
        <v>0</v>
      </c>
      <c r="M102" s="95">
        <f t="shared" ca="1" si="60"/>
        <v>0</v>
      </c>
      <c r="N102" s="95">
        <f t="shared" ca="1" si="61"/>
        <v>0</v>
      </c>
      <c r="O102" s="96">
        <f ca="1">IFERROR(__xludf.DUMMYFUNCTION("IMPORTRANGE(""https://docs.google.com/spreadsheets/d/1-uDff_7J0KD5mKrp0Vvzr7lt3OU09vwQwhkpOPPYv2Y/edit?usp=sharing"",""งบพรบ!BO102"")"),0)</f>
        <v>0</v>
      </c>
      <c r="P102" s="96">
        <f t="shared" ca="1" si="62"/>
        <v>0</v>
      </c>
      <c r="Q102" s="95">
        <f t="shared" ca="1" si="63"/>
        <v>0</v>
      </c>
      <c r="R102" s="130">
        <v>0</v>
      </c>
      <c r="S102" s="130">
        <v>0</v>
      </c>
      <c r="T102" s="130">
        <v>0</v>
      </c>
      <c r="U102" s="95">
        <f t="shared" si="33"/>
        <v>0</v>
      </c>
      <c r="V102" s="95">
        <f t="shared" si="34"/>
        <v>0</v>
      </c>
      <c r="W102" s="93"/>
      <c r="X102" s="93"/>
      <c r="Y102" s="204"/>
      <c r="Z102" s="204"/>
      <c r="AA102" s="93"/>
      <c r="AB102" s="93"/>
      <c r="AC102" s="204"/>
      <c r="AD102" s="204"/>
      <c r="AE102" s="93"/>
      <c r="AF102" s="93"/>
      <c r="AG102" s="204"/>
    </row>
    <row r="103" spans="1:33" ht="19.5" hidden="1" x14ac:dyDescent="0.3">
      <c r="A103" s="201"/>
      <c r="B103" s="129" t="s">
        <v>129</v>
      </c>
      <c r="C103" s="202">
        <f t="shared" ca="1" si="56"/>
        <v>0</v>
      </c>
      <c r="D103" s="203">
        <f t="shared" ca="1" si="57"/>
        <v>0</v>
      </c>
      <c r="E103" s="93">
        <f ca="1">IFERROR(__xludf.DUMMYFUNCTION("IMPORTRANGE(""https://docs.google.com/spreadsheets/d/1-uDff_7J0KD5mKrp0Vvzr7lt3OU09vwQwhkpOPPYv2Y/edit?usp=sharing"",""งบพรบ!BH103"")"),0)</f>
        <v>0</v>
      </c>
      <c r="F103" s="93">
        <f ca="1">IFERROR(__xludf.DUMMYFUNCTION("IMPORTRANGE(""https://docs.google.com/spreadsheets/d/1-uDff_7J0KD5mKrp0Vvzr7lt3OU09vwQwhkpOPPYv2Y/edit?usp=sharing"",""งบพรบ!BI103"")"),0)</f>
        <v>0</v>
      </c>
      <c r="G103" s="93">
        <f ca="1">IFERROR(__xludf.DUMMYFUNCTION("IMPORTRANGE(""https://docs.google.com/spreadsheets/d/1-uDff_7J0KD5mKrp0Vvzr7lt3OU09vwQwhkpOPPYv2Y/edit?usp=sharing"",""งบพรบ!BJ103"")"),0)</f>
        <v>0</v>
      </c>
      <c r="H103" s="93">
        <f ca="1">IFERROR(__xludf.DUMMYFUNCTION("IMPORTRANGE(""https://docs.google.com/spreadsheets/d/1-uDff_7J0KD5mKrp0Vvzr7lt3OU09vwQwhkpOPPYv2Y/edit?usp=sharing"",""งบพรบ!BL103"")"),0)</f>
        <v>0</v>
      </c>
      <c r="I103" s="93">
        <f ca="1">IFERROR(__xludf.DUMMYFUNCTION("IMPORTRANGE(""https://docs.google.com/spreadsheets/d/1-uDff_7J0KD5mKrp0Vvzr7lt3OU09vwQwhkpOPPYv2Y/edit?usp=sharing"",""งบพรบ!BM103"")"),0)</f>
        <v>0</v>
      </c>
      <c r="J103" s="93">
        <f t="shared" ca="1" si="58"/>
        <v>0</v>
      </c>
      <c r="K103" s="94">
        <f t="shared" ca="1" si="59"/>
        <v>0</v>
      </c>
      <c r="L103" s="93">
        <f ca="1">IFERROR(__xludf.DUMMYFUNCTION("IMPORTRANGE(""https://docs.google.com/spreadsheets/d/1-uDff_7J0KD5mKrp0Vvzr7lt3OU09vwQwhkpOPPYv2Y/edit?usp=sharing"",""งบพรบ!BN103"")"),0)</f>
        <v>0</v>
      </c>
      <c r="M103" s="95">
        <f t="shared" ca="1" si="60"/>
        <v>0</v>
      </c>
      <c r="N103" s="95">
        <f t="shared" ca="1" si="61"/>
        <v>0</v>
      </c>
      <c r="O103" s="96">
        <f ca="1">IFERROR(__xludf.DUMMYFUNCTION("IMPORTRANGE(""https://docs.google.com/spreadsheets/d/1-uDff_7J0KD5mKrp0Vvzr7lt3OU09vwQwhkpOPPYv2Y/edit?usp=sharing"",""งบพรบ!BO103"")"),0)</f>
        <v>0</v>
      </c>
      <c r="P103" s="96">
        <f t="shared" ca="1" si="62"/>
        <v>0</v>
      </c>
      <c r="Q103" s="95">
        <f t="shared" ca="1" si="63"/>
        <v>0</v>
      </c>
      <c r="R103" s="131">
        <v>0</v>
      </c>
      <c r="S103" s="131">
        <v>0</v>
      </c>
      <c r="T103" s="131">
        <v>0</v>
      </c>
      <c r="U103" s="132">
        <f t="shared" si="33"/>
        <v>0</v>
      </c>
      <c r="V103" s="132">
        <f t="shared" si="34"/>
        <v>0</v>
      </c>
      <c r="W103" s="93"/>
      <c r="X103" s="93"/>
      <c r="Y103" s="204"/>
      <c r="Z103" s="204"/>
      <c r="AA103" s="93"/>
      <c r="AB103" s="93"/>
      <c r="AC103" s="204"/>
      <c r="AD103" s="204"/>
      <c r="AE103" s="93"/>
      <c r="AF103" s="93"/>
      <c r="AG103" s="204"/>
    </row>
    <row r="104" spans="1:33" ht="19.5" hidden="1" x14ac:dyDescent="0.3">
      <c r="A104" s="201"/>
      <c r="B104" s="129" t="s">
        <v>130</v>
      </c>
      <c r="C104" s="202">
        <f t="shared" ca="1" si="56"/>
        <v>0</v>
      </c>
      <c r="D104" s="203">
        <f t="shared" ca="1" si="57"/>
        <v>0</v>
      </c>
      <c r="E104" s="93">
        <f ca="1">IFERROR(__xludf.DUMMYFUNCTION("IMPORTRANGE(""https://docs.google.com/spreadsheets/d/1-uDff_7J0KD5mKrp0Vvzr7lt3OU09vwQwhkpOPPYv2Y/edit?usp=sharing"",""งบพรบ!BH104"")"),0)</f>
        <v>0</v>
      </c>
      <c r="F104" s="93">
        <f ca="1">IFERROR(__xludf.DUMMYFUNCTION("IMPORTRANGE(""https://docs.google.com/spreadsheets/d/1-uDff_7J0KD5mKrp0Vvzr7lt3OU09vwQwhkpOPPYv2Y/edit?usp=sharing"",""งบพรบ!BI104"")"),0)</f>
        <v>0</v>
      </c>
      <c r="G104" s="93">
        <f ca="1">IFERROR(__xludf.DUMMYFUNCTION("IMPORTRANGE(""https://docs.google.com/spreadsheets/d/1-uDff_7J0KD5mKrp0Vvzr7lt3OU09vwQwhkpOPPYv2Y/edit?usp=sharing"",""งบพรบ!BJ104"")"),0)</f>
        <v>0</v>
      </c>
      <c r="H104" s="93">
        <f ca="1">IFERROR(__xludf.DUMMYFUNCTION("IMPORTRANGE(""https://docs.google.com/spreadsheets/d/1-uDff_7J0KD5mKrp0Vvzr7lt3OU09vwQwhkpOPPYv2Y/edit?usp=sharing"",""งบพรบ!BL104"")"),0)</f>
        <v>0</v>
      </c>
      <c r="I104" s="93">
        <f ca="1">IFERROR(__xludf.DUMMYFUNCTION("IMPORTRANGE(""https://docs.google.com/spreadsheets/d/1-uDff_7J0KD5mKrp0Vvzr7lt3OU09vwQwhkpOPPYv2Y/edit?usp=sharing"",""งบพรบ!BM104"")"),0)</f>
        <v>0</v>
      </c>
      <c r="J104" s="93">
        <f t="shared" ca="1" si="58"/>
        <v>0</v>
      </c>
      <c r="K104" s="94">
        <f t="shared" ca="1" si="59"/>
        <v>0</v>
      </c>
      <c r="L104" s="93">
        <f ca="1">IFERROR(__xludf.DUMMYFUNCTION("IMPORTRANGE(""https://docs.google.com/spreadsheets/d/1-uDff_7J0KD5mKrp0Vvzr7lt3OU09vwQwhkpOPPYv2Y/edit?usp=sharing"",""งบพรบ!BN104"")"),0)</f>
        <v>0</v>
      </c>
      <c r="M104" s="95">
        <f t="shared" ca="1" si="60"/>
        <v>0</v>
      </c>
      <c r="N104" s="95">
        <f t="shared" ca="1" si="61"/>
        <v>0</v>
      </c>
      <c r="O104" s="96">
        <f ca="1">IFERROR(__xludf.DUMMYFUNCTION("IMPORTRANGE(""https://docs.google.com/spreadsheets/d/1-uDff_7J0KD5mKrp0Vvzr7lt3OU09vwQwhkpOPPYv2Y/edit?usp=sharing"",""งบพรบ!BO104"")"),0)</f>
        <v>0</v>
      </c>
      <c r="P104" s="96">
        <f t="shared" ca="1" si="62"/>
        <v>0</v>
      </c>
      <c r="Q104" s="95">
        <f t="shared" ca="1" si="63"/>
        <v>0</v>
      </c>
      <c r="R104" s="130">
        <v>0</v>
      </c>
      <c r="S104" s="130">
        <v>0</v>
      </c>
      <c r="T104" s="130">
        <v>0</v>
      </c>
      <c r="U104" s="95">
        <f t="shared" si="33"/>
        <v>0</v>
      </c>
      <c r="V104" s="95">
        <f t="shared" si="34"/>
        <v>0</v>
      </c>
      <c r="W104" s="93"/>
      <c r="X104" s="93"/>
      <c r="Y104" s="204"/>
      <c r="Z104" s="204"/>
      <c r="AA104" s="93"/>
      <c r="AB104" s="93"/>
      <c r="AC104" s="204"/>
      <c r="AD104" s="204"/>
      <c r="AE104" s="93"/>
      <c r="AF104" s="93"/>
      <c r="AG104" s="204"/>
    </row>
    <row r="105" spans="1:33" ht="19.5" hidden="1" x14ac:dyDescent="0.3">
      <c r="A105" s="201"/>
      <c r="B105" s="133" t="s">
        <v>131</v>
      </c>
      <c r="C105" s="202">
        <f t="shared" ca="1" si="56"/>
        <v>0</v>
      </c>
      <c r="D105" s="203">
        <f t="shared" ca="1" si="57"/>
        <v>0</v>
      </c>
      <c r="E105" s="93">
        <f ca="1">IFERROR(__xludf.DUMMYFUNCTION("IMPORTRANGE(""https://docs.google.com/spreadsheets/d/1-uDff_7J0KD5mKrp0Vvzr7lt3OU09vwQwhkpOPPYv2Y/edit?usp=sharing"",""งบพรบ!BH105"")"),0)</f>
        <v>0</v>
      </c>
      <c r="F105" s="93">
        <f ca="1">IFERROR(__xludf.DUMMYFUNCTION("IMPORTRANGE(""https://docs.google.com/spreadsheets/d/1-uDff_7J0KD5mKrp0Vvzr7lt3OU09vwQwhkpOPPYv2Y/edit?usp=sharing"",""งบพรบ!BI105"")"),0)</f>
        <v>0</v>
      </c>
      <c r="G105" s="93">
        <f ca="1">IFERROR(__xludf.DUMMYFUNCTION("IMPORTRANGE(""https://docs.google.com/spreadsheets/d/1-uDff_7J0KD5mKrp0Vvzr7lt3OU09vwQwhkpOPPYv2Y/edit?usp=sharing"",""งบพรบ!BJ105"")"),0)</f>
        <v>0</v>
      </c>
      <c r="H105" s="93">
        <f ca="1">IFERROR(__xludf.DUMMYFUNCTION("IMPORTRANGE(""https://docs.google.com/spreadsheets/d/1-uDff_7J0KD5mKrp0Vvzr7lt3OU09vwQwhkpOPPYv2Y/edit?usp=sharing"",""งบพรบ!BL105"")"),0)</f>
        <v>0</v>
      </c>
      <c r="I105" s="93">
        <f ca="1">IFERROR(__xludf.DUMMYFUNCTION("IMPORTRANGE(""https://docs.google.com/spreadsheets/d/1-uDff_7J0KD5mKrp0Vvzr7lt3OU09vwQwhkpOPPYv2Y/edit?usp=sharing"",""งบพรบ!BM105"")"),0)</f>
        <v>0</v>
      </c>
      <c r="J105" s="93">
        <f t="shared" ca="1" si="58"/>
        <v>0</v>
      </c>
      <c r="K105" s="94">
        <f t="shared" ca="1" si="59"/>
        <v>0</v>
      </c>
      <c r="L105" s="93">
        <f ca="1">IFERROR(__xludf.DUMMYFUNCTION("IMPORTRANGE(""https://docs.google.com/spreadsheets/d/1-uDff_7J0KD5mKrp0Vvzr7lt3OU09vwQwhkpOPPYv2Y/edit?usp=sharing"",""งบพรบ!BN105"")"),0)</f>
        <v>0</v>
      </c>
      <c r="M105" s="95">
        <f t="shared" ca="1" si="60"/>
        <v>0</v>
      </c>
      <c r="N105" s="95">
        <f t="shared" ca="1" si="61"/>
        <v>0</v>
      </c>
      <c r="O105" s="96">
        <f ca="1">IFERROR(__xludf.DUMMYFUNCTION("IMPORTRANGE(""https://docs.google.com/spreadsheets/d/1-uDff_7J0KD5mKrp0Vvzr7lt3OU09vwQwhkpOPPYv2Y/edit?usp=sharing"",""งบพรบ!BO105"")"),0)</f>
        <v>0</v>
      </c>
      <c r="P105" s="96">
        <f t="shared" ca="1" si="62"/>
        <v>0</v>
      </c>
      <c r="Q105" s="95">
        <f t="shared" ca="1" si="63"/>
        <v>0</v>
      </c>
      <c r="R105" s="134">
        <v>0</v>
      </c>
      <c r="S105" s="134">
        <v>0</v>
      </c>
      <c r="T105" s="134">
        <v>0</v>
      </c>
      <c r="U105" s="135">
        <f t="shared" si="33"/>
        <v>0</v>
      </c>
      <c r="V105" s="135">
        <f t="shared" si="34"/>
        <v>0</v>
      </c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</row>
    <row r="106" spans="1:33" ht="19.5" hidden="1" x14ac:dyDescent="0.3">
      <c r="A106" s="205"/>
      <c r="B106" s="137" t="s">
        <v>132</v>
      </c>
      <c r="C106" s="206">
        <f t="shared" ca="1" si="56"/>
        <v>0</v>
      </c>
      <c r="D106" s="207">
        <f t="shared" ca="1" si="57"/>
        <v>0</v>
      </c>
      <c r="E106" s="104">
        <f ca="1">IFERROR(__xludf.DUMMYFUNCTION("IMPORTRANGE(""https://docs.google.com/spreadsheets/d/1-uDff_7J0KD5mKrp0Vvzr7lt3OU09vwQwhkpOPPYv2Y/edit?usp=sharing"",""งบพรบ!BH106"")"),0)</f>
        <v>0</v>
      </c>
      <c r="F106" s="104">
        <f ca="1">IFERROR(__xludf.DUMMYFUNCTION("IMPORTRANGE(""https://docs.google.com/spreadsheets/d/1-uDff_7J0KD5mKrp0Vvzr7lt3OU09vwQwhkpOPPYv2Y/edit?usp=sharing"",""งบพรบ!BI106"")"),0)</f>
        <v>0</v>
      </c>
      <c r="G106" s="104">
        <f ca="1">IFERROR(__xludf.DUMMYFUNCTION("IMPORTRANGE(""https://docs.google.com/spreadsheets/d/1-uDff_7J0KD5mKrp0Vvzr7lt3OU09vwQwhkpOPPYv2Y/edit?usp=sharing"",""งบพรบ!BJ106"")"),0)</f>
        <v>0</v>
      </c>
      <c r="H106" s="104">
        <f ca="1">IFERROR(__xludf.DUMMYFUNCTION("IMPORTRANGE(""https://docs.google.com/spreadsheets/d/1-uDff_7J0KD5mKrp0Vvzr7lt3OU09vwQwhkpOPPYv2Y/edit?usp=sharing"",""งบพรบ!BL106"")"),0)</f>
        <v>0</v>
      </c>
      <c r="I106" s="104">
        <f ca="1">IFERROR(__xludf.DUMMYFUNCTION("IMPORTRANGE(""https://docs.google.com/spreadsheets/d/1-uDff_7J0KD5mKrp0Vvzr7lt3OU09vwQwhkpOPPYv2Y/edit?usp=sharing"",""งบพรบ!BM106"")"),0)</f>
        <v>0</v>
      </c>
      <c r="J106" s="104">
        <f t="shared" ca="1" si="58"/>
        <v>0</v>
      </c>
      <c r="K106" s="105">
        <f t="shared" ca="1" si="59"/>
        <v>0</v>
      </c>
      <c r="L106" s="104">
        <f ca="1">IFERROR(__xludf.DUMMYFUNCTION("IMPORTRANGE(""https://docs.google.com/spreadsheets/d/1-uDff_7J0KD5mKrp0Vvzr7lt3OU09vwQwhkpOPPYv2Y/edit?usp=sharing"",""งบพรบ!BN106"")"),0)</f>
        <v>0</v>
      </c>
      <c r="M106" s="106">
        <f t="shared" ca="1" si="60"/>
        <v>0</v>
      </c>
      <c r="N106" s="106">
        <f t="shared" ca="1" si="61"/>
        <v>0</v>
      </c>
      <c r="O106" s="107">
        <f ca="1">IFERROR(__xludf.DUMMYFUNCTION("IMPORTRANGE(""https://docs.google.com/spreadsheets/d/1-uDff_7J0KD5mKrp0Vvzr7lt3OU09vwQwhkpOPPYv2Y/edit?usp=sharing"",""งบพรบ!BO106"")"),0)</f>
        <v>0</v>
      </c>
      <c r="P106" s="107">
        <f t="shared" ca="1" si="62"/>
        <v>0</v>
      </c>
      <c r="Q106" s="106">
        <f t="shared" ca="1" si="63"/>
        <v>0</v>
      </c>
      <c r="R106" s="138">
        <v>0</v>
      </c>
      <c r="S106" s="138">
        <v>0</v>
      </c>
      <c r="T106" s="138">
        <v>0</v>
      </c>
      <c r="U106" s="106">
        <f t="shared" si="33"/>
        <v>0</v>
      </c>
      <c r="V106" s="106">
        <f t="shared" si="34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</row>
    <row r="107" spans="1:33" ht="19.5" x14ac:dyDescent="0.3">
      <c r="C107" s="223" t="s">
        <v>142</v>
      </c>
    </row>
  </sheetData>
  <mergeCells count="32">
    <mergeCell ref="X5:Y5"/>
    <mergeCell ref="AB5:AC5"/>
    <mergeCell ref="A2:B6"/>
    <mergeCell ref="C2:AG2"/>
    <mergeCell ref="C3:Q3"/>
    <mergeCell ref="W3:Z4"/>
    <mergeCell ref="AA3:AD4"/>
    <mergeCell ref="AE3:AG4"/>
    <mergeCell ref="J4:Q4"/>
    <mergeCell ref="AF5:AG5"/>
    <mergeCell ref="C4:G4"/>
    <mergeCell ref="H4:I4"/>
    <mergeCell ref="R3:V3"/>
    <mergeCell ref="R4:R6"/>
    <mergeCell ref="S4:S6"/>
    <mergeCell ref="T4:T6"/>
    <mergeCell ref="A89:B89"/>
    <mergeCell ref="E5:E6"/>
    <mergeCell ref="F5:F6"/>
    <mergeCell ref="G5:G6"/>
    <mergeCell ref="J5:K5"/>
    <mergeCell ref="A7:B7"/>
    <mergeCell ref="A13:B13"/>
    <mergeCell ref="A31:B31"/>
    <mergeCell ref="A52:B52"/>
    <mergeCell ref="A74:B74"/>
    <mergeCell ref="U4:U6"/>
    <mergeCell ref="V4:V6"/>
    <mergeCell ref="C5:C6"/>
    <mergeCell ref="D5:D6"/>
    <mergeCell ref="L5:N5"/>
    <mergeCell ref="O5:Q5"/>
  </mergeCells>
  <printOptions horizontalCentered="1"/>
  <pageMargins left="0.23622047244094491" right="0.23622047244094491" top="0.55118110236220474" bottom="0.55118110236220474" header="0" footer="0"/>
  <pageSetup paperSize="9" scale="45" fitToWidth="0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outlinePr summaryBelow="0" summaryRight="0"/>
  </sheetPr>
  <dimension ref="A1:AL106"/>
  <sheetViews>
    <sheetView view="pageBreakPreview" zoomScale="60" zoomScaleNormal="40" workbookViewId="0">
      <pane xSplit="2" ySplit="7" topLeftCell="C8" activePane="bottomRight" state="frozen"/>
      <selection activeCell="A13" sqref="A13:B13"/>
      <selection pane="topRight" activeCell="A13" sqref="A13:B13"/>
      <selection pane="bottomLeft" activeCell="A13" sqref="A13:B13"/>
      <selection pane="bottomRight" activeCell="Q26" sqref="Q2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1.85546875" bestFit="1" customWidth="1"/>
    <col min="4" max="4" width="16.28515625" bestFit="1" customWidth="1"/>
    <col min="5" max="5" width="16.85546875" bestFit="1" customWidth="1"/>
    <col min="6" max="6" width="16.140625" bestFit="1" customWidth="1"/>
    <col min="7" max="7" width="13.42578125" bestFit="1" customWidth="1"/>
    <col min="8" max="8" width="19.85546875" bestFit="1" customWidth="1"/>
    <col min="9" max="9" width="13.5703125" bestFit="1" customWidth="1"/>
    <col min="10" max="10" width="16.140625" bestFit="1" customWidth="1"/>
    <col min="11" max="11" width="10.85546875" bestFit="1" customWidth="1"/>
    <col min="12" max="12" width="16.140625" bestFit="1" customWidth="1"/>
    <col min="13" max="13" width="13.85546875" customWidth="1"/>
    <col min="14" max="14" width="15.140625" customWidth="1"/>
    <col min="15" max="15" width="7.85546875" bestFit="1" customWidth="1"/>
    <col min="16" max="16" width="11.28515625" customWidth="1"/>
    <col min="17" max="17" width="10.42578125" bestFit="1" customWidth="1"/>
    <col min="18" max="18" width="17.140625" bestFit="1" customWidth="1"/>
    <col min="19" max="19" width="11" bestFit="1" customWidth="1"/>
    <col min="20" max="20" width="12.42578125" bestFit="1" customWidth="1"/>
    <col min="21" max="21" width="10.7109375" bestFit="1" customWidth="1"/>
    <col min="22" max="22" width="12" bestFit="1" customWidth="1"/>
    <col min="23" max="38" width="16" customWidth="1"/>
  </cols>
  <sheetData>
    <row r="1" spans="1:3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ht="24" customHeight="1" x14ac:dyDescent="0.2">
      <c r="A2" s="647" t="s">
        <v>1</v>
      </c>
      <c r="B2" s="607"/>
      <c r="C2" s="600" t="s">
        <v>143</v>
      </c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2"/>
    </row>
    <row r="3" spans="1:38" ht="30" customHeight="1" x14ac:dyDescent="0.2">
      <c r="A3" s="640"/>
      <c r="B3" s="590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584" t="s">
        <v>4</v>
      </c>
      <c r="S3" s="585"/>
      <c r="T3" s="585"/>
      <c r="U3" s="585"/>
      <c r="V3" s="585"/>
      <c r="W3" s="648" t="s">
        <v>28</v>
      </c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598"/>
      <c r="AL3" s="583"/>
    </row>
    <row r="4" spans="1:38" ht="60" customHeight="1" x14ac:dyDescent="0.2">
      <c r="A4" s="640"/>
      <c r="B4" s="590"/>
      <c r="C4" s="609" t="s">
        <v>7</v>
      </c>
      <c r="D4" s="598"/>
      <c r="E4" s="598"/>
      <c r="F4" s="598"/>
      <c r="G4" s="583"/>
      <c r="H4" s="612" t="s">
        <v>8</v>
      </c>
      <c r="I4" s="583"/>
      <c r="J4" s="613" t="s">
        <v>9</v>
      </c>
      <c r="K4" s="598"/>
      <c r="L4" s="598"/>
      <c r="M4" s="598"/>
      <c r="N4" s="598"/>
      <c r="O4" s="598"/>
      <c r="P4" s="598"/>
      <c r="Q4" s="583"/>
      <c r="R4" s="614" t="s">
        <v>10</v>
      </c>
      <c r="S4" s="615" t="s">
        <v>11</v>
      </c>
      <c r="T4" s="594" t="s">
        <v>12</v>
      </c>
      <c r="U4" s="752" t="s">
        <v>13</v>
      </c>
      <c r="V4" s="752" t="s">
        <v>14</v>
      </c>
      <c r="W4" s="649" t="s">
        <v>144</v>
      </c>
      <c r="X4" s="605" t="s">
        <v>145</v>
      </c>
      <c r="Y4" s="598"/>
      <c r="Z4" s="598"/>
      <c r="AA4" s="598"/>
      <c r="AB4" s="598"/>
      <c r="AC4" s="583"/>
      <c r="AD4" s="605" t="s">
        <v>146</v>
      </c>
      <c r="AE4" s="598"/>
      <c r="AF4" s="598"/>
      <c r="AG4" s="598"/>
      <c r="AH4" s="598"/>
      <c r="AI4" s="583"/>
      <c r="AJ4" s="605" t="s">
        <v>147</v>
      </c>
      <c r="AK4" s="598"/>
      <c r="AL4" s="583"/>
    </row>
    <row r="5" spans="1:38" ht="24" customHeight="1" x14ac:dyDescent="0.3">
      <c r="A5" s="640"/>
      <c r="B5" s="590"/>
      <c r="C5" s="726" t="s">
        <v>19</v>
      </c>
      <c r="D5" s="727" t="s">
        <v>20</v>
      </c>
      <c r="E5" s="728" t="s">
        <v>21</v>
      </c>
      <c r="F5" s="729" t="s">
        <v>22</v>
      </c>
      <c r="G5" s="730" t="s">
        <v>23</v>
      </c>
      <c r="H5" s="6" t="s">
        <v>24</v>
      </c>
      <c r="I5" s="6" t="s">
        <v>25</v>
      </c>
      <c r="J5" s="589" t="s">
        <v>26</v>
      </c>
      <c r="K5" s="590"/>
      <c r="L5" s="591" t="s">
        <v>24</v>
      </c>
      <c r="M5" s="592"/>
      <c r="N5" s="593"/>
      <c r="O5" s="611" t="s">
        <v>25</v>
      </c>
      <c r="P5" s="592"/>
      <c r="Q5" s="593"/>
      <c r="R5" s="595"/>
      <c r="S5" s="595"/>
      <c r="T5" s="595"/>
      <c r="U5" s="753"/>
      <c r="V5" s="753"/>
      <c r="W5" s="595"/>
      <c r="X5" s="582" t="s">
        <v>27</v>
      </c>
      <c r="Y5" s="583"/>
      <c r="Z5" s="597" t="s">
        <v>28</v>
      </c>
      <c r="AA5" s="583"/>
      <c r="AB5" s="597" t="s">
        <v>28</v>
      </c>
      <c r="AC5" s="583"/>
      <c r="AD5" s="582" t="s">
        <v>27</v>
      </c>
      <c r="AE5" s="583"/>
      <c r="AF5" s="597" t="s">
        <v>28</v>
      </c>
      <c r="AG5" s="583"/>
      <c r="AH5" s="597" t="s">
        <v>28</v>
      </c>
      <c r="AI5" s="583"/>
      <c r="AJ5" s="224" t="s">
        <v>27</v>
      </c>
      <c r="AK5" s="597" t="s">
        <v>28</v>
      </c>
      <c r="AL5" s="583"/>
    </row>
    <row r="6" spans="1:38" ht="46.5" customHeight="1" x14ac:dyDescent="0.2">
      <c r="A6" s="641"/>
      <c r="B6" s="593"/>
      <c r="C6" s="731"/>
      <c r="D6" s="732"/>
      <c r="E6" s="732"/>
      <c r="F6" s="732"/>
      <c r="G6" s="732"/>
      <c r="H6" s="6"/>
      <c r="I6" s="6"/>
      <c r="J6" s="739" t="s">
        <v>29</v>
      </c>
      <c r="K6" s="740" t="s">
        <v>30</v>
      </c>
      <c r="L6" s="739" t="s">
        <v>29</v>
      </c>
      <c r="M6" s="741" t="s">
        <v>31</v>
      </c>
      <c r="N6" s="742" t="s">
        <v>32</v>
      </c>
      <c r="O6" s="743" t="s">
        <v>29</v>
      </c>
      <c r="P6" s="741" t="s">
        <v>31</v>
      </c>
      <c r="Q6" s="742" t="s">
        <v>32</v>
      </c>
      <c r="R6" s="596"/>
      <c r="S6" s="596"/>
      <c r="T6" s="596"/>
      <c r="U6" s="732"/>
      <c r="V6" s="732"/>
      <c r="W6" s="596"/>
      <c r="X6" s="9" t="s">
        <v>34</v>
      </c>
      <c r="Y6" s="225" t="s">
        <v>141</v>
      </c>
      <c r="Z6" s="12" t="s">
        <v>34</v>
      </c>
      <c r="AA6" s="11" t="s">
        <v>30</v>
      </c>
      <c r="AB6" s="226" t="s">
        <v>141</v>
      </c>
      <c r="AC6" s="11" t="s">
        <v>30</v>
      </c>
      <c r="AD6" s="9" t="s">
        <v>34</v>
      </c>
      <c r="AE6" s="225" t="s">
        <v>141</v>
      </c>
      <c r="AF6" s="12" t="s">
        <v>34</v>
      </c>
      <c r="AG6" s="11" t="s">
        <v>30</v>
      </c>
      <c r="AH6" s="226" t="s">
        <v>141</v>
      </c>
      <c r="AI6" s="11" t="s">
        <v>30</v>
      </c>
      <c r="AJ6" s="13" t="s">
        <v>148</v>
      </c>
      <c r="AK6" s="227" t="s">
        <v>148</v>
      </c>
      <c r="AL6" s="11" t="s">
        <v>30</v>
      </c>
    </row>
    <row r="7" spans="1:38" ht="24" customHeight="1" x14ac:dyDescent="0.3">
      <c r="A7" s="634" t="s">
        <v>289</v>
      </c>
      <c r="B7" s="635"/>
      <c r="C7" s="150">
        <f t="shared" ref="C7:C9" ca="1" si="0">D7+G7</f>
        <v>3675200</v>
      </c>
      <c r="D7" s="151">
        <f t="shared" ref="D7:E7" ca="1" si="1">D8+D9+D12</f>
        <v>3675200</v>
      </c>
      <c r="E7" s="152">
        <f t="shared" ca="1" si="1"/>
        <v>1653800</v>
      </c>
      <c r="F7" s="153">
        <f ca="1">F8+F9</f>
        <v>2021400</v>
      </c>
      <c r="G7" s="154">
        <f t="shared" ref="G7:I7" ca="1" si="2">G8+G9+G12</f>
        <v>0</v>
      </c>
      <c r="H7" s="228">
        <f t="shared" ca="1" si="2"/>
        <v>3675200</v>
      </c>
      <c r="I7" s="228">
        <f t="shared" ca="1" si="2"/>
        <v>0</v>
      </c>
      <c r="J7" s="156">
        <f t="shared" ref="J7:J9" ca="1" si="3">L7+O7</f>
        <v>1114979.79</v>
      </c>
      <c r="K7" s="157">
        <f t="shared" ref="K7:K9" ca="1" si="4">IF(C7&gt;0,J7*100/C7,0)</f>
        <v>30.337935078363081</v>
      </c>
      <c r="L7" s="156">
        <f ca="1">L8+L9+L12</f>
        <v>1114979.79</v>
      </c>
      <c r="M7" s="27">
        <f t="shared" ref="M7:M9" ca="1" si="5">IF(D7&gt;0,L7*100/D7,0)</f>
        <v>30.337935078363081</v>
      </c>
      <c r="N7" s="27">
        <f t="shared" ref="N7:N9" ca="1" si="6">IF(H7&gt;0,L7*100/H7,0)</f>
        <v>30.337935078363081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6">
        <f t="shared" ref="R7:T7" ca="1" si="9">R8+R9</f>
        <v>0</v>
      </c>
      <c r="S7" s="26">
        <f t="shared" ca="1" si="9"/>
        <v>0</v>
      </c>
      <c r="T7" s="26">
        <f t="shared" ca="1" si="9"/>
        <v>0</v>
      </c>
      <c r="U7" s="27">
        <f t="shared" ref="U7:U9" ca="1" si="10">IF(R7&gt;0,T7*100/R7,0)</f>
        <v>0</v>
      </c>
      <c r="V7" s="27">
        <f t="shared" ref="V7:V9" ca="1" si="11">IF(S7&gt;0,T7*100/S7,0)</f>
        <v>0</v>
      </c>
      <c r="W7" s="29">
        <f t="shared" ref="W7:Z7" ca="1" si="12">W8</f>
        <v>0</v>
      </c>
      <c r="X7" s="28">
        <f t="shared" ca="1" si="12"/>
        <v>270</v>
      </c>
      <c r="Y7" s="28">
        <f t="shared" ca="1" si="12"/>
        <v>27</v>
      </c>
      <c r="Z7" s="29">
        <f t="shared" ca="1" si="12"/>
        <v>0</v>
      </c>
      <c r="AA7" s="30">
        <f t="shared" ref="AA7:AA8" ca="1" si="13">IF(X7&gt;0,Z7*100/X7,0)</f>
        <v>0</v>
      </c>
      <c r="AB7" s="29">
        <f ca="1">AB8</f>
        <v>0</v>
      </c>
      <c r="AC7" s="30">
        <f t="shared" ref="AC7:AC8" ca="1" si="14">IF(Y7&gt;0,AB7*100/Y7,0)</f>
        <v>0</v>
      </c>
      <c r="AD7" s="28">
        <f t="shared" ref="AD7:AF7" ca="1" si="15">AD8</f>
        <v>1070</v>
      </c>
      <c r="AE7" s="28">
        <f t="shared" ca="1" si="15"/>
        <v>107</v>
      </c>
      <c r="AF7" s="29">
        <f t="shared" ca="1" si="15"/>
        <v>10</v>
      </c>
      <c r="AG7" s="30">
        <f t="shared" ref="AG7:AG8" ca="1" si="16">IF(AD7&gt;0,AF7*100/AD7,0)</f>
        <v>0.93457943925233644</v>
      </c>
      <c r="AH7" s="29">
        <f ca="1">AH8</f>
        <v>1</v>
      </c>
      <c r="AI7" s="30">
        <f t="shared" ref="AI7:AI8" ca="1" si="17">IF(AE7&gt;0,AH7*100/AE7,0)</f>
        <v>0.93457943925233644</v>
      </c>
      <c r="AJ7" s="28">
        <f t="shared" ref="AJ7:AK7" ca="1" si="18">AJ8</f>
        <v>27</v>
      </c>
      <c r="AK7" s="29">
        <f t="shared" ca="1" si="18"/>
        <v>0</v>
      </c>
      <c r="AL7" s="30">
        <f t="shared" ref="AL7:AL8" ca="1" si="19">IF(AJ7&gt;0,AK7*100/AJ7,0)</f>
        <v>0</v>
      </c>
    </row>
    <row r="8" spans="1:38" ht="28.5" customHeight="1" x14ac:dyDescent="0.3">
      <c r="A8" s="159" t="s">
        <v>37</v>
      </c>
      <c r="B8" s="160"/>
      <c r="C8" s="161">
        <f t="shared" ca="1" si="0"/>
        <v>3363200</v>
      </c>
      <c r="D8" s="161">
        <f t="shared" ref="D8:I8" ca="1" si="20">+D13+D31+D52+D74</f>
        <v>3363200</v>
      </c>
      <c r="E8" s="161">
        <f t="shared" ca="1" si="20"/>
        <v>1561000</v>
      </c>
      <c r="F8" s="161">
        <f t="shared" ca="1" si="20"/>
        <v>1802200</v>
      </c>
      <c r="G8" s="161">
        <f t="shared" ca="1" si="20"/>
        <v>0</v>
      </c>
      <c r="H8" s="161">
        <f t="shared" ca="1" si="20"/>
        <v>3183200</v>
      </c>
      <c r="I8" s="161">
        <f t="shared" ca="1" si="20"/>
        <v>0</v>
      </c>
      <c r="J8" s="161">
        <f t="shared" ca="1" si="3"/>
        <v>961651.99</v>
      </c>
      <c r="K8" s="162">
        <f t="shared" ca="1" si="4"/>
        <v>28.593363166032351</v>
      </c>
      <c r="L8" s="161">
        <f ca="1">+L13+L31+L52+L74</f>
        <v>961651.99</v>
      </c>
      <c r="M8" s="40">
        <f t="shared" ca="1" si="5"/>
        <v>28.593363166032351</v>
      </c>
      <c r="N8" s="40">
        <f t="shared" ca="1" si="6"/>
        <v>30.21022838652928</v>
      </c>
      <c r="O8" s="39">
        <f ca="1">+O13+O31+O52+O74</f>
        <v>0</v>
      </c>
      <c r="P8" s="39">
        <f t="shared" ca="1" si="7"/>
        <v>0</v>
      </c>
      <c r="Q8" s="40">
        <f t="shared" ca="1" si="8"/>
        <v>0</v>
      </c>
      <c r="R8" s="39">
        <f t="shared" ref="R8:T8" ca="1" si="21">+R13+R31+R52+R74</f>
        <v>0</v>
      </c>
      <c r="S8" s="39">
        <f t="shared" ca="1" si="21"/>
        <v>0</v>
      </c>
      <c r="T8" s="39">
        <f t="shared" ca="1" si="21"/>
        <v>0</v>
      </c>
      <c r="U8" s="40">
        <f t="shared" ca="1" si="10"/>
        <v>0</v>
      </c>
      <c r="V8" s="40">
        <f t="shared" ca="1" si="11"/>
        <v>0</v>
      </c>
      <c r="W8" s="35">
        <f t="shared" ref="W8:Z8" ca="1" si="22">+W13+W31+W52+W74</f>
        <v>0</v>
      </c>
      <c r="X8" s="35">
        <f t="shared" ca="1" si="22"/>
        <v>270</v>
      </c>
      <c r="Y8" s="35">
        <f t="shared" ca="1" si="22"/>
        <v>27</v>
      </c>
      <c r="Z8" s="35">
        <f t="shared" ca="1" si="22"/>
        <v>0</v>
      </c>
      <c r="AA8" s="37">
        <f t="shared" ca="1" si="13"/>
        <v>0</v>
      </c>
      <c r="AB8" s="35">
        <f ca="1">+AB13+AB31+AB52+AB74</f>
        <v>0</v>
      </c>
      <c r="AC8" s="37">
        <f t="shared" ca="1" si="14"/>
        <v>0</v>
      </c>
      <c r="AD8" s="35">
        <f t="shared" ref="AD8:AF8" ca="1" si="23">+AD13+AD31+AD52+AD74</f>
        <v>1070</v>
      </c>
      <c r="AE8" s="35">
        <f t="shared" ca="1" si="23"/>
        <v>107</v>
      </c>
      <c r="AF8" s="35">
        <f t="shared" ca="1" si="23"/>
        <v>10</v>
      </c>
      <c r="AG8" s="37">
        <f t="shared" ca="1" si="16"/>
        <v>0.93457943925233644</v>
      </c>
      <c r="AH8" s="35">
        <f ca="1">+AH13+AH31+AH52+AH74</f>
        <v>1</v>
      </c>
      <c r="AI8" s="37">
        <f t="shared" ca="1" si="17"/>
        <v>0.93457943925233644</v>
      </c>
      <c r="AJ8" s="35">
        <f t="shared" ref="AJ8:AK8" ca="1" si="24">+AJ13+AJ31+AJ52+AJ74</f>
        <v>27</v>
      </c>
      <c r="AK8" s="35">
        <f t="shared" ca="1" si="24"/>
        <v>0</v>
      </c>
      <c r="AL8" s="37">
        <f t="shared" ca="1" si="19"/>
        <v>0</v>
      </c>
    </row>
    <row r="9" spans="1:38" ht="28.5" customHeight="1" x14ac:dyDescent="0.3">
      <c r="A9" s="43" t="s">
        <v>38</v>
      </c>
      <c r="B9" s="163"/>
      <c r="C9" s="164">
        <f t="shared" ca="1" si="0"/>
        <v>312000</v>
      </c>
      <c r="D9" s="164">
        <f t="shared" ref="D9:I9" ca="1" si="25">+D89</f>
        <v>312000</v>
      </c>
      <c r="E9" s="164">
        <f t="shared" ca="1" si="25"/>
        <v>92800</v>
      </c>
      <c r="F9" s="164">
        <f t="shared" ca="1" si="25"/>
        <v>219200</v>
      </c>
      <c r="G9" s="164">
        <f t="shared" ca="1" si="25"/>
        <v>0</v>
      </c>
      <c r="H9" s="164">
        <f t="shared" ca="1" si="25"/>
        <v>492000</v>
      </c>
      <c r="I9" s="164">
        <f t="shared" ca="1" si="25"/>
        <v>0</v>
      </c>
      <c r="J9" s="164">
        <f t="shared" ca="1" si="3"/>
        <v>153327.79999999999</v>
      </c>
      <c r="K9" s="165">
        <f t="shared" ca="1" si="4"/>
        <v>49.143525641025633</v>
      </c>
      <c r="L9" s="164">
        <f ca="1">+L89</f>
        <v>153327.79999999999</v>
      </c>
      <c r="M9" s="51">
        <f t="shared" ca="1" si="5"/>
        <v>49.143525641025633</v>
      </c>
      <c r="N9" s="51">
        <f t="shared" ca="1" si="6"/>
        <v>31.164186991869915</v>
      </c>
      <c r="O9" s="50">
        <f ca="1">+O89</f>
        <v>0</v>
      </c>
      <c r="P9" s="50">
        <f t="shared" ca="1" si="7"/>
        <v>0</v>
      </c>
      <c r="Q9" s="51">
        <f t="shared" ca="1" si="8"/>
        <v>0</v>
      </c>
      <c r="R9" s="50">
        <f ca="1">IFERROR(__xludf.DUMMYFUNCTION("IMPORTRANGE(""https://docs.google.com/spreadsheets/d/1ItG2mGa2ceCfYo0BwxsXqNm01IGEUdYcSSLTEv9YCik/edit?usp=sharing"",""เบิกจ่ายกองทุน!BB11"")"),0)</f>
        <v>0</v>
      </c>
      <c r="S9" s="50">
        <f ca="1">IFERROR(__xludf.DUMMYFUNCTION("IMPORTRANGE(""https://docs.google.com/spreadsheets/d/1ItG2mGa2ceCfYo0BwxsXqNm01IGEUdYcSSLTEv9YCik/edit?usp=sharing"",""เบิกจ่ายกองทุน!BC11"")"),0)</f>
        <v>0</v>
      </c>
      <c r="T9" s="50">
        <f ca="1">IFERROR(__xludf.DUMMYFUNCTION("IMPORTRANGE(""https://docs.google.com/spreadsheets/d/1ItG2mGa2ceCfYo0BwxsXqNm01IGEUdYcSSLTEv9YCik/edit?usp=sharing"",""เบิกจ่ายกองทุน!BD11"")"),0)</f>
        <v>0</v>
      </c>
      <c r="U9" s="51">
        <f t="shared" ca="1" si="10"/>
        <v>0</v>
      </c>
      <c r="V9" s="51">
        <f t="shared" ca="1" si="11"/>
        <v>0</v>
      </c>
      <c r="W9" s="45"/>
      <c r="X9" s="45"/>
      <c r="Y9" s="45"/>
      <c r="Z9" s="45"/>
      <c r="AA9" s="48"/>
      <c r="AB9" s="45"/>
      <c r="AC9" s="48"/>
      <c r="AD9" s="45"/>
      <c r="AE9" s="45"/>
      <c r="AF9" s="45"/>
      <c r="AG9" s="48"/>
      <c r="AH9" s="45"/>
      <c r="AI9" s="48"/>
      <c r="AJ9" s="45"/>
      <c r="AK9" s="45"/>
      <c r="AL9" s="48"/>
    </row>
    <row r="10" spans="1:38" ht="28.5" hidden="1" customHeight="1" x14ac:dyDescent="0.3">
      <c r="A10" s="166"/>
      <c r="B10" s="16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61"/>
      <c r="S10" s="61"/>
      <c r="T10" s="61"/>
      <c r="U10" s="62"/>
      <c r="V10" s="62"/>
      <c r="W10" s="56"/>
      <c r="X10" s="56"/>
      <c r="Y10" s="56"/>
      <c r="Z10" s="56"/>
      <c r="AA10" s="59"/>
      <c r="AB10" s="56"/>
      <c r="AC10" s="59"/>
      <c r="AD10" s="56"/>
      <c r="AE10" s="56"/>
      <c r="AF10" s="56"/>
      <c r="AG10" s="59"/>
      <c r="AH10" s="56"/>
      <c r="AI10" s="59"/>
      <c r="AJ10" s="56"/>
      <c r="AK10" s="56"/>
      <c r="AL10" s="59"/>
    </row>
    <row r="11" spans="1:38" ht="28.5" hidden="1" customHeight="1" x14ac:dyDescent="0.3">
      <c r="A11" s="170"/>
      <c r="B11" s="16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61"/>
      <c r="S11" s="61"/>
      <c r="T11" s="61"/>
      <c r="U11" s="62"/>
      <c r="V11" s="62"/>
      <c r="W11" s="56"/>
      <c r="X11" s="56"/>
      <c r="Y11" s="56"/>
      <c r="Z11" s="56"/>
      <c r="AA11" s="59"/>
      <c r="AB11" s="56"/>
      <c r="AC11" s="59"/>
      <c r="AD11" s="56"/>
      <c r="AE11" s="56"/>
      <c r="AF11" s="56"/>
      <c r="AG11" s="59"/>
      <c r="AH11" s="56"/>
      <c r="AI11" s="59"/>
      <c r="AJ11" s="56"/>
      <c r="AK11" s="56"/>
      <c r="AL11" s="59"/>
    </row>
    <row r="12" spans="1:38" ht="28.5" hidden="1" customHeight="1" x14ac:dyDescent="0.3">
      <c r="A12" s="166"/>
      <c r="B12" s="171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61"/>
      <c r="S12" s="61"/>
      <c r="T12" s="61"/>
      <c r="U12" s="62"/>
      <c r="V12" s="62"/>
      <c r="W12" s="67"/>
      <c r="X12" s="67"/>
      <c r="Y12" s="67"/>
      <c r="Z12" s="67"/>
      <c r="AA12" s="69"/>
      <c r="AB12" s="67"/>
      <c r="AC12" s="69"/>
      <c r="AD12" s="67"/>
      <c r="AE12" s="67"/>
      <c r="AF12" s="67"/>
      <c r="AG12" s="69"/>
      <c r="AH12" s="67"/>
      <c r="AI12" s="69"/>
      <c r="AJ12" s="67"/>
      <c r="AK12" s="67"/>
      <c r="AL12" s="69"/>
    </row>
    <row r="13" spans="1:38" ht="28.5" customHeight="1" x14ac:dyDescent="0.3">
      <c r="A13" s="636" t="s">
        <v>39</v>
      </c>
      <c r="B13" s="633"/>
      <c r="C13" s="161">
        <f t="shared" ref="C13:C88" ca="1" si="26">D13+G13</f>
        <v>1202200</v>
      </c>
      <c r="D13" s="161">
        <f t="shared" ref="D13:I13" ca="1" si="27">SUM(D14:D30)</f>
        <v>1202200</v>
      </c>
      <c r="E13" s="161">
        <f t="shared" ca="1" si="27"/>
        <v>500700</v>
      </c>
      <c r="F13" s="161">
        <f t="shared" ca="1" si="27"/>
        <v>701500</v>
      </c>
      <c r="G13" s="161">
        <f t="shared" ca="1" si="27"/>
        <v>0</v>
      </c>
      <c r="H13" s="161">
        <f t="shared" ca="1" si="27"/>
        <v>1147200</v>
      </c>
      <c r="I13" s="161">
        <f t="shared" ca="1" si="27"/>
        <v>0</v>
      </c>
      <c r="J13" s="161">
        <f t="shared" ref="J13:J88" ca="1" si="28">L13+O13</f>
        <v>360813.53</v>
      </c>
      <c r="K13" s="162">
        <f t="shared" ref="K13:K88" ca="1" si="29">IF(C13&gt;0,J13*100/C13,0)</f>
        <v>30.012770753618366</v>
      </c>
      <c r="L13" s="161">
        <f ca="1">SUM(L14:L30)</f>
        <v>360813.53</v>
      </c>
      <c r="M13" s="40">
        <f t="shared" ref="M13:M88" ca="1" si="30">IF(D13&gt;0,L13*100/D13,0)</f>
        <v>30.012770753618366</v>
      </c>
      <c r="N13" s="40">
        <f t="shared" ref="N13:N88" ca="1" si="31">IF(H13&gt;0,L13*100/H13,0)</f>
        <v>31.451667538354254</v>
      </c>
      <c r="O13" s="39">
        <f ca="1">SUM(O14:O30)</f>
        <v>0</v>
      </c>
      <c r="P13" s="39">
        <f t="shared" ref="P13:P88" ca="1" si="32">IF(G13&gt;0,O13*100/G13,0)</f>
        <v>0</v>
      </c>
      <c r="Q13" s="40">
        <f t="shared" ref="Q13:Q88" ca="1" si="33">IF(I13&gt;0,O13*100/I13,0)</f>
        <v>0</v>
      </c>
      <c r="R13" s="39">
        <f t="shared" ref="R13:T13" ca="1" si="34">SUM(R14:R30)</f>
        <v>0</v>
      </c>
      <c r="S13" s="39">
        <f t="shared" ca="1" si="34"/>
        <v>0</v>
      </c>
      <c r="T13" s="39">
        <f t="shared" ca="1" si="34"/>
        <v>0</v>
      </c>
      <c r="U13" s="40">
        <f t="shared" ref="U13:U106" ca="1" si="35">IF(R13&gt;0,T13*100/R13,0)</f>
        <v>0</v>
      </c>
      <c r="V13" s="40">
        <f t="shared" ref="V13:V106" ca="1" si="36">IF(S13&gt;0,T13*100/S13,0)</f>
        <v>0</v>
      </c>
      <c r="W13" s="73">
        <f t="shared" ref="W13:Z13" ca="1" si="37">SUM(W14:W30)</f>
        <v>0</v>
      </c>
      <c r="X13" s="73">
        <f t="shared" ca="1" si="37"/>
        <v>150</v>
      </c>
      <c r="Y13" s="73">
        <f t="shared" ca="1" si="37"/>
        <v>15</v>
      </c>
      <c r="Z13" s="73">
        <f t="shared" ca="1" si="37"/>
        <v>0</v>
      </c>
      <c r="AA13" s="75">
        <f t="shared" ref="AA13:AA88" ca="1" si="38">IF(X13&gt;0,Z13*100/X13,0)</f>
        <v>0</v>
      </c>
      <c r="AB13" s="73">
        <f ca="1">SUM(AB14:AB30)</f>
        <v>0</v>
      </c>
      <c r="AC13" s="75">
        <f t="shared" ref="AC13:AC88" ca="1" si="39">IF(Y13&gt;0,AB13*100/Y13,0)</f>
        <v>0</v>
      </c>
      <c r="AD13" s="73">
        <f t="shared" ref="AD13:AF13" ca="1" si="40">SUM(AD14:AD30)</f>
        <v>400</v>
      </c>
      <c r="AE13" s="73">
        <f t="shared" ca="1" si="40"/>
        <v>40</v>
      </c>
      <c r="AF13" s="73">
        <f t="shared" ca="1" si="40"/>
        <v>10</v>
      </c>
      <c r="AG13" s="75">
        <f t="shared" ref="AG13:AG88" ca="1" si="41">IF(AD13&gt;0,AF13*100/AD13,0)</f>
        <v>2.5</v>
      </c>
      <c r="AH13" s="73">
        <f ca="1">SUM(AH14:AH30)</f>
        <v>1</v>
      </c>
      <c r="AI13" s="75">
        <f t="shared" ref="AI13:AI88" ca="1" si="42">IF(AE13&gt;0,AH13*100/AE13,0)</f>
        <v>2.5</v>
      </c>
      <c r="AJ13" s="73">
        <f t="shared" ref="AJ13:AK13" ca="1" si="43">SUM(AJ14:AJ30)</f>
        <v>15</v>
      </c>
      <c r="AK13" s="73">
        <f t="shared" ca="1" si="43"/>
        <v>0</v>
      </c>
      <c r="AL13" s="75">
        <f t="shared" ref="AL13:AL88" ca="1" si="44">IF(AJ13&gt;0,AK13*100/AJ13,0)</f>
        <v>0</v>
      </c>
    </row>
    <row r="14" spans="1:38" ht="24" customHeight="1" x14ac:dyDescent="0.3">
      <c r="A14" s="172">
        <v>1</v>
      </c>
      <c r="B14" s="173" t="s">
        <v>40</v>
      </c>
      <c r="C14" s="174">
        <f t="shared" ca="1" si="26"/>
        <v>0</v>
      </c>
      <c r="D14" s="175">
        <f t="shared" ref="D14:D30" ca="1" si="45">+E14+F14</f>
        <v>0</v>
      </c>
      <c r="E14" s="176">
        <f ca="1">IFERROR(__xludf.DUMMYFUNCTION("IMPORTRANGE(""https://docs.google.com/spreadsheets/d/1-uDff_7J0KD5mKrp0Vvzr7lt3OU09vwQwhkpOPPYv2Y/edit?usp=sharing"",""งบพรบ!BR14"")"),0)</f>
        <v>0</v>
      </c>
      <c r="F14" s="176">
        <f ca="1">IFERROR(__xludf.DUMMYFUNCTION("IMPORTRANGE(""https://docs.google.com/spreadsheets/d/1-uDff_7J0KD5mKrp0Vvzr7lt3OU09vwQwhkpOPPYv2Y/edit?usp=sharing"",""งบพรบ!BS14"")"),0)</f>
        <v>0</v>
      </c>
      <c r="G14" s="177">
        <f ca="1">IFERROR(__xludf.DUMMYFUNCTION("IMPORTRANGE(""https://docs.google.com/spreadsheets/d/1-uDff_7J0KD5mKrp0Vvzr7lt3OU09vwQwhkpOPPYv2Y/edit?usp=sharing"",""งบพรบ!BT14"")"),0)</f>
        <v>0</v>
      </c>
      <c r="H14" s="177">
        <f ca="1">IFERROR(__xludf.DUMMYFUNCTION("IMPORTRANGE(""https://docs.google.com/spreadsheets/d/1-uDff_7J0KD5mKrp0Vvzr7lt3OU09vwQwhkpOPPYv2Y/edit?usp=sharing"",""งบพรบ!BV14"")"),0)</f>
        <v>0</v>
      </c>
      <c r="I14" s="177">
        <f ca="1">IFERROR(__xludf.DUMMYFUNCTION("IMPORTRANGE(""https://docs.google.com/spreadsheets/d/1-uDff_7J0KD5mKrp0Vvzr7lt3OU09vwQwhkpOPPYv2Y/edit?usp=sharing"",""งบพรบ!BW14"")"),0)</f>
        <v>0</v>
      </c>
      <c r="J14" s="177">
        <f t="shared" ca="1" si="28"/>
        <v>0</v>
      </c>
      <c r="K14" s="178">
        <f t="shared" ca="1" si="29"/>
        <v>0</v>
      </c>
      <c r="L14" s="177">
        <f ca="1">IFERROR(__xludf.DUMMYFUNCTION("IMPORTRANGE(""https://docs.google.com/spreadsheets/d/1-uDff_7J0KD5mKrp0Vvzr7lt3OU09vwQwhkpOPPYv2Y/edit?usp=sharing"",""งบพรบ!BX14"")"),0)</f>
        <v>0</v>
      </c>
      <c r="M14" s="87">
        <f t="shared" ca="1" si="30"/>
        <v>0</v>
      </c>
      <c r="N14" s="87">
        <f t="shared" ca="1" si="31"/>
        <v>0</v>
      </c>
      <c r="O14" s="86">
        <f ca="1">IFERROR(__xludf.DUMMYFUNCTION("IMPORTRANGE(""https://docs.google.com/spreadsheets/d/1-uDff_7J0KD5mKrp0Vvzr7lt3OU09vwQwhkpOPPYv2Y/edit?usp=sharing"",""งบพรบ!BY14"")"),0)</f>
        <v>0</v>
      </c>
      <c r="P14" s="86">
        <f t="shared" ca="1" si="32"/>
        <v>0</v>
      </c>
      <c r="Q14" s="87">
        <f t="shared" ca="1" si="33"/>
        <v>0</v>
      </c>
      <c r="R14" s="86">
        <f ca="1">IFERROR(__xludf.DUMMYFUNCTION("IMPORTRANGE(""https://docs.google.com/spreadsheets/d/1jTcq05yEiRwXcBMLjiodW9e4biSGYWAHcDj22rKWQ3s/edit?usp=sharing"",""กำแพงเพชร!Q139"")"),0)</f>
        <v>0</v>
      </c>
      <c r="S14" s="86">
        <f ca="1">IFERROR(__xludf.DUMMYFUNCTION("IMPORTRANGE(""https://docs.google.com/spreadsheets/d/1jTcq05yEiRwXcBMLjiodW9e4biSGYWAHcDj22rKWQ3s/edit?usp=sharing"",""กำแพงเพชร!R139"")"),0)</f>
        <v>0</v>
      </c>
      <c r="T14" s="86">
        <f ca="1">IFERROR(__xludf.DUMMYFUNCTION("IMPORTRANGE(""https://docs.google.com/spreadsheets/d/1jTcq05yEiRwXcBMLjiodW9e4biSGYWAHcDj22rKWQ3s/edit?usp=sharing"",""กำแพงเพชร!S139"")"),0)</f>
        <v>0</v>
      </c>
      <c r="U14" s="87">
        <f t="shared" ca="1" si="35"/>
        <v>0</v>
      </c>
      <c r="V14" s="87">
        <f t="shared" ca="1" si="36"/>
        <v>0</v>
      </c>
      <c r="W14" s="82">
        <f ca="1">IFERROR(__xludf.DUMMYFUNCTION("IMPORTRANGE(""https://docs.google.com/spreadsheets/d/1jTcq05yEiRwXcBMLjiodW9e4biSGYWAHcDj22rKWQ3s/edit?usp=sharing"",""กำแพงเพชร!J149"")"),0)</f>
        <v>0</v>
      </c>
      <c r="X14" s="82">
        <f ca="1">IFERROR(__xludf.DUMMYFUNCTION("IMPORTRANGE(""https://docs.google.com/spreadsheets/d/1jTcq05yEiRwXcBMLjiodW9e4biSGYWAHcDj22rKWQ3s/edit?usp=sharing"",""กำแพงเพชร!I150"")"),0)</f>
        <v>0</v>
      </c>
      <c r="Y14" s="82">
        <f ca="1">IFERROR(__xludf.DUMMYFUNCTION("IMPORTRANGE(""https://docs.google.com/spreadsheets/d/1jTcq05yEiRwXcBMLjiodW9e4biSGYWAHcDj22rKWQ3s/edit?usp=sharing"",""กำแพงเพชร!I151"")"),0)</f>
        <v>0</v>
      </c>
      <c r="Z14" s="82">
        <f ca="1">IFERROR(__xludf.DUMMYFUNCTION("IMPORTRANGE(""https://docs.google.com/spreadsheets/d/1jTcq05yEiRwXcBMLjiodW9e4biSGYWAHcDj22rKWQ3s/edit?usp=sharing"",""กำแพงเพชร!J150"")"),0)</f>
        <v>0</v>
      </c>
      <c r="AA14" s="88">
        <f t="shared" ca="1" si="38"/>
        <v>0</v>
      </c>
      <c r="AB14" s="82">
        <f ca="1">IFERROR(__xludf.DUMMYFUNCTION("IMPORTRANGE(""https://docs.google.com/spreadsheets/d/1jTcq05yEiRwXcBMLjiodW9e4biSGYWAHcDj22rKWQ3s/edit?usp=sharing"",""กำแพงเพชร!J151"")"),0)</f>
        <v>0</v>
      </c>
      <c r="AC14" s="88">
        <f t="shared" ca="1" si="39"/>
        <v>0</v>
      </c>
      <c r="AD14" s="82">
        <f ca="1">IFERROR(__xludf.DUMMYFUNCTION("IMPORTRANGE(""https://docs.google.com/spreadsheets/d/1jTcq05yEiRwXcBMLjiodW9e4biSGYWAHcDj22rKWQ3s/edit?usp=sharing"",""กำแพงเพชร!I152"")"),0)</f>
        <v>0</v>
      </c>
      <c r="AE14" s="82">
        <f ca="1">IFERROR(__xludf.DUMMYFUNCTION("IMPORTRANGE(""https://docs.google.com/spreadsheets/d/1jTcq05yEiRwXcBMLjiodW9e4biSGYWAHcDj22rKWQ3s/edit?usp=sharing"",""กำแพงเพชร!I153"")"),0)</f>
        <v>0</v>
      </c>
      <c r="AF14" s="82">
        <f ca="1">IFERROR(__xludf.DUMMYFUNCTION("IMPORTRANGE(""https://docs.google.com/spreadsheets/d/1jTcq05yEiRwXcBMLjiodW9e4biSGYWAHcDj22rKWQ3s/edit?usp=sharing"",""กำแพงเพชร!J152"")"),0)</f>
        <v>0</v>
      </c>
      <c r="AG14" s="88">
        <f t="shared" ca="1" si="41"/>
        <v>0</v>
      </c>
      <c r="AH14" s="82">
        <f ca="1">IFERROR(__xludf.DUMMYFUNCTION("IMPORTRANGE(""https://docs.google.com/spreadsheets/d/1jTcq05yEiRwXcBMLjiodW9e4biSGYWAHcDj22rKWQ3s/edit?usp=sharing"",""กำแพงเพชร!J153"")"),0)</f>
        <v>0</v>
      </c>
      <c r="AI14" s="88">
        <f t="shared" ca="1" si="42"/>
        <v>0</v>
      </c>
      <c r="AJ14" s="82">
        <f ca="1">IFERROR(__xludf.DUMMYFUNCTION("IMPORTRANGE(""https://docs.google.com/spreadsheets/d/1jTcq05yEiRwXcBMLjiodW9e4biSGYWAHcDj22rKWQ3s/edit?usp=sharing"",""กำแพงเพชร!I154"")"),0)</f>
        <v>0</v>
      </c>
      <c r="AK14" s="82">
        <f ca="1">IFERROR(__xludf.DUMMYFUNCTION("IMPORTRANGE(""https://docs.google.com/spreadsheets/d/1jTcq05yEiRwXcBMLjiodW9e4biSGYWAHcDj22rKWQ3s/edit?usp=sharing"",""กำแพงเพชร!J154"")"),0)</f>
        <v>0</v>
      </c>
      <c r="AL14" s="88">
        <f t="shared" ca="1" si="44"/>
        <v>0</v>
      </c>
    </row>
    <row r="15" spans="1:38" ht="24" customHeight="1" x14ac:dyDescent="0.3">
      <c r="A15" s="172">
        <v>2</v>
      </c>
      <c r="B15" s="173" t="s">
        <v>41</v>
      </c>
      <c r="C15" s="174">
        <f t="shared" ca="1" si="26"/>
        <v>116300</v>
      </c>
      <c r="D15" s="175">
        <f t="shared" ca="1" si="45"/>
        <v>116300</v>
      </c>
      <c r="E15" s="176">
        <f ca="1">IFERROR(__xludf.DUMMYFUNCTION("IMPORTRANGE(""https://docs.google.com/spreadsheets/d/1-uDff_7J0KD5mKrp0Vvzr7lt3OU09vwQwhkpOPPYv2Y/edit?usp=sharing"",""งบพรบ!BR15"")"),0)</f>
        <v>0</v>
      </c>
      <c r="F15" s="176">
        <f ca="1">IFERROR(__xludf.DUMMYFUNCTION("IMPORTRANGE(""https://docs.google.com/spreadsheets/d/1-uDff_7J0KD5mKrp0Vvzr7lt3OU09vwQwhkpOPPYv2Y/edit?usp=sharing"",""งบพรบ!BS15"")"),116300)</f>
        <v>116300</v>
      </c>
      <c r="G15" s="176">
        <f ca="1">IFERROR(__xludf.DUMMYFUNCTION("IMPORTRANGE(""https://docs.google.com/spreadsheets/d/1-uDff_7J0KD5mKrp0Vvzr7lt3OU09vwQwhkpOPPYv2Y/edit?usp=sharing"",""งบพรบ!BT15"")"),0)</f>
        <v>0</v>
      </c>
      <c r="H15" s="176">
        <f ca="1">IFERROR(__xludf.DUMMYFUNCTION("IMPORTRANGE(""https://docs.google.com/spreadsheets/d/1-uDff_7J0KD5mKrp0Vvzr7lt3OU09vwQwhkpOPPYv2Y/edit?usp=sharing"",""งบพรบ!BV15"")"),111300)</f>
        <v>111300</v>
      </c>
      <c r="I15" s="176">
        <f ca="1">IFERROR(__xludf.DUMMYFUNCTION("IMPORTRANGE(""https://docs.google.com/spreadsheets/d/1-uDff_7J0KD5mKrp0Vvzr7lt3OU09vwQwhkpOPPYv2Y/edit?usp=sharing"",""งบพรบ!BW15"")"),0)</f>
        <v>0</v>
      </c>
      <c r="J15" s="176">
        <f t="shared" ca="1" si="28"/>
        <v>0</v>
      </c>
      <c r="K15" s="179">
        <f t="shared" ca="1" si="29"/>
        <v>0</v>
      </c>
      <c r="L15" s="176">
        <f ca="1">IFERROR(__xludf.DUMMYFUNCTION("IMPORTRANGE(""https://docs.google.com/spreadsheets/d/1-uDff_7J0KD5mKrp0Vvzr7lt3OU09vwQwhkpOPPYv2Y/edit?usp=sharing"",""งบพรบ!BX15"")"),0)</f>
        <v>0</v>
      </c>
      <c r="M15" s="87">
        <f t="shared" ca="1" si="30"/>
        <v>0</v>
      </c>
      <c r="N15" s="87">
        <f t="shared" ca="1" si="31"/>
        <v>0</v>
      </c>
      <c r="O15" s="86">
        <f ca="1">IFERROR(__xludf.DUMMYFUNCTION("IMPORTRANGE(""https://docs.google.com/spreadsheets/d/1-uDff_7J0KD5mKrp0Vvzr7lt3OU09vwQwhkpOPPYv2Y/edit?usp=sharing"",""งบพรบ!BY15"")"),0)</f>
        <v>0</v>
      </c>
      <c r="P15" s="86">
        <f t="shared" ca="1" si="32"/>
        <v>0</v>
      </c>
      <c r="Q15" s="87">
        <f t="shared" ca="1" si="33"/>
        <v>0</v>
      </c>
      <c r="R15" s="86">
        <f ca="1">IFERROR(__xludf.DUMMYFUNCTION("IMPORTRANGE(""https://docs.google.com/spreadsheets/d/1KS0zmDSZPk8KnTAbGN-Xk6MtX1YRZD0ldgdt20K4CRk/edit?usp=sharing"",""เชียงราย!Q139"")"),0)</f>
        <v>0</v>
      </c>
      <c r="S15" s="86">
        <f ca="1">IFERROR(__xludf.DUMMYFUNCTION("IMPORTRANGE(""https://docs.google.com/spreadsheets/d/1KS0zmDSZPk8KnTAbGN-Xk6MtX1YRZD0ldgdt20K4CRk/edit?usp=sharing"",""เชียงราย!R139"")"),0)</f>
        <v>0</v>
      </c>
      <c r="T15" s="86">
        <f ca="1">IFERROR(__xludf.DUMMYFUNCTION("IMPORTRANGE(""https://docs.google.com/spreadsheets/d/1KS0zmDSZPk8KnTAbGN-Xk6MtX1YRZD0ldgdt20K4CRk/edit?usp=sharing"",""เชียงราย!S139"")"),0)</f>
        <v>0</v>
      </c>
      <c r="U15" s="87">
        <f t="shared" ca="1" si="35"/>
        <v>0</v>
      </c>
      <c r="V15" s="87">
        <f t="shared" ca="1" si="36"/>
        <v>0</v>
      </c>
      <c r="W15" s="97">
        <f ca="1">IFERROR(__xludf.DUMMYFUNCTION("IMPORTRANGE(""https://docs.google.com/spreadsheets/d/1KS0zmDSZPk8KnTAbGN-Xk6MtX1YRZD0ldgdt20K4CRk/edit?usp=sharing"",""เชียงราย!J149"")"),0)</f>
        <v>0</v>
      </c>
      <c r="X15" s="97">
        <f ca="1">IFERROR(__xludf.DUMMYFUNCTION("IMPORTRANGE(""https://docs.google.com/spreadsheets/d/1KS0zmDSZPk8KnTAbGN-Xk6MtX1YRZD0ldgdt20K4CRk/edit?usp=sharing"",""เชียงราย!I150"")"),30)</f>
        <v>30</v>
      </c>
      <c r="Y15" s="97">
        <f ca="1">IFERROR(__xludf.DUMMYFUNCTION("IMPORTRANGE(""https://docs.google.com/spreadsheets/d/1KS0zmDSZPk8KnTAbGN-Xk6MtX1YRZD0ldgdt20K4CRk/edit?usp=sharing"",""เชียงราย!I151"")"),3)</f>
        <v>3</v>
      </c>
      <c r="Z15" s="97">
        <f ca="1">IFERROR(__xludf.DUMMYFUNCTION("IMPORTRANGE(""https://docs.google.com/spreadsheets/d/1KS0zmDSZPk8KnTAbGN-Xk6MtX1YRZD0ldgdt20K4CRk/edit?usp=sharing"",""เชียงราย!J150"")"),0)</f>
        <v>0</v>
      </c>
      <c r="AA15" s="98">
        <f t="shared" ca="1" si="38"/>
        <v>0</v>
      </c>
      <c r="AB15" s="97">
        <f ca="1">IFERROR(__xludf.DUMMYFUNCTION("IMPORTRANGE(""https://docs.google.com/spreadsheets/d/1KS0zmDSZPk8KnTAbGN-Xk6MtX1YRZD0ldgdt20K4CRk/edit?usp=sharing"",""เชียงราย!J151"")"),0)</f>
        <v>0</v>
      </c>
      <c r="AC15" s="98">
        <f t="shared" ca="1" si="39"/>
        <v>0</v>
      </c>
      <c r="AD15" s="97">
        <f ca="1">IFERROR(__xludf.DUMMYFUNCTION("IMPORTRANGE(""https://docs.google.com/spreadsheets/d/1KS0zmDSZPk8KnTAbGN-Xk6MtX1YRZD0ldgdt20K4CRk/edit?usp=sharing"",""เชียงราย!I152"")"),80)</f>
        <v>80</v>
      </c>
      <c r="AE15" s="97">
        <f ca="1">IFERROR(__xludf.DUMMYFUNCTION("IMPORTRANGE(""https://docs.google.com/spreadsheets/d/1KS0zmDSZPk8KnTAbGN-Xk6MtX1YRZD0ldgdt20K4CRk/edit?usp=sharing"",""เชียงราย!I153"")"),8)</f>
        <v>8</v>
      </c>
      <c r="AF15" s="97">
        <f ca="1">IFERROR(__xludf.DUMMYFUNCTION("IMPORTRANGE(""https://docs.google.com/spreadsheets/d/1KS0zmDSZPk8KnTAbGN-Xk6MtX1YRZD0ldgdt20K4CRk/edit?usp=sharing"",""เชียงราย!J152"")"),0)</f>
        <v>0</v>
      </c>
      <c r="AG15" s="98">
        <f t="shared" ca="1" si="41"/>
        <v>0</v>
      </c>
      <c r="AH15" s="97">
        <f ca="1">IFERROR(__xludf.DUMMYFUNCTION("IMPORTRANGE(""https://docs.google.com/spreadsheets/d/1KS0zmDSZPk8KnTAbGN-Xk6MtX1YRZD0ldgdt20K4CRk/edit?usp=sharing"",""เชียงราย!J153"")"),0)</f>
        <v>0</v>
      </c>
      <c r="AI15" s="98">
        <f t="shared" ca="1" si="42"/>
        <v>0</v>
      </c>
      <c r="AJ15" s="97">
        <f ca="1">IFERROR(__xludf.DUMMYFUNCTION("IMPORTRANGE(""https://docs.google.com/spreadsheets/d/1KS0zmDSZPk8KnTAbGN-Xk6MtX1YRZD0ldgdt20K4CRk/edit?usp=sharing"",""เชียงราย!I154"")"),3)</f>
        <v>3</v>
      </c>
      <c r="AK15" s="97">
        <f ca="1">IFERROR(__xludf.DUMMYFUNCTION("IMPORTRANGE(""https://docs.google.com/spreadsheets/d/1KS0zmDSZPk8KnTAbGN-Xk6MtX1YRZD0ldgdt20K4CRk/edit?usp=sharing"",""เชียงราย!J154"")"),0)</f>
        <v>0</v>
      </c>
      <c r="AL15" s="98">
        <f t="shared" ca="1" si="44"/>
        <v>0</v>
      </c>
    </row>
    <row r="16" spans="1:38" ht="24" customHeight="1" x14ac:dyDescent="0.3">
      <c r="A16" s="172">
        <v>3</v>
      </c>
      <c r="B16" s="173" t="s">
        <v>42</v>
      </c>
      <c r="C16" s="174">
        <f t="shared" ca="1" si="26"/>
        <v>137700</v>
      </c>
      <c r="D16" s="175">
        <f t="shared" ca="1" si="45"/>
        <v>137700</v>
      </c>
      <c r="E16" s="176">
        <f ca="1">IFERROR(__xludf.DUMMYFUNCTION("IMPORTRANGE(""https://docs.google.com/spreadsheets/d/1-uDff_7J0KD5mKrp0Vvzr7lt3OU09vwQwhkpOPPYv2Y/edit?usp=sharing"",""งบพรบ!BR16"")"),87800)</f>
        <v>87800</v>
      </c>
      <c r="F16" s="176">
        <f ca="1">IFERROR(__xludf.DUMMYFUNCTION("IMPORTRANGE(""https://docs.google.com/spreadsheets/d/1-uDff_7J0KD5mKrp0Vvzr7lt3OU09vwQwhkpOPPYv2Y/edit?usp=sharing"",""งบพรบ!BS16"")"),49900)</f>
        <v>49900</v>
      </c>
      <c r="G16" s="176">
        <f ca="1">IFERROR(__xludf.DUMMYFUNCTION("IMPORTRANGE(""https://docs.google.com/spreadsheets/d/1-uDff_7J0KD5mKrp0Vvzr7lt3OU09vwQwhkpOPPYv2Y/edit?usp=sharing"",""งบพรบ!BT16"")"),0)</f>
        <v>0</v>
      </c>
      <c r="H16" s="176">
        <f ca="1">IFERROR(__xludf.DUMMYFUNCTION("IMPORTRANGE(""https://docs.google.com/spreadsheets/d/1-uDff_7J0KD5mKrp0Vvzr7lt3OU09vwQwhkpOPPYv2Y/edit?usp=sharing"",""งบพรบ!BV16"")"),132700)</f>
        <v>132700</v>
      </c>
      <c r="I16" s="176">
        <f ca="1">IFERROR(__xludf.DUMMYFUNCTION("IMPORTRANGE(""https://docs.google.com/spreadsheets/d/1-uDff_7J0KD5mKrp0Vvzr7lt3OU09vwQwhkpOPPYv2Y/edit?usp=sharing"",""งบพรบ!BW16"")"),0)</f>
        <v>0</v>
      </c>
      <c r="J16" s="176">
        <f t="shared" ca="1" si="28"/>
        <v>63000</v>
      </c>
      <c r="K16" s="179">
        <f t="shared" ca="1" si="29"/>
        <v>45.751633986928105</v>
      </c>
      <c r="L16" s="176">
        <f ca="1">IFERROR(__xludf.DUMMYFUNCTION("IMPORTRANGE(""https://docs.google.com/spreadsheets/d/1-uDff_7J0KD5mKrp0Vvzr7lt3OU09vwQwhkpOPPYv2Y/edit?usp=sharing"",""งบพรบ!BX16"")"),63000)</f>
        <v>63000</v>
      </c>
      <c r="M16" s="87">
        <f t="shared" ca="1" si="30"/>
        <v>45.751633986928105</v>
      </c>
      <c r="N16" s="87">
        <f t="shared" ca="1" si="31"/>
        <v>47.475508666164281</v>
      </c>
      <c r="O16" s="86">
        <f ca="1">IFERROR(__xludf.DUMMYFUNCTION("IMPORTRANGE(""https://docs.google.com/spreadsheets/d/1-uDff_7J0KD5mKrp0Vvzr7lt3OU09vwQwhkpOPPYv2Y/edit?usp=sharing"",""งบพรบ!BY16"")"),0)</f>
        <v>0</v>
      </c>
      <c r="P16" s="86">
        <f t="shared" ca="1" si="32"/>
        <v>0</v>
      </c>
      <c r="Q16" s="87">
        <f t="shared" ca="1" si="33"/>
        <v>0</v>
      </c>
      <c r="R16" s="86">
        <f ca="1">IFERROR(__xludf.DUMMYFUNCTION("IMPORTRANGE(""https://docs.google.com/spreadsheets/d/1rEDxBtusbi64tE0zunoIbsTVV16HeL0oJ6trHQeQ7K8/edit?usp=sharing"",""เชียงใหม่!Q139"")"),0)</f>
        <v>0</v>
      </c>
      <c r="S16" s="86">
        <f ca="1">IFERROR(__xludf.DUMMYFUNCTION("IMPORTRANGE(""https://docs.google.com/spreadsheets/d/1rEDxBtusbi64tE0zunoIbsTVV16HeL0oJ6trHQeQ7K8/edit?usp=sharing"",""เชียงใหม่!R139"")"),0)</f>
        <v>0</v>
      </c>
      <c r="T16" s="86">
        <f ca="1">IFERROR(__xludf.DUMMYFUNCTION("IMPORTRANGE(""https://docs.google.com/spreadsheets/d/1rEDxBtusbi64tE0zunoIbsTVV16HeL0oJ6trHQeQ7K8/edit?usp=sharing"",""เชียงใหม่!S139"")"),0)</f>
        <v>0</v>
      </c>
      <c r="U16" s="87">
        <f t="shared" ca="1" si="35"/>
        <v>0</v>
      </c>
      <c r="V16" s="87">
        <f t="shared" ca="1" si="36"/>
        <v>0</v>
      </c>
      <c r="W16" s="97">
        <f ca="1">IFERROR(__xludf.DUMMYFUNCTION("IMPORTRANGE(""https://docs.google.com/spreadsheets/d/1rEDxBtusbi64tE0zunoIbsTVV16HeL0oJ6trHQeQ7K8/edit?usp=sharing"",""เชียงใหม่!J149"")"),0)</f>
        <v>0</v>
      </c>
      <c r="X16" s="97">
        <f ca="1">IFERROR(__xludf.DUMMYFUNCTION("IMPORTRANGE(""https://docs.google.com/spreadsheets/d/1rEDxBtusbi64tE0zunoIbsTVV16HeL0oJ6trHQeQ7K8/edit?usp=sharing"",""เชียงใหม่!I150"")"),10)</f>
        <v>10</v>
      </c>
      <c r="Y16" s="97">
        <f ca="1">IFERROR(__xludf.DUMMYFUNCTION("IMPORTRANGE(""https://docs.google.com/spreadsheets/d/1rEDxBtusbi64tE0zunoIbsTVV16HeL0oJ6trHQeQ7K8/edit?usp=sharing"",""เชียงใหม่!I151"")"),1)</f>
        <v>1</v>
      </c>
      <c r="Z16" s="97">
        <f ca="1">IFERROR(__xludf.DUMMYFUNCTION("IMPORTRANGE(""https://docs.google.com/spreadsheets/d/1rEDxBtusbi64tE0zunoIbsTVV16HeL0oJ6trHQeQ7K8/edit?usp=sharing"",""เชียงใหม่!J150"")"),0)</f>
        <v>0</v>
      </c>
      <c r="AA16" s="98">
        <f t="shared" ca="1" si="38"/>
        <v>0</v>
      </c>
      <c r="AB16" s="97">
        <f ca="1">IFERROR(__xludf.DUMMYFUNCTION("IMPORTRANGE(""https://docs.google.com/spreadsheets/d/1rEDxBtusbi64tE0zunoIbsTVV16HeL0oJ6trHQeQ7K8/edit?usp=sharing"",""เชียงใหม่!J151"")"),0)</f>
        <v>0</v>
      </c>
      <c r="AC16" s="98">
        <f t="shared" ca="1" si="39"/>
        <v>0</v>
      </c>
      <c r="AD16" s="97">
        <f ca="1">IFERROR(__xludf.DUMMYFUNCTION("IMPORTRANGE(""https://docs.google.com/spreadsheets/d/1rEDxBtusbi64tE0zunoIbsTVV16HeL0oJ6trHQeQ7K8/edit?usp=sharing"",""เชียงใหม่!I152"")"),20)</f>
        <v>20</v>
      </c>
      <c r="AE16" s="97">
        <f ca="1">IFERROR(__xludf.DUMMYFUNCTION("IMPORTRANGE(""https://docs.google.com/spreadsheets/d/1rEDxBtusbi64tE0zunoIbsTVV16HeL0oJ6trHQeQ7K8/edit?usp=sharing"",""เชียงใหม่!I153"")"),2)</f>
        <v>2</v>
      </c>
      <c r="AF16" s="97">
        <f ca="1">IFERROR(__xludf.DUMMYFUNCTION("IMPORTRANGE(""https://docs.google.com/spreadsheets/d/1rEDxBtusbi64tE0zunoIbsTVV16HeL0oJ6trHQeQ7K8/edit?usp=sharing"",""เชียงใหม่!J152"")"),0)</f>
        <v>0</v>
      </c>
      <c r="AG16" s="98">
        <f t="shared" ca="1" si="41"/>
        <v>0</v>
      </c>
      <c r="AH16" s="97">
        <f ca="1">IFERROR(__xludf.DUMMYFUNCTION("IMPORTRANGE(""https://docs.google.com/spreadsheets/d/1rEDxBtusbi64tE0zunoIbsTVV16HeL0oJ6trHQeQ7K8/edit?usp=sharing"",""เชียงใหม่!J153"")"),0)</f>
        <v>0</v>
      </c>
      <c r="AI16" s="98">
        <f t="shared" ca="1" si="42"/>
        <v>0</v>
      </c>
      <c r="AJ16" s="97">
        <f ca="1">IFERROR(__xludf.DUMMYFUNCTION("IMPORTRANGE(""https://docs.google.com/spreadsheets/d/1rEDxBtusbi64tE0zunoIbsTVV16HeL0oJ6trHQeQ7K8/edit?usp=sharing"",""เชียงใหม่!I154"")"),1)</f>
        <v>1</v>
      </c>
      <c r="AK16" s="97">
        <f ca="1">IFERROR(__xludf.DUMMYFUNCTION("IMPORTRANGE(""https://docs.google.com/spreadsheets/d/1rEDxBtusbi64tE0zunoIbsTVV16HeL0oJ6trHQeQ7K8/edit?usp=sharing"",""เชียงใหม่!J154"")"),0)</f>
        <v>0</v>
      </c>
      <c r="AL16" s="98">
        <f t="shared" ca="1" si="44"/>
        <v>0</v>
      </c>
    </row>
    <row r="17" spans="1:38" ht="24" customHeight="1" x14ac:dyDescent="0.3">
      <c r="A17" s="172">
        <v>4</v>
      </c>
      <c r="B17" s="173" t="s">
        <v>43</v>
      </c>
      <c r="C17" s="174">
        <f t="shared" ca="1" si="26"/>
        <v>115700</v>
      </c>
      <c r="D17" s="175">
        <f t="shared" ca="1" si="45"/>
        <v>115700</v>
      </c>
      <c r="E17" s="176">
        <f ca="1">IFERROR(__xludf.DUMMYFUNCTION("IMPORTRANGE(""https://docs.google.com/spreadsheets/d/1-uDff_7J0KD5mKrp0Vvzr7lt3OU09vwQwhkpOPPYv2Y/edit?usp=sharing"",""งบพรบ!BR17"")"),84100)</f>
        <v>84100</v>
      </c>
      <c r="F17" s="176">
        <f ca="1">IFERROR(__xludf.DUMMYFUNCTION("IMPORTRANGE(""https://docs.google.com/spreadsheets/d/1-uDff_7J0KD5mKrp0Vvzr7lt3OU09vwQwhkpOPPYv2Y/edit?usp=sharing"",""งบพรบ!BS17"")"),31600)</f>
        <v>31600</v>
      </c>
      <c r="G17" s="176">
        <f ca="1">IFERROR(__xludf.DUMMYFUNCTION("IMPORTRANGE(""https://docs.google.com/spreadsheets/d/1-uDff_7J0KD5mKrp0Vvzr7lt3OU09vwQwhkpOPPYv2Y/edit?usp=sharing"",""งบพรบ!BT17"")"),0)</f>
        <v>0</v>
      </c>
      <c r="H17" s="176">
        <f ca="1">IFERROR(__xludf.DUMMYFUNCTION("IMPORTRANGE(""https://docs.google.com/spreadsheets/d/1-uDff_7J0KD5mKrp0Vvzr7lt3OU09vwQwhkpOPPYv2Y/edit?usp=sharing"",""งบพรบ!BV17"")"),110700)</f>
        <v>110700</v>
      </c>
      <c r="I17" s="176">
        <f ca="1">IFERROR(__xludf.DUMMYFUNCTION("IMPORTRANGE(""https://docs.google.com/spreadsheets/d/1-uDff_7J0KD5mKrp0Vvzr7lt3OU09vwQwhkpOPPYv2Y/edit?usp=sharing"",""งบพรบ!BW17"")"),0)</f>
        <v>0</v>
      </c>
      <c r="J17" s="176">
        <f t="shared" ca="1" si="28"/>
        <v>66146</v>
      </c>
      <c r="K17" s="179">
        <f t="shared" ca="1" si="29"/>
        <v>57.170267934312875</v>
      </c>
      <c r="L17" s="176">
        <f ca="1">IFERROR(__xludf.DUMMYFUNCTION("IMPORTRANGE(""https://docs.google.com/spreadsheets/d/1-uDff_7J0KD5mKrp0Vvzr7lt3OU09vwQwhkpOPPYv2Y/edit?usp=sharing"",""งบพรบ!BX17"")"),66146)</f>
        <v>66146</v>
      </c>
      <c r="M17" s="87">
        <f t="shared" ca="1" si="30"/>
        <v>57.170267934312875</v>
      </c>
      <c r="N17" s="87">
        <f t="shared" ca="1" si="31"/>
        <v>59.752484191508579</v>
      </c>
      <c r="O17" s="86">
        <f ca="1">IFERROR(__xludf.DUMMYFUNCTION("IMPORTRANGE(""https://docs.google.com/spreadsheets/d/1-uDff_7J0KD5mKrp0Vvzr7lt3OU09vwQwhkpOPPYv2Y/edit?usp=sharing"",""งบพรบ!BY17"")"),0)</f>
        <v>0</v>
      </c>
      <c r="P17" s="86">
        <f t="shared" ca="1" si="32"/>
        <v>0</v>
      </c>
      <c r="Q17" s="87">
        <f t="shared" ca="1" si="33"/>
        <v>0</v>
      </c>
      <c r="R17" s="86">
        <f ca="1">IFERROR(__xludf.DUMMYFUNCTION("IMPORTRANGE(""https://docs.google.com/spreadsheets/d/1W6MnUbDkMi6xHnHko_XkFDO9kkuL6Wqyc-6OCDFjW9I/edit?usp=sharing"",""ตาก!Q139"")"),0)</f>
        <v>0</v>
      </c>
      <c r="S17" s="86">
        <f ca="1">IFERROR(__xludf.DUMMYFUNCTION("IMPORTRANGE(""https://docs.google.com/spreadsheets/d/1W6MnUbDkMi6xHnHko_XkFDO9kkuL6Wqyc-6OCDFjW9I/edit?usp=sharing"",""ตาก!R139"")"),0)</f>
        <v>0</v>
      </c>
      <c r="T17" s="86">
        <f ca="1">IFERROR(__xludf.DUMMYFUNCTION("IMPORTRANGE(""https://docs.google.com/spreadsheets/d/1W6MnUbDkMi6xHnHko_XkFDO9kkuL6Wqyc-6OCDFjW9I/edit?usp=sharing"",""ตาก!S139"")"),0)</f>
        <v>0</v>
      </c>
      <c r="U17" s="87">
        <f t="shared" ca="1" si="35"/>
        <v>0</v>
      </c>
      <c r="V17" s="87">
        <f t="shared" ca="1" si="36"/>
        <v>0</v>
      </c>
      <c r="W17" s="97">
        <f ca="1">IFERROR(__xludf.DUMMYFUNCTION("IMPORTRANGE(""https://docs.google.com/spreadsheets/d/1W6MnUbDkMi6xHnHko_XkFDO9kkuL6Wqyc-6OCDFjW9I/edit?usp=sharing"",""ตาก!J149"")"),0)</f>
        <v>0</v>
      </c>
      <c r="X17" s="97">
        <f ca="1">IFERROR(__xludf.DUMMYFUNCTION("IMPORTRANGE(""https://docs.google.com/spreadsheets/d/1W6MnUbDkMi6xHnHko_XkFDO9kkuL6Wqyc-6OCDFjW9I/edit?usp=sharing"",""ตาก!I150"")"),0)</f>
        <v>0</v>
      </c>
      <c r="Y17" s="97">
        <f ca="1">IFERROR(__xludf.DUMMYFUNCTION("IMPORTRANGE(""https://docs.google.com/spreadsheets/d/1W6MnUbDkMi6xHnHko_XkFDO9kkuL6Wqyc-6OCDFjW9I/edit?usp=sharing"",""ตาก!I151"")"),0)</f>
        <v>0</v>
      </c>
      <c r="Z17" s="97">
        <f ca="1">IFERROR(__xludf.DUMMYFUNCTION("IMPORTRANGE(""https://docs.google.com/spreadsheets/d/1W6MnUbDkMi6xHnHko_XkFDO9kkuL6Wqyc-6OCDFjW9I/edit?usp=sharing"",""ตาก!J150"")"),0)</f>
        <v>0</v>
      </c>
      <c r="AA17" s="98">
        <f t="shared" ca="1" si="38"/>
        <v>0</v>
      </c>
      <c r="AB17" s="97">
        <f ca="1">IFERROR(__xludf.DUMMYFUNCTION("IMPORTRANGE(""https://docs.google.com/spreadsheets/d/1W6MnUbDkMi6xHnHko_XkFDO9kkuL6Wqyc-6OCDFjW9I/edit?usp=sharing"",""ตาก!J151"")"),0)</f>
        <v>0</v>
      </c>
      <c r="AC17" s="98">
        <f t="shared" ca="1" si="39"/>
        <v>0</v>
      </c>
      <c r="AD17" s="97">
        <f ca="1">IFERROR(__xludf.DUMMYFUNCTION("IMPORTRANGE(""https://docs.google.com/spreadsheets/d/1W6MnUbDkMi6xHnHko_XkFDO9kkuL6Wqyc-6OCDFjW9I/edit?usp=sharing"",""ตาก!I152"")"),20)</f>
        <v>20</v>
      </c>
      <c r="AE17" s="97">
        <f ca="1">IFERROR(__xludf.DUMMYFUNCTION("IMPORTRANGE(""https://docs.google.com/spreadsheets/d/1W6MnUbDkMi6xHnHko_XkFDO9kkuL6Wqyc-6OCDFjW9I/edit?usp=sharing"",""ตาก!I153"")"),2)</f>
        <v>2</v>
      </c>
      <c r="AF17" s="97">
        <f ca="1">IFERROR(__xludf.DUMMYFUNCTION("IMPORTRANGE(""https://docs.google.com/spreadsheets/d/1W6MnUbDkMi6xHnHko_XkFDO9kkuL6Wqyc-6OCDFjW9I/edit?usp=sharing"",""ตาก!J152"")"),0)</f>
        <v>0</v>
      </c>
      <c r="AG17" s="98">
        <f t="shared" ca="1" si="41"/>
        <v>0</v>
      </c>
      <c r="AH17" s="97">
        <f ca="1">IFERROR(__xludf.DUMMYFUNCTION("IMPORTRANGE(""https://docs.google.com/spreadsheets/d/1W6MnUbDkMi6xHnHko_XkFDO9kkuL6Wqyc-6OCDFjW9I/edit?usp=sharing"",""ตาก!J153"")"),0)</f>
        <v>0</v>
      </c>
      <c r="AI17" s="98">
        <f t="shared" ca="1" si="42"/>
        <v>0</v>
      </c>
      <c r="AJ17" s="97">
        <f ca="1">IFERROR(__xludf.DUMMYFUNCTION("IMPORTRANGE(""https://docs.google.com/spreadsheets/d/1W6MnUbDkMi6xHnHko_XkFDO9kkuL6Wqyc-6OCDFjW9I/edit?usp=sharing"",""ตาก!I154"")"),0)</f>
        <v>0</v>
      </c>
      <c r="AK17" s="97">
        <f ca="1">IFERROR(__xludf.DUMMYFUNCTION("IMPORTRANGE(""https://docs.google.com/spreadsheets/d/1W6MnUbDkMi6xHnHko_XkFDO9kkuL6Wqyc-6OCDFjW9I/edit?usp=sharing"",""ตาก!J154"")"),0)</f>
        <v>0</v>
      </c>
      <c r="AL17" s="98">
        <f t="shared" ca="1" si="44"/>
        <v>0</v>
      </c>
    </row>
    <row r="18" spans="1:38" ht="24" customHeight="1" x14ac:dyDescent="0.3">
      <c r="A18" s="172">
        <v>5</v>
      </c>
      <c r="B18" s="173" t="s">
        <v>44</v>
      </c>
      <c r="C18" s="174">
        <f t="shared" ca="1" si="26"/>
        <v>31600</v>
      </c>
      <c r="D18" s="175">
        <f t="shared" ca="1" si="45"/>
        <v>31600</v>
      </c>
      <c r="E18" s="176">
        <f ca="1">IFERROR(__xludf.DUMMYFUNCTION("IMPORTRANGE(""https://docs.google.com/spreadsheets/d/1-uDff_7J0KD5mKrp0Vvzr7lt3OU09vwQwhkpOPPYv2Y/edit?usp=sharing"",""งบพรบ!BR18"")"),0)</f>
        <v>0</v>
      </c>
      <c r="F18" s="176">
        <f ca="1">IFERROR(__xludf.DUMMYFUNCTION("IMPORTRANGE(""https://docs.google.com/spreadsheets/d/1-uDff_7J0KD5mKrp0Vvzr7lt3OU09vwQwhkpOPPYv2Y/edit?usp=sharing"",""งบพรบ!BS18"")"),31600)</f>
        <v>31600</v>
      </c>
      <c r="G18" s="176">
        <f ca="1">IFERROR(__xludf.DUMMYFUNCTION("IMPORTRANGE(""https://docs.google.com/spreadsheets/d/1-uDff_7J0KD5mKrp0Vvzr7lt3OU09vwQwhkpOPPYv2Y/edit?usp=sharing"",""งบพรบ!BT18"")"),0)</f>
        <v>0</v>
      </c>
      <c r="H18" s="176">
        <f ca="1">IFERROR(__xludf.DUMMYFUNCTION("IMPORTRANGE(""https://docs.google.com/spreadsheets/d/1-uDff_7J0KD5mKrp0Vvzr7lt3OU09vwQwhkpOPPYv2Y/edit?usp=sharing"",""งบพรบ!BV18"")"),26600)</f>
        <v>26600</v>
      </c>
      <c r="I18" s="176">
        <f ca="1">IFERROR(__xludf.DUMMYFUNCTION("IMPORTRANGE(""https://docs.google.com/spreadsheets/d/1-uDff_7J0KD5mKrp0Vvzr7lt3OU09vwQwhkpOPPYv2Y/edit?usp=sharing"",""งบพรบ!BW18"")"),0)</f>
        <v>0</v>
      </c>
      <c r="J18" s="176">
        <f t="shared" ca="1" si="28"/>
        <v>0</v>
      </c>
      <c r="K18" s="179">
        <f t="shared" ca="1" si="29"/>
        <v>0</v>
      </c>
      <c r="L18" s="176">
        <f ca="1">IFERROR(__xludf.DUMMYFUNCTION("IMPORTRANGE(""https://docs.google.com/spreadsheets/d/1-uDff_7J0KD5mKrp0Vvzr7lt3OU09vwQwhkpOPPYv2Y/edit?usp=sharing"",""งบพรบ!BX18"")"),0)</f>
        <v>0</v>
      </c>
      <c r="M18" s="87">
        <f t="shared" ca="1" si="30"/>
        <v>0</v>
      </c>
      <c r="N18" s="87">
        <f t="shared" ca="1" si="31"/>
        <v>0</v>
      </c>
      <c r="O18" s="86">
        <f ca="1">IFERROR(__xludf.DUMMYFUNCTION("IMPORTRANGE(""https://docs.google.com/spreadsheets/d/1-uDff_7J0KD5mKrp0Vvzr7lt3OU09vwQwhkpOPPYv2Y/edit?usp=sharing"",""งบพรบ!BY18"")"),0)</f>
        <v>0</v>
      </c>
      <c r="P18" s="86">
        <f t="shared" ca="1" si="32"/>
        <v>0</v>
      </c>
      <c r="Q18" s="87">
        <f t="shared" ca="1" si="33"/>
        <v>0</v>
      </c>
      <c r="R18" s="86">
        <f ca="1">IFERROR(__xludf.DUMMYFUNCTION("IMPORTRANGE(""https://docs.google.com/spreadsheets/d/1IQAWArduLkta9LpYo4a_ULsyqdta6-6aDDiwpUnQT6c/edit?usp=sharing"",""นครสวรรค์!Q139"")"),0)</f>
        <v>0</v>
      </c>
      <c r="S18" s="86">
        <f ca="1">IFERROR(__xludf.DUMMYFUNCTION("IMPORTRANGE(""https://docs.google.com/spreadsheets/d/1IQAWArduLkta9LpYo4a_ULsyqdta6-6aDDiwpUnQT6c/edit?usp=sharing"",""นครสวรรค์!R139"")"),0)</f>
        <v>0</v>
      </c>
      <c r="T18" s="86">
        <f ca="1">IFERROR(__xludf.DUMMYFUNCTION("IMPORTRANGE(""https://docs.google.com/spreadsheets/d/1IQAWArduLkta9LpYo4a_ULsyqdta6-6aDDiwpUnQT6c/edit?usp=sharing"",""นครสวรรค์!S139"")"),0)</f>
        <v>0</v>
      </c>
      <c r="U18" s="87">
        <f t="shared" ca="1" si="35"/>
        <v>0</v>
      </c>
      <c r="V18" s="87">
        <f t="shared" ca="1" si="36"/>
        <v>0</v>
      </c>
      <c r="W18" s="97">
        <f ca="1">IFERROR(__xludf.DUMMYFUNCTION("IMPORTRANGE(""https://docs.google.com/spreadsheets/d/1IQAWArduLkta9LpYo4a_ULsyqdta6-6aDDiwpUnQT6c/edit?usp=sharing"",""นครสวรรค์!J149"")"),0)</f>
        <v>0</v>
      </c>
      <c r="X18" s="97">
        <f ca="1">IFERROR(__xludf.DUMMYFUNCTION("IMPORTRANGE(""https://docs.google.com/spreadsheets/d/1IQAWArduLkta9LpYo4a_ULsyqdta6-6aDDiwpUnQT6c/edit?usp=sharing"",""นครสวรรค์!I150"")"),0)</f>
        <v>0</v>
      </c>
      <c r="Y18" s="97">
        <f ca="1">IFERROR(__xludf.DUMMYFUNCTION("IMPORTRANGE(""https://docs.google.com/spreadsheets/d/1IQAWArduLkta9LpYo4a_ULsyqdta6-6aDDiwpUnQT6c/edit?usp=sharing"",""นครสวรรค์!I151"")"),0)</f>
        <v>0</v>
      </c>
      <c r="Z18" s="97">
        <f ca="1">IFERROR(__xludf.DUMMYFUNCTION("IMPORTRANGE(""https://docs.google.com/spreadsheets/d/1IQAWArduLkta9LpYo4a_ULsyqdta6-6aDDiwpUnQT6c/edit?usp=sharing"",""นครสวรรค์!J150"")"),0)</f>
        <v>0</v>
      </c>
      <c r="AA18" s="98">
        <f t="shared" ca="1" si="38"/>
        <v>0</v>
      </c>
      <c r="AB18" s="97">
        <f ca="1">IFERROR(__xludf.DUMMYFUNCTION("IMPORTRANGE(""https://docs.google.com/spreadsheets/d/1IQAWArduLkta9LpYo4a_ULsyqdta6-6aDDiwpUnQT6c/edit?usp=sharing"",""นครสวรรค์!J151"")"),0)</f>
        <v>0</v>
      </c>
      <c r="AC18" s="98">
        <f t="shared" ca="1" si="39"/>
        <v>0</v>
      </c>
      <c r="AD18" s="97">
        <f ca="1">IFERROR(__xludf.DUMMYFUNCTION("IMPORTRANGE(""https://docs.google.com/spreadsheets/d/1IQAWArduLkta9LpYo4a_ULsyqdta6-6aDDiwpUnQT6c/edit?usp=sharing"",""นครสวรรค์!I152"")"),20)</f>
        <v>20</v>
      </c>
      <c r="AE18" s="97">
        <f ca="1">IFERROR(__xludf.DUMMYFUNCTION("IMPORTRANGE(""https://docs.google.com/spreadsheets/d/1IQAWArduLkta9LpYo4a_ULsyqdta6-6aDDiwpUnQT6c/edit?usp=sharing"",""นครสวรรค์!I153"")"),2)</f>
        <v>2</v>
      </c>
      <c r="AF18" s="97">
        <f ca="1">IFERROR(__xludf.DUMMYFUNCTION("IMPORTRANGE(""https://docs.google.com/spreadsheets/d/1IQAWArduLkta9LpYo4a_ULsyqdta6-6aDDiwpUnQT6c/edit?usp=sharing"",""นครสวรรค์!J152"")"),0)</f>
        <v>0</v>
      </c>
      <c r="AG18" s="98">
        <f t="shared" ca="1" si="41"/>
        <v>0</v>
      </c>
      <c r="AH18" s="97">
        <f ca="1">IFERROR(__xludf.DUMMYFUNCTION("IMPORTRANGE(""https://docs.google.com/spreadsheets/d/1IQAWArduLkta9LpYo4a_ULsyqdta6-6aDDiwpUnQT6c/edit?usp=sharing"",""นครสวรรค์!J153"")"),0)</f>
        <v>0</v>
      </c>
      <c r="AI18" s="98">
        <f t="shared" ca="1" si="42"/>
        <v>0</v>
      </c>
      <c r="AJ18" s="97">
        <f ca="1">IFERROR(__xludf.DUMMYFUNCTION("IMPORTRANGE(""https://docs.google.com/spreadsheets/d/1IQAWArduLkta9LpYo4a_ULsyqdta6-6aDDiwpUnQT6c/edit?usp=sharing"",""นครสวรรค์!I154"")"),0)</f>
        <v>0</v>
      </c>
      <c r="AK18" s="97">
        <f ca="1">IFERROR(__xludf.DUMMYFUNCTION("IMPORTRANGE(""https://docs.google.com/spreadsheets/d/1IQAWArduLkta9LpYo4a_ULsyqdta6-6aDDiwpUnQT6c/edit?usp=sharing"",""นครสวรรค์!J154"")"),0)</f>
        <v>0</v>
      </c>
      <c r="AL18" s="98">
        <f t="shared" ca="1" si="44"/>
        <v>0</v>
      </c>
    </row>
    <row r="19" spans="1:38" ht="24" customHeight="1" x14ac:dyDescent="0.3">
      <c r="A19" s="172">
        <v>6</v>
      </c>
      <c r="B19" s="173" t="s">
        <v>45</v>
      </c>
      <c r="C19" s="174">
        <f t="shared" ca="1" si="26"/>
        <v>83100</v>
      </c>
      <c r="D19" s="175">
        <f t="shared" ca="1" si="45"/>
        <v>83100</v>
      </c>
      <c r="E19" s="176">
        <f ca="1">IFERROR(__xludf.DUMMYFUNCTION("IMPORTRANGE(""https://docs.google.com/spreadsheets/d/1-uDff_7J0KD5mKrp0Vvzr7lt3OU09vwQwhkpOPPYv2Y/edit?usp=sharing"",""งบพรบ!BR19"")"),0)</f>
        <v>0</v>
      </c>
      <c r="F19" s="176">
        <f ca="1">IFERROR(__xludf.DUMMYFUNCTION("IMPORTRANGE(""https://docs.google.com/spreadsheets/d/1-uDff_7J0KD5mKrp0Vvzr7lt3OU09vwQwhkpOPPYv2Y/edit?usp=sharing"",""งบพรบ!BS19"")"),83100)</f>
        <v>83100</v>
      </c>
      <c r="G19" s="176">
        <f ca="1">IFERROR(__xludf.DUMMYFUNCTION("IMPORTRANGE(""https://docs.google.com/spreadsheets/d/1-uDff_7J0KD5mKrp0Vvzr7lt3OU09vwQwhkpOPPYv2Y/edit?usp=sharing"",""งบพรบ!BT19"")"),0)</f>
        <v>0</v>
      </c>
      <c r="H19" s="176">
        <f ca="1">IFERROR(__xludf.DUMMYFUNCTION("IMPORTRANGE(""https://docs.google.com/spreadsheets/d/1-uDff_7J0KD5mKrp0Vvzr7lt3OU09vwQwhkpOPPYv2Y/edit?usp=sharing"",""งบพรบ!BV19"")"),78100)</f>
        <v>78100</v>
      </c>
      <c r="I19" s="176">
        <f ca="1">IFERROR(__xludf.DUMMYFUNCTION("IMPORTRANGE(""https://docs.google.com/spreadsheets/d/1-uDff_7J0KD5mKrp0Vvzr7lt3OU09vwQwhkpOPPYv2Y/edit?usp=sharing"",""งบพรบ!BW19"")"),0)</f>
        <v>0</v>
      </c>
      <c r="J19" s="176">
        <f t="shared" ca="1" si="28"/>
        <v>0</v>
      </c>
      <c r="K19" s="179">
        <f t="shared" ca="1" si="29"/>
        <v>0</v>
      </c>
      <c r="L19" s="176">
        <f ca="1">IFERROR(__xludf.DUMMYFUNCTION("IMPORTRANGE(""https://docs.google.com/spreadsheets/d/1-uDff_7J0KD5mKrp0Vvzr7lt3OU09vwQwhkpOPPYv2Y/edit?usp=sharing"",""งบพรบ!BX19"")"),0)</f>
        <v>0</v>
      </c>
      <c r="M19" s="87">
        <f t="shared" ca="1" si="30"/>
        <v>0</v>
      </c>
      <c r="N19" s="87">
        <f t="shared" ca="1" si="31"/>
        <v>0</v>
      </c>
      <c r="O19" s="86">
        <f ca="1">IFERROR(__xludf.DUMMYFUNCTION("IMPORTRANGE(""https://docs.google.com/spreadsheets/d/1-uDff_7J0KD5mKrp0Vvzr7lt3OU09vwQwhkpOPPYv2Y/edit?usp=sharing"",""งบพรบ!BY19"")"),0)</f>
        <v>0</v>
      </c>
      <c r="P19" s="86">
        <f t="shared" ca="1" si="32"/>
        <v>0</v>
      </c>
      <c r="Q19" s="87">
        <f t="shared" ca="1" si="33"/>
        <v>0</v>
      </c>
      <c r="R19" s="86">
        <f ca="1">IFERROR(__xludf.DUMMYFUNCTION("IMPORTRANGE(""https://docs.google.com/spreadsheets/d/10s13Sk5xrltsiR-Zkbmk5DwIaDIKO8XlbJAfqyT7Gvg/edit?usp=sharing"",""น่าน!Q139"")"),0)</f>
        <v>0</v>
      </c>
      <c r="S19" s="86">
        <f ca="1">IFERROR(__xludf.DUMMYFUNCTION("IMPORTRANGE(""https://docs.google.com/spreadsheets/d/10s13Sk5xrltsiR-Zkbmk5DwIaDIKO8XlbJAfqyT7Gvg/edit?usp=sharing"",""น่าน!R139"")"),0)</f>
        <v>0</v>
      </c>
      <c r="T19" s="86">
        <f ca="1">IFERROR(__xludf.DUMMYFUNCTION("IMPORTRANGE(""https://docs.google.com/spreadsheets/d/10s13Sk5xrltsiR-Zkbmk5DwIaDIKO8XlbJAfqyT7Gvg/edit?usp=sharing"",""น่าน!S139"")"),0)</f>
        <v>0</v>
      </c>
      <c r="U19" s="87">
        <f t="shared" ca="1" si="35"/>
        <v>0</v>
      </c>
      <c r="V19" s="87">
        <f t="shared" ca="1" si="36"/>
        <v>0</v>
      </c>
      <c r="W19" s="97">
        <f ca="1">IFERROR(__xludf.DUMMYFUNCTION("IMPORTRANGE(""https://docs.google.com/spreadsheets/d/10s13Sk5xrltsiR-Zkbmk5DwIaDIKO8XlbJAfqyT7Gvg/edit?usp=sharing"",""น่าน!J149"")"),0)</f>
        <v>0</v>
      </c>
      <c r="X19" s="97">
        <f ca="1">IFERROR(__xludf.DUMMYFUNCTION("IMPORTRANGE(""https://docs.google.com/spreadsheets/d/10s13Sk5xrltsiR-Zkbmk5DwIaDIKO8XlbJAfqyT7Gvg/edit?usp=sharing"",""น่าน!I150"")"),20)</f>
        <v>20</v>
      </c>
      <c r="Y19" s="97">
        <f ca="1">IFERROR(__xludf.DUMMYFUNCTION("IMPORTRANGE(""https://docs.google.com/spreadsheets/d/10s13Sk5xrltsiR-Zkbmk5DwIaDIKO8XlbJAfqyT7Gvg/edit?usp=sharing"",""น่าน!I151"")"),2)</f>
        <v>2</v>
      </c>
      <c r="Z19" s="97">
        <f ca="1">IFERROR(__xludf.DUMMYFUNCTION("IMPORTRANGE(""https://docs.google.com/spreadsheets/d/10s13Sk5xrltsiR-Zkbmk5DwIaDIKO8XlbJAfqyT7Gvg/edit?usp=sharing"",""น่าน!J150"")"),0)</f>
        <v>0</v>
      </c>
      <c r="AA19" s="98">
        <f t="shared" ca="1" si="38"/>
        <v>0</v>
      </c>
      <c r="AB19" s="97">
        <f ca="1">IFERROR(__xludf.DUMMYFUNCTION("IMPORTRANGE(""https://docs.google.com/spreadsheets/d/10s13Sk5xrltsiR-Zkbmk5DwIaDIKO8XlbJAfqyT7Gvg/edit?usp=sharing"",""น่าน!J151"")"),0)</f>
        <v>0</v>
      </c>
      <c r="AC19" s="98">
        <f t="shared" ca="1" si="39"/>
        <v>0</v>
      </c>
      <c r="AD19" s="97">
        <f ca="1">IFERROR(__xludf.DUMMYFUNCTION("IMPORTRANGE(""https://docs.google.com/spreadsheets/d/10s13Sk5xrltsiR-Zkbmk5DwIaDIKO8XlbJAfqyT7Gvg/edit?usp=sharing"",""น่าน!I152"")"),50)</f>
        <v>50</v>
      </c>
      <c r="AE19" s="97">
        <f ca="1">IFERROR(__xludf.DUMMYFUNCTION("IMPORTRANGE(""https://docs.google.com/spreadsheets/d/10s13Sk5xrltsiR-Zkbmk5DwIaDIKO8XlbJAfqyT7Gvg/edit?usp=sharing"",""น่าน!I153"")"),5)</f>
        <v>5</v>
      </c>
      <c r="AF19" s="97">
        <f ca="1">IFERROR(__xludf.DUMMYFUNCTION("IMPORTRANGE(""https://docs.google.com/spreadsheets/d/10s13Sk5xrltsiR-Zkbmk5DwIaDIKO8XlbJAfqyT7Gvg/edit?usp=sharing"",""น่าน!J152"")"),0)</f>
        <v>0</v>
      </c>
      <c r="AG19" s="98">
        <f t="shared" ca="1" si="41"/>
        <v>0</v>
      </c>
      <c r="AH19" s="97">
        <f ca="1">IFERROR(__xludf.DUMMYFUNCTION("IMPORTRANGE(""https://docs.google.com/spreadsheets/d/10s13Sk5xrltsiR-Zkbmk5DwIaDIKO8XlbJAfqyT7Gvg/edit?usp=sharing"",""น่าน!J153"")"),0)</f>
        <v>0</v>
      </c>
      <c r="AI19" s="98">
        <f t="shared" ca="1" si="42"/>
        <v>0</v>
      </c>
      <c r="AJ19" s="97">
        <f ca="1">IFERROR(__xludf.DUMMYFUNCTION("IMPORTRANGE(""https://docs.google.com/spreadsheets/d/10s13Sk5xrltsiR-Zkbmk5DwIaDIKO8XlbJAfqyT7Gvg/edit?usp=sharing"",""น่าน!I154"")"),2)</f>
        <v>2</v>
      </c>
      <c r="AK19" s="97">
        <f ca="1">IFERROR(__xludf.DUMMYFUNCTION("IMPORTRANGE(""https://docs.google.com/spreadsheets/d/10s13Sk5xrltsiR-Zkbmk5DwIaDIKO8XlbJAfqyT7Gvg/edit?usp=sharing"",""น่าน!J154"")"),0)</f>
        <v>0</v>
      </c>
      <c r="AL19" s="98">
        <f t="shared" ca="1" si="44"/>
        <v>0</v>
      </c>
    </row>
    <row r="20" spans="1:38" ht="24" customHeight="1" x14ac:dyDescent="0.3">
      <c r="A20" s="172">
        <v>7</v>
      </c>
      <c r="B20" s="173" t="s">
        <v>46</v>
      </c>
      <c r="C20" s="174">
        <f t="shared" ca="1" si="26"/>
        <v>74800</v>
      </c>
      <c r="D20" s="175">
        <f t="shared" ca="1" si="45"/>
        <v>74800</v>
      </c>
      <c r="E20" s="176">
        <f ca="1">IFERROR(__xludf.DUMMYFUNCTION("IMPORTRANGE(""https://docs.google.com/spreadsheets/d/1-uDff_7J0KD5mKrp0Vvzr7lt3OU09vwQwhkpOPPYv2Y/edit?usp=sharing"",""งบพรบ!BR20"")"),0)</f>
        <v>0</v>
      </c>
      <c r="F20" s="176">
        <f ca="1">IFERROR(__xludf.DUMMYFUNCTION("IMPORTRANGE(""https://docs.google.com/spreadsheets/d/1-uDff_7J0KD5mKrp0Vvzr7lt3OU09vwQwhkpOPPYv2Y/edit?usp=sharing"",""งบพรบ!BS20"")"),74800)</f>
        <v>74800</v>
      </c>
      <c r="G20" s="176">
        <f ca="1">IFERROR(__xludf.DUMMYFUNCTION("IMPORTRANGE(""https://docs.google.com/spreadsheets/d/1-uDff_7J0KD5mKrp0Vvzr7lt3OU09vwQwhkpOPPYv2Y/edit?usp=sharing"",""งบพรบ!BT20"")"),0)</f>
        <v>0</v>
      </c>
      <c r="H20" s="176">
        <f ca="1">IFERROR(__xludf.DUMMYFUNCTION("IMPORTRANGE(""https://docs.google.com/spreadsheets/d/1-uDff_7J0KD5mKrp0Vvzr7lt3OU09vwQwhkpOPPYv2Y/edit?usp=sharing"",""งบพรบ!BV20"")"),69800)</f>
        <v>69800</v>
      </c>
      <c r="I20" s="176">
        <f ca="1">IFERROR(__xludf.DUMMYFUNCTION("IMPORTRANGE(""https://docs.google.com/spreadsheets/d/1-uDff_7J0KD5mKrp0Vvzr7lt3OU09vwQwhkpOPPYv2Y/edit?usp=sharing"",""งบพรบ!BW20"")"),0)</f>
        <v>0</v>
      </c>
      <c r="J20" s="176">
        <f t="shared" ca="1" si="28"/>
        <v>500</v>
      </c>
      <c r="K20" s="179">
        <f t="shared" ca="1" si="29"/>
        <v>0.66844919786096257</v>
      </c>
      <c r="L20" s="176">
        <f ca="1">IFERROR(__xludf.DUMMYFUNCTION("IMPORTRANGE(""https://docs.google.com/spreadsheets/d/1-uDff_7J0KD5mKrp0Vvzr7lt3OU09vwQwhkpOPPYv2Y/edit?usp=sharing"",""งบพรบ!BX20"")"),500)</f>
        <v>500</v>
      </c>
      <c r="M20" s="87">
        <f t="shared" ca="1" si="30"/>
        <v>0.66844919786096257</v>
      </c>
      <c r="N20" s="87">
        <f t="shared" ca="1" si="31"/>
        <v>0.71633237822349571</v>
      </c>
      <c r="O20" s="86">
        <f ca="1">IFERROR(__xludf.DUMMYFUNCTION("IMPORTRANGE(""https://docs.google.com/spreadsheets/d/1-uDff_7J0KD5mKrp0Vvzr7lt3OU09vwQwhkpOPPYv2Y/edit?usp=sharing"",""งบพรบ!BY20"")"),0)</f>
        <v>0</v>
      </c>
      <c r="P20" s="86">
        <f t="shared" ca="1" si="32"/>
        <v>0</v>
      </c>
      <c r="Q20" s="87">
        <f t="shared" ca="1" si="33"/>
        <v>0</v>
      </c>
      <c r="R20" s="86">
        <f ca="1">IFERROR(__xludf.DUMMYFUNCTION("IMPORTRANGE(""https://docs.google.com/spreadsheets/d/1uu4nAn4Dbi1XREnLKKotUANlKXa7yCgRcgq8HEzQYW8/edit?usp=sharing"",""พะเยา!Q139"")"),0)</f>
        <v>0</v>
      </c>
      <c r="S20" s="86">
        <f ca="1">IFERROR(__xludf.DUMMYFUNCTION("IMPORTRANGE(""https://docs.google.com/spreadsheets/d/1uu4nAn4Dbi1XREnLKKotUANlKXa7yCgRcgq8HEzQYW8/edit?usp=sharing"",""พะเยา!R139"")"),0)</f>
        <v>0</v>
      </c>
      <c r="T20" s="86">
        <f ca="1">IFERROR(__xludf.DUMMYFUNCTION("IMPORTRANGE(""https://docs.google.com/spreadsheets/d/1uu4nAn4Dbi1XREnLKKotUANlKXa7yCgRcgq8HEzQYW8/edit?usp=sharing"",""พะเยา!S139"")"),0)</f>
        <v>0</v>
      </c>
      <c r="U20" s="87">
        <f t="shared" ca="1" si="35"/>
        <v>0</v>
      </c>
      <c r="V20" s="87">
        <f t="shared" ca="1" si="36"/>
        <v>0</v>
      </c>
      <c r="W20" s="97">
        <f ca="1">IFERROR(__xludf.DUMMYFUNCTION("IMPORTRANGE(""https://docs.google.com/spreadsheets/d/1uu4nAn4Dbi1XREnLKKotUANlKXa7yCgRcgq8HEzQYW8/edit?usp=sharing"",""พะเยา!J149"")"),0)</f>
        <v>0</v>
      </c>
      <c r="X20" s="97">
        <f ca="1">IFERROR(__xludf.DUMMYFUNCTION("IMPORTRANGE(""https://docs.google.com/spreadsheets/d/1uu4nAn4Dbi1XREnLKKotUANlKXa7yCgRcgq8HEzQYW8/edit?usp=sharing"",""พะเยา!I150"")"),20)</f>
        <v>20</v>
      </c>
      <c r="Y20" s="97">
        <f ca="1">IFERROR(__xludf.DUMMYFUNCTION("IMPORTRANGE(""https://docs.google.com/spreadsheets/d/1uu4nAn4Dbi1XREnLKKotUANlKXa7yCgRcgq8HEzQYW8/edit?usp=sharing"",""พะเยา!I151"")"),2)</f>
        <v>2</v>
      </c>
      <c r="Z20" s="97">
        <f ca="1">IFERROR(__xludf.DUMMYFUNCTION("IMPORTRANGE(""https://docs.google.com/spreadsheets/d/1uu4nAn4Dbi1XREnLKKotUANlKXa7yCgRcgq8HEzQYW8/edit?usp=sharing"",""พะเยา!J150"")"),0)</f>
        <v>0</v>
      </c>
      <c r="AA20" s="98">
        <f t="shared" ca="1" si="38"/>
        <v>0</v>
      </c>
      <c r="AB20" s="97">
        <f ca="1">IFERROR(__xludf.DUMMYFUNCTION("IMPORTRANGE(""https://docs.google.com/spreadsheets/d/1uu4nAn4Dbi1XREnLKKotUANlKXa7yCgRcgq8HEzQYW8/edit?usp=sharing"",""พะเยา!J151"")"),0)</f>
        <v>0</v>
      </c>
      <c r="AC20" s="98">
        <f t="shared" ca="1" si="39"/>
        <v>0</v>
      </c>
      <c r="AD20" s="97">
        <f ca="1">IFERROR(__xludf.DUMMYFUNCTION("IMPORTRANGE(""https://docs.google.com/spreadsheets/d/1uu4nAn4Dbi1XREnLKKotUANlKXa7yCgRcgq8HEzQYW8/edit?usp=sharing"",""พะเยา!I152"")"),40)</f>
        <v>40</v>
      </c>
      <c r="AE20" s="97">
        <f ca="1">IFERROR(__xludf.DUMMYFUNCTION("IMPORTRANGE(""https://docs.google.com/spreadsheets/d/1uu4nAn4Dbi1XREnLKKotUANlKXa7yCgRcgq8HEzQYW8/edit?usp=sharing"",""พะเยา!I153"")"),4)</f>
        <v>4</v>
      </c>
      <c r="AF20" s="97">
        <f ca="1">IFERROR(__xludf.DUMMYFUNCTION("IMPORTRANGE(""https://docs.google.com/spreadsheets/d/1uu4nAn4Dbi1XREnLKKotUANlKXa7yCgRcgq8HEzQYW8/edit?usp=sharing"",""พะเยา!J152"")"),0)</f>
        <v>0</v>
      </c>
      <c r="AG20" s="98">
        <f t="shared" ca="1" si="41"/>
        <v>0</v>
      </c>
      <c r="AH20" s="97">
        <f ca="1">IFERROR(__xludf.DUMMYFUNCTION("IMPORTRANGE(""https://docs.google.com/spreadsheets/d/1uu4nAn4Dbi1XREnLKKotUANlKXa7yCgRcgq8HEzQYW8/edit?usp=sharing"",""พะเยา!J153"")"),0)</f>
        <v>0</v>
      </c>
      <c r="AI20" s="98">
        <f t="shared" ca="1" si="42"/>
        <v>0</v>
      </c>
      <c r="AJ20" s="97">
        <f ca="1">IFERROR(__xludf.DUMMYFUNCTION("IMPORTRANGE(""https://docs.google.com/spreadsheets/d/1uu4nAn4Dbi1XREnLKKotUANlKXa7yCgRcgq8HEzQYW8/edit?usp=sharing"",""พะเยา!I154"")"),2)</f>
        <v>2</v>
      </c>
      <c r="AK20" s="97">
        <f ca="1">IFERROR(__xludf.DUMMYFUNCTION("IMPORTRANGE(""https://docs.google.com/spreadsheets/d/1uu4nAn4Dbi1XREnLKKotUANlKXa7yCgRcgq8HEzQYW8/edit?usp=sharing"",""พะเยา!J154"")"),0)</f>
        <v>0</v>
      </c>
      <c r="AL20" s="98">
        <f t="shared" ca="1" si="44"/>
        <v>0</v>
      </c>
    </row>
    <row r="21" spans="1:38" ht="24" customHeight="1" x14ac:dyDescent="0.3">
      <c r="A21" s="172">
        <v>8</v>
      </c>
      <c r="B21" s="173" t="s">
        <v>47</v>
      </c>
      <c r="C21" s="174">
        <f t="shared" ca="1" si="26"/>
        <v>0</v>
      </c>
      <c r="D21" s="175">
        <f t="shared" ca="1" si="45"/>
        <v>0</v>
      </c>
      <c r="E21" s="176">
        <f ca="1">IFERROR(__xludf.DUMMYFUNCTION("IMPORTRANGE(""https://docs.google.com/spreadsheets/d/1-uDff_7J0KD5mKrp0Vvzr7lt3OU09vwQwhkpOPPYv2Y/edit?usp=sharing"",""งบพรบ!BR21"")"),0)</f>
        <v>0</v>
      </c>
      <c r="F21" s="176">
        <f ca="1">IFERROR(__xludf.DUMMYFUNCTION("IMPORTRANGE(""https://docs.google.com/spreadsheets/d/1-uDff_7J0KD5mKrp0Vvzr7lt3OU09vwQwhkpOPPYv2Y/edit?usp=sharing"",""งบพรบ!BS21"")"),0)</f>
        <v>0</v>
      </c>
      <c r="G21" s="176">
        <f ca="1">IFERROR(__xludf.DUMMYFUNCTION("IMPORTRANGE(""https://docs.google.com/spreadsheets/d/1-uDff_7J0KD5mKrp0Vvzr7lt3OU09vwQwhkpOPPYv2Y/edit?usp=sharing"",""งบพรบ!BT21"")"),0)</f>
        <v>0</v>
      </c>
      <c r="H21" s="176">
        <f ca="1">IFERROR(__xludf.DUMMYFUNCTION("IMPORTRANGE(""https://docs.google.com/spreadsheets/d/1-uDff_7J0KD5mKrp0Vvzr7lt3OU09vwQwhkpOPPYv2Y/edit?usp=sharing"",""งบพรบ!BV21"")"),0)</f>
        <v>0</v>
      </c>
      <c r="I21" s="176">
        <f ca="1">IFERROR(__xludf.DUMMYFUNCTION("IMPORTRANGE(""https://docs.google.com/spreadsheets/d/1-uDff_7J0KD5mKrp0Vvzr7lt3OU09vwQwhkpOPPYv2Y/edit?usp=sharing"",""งบพรบ!BW21"")"),0)</f>
        <v>0</v>
      </c>
      <c r="J21" s="176">
        <f t="shared" ca="1" si="28"/>
        <v>0</v>
      </c>
      <c r="K21" s="179">
        <f t="shared" ca="1" si="29"/>
        <v>0</v>
      </c>
      <c r="L21" s="176">
        <f ca="1">IFERROR(__xludf.DUMMYFUNCTION("IMPORTRANGE(""https://docs.google.com/spreadsheets/d/1-uDff_7J0KD5mKrp0Vvzr7lt3OU09vwQwhkpOPPYv2Y/edit?usp=sharing"",""งบพรบ!BX21"")"),0)</f>
        <v>0</v>
      </c>
      <c r="M21" s="87">
        <f t="shared" ca="1" si="30"/>
        <v>0</v>
      </c>
      <c r="N21" s="87">
        <f t="shared" ca="1" si="31"/>
        <v>0</v>
      </c>
      <c r="O21" s="86">
        <f ca="1">IFERROR(__xludf.DUMMYFUNCTION("IMPORTRANGE(""https://docs.google.com/spreadsheets/d/1-uDff_7J0KD5mKrp0Vvzr7lt3OU09vwQwhkpOPPYv2Y/edit?usp=sharing"",""งบพรบ!BY21"")"),0)</f>
        <v>0</v>
      </c>
      <c r="P21" s="86">
        <f t="shared" ca="1" si="32"/>
        <v>0</v>
      </c>
      <c r="Q21" s="87">
        <f t="shared" ca="1" si="33"/>
        <v>0</v>
      </c>
      <c r="R21" s="86">
        <f ca="1">IFERROR(__xludf.DUMMYFUNCTION("IMPORTRANGE(""https://docs.google.com/spreadsheets/d/1xfJKIQxVOaPDIICqsflNlLu3JacTDk1FP9RH4phX7mI/edit?usp=sharing"",""พิจิตร!Q139"")"),0)</f>
        <v>0</v>
      </c>
      <c r="S21" s="86">
        <f ca="1">IFERROR(__xludf.DUMMYFUNCTION("IMPORTRANGE(""https://docs.google.com/spreadsheets/d/1xfJKIQxVOaPDIICqsflNlLu3JacTDk1FP9RH4phX7mI/edit?usp=sharing"",""พิจิตร!R139"")"),0)</f>
        <v>0</v>
      </c>
      <c r="T21" s="86">
        <f ca="1">IFERROR(__xludf.DUMMYFUNCTION("IMPORTRANGE(""https://docs.google.com/spreadsheets/d/1xfJKIQxVOaPDIICqsflNlLu3JacTDk1FP9RH4phX7mI/edit?usp=sharing"",""พิจิตร!S139"")"),0)</f>
        <v>0</v>
      </c>
      <c r="U21" s="87">
        <f t="shared" ca="1" si="35"/>
        <v>0</v>
      </c>
      <c r="V21" s="87">
        <f t="shared" ca="1" si="36"/>
        <v>0</v>
      </c>
      <c r="W21" s="97">
        <f ca="1">IFERROR(__xludf.DUMMYFUNCTION("IMPORTRANGE(""https://docs.google.com/spreadsheets/d/1xfJKIQxVOaPDIICqsflNlLu3JacTDk1FP9RH4phX7mI/edit?usp=sharing"",""พิจิตร!J149"")"),0)</f>
        <v>0</v>
      </c>
      <c r="X21" s="97">
        <f ca="1">IFERROR(__xludf.DUMMYFUNCTION("IMPORTRANGE(""https://docs.google.com/spreadsheets/d/1xfJKIQxVOaPDIICqsflNlLu3JacTDk1FP9RH4phX7mI/edit?usp=sharing"",""พิจิตร!I150"")"),0)</f>
        <v>0</v>
      </c>
      <c r="Y21" s="97">
        <f ca="1">IFERROR(__xludf.DUMMYFUNCTION("IMPORTRANGE(""https://docs.google.com/spreadsheets/d/1xfJKIQxVOaPDIICqsflNlLu3JacTDk1FP9RH4phX7mI/edit?usp=sharing"",""พิจิตร!I151"")"),0)</f>
        <v>0</v>
      </c>
      <c r="Z21" s="97">
        <f ca="1">IFERROR(__xludf.DUMMYFUNCTION("IMPORTRANGE(""https://docs.google.com/spreadsheets/d/1xfJKIQxVOaPDIICqsflNlLu3JacTDk1FP9RH4phX7mI/edit?usp=sharing"",""พิจิตร!J150"")"),0)</f>
        <v>0</v>
      </c>
      <c r="AA21" s="98">
        <f t="shared" ca="1" si="38"/>
        <v>0</v>
      </c>
      <c r="AB21" s="97">
        <f ca="1">IFERROR(__xludf.DUMMYFUNCTION("IMPORTRANGE(""https://docs.google.com/spreadsheets/d/1xfJKIQxVOaPDIICqsflNlLu3JacTDk1FP9RH4phX7mI/edit?usp=sharing"",""พิจิตร!J151"")"),0)</f>
        <v>0</v>
      </c>
      <c r="AC21" s="98">
        <f t="shared" ca="1" si="39"/>
        <v>0</v>
      </c>
      <c r="AD21" s="97">
        <f ca="1">IFERROR(__xludf.DUMMYFUNCTION("IMPORTRANGE(""https://docs.google.com/spreadsheets/d/1xfJKIQxVOaPDIICqsflNlLu3JacTDk1FP9RH4phX7mI/edit?usp=sharing"",""พิจิตร!I152"")"),0)</f>
        <v>0</v>
      </c>
      <c r="AE21" s="97">
        <f ca="1">IFERROR(__xludf.DUMMYFUNCTION("IMPORTRANGE(""https://docs.google.com/spreadsheets/d/1xfJKIQxVOaPDIICqsflNlLu3JacTDk1FP9RH4phX7mI/edit?usp=sharing"",""พิจิตร!I153"")"),0)</f>
        <v>0</v>
      </c>
      <c r="AF21" s="97">
        <f ca="1">IFERROR(__xludf.DUMMYFUNCTION("IMPORTRANGE(""https://docs.google.com/spreadsheets/d/1xfJKIQxVOaPDIICqsflNlLu3JacTDk1FP9RH4phX7mI/edit?usp=sharing"",""พิจิตร!J152"")"),0)</f>
        <v>0</v>
      </c>
      <c r="AG21" s="98">
        <f t="shared" ca="1" si="41"/>
        <v>0</v>
      </c>
      <c r="AH21" s="97">
        <f ca="1">IFERROR(__xludf.DUMMYFUNCTION("IMPORTRANGE(""https://docs.google.com/spreadsheets/d/1xfJKIQxVOaPDIICqsflNlLu3JacTDk1FP9RH4phX7mI/edit?usp=sharing"",""พิจิตร!J153"")"),0)</f>
        <v>0</v>
      </c>
      <c r="AI21" s="98">
        <f t="shared" ca="1" si="42"/>
        <v>0</v>
      </c>
      <c r="AJ21" s="97">
        <f ca="1">IFERROR(__xludf.DUMMYFUNCTION("IMPORTRANGE(""https://docs.google.com/spreadsheets/d/1xfJKIQxVOaPDIICqsflNlLu3JacTDk1FP9RH4phX7mI/edit?usp=sharing"",""พิจิตร!I154"")"),0)</f>
        <v>0</v>
      </c>
      <c r="AK21" s="97">
        <f ca="1">IFERROR(__xludf.DUMMYFUNCTION("IMPORTRANGE(""https://docs.google.com/spreadsheets/d/1xfJKIQxVOaPDIICqsflNlLu3JacTDk1FP9RH4phX7mI/edit?usp=sharing"",""พิจิตร!J154"")"),0)</f>
        <v>0</v>
      </c>
      <c r="AL21" s="98">
        <f t="shared" ca="1" si="44"/>
        <v>0</v>
      </c>
    </row>
    <row r="22" spans="1:38" ht="24" customHeight="1" x14ac:dyDescent="0.3">
      <c r="A22" s="172">
        <v>9</v>
      </c>
      <c r="B22" s="173" t="s">
        <v>48</v>
      </c>
      <c r="C22" s="174">
        <f t="shared" ca="1" si="26"/>
        <v>0</v>
      </c>
      <c r="D22" s="175">
        <f t="shared" ca="1" si="45"/>
        <v>0</v>
      </c>
      <c r="E22" s="176">
        <f ca="1">IFERROR(__xludf.DUMMYFUNCTION("IMPORTRANGE(""https://docs.google.com/spreadsheets/d/1-uDff_7J0KD5mKrp0Vvzr7lt3OU09vwQwhkpOPPYv2Y/edit?usp=sharing"",""งบพรบ!BR22"")"),0)</f>
        <v>0</v>
      </c>
      <c r="F22" s="176">
        <f ca="1">IFERROR(__xludf.DUMMYFUNCTION("IMPORTRANGE(""https://docs.google.com/spreadsheets/d/1-uDff_7J0KD5mKrp0Vvzr7lt3OU09vwQwhkpOPPYv2Y/edit?usp=sharing"",""งบพรบ!BS22"")"),0)</f>
        <v>0</v>
      </c>
      <c r="G22" s="176">
        <f ca="1">IFERROR(__xludf.DUMMYFUNCTION("IMPORTRANGE(""https://docs.google.com/spreadsheets/d/1-uDff_7J0KD5mKrp0Vvzr7lt3OU09vwQwhkpOPPYv2Y/edit?usp=sharing"",""งบพรบ!BT22"")"),0)</f>
        <v>0</v>
      </c>
      <c r="H22" s="176">
        <f ca="1">IFERROR(__xludf.DUMMYFUNCTION("IMPORTRANGE(""https://docs.google.com/spreadsheets/d/1-uDff_7J0KD5mKrp0Vvzr7lt3OU09vwQwhkpOPPYv2Y/edit?usp=sharing"",""งบพรบ!BV22"")"),0)</f>
        <v>0</v>
      </c>
      <c r="I22" s="176">
        <f ca="1">IFERROR(__xludf.DUMMYFUNCTION("IMPORTRANGE(""https://docs.google.com/spreadsheets/d/1-uDff_7J0KD5mKrp0Vvzr7lt3OU09vwQwhkpOPPYv2Y/edit?usp=sharing"",""งบพรบ!BW22"")"),0)</f>
        <v>0</v>
      </c>
      <c r="J22" s="176">
        <f t="shared" ca="1" si="28"/>
        <v>0</v>
      </c>
      <c r="K22" s="179">
        <f t="shared" ca="1" si="29"/>
        <v>0</v>
      </c>
      <c r="L22" s="176">
        <f ca="1">IFERROR(__xludf.DUMMYFUNCTION("IMPORTRANGE(""https://docs.google.com/spreadsheets/d/1-uDff_7J0KD5mKrp0Vvzr7lt3OU09vwQwhkpOPPYv2Y/edit?usp=sharing"",""งบพรบ!BX22"")"),0)</f>
        <v>0</v>
      </c>
      <c r="M22" s="87">
        <f t="shared" ca="1" si="30"/>
        <v>0</v>
      </c>
      <c r="N22" s="87">
        <f t="shared" ca="1" si="31"/>
        <v>0</v>
      </c>
      <c r="O22" s="86">
        <f ca="1">IFERROR(__xludf.DUMMYFUNCTION("IMPORTRANGE(""https://docs.google.com/spreadsheets/d/1-uDff_7J0KD5mKrp0Vvzr7lt3OU09vwQwhkpOPPYv2Y/edit?usp=sharing"",""งบพรบ!BY22"")"),0)</f>
        <v>0</v>
      </c>
      <c r="P22" s="86">
        <f t="shared" ca="1" si="32"/>
        <v>0</v>
      </c>
      <c r="Q22" s="87">
        <f t="shared" ca="1" si="33"/>
        <v>0</v>
      </c>
      <c r="R22" s="86">
        <f ca="1">IFERROR(__xludf.DUMMYFUNCTION("IMPORTRANGE(""https://docs.google.com/spreadsheets/d/1JtRfZkJMHtEhI5RdRHxYUG4FIZHqKDpNyIuN7A1Q0_k/edit?usp=sharing"",""พิษณุโลก!Q139"")"),0)</f>
        <v>0</v>
      </c>
      <c r="S22" s="86">
        <f ca="1">IFERROR(__xludf.DUMMYFUNCTION("IMPORTRANGE(""https://docs.google.com/spreadsheets/d/1JtRfZkJMHtEhI5RdRHxYUG4FIZHqKDpNyIuN7A1Q0_k/edit?usp=sharing"",""พิษณุโลก!R139"")"),0)</f>
        <v>0</v>
      </c>
      <c r="T22" s="86">
        <f ca="1">IFERROR(__xludf.DUMMYFUNCTION("IMPORTRANGE(""https://docs.google.com/spreadsheets/d/1JtRfZkJMHtEhI5RdRHxYUG4FIZHqKDpNyIuN7A1Q0_k/edit?usp=sharing"",""พิษณุโลก!S139"")"),0)</f>
        <v>0</v>
      </c>
      <c r="U22" s="87">
        <f t="shared" ca="1" si="35"/>
        <v>0</v>
      </c>
      <c r="V22" s="87">
        <f t="shared" ca="1" si="36"/>
        <v>0</v>
      </c>
      <c r="W22" s="97">
        <f ca="1">IFERROR(__xludf.DUMMYFUNCTION("IMPORTRANGE(""https://docs.google.com/spreadsheets/d/1JtRfZkJMHtEhI5RdRHxYUG4FIZHqKDpNyIuN7A1Q0_k/edit?usp=sharing"",""พิษณุโลก!J149"")"),0)</f>
        <v>0</v>
      </c>
      <c r="X22" s="97">
        <f ca="1">IFERROR(__xludf.DUMMYFUNCTION("IMPORTRANGE(""https://docs.google.com/spreadsheets/d/1JtRfZkJMHtEhI5RdRHxYUG4FIZHqKDpNyIuN7A1Q0_k/edit?usp=sharing"",""พิษณุโลก!I150"")"),0)</f>
        <v>0</v>
      </c>
      <c r="Y22" s="97">
        <f ca="1">IFERROR(__xludf.DUMMYFUNCTION("IMPORTRANGE(""https://docs.google.com/spreadsheets/d/1JtRfZkJMHtEhI5RdRHxYUG4FIZHqKDpNyIuN7A1Q0_k/edit?usp=sharing"",""พิษณุโลก!I151"")"),0)</f>
        <v>0</v>
      </c>
      <c r="Z22" s="97">
        <f ca="1">IFERROR(__xludf.DUMMYFUNCTION("IMPORTRANGE(""https://docs.google.com/spreadsheets/d/1JtRfZkJMHtEhI5RdRHxYUG4FIZHqKDpNyIuN7A1Q0_k/edit?usp=sharing"",""พิษณุโลก!J150"")"),0)</f>
        <v>0</v>
      </c>
      <c r="AA22" s="98">
        <f t="shared" ca="1" si="38"/>
        <v>0</v>
      </c>
      <c r="AB22" s="97">
        <f ca="1">IFERROR(__xludf.DUMMYFUNCTION("IMPORTRANGE(""https://docs.google.com/spreadsheets/d/1JtRfZkJMHtEhI5RdRHxYUG4FIZHqKDpNyIuN7A1Q0_k/edit?usp=sharing"",""พิษณุโลก!J151"")"),0)</f>
        <v>0</v>
      </c>
      <c r="AC22" s="98">
        <f t="shared" ca="1" si="39"/>
        <v>0</v>
      </c>
      <c r="AD22" s="97">
        <f ca="1">IFERROR(__xludf.DUMMYFUNCTION("IMPORTRANGE(""https://docs.google.com/spreadsheets/d/1JtRfZkJMHtEhI5RdRHxYUG4FIZHqKDpNyIuN7A1Q0_k/edit?usp=sharing"",""พิษณุโลก!I152"")"),0)</f>
        <v>0</v>
      </c>
      <c r="AE22" s="97">
        <f ca="1">IFERROR(__xludf.DUMMYFUNCTION("IMPORTRANGE(""https://docs.google.com/spreadsheets/d/1JtRfZkJMHtEhI5RdRHxYUG4FIZHqKDpNyIuN7A1Q0_k/edit?usp=sharing"",""พิษณุโลก!I153"")"),0)</f>
        <v>0</v>
      </c>
      <c r="AF22" s="97">
        <f ca="1">IFERROR(__xludf.DUMMYFUNCTION("IMPORTRANGE(""https://docs.google.com/spreadsheets/d/1JtRfZkJMHtEhI5RdRHxYUG4FIZHqKDpNyIuN7A1Q0_k/edit?usp=sharing"",""พิษณุโลก!J152"")"),0)</f>
        <v>0</v>
      </c>
      <c r="AG22" s="98">
        <f t="shared" ca="1" si="41"/>
        <v>0</v>
      </c>
      <c r="AH22" s="97">
        <f ca="1">IFERROR(__xludf.DUMMYFUNCTION("IMPORTRANGE(""https://docs.google.com/spreadsheets/d/1JtRfZkJMHtEhI5RdRHxYUG4FIZHqKDpNyIuN7A1Q0_k/edit?usp=sharing"",""พิษณุโลก!J153"")"),0)</f>
        <v>0</v>
      </c>
      <c r="AI22" s="98">
        <f t="shared" ca="1" si="42"/>
        <v>0</v>
      </c>
      <c r="AJ22" s="97">
        <f ca="1">IFERROR(__xludf.DUMMYFUNCTION("IMPORTRANGE(""https://docs.google.com/spreadsheets/d/1JtRfZkJMHtEhI5RdRHxYUG4FIZHqKDpNyIuN7A1Q0_k/edit?usp=sharing"",""พิษณุโลก!I154"")"),0)</f>
        <v>0</v>
      </c>
      <c r="AK22" s="97">
        <f ca="1">IFERROR(__xludf.DUMMYFUNCTION("IMPORTRANGE(""https://docs.google.com/spreadsheets/d/1JtRfZkJMHtEhI5RdRHxYUG4FIZHqKDpNyIuN7A1Q0_k/edit?usp=sharing"",""พิษณุโลก!J154"")"),0)</f>
        <v>0</v>
      </c>
      <c r="AL22" s="98">
        <f t="shared" ca="1" si="44"/>
        <v>0</v>
      </c>
    </row>
    <row r="23" spans="1:38" ht="24" customHeight="1" x14ac:dyDescent="0.3">
      <c r="A23" s="172">
        <v>10</v>
      </c>
      <c r="B23" s="173" t="s">
        <v>49</v>
      </c>
      <c r="C23" s="174">
        <f t="shared" ca="1" si="26"/>
        <v>23300</v>
      </c>
      <c r="D23" s="175">
        <f t="shared" ca="1" si="45"/>
        <v>23300</v>
      </c>
      <c r="E23" s="176">
        <f ca="1">IFERROR(__xludf.DUMMYFUNCTION("IMPORTRANGE(""https://docs.google.com/spreadsheets/d/1-uDff_7J0KD5mKrp0Vvzr7lt3OU09vwQwhkpOPPYv2Y/edit?usp=sharing"",""งบพรบ!BR23"")"),0)</f>
        <v>0</v>
      </c>
      <c r="F23" s="176">
        <f ca="1">IFERROR(__xludf.DUMMYFUNCTION("IMPORTRANGE(""https://docs.google.com/spreadsheets/d/1-uDff_7J0KD5mKrp0Vvzr7lt3OU09vwQwhkpOPPYv2Y/edit?usp=sharing"",""งบพรบ!BS23"")"),23300)</f>
        <v>23300</v>
      </c>
      <c r="G23" s="176">
        <f ca="1">IFERROR(__xludf.DUMMYFUNCTION("IMPORTRANGE(""https://docs.google.com/spreadsheets/d/1-uDff_7J0KD5mKrp0Vvzr7lt3OU09vwQwhkpOPPYv2Y/edit?usp=sharing"",""งบพรบ!BT23"")"),0)</f>
        <v>0</v>
      </c>
      <c r="H23" s="176">
        <f ca="1">IFERROR(__xludf.DUMMYFUNCTION("IMPORTRANGE(""https://docs.google.com/spreadsheets/d/1-uDff_7J0KD5mKrp0Vvzr7lt3OU09vwQwhkpOPPYv2Y/edit?usp=sharing"",""งบพรบ!BV23"")"),18300)</f>
        <v>18300</v>
      </c>
      <c r="I23" s="176">
        <f ca="1">IFERROR(__xludf.DUMMYFUNCTION("IMPORTRANGE(""https://docs.google.com/spreadsheets/d/1-uDff_7J0KD5mKrp0Vvzr7lt3OU09vwQwhkpOPPYv2Y/edit?usp=sharing"",""งบพรบ!BW23"")"),0)</f>
        <v>0</v>
      </c>
      <c r="J23" s="176">
        <f t="shared" ca="1" si="28"/>
        <v>17920</v>
      </c>
      <c r="K23" s="179">
        <f t="shared" ca="1" si="29"/>
        <v>76.909871244635198</v>
      </c>
      <c r="L23" s="176">
        <f ca="1">IFERROR(__xludf.DUMMYFUNCTION("IMPORTRANGE(""https://docs.google.com/spreadsheets/d/1-uDff_7J0KD5mKrp0Vvzr7lt3OU09vwQwhkpOPPYv2Y/edit?usp=sharing"",""งบพรบ!BX23"")"),17920)</f>
        <v>17920</v>
      </c>
      <c r="M23" s="87">
        <f t="shared" ca="1" si="30"/>
        <v>76.909871244635198</v>
      </c>
      <c r="N23" s="87">
        <f t="shared" ca="1" si="31"/>
        <v>97.923497267759558</v>
      </c>
      <c r="O23" s="86">
        <f ca="1">IFERROR(__xludf.DUMMYFUNCTION("IMPORTRANGE(""https://docs.google.com/spreadsheets/d/1-uDff_7J0KD5mKrp0Vvzr7lt3OU09vwQwhkpOPPYv2Y/edit?usp=sharing"",""งบพรบ!BY23"")"),0)</f>
        <v>0</v>
      </c>
      <c r="P23" s="86">
        <f t="shared" ca="1" si="32"/>
        <v>0</v>
      </c>
      <c r="Q23" s="87">
        <f t="shared" ca="1" si="33"/>
        <v>0</v>
      </c>
      <c r="R23" s="86">
        <f ca="1">IFERROR(__xludf.DUMMYFUNCTION("IMPORTRANGE(""https://docs.google.com/spreadsheets/d/1xlcVZWUNn6SuWm0c307h32SiGkd9BaeQWlAktfD3KO8/edit?usp=sharing"",""เพชรบูรณ์!Q139"")"),0)</f>
        <v>0</v>
      </c>
      <c r="S23" s="86">
        <f ca="1">IFERROR(__xludf.DUMMYFUNCTION("IMPORTRANGE(""https://docs.google.com/spreadsheets/d/1xlcVZWUNn6SuWm0c307h32SiGkd9BaeQWlAktfD3KO8/edit?usp=sharing"",""เพชรบูรณ์!R139"")"),0)</f>
        <v>0</v>
      </c>
      <c r="T23" s="86">
        <f ca="1">IFERROR(__xludf.DUMMYFUNCTION("IMPORTRANGE(""https://docs.google.com/spreadsheets/d/1xlcVZWUNn6SuWm0c307h32SiGkd9BaeQWlAktfD3KO8/edit?usp=sharing"",""เพชรบูรณ์!S139"")"),0)</f>
        <v>0</v>
      </c>
      <c r="U23" s="87">
        <f t="shared" ca="1" si="35"/>
        <v>0</v>
      </c>
      <c r="V23" s="87">
        <f t="shared" ca="1" si="36"/>
        <v>0</v>
      </c>
      <c r="W23" s="97">
        <f ca="1">IFERROR(__xludf.DUMMYFUNCTION("IMPORTRANGE(""https://docs.google.com/spreadsheets/d/1xlcVZWUNn6SuWm0c307h32SiGkd9BaeQWlAktfD3KO8/edit?usp=sharing"",""เพชรบูรณ์!J149"")"),0)</f>
        <v>0</v>
      </c>
      <c r="X23" s="97">
        <f ca="1">IFERROR(__xludf.DUMMYFUNCTION("IMPORTRANGE(""https://docs.google.com/spreadsheets/d/1xlcVZWUNn6SuWm0c307h32SiGkd9BaeQWlAktfD3KO8/edit?usp=sharing"",""เพชรบูรณ์!I150"")"),0)</f>
        <v>0</v>
      </c>
      <c r="Y23" s="97">
        <f ca="1">IFERROR(__xludf.DUMMYFUNCTION("IMPORTRANGE(""https://docs.google.com/spreadsheets/d/1xlcVZWUNn6SuWm0c307h32SiGkd9BaeQWlAktfD3KO8/edit?usp=sharing"",""เพชรบูรณ์!I151"")"),0)</f>
        <v>0</v>
      </c>
      <c r="Z23" s="97">
        <f ca="1">IFERROR(__xludf.DUMMYFUNCTION("IMPORTRANGE(""https://docs.google.com/spreadsheets/d/1xlcVZWUNn6SuWm0c307h32SiGkd9BaeQWlAktfD3KO8/edit?usp=sharing"",""เพชรบูรณ์!J150"")"),0)</f>
        <v>0</v>
      </c>
      <c r="AA23" s="98">
        <f t="shared" ca="1" si="38"/>
        <v>0</v>
      </c>
      <c r="AB23" s="97">
        <f ca="1">IFERROR(__xludf.DUMMYFUNCTION("IMPORTRANGE(""https://docs.google.com/spreadsheets/d/1xlcVZWUNn6SuWm0c307h32SiGkd9BaeQWlAktfD3KO8/edit?usp=sharing"",""เพชรบูรณ์!J151"")"),0)</f>
        <v>0</v>
      </c>
      <c r="AC23" s="98">
        <f t="shared" ca="1" si="39"/>
        <v>0</v>
      </c>
      <c r="AD23" s="97">
        <f ca="1">IFERROR(__xludf.DUMMYFUNCTION("IMPORTRANGE(""https://docs.google.com/spreadsheets/d/1xlcVZWUNn6SuWm0c307h32SiGkd9BaeQWlAktfD3KO8/edit?usp=sharing"",""เพชรบูรณ์!I152"")"),10)</f>
        <v>10</v>
      </c>
      <c r="AE23" s="97">
        <f ca="1">IFERROR(__xludf.DUMMYFUNCTION("IMPORTRANGE(""https://docs.google.com/spreadsheets/d/1xlcVZWUNn6SuWm0c307h32SiGkd9BaeQWlAktfD3KO8/edit?usp=sharing"",""เพชรบูรณ์!I153"")"),1)</f>
        <v>1</v>
      </c>
      <c r="AF23" s="97">
        <f ca="1">IFERROR(__xludf.DUMMYFUNCTION("IMPORTRANGE(""https://docs.google.com/spreadsheets/d/1xlcVZWUNn6SuWm0c307h32SiGkd9BaeQWlAktfD3KO8/edit?usp=sharing"",""เพชรบูรณ์!J152"")"),10)</f>
        <v>10</v>
      </c>
      <c r="AG23" s="98">
        <f t="shared" ca="1" si="41"/>
        <v>100</v>
      </c>
      <c r="AH23" s="97">
        <f ca="1">IFERROR(__xludf.DUMMYFUNCTION("IMPORTRANGE(""https://docs.google.com/spreadsheets/d/1xlcVZWUNn6SuWm0c307h32SiGkd9BaeQWlAktfD3KO8/edit?usp=sharing"",""เพชรบูรณ์!J153"")"),1)</f>
        <v>1</v>
      </c>
      <c r="AI23" s="98">
        <f t="shared" ca="1" si="42"/>
        <v>100</v>
      </c>
      <c r="AJ23" s="97">
        <f ca="1">IFERROR(__xludf.DUMMYFUNCTION("IMPORTRANGE(""https://docs.google.com/spreadsheets/d/1xlcVZWUNn6SuWm0c307h32SiGkd9BaeQWlAktfD3KO8/edit?usp=sharing"",""เพชรบูรณ์!I154"")"),0)</f>
        <v>0</v>
      </c>
      <c r="AK23" s="97">
        <f ca="1">IFERROR(__xludf.DUMMYFUNCTION("IMPORTRANGE(""https://docs.google.com/spreadsheets/d/1xlcVZWUNn6SuWm0c307h32SiGkd9BaeQWlAktfD3KO8/edit?usp=sharing"",""เพชรบูรณ์!J154"")"),0)</f>
        <v>0</v>
      </c>
      <c r="AL23" s="98">
        <f t="shared" ca="1" si="44"/>
        <v>0</v>
      </c>
    </row>
    <row r="24" spans="1:38" ht="24" customHeight="1" x14ac:dyDescent="0.3">
      <c r="A24" s="172">
        <v>11</v>
      </c>
      <c r="B24" s="173" t="s">
        <v>50</v>
      </c>
      <c r="C24" s="174">
        <f t="shared" ca="1" si="26"/>
        <v>164700</v>
      </c>
      <c r="D24" s="175">
        <f t="shared" ca="1" si="45"/>
        <v>164700</v>
      </c>
      <c r="E24" s="176">
        <f ca="1">IFERROR(__xludf.DUMMYFUNCTION("IMPORTRANGE(""https://docs.google.com/spreadsheets/d/1-uDff_7J0KD5mKrp0Vvzr7lt3OU09vwQwhkpOPPYv2Y/edit?usp=sharing"",""งบพรบ!BR24"")"),81600)</f>
        <v>81600</v>
      </c>
      <c r="F24" s="176">
        <f ca="1">IFERROR(__xludf.DUMMYFUNCTION("IMPORTRANGE(""https://docs.google.com/spreadsheets/d/1-uDff_7J0KD5mKrp0Vvzr7lt3OU09vwQwhkpOPPYv2Y/edit?usp=sharing"",""งบพรบ!BS24"")"),83100)</f>
        <v>83100</v>
      </c>
      <c r="G24" s="176">
        <f ca="1">IFERROR(__xludf.DUMMYFUNCTION("IMPORTRANGE(""https://docs.google.com/spreadsheets/d/1-uDff_7J0KD5mKrp0Vvzr7lt3OU09vwQwhkpOPPYv2Y/edit?usp=sharing"",""งบพรบ!BT24"")"),0)</f>
        <v>0</v>
      </c>
      <c r="H24" s="176">
        <f ca="1">IFERROR(__xludf.DUMMYFUNCTION("IMPORTRANGE(""https://docs.google.com/spreadsheets/d/1-uDff_7J0KD5mKrp0Vvzr7lt3OU09vwQwhkpOPPYv2Y/edit?usp=sharing"",""งบพรบ!BV24"")"),159700)</f>
        <v>159700</v>
      </c>
      <c r="I24" s="176">
        <f ca="1">IFERROR(__xludf.DUMMYFUNCTION("IMPORTRANGE(""https://docs.google.com/spreadsheets/d/1-uDff_7J0KD5mKrp0Vvzr7lt3OU09vwQwhkpOPPYv2Y/edit?usp=sharing"",""งบพรบ!BW24"")"),0)</f>
        <v>0</v>
      </c>
      <c r="J24" s="176">
        <f t="shared" ca="1" si="28"/>
        <v>28950</v>
      </c>
      <c r="K24" s="179">
        <f t="shared" ca="1" si="29"/>
        <v>17.577413479052822</v>
      </c>
      <c r="L24" s="176">
        <f ca="1">IFERROR(__xludf.DUMMYFUNCTION("IMPORTRANGE(""https://docs.google.com/spreadsheets/d/1-uDff_7J0KD5mKrp0Vvzr7lt3OU09vwQwhkpOPPYv2Y/edit?usp=sharing"",""งบพรบ!BX24"")"),28950)</f>
        <v>28950</v>
      </c>
      <c r="M24" s="87">
        <f t="shared" ca="1" si="30"/>
        <v>17.577413479052822</v>
      </c>
      <c r="N24" s="87">
        <f t="shared" ca="1" si="31"/>
        <v>18.12773951158422</v>
      </c>
      <c r="O24" s="86">
        <f ca="1">IFERROR(__xludf.DUMMYFUNCTION("IMPORTRANGE(""https://docs.google.com/spreadsheets/d/1-uDff_7J0KD5mKrp0Vvzr7lt3OU09vwQwhkpOPPYv2Y/edit?usp=sharing"",""งบพรบ!BY24"")"),0)</f>
        <v>0</v>
      </c>
      <c r="P24" s="86">
        <f t="shared" ca="1" si="32"/>
        <v>0</v>
      </c>
      <c r="Q24" s="87">
        <f t="shared" ca="1" si="33"/>
        <v>0</v>
      </c>
      <c r="R24" s="86">
        <f ca="1">IFERROR(__xludf.DUMMYFUNCTION("IMPORTRANGE(""https://docs.google.com/spreadsheets/d/1lOVebEIsI9qjGXl6EX66luk7wiuP2tBaryw-wKvv4e0/edit?usp=sharing"",""แพร่!Q139"")"),0)</f>
        <v>0</v>
      </c>
      <c r="S24" s="86">
        <f ca="1">IFERROR(__xludf.DUMMYFUNCTION("IMPORTRANGE(""https://docs.google.com/spreadsheets/d/1lOVebEIsI9qjGXl6EX66luk7wiuP2tBaryw-wKvv4e0/edit?usp=sharing"",""แพร่!R139"")"),0)</f>
        <v>0</v>
      </c>
      <c r="T24" s="86">
        <f ca="1">IFERROR(__xludf.DUMMYFUNCTION("IMPORTRANGE(""https://docs.google.com/spreadsheets/d/1lOVebEIsI9qjGXl6EX66luk7wiuP2tBaryw-wKvv4e0/edit?usp=sharing"",""แพร่!S139"")"),0)</f>
        <v>0</v>
      </c>
      <c r="U24" s="87">
        <f t="shared" ca="1" si="35"/>
        <v>0</v>
      </c>
      <c r="V24" s="87">
        <f t="shared" ca="1" si="36"/>
        <v>0</v>
      </c>
      <c r="W24" s="97">
        <f ca="1">IFERROR(__xludf.DUMMYFUNCTION("IMPORTRANGE(""https://docs.google.com/spreadsheets/d/1lOVebEIsI9qjGXl6EX66luk7wiuP2tBaryw-wKvv4e0/edit?usp=sharing"",""แพร่!J149"")"),0)</f>
        <v>0</v>
      </c>
      <c r="X24" s="97">
        <f ca="1">IFERROR(__xludf.DUMMYFUNCTION("IMPORTRANGE(""https://docs.google.com/spreadsheets/d/1lOVebEIsI9qjGXl6EX66luk7wiuP2tBaryw-wKvv4e0/edit?usp=sharing"",""แพร่!I150"")"),10)</f>
        <v>10</v>
      </c>
      <c r="Y24" s="97">
        <f ca="1">IFERROR(__xludf.DUMMYFUNCTION("IMPORTRANGE(""https://docs.google.com/spreadsheets/d/1lOVebEIsI9qjGXl6EX66luk7wiuP2tBaryw-wKvv4e0/edit?usp=sharing"",""แพร่!I151"")"),1)</f>
        <v>1</v>
      </c>
      <c r="Z24" s="97">
        <f ca="1">IFERROR(__xludf.DUMMYFUNCTION("IMPORTRANGE(""https://docs.google.com/spreadsheets/d/1lOVebEIsI9qjGXl6EX66luk7wiuP2tBaryw-wKvv4e0/edit?usp=sharing"",""แพร่!J150"")"),0)</f>
        <v>0</v>
      </c>
      <c r="AA24" s="98">
        <f t="shared" ca="1" si="38"/>
        <v>0</v>
      </c>
      <c r="AB24" s="97">
        <f ca="1">IFERROR(__xludf.DUMMYFUNCTION("IMPORTRANGE(""https://docs.google.com/spreadsheets/d/1lOVebEIsI9qjGXl6EX66luk7wiuP2tBaryw-wKvv4e0/edit?usp=sharing"",""แพร่!J151"")"),0)</f>
        <v>0</v>
      </c>
      <c r="AC24" s="98">
        <f t="shared" ca="1" si="39"/>
        <v>0</v>
      </c>
      <c r="AD24" s="97">
        <f ca="1">IFERROR(__xludf.DUMMYFUNCTION("IMPORTRANGE(""https://docs.google.com/spreadsheets/d/1lOVebEIsI9qjGXl6EX66luk7wiuP2tBaryw-wKvv4e0/edit?usp=sharing"",""แพร่!I152"")"),60)</f>
        <v>60</v>
      </c>
      <c r="AE24" s="97">
        <f ca="1">IFERROR(__xludf.DUMMYFUNCTION("IMPORTRANGE(""https://docs.google.com/spreadsheets/d/1lOVebEIsI9qjGXl6EX66luk7wiuP2tBaryw-wKvv4e0/edit?usp=sharing"",""แพร่!I153"")"),6)</f>
        <v>6</v>
      </c>
      <c r="AF24" s="97">
        <f ca="1">IFERROR(__xludf.DUMMYFUNCTION("IMPORTRANGE(""https://docs.google.com/spreadsheets/d/1lOVebEIsI9qjGXl6EX66luk7wiuP2tBaryw-wKvv4e0/edit?usp=sharing"",""แพร่!J152"")"),0)</f>
        <v>0</v>
      </c>
      <c r="AG24" s="98">
        <f t="shared" ca="1" si="41"/>
        <v>0</v>
      </c>
      <c r="AH24" s="97">
        <f ca="1">IFERROR(__xludf.DUMMYFUNCTION("IMPORTRANGE(""https://docs.google.com/spreadsheets/d/1lOVebEIsI9qjGXl6EX66luk7wiuP2tBaryw-wKvv4e0/edit?usp=sharing"",""แพร่!J153"")"),0)</f>
        <v>0</v>
      </c>
      <c r="AI24" s="98">
        <f t="shared" ca="1" si="42"/>
        <v>0</v>
      </c>
      <c r="AJ24" s="97">
        <f ca="1">IFERROR(__xludf.DUMMYFUNCTION("IMPORTRANGE(""https://docs.google.com/spreadsheets/d/1lOVebEIsI9qjGXl6EX66luk7wiuP2tBaryw-wKvv4e0/edit?usp=sharing"",""แพร่!I154"")"),1)</f>
        <v>1</v>
      </c>
      <c r="AK24" s="97">
        <f ca="1">IFERROR(__xludf.DUMMYFUNCTION("IMPORTRANGE(""https://docs.google.com/spreadsheets/d/1lOVebEIsI9qjGXl6EX66luk7wiuP2tBaryw-wKvv4e0/edit?usp=sharing"",""แพร่!J154"")"),0)</f>
        <v>0</v>
      </c>
      <c r="AL24" s="98">
        <f t="shared" ca="1" si="44"/>
        <v>0</v>
      </c>
    </row>
    <row r="25" spans="1:38" ht="24" customHeight="1" x14ac:dyDescent="0.3">
      <c r="A25" s="172">
        <v>12</v>
      </c>
      <c r="B25" s="173" t="s">
        <v>51</v>
      </c>
      <c r="C25" s="174">
        <f t="shared" ca="1" si="26"/>
        <v>0</v>
      </c>
      <c r="D25" s="175">
        <f t="shared" ca="1" si="45"/>
        <v>0</v>
      </c>
      <c r="E25" s="176">
        <f ca="1">IFERROR(__xludf.DUMMYFUNCTION("IMPORTRANGE(""https://docs.google.com/spreadsheets/d/1-uDff_7J0KD5mKrp0Vvzr7lt3OU09vwQwhkpOPPYv2Y/edit?usp=sharing"",""งบพรบ!BR25"")"),0)</f>
        <v>0</v>
      </c>
      <c r="F25" s="176">
        <f ca="1">IFERROR(__xludf.DUMMYFUNCTION("IMPORTRANGE(""https://docs.google.com/spreadsheets/d/1-uDff_7J0KD5mKrp0Vvzr7lt3OU09vwQwhkpOPPYv2Y/edit?usp=sharing"",""งบพรบ!BS25"")"),0)</f>
        <v>0</v>
      </c>
      <c r="G25" s="176">
        <f ca="1">IFERROR(__xludf.DUMMYFUNCTION("IMPORTRANGE(""https://docs.google.com/spreadsheets/d/1-uDff_7J0KD5mKrp0Vvzr7lt3OU09vwQwhkpOPPYv2Y/edit?usp=sharing"",""งบพรบ!BT25"")"),0)</f>
        <v>0</v>
      </c>
      <c r="H25" s="176">
        <f ca="1">IFERROR(__xludf.DUMMYFUNCTION("IMPORTRANGE(""https://docs.google.com/spreadsheets/d/1-uDff_7J0KD5mKrp0Vvzr7lt3OU09vwQwhkpOPPYv2Y/edit?usp=sharing"",""งบพรบ!BV25"")"),0)</f>
        <v>0</v>
      </c>
      <c r="I25" s="176">
        <f ca="1">IFERROR(__xludf.DUMMYFUNCTION("IMPORTRANGE(""https://docs.google.com/spreadsheets/d/1-uDff_7J0KD5mKrp0Vvzr7lt3OU09vwQwhkpOPPYv2Y/edit?usp=sharing"",""งบพรบ!BW25"")"),0)</f>
        <v>0</v>
      </c>
      <c r="J25" s="176">
        <f t="shared" ca="1" si="28"/>
        <v>0</v>
      </c>
      <c r="K25" s="179">
        <f t="shared" ca="1" si="29"/>
        <v>0</v>
      </c>
      <c r="L25" s="176">
        <f ca="1">IFERROR(__xludf.DUMMYFUNCTION("IMPORTRANGE(""https://docs.google.com/spreadsheets/d/1-uDff_7J0KD5mKrp0Vvzr7lt3OU09vwQwhkpOPPYv2Y/edit?usp=sharing"",""งบพรบ!BX25"")"),0)</f>
        <v>0</v>
      </c>
      <c r="M25" s="87">
        <f t="shared" ca="1" si="30"/>
        <v>0</v>
      </c>
      <c r="N25" s="87">
        <f t="shared" ca="1" si="31"/>
        <v>0</v>
      </c>
      <c r="O25" s="86">
        <f ca="1">IFERROR(__xludf.DUMMYFUNCTION("IMPORTRANGE(""https://docs.google.com/spreadsheets/d/1-uDff_7J0KD5mKrp0Vvzr7lt3OU09vwQwhkpOPPYv2Y/edit?usp=sharing"",""งบพรบ!BY25"")"),0)</f>
        <v>0</v>
      </c>
      <c r="P25" s="86">
        <f t="shared" ca="1" si="32"/>
        <v>0</v>
      </c>
      <c r="Q25" s="87">
        <f t="shared" ca="1" si="33"/>
        <v>0</v>
      </c>
      <c r="R25" s="86">
        <f ca="1">IFERROR(__xludf.DUMMYFUNCTION("IMPORTRANGE(""https://docs.google.com/spreadsheets/d/1dQrvX0vEcN7Gu0fnZ0B5S90AeR19zth4XlExFBeExMY/edit?usp=sharing"",""แม่ฮ่องสอน!Q139"")"),0)</f>
        <v>0</v>
      </c>
      <c r="S25" s="86">
        <f ca="1">IFERROR(__xludf.DUMMYFUNCTION("IMPORTRANGE(""https://docs.google.com/spreadsheets/d/1dQrvX0vEcN7Gu0fnZ0B5S90AeR19zth4XlExFBeExMY/edit?usp=sharing"",""แม่ฮ่องสอน!R139"")"),0)</f>
        <v>0</v>
      </c>
      <c r="T25" s="86">
        <f ca="1">IFERROR(__xludf.DUMMYFUNCTION("IMPORTRANGE(""https://docs.google.com/spreadsheets/d/1dQrvX0vEcN7Gu0fnZ0B5S90AeR19zth4XlExFBeExMY/edit?usp=sharing"",""แม่ฮ่องสอน!S139"")"),0)</f>
        <v>0</v>
      </c>
      <c r="U25" s="87">
        <f t="shared" ca="1" si="35"/>
        <v>0</v>
      </c>
      <c r="V25" s="87">
        <f t="shared" ca="1" si="36"/>
        <v>0</v>
      </c>
      <c r="W25" s="97">
        <f ca="1">IFERROR(__xludf.DUMMYFUNCTION("IMPORTRANGE(""https://docs.google.com/spreadsheets/d/1dQrvX0vEcN7Gu0fnZ0B5S90AeR19zth4XlExFBeExMY/edit?usp=sharing"",""แม่ฮ่องสอน!J149"")"),0)</f>
        <v>0</v>
      </c>
      <c r="X25" s="97">
        <f ca="1">IFERROR(__xludf.DUMMYFUNCTION("IMPORTRANGE(""https://docs.google.com/spreadsheets/d/1dQrvX0vEcN7Gu0fnZ0B5S90AeR19zth4XlExFBeExMY/edit?usp=sharing"",""แม่ฮ่องสอน!I150"")"),0)</f>
        <v>0</v>
      </c>
      <c r="Y25" s="97">
        <f ca="1">IFERROR(__xludf.DUMMYFUNCTION("IMPORTRANGE(""https://docs.google.com/spreadsheets/d/1dQrvX0vEcN7Gu0fnZ0B5S90AeR19zth4XlExFBeExMY/edit?usp=sharing"",""แม่ฮ่องสอน!I151"")"),0)</f>
        <v>0</v>
      </c>
      <c r="Z25" s="97">
        <f ca="1">IFERROR(__xludf.DUMMYFUNCTION("IMPORTRANGE(""https://docs.google.com/spreadsheets/d/1dQrvX0vEcN7Gu0fnZ0B5S90AeR19zth4XlExFBeExMY/edit?usp=sharing"",""แม่ฮ่องสอน!J150"")"),0)</f>
        <v>0</v>
      </c>
      <c r="AA25" s="98">
        <f t="shared" ca="1" si="38"/>
        <v>0</v>
      </c>
      <c r="AB25" s="97">
        <f ca="1">IFERROR(__xludf.DUMMYFUNCTION("IMPORTRANGE(""https://docs.google.com/spreadsheets/d/1dQrvX0vEcN7Gu0fnZ0B5S90AeR19zth4XlExFBeExMY/edit?usp=sharing"",""แม่ฮ่องสอน!J151"")"),0)</f>
        <v>0</v>
      </c>
      <c r="AC25" s="98">
        <f t="shared" ca="1" si="39"/>
        <v>0</v>
      </c>
      <c r="AD25" s="97">
        <f ca="1">IFERROR(__xludf.DUMMYFUNCTION("IMPORTRANGE(""https://docs.google.com/spreadsheets/d/1dQrvX0vEcN7Gu0fnZ0B5S90AeR19zth4XlExFBeExMY/edit?usp=sharing"",""แม่ฮ่องสอน!I152"")"),0)</f>
        <v>0</v>
      </c>
      <c r="AE25" s="97">
        <f ca="1">IFERROR(__xludf.DUMMYFUNCTION("IMPORTRANGE(""https://docs.google.com/spreadsheets/d/1dQrvX0vEcN7Gu0fnZ0B5S90AeR19zth4XlExFBeExMY/edit?usp=sharing"",""แม่ฮ่องสอน!I153"")"),0)</f>
        <v>0</v>
      </c>
      <c r="AF25" s="97">
        <f ca="1">IFERROR(__xludf.DUMMYFUNCTION("IMPORTRANGE(""https://docs.google.com/spreadsheets/d/1dQrvX0vEcN7Gu0fnZ0B5S90AeR19zth4XlExFBeExMY/edit?usp=sharing"",""แม่ฮ่องสอน!J152"")"),0)</f>
        <v>0</v>
      </c>
      <c r="AG25" s="98">
        <f t="shared" ca="1" si="41"/>
        <v>0</v>
      </c>
      <c r="AH25" s="97">
        <f ca="1">IFERROR(__xludf.DUMMYFUNCTION("IMPORTRANGE(""https://docs.google.com/spreadsheets/d/1dQrvX0vEcN7Gu0fnZ0B5S90AeR19zth4XlExFBeExMY/edit?usp=sharing"",""แม่ฮ่องสอน!J153"")"),0)</f>
        <v>0</v>
      </c>
      <c r="AI25" s="98">
        <f t="shared" ca="1" si="42"/>
        <v>0</v>
      </c>
      <c r="AJ25" s="97">
        <f ca="1">IFERROR(__xludf.DUMMYFUNCTION("IMPORTRANGE(""https://docs.google.com/spreadsheets/d/1dQrvX0vEcN7Gu0fnZ0B5S90AeR19zth4XlExFBeExMY/edit?usp=sharing"",""แม่ฮ่องสอน!I154"")"),0)</f>
        <v>0</v>
      </c>
      <c r="AK25" s="97">
        <f ca="1">IFERROR(__xludf.DUMMYFUNCTION("IMPORTRANGE(""https://docs.google.com/spreadsheets/d/1dQrvX0vEcN7Gu0fnZ0B5S90AeR19zth4XlExFBeExMY/edit?usp=sharing"",""แม่ฮ่องสอน!J154"")"),0)</f>
        <v>0</v>
      </c>
      <c r="AL25" s="98">
        <f t="shared" ca="1" si="44"/>
        <v>0</v>
      </c>
    </row>
    <row r="26" spans="1:38" ht="24" customHeight="1" x14ac:dyDescent="0.3">
      <c r="A26" s="172">
        <v>13</v>
      </c>
      <c r="B26" s="173" t="s">
        <v>52</v>
      </c>
      <c r="C26" s="174">
        <f t="shared" ca="1" si="26"/>
        <v>164700</v>
      </c>
      <c r="D26" s="175">
        <f t="shared" ca="1" si="45"/>
        <v>164700</v>
      </c>
      <c r="E26" s="176">
        <f ca="1">IFERROR(__xludf.DUMMYFUNCTION("IMPORTRANGE(""https://docs.google.com/spreadsheets/d/1-uDff_7J0KD5mKrp0Vvzr7lt3OU09vwQwhkpOPPYv2Y/edit?usp=sharing"",""งบพรบ!BR26"")"),81600)</f>
        <v>81600</v>
      </c>
      <c r="F26" s="176">
        <f ca="1">IFERROR(__xludf.DUMMYFUNCTION("IMPORTRANGE(""https://docs.google.com/spreadsheets/d/1-uDff_7J0KD5mKrp0Vvzr7lt3OU09vwQwhkpOPPYv2Y/edit?usp=sharing"",""งบพรบ!BS26"")"),83100)</f>
        <v>83100</v>
      </c>
      <c r="G26" s="176">
        <f ca="1">IFERROR(__xludf.DUMMYFUNCTION("IMPORTRANGE(""https://docs.google.com/spreadsheets/d/1-uDff_7J0KD5mKrp0Vvzr7lt3OU09vwQwhkpOPPYv2Y/edit?usp=sharing"",""งบพรบ!BT26"")"),0)</f>
        <v>0</v>
      </c>
      <c r="H26" s="176">
        <f ca="1">IFERROR(__xludf.DUMMYFUNCTION("IMPORTRANGE(""https://docs.google.com/spreadsheets/d/1-uDff_7J0KD5mKrp0Vvzr7lt3OU09vwQwhkpOPPYv2Y/edit?usp=sharing"",""งบพรบ!BV26"")"),159700)</f>
        <v>159700</v>
      </c>
      <c r="I26" s="176">
        <f ca="1">IFERROR(__xludf.DUMMYFUNCTION("IMPORTRANGE(""https://docs.google.com/spreadsheets/d/1-uDff_7J0KD5mKrp0Vvzr7lt3OU09vwQwhkpOPPYv2Y/edit?usp=sharing"",""งบพรบ!BW26"")"),0)</f>
        <v>0</v>
      </c>
      <c r="J26" s="176">
        <f t="shared" ca="1" si="28"/>
        <v>50515</v>
      </c>
      <c r="K26" s="179">
        <f t="shared" ca="1" si="29"/>
        <v>30.670916818457801</v>
      </c>
      <c r="L26" s="176">
        <f ca="1">IFERROR(__xludf.DUMMYFUNCTION("IMPORTRANGE(""https://docs.google.com/spreadsheets/d/1-uDff_7J0KD5mKrp0Vvzr7lt3OU09vwQwhkpOPPYv2Y/edit?usp=sharing"",""งบพรบ!BX26"")"),50515)</f>
        <v>50515</v>
      </c>
      <c r="M26" s="87">
        <f t="shared" ca="1" si="30"/>
        <v>30.670916818457801</v>
      </c>
      <c r="N26" s="87">
        <f t="shared" ca="1" si="31"/>
        <v>31.631183469004384</v>
      </c>
      <c r="O26" s="86">
        <f ca="1">IFERROR(__xludf.DUMMYFUNCTION("IMPORTRANGE(""https://docs.google.com/spreadsheets/d/1-uDff_7J0KD5mKrp0Vvzr7lt3OU09vwQwhkpOPPYv2Y/edit?usp=sharing"",""งบพรบ!BY26"")"),0)</f>
        <v>0</v>
      </c>
      <c r="P26" s="86">
        <f t="shared" ca="1" si="32"/>
        <v>0</v>
      </c>
      <c r="Q26" s="87">
        <f t="shared" ca="1" si="33"/>
        <v>0</v>
      </c>
      <c r="R26" s="86">
        <f ca="1">IFERROR(__xludf.DUMMYFUNCTION("IMPORTRANGE(""https://docs.google.com/spreadsheets/d/1DY4XTNNwjluuxqdfdn6qvOSlMRrZqUtmYcZR0ttFiG4/edit?usp=sharing"",""ลำปาง!Q139"")"),0)</f>
        <v>0</v>
      </c>
      <c r="S26" s="86">
        <f ca="1">IFERROR(__xludf.DUMMYFUNCTION("IMPORTRANGE(""https://docs.google.com/spreadsheets/d/1DY4XTNNwjluuxqdfdn6qvOSlMRrZqUtmYcZR0ttFiG4/edit?usp=sharing"",""ลำปาง!R139"")"),0)</f>
        <v>0</v>
      </c>
      <c r="T26" s="86">
        <f ca="1">IFERROR(__xludf.DUMMYFUNCTION("IMPORTRANGE(""https://docs.google.com/spreadsheets/d/1DY4XTNNwjluuxqdfdn6qvOSlMRrZqUtmYcZR0ttFiG4/edit?usp=sharing"",""ลำปาง!S139"")"),0)</f>
        <v>0</v>
      </c>
      <c r="U26" s="87">
        <f t="shared" ca="1" si="35"/>
        <v>0</v>
      </c>
      <c r="V26" s="87">
        <f t="shared" ca="1" si="36"/>
        <v>0</v>
      </c>
      <c r="W26" s="97">
        <f ca="1">IFERROR(__xludf.DUMMYFUNCTION("IMPORTRANGE(""https://docs.google.com/spreadsheets/d/1DY4XTNNwjluuxqdfdn6qvOSlMRrZqUtmYcZR0ttFiG4/edit?usp=sharing"",""ลำปาง!J149"")"),0)</f>
        <v>0</v>
      </c>
      <c r="X26" s="97">
        <f ca="1">IFERROR(__xludf.DUMMYFUNCTION("IMPORTRANGE(""https://docs.google.com/spreadsheets/d/1DY4XTNNwjluuxqdfdn6qvOSlMRrZqUtmYcZR0ttFiG4/edit?usp=sharing"",""ลำปาง!I150"")"),30)</f>
        <v>30</v>
      </c>
      <c r="Y26" s="97">
        <f ca="1">IFERROR(__xludf.DUMMYFUNCTION("IMPORTRANGE(""https://docs.google.com/spreadsheets/d/1DY4XTNNwjluuxqdfdn6qvOSlMRrZqUtmYcZR0ttFiG4/edit?usp=sharing"",""ลำปาง!I151"")"),3)</f>
        <v>3</v>
      </c>
      <c r="Z26" s="97">
        <f ca="1">IFERROR(__xludf.DUMMYFUNCTION("IMPORTRANGE(""https://docs.google.com/spreadsheets/d/1DY4XTNNwjluuxqdfdn6qvOSlMRrZqUtmYcZR0ttFiG4/edit?usp=sharing"",""ลำปาง!J150"")"),0)</f>
        <v>0</v>
      </c>
      <c r="AA26" s="98">
        <f t="shared" ca="1" si="38"/>
        <v>0</v>
      </c>
      <c r="AB26" s="97">
        <f ca="1">IFERROR(__xludf.DUMMYFUNCTION("IMPORTRANGE(""https://docs.google.com/spreadsheets/d/1DY4XTNNwjluuxqdfdn6qvOSlMRrZqUtmYcZR0ttFiG4/edit?usp=sharing"",""ลำปาง!J151"")"),0)</f>
        <v>0</v>
      </c>
      <c r="AC26" s="98">
        <f t="shared" ca="1" si="39"/>
        <v>0</v>
      </c>
      <c r="AD26" s="97">
        <f ca="1">IFERROR(__xludf.DUMMYFUNCTION("IMPORTRANGE(""https://docs.google.com/spreadsheets/d/1DY4XTNNwjluuxqdfdn6qvOSlMRrZqUtmYcZR0ttFiG4/edit?usp=sharing"",""ลำปาง!I152"")"),40)</f>
        <v>40</v>
      </c>
      <c r="AE26" s="97">
        <f ca="1">IFERROR(__xludf.DUMMYFUNCTION("IMPORTRANGE(""https://docs.google.com/spreadsheets/d/1DY4XTNNwjluuxqdfdn6qvOSlMRrZqUtmYcZR0ttFiG4/edit?usp=sharing"",""ลำปาง!I153"")"),4)</f>
        <v>4</v>
      </c>
      <c r="AF26" s="97">
        <f ca="1">IFERROR(__xludf.DUMMYFUNCTION("IMPORTRANGE(""https://docs.google.com/spreadsheets/d/1DY4XTNNwjluuxqdfdn6qvOSlMRrZqUtmYcZR0ttFiG4/edit?usp=sharing"",""ลำปาง!J152"")"),0)</f>
        <v>0</v>
      </c>
      <c r="AG26" s="98">
        <f t="shared" ca="1" si="41"/>
        <v>0</v>
      </c>
      <c r="AH26" s="97">
        <f ca="1">IFERROR(__xludf.DUMMYFUNCTION("IMPORTRANGE(""https://docs.google.com/spreadsheets/d/1DY4XTNNwjluuxqdfdn6qvOSlMRrZqUtmYcZR0ttFiG4/edit?usp=sharing"",""ลำปาง!J153"")"),0)</f>
        <v>0</v>
      </c>
      <c r="AI26" s="98">
        <f t="shared" ca="1" si="42"/>
        <v>0</v>
      </c>
      <c r="AJ26" s="97">
        <f ca="1">IFERROR(__xludf.DUMMYFUNCTION("IMPORTRANGE(""https://docs.google.com/spreadsheets/d/1DY4XTNNwjluuxqdfdn6qvOSlMRrZqUtmYcZR0ttFiG4/edit?usp=sharing"",""ลำปาง!I154"")"),3)</f>
        <v>3</v>
      </c>
      <c r="AK26" s="97">
        <f ca="1">IFERROR(__xludf.DUMMYFUNCTION("IMPORTRANGE(""https://docs.google.com/spreadsheets/d/1DY4XTNNwjluuxqdfdn6qvOSlMRrZqUtmYcZR0ttFiG4/edit?usp=sharing"",""ลำปาง!J154"")"),0)</f>
        <v>0</v>
      </c>
      <c r="AL26" s="98">
        <f t="shared" ca="1" si="44"/>
        <v>0</v>
      </c>
    </row>
    <row r="27" spans="1:38" ht="24" customHeight="1" x14ac:dyDescent="0.3">
      <c r="A27" s="172">
        <v>14</v>
      </c>
      <c r="B27" s="173" t="s">
        <v>53</v>
      </c>
      <c r="C27" s="174">
        <f t="shared" ca="1" si="26"/>
        <v>0</v>
      </c>
      <c r="D27" s="175">
        <f t="shared" ca="1" si="45"/>
        <v>0</v>
      </c>
      <c r="E27" s="176">
        <f ca="1">IFERROR(__xludf.DUMMYFUNCTION("IMPORTRANGE(""https://docs.google.com/spreadsheets/d/1-uDff_7J0KD5mKrp0Vvzr7lt3OU09vwQwhkpOPPYv2Y/edit?usp=sharing"",""งบพรบ!BR27"")"),0)</f>
        <v>0</v>
      </c>
      <c r="F27" s="176">
        <f ca="1">IFERROR(__xludf.DUMMYFUNCTION("IMPORTRANGE(""https://docs.google.com/spreadsheets/d/1-uDff_7J0KD5mKrp0Vvzr7lt3OU09vwQwhkpOPPYv2Y/edit?usp=sharing"",""งบพรบ!BS27"")"),0)</f>
        <v>0</v>
      </c>
      <c r="G27" s="176">
        <f ca="1">IFERROR(__xludf.DUMMYFUNCTION("IMPORTRANGE(""https://docs.google.com/spreadsheets/d/1-uDff_7J0KD5mKrp0Vvzr7lt3OU09vwQwhkpOPPYv2Y/edit?usp=sharing"",""งบพรบ!BT27"")"),0)</f>
        <v>0</v>
      </c>
      <c r="H27" s="176">
        <f ca="1">IFERROR(__xludf.DUMMYFUNCTION("IMPORTRANGE(""https://docs.google.com/spreadsheets/d/1-uDff_7J0KD5mKrp0Vvzr7lt3OU09vwQwhkpOPPYv2Y/edit?usp=sharing"",""งบพรบ!BV27"")"),0)</f>
        <v>0</v>
      </c>
      <c r="I27" s="176">
        <f ca="1">IFERROR(__xludf.DUMMYFUNCTION("IMPORTRANGE(""https://docs.google.com/spreadsheets/d/1-uDff_7J0KD5mKrp0Vvzr7lt3OU09vwQwhkpOPPYv2Y/edit?usp=sharing"",""งบพรบ!BW27"")"),0)</f>
        <v>0</v>
      </c>
      <c r="J27" s="176">
        <f t="shared" ca="1" si="28"/>
        <v>0</v>
      </c>
      <c r="K27" s="179">
        <f t="shared" ca="1" si="29"/>
        <v>0</v>
      </c>
      <c r="L27" s="176">
        <f ca="1">IFERROR(__xludf.DUMMYFUNCTION("IMPORTRANGE(""https://docs.google.com/spreadsheets/d/1-uDff_7J0KD5mKrp0Vvzr7lt3OU09vwQwhkpOPPYv2Y/edit?usp=sharing"",""งบพรบ!BX27"")"),0)</f>
        <v>0</v>
      </c>
      <c r="M27" s="87">
        <f t="shared" ca="1" si="30"/>
        <v>0</v>
      </c>
      <c r="N27" s="87">
        <f t="shared" ca="1" si="31"/>
        <v>0</v>
      </c>
      <c r="O27" s="86">
        <f ca="1">IFERROR(__xludf.DUMMYFUNCTION("IMPORTRANGE(""https://docs.google.com/spreadsheets/d/1-uDff_7J0KD5mKrp0Vvzr7lt3OU09vwQwhkpOPPYv2Y/edit?usp=sharing"",""งบพรบ!BY27"")"),0)</f>
        <v>0</v>
      </c>
      <c r="P27" s="86">
        <f t="shared" ca="1" si="32"/>
        <v>0</v>
      </c>
      <c r="Q27" s="87">
        <f t="shared" ca="1" si="33"/>
        <v>0</v>
      </c>
      <c r="R27" s="86">
        <f ca="1">IFERROR(__xludf.DUMMYFUNCTION("IMPORTRANGE(""https://docs.google.com/spreadsheets/d/1ICwG78r0OFT8biBlxnBF8r7she7gNSzOvJ958PWT09c/edit?usp=sharing"",""ลำพูน!Q139"")"),0)</f>
        <v>0</v>
      </c>
      <c r="S27" s="86">
        <f ca="1">IFERROR(__xludf.DUMMYFUNCTION("IMPORTRANGE(""https://docs.google.com/spreadsheets/d/1ICwG78r0OFT8biBlxnBF8r7she7gNSzOvJ958PWT09c/edit?usp=sharing"",""ลำพูน!R139"")"),0)</f>
        <v>0</v>
      </c>
      <c r="T27" s="86">
        <f ca="1">IFERROR(__xludf.DUMMYFUNCTION("IMPORTRANGE(""https://docs.google.com/spreadsheets/d/1ICwG78r0OFT8biBlxnBF8r7she7gNSzOvJ958PWT09c/edit?usp=sharing"",""ลำพูน!S139"")"),0)</f>
        <v>0</v>
      </c>
      <c r="U27" s="87">
        <f t="shared" ca="1" si="35"/>
        <v>0</v>
      </c>
      <c r="V27" s="87">
        <f t="shared" ca="1" si="36"/>
        <v>0</v>
      </c>
      <c r="W27" s="97">
        <f ca="1">IFERROR(__xludf.DUMMYFUNCTION("IMPORTRANGE(""https://docs.google.com/spreadsheets/d/1ICwG78r0OFT8biBlxnBF8r7she7gNSzOvJ958PWT09c/edit?usp=sharing"",""ลำพูน!J149"")"),0)</f>
        <v>0</v>
      </c>
      <c r="X27" s="97">
        <f ca="1">IFERROR(__xludf.DUMMYFUNCTION("IMPORTRANGE(""https://docs.google.com/spreadsheets/d/1ICwG78r0OFT8biBlxnBF8r7she7gNSzOvJ958PWT09c/edit?usp=sharing"",""ลำพูน!I150"")"),0)</f>
        <v>0</v>
      </c>
      <c r="Y27" s="97">
        <f ca="1">IFERROR(__xludf.DUMMYFUNCTION("IMPORTRANGE(""https://docs.google.com/spreadsheets/d/1ICwG78r0OFT8biBlxnBF8r7she7gNSzOvJ958PWT09c/edit?usp=sharing"",""ลำพูน!I151"")"),0)</f>
        <v>0</v>
      </c>
      <c r="Z27" s="97">
        <f ca="1">IFERROR(__xludf.DUMMYFUNCTION("IMPORTRANGE(""https://docs.google.com/spreadsheets/d/1ICwG78r0OFT8biBlxnBF8r7she7gNSzOvJ958PWT09c/edit?usp=sharing"",""ลำพูน!J150"")"),0)</f>
        <v>0</v>
      </c>
      <c r="AA27" s="98">
        <f t="shared" ca="1" si="38"/>
        <v>0</v>
      </c>
      <c r="AB27" s="97">
        <f ca="1">IFERROR(__xludf.DUMMYFUNCTION("IMPORTRANGE(""https://docs.google.com/spreadsheets/d/1ICwG78r0OFT8biBlxnBF8r7she7gNSzOvJ958PWT09c/edit?usp=sharing"",""ลำพูน!J151"")"),0)</f>
        <v>0</v>
      </c>
      <c r="AC27" s="98">
        <f t="shared" ca="1" si="39"/>
        <v>0</v>
      </c>
      <c r="AD27" s="97">
        <f ca="1">IFERROR(__xludf.DUMMYFUNCTION("IMPORTRANGE(""https://docs.google.com/spreadsheets/d/1ICwG78r0OFT8biBlxnBF8r7she7gNSzOvJ958PWT09c/edit?usp=sharing"",""ลำพูน!I152"")"),0)</f>
        <v>0</v>
      </c>
      <c r="AE27" s="97">
        <f ca="1">IFERROR(__xludf.DUMMYFUNCTION("IMPORTRANGE(""https://docs.google.com/spreadsheets/d/1ICwG78r0OFT8biBlxnBF8r7she7gNSzOvJ958PWT09c/edit?usp=sharing"",""ลำพูน!I153"")"),0)</f>
        <v>0</v>
      </c>
      <c r="AF27" s="97">
        <f ca="1">IFERROR(__xludf.DUMMYFUNCTION("IMPORTRANGE(""https://docs.google.com/spreadsheets/d/1ICwG78r0OFT8biBlxnBF8r7she7gNSzOvJ958PWT09c/edit?usp=sharing"",""ลำพูน!J152"")"),0)</f>
        <v>0</v>
      </c>
      <c r="AG27" s="98">
        <f t="shared" ca="1" si="41"/>
        <v>0</v>
      </c>
      <c r="AH27" s="97">
        <f ca="1">IFERROR(__xludf.DUMMYFUNCTION("IMPORTRANGE(""https://docs.google.com/spreadsheets/d/1ICwG78r0OFT8biBlxnBF8r7she7gNSzOvJ958PWT09c/edit?usp=sharing"",""ลำพูน!J153"")"),0)</f>
        <v>0</v>
      </c>
      <c r="AI27" s="98">
        <f t="shared" ca="1" si="42"/>
        <v>0</v>
      </c>
      <c r="AJ27" s="97">
        <f ca="1">IFERROR(__xludf.DUMMYFUNCTION("IMPORTRANGE(""https://docs.google.com/spreadsheets/d/1ICwG78r0OFT8biBlxnBF8r7she7gNSzOvJ958PWT09c/edit?usp=sharing"",""ลำพูน!I154"")"),0)</f>
        <v>0</v>
      </c>
      <c r="AK27" s="97">
        <f ca="1">IFERROR(__xludf.DUMMYFUNCTION("IMPORTRANGE(""https://docs.google.com/spreadsheets/d/1ICwG78r0OFT8biBlxnBF8r7she7gNSzOvJ958PWT09c/edit?usp=sharing"",""ลำพูน!J154"")"),0)</f>
        <v>0</v>
      </c>
      <c r="AL27" s="98">
        <f t="shared" ca="1" si="44"/>
        <v>0</v>
      </c>
    </row>
    <row r="28" spans="1:38" ht="24" customHeight="1" x14ac:dyDescent="0.3">
      <c r="A28" s="172">
        <v>15</v>
      </c>
      <c r="B28" s="173" t="s">
        <v>54</v>
      </c>
      <c r="C28" s="174">
        <f t="shared" ca="1" si="26"/>
        <v>0</v>
      </c>
      <c r="D28" s="175">
        <f t="shared" ca="1" si="45"/>
        <v>0</v>
      </c>
      <c r="E28" s="176">
        <f ca="1">IFERROR(__xludf.DUMMYFUNCTION("IMPORTRANGE(""https://docs.google.com/spreadsheets/d/1-uDff_7J0KD5mKrp0Vvzr7lt3OU09vwQwhkpOPPYv2Y/edit?usp=sharing"",""งบพรบ!BR28"")"),0)</f>
        <v>0</v>
      </c>
      <c r="F28" s="176">
        <f ca="1">IFERROR(__xludf.DUMMYFUNCTION("IMPORTRANGE(""https://docs.google.com/spreadsheets/d/1-uDff_7J0KD5mKrp0Vvzr7lt3OU09vwQwhkpOPPYv2Y/edit?usp=sharing"",""งบพรบ!BS28"")"),0)</f>
        <v>0</v>
      </c>
      <c r="G28" s="176">
        <f ca="1">IFERROR(__xludf.DUMMYFUNCTION("IMPORTRANGE(""https://docs.google.com/spreadsheets/d/1-uDff_7J0KD5mKrp0Vvzr7lt3OU09vwQwhkpOPPYv2Y/edit?usp=sharing"",""งบพรบ!BT28"")"),0)</f>
        <v>0</v>
      </c>
      <c r="H28" s="176">
        <f ca="1">IFERROR(__xludf.DUMMYFUNCTION("IMPORTRANGE(""https://docs.google.com/spreadsheets/d/1-uDff_7J0KD5mKrp0Vvzr7lt3OU09vwQwhkpOPPYv2Y/edit?usp=sharing"",""งบพรบ!BV28"")"),0)</f>
        <v>0</v>
      </c>
      <c r="I28" s="176">
        <f ca="1">IFERROR(__xludf.DUMMYFUNCTION("IMPORTRANGE(""https://docs.google.com/spreadsheets/d/1-uDff_7J0KD5mKrp0Vvzr7lt3OU09vwQwhkpOPPYv2Y/edit?usp=sharing"",""งบพรบ!BW28"")"),0)</f>
        <v>0</v>
      </c>
      <c r="J28" s="176">
        <f t="shared" ca="1" si="28"/>
        <v>0</v>
      </c>
      <c r="K28" s="179">
        <f t="shared" ca="1" si="29"/>
        <v>0</v>
      </c>
      <c r="L28" s="176">
        <f ca="1">IFERROR(__xludf.DUMMYFUNCTION("IMPORTRANGE(""https://docs.google.com/spreadsheets/d/1-uDff_7J0KD5mKrp0Vvzr7lt3OU09vwQwhkpOPPYv2Y/edit?usp=sharing"",""งบพรบ!BX28"")"),0)</f>
        <v>0</v>
      </c>
      <c r="M28" s="87">
        <f t="shared" ca="1" si="30"/>
        <v>0</v>
      </c>
      <c r="N28" s="87">
        <f t="shared" ca="1" si="31"/>
        <v>0</v>
      </c>
      <c r="O28" s="86">
        <f ca="1">IFERROR(__xludf.DUMMYFUNCTION("IMPORTRANGE(""https://docs.google.com/spreadsheets/d/1-uDff_7J0KD5mKrp0Vvzr7lt3OU09vwQwhkpOPPYv2Y/edit?usp=sharing"",""งบพรบ!BY28"")"),0)</f>
        <v>0</v>
      </c>
      <c r="P28" s="86">
        <f t="shared" ca="1" si="32"/>
        <v>0</v>
      </c>
      <c r="Q28" s="87">
        <f t="shared" ca="1" si="33"/>
        <v>0</v>
      </c>
      <c r="R28" s="86">
        <f ca="1">IFERROR(__xludf.DUMMYFUNCTION("IMPORTRANGE(""https://docs.google.com/spreadsheets/d/1B0f2xJpZUC6Z0xXnqKlZtEPzsf6L84eP1r1Q15seqRM/edit?usp=sharing"",""สุโขทัย!Q139"")"),0)</f>
        <v>0</v>
      </c>
      <c r="S28" s="86">
        <f ca="1">IFERROR(__xludf.DUMMYFUNCTION("IMPORTRANGE(""https://docs.google.com/spreadsheets/d/1B0f2xJpZUC6Z0xXnqKlZtEPzsf6L84eP1r1Q15seqRM/edit?usp=sharing"",""สุโขทัย!R139"")"),0)</f>
        <v>0</v>
      </c>
      <c r="T28" s="86">
        <f ca="1">IFERROR(__xludf.DUMMYFUNCTION("IMPORTRANGE(""https://docs.google.com/spreadsheets/d/1B0f2xJpZUC6Z0xXnqKlZtEPzsf6L84eP1r1Q15seqRM/edit?usp=sharing"",""สุโขทัย!S139"")"),0)</f>
        <v>0</v>
      </c>
      <c r="U28" s="87">
        <f t="shared" ca="1" si="35"/>
        <v>0</v>
      </c>
      <c r="V28" s="87">
        <f t="shared" ca="1" si="36"/>
        <v>0</v>
      </c>
      <c r="W28" s="97">
        <f ca="1">IFERROR(__xludf.DUMMYFUNCTION("IMPORTRANGE(""https://docs.google.com/spreadsheets/d/1B0f2xJpZUC6Z0xXnqKlZtEPzsf6L84eP1r1Q15seqRM/edit?usp=sharing"",""สุโขทัย!J149"")"),0)</f>
        <v>0</v>
      </c>
      <c r="X28" s="97">
        <f ca="1">IFERROR(__xludf.DUMMYFUNCTION("IMPORTRANGE(""https://docs.google.com/spreadsheets/d/1B0f2xJpZUC6Z0xXnqKlZtEPzsf6L84eP1r1Q15seqRM/edit?usp=sharing"",""สุโขทัย!I150"")"),0)</f>
        <v>0</v>
      </c>
      <c r="Y28" s="97">
        <f ca="1">IFERROR(__xludf.DUMMYFUNCTION("IMPORTRANGE(""https://docs.google.com/spreadsheets/d/1B0f2xJpZUC6Z0xXnqKlZtEPzsf6L84eP1r1Q15seqRM/edit?usp=sharing"",""สุโขทัย!I151"")"),0)</f>
        <v>0</v>
      </c>
      <c r="Z28" s="97">
        <f ca="1">IFERROR(__xludf.DUMMYFUNCTION("IMPORTRANGE(""https://docs.google.com/spreadsheets/d/1B0f2xJpZUC6Z0xXnqKlZtEPzsf6L84eP1r1Q15seqRM/edit?usp=sharing"",""สุโขทัย!J150"")"),0)</f>
        <v>0</v>
      </c>
      <c r="AA28" s="98">
        <f t="shared" ca="1" si="38"/>
        <v>0</v>
      </c>
      <c r="AB28" s="97">
        <f ca="1">IFERROR(__xludf.DUMMYFUNCTION("IMPORTRANGE(""https://docs.google.com/spreadsheets/d/1B0f2xJpZUC6Z0xXnqKlZtEPzsf6L84eP1r1Q15seqRM/edit?usp=sharing"",""สุโขทัย!J151"")"),0)</f>
        <v>0</v>
      </c>
      <c r="AC28" s="98">
        <f t="shared" ca="1" si="39"/>
        <v>0</v>
      </c>
      <c r="AD28" s="97">
        <f ca="1">IFERROR(__xludf.DUMMYFUNCTION("IMPORTRANGE(""https://docs.google.com/spreadsheets/d/1B0f2xJpZUC6Z0xXnqKlZtEPzsf6L84eP1r1Q15seqRM/edit?usp=sharing"",""สุโขทัย!I152"")"),0)</f>
        <v>0</v>
      </c>
      <c r="AE28" s="97">
        <f ca="1">IFERROR(__xludf.DUMMYFUNCTION("IMPORTRANGE(""https://docs.google.com/spreadsheets/d/1B0f2xJpZUC6Z0xXnqKlZtEPzsf6L84eP1r1Q15seqRM/edit?usp=sharing"",""สุโขทัย!I153"")"),0)</f>
        <v>0</v>
      </c>
      <c r="AF28" s="97">
        <f ca="1">IFERROR(__xludf.DUMMYFUNCTION("IMPORTRANGE(""https://docs.google.com/spreadsheets/d/1B0f2xJpZUC6Z0xXnqKlZtEPzsf6L84eP1r1Q15seqRM/edit?usp=sharing"",""สุโขทัย!J152"")"),0)</f>
        <v>0</v>
      </c>
      <c r="AG28" s="98">
        <f t="shared" ca="1" si="41"/>
        <v>0</v>
      </c>
      <c r="AH28" s="97">
        <f ca="1">IFERROR(__xludf.DUMMYFUNCTION("IMPORTRANGE(""https://docs.google.com/spreadsheets/d/1B0f2xJpZUC6Z0xXnqKlZtEPzsf6L84eP1r1Q15seqRM/edit?usp=sharing"",""สุโขทัย!J153"")"),0)</f>
        <v>0</v>
      </c>
      <c r="AI28" s="98">
        <f t="shared" ca="1" si="42"/>
        <v>0</v>
      </c>
      <c r="AJ28" s="97">
        <f ca="1">IFERROR(__xludf.DUMMYFUNCTION("IMPORTRANGE(""https://docs.google.com/spreadsheets/d/1B0f2xJpZUC6Z0xXnqKlZtEPzsf6L84eP1r1Q15seqRM/edit?usp=sharing"",""สุโขทัย!I154"")"),0)</f>
        <v>0</v>
      </c>
      <c r="AK28" s="97">
        <f ca="1">IFERROR(__xludf.DUMMYFUNCTION("IMPORTRANGE(""https://docs.google.com/spreadsheets/d/1B0f2xJpZUC6Z0xXnqKlZtEPzsf6L84eP1r1Q15seqRM/edit?usp=sharing"",""สุโขทัย!J154"")"),0)</f>
        <v>0</v>
      </c>
      <c r="AL28" s="98">
        <f t="shared" ca="1" si="44"/>
        <v>0</v>
      </c>
    </row>
    <row r="29" spans="1:38" ht="24" customHeight="1" x14ac:dyDescent="0.3">
      <c r="A29" s="172">
        <v>16</v>
      </c>
      <c r="B29" s="173" t="s">
        <v>55</v>
      </c>
      <c r="C29" s="174">
        <f t="shared" ca="1" si="26"/>
        <v>136400</v>
      </c>
      <c r="D29" s="175">
        <f t="shared" ca="1" si="45"/>
        <v>136400</v>
      </c>
      <c r="E29" s="176">
        <f ca="1">IFERROR(__xludf.DUMMYFUNCTION("IMPORTRANGE(""https://docs.google.com/spreadsheets/d/1-uDff_7J0KD5mKrp0Vvzr7lt3OU09vwQwhkpOPPYv2Y/edit?usp=sharing"",""งบพรบ!BR29"")"),86500)</f>
        <v>86500</v>
      </c>
      <c r="F29" s="176">
        <f ca="1">IFERROR(__xludf.DUMMYFUNCTION("IMPORTRANGE(""https://docs.google.com/spreadsheets/d/1-uDff_7J0KD5mKrp0Vvzr7lt3OU09vwQwhkpOPPYv2Y/edit?usp=sharing"",""งบพรบ!BS29"")"),49900)</f>
        <v>49900</v>
      </c>
      <c r="G29" s="176">
        <f ca="1">IFERROR(__xludf.DUMMYFUNCTION("IMPORTRANGE(""https://docs.google.com/spreadsheets/d/1-uDff_7J0KD5mKrp0Vvzr7lt3OU09vwQwhkpOPPYv2Y/edit?usp=sharing"",""งบพรบ!BT29"")"),0)</f>
        <v>0</v>
      </c>
      <c r="H29" s="176">
        <f ca="1">IFERROR(__xludf.DUMMYFUNCTION("IMPORTRANGE(""https://docs.google.com/spreadsheets/d/1-uDff_7J0KD5mKrp0Vvzr7lt3OU09vwQwhkpOPPYv2Y/edit?usp=sharing"",""งบพรบ!BV29"")"),131400)</f>
        <v>131400</v>
      </c>
      <c r="I29" s="176">
        <f ca="1">IFERROR(__xludf.DUMMYFUNCTION("IMPORTRANGE(""https://docs.google.com/spreadsheets/d/1-uDff_7J0KD5mKrp0Vvzr7lt3OU09vwQwhkpOPPYv2Y/edit?usp=sharing"",""งบพรบ!BW29"")"),0)</f>
        <v>0</v>
      </c>
      <c r="J29" s="176">
        <f t="shared" ca="1" si="28"/>
        <v>69450.63</v>
      </c>
      <c r="K29" s="179">
        <f t="shared" ca="1" si="29"/>
        <v>50.916884164222871</v>
      </c>
      <c r="L29" s="176">
        <f ca="1">IFERROR(__xludf.DUMMYFUNCTION("IMPORTRANGE(""https://docs.google.com/spreadsheets/d/1-uDff_7J0KD5mKrp0Vvzr7lt3OU09vwQwhkpOPPYv2Y/edit?usp=sharing"",""งบพรบ!BX29"")"),69450.63)</f>
        <v>69450.63</v>
      </c>
      <c r="M29" s="87">
        <f t="shared" ca="1" si="30"/>
        <v>50.916884164222871</v>
      </c>
      <c r="N29" s="87">
        <f t="shared" ca="1" si="31"/>
        <v>52.854360730593605</v>
      </c>
      <c r="O29" s="86">
        <f ca="1">IFERROR(__xludf.DUMMYFUNCTION("IMPORTRANGE(""https://docs.google.com/spreadsheets/d/1-uDff_7J0KD5mKrp0Vvzr7lt3OU09vwQwhkpOPPYv2Y/edit?usp=sharing"",""งบพรบ!BY29"")"),0)</f>
        <v>0</v>
      </c>
      <c r="P29" s="86">
        <f t="shared" ca="1" si="32"/>
        <v>0</v>
      </c>
      <c r="Q29" s="87">
        <f t="shared" ca="1" si="33"/>
        <v>0</v>
      </c>
      <c r="R29" s="86">
        <f ca="1">IFERROR(__xludf.DUMMYFUNCTION("IMPORTRANGE(""https://docs.google.com/spreadsheets/d/1v0b9pFQCsKUVExMei7AgY2yQkdeNQvtOssygGsXbiKo/edit?usp=sharing"",""อุตรดิตถ์!Q139"")"),0)</f>
        <v>0</v>
      </c>
      <c r="S29" s="86">
        <f ca="1">IFERROR(__xludf.DUMMYFUNCTION("IMPORTRANGE(""https://docs.google.com/spreadsheets/d/1v0b9pFQCsKUVExMei7AgY2yQkdeNQvtOssygGsXbiKo/edit?usp=sharing"",""อุตรดิตถ์!R139"")"),0)</f>
        <v>0</v>
      </c>
      <c r="T29" s="86">
        <f ca="1">IFERROR(__xludf.DUMMYFUNCTION("IMPORTRANGE(""https://docs.google.com/spreadsheets/d/1v0b9pFQCsKUVExMei7AgY2yQkdeNQvtOssygGsXbiKo/edit?usp=sharing"",""อุตรดิตถ์!S139"")"),0)</f>
        <v>0</v>
      </c>
      <c r="U29" s="87">
        <f t="shared" ca="1" si="35"/>
        <v>0</v>
      </c>
      <c r="V29" s="87">
        <f t="shared" ca="1" si="36"/>
        <v>0</v>
      </c>
      <c r="W29" s="97">
        <f ca="1">IFERROR(__xludf.DUMMYFUNCTION("IMPORTRANGE(""https://docs.google.com/spreadsheets/d/1v0b9pFQCsKUVExMei7AgY2yQkdeNQvtOssygGsXbiKo/edit?usp=sharing"",""อุตรดิตถ์!J149"")"),0)</f>
        <v>0</v>
      </c>
      <c r="X29" s="97">
        <f ca="1">IFERROR(__xludf.DUMMYFUNCTION("IMPORTRANGE(""https://docs.google.com/spreadsheets/d/1v0b9pFQCsKUVExMei7AgY2yQkdeNQvtOssygGsXbiKo/edit?usp=sharing"",""อุตรดิตถ์!I150"")"),10)</f>
        <v>10</v>
      </c>
      <c r="Y29" s="97">
        <f ca="1">IFERROR(__xludf.DUMMYFUNCTION("IMPORTRANGE(""https://docs.google.com/spreadsheets/d/1v0b9pFQCsKUVExMei7AgY2yQkdeNQvtOssygGsXbiKo/edit?usp=sharing"",""อุตรดิตถ์!I151"")"),1)</f>
        <v>1</v>
      </c>
      <c r="Z29" s="97">
        <f ca="1">IFERROR(__xludf.DUMMYFUNCTION("IMPORTRANGE(""https://docs.google.com/spreadsheets/d/1v0b9pFQCsKUVExMei7AgY2yQkdeNQvtOssygGsXbiKo/edit?usp=sharing"",""อุตรดิตถ์!J150"")"),0)</f>
        <v>0</v>
      </c>
      <c r="AA29" s="98">
        <f t="shared" ca="1" si="38"/>
        <v>0</v>
      </c>
      <c r="AB29" s="97">
        <f ca="1">IFERROR(__xludf.DUMMYFUNCTION("IMPORTRANGE(""https://docs.google.com/spreadsheets/d/1v0b9pFQCsKUVExMei7AgY2yQkdeNQvtOssygGsXbiKo/edit?usp=sharing"",""อุตรดิตถ์!J151"")"),0)</f>
        <v>0</v>
      </c>
      <c r="AC29" s="98">
        <f t="shared" ca="1" si="39"/>
        <v>0</v>
      </c>
      <c r="AD29" s="97">
        <f ca="1">IFERROR(__xludf.DUMMYFUNCTION("IMPORTRANGE(""https://docs.google.com/spreadsheets/d/1v0b9pFQCsKUVExMei7AgY2yQkdeNQvtOssygGsXbiKo/edit?usp=sharing"",""อุตรดิตถ์!I152"")"),20)</f>
        <v>20</v>
      </c>
      <c r="AE29" s="97">
        <f ca="1">IFERROR(__xludf.DUMMYFUNCTION("IMPORTRANGE(""https://docs.google.com/spreadsheets/d/1v0b9pFQCsKUVExMei7AgY2yQkdeNQvtOssygGsXbiKo/edit?usp=sharing"",""อุตรดิตถ์!I153"")"),2)</f>
        <v>2</v>
      </c>
      <c r="AF29" s="97">
        <f ca="1">IFERROR(__xludf.DUMMYFUNCTION("IMPORTRANGE(""https://docs.google.com/spreadsheets/d/1v0b9pFQCsKUVExMei7AgY2yQkdeNQvtOssygGsXbiKo/edit?usp=sharing"",""อุตรดิตถ์!J152"")"),0)</f>
        <v>0</v>
      </c>
      <c r="AG29" s="98">
        <f t="shared" ca="1" si="41"/>
        <v>0</v>
      </c>
      <c r="AH29" s="97">
        <f ca="1">IFERROR(__xludf.DUMMYFUNCTION("IMPORTRANGE(""https://docs.google.com/spreadsheets/d/1v0b9pFQCsKUVExMei7AgY2yQkdeNQvtOssygGsXbiKo/edit?usp=sharing"",""อุตรดิตถ์!J153"")"),0)</f>
        <v>0</v>
      </c>
      <c r="AI29" s="98">
        <f t="shared" ca="1" si="42"/>
        <v>0</v>
      </c>
      <c r="AJ29" s="97">
        <f ca="1">IFERROR(__xludf.DUMMYFUNCTION("IMPORTRANGE(""https://docs.google.com/spreadsheets/d/1v0b9pFQCsKUVExMei7AgY2yQkdeNQvtOssygGsXbiKo/edit?usp=sharing"",""อุตรดิตถ์!I154"")"),1)</f>
        <v>1</v>
      </c>
      <c r="AK29" s="97">
        <f ca="1">IFERROR(__xludf.DUMMYFUNCTION("IMPORTRANGE(""https://docs.google.com/spreadsheets/d/1v0b9pFQCsKUVExMei7AgY2yQkdeNQvtOssygGsXbiKo/edit?usp=sharing"",""อุตรดิตถ์!J154"")"),0)</f>
        <v>0</v>
      </c>
      <c r="AL29" s="98">
        <f t="shared" ca="1" si="44"/>
        <v>0</v>
      </c>
    </row>
    <row r="30" spans="1:38" ht="24" customHeight="1" x14ac:dyDescent="0.3">
      <c r="A30" s="180">
        <v>17</v>
      </c>
      <c r="B30" s="181" t="s">
        <v>56</v>
      </c>
      <c r="C30" s="182">
        <f t="shared" ca="1" si="26"/>
        <v>153900</v>
      </c>
      <c r="D30" s="183">
        <f t="shared" ca="1" si="45"/>
        <v>153900</v>
      </c>
      <c r="E30" s="184">
        <f ca="1">IFERROR(__xludf.DUMMYFUNCTION("IMPORTRANGE(""https://docs.google.com/spreadsheets/d/1-uDff_7J0KD5mKrp0Vvzr7lt3OU09vwQwhkpOPPYv2Y/edit?usp=sharing"",""งบพรบ!BR30"")"),79100)</f>
        <v>79100</v>
      </c>
      <c r="F30" s="184">
        <f ca="1">IFERROR(__xludf.DUMMYFUNCTION("IMPORTRANGE(""https://docs.google.com/spreadsheets/d/1-uDff_7J0KD5mKrp0Vvzr7lt3OU09vwQwhkpOPPYv2Y/edit?usp=sharing"",""งบพรบ!BS30"")"),74800)</f>
        <v>74800</v>
      </c>
      <c r="G30" s="184">
        <f ca="1">IFERROR(__xludf.DUMMYFUNCTION("IMPORTRANGE(""https://docs.google.com/spreadsheets/d/1-uDff_7J0KD5mKrp0Vvzr7lt3OU09vwQwhkpOPPYv2Y/edit?usp=sharing"",""งบพรบ!BT30"")"),0)</f>
        <v>0</v>
      </c>
      <c r="H30" s="184">
        <f ca="1">IFERROR(__xludf.DUMMYFUNCTION("IMPORTRANGE(""https://docs.google.com/spreadsheets/d/1-uDff_7J0KD5mKrp0Vvzr7lt3OU09vwQwhkpOPPYv2Y/edit?usp=sharing"",""งบพรบ!BV30"")"),148900)</f>
        <v>148900</v>
      </c>
      <c r="I30" s="184">
        <f ca="1">IFERROR(__xludf.DUMMYFUNCTION("IMPORTRANGE(""https://docs.google.com/spreadsheets/d/1-uDff_7J0KD5mKrp0Vvzr7lt3OU09vwQwhkpOPPYv2Y/edit?usp=sharing"",""งบพรบ!BW30"")"),0)</f>
        <v>0</v>
      </c>
      <c r="J30" s="184">
        <f t="shared" ca="1" si="28"/>
        <v>64331.9</v>
      </c>
      <c r="K30" s="185">
        <f t="shared" ca="1" si="29"/>
        <v>41.801104613385313</v>
      </c>
      <c r="L30" s="184">
        <f ca="1">IFERROR(__xludf.DUMMYFUNCTION("IMPORTRANGE(""https://docs.google.com/spreadsheets/d/1-uDff_7J0KD5mKrp0Vvzr7lt3OU09vwQwhkpOPPYv2Y/edit?usp=sharing"",""งบพรบ!BX30"")"),64331.9)</f>
        <v>64331.9</v>
      </c>
      <c r="M30" s="109">
        <f t="shared" ca="1" si="30"/>
        <v>41.801104613385313</v>
      </c>
      <c r="N30" s="109">
        <f t="shared" ca="1" si="31"/>
        <v>43.20476830087307</v>
      </c>
      <c r="O30" s="108">
        <f ca="1">IFERROR(__xludf.DUMMYFUNCTION("IMPORTRANGE(""https://docs.google.com/spreadsheets/d/1-uDff_7J0KD5mKrp0Vvzr7lt3OU09vwQwhkpOPPYv2Y/edit?usp=sharing"",""งบพรบ!BY30"")"),0)</f>
        <v>0</v>
      </c>
      <c r="P30" s="108">
        <f t="shared" ca="1" si="32"/>
        <v>0</v>
      </c>
      <c r="Q30" s="109">
        <f t="shared" ca="1" si="33"/>
        <v>0</v>
      </c>
      <c r="R30" s="108">
        <f ca="1">IFERROR(__xludf.DUMMYFUNCTION("IMPORTRANGE(""https://docs.google.com/spreadsheets/d/1UsNK1e-WWiCo2PvGqdNfdme4m17_Ezd3J69EeeiQPD0/edit?usp=sharing"",""อุทัยธานี!Q139"")"),0)</f>
        <v>0</v>
      </c>
      <c r="S30" s="108">
        <f ca="1">IFERROR(__xludf.DUMMYFUNCTION("IMPORTRANGE(""https://docs.google.com/spreadsheets/d/1UsNK1e-WWiCo2PvGqdNfdme4m17_Ezd3J69EeeiQPD0/edit?usp=sharing"",""อุทัยธานี!R139"")"),0)</f>
        <v>0</v>
      </c>
      <c r="T30" s="108">
        <f ca="1">IFERROR(__xludf.DUMMYFUNCTION("IMPORTRANGE(""https://docs.google.com/spreadsheets/d/1UsNK1e-WWiCo2PvGqdNfdme4m17_Ezd3J69EeeiQPD0/edit?usp=sharing"",""อุทัยธานี!S139"")"),0)</f>
        <v>0</v>
      </c>
      <c r="U30" s="109">
        <f t="shared" ca="1" si="35"/>
        <v>0</v>
      </c>
      <c r="V30" s="109">
        <f t="shared" ca="1" si="36"/>
        <v>0</v>
      </c>
      <c r="W30" s="110">
        <f ca="1">IFERROR(__xludf.DUMMYFUNCTION("IMPORTRANGE(""https://docs.google.com/spreadsheets/d/1UsNK1e-WWiCo2PvGqdNfdme4m17_Ezd3J69EeeiQPD0/edit?usp=sharing"",""อุทัยธานี!J149"")"),0)</f>
        <v>0</v>
      </c>
      <c r="X30" s="110">
        <f ca="1">IFERROR(__xludf.DUMMYFUNCTION("IMPORTRANGE(""https://docs.google.com/spreadsheets/d/1UsNK1e-WWiCo2PvGqdNfdme4m17_Ezd3J69EeeiQPD0/edit?usp=sharing"",""อุทัยธานี!I150"")"),20)</f>
        <v>20</v>
      </c>
      <c r="Y30" s="110">
        <f ca="1">IFERROR(__xludf.DUMMYFUNCTION("IMPORTRANGE(""https://docs.google.com/spreadsheets/d/1UsNK1e-WWiCo2PvGqdNfdme4m17_Ezd3J69EeeiQPD0/edit?usp=sharing"",""อุทัยธานี!I151"")"),2)</f>
        <v>2</v>
      </c>
      <c r="Z30" s="110">
        <f ca="1">IFERROR(__xludf.DUMMYFUNCTION("IMPORTRANGE(""https://docs.google.com/spreadsheets/d/1UsNK1e-WWiCo2PvGqdNfdme4m17_Ezd3J69EeeiQPD0/edit?usp=sharing"",""อุทัยธานี!J150"")"),0)</f>
        <v>0</v>
      </c>
      <c r="AA30" s="111">
        <f t="shared" ca="1" si="38"/>
        <v>0</v>
      </c>
      <c r="AB30" s="110">
        <f ca="1">IFERROR(__xludf.DUMMYFUNCTION("IMPORTRANGE(""https://docs.google.com/spreadsheets/d/1UsNK1e-WWiCo2PvGqdNfdme4m17_Ezd3J69EeeiQPD0/edit?usp=sharing"",""อุทัยธานี!J151"")"),0)</f>
        <v>0</v>
      </c>
      <c r="AC30" s="111">
        <f t="shared" ca="1" si="39"/>
        <v>0</v>
      </c>
      <c r="AD30" s="110">
        <f ca="1">IFERROR(__xludf.DUMMYFUNCTION("IMPORTRANGE(""https://docs.google.com/spreadsheets/d/1UsNK1e-WWiCo2PvGqdNfdme4m17_Ezd3J69EeeiQPD0/edit?usp=sharing"",""อุทัยธานี!I152"")"),40)</f>
        <v>40</v>
      </c>
      <c r="AE30" s="110">
        <f ca="1">IFERROR(__xludf.DUMMYFUNCTION("IMPORTRANGE(""https://docs.google.com/spreadsheets/d/1UsNK1e-WWiCo2PvGqdNfdme4m17_Ezd3J69EeeiQPD0/edit?usp=sharing"",""อุทัยธานี!I153"")"),4)</f>
        <v>4</v>
      </c>
      <c r="AF30" s="110">
        <f ca="1">IFERROR(__xludf.DUMMYFUNCTION("IMPORTRANGE(""https://docs.google.com/spreadsheets/d/1UsNK1e-WWiCo2PvGqdNfdme4m17_Ezd3J69EeeiQPD0/edit?usp=sharing"",""อุทัยธานี!J152"")"),0)</f>
        <v>0</v>
      </c>
      <c r="AG30" s="111">
        <f t="shared" ca="1" si="41"/>
        <v>0</v>
      </c>
      <c r="AH30" s="110">
        <f ca="1">IFERROR(__xludf.DUMMYFUNCTION("IMPORTRANGE(""https://docs.google.com/spreadsheets/d/1UsNK1e-WWiCo2PvGqdNfdme4m17_Ezd3J69EeeiQPD0/edit?usp=sharing"",""อุทัยธานี!J153"")"),0)</f>
        <v>0</v>
      </c>
      <c r="AI30" s="111">
        <f t="shared" ca="1" si="42"/>
        <v>0</v>
      </c>
      <c r="AJ30" s="110">
        <f ca="1">IFERROR(__xludf.DUMMYFUNCTION("IMPORTRANGE(""https://docs.google.com/spreadsheets/d/1UsNK1e-WWiCo2PvGqdNfdme4m17_Ezd3J69EeeiQPD0/edit?usp=sharing"",""อุทัยธานี!I154"")"),2)</f>
        <v>2</v>
      </c>
      <c r="AK30" s="110">
        <f ca="1">IFERROR(__xludf.DUMMYFUNCTION("IMPORTRANGE(""https://docs.google.com/spreadsheets/d/1UsNK1e-WWiCo2PvGqdNfdme4m17_Ezd3J69EeeiQPD0/edit?usp=sharing"",""อุทัยธานี!J154"")"),0)</f>
        <v>0</v>
      </c>
      <c r="AL30" s="111">
        <f t="shared" ca="1" si="44"/>
        <v>0</v>
      </c>
    </row>
    <row r="31" spans="1:38" ht="21" customHeight="1" x14ac:dyDescent="0.3">
      <c r="A31" s="636" t="s">
        <v>57</v>
      </c>
      <c r="B31" s="633"/>
      <c r="C31" s="161">
        <f t="shared" ca="1" si="26"/>
        <v>772800</v>
      </c>
      <c r="D31" s="161">
        <f t="shared" ref="D31:I31" ca="1" si="46">SUM(D32:D51)</f>
        <v>772800</v>
      </c>
      <c r="E31" s="161">
        <f t="shared" ca="1" si="46"/>
        <v>340500</v>
      </c>
      <c r="F31" s="161">
        <f t="shared" ca="1" si="46"/>
        <v>432300</v>
      </c>
      <c r="G31" s="161">
        <f t="shared" ca="1" si="46"/>
        <v>0</v>
      </c>
      <c r="H31" s="161">
        <f t="shared" ca="1" si="46"/>
        <v>717800</v>
      </c>
      <c r="I31" s="161">
        <f t="shared" ca="1" si="46"/>
        <v>0</v>
      </c>
      <c r="J31" s="161">
        <f t="shared" ca="1" si="28"/>
        <v>235388.69999999998</v>
      </c>
      <c r="K31" s="162">
        <f t="shared" ca="1" si="29"/>
        <v>30.459200310559005</v>
      </c>
      <c r="L31" s="161">
        <f ca="1">SUM(L32:L51)</f>
        <v>235388.69999999998</v>
      </c>
      <c r="M31" s="40">
        <f t="shared" ca="1" si="30"/>
        <v>30.459200310559005</v>
      </c>
      <c r="N31" s="40">
        <f t="shared" ca="1" si="31"/>
        <v>32.79307606575648</v>
      </c>
      <c r="O31" s="39">
        <f ca="1">SUM(O32:O51)</f>
        <v>0</v>
      </c>
      <c r="P31" s="39">
        <f t="shared" ca="1" si="32"/>
        <v>0</v>
      </c>
      <c r="Q31" s="40">
        <f t="shared" ca="1" si="33"/>
        <v>0</v>
      </c>
      <c r="R31" s="39">
        <f t="shared" ref="R31:T31" ca="1" si="47">SUM(R32:R51)</f>
        <v>0</v>
      </c>
      <c r="S31" s="39">
        <f t="shared" ca="1" si="47"/>
        <v>0</v>
      </c>
      <c r="T31" s="39">
        <f t="shared" ca="1" si="47"/>
        <v>0</v>
      </c>
      <c r="U31" s="40">
        <f t="shared" ca="1" si="35"/>
        <v>0</v>
      </c>
      <c r="V31" s="40">
        <f t="shared" ca="1" si="36"/>
        <v>0</v>
      </c>
      <c r="W31" s="71">
        <f t="shared" ref="W31:Z31" ca="1" si="48">SUM(W32:W51)</f>
        <v>0</v>
      </c>
      <c r="X31" s="71">
        <f t="shared" ca="1" si="48"/>
        <v>20</v>
      </c>
      <c r="Y31" s="71">
        <f t="shared" ca="1" si="48"/>
        <v>2</v>
      </c>
      <c r="Z31" s="71">
        <f t="shared" ca="1" si="48"/>
        <v>0</v>
      </c>
      <c r="AA31" s="114">
        <f t="shared" ca="1" si="38"/>
        <v>0</v>
      </c>
      <c r="AB31" s="71">
        <f ca="1">SUM(AB32:AB51)</f>
        <v>0</v>
      </c>
      <c r="AC31" s="114">
        <f t="shared" ca="1" si="39"/>
        <v>0</v>
      </c>
      <c r="AD31" s="71">
        <f t="shared" ref="AD31:AF31" ca="1" si="49">SUM(AD32:AD51)</f>
        <v>290</v>
      </c>
      <c r="AE31" s="71">
        <f t="shared" ca="1" si="49"/>
        <v>29</v>
      </c>
      <c r="AF31" s="71">
        <f t="shared" ca="1" si="49"/>
        <v>0</v>
      </c>
      <c r="AG31" s="114">
        <f t="shared" ca="1" si="41"/>
        <v>0</v>
      </c>
      <c r="AH31" s="71">
        <f ca="1">SUM(AH32:AH51)</f>
        <v>0</v>
      </c>
      <c r="AI31" s="114">
        <f t="shared" ca="1" si="42"/>
        <v>0</v>
      </c>
      <c r="AJ31" s="71">
        <f t="shared" ref="AJ31:AK31" ca="1" si="50">SUM(AJ32:AJ51)</f>
        <v>2</v>
      </c>
      <c r="AK31" s="71">
        <f t="shared" ca="1" si="50"/>
        <v>0</v>
      </c>
      <c r="AL31" s="114">
        <f t="shared" ca="1" si="44"/>
        <v>0</v>
      </c>
    </row>
    <row r="32" spans="1:38" ht="21" customHeight="1" x14ac:dyDescent="0.3">
      <c r="A32" s="172">
        <v>1</v>
      </c>
      <c r="B32" s="173" t="s">
        <v>58</v>
      </c>
      <c r="C32" s="174">
        <f t="shared" ca="1" si="26"/>
        <v>0</v>
      </c>
      <c r="D32" s="175">
        <f t="shared" ref="D32:D51" ca="1" si="51">+E32+F32</f>
        <v>0</v>
      </c>
      <c r="E32" s="176">
        <f ca="1">IFERROR(__xludf.DUMMYFUNCTION("IMPORTRANGE(""https://docs.google.com/spreadsheets/d/1-uDff_7J0KD5mKrp0Vvzr7lt3OU09vwQwhkpOPPYv2Y/edit?usp=sharing"",""งบพรบ!BR32"")"),0)</f>
        <v>0</v>
      </c>
      <c r="F32" s="176">
        <f ca="1">IFERROR(__xludf.DUMMYFUNCTION("IMPORTRANGE(""https://docs.google.com/spreadsheets/d/1-uDff_7J0KD5mKrp0Vvzr7lt3OU09vwQwhkpOPPYv2Y/edit?usp=sharing"",""งบพรบ!BS32"")"),0)</f>
        <v>0</v>
      </c>
      <c r="G32" s="177">
        <f ca="1">IFERROR(__xludf.DUMMYFUNCTION("IMPORTRANGE(""https://docs.google.com/spreadsheets/d/1-uDff_7J0KD5mKrp0Vvzr7lt3OU09vwQwhkpOPPYv2Y/edit?usp=sharing"",""งบพรบ!BT32"")"),0)</f>
        <v>0</v>
      </c>
      <c r="H32" s="177">
        <f ca="1">IFERROR(__xludf.DUMMYFUNCTION("IMPORTRANGE(""https://docs.google.com/spreadsheets/d/1-uDff_7J0KD5mKrp0Vvzr7lt3OU09vwQwhkpOPPYv2Y/edit?usp=sharing"",""งบพรบ!BV32"")"),0)</f>
        <v>0</v>
      </c>
      <c r="I32" s="177">
        <f ca="1">IFERROR(__xludf.DUMMYFUNCTION("IMPORTRANGE(""https://docs.google.com/spreadsheets/d/1-uDff_7J0KD5mKrp0Vvzr7lt3OU09vwQwhkpOPPYv2Y/edit?usp=sharing"",""งบพรบ!BW32"")"),0)</f>
        <v>0</v>
      </c>
      <c r="J32" s="177">
        <f t="shared" ca="1" si="28"/>
        <v>0</v>
      </c>
      <c r="K32" s="178">
        <f t="shared" ca="1" si="29"/>
        <v>0</v>
      </c>
      <c r="L32" s="177">
        <f ca="1">IFERROR(__xludf.DUMMYFUNCTION("IMPORTRANGE(""https://docs.google.com/spreadsheets/d/1-uDff_7J0KD5mKrp0Vvzr7lt3OU09vwQwhkpOPPYv2Y/edit?usp=sharing"",""งบพรบ!BX32"")"),0)</f>
        <v>0</v>
      </c>
      <c r="M32" s="87">
        <f t="shared" ca="1" si="30"/>
        <v>0</v>
      </c>
      <c r="N32" s="87">
        <f t="shared" ca="1" si="31"/>
        <v>0</v>
      </c>
      <c r="O32" s="86">
        <f ca="1">IFERROR(__xludf.DUMMYFUNCTION("IMPORTRANGE(""https://docs.google.com/spreadsheets/d/1-uDff_7J0KD5mKrp0Vvzr7lt3OU09vwQwhkpOPPYv2Y/edit?usp=sharing"",""งบพรบ!BY32"")"),0)</f>
        <v>0</v>
      </c>
      <c r="P32" s="86">
        <f t="shared" ca="1" si="32"/>
        <v>0</v>
      </c>
      <c r="Q32" s="87">
        <f t="shared" ca="1" si="33"/>
        <v>0</v>
      </c>
      <c r="R32" s="86">
        <f ca="1">IFERROR(__xludf.DUMMYFUNCTION("IMPORTRANGE(""https://docs.google.com/spreadsheets/d/1yhBcrRPreicbMKl9Bu_Snb2-OcQAF62RKfhTLhJ2eAA/edit?usp=sharing"",""กาฬสินธุ์!Q139"")"),0)</f>
        <v>0</v>
      </c>
      <c r="S32" s="86">
        <f ca="1">IFERROR(__xludf.DUMMYFUNCTION("IMPORTRANGE(""https://docs.google.com/spreadsheets/d/1yhBcrRPreicbMKl9Bu_Snb2-OcQAF62RKfhTLhJ2eAA/edit?usp=sharing"",""กาฬสินธุ์!R139"")"),0)</f>
        <v>0</v>
      </c>
      <c r="T32" s="86">
        <f ca="1">IFERROR(__xludf.DUMMYFUNCTION("IMPORTRANGE(""https://docs.google.com/spreadsheets/d/1yhBcrRPreicbMKl9Bu_Snb2-OcQAF62RKfhTLhJ2eAA/edit?usp=sharing"",""กาฬสินธุ์!S139"")"),0)</f>
        <v>0</v>
      </c>
      <c r="U32" s="87">
        <f t="shared" ca="1" si="35"/>
        <v>0</v>
      </c>
      <c r="V32" s="87">
        <f t="shared" ca="1" si="36"/>
        <v>0</v>
      </c>
      <c r="W32" s="82">
        <f ca="1">IFERROR(__xludf.DUMMYFUNCTION("IMPORTRANGE(""https://docs.google.com/spreadsheets/d/1yhBcrRPreicbMKl9Bu_Snb2-OcQAF62RKfhTLhJ2eAA/edit?usp=sharing"",""กาฬสินธุ์!J149"")"),0)</f>
        <v>0</v>
      </c>
      <c r="X32" s="82">
        <f ca="1">IFERROR(__xludf.DUMMYFUNCTION("IMPORTRANGE(""https://docs.google.com/spreadsheets/d/1yhBcrRPreicbMKl9Bu_Snb2-OcQAF62RKfhTLhJ2eAA/edit?usp=sharing"",""กาฬสินธุ์!I150"")"),0)</f>
        <v>0</v>
      </c>
      <c r="Y32" s="82">
        <f ca="1">IFERROR(__xludf.DUMMYFUNCTION("IMPORTRANGE(""https://docs.google.com/spreadsheets/d/1yhBcrRPreicbMKl9Bu_Snb2-OcQAF62RKfhTLhJ2eAA/edit?usp=sharing"",""กาฬสินธุ์!I151"")"),0)</f>
        <v>0</v>
      </c>
      <c r="Z32" s="82">
        <f ca="1">IFERROR(__xludf.DUMMYFUNCTION("IMPORTRANGE(""https://docs.google.com/spreadsheets/d/1yhBcrRPreicbMKl9Bu_Snb2-OcQAF62RKfhTLhJ2eAA/edit?usp=sharing"",""กาฬสินธุ์!J150"")"),0)</f>
        <v>0</v>
      </c>
      <c r="AA32" s="88">
        <f t="shared" ca="1" si="38"/>
        <v>0</v>
      </c>
      <c r="AB32" s="82">
        <f ca="1">IFERROR(__xludf.DUMMYFUNCTION("IMPORTRANGE(""https://docs.google.com/spreadsheets/d/1yhBcrRPreicbMKl9Bu_Snb2-OcQAF62RKfhTLhJ2eAA/edit?usp=sharing"",""กาฬสินธุ์!J151"")"),0)</f>
        <v>0</v>
      </c>
      <c r="AC32" s="88">
        <f t="shared" ca="1" si="39"/>
        <v>0</v>
      </c>
      <c r="AD32" s="82">
        <f ca="1">IFERROR(__xludf.DUMMYFUNCTION("IMPORTRANGE(""https://docs.google.com/spreadsheets/d/1yhBcrRPreicbMKl9Bu_Snb2-OcQAF62RKfhTLhJ2eAA/edit?usp=sharing"",""กาฬสินธุ์!I152"")"),0)</f>
        <v>0</v>
      </c>
      <c r="AE32" s="82">
        <f ca="1">IFERROR(__xludf.DUMMYFUNCTION("IMPORTRANGE(""https://docs.google.com/spreadsheets/d/1yhBcrRPreicbMKl9Bu_Snb2-OcQAF62RKfhTLhJ2eAA/edit?usp=sharing"",""กาฬสินธุ์!I153"")"),0)</f>
        <v>0</v>
      </c>
      <c r="AF32" s="82">
        <f ca="1">IFERROR(__xludf.DUMMYFUNCTION("IMPORTRANGE(""https://docs.google.com/spreadsheets/d/1yhBcrRPreicbMKl9Bu_Snb2-OcQAF62RKfhTLhJ2eAA/edit?usp=sharing"",""กาฬสินธุ์!J152"")"),0)</f>
        <v>0</v>
      </c>
      <c r="AG32" s="88">
        <f t="shared" ca="1" si="41"/>
        <v>0</v>
      </c>
      <c r="AH32" s="82">
        <f ca="1">IFERROR(__xludf.DUMMYFUNCTION("IMPORTRANGE(""https://docs.google.com/spreadsheets/d/1yhBcrRPreicbMKl9Bu_Snb2-OcQAF62RKfhTLhJ2eAA/edit?usp=sharing"",""กาฬสินธุ์!J153"")"),0)</f>
        <v>0</v>
      </c>
      <c r="AI32" s="88">
        <f t="shared" ca="1" si="42"/>
        <v>0</v>
      </c>
      <c r="AJ32" s="82">
        <f ca="1">IFERROR(__xludf.DUMMYFUNCTION("IMPORTRANGE(""https://docs.google.com/spreadsheets/d/1yhBcrRPreicbMKl9Bu_Snb2-OcQAF62RKfhTLhJ2eAA/edit?usp=sharing"",""กาฬสินธุ์!I154"")"),0)</f>
        <v>0</v>
      </c>
      <c r="AK32" s="82">
        <f ca="1">IFERROR(__xludf.DUMMYFUNCTION("IMPORTRANGE(""https://docs.google.com/spreadsheets/d/1yhBcrRPreicbMKl9Bu_Snb2-OcQAF62RKfhTLhJ2eAA/edit?usp=sharing"",""กาฬสินธุ์!J154"")"),0)</f>
        <v>0</v>
      </c>
      <c r="AL32" s="88">
        <f t="shared" ca="1" si="44"/>
        <v>0</v>
      </c>
    </row>
    <row r="33" spans="1:38" ht="21" customHeight="1" x14ac:dyDescent="0.3">
      <c r="A33" s="172">
        <v>2</v>
      </c>
      <c r="B33" s="173" t="s">
        <v>59</v>
      </c>
      <c r="C33" s="174">
        <f t="shared" ca="1" si="26"/>
        <v>23300</v>
      </c>
      <c r="D33" s="175">
        <f t="shared" ca="1" si="51"/>
        <v>23300</v>
      </c>
      <c r="E33" s="176">
        <f ca="1">IFERROR(__xludf.DUMMYFUNCTION("IMPORTRANGE(""https://docs.google.com/spreadsheets/d/1-uDff_7J0KD5mKrp0Vvzr7lt3OU09vwQwhkpOPPYv2Y/edit?usp=sharing"",""งบพรบ!BR33"")"),0)</f>
        <v>0</v>
      </c>
      <c r="F33" s="176">
        <f ca="1">IFERROR(__xludf.DUMMYFUNCTION("IMPORTRANGE(""https://docs.google.com/spreadsheets/d/1-uDff_7J0KD5mKrp0Vvzr7lt3OU09vwQwhkpOPPYv2Y/edit?usp=sharing"",""งบพรบ!BS33"")"),23300)</f>
        <v>23300</v>
      </c>
      <c r="G33" s="176">
        <f ca="1">IFERROR(__xludf.DUMMYFUNCTION("IMPORTRANGE(""https://docs.google.com/spreadsheets/d/1-uDff_7J0KD5mKrp0Vvzr7lt3OU09vwQwhkpOPPYv2Y/edit?usp=sharing"",""งบพรบ!BT33"")"),0)</f>
        <v>0</v>
      </c>
      <c r="H33" s="176">
        <f ca="1">IFERROR(__xludf.DUMMYFUNCTION("IMPORTRANGE(""https://docs.google.com/spreadsheets/d/1-uDff_7J0KD5mKrp0Vvzr7lt3OU09vwQwhkpOPPYv2Y/edit?usp=sharing"",""งบพรบ!BV33"")"),18300)</f>
        <v>18300</v>
      </c>
      <c r="I33" s="176">
        <f ca="1">IFERROR(__xludf.DUMMYFUNCTION("IMPORTRANGE(""https://docs.google.com/spreadsheets/d/1-uDff_7J0KD5mKrp0Vvzr7lt3OU09vwQwhkpOPPYv2Y/edit?usp=sharing"",""งบพรบ!BW33"")"),0)</f>
        <v>0</v>
      </c>
      <c r="J33" s="176">
        <f t="shared" ca="1" si="28"/>
        <v>0</v>
      </c>
      <c r="K33" s="179">
        <f t="shared" ca="1" si="29"/>
        <v>0</v>
      </c>
      <c r="L33" s="176">
        <f ca="1">IFERROR(__xludf.DUMMYFUNCTION("IMPORTRANGE(""https://docs.google.com/spreadsheets/d/1-uDff_7J0KD5mKrp0Vvzr7lt3OU09vwQwhkpOPPYv2Y/edit?usp=sharing"",""งบพรบ!BX33"")"),0)</f>
        <v>0</v>
      </c>
      <c r="M33" s="87">
        <f t="shared" ca="1" si="30"/>
        <v>0</v>
      </c>
      <c r="N33" s="87">
        <f t="shared" ca="1" si="31"/>
        <v>0</v>
      </c>
      <c r="O33" s="86">
        <f ca="1">IFERROR(__xludf.DUMMYFUNCTION("IMPORTRANGE(""https://docs.google.com/spreadsheets/d/1-uDff_7J0KD5mKrp0Vvzr7lt3OU09vwQwhkpOPPYv2Y/edit?usp=sharing"",""งบพรบ!BY33"")"),0)</f>
        <v>0</v>
      </c>
      <c r="P33" s="86">
        <f t="shared" ca="1" si="32"/>
        <v>0</v>
      </c>
      <c r="Q33" s="87">
        <f t="shared" ca="1" si="33"/>
        <v>0</v>
      </c>
      <c r="R33" s="86">
        <f ca="1">IFERROR(__xludf.DUMMYFUNCTION("IMPORTRANGE(""https://docs.google.com/spreadsheets/d/1aHkj4IaQMThhwWwevcOymEh837vdxeC_PycurhTbGFA/edit?usp=sharing"",""ขอนแก่น!Q139"")"),0)</f>
        <v>0</v>
      </c>
      <c r="S33" s="86">
        <f ca="1">IFERROR(__xludf.DUMMYFUNCTION("IMPORTRANGE(""https://docs.google.com/spreadsheets/d/1aHkj4IaQMThhwWwevcOymEh837vdxeC_PycurhTbGFA/edit?usp=sharing"",""ขอนแก่น!R139"")"),0)</f>
        <v>0</v>
      </c>
      <c r="T33" s="86">
        <f ca="1">IFERROR(__xludf.DUMMYFUNCTION("IMPORTRANGE(""https://docs.google.com/spreadsheets/d/1aHkj4IaQMThhwWwevcOymEh837vdxeC_PycurhTbGFA/edit?usp=sharing"",""ขอนแก่น!S139"")"),0)</f>
        <v>0</v>
      </c>
      <c r="U33" s="87">
        <f t="shared" ca="1" si="35"/>
        <v>0</v>
      </c>
      <c r="V33" s="87">
        <f t="shared" ca="1" si="36"/>
        <v>0</v>
      </c>
      <c r="W33" s="97">
        <f ca="1">IFERROR(__xludf.DUMMYFUNCTION("IMPORTRANGE(""https://docs.google.com/spreadsheets/d/1aHkj4IaQMThhwWwevcOymEh837vdxeC_PycurhTbGFA/edit?usp=sharing"",""ขอนแก่น!J149"")"),0)</f>
        <v>0</v>
      </c>
      <c r="X33" s="97">
        <f ca="1">IFERROR(__xludf.DUMMYFUNCTION("IMPORTRANGE(""https://docs.google.com/spreadsheets/d/1aHkj4IaQMThhwWwevcOymEh837vdxeC_PycurhTbGFA/edit?usp=sharing"",""ขอนแก่น!I150"")"),0)</f>
        <v>0</v>
      </c>
      <c r="Y33" s="97">
        <f ca="1">IFERROR(__xludf.DUMMYFUNCTION("IMPORTRANGE(""https://docs.google.com/spreadsheets/d/1aHkj4IaQMThhwWwevcOymEh837vdxeC_PycurhTbGFA/edit?usp=sharing"",""ขอนแก่น!I151"")"),0)</f>
        <v>0</v>
      </c>
      <c r="Z33" s="97">
        <f ca="1">IFERROR(__xludf.DUMMYFUNCTION("IMPORTRANGE(""https://docs.google.com/spreadsheets/d/1aHkj4IaQMThhwWwevcOymEh837vdxeC_PycurhTbGFA/edit?usp=sharing"",""ขอนแก่น!J150"")"),0)</f>
        <v>0</v>
      </c>
      <c r="AA33" s="98">
        <f t="shared" ca="1" si="38"/>
        <v>0</v>
      </c>
      <c r="AB33" s="97">
        <f ca="1">IFERROR(__xludf.DUMMYFUNCTION("IMPORTRANGE(""https://docs.google.com/spreadsheets/d/1aHkj4IaQMThhwWwevcOymEh837vdxeC_PycurhTbGFA/edit?usp=sharing"",""ขอนแก่น!J151"")"),0)</f>
        <v>0</v>
      </c>
      <c r="AC33" s="98">
        <f t="shared" ca="1" si="39"/>
        <v>0</v>
      </c>
      <c r="AD33" s="97">
        <f ca="1">IFERROR(__xludf.DUMMYFUNCTION("IMPORTRANGE(""https://docs.google.com/spreadsheets/d/1aHkj4IaQMThhwWwevcOymEh837vdxeC_PycurhTbGFA/edit?usp=sharing"",""ขอนแก่น!I152"")"),10)</f>
        <v>10</v>
      </c>
      <c r="AE33" s="97">
        <f ca="1">IFERROR(__xludf.DUMMYFUNCTION("IMPORTRANGE(""https://docs.google.com/spreadsheets/d/1aHkj4IaQMThhwWwevcOymEh837vdxeC_PycurhTbGFA/edit?usp=sharing"",""ขอนแก่น!I153"")"),1)</f>
        <v>1</v>
      </c>
      <c r="AF33" s="97">
        <f ca="1">IFERROR(__xludf.DUMMYFUNCTION("IMPORTRANGE(""https://docs.google.com/spreadsheets/d/1aHkj4IaQMThhwWwevcOymEh837vdxeC_PycurhTbGFA/edit?usp=sharing"",""ขอนแก่น!J152"")"),0)</f>
        <v>0</v>
      </c>
      <c r="AG33" s="98">
        <f t="shared" ca="1" si="41"/>
        <v>0</v>
      </c>
      <c r="AH33" s="97">
        <f ca="1">IFERROR(__xludf.DUMMYFUNCTION("IMPORTRANGE(""https://docs.google.com/spreadsheets/d/1aHkj4IaQMThhwWwevcOymEh837vdxeC_PycurhTbGFA/edit?usp=sharing"",""ขอนแก่น!J153"")"),0)</f>
        <v>0</v>
      </c>
      <c r="AI33" s="98">
        <f t="shared" ca="1" si="42"/>
        <v>0</v>
      </c>
      <c r="AJ33" s="97">
        <f ca="1">IFERROR(__xludf.DUMMYFUNCTION("IMPORTRANGE(""https://docs.google.com/spreadsheets/d/1aHkj4IaQMThhwWwevcOymEh837vdxeC_PycurhTbGFA/edit?usp=sharing"",""ขอนแก่น!I154"")"),0)</f>
        <v>0</v>
      </c>
      <c r="AK33" s="97">
        <f ca="1">IFERROR(__xludf.DUMMYFUNCTION("IMPORTRANGE(""https://docs.google.com/spreadsheets/d/1aHkj4IaQMThhwWwevcOymEh837vdxeC_PycurhTbGFA/edit?usp=sharing"",""ขอนแก่น!J154"")"),0)</f>
        <v>0</v>
      </c>
      <c r="AL33" s="98">
        <f t="shared" ca="1" si="44"/>
        <v>0</v>
      </c>
    </row>
    <row r="34" spans="1:38" ht="21" customHeight="1" x14ac:dyDescent="0.3">
      <c r="A34" s="172">
        <v>3</v>
      </c>
      <c r="B34" s="173" t="s">
        <v>60</v>
      </c>
      <c r="C34" s="174">
        <f t="shared" ca="1" si="26"/>
        <v>0</v>
      </c>
      <c r="D34" s="175">
        <f t="shared" ca="1" si="51"/>
        <v>0</v>
      </c>
      <c r="E34" s="176">
        <f ca="1">IFERROR(__xludf.DUMMYFUNCTION("IMPORTRANGE(""https://docs.google.com/spreadsheets/d/1-uDff_7J0KD5mKrp0Vvzr7lt3OU09vwQwhkpOPPYv2Y/edit?usp=sharing"",""งบพรบ!BR34"")"),0)</f>
        <v>0</v>
      </c>
      <c r="F34" s="176">
        <f ca="1">IFERROR(__xludf.DUMMYFUNCTION("IMPORTRANGE(""https://docs.google.com/spreadsheets/d/1-uDff_7J0KD5mKrp0Vvzr7lt3OU09vwQwhkpOPPYv2Y/edit?usp=sharing"",""งบพรบ!BS34"")"),0)</f>
        <v>0</v>
      </c>
      <c r="G34" s="176">
        <f ca="1">IFERROR(__xludf.DUMMYFUNCTION("IMPORTRANGE(""https://docs.google.com/spreadsheets/d/1-uDff_7J0KD5mKrp0Vvzr7lt3OU09vwQwhkpOPPYv2Y/edit?usp=sharing"",""งบพรบ!BT34"")"),0)</f>
        <v>0</v>
      </c>
      <c r="H34" s="176">
        <f ca="1">IFERROR(__xludf.DUMMYFUNCTION("IMPORTRANGE(""https://docs.google.com/spreadsheets/d/1-uDff_7J0KD5mKrp0Vvzr7lt3OU09vwQwhkpOPPYv2Y/edit?usp=sharing"",""งบพรบ!BV34"")"),0)</f>
        <v>0</v>
      </c>
      <c r="I34" s="176">
        <f ca="1">IFERROR(__xludf.DUMMYFUNCTION("IMPORTRANGE(""https://docs.google.com/spreadsheets/d/1-uDff_7J0KD5mKrp0Vvzr7lt3OU09vwQwhkpOPPYv2Y/edit?usp=sharing"",""งบพรบ!BW34"")"),0)</f>
        <v>0</v>
      </c>
      <c r="J34" s="176">
        <f t="shared" ca="1" si="28"/>
        <v>0</v>
      </c>
      <c r="K34" s="179">
        <f t="shared" ca="1" si="29"/>
        <v>0</v>
      </c>
      <c r="L34" s="176">
        <f ca="1">IFERROR(__xludf.DUMMYFUNCTION("IMPORTRANGE(""https://docs.google.com/spreadsheets/d/1-uDff_7J0KD5mKrp0Vvzr7lt3OU09vwQwhkpOPPYv2Y/edit?usp=sharing"",""งบพรบ!BX34"")"),0)</f>
        <v>0</v>
      </c>
      <c r="M34" s="87">
        <f t="shared" ca="1" si="30"/>
        <v>0</v>
      </c>
      <c r="N34" s="87">
        <f t="shared" ca="1" si="31"/>
        <v>0</v>
      </c>
      <c r="O34" s="86">
        <f ca="1">IFERROR(__xludf.DUMMYFUNCTION("IMPORTRANGE(""https://docs.google.com/spreadsheets/d/1-uDff_7J0KD5mKrp0Vvzr7lt3OU09vwQwhkpOPPYv2Y/edit?usp=sharing"",""งบพรบ!BY34"")"),0)</f>
        <v>0</v>
      </c>
      <c r="P34" s="86">
        <f t="shared" ca="1" si="32"/>
        <v>0</v>
      </c>
      <c r="Q34" s="87">
        <f t="shared" ca="1" si="33"/>
        <v>0</v>
      </c>
      <c r="R34" s="86">
        <f ca="1">IFERROR(__xludf.DUMMYFUNCTION("IMPORTRANGE(""https://docs.google.com/spreadsheets/d/1FvTu2DsIWUjP6WCWra38Bkj_oOl_sOMf14r5Fg5srxU/edit?usp=sharing"",""ชัยภูมิ!Q139"")"),0)</f>
        <v>0</v>
      </c>
      <c r="S34" s="86">
        <f ca="1">IFERROR(__xludf.DUMMYFUNCTION("IMPORTRANGE(""https://docs.google.com/spreadsheets/d/1FvTu2DsIWUjP6WCWra38Bkj_oOl_sOMf14r5Fg5srxU/edit?usp=sharing"",""ชัยภูมิ!R139"")"),0)</f>
        <v>0</v>
      </c>
      <c r="T34" s="86">
        <f ca="1">IFERROR(__xludf.DUMMYFUNCTION("IMPORTRANGE(""https://docs.google.com/spreadsheets/d/1FvTu2DsIWUjP6WCWra38Bkj_oOl_sOMf14r5Fg5srxU/edit?usp=sharing"",""ชัยภูมิ!S139"")"),0)</f>
        <v>0</v>
      </c>
      <c r="U34" s="87">
        <f t="shared" ca="1" si="35"/>
        <v>0</v>
      </c>
      <c r="V34" s="87">
        <f t="shared" ca="1" si="36"/>
        <v>0</v>
      </c>
      <c r="W34" s="97">
        <f ca="1">IFERROR(__xludf.DUMMYFUNCTION("IMPORTRANGE(""https://docs.google.com/spreadsheets/d/1FvTu2DsIWUjP6WCWra38Bkj_oOl_sOMf14r5Fg5srxU/edit?usp=sharing"",""ชัยภูมิ!J149"")"),0)</f>
        <v>0</v>
      </c>
      <c r="X34" s="97">
        <f ca="1">IFERROR(__xludf.DUMMYFUNCTION("IMPORTRANGE(""https://docs.google.com/spreadsheets/d/1FvTu2DsIWUjP6WCWra38Bkj_oOl_sOMf14r5Fg5srxU/edit?usp=sharing"",""ชัยภูมิ!I150"")"),0)</f>
        <v>0</v>
      </c>
      <c r="Y34" s="97">
        <f ca="1">IFERROR(__xludf.DUMMYFUNCTION("IMPORTRANGE(""https://docs.google.com/spreadsheets/d/1FvTu2DsIWUjP6WCWra38Bkj_oOl_sOMf14r5Fg5srxU/edit?usp=sharing"",""ชัยภูมิ!I151"")"),0)</f>
        <v>0</v>
      </c>
      <c r="Z34" s="97">
        <f ca="1">IFERROR(__xludf.DUMMYFUNCTION("IMPORTRANGE(""https://docs.google.com/spreadsheets/d/1FvTu2DsIWUjP6WCWra38Bkj_oOl_sOMf14r5Fg5srxU/edit?usp=sharing"",""ชัยภูมิ!J150"")"),0)</f>
        <v>0</v>
      </c>
      <c r="AA34" s="98">
        <f t="shared" ca="1" si="38"/>
        <v>0</v>
      </c>
      <c r="AB34" s="97">
        <f ca="1">IFERROR(__xludf.DUMMYFUNCTION("IMPORTRANGE(""https://docs.google.com/spreadsheets/d/1FvTu2DsIWUjP6WCWra38Bkj_oOl_sOMf14r5Fg5srxU/edit?usp=sharing"",""ชัยภูมิ!J151"")"),0)</f>
        <v>0</v>
      </c>
      <c r="AC34" s="98">
        <f t="shared" ca="1" si="39"/>
        <v>0</v>
      </c>
      <c r="AD34" s="97">
        <f ca="1">IFERROR(__xludf.DUMMYFUNCTION("IMPORTRANGE(""https://docs.google.com/spreadsheets/d/1FvTu2DsIWUjP6WCWra38Bkj_oOl_sOMf14r5Fg5srxU/edit?usp=sharing"",""ชัยภูมิ!I152"")"),0)</f>
        <v>0</v>
      </c>
      <c r="AE34" s="97">
        <f ca="1">IFERROR(__xludf.DUMMYFUNCTION("IMPORTRANGE(""https://docs.google.com/spreadsheets/d/1FvTu2DsIWUjP6WCWra38Bkj_oOl_sOMf14r5Fg5srxU/edit?usp=sharing"",""ชัยภูมิ!I153"")"),0)</f>
        <v>0</v>
      </c>
      <c r="AF34" s="97">
        <f ca="1">IFERROR(__xludf.DUMMYFUNCTION("IMPORTRANGE(""https://docs.google.com/spreadsheets/d/1FvTu2DsIWUjP6WCWra38Bkj_oOl_sOMf14r5Fg5srxU/edit?usp=sharing"",""ชัยภูมิ!J152"")"),0)</f>
        <v>0</v>
      </c>
      <c r="AG34" s="98">
        <f t="shared" ca="1" si="41"/>
        <v>0</v>
      </c>
      <c r="AH34" s="97">
        <f ca="1">IFERROR(__xludf.DUMMYFUNCTION("IMPORTRANGE(""https://docs.google.com/spreadsheets/d/1FvTu2DsIWUjP6WCWra38Bkj_oOl_sOMf14r5Fg5srxU/edit?usp=sharing"",""ชัยภูมิ!J153"")"),0)</f>
        <v>0</v>
      </c>
      <c r="AI34" s="98">
        <f t="shared" ca="1" si="42"/>
        <v>0</v>
      </c>
      <c r="AJ34" s="97">
        <f ca="1">IFERROR(__xludf.DUMMYFUNCTION("IMPORTRANGE(""https://docs.google.com/spreadsheets/d/1FvTu2DsIWUjP6WCWra38Bkj_oOl_sOMf14r5Fg5srxU/edit?usp=sharing"",""ชัยภูมิ!I154"")"),0)</f>
        <v>0</v>
      </c>
      <c r="AK34" s="97">
        <f ca="1">IFERROR(__xludf.DUMMYFUNCTION("IMPORTRANGE(""https://docs.google.com/spreadsheets/d/1FvTu2DsIWUjP6WCWra38Bkj_oOl_sOMf14r5Fg5srxU/edit?usp=sharing"",""ชัยภูมิ!J154"")"),0)</f>
        <v>0</v>
      </c>
      <c r="AL34" s="98">
        <f t="shared" ca="1" si="44"/>
        <v>0</v>
      </c>
    </row>
    <row r="35" spans="1:38" ht="21" customHeight="1" x14ac:dyDescent="0.3">
      <c r="A35" s="172">
        <v>4</v>
      </c>
      <c r="B35" s="173" t="s">
        <v>61</v>
      </c>
      <c r="C35" s="174">
        <f t="shared" ca="1" si="26"/>
        <v>106200</v>
      </c>
      <c r="D35" s="175">
        <f t="shared" ca="1" si="51"/>
        <v>106200</v>
      </c>
      <c r="E35" s="176">
        <f ca="1">IFERROR(__xludf.DUMMYFUNCTION("IMPORTRANGE(""https://docs.google.com/spreadsheets/d/1-uDff_7J0KD5mKrp0Vvzr7lt3OU09vwQwhkpOPPYv2Y/edit?usp=sharing"",""งบพรบ!BR35"")"),82900)</f>
        <v>82900</v>
      </c>
      <c r="F35" s="176">
        <f ca="1">IFERROR(__xludf.DUMMYFUNCTION("IMPORTRANGE(""https://docs.google.com/spreadsheets/d/1-uDff_7J0KD5mKrp0Vvzr7lt3OU09vwQwhkpOPPYv2Y/edit?usp=sharing"",""งบพรบ!BS35"")"),23300)</f>
        <v>23300</v>
      </c>
      <c r="G35" s="176">
        <f ca="1">IFERROR(__xludf.DUMMYFUNCTION("IMPORTRANGE(""https://docs.google.com/spreadsheets/d/1-uDff_7J0KD5mKrp0Vvzr7lt3OU09vwQwhkpOPPYv2Y/edit?usp=sharing"",""งบพรบ!BT35"")"),0)</f>
        <v>0</v>
      </c>
      <c r="H35" s="176">
        <f ca="1">IFERROR(__xludf.DUMMYFUNCTION("IMPORTRANGE(""https://docs.google.com/spreadsheets/d/1-uDff_7J0KD5mKrp0Vvzr7lt3OU09vwQwhkpOPPYv2Y/edit?usp=sharing"",""งบพรบ!BV35"")"),101200)</f>
        <v>101200</v>
      </c>
      <c r="I35" s="176">
        <f ca="1">IFERROR(__xludf.DUMMYFUNCTION("IMPORTRANGE(""https://docs.google.com/spreadsheets/d/1-uDff_7J0KD5mKrp0Vvzr7lt3OU09vwQwhkpOPPYv2Y/edit?usp=sharing"",""งบพรบ!BW35"")"),0)</f>
        <v>0</v>
      </c>
      <c r="J35" s="176">
        <f t="shared" ca="1" si="28"/>
        <v>49825.1</v>
      </c>
      <c r="K35" s="179">
        <f t="shared" ca="1" si="29"/>
        <v>46.916290018832392</v>
      </c>
      <c r="L35" s="176">
        <f ca="1">IFERROR(__xludf.DUMMYFUNCTION("IMPORTRANGE(""https://docs.google.com/spreadsheets/d/1-uDff_7J0KD5mKrp0Vvzr7lt3OU09vwQwhkpOPPYv2Y/edit?usp=sharing"",""งบพรบ!BX35"")"),49825.1)</f>
        <v>49825.1</v>
      </c>
      <c r="M35" s="87">
        <f t="shared" ca="1" si="30"/>
        <v>46.916290018832392</v>
      </c>
      <c r="N35" s="87">
        <f t="shared" ca="1" si="31"/>
        <v>49.234288537549411</v>
      </c>
      <c r="O35" s="86">
        <f ca="1">IFERROR(__xludf.DUMMYFUNCTION("IMPORTRANGE(""https://docs.google.com/spreadsheets/d/1-uDff_7J0KD5mKrp0Vvzr7lt3OU09vwQwhkpOPPYv2Y/edit?usp=sharing"",""งบพรบ!BY35"")"),0)</f>
        <v>0</v>
      </c>
      <c r="P35" s="86">
        <f t="shared" ca="1" si="32"/>
        <v>0</v>
      </c>
      <c r="Q35" s="87">
        <f t="shared" ca="1" si="33"/>
        <v>0</v>
      </c>
      <c r="R35" s="86">
        <f ca="1">IFERROR(__xludf.DUMMYFUNCTION("IMPORTRANGE(""https://docs.google.com/spreadsheets/d/1XVB7oCJ3pr-vBUdflwPQ8Z2LlzhnCvZaaYjAfP-647E/edit?usp=sharing"",""นครพนม!Q139"")"),0)</f>
        <v>0</v>
      </c>
      <c r="S35" s="86">
        <f ca="1">IFERROR(__xludf.DUMMYFUNCTION("IMPORTRANGE(""https://docs.google.com/spreadsheets/d/1XVB7oCJ3pr-vBUdflwPQ8Z2LlzhnCvZaaYjAfP-647E/edit?usp=sharing"",""นครพนม!R139"")"),0)</f>
        <v>0</v>
      </c>
      <c r="T35" s="86">
        <f ca="1">IFERROR(__xludf.DUMMYFUNCTION("IMPORTRANGE(""https://docs.google.com/spreadsheets/d/1XVB7oCJ3pr-vBUdflwPQ8Z2LlzhnCvZaaYjAfP-647E/edit?usp=sharing"",""นครพนม!S139"")"),0)</f>
        <v>0</v>
      </c>
      <c r="U35" s="87">
        <f t="shared" ca="1" si="35"/>
        <v>0</v>
      </c>
      <c r="V35" s="87">
        <f t="shared" ca="1" si="36"/>
        <v>0</v>
      </c>
      <c r="W35" s="97">
        <f ca="1">IFERROR(__xludf.DUMMYFUNCTION("IMPORTRANGE(""https://docs.google.com/spreadsheets/d/1XVB7oCJ3pr-vBUdflwPQ8Z2LlzhnCvZaaYjAfP-647E/edit?usp=sharing"",""นครพนม!J149"")"),0)</f>
        <v>0</v>
      </c>
      <c r="X35" s="97">
        <f ca="1">IFERROR(__xludf.DUMMYFUNCTION("IMPORTRANGE(""https://docs.google.com/spreadsheets/d/1XVB7oCJ3pr-vBUdflwPQ8Z2LlzhnCvZaaYjAfP-647E/edit?usp=sharing"",""นครพนม!I150"")"),0)</f>
        <v>0</v>
      </c>
      <c r="Y35" s="97">
        <f ca="1">IFERROR(__xludf.DUMMYFUNCTION("IMPORTRANGE(""https://docs.google.com/spreadsheets/d/1XVB7oCJ3pr-vBUdflwPQ8Z2LlzhnCvZaaYjAfP-647E/edit?usp=sharing"",""นครพนม!I151"")"),0)</f>
        <v>0</v>
      </c>
      <c r="Z35" s="97">
        <f ca="1">IFERROR(__xludf.DUMMYFUNCTION("IMPORTRANGE(""https://docs.google.com/spreadsheets/d/1XVB7oCJ3pr-vBUdflwPQ8Z2LlzhnCvZaaYjAfP-647E/edit?usp=sharing"",""นครพนม!J150"")"),0)</f>
        <v>0</v>
      </c>
      <c r="AA35" s="98">
        <f t="shared" ca="1" si="38"/>
        <v>0</v>
      </c>
      <c r="AB35" s="97">
        <f ca="1">IFERROR(__xludf.DUMMYFUNCTION("IMPORTRANGE(""https://docs.google.com/spreadsheets/d/1XVB7oCJ3pr-vBUdflwPQ8Z2LlzhnCvZaaYjAfP-647E/edit?usp=sharing"",""นครพนม!J151"")"),0)</f>
        <v>0</v>
      </c>
      <c r="AC35" s="98">
        <f t="shared" ca="1" si="39"/>
        <v>0</v>
      </c>
      <c r="AD35" s="97">
        <f ca="1">IFERROR(__xludf.DUMMYFUNCTION("IMPORTRANGE(""https://docs.google.com/spreadsheets/d/1XVB7oCJ3pr-vBUdflwPQ8Z2LlzhnCvZaaYjAfP-647E/edit?usp=sharing"",""นครพนม!I152"")"),10)</f>
        <v>10</v>
      </c>
      <c r="AE35" s="97">
        <f ca="1">IFERROR(__xludf.DUMMYFUNCTION("IMPORTRANGE(""https://docs.google.com/spreadsheets/d/1XVB7oCJ3pr-vBUdflwPQ8Z2LlzhnCvZaaYjAfP-647E/edit?usp=sharing"",""นครพนม!I153"")"),1)</f>
        <v>1</v>
      </c>
      <c r="AF35" s="97">
        <f ca="1">IFERROR(__xludf.DUMMYFUNCTION("IMPORTRANGE(""https://docs.google.com/spreadsheets/d/1XVB7oCJ3pr-vBUdflwPQ8Z2LlzhnCvZaaYjAfP-647E/edit?usp=sharing"",""นครพนม!J152"")"),0)</f>
        <v>0</v>
      </c>
      <c r="AG35" s="98">
        <f t="shared" ca="1" si="41"/>
        <v>0</v>
      </c>
      <c r="AH35" s="97">
        <f ca="1">IFERROR(__xludf.DUMMYFUNCTION("IMPORTRANGE(""https://docs.google.com/spreadsheets/d/1XVB7oCJ3pr-vBUdflwPQ8Z2LlzhnCvZaaYjAfP-647E/edit?usp=sharing"",""นครพนม!J153"")"),0)</f>
        <v>0</v>
      </c>
      <c r="AI35" s="98">
        <f t="shared" ca="1" si="42"/>
        <v>0</v>
      </c>
      <c r="AJ35" s="97">
        <f ca="1">IFERROR(__xludf.DUMMYFUNCTION("IMPORTRANGE(""https://docs.google.com/spreadsheets/d/1XVB7oCJ3pr-vBUdflwPQ8Z2LlzhnCvZaaYjAfP-647E/edit?usp=sharing"",""นครพนม!I154"")"),0)</f>
        <v>0</v>
      </c>
      <c r="AK35" s="97">
        <f ca="1">IFERROR(__xludf.DUMMYFUNCTION("IMPORTRANGE(""https://docs.google.com/spreadsheets/d/1XVB7oCJ3pr-vBUdflwPQ8Z2LlzhnCvZaaYjAfP-647E/edit?usp=sharing"",""นครพนม!J154"")"),0)</f>
        <v>0</v>
      </c>
      <c r="AL35" s="98">
        <f t="shared" ca="1" si="44"/>
        <v>0</v>
      </c>
    </row>
    <row r="36" spans="1:38" ht="21" customHeight="1" x14ac:dyDescent="0.3">
      <c r="A36" s="172">
        <v>5</v>
      </c>
      <c r="B36" s="173" t="s">
        <v>62</v>
      </c>
      <c r="C36" s="174">
        <f t="shared" ca="1" si="26"/>
        <v>91400</v>
      </c>
      <c r="D36" s="175">
        <f t="shared" ca="1" si="51"/>
        <v>91400</v>
      </c>
      <c r="E36" s="176">
        <f ca="1">IFERROR(__xludf.DUMMYFUNCTION("IMPORTRANGE(""https://docs.google.com/spreadsheets/d/1-uDff_7J0KD5mKrp0Vvzr7lt3OU09vwQwhkpOPPYv2Y/edit?usp=sharing"",""งบพรบ!BR36"")"),0)</f>
        <v>0</v>
      </c>
      <c r="F36" s="176">
        <f ca="1">IFERROR(__xludf.DUMMYFUNCTION("IMPORTRANGE(""https://docs.google.com/spreadsheets/d/1-uDff_7J0KD5mKrp0Vvzr7lt3OU09vwQwhkpOPPYv2Y/edit?usp=sharing"",""งบพรบ!BS36"")"),91400)</f>
        <v>91400</v>
      </c>
      <c r="G36" s="176">
        <f ca="1">IFERROR(__xludf.DUMMYFUNCTION("IMPORTRANGE(""https://docs.google.com/spreadsheets/d/1-uDff_7J0KD5mKrp0Vvzr7lt3OU09vwQwhkpOPPYv2Y/edit?usp=sharing"",""งบพรบ!BT36"")"),0)</f>
        <v>0</v>
      </c>
      <c r="H36" s="176">
        <f ca="1">IFERROR(__xludf.DUMMYFUNCTION("IMPORTRANGE(""https://docs.google.com/spreadsheets/d/1-uDff_7J0KD5mKrp0Vvzr7lt3OU09vwQwhkpOPPYv2Y/edit?usp=sharing"",""งบพรบ!BV36"")"),86400)</f>
        <v>86400</v>
      </c>
      <c r="I36" s="176">
        <f ca="1">IFERROR(__xludf.DUMMYFUNCTION("IMPORTRANGE(""https://docs.google.com/spreadsheets/d/1-uDff_7J0KD5mKrp0Vvzr7lt3OU09vwQwhkpOPPYv2Y/edit?usp=sharing"",""งบพรบ!BW36"")"),0)</f>
        <v>0</v>
      </c>
      <c r="J36" s="176">
        <f t="shared" ca="1" si="28"/>
        <v>1160</v>
      </c>
      <c r="K36" s="179">
        <f t="shared" ca="1" si="29"/>
        <v>1.2691466083150984</v>
      </c>
      <c r="L36" s="176">
        <f ca="1">IFERROR(__xludf.DUMMYFUNCTION("IMPORTRANGE(""https://docs.google.com/spreadsheets/d/1-uDff_7J0KD5mKrp0Vvzr7lt3OU09vwQwhkpOPPYv2Y/edit?usp=sharing"",""งบพรบ!BX36"")"),1160)</f>
        <v>1160</v>
      </c>
      <c r="M36" s="87">
        <f t="shared" ca="1" si="30"/>
        <v>1.2691466083150984</v>
      </c>
      <c r="N36" s="87">
        <f t="shared" ca="1" si="31"/>
        <v>1.3425925925925926</v>
      </c>
      <c r="O36" s="86">
        <f ca="1">IFERROR(__xludf.DUMMYFUNCTION("IMPORTRANGE(""https://docs.google.com/spreadsheets/d/1-uDff_7J0KD5mKrp0Vvzr7lt3OU09vwQwhkpOPPYv2Y/edit?usp=sharing"",""งบพรบ!BY36"")"),0)</f>
        <v>0</v>
      </c>
      <c r="P36" s="86">
        <f t="shared" ca="1" si="32"/>
        <v>0</v>
      </c>
      <c r="Q36" s="87">
        <f t="shared" ca="1" si="33"/>
        <v>0</v>
      </c>
      <c r="R36" s="86">
        <f ca="1">IFERROR(__xludf.DUMMYFUNCTION("IMPORTRANGE(""https://docs.google.com/spreadsheets/d/1Mnpb-8PYAgn85W6KOTD40hc_Xc55CaLfHoGAbrZ8tls/edit?usp=sharing"",""นครราชสีมา!Q139"")"),0)</f>
        <v>0</v>
      </c>
      <c r="S36" s="86">
        <f ca="1">IFERROR(__xludf.DUMMYFUNCTION("IMPORTRANGE(""https://docs.google.com/spreadsheets/d/1Mnpb-8PYAgn85W6KOTD40hc_Xc55CaLfHoGAbrZ8tls/edit?usp=sharing"",""นครราชสีมา!R139"")"),0)</f>
        <v>0</v>
      </c>
      <c r="T36" s="86">
        <f ca="1">IFERROR(__xludf.DUMMYFUNCTION("IMPORTRANGE(""https://docs.google.com/spreadsheets/d/1Mnpb-8PYAgn85W6KOTD40hc_Xc55CaLfHoGAbrZ8tls/edit?usp=sharing"",""นครราชสีมา!S139"")"),0)</f>
        <v>0</v>
      </c>
      <c r="U36" s="87">
        <f t="shared" ca="1" si="35"/>
        <v>0</v>
      </c>
      <c r="V36" s="87">
        <f t="shared" ca="1" si="36"/>
        <v>0</v>
      </c>
      <c r="W36" s="97">
        <f ca="1">IFERROR(__xludf.DUMMYFUNCTION("IMPORTRANGE(""https://docs.google.com/spreadsheets/d/1Mnpb-8PYAgn85W6KOTD40hc_Xc55CaLfHoGAbrZ8tls/edit?usp=sharing"",""นครราชสีมา!J149"")"),0)</f>
        <v>0</v>
      </c>
      <c r="X36" s="97">
        <f ca="1">IFERROR(__xludf.DUMMYFUNCTION("IMPORTRANGE(""https://docs.google.com/spreadsheets/d/1Mnpb-8PYAgn85W6KOTD40hc_Xc55CaLfHoGAbrZ8tls/edit?usp=sharing"",""นครราชสีมา!I150"")"),20)</f>
        <v>20</v>
      </c>
      <c r="Y36" s="97">
        <f ca="1">IFERROR(__xludf.DUMMYFUNCTION("IMPORTRANGE(""https://docs.google.com/spreadsheets/d/1Mnpb-8PYAgn85W6KOTD40hc_Xc55CaLfHoGAbrZ8tls/edit?usp=sharing"",""นครราชสีมา!I151"")"),2)</f>
        <v>2</v>
      </c>
      <c r="Z36" s="97">
        <f ca="1">IFERROR(__xludf.DUMMYFUNCTION("IMPORTRANGE(""https://docs.google.com/spreadsheets/d/1Mnpb-8PYAgn85W6KOTD40hc_Xc55CaLfHoGAbrZ8tls/edit?usp=sharing"",""นครราชสีมา!J150"")"),0)</f>
        <v>0</v>
      </c>
      <c r="AA36" s="98">
        <f t="shared" ca="1" si="38"/>
        <v>0</v>
      </c>
      <c r="AB36" s="97">
        <f ca="1">IFERROR(__xludf.DUMMYFUNCTION("IMPORTRANGE(""https://docs.google.com/spreadsheets/d/1Mnpb-8PYAgn85W6KOTD40hc_Xc55CaLfHoGAbrZ8tls/edit?usp=sharing"",""นครราชสีมา!J151"")"),0)</f>
        <v>0</v>
      </c>
      <c r="AC36" s="98">
        <f t="shared" ca="1" si="39"/>
        <v>0</v>
      </c>
      <c r="AD36" s="97">
        <f ca="1">IFERROR(__xludf.DUMMYFUNCTION("IMPORTRANGE(""https://docs.google.com/spreadsheets/d/1Mnpb-8PYAgn85W6KOTD40hc_Xc55CaLfHoGAbrZ8tls/edit?usp=sharing"",""นครราชสีมา!I152"")"),60)</f>
        <v>60</v>
      </c>
      <c r="AE36" s="97">
        <f ca="1">IFERROR(__xludf.DUMMYFUNCTION("IMPORTRANGE(""https://docs.google.com/spreadsheets/d/1Mnpb-8PYAgn85W6KOTD40hc_Xc55CaLfHoGAbrZ8tls/edit?usp=sharing"",""นครราชสีมา!I153"")"),6)</f>
        <v>6</v>
      </c>
      <c r="AF36" s="97">
        <f ca="1">IFERROR(__xludf.DUMMYFUNCTION("IMPORTRANGE(""https://docs.google.com/spreadsheets/d/1Mnpb-8PYAgn85W6KOTD40hc_Xc55CaLfHoGAbrZ8tls/edit?usp=sharing"",""นครราชสีมา!J152"")"),0)</f>
        <v>0</v>
      </c>
      <c r="AG36" s="98">
        <f t="shared" ca="1" si="41"/>
        <v>0</v>
      </c>
      <c r="AH36" s="97">
        <f ca="1">IFERROR(__xludf.DUMMYFUNCTION("IMPORTRANGE(""https://docs.google.com/spreadsheets/d/1Mnpb-8PYAgn85W6KOTD40hc_Xc55CaLfHoGAbrZ8tls/edit?usp=sharing"",""นครราชสีมา!J153"")"),0)</f>
        <v>0</v>
      </c>
      <c r="AI36" s="98">
        <f t="shared" ca="1" si="42"/>
        <v>0</v>
      </c>
      <c r="AJ36" s="97">
        <f ca="1">IFERROR(__xludf.DUMMYFUNCTION("IMPORTRANGE(""https://docs.google.com/spreadsheets/d/1Mnpb-8PYAgn85W6KOTD40hc_Xc55CaLfHoGAbrZ8tls/edit?usp=sharing"",""นครราชสีมา!I154"")"),2)</f>
        <v>2</v>
      </c>
      <c r="AK36" s="97">
        <f ca="1">IFERROR(__xludf.DUMMYFUNCTION("IMPORTRANGE(""https://docs.google.com/spreadsheets/d/1Mnpb-8PYAgn85W6KOTD40hc_Xc55CaLfHoGAbrZ8tls/edit?usp=sharing"",""นครราชสีมา!J154"")"),0)</f>
        <v>0</v>
      </c>
      <c r="AL36" s="98">
        <f t="shared" ca="1" si="44"/>
        <v>0</v>
      </c>
    </row>
    <row r="37" spans="1:38" ht="21" customHeight="1" x14ac:dyDescent="0.3">
      <c r="A37" s="172">
        <v>6</v>
      </c>
      <c r="B37" s="173" t="s">
        <v>63</v>
      </c>
      <c r="C37" s="174">
        <f t="shared" ca="1" si="26"/>
        <v>23300</v>
      </c>
      <c r="D37" s="175">
        <f t="shared" ca="1" si="51"/>
        <v>23300</v>
      </c>
      <c r="E37" s="176">
        <f ca="1">IFERROR(__xludf.DUMMYFUNCTION("IMPORTRANGE(""https://docs.google.com/spreadsheets/d/1-uDff_7J0KD5mKrp0Vvzr7lt3OU09vwQwhkpOPPYv2Y/edit?usp=sharing"",""งบพรบ!BR37"")"),0)</f>
        <v>0</v>
      </c>
      <c r="F37" s="176">
        <f ca="1">IFERROR(__xludf.DUMMYFUNCTION("IMPORTRANGE(""https://docs.google.com/spreadsheets/d/1-uDff_7J0KD5mKrp0Vvzr7lt3OU09vwQwhkpOPPYv2Y/edit?usp=sharing"",""งบพรบ!BS37"")"),23300)</f>
        <v>23300</v>
      </c>
      <c r="G37" s="176">
        <f ca="1">IFERROR(__xludf.DUMMYFUNCTION("IMPORTRANGE(""https://docs.google.com/spreadsheets/d/1-uDff_7J0KD5mKrp0Vvzr7lt3OU09vwQwhkpOPPYv2Y/edit?usp=sharing"",""งบพรบ!BT37"")"),0)</f>
        <v>0</v>
      </c>
      <c r="H37" s="176">
        <f ca="1">IFERROR(__xludf.DUMMYFUNCTION("IMPORTRANGE(""https://docs.google.com/spreadsheets/d/1-uDff_7J0KD5mKrp0Vvzr7lt3OU09vwQwhkpOPPYv2Y/edit?usp=sharing"",""งบพรบ!BV37"")"),18300)</f>
        <v>18300</v>
      </c>
      <c r="I37" s="176">
        <f ca="1">IFERROR(__xludf.DUMMYFUNCTION("IMPORTRANGE(""https://docs.google.com/spreadsheets/d/1-uDff_7J0KD5mKrp0Vvzr7lt3OU09vwQwhkpOPPYv2Y/edit?usp=sharing"",""งบพรบ!BW37"")"),0)</f>
        <v>0</v>
      </c>
      <c r="J37" s="176">
        <f t="shared" ca="1" si="28"/>
        <v>0</v>
      </c>
      <c r="K37" s="179">
        <f t="shared" ca="1" si="29"/>
        <v>0</v>
      </c>
      <c r="L37" s="176">
        <f ca="1">IFERROR(__xludf.DUMMYFUNCTION("IMPORTRANGE(""https://docs.google.com/spreadsheets/d/1-uDff_7J0KD5mKrp0Vvzr7lt3OU09vwQwhkpOPPYv2Y/edit?usp=sharing"",""งบพรบ!BX37"")"),0)</f>
        <v>0</v>
      </c>
      <c r="M37" s="87">
        <f t="shared" ca="1" si="30"/>
        <v>0</v>
      </c>
      <c r="N37" s="87">
        <f t="shared" ca="1" si="31"/>
        <v>0</v>
      </c>
      <c r="O37" s="86">
        <f ca="1">IFERROR(__xludf.DUMMYFUNCTION("IMPORTRANGE(""https://docs.google.com/spreadsheets/d/1-uDff_7J0KD5mKrp0Vvzr7lt3OU09vwQwhkpOPPYv2Y/edit?usp=sharing"",""งบพรบ!BY37"")"),0)</f>
        <v>0</v>
      </c>
      <c r="P37" s="86">
        <f t="shared" ca="1" si="32"/>
        <v>0</v>
      </c>
      <c r="Q37" s="87">
        <f t="shared" ca="1" si="33"/>
        <v>0</v>
      </c>
      <c r="R37" s="86">
        <f ca="1">IFERROR(__xludf.DUMMYFUNCTION("IMPORTRANGE(""https://docs.google.com/spreadsheets/d/1xoDLGBv9CYbyosIhki0kTq6IpYNj-gpjxfobnaDiut0/edit?usp=sharing"",""บึงกาฬ!Q139"")"),0)</f>
        <v>0</v>
      </c>
      <c r="S37" s="86">
        <f ca="1">IFERROR(__xludf.DUMMYFUNCTION("IMPORTRANGE(""https://docs.google.com/spreadsheets/d/1xoDLGBv9CYbyosIhki0kTq6IpYNj-gpjxfobnaDiut0/edit?usp=sharing"",""บึงกาฬ!R139"")"),0)</f>
        <v>0</v>
      </c>
      <c r="T37" s="86">
        <f ca="1">IFERROR(__xludf.DUMMYFUNCTION("IMPORTRANGE(""https://docs.google.com/spreadsheets/d/1xoDLGBv9CYbyosIhki0kTq6IpYNj-gpjxfobnaDiut0/edit?usp=sharing"",""บึงกาฬ!S139"")"),0)</f>
        <v>0</v>
      </c>
      <c r="U37" s="87">
        <f t="shared" ca="1" si="35"/>
        <v>0</v>
      </c>
      <c r="V37" s="87">
        <f t="shared" ca="1" si="36"/>
        <v>0</v>
      </c>
      <c r="W37" s="97">
        <f ca="1">IFERROR(__xludf.DUMMYFUNCTION("IMPORTRANGE(""https://docs.google.com/spreadsheets/d/1xoDLGBv9CYbyosIhki0kTq6IpYNj-gpjxfobnaDiut0/edit?usp=sharing"",""บึงกาฬ!J149"")"),0)</f>
        <v>0</v>
      </c>
      <c r="X37" s="97">
        <f ca="1">IFERROR(__xludf.DUMMYFUNCTION("IMPORTRANGE(""https://docs.google.com/spreadsheets/d/1xoDLGBv9CYbyosIhki0kTq6IpYNj-gpjxfobnaDiut0/edit?usp=sharing"",""บึงกาฬ!I150"")"),0)</f>
        <v>0</v>
      </c>
      <c r="Y37" s="97">
        <f ca="1">IFERROR(__xludf.DUMMYFUNCTION("IMPORTRANGE(""https://docs.google.com/spreadsheets/d/1xoDLGBv9CYbyosIhki0kTq6IpYNj-gpjxfobnaDiut0/edit?usp=sharing"",""บึงกาฬ!I151"")"),0)</f>
        <v>0</v>
      </c>
      <c r="Z37" s="97">
        <f ca="1">IFERROR(__xludf.DUMMYFUNCTION("IMPORTRANGE(""https://docs.google.com/spreadsheets/d/1xoDLGBv9CYbyosIhki0kTq6IpYNj-gpjxfobnaDiut0/edit?usp=sharing"",""บึงกาฬ!J150"")"),0)</f>
        <v>0</v>
      </c>
      <c r="AA37" s="98">
        <f t="shared" ca="1" si="38"/>
        <v>0</v>
      </c>
      <c r="AB37" s="97">
        <f ca="1">IFERROR(__xludf.DUMMYFUNCTION("IMPORTRANGE(""https://docs.google.com/spreadsheets/d/1xoDLGBv9CYbyosIhki0kTq6IpYNj-gpjxfobnaDiut0/edit?usp=sharing"",""บึงกาฬ!J151"")"),0)</f>
        <v>0</v>
      </c>
      <c r="AC37" s="98">
        <f t="shared" ca="1" si="39"/>
        <v>0</v>
      </c>
      <c r="AD37" s="97">
        <f ca="1">IFERROR(__xludf.DUMMYFUNCTION("IMPORTRANGE(""https://docs.google.com/spreadsheets/d/1xoDLGBv9CYbyosIhki0kTq6IpYNj-gpjxfobnaDiut0/edit?usp=sharing"",""บึงกาฬ!I152"")"),10)</f>
        <v>10</v>
      </c>
      <c r="AE37" s="97">
        <f ca="1">IFERROR(__xludf.DUMMYFUNCTION("IMPORTRANGE(""https://docs.google.com/spreadsheets/d/1xoDLGBv9CYbyosIhki0kTq6IpYNj-gpjxfobnaDiut0/edit?usp=sharing"",""บึงกาฬ!I153"")"),1)</f>
        <v>1</v>
      </c>
      <c r="AF37" s="97">
        <f ca="1">IFERROR(__xludf.DUMMYFUNCTION("IMPORTRANGE(""https://docs.google.com/spreadsheets/d/1xoDLGBv9CYbyosIhki0kTq6IpYNj-gpjxfobnaDiut0/edit?usp=sharing"",""บึงกาฬ!J152"")"),0)</f>
        <v>0</v>
      </c>
      <c r="AG37" s="98">
        <f t="shared" ca="1" si="41"/>
        <v>0</v>
      </c>
      <c r="AH37" s="97">
        <f ca="1">IFERROR(__xludf.DUMMYFUNCTION("IMPORTRANGE(""https://docs.google.com/spreadsheets/d/1xoDLGBv9CYbyosIhki0kTq6IpYNj-gpjxfobnaDiut0/edit?usp=sharing"",""บึงกาฬ!J153"")"),0)</f>
        <v>0</v>
      </c>
      <c r="AI37" s="98">
        <f t="shared" ca="1" si="42"/>
        <v>0</v>
      </c>
      <c r="AJ37" s="97">
        <f ca="1">IFERROR(__xludf.DUMMYFUNCTION("IMPORTRANGE(""https://docs.google.com/spreadsheets/d/1xoDLGBv9CYbyosIhki0kTq6IpYNj-gpjxfobnaDiut0/edit?usp=sharing"",""บึงกาฬ!I154"")"),0)</f>
        <v>0</v>
      </c>
      <c r="AK37" s="97">
        <f ca="1">IFERROR(__xludf.DUMMYFUNCTION("IMPORTRANGE(""https://docs.google.com/spreadsheets/d/1xoDLGBv9CYbyosIhki0kTq6IpYNj-gpjxfobnaDiut0/edit?usp=sharing"",""บึงกาฬ!J154"")"),0)</f>
        <v>0</v>
      </c>
      <c r="AL37" s="98">
        <f t="shared" ca="1" si="44"/>
        <v>0</v>
      </c>
    </row>
    <row r="38" spans="1:38" ht="21" customHeight="1" x14ac:dyDescent="0.3">
      <c r="A38" s="172">
        <v>7</v>
      </c>
      <c r="B38" s="173" t="s">
        <v>64</v>
      </c>
      <c r="C38" s="174">
        <f t="shared" ca="1" si="26"/>
        <v>0</v>
      </c>
      <c r="D38" s="175">
        <f t="shared" ca="1" si="51"/>
        <v>0</v>
      </c>
      <c r="E38" s="176">
        <f ca="1">IFERROR(__xludf.DUMMYFUNCTION("IMPORTRANGE(""https://docs.google.com/spreadsheets/d/1-uDff_7J0KD5mKrp0Vvzr7lt3OU09vwQwhkpOPPYv2Y/edit?usp=sharing"",""งบพรบ!BR38"")"),0)</f>
        <v>0</v>
      </c>
      <c r="F38" s="176">
        <f ca="1">IFERROR(__xludf.DUMMYFUNCTION("IMPORTRANGE(""https://docs.google.com/spreadsheets/d/1-uDff_7J0KD5mKrp0Vvzr7lt3OU09vwQwhkpOPPYv2Y/edit?usp=sharing"",""งบพรบ!BS38"")"),0)</f>
        <v>0</v>
      </c>
      <c r="G38" s="176">
        <f ca="1">IFERROR(__xludf.DUMMYFUNCTION("IMPORTRANGE(""https://docs.google.com/spreadsheets/d/1-uDff_7J0KD5mKrp0Vvzr7lt3OU09vwQwhkpOPPYv2Y/edit?usp=sharing"",""งบพรบ!BT38"")"),0)</f>
        <v>0</v>
      </c>
      <c r="H38" s="176">
        <f ca="1">IFERROR(__xludf.DUMMYFUNCTION("IMPORTRANGE(""https://docs.google.com/spreadsheets/d/1-uDff_7J0KD5mKrp0Vvzr7lt3OU09vwQwhkpOPPYv2Y/edit?usp=sharing"",""งบพรบ!BV38"")"),0)</f>
        <v>0</v>
      </c>
      <c r="I38" s="176">
        <f ca="1">IFERROR(__xludf.DUMMYFUNCTION("IMPORTRANGE(""https://docs.google.com/spreadsheets/d/1-uDff_7J0KD5mKrp0Vvzr7lt3OU09vwQwhkpOPPYv2Y/edit?usp=sharing"",""งบพรบ!BW38"")"),0)</f>
        <v>0</v>
      </c>
      <c r="J38" s="176">
        <f t="shared" ca="1" si="28"/>
        <v>0</v>
      </c>
      <c r="K38" s="179">
        <f t="shared" ca="1" si="29"/>
        <v>0</v>
      </c>
      <c r="L38" s="176">
        <f ca="1">IFERROR(__xludf.DUMMYFUNCTION("IMPORTRANGE(""https://docs.google.com/spreadsheets/d/1-uDff_7J0KD5mKrp0Vvzr7lt3OU09vwQwhkpOPPYv2Y/edit?usp=sharing"",""งบพรบ!BX38"")"),0)</f>
        <v>0</v>
      </c>
      <c r="M38" s="87">
        <f t="shared" ca="1" si="30"/>
        <v>0</v>
      </c>
      <c r="N38" s="87">
        <f t="shared" ca="1" si="31"/>
        <v>0</v>
      </c>
      <c r="O38" s="86">
        <f ca="1">IFERROR(__xludf.DUMMYFUNCTION("IMPORTRANGE(""https://docs.google.com/spreadsheets/d/1-uDff_7J0KD5mKrp0Vvzr7lt3OU09vwQwhkpOPPYv2Y/edit?usp=sharing"",""งบพรบ!BY38"")"),0)</f>
        <v>0</v>
      </c>
      <c r="P38" s="86">
        <f t="shared" ca="1" si="32"/>
        <v>0</v>
      </c>
      <c r="Q38" s="87">
        <f t="shared" ca="1" si="33"/>
        <v>0</v>
      </c>
      <c r="R38" s="86">
        <f ca="1">IFERROR(__xludf.DUMMYFUNCTION("IMPORTRANGE(""https://docs.google.com/spreadsheets/d/1MMPq-JyI6DSgQETxuSiXkesP-P7JHuemnE6QJIa-Nlw/edit?usp=sharing"",""บุรีรัมย์!Q139"")"),0)</f>
        <v>0</v>
      </c>
      <c r="S38" s="86">
        <f ca="1">IFERROR(__xludf.DUMMYFUNCTION("IMPORTRANGE(""https://docs.google.com/spreadsheets/d/1MMPq-JyI6DSgQETxuSiXkesP-P7JHuemnE6QJIa-Nlw/edit?usp=sharing"",""บุรีรัมย์!R139"")"),0)</f>
        <v>0</v>
      </c>
      <c r="T38" s="86">
        <f ca="1">IFERROR(__xludf.DUMMYFUNCTION("IMPORTRANGE(""https://docs.google.com/spreadsheets/d/1MMPq-JyI6DSgQETxuSiXkesP-P7JHuemnE6QJIa-Nlw/edit?usp=sharing"",""บุรีรัมย์!S139"")"),0)</f>
        <v>0</v>
      </c>
      <c r="U38" s="87">
        <f t="shared" ca="1" si="35"/>
        <v>0</v>
      </c>
      <c r="V38" s="87">
        <f t="shared" ca="1" si="36"/>
        <v>0</v>
      </c>
      <c r="W38" s="97">
        <f ca="1">IFERROR(__xludf.DUMMYFUNCTION("IMPORTRANGE(""https://docs.google.com/spreadsheets/d/1MMPq-JyI6DSgQETxuSiXkesP-P7JHuemnE6QJIa-Nlw/edit?usp=sharing"",""บุรีรัมย์!J149"")"),0)</f>
        <v>0</v>
      </c>
      <c r="X38" s="97">
        <f ca="1">IFERROR(__xludf.DUMMYFUNCTION("IMPORTRANGE(""https://docs.google.com/spreadsheets/d/1MMPq-JyI6DSgQETxuSiXkesP-P7JHuemnE6QJIa-Nlw/edit?usp=sharing"",""บุรีรัมย์!I150"")"),0)</f>
        <v>0</v>
      </c>
      <c r="Y38" s="97">
        <f ca="1">IFERROR(__xludf.DUMMYFUNCTION("IMPORTRANGE(""https://docs.google.com/spreadsheets/d/1MMPq-JyI6DSgQETxuSiXkesP-P7JHuemnE6QJIa-Nlw/edit?usp=sharing"",""บุรีรัมย์!I151"")"),0)</f>
        <v>0</v>
      </c>
      <c r="Z38" s="97">
        <f ca="1">IFERROR(__xludf.DUMMYFUNCTION("IMPORTRANGE(""https://docs.google.com/spreadsheets/d/1MMPq-JyI6DSgQETxuSiXkesP-P7JHuemnE6QJIa-Nlw/edit?usp=sharing"",""บุรีรัมย์!J150"")"),0)</f>
        <v>0</v>
      </c>
      <c r="AA38" s="98">
        <f t="shared" ca="1" si="38"/>
        <v>0</v>
      </c>
      <c r="AB38" s="97">
        <f ca="1">IFERROR(__xludf.DUMMYFUNCTION("IMPORTRANGE(""https://docs.google.com/spreadsheets/d/1MMPq-JyI6DSgQETxuSiXkesP-P7JHuemnE6QJIa-Nlw/edit?usp=sharing"",""บุรีรัมย์!J151"")"),0)</f>
        <v>0</v>
      </c>
      <c r="AC38" s="98">
        <f t="shared" ca="1" si="39"/>
        <v>0</v>
      </c>
      <c r="AD38" s="97">
        <f ca="1">IFERROR(__xludf.DUMMYFUNCTION("IMPORTRANGE(""https://docs.google.com/spreadsheets/d/1MMPq-JyI6DSgQETxuSiXkesP-P7JHuemnE6QJIa-Nlw/edit?usp=sharing"",""บุรีรัมย์!I152"")"),0)</f>
        <v>0</v>
      </c>
      <c r="AE38" s="97">
        <f ca="1">IFERROR(__xludf.DUMMYFUNCTION("IMPORTRANGE(""https://docs.google.com/spreadsheets/d/1MMPq-JyI6DSgQETxuSiXkesP-P7JHuemnE6QJIa-Nlw/edit?usp=sharing"",""บุรีรัมย์!I153"")"),0)</f>
        <v>0</v>
      </c>
      <c r="AF38" s="97">
        <f ca="1">IFERROR(__xludf.DUMMYFUNCTION("IMPORTRANGE(""https://docs.google.com/spreadsheets/d/1MMPq-JyI6DSgQETxuSiXkesP-P7JHuemnE6QJIa-Nlw/edit?usp=sharing"",""บุรีรัมย์!J152"")"),0)</f>
        <v>0</v>
      </c>
      <c r="AG38" s="98">
        <f t="shared" ca="1" si="41"/>
        <v>0</v>
      </c>
      <c r="AH38" s="97">
        <f ca="1">IFERROR(__xludf.DUMMYFUNCTION("IMPORTRANGE(""https://docs.google.com/spreadsheets/d/1MMPq-JyI6DSgQETxuSiXkesP-P7JHuemnE6QJIa-Nlw/edit?usp=sharing"",""บุรีรัมย์!J153"")"),0)</f>
        <v>0</v>
      </c>
      <c r="AI38" s="98">
        <f t="shared" ca="1" si="42"/>
        <v>0</v>
      </c>
      <c r="AJ38" s="97">
        <f ca="1">IFERROR(__xludf.DUMMYFUNCTION("IMPORTRANGE(""https://docs.google.com/spreadsheets/d/1MMPq-JyI6DSgQETxuSiXkesP-P7JHuemnE6QJIa-Nlw/edit?usp=sharing"",""บุรีรัมย์!I154"")"),0)</f>
        <v>0</v>
      </c>
      <c r="AK38" s="97">
        <f ca="1">IFERROR(__xludf.DUMMYFUNCTION("IMPORTRANGE(""https://docs.google.com/spreadsheets/d/1MMPq-JyI6DSgQETxuSiXkesP-P7JHuemnE6QJIa-Nlw/edit?usp=sharing"",""บุรีรัมย์!J154"")"),0)</f>
        <v>0</v>
      </c>
      <c r="AL38" s="98">
        <f t="shared" ca="1" si="44"/>
        <v>0</v>
      </c>
    </row>
    <row r="39" spans="1:38" ht="21" customHeight="1" x14ac:dyDescent="0.3">
      <c r="A39" s="172">
        <v>8</v>
      </c>
      <c r="B39" s="173" t="s">
        <v>65</v>
      </c>
      <c r="C39" s="174">
        <f t="shared" ca="1" si="26"/>
        <v>48200</v>
      </c>
      <c r="D39" s="175">
        <f t="shared" ca="1" si="51"/>
        <v>48200</v>
      </c>
      <c r="E39" s="176">
        <f ca="1">IFERROR(__xludf.DUMMYFUNCTION("IMPORTRANGE(""https://docs.google.com/spreadsheets/d/1-uDff_7J0KD5mKrp0Vvzr7lt3OU09vwQwhkpOPPYv2Y/edit?usp=sharing"",""งบพรบ!BR39"")"),0)</f>
        <v>0</v>
      </c>
      <c r="F39" s="176">
        <f ca="1">IFERROR(__xludf.DUMMYFUNCTION("IMPORTRANGE(""https://docs.google.com/spreadsheets/d/1-uDff_7J0KD5mKrp0Vvzr7lt3OU09vwQwhkpOPPYv2Y/edit?usp=sharing"",""งบพรบ!BS39"")"),48200)</f>
        <v>48200</v>
      </c>
      <c r="G39" s="176">
        <f ca="1">IFERROR(__xludf.DUMMYFUNCTION("IMPORTRANGE(""https://docs.google.com/spreadsheets/d/1-uDff_7J0KD5mKrp0Vvzr7lt3OU09vwQwhkpOPPYv2Y/edit?usp=sharing"",""งบพรบ!BT39"")"),0)</f>
        <v>0</v>
      </c>
      <c r="H39" s="176">
        <f ca="1">IFERROR(__xludf.DUMMYFUNCTION("IMPORTRANGE(""https://docs.google.com/spreadsheets/d/1-uDff_7J0KD5mKrp0Vvzr7lt3OU09vwQwhkpOPPYv2Y/edit?usp=sharing"",""งบพรบ!BV39"")"),43200)</f>
        <v>43200</v>
      </c>
      <c r="I39" s="176">
        <f ca="1">IFERROR(__xludf.DUMMYFUNCTION("IMPORTRANGE(""https://docs.google.com/spreadsheets/d/1-uDff_7J0KD5mKrp0Vvzr7lt3OU09vwQwhkpOPPYv2Y/edit?usp=sharing"",""งบพรบ!BW39"")"),0)</f>
        <v>0</v>
      </c>
      <c r="J39" s="176">
        <f t="shared" ca="1" si="28"/>
        <v>5350</v>
      </c>
      <c r="K39" s="179">
        <f t="shared" ca="1" si="29"/>
        <v>11.099585062240664</v>
      </c>
      <c r="L39" s="176">
        <f ca="1">IFERROR(__xludf.DUMMYFUNCTION("IMPORTRANGE(""https://docs.google.com/spreadsheets/d/1-uDff_7J0KD5mKrp0Vvzr7lt3OU09vwQwhkpOPPYv2Y/edit?usp=sharing"",""งบพรบ!BX39"")"),5350)</f>
        <v>5350</v>
      </c>
      <c r="M39" s="87">
        <f t="shared" ca="1" si="30"/>
        <v>11.099585062240664</v>
      </c>
      <c r="N39" s="87">
        <f t="shared" ca="1" si="31"/>
        <v>12.38425925925926</v>
      </c>
      <c r="O39" s="86">
        <f ca="1">IFERROR(__xludf.DUMMYFUNCTION("IMPORTRANGE(""https://docs.google.com/spreadsheets/d/1-uDff_7J0KD5mKrp0Vvzr7lt3OU09vwQwhkpOPPYv2Y/edit?usp=sharing"",""งบพรบ!BY39"")"),0)</f>
        <v>0</v>
      </c>
      <c r="P39" s="86">
        <f t="shared" ca="1" si="32"/>
        <v>0</v>
      </c>
      <c r="Q39" s="87">
        <f t="shared" ca="1" si="33"/>
        <v>0</v>
      </c>
      <c r="R39" s="86">
        <f ca="1">IFERROR(__xludf.DUMMYFUNCTION("IMPORTRANGE(""https://docs.google.com/spreadsheets/d/1l6IZ8xUPgMrESzcTYwhA1k_tPjeQjJPTqlm8Gd9eU5g/edit?usp=sharing"",""มหาสารคาม!Q139"")"),0)</f>
        <v>0</v>
      </c>
      <c r="S39" s="86">
        <f ca="1">IFERROR(__xludf.DUMMYFUNCTION("IMPORTRANGE(""https://docs.google.com/spreadsheets/d/1l6IZ8xUPgMrESzcTYwhA1k_tPjeQjJPTqlm8Gd9eU5g/edit?usp=sharing"",""มหาสารคาม!R139"")"),0)</f>
        <v>0</v>
      </c>
      <c r="T39" s="86">
        <f ca="1">IFERROR(__xludf.DUMMYFUNCTION("IMPORTRANGE(""https://docs.google.com/spreadsheets/d/1l6IZ8xUPgMrESzcTYwhA1k_tPjeQjJPTqlm8Gd9eU5g/edit?usp=sharing"",""มหาสารคาม!S139"")"),0)</f>
        <v>0</v>
      </c>
      <c r="U39" s="87">
        <f t="shared" ca="1" si="35"/>
        <v>0</v>
      </c>
      <c r="V39" s="87">
        <f t="shared" ca="1" si="36"/>
        <v>0</v>
      </c>
      <c r="W39" s="97">
        <f ca="1">IFERROR(__xludf.DUMMYFUNCTION("IMPORTRANGE(""https://docs.google.com/spreadsheets/d/1l6IZ8xUPgMrESzcTYwhA1k_tPjeQjJPTqlm8Gd9eU5g/edit?usp=sharing"",""มหาสารคาม!J149"")"),0)</f>
        <v>0</v>
      </c>
      <c r="X39" s="97">
        <f ca="1">IFERROR(__xludf.DUMMYFUNCTION("IMPORTRANGE(""https://docs.google.com/spreadsheets/d/1l6IZ8xUPgMrESzcTYwhA1k_tPjeQjJPTqlm8Gd9eU5g/edit?usp=sharing"",""มหาสารคาม!I150"")"),0)</f>
        <v>0</v>
      </c>
      <c r="Y39" s="97">
        <f ca="1">IFERROR(__xludf.DUMMYFUNCTION("IMPORTRANGE(""https://docs.google.com/spreadsheets/d/1l6IZ8xUPgMrESzcTYwhA1k_tPjeQjJPTqlm8Gd9eU5g/edit?usp=sharing"",""มหาสารคาม!I151"")"),0)</f>
        <v>0</v>
      </c>
      <c r="Z39" s="97">
        <f ca="1">IFERROR(__xludf.DUMMYFUNCTION("IMPORTRANGE(""https://docs.google.com/spreadsheets/d/1l6IZ8xUPgMrESzcTYwhA1k_tPjeQjJPTqlm8Gd9eU5g/edit?usp=sharing"",""มหาสารคาม!J150"")"),0)</f>
        <v>0</v>
      </c>
      <c r="AA39" s="98">
        <f t="shared" ca="1" si="38"/>
        <v>0</v>
      </c>
      <c r="AB39" s="97">
        <f ca="1">IFERROR(__xludf.DUMMYFUNCTION("IMPORTRANGE(""https://docs.google.com/spreadsheets/d/1l6IZ8xUPgMrESzcTYwhA1k_tPjeQjJPTqlm8Gd9eU5g/edit?usp=sharing"",""มหาสารคาม!J151"")"),0)</f>
        <v>0</v>
      </c>
      <c r="AC39" s="98">
        <f t="shared" ca="1" si="39"/>
        <v>0</v>
      </c>
      <c r="AD39" s="97">
        <f ca="1">IFERROR(__xludf.DUMMYFUNCTION("IMPORTRANGE(""https://docs.google.com/spreadsheets/d/1l6IZ8xUPgMrESzcTYwhA1k_tPjeQjJPTqlm8Gd9eU5g/edit?usp=sharing"",""มหาสารคาม!I152"")"),40)</f>
        <v>40</v>
      </c>
      <c r="AE39" s="97">
        <f ca="1">IFERROR(__xludf.DUMMYFUNCTION("IMPORTRANGE(""https://docs.google.com/spreadsheets/d/1l6IZ8xUPgMrESzcTYwhA1k_tPjeQjJPTqlm8Gd9eU5g/edit?usp=sharing"",""มหาสารคาม!I153"")"),4)</f>
        <v>4</v>
      </c>
      <c r="AF39" s="97">
        <f ca="1">IFERROR(__xludf.DUMMYFUNCTION("IMPORTRANGE(""https://docs.google.com/spreadsheets/d/1l6IZ8xUPgMrESzcTYwhA1k_tPjeQjJPTqlm8Gd9eU5g/edit?usp=sharing"",""มหาสารคาม!J152"")"),0)</f>
        <v>0</v>
      </c>
      <c r="AG39" s="98">
        <f t="shared" ca="1" si="41"/>
        <v>0</v>
      </c>
      <c r="AH39" s="97">
        <f ca="1">IFERROR(__xludf.DUMMYFUNCTION("IMPORTRANGE(""https://docs.google.com/spreadsheets/d/1l6IZ8xUPgMrESzcTYwhA1k_tPjeQjJPTqlm8Gd9eU5g/edit?usp=sharing"",""มหาสารคาม!J153"")"),0)</f>
        <v>0</v>
      </c>
      <c r="AI39" s="98">
        <f t="shared" ca="1" si="42"/>
        <v>0</v>
      </c>
      <c r="AJ39" s="97">
        <f ca="1">IFERROR(__xludf.DUMMYFUNCTION("IMPORTRANGE(""https://docs.google.com/spreadsheets/d/1l6IZ8xUPgMrESzcTYwhA1k_tPjeQjJPTqlm8Gd9eU5g/edit?usp=sharing"",""มหาสารคาม!I154"")"),0)</f>
        <v>0</v>
      </c>
      <c r="AK39" s="97">
        <f ca="1">IFERROR(__xludf.DUMMYFUNCTION("IMPORTRANGE(""https://docs.google.com/spreadsheets/d/1l6IZ8xUPgMrESzcTYwhA1k_tPjeQjJPTqlm8Gd9eU5g/edit?usp=sharing"",""มหาสารคาม!J154"")"),0)</f>
        <v>0</v>
      </c>
      <c r="AL39" s="98">
        <f t="shared" ca="1" si="44"/>
        <v>0</v>
      </c>
    </row>
    <row r="40" spans="1:38" ht="21" customHeight="1" x14ac:dyDescent="0.3">
      <c r="A40" s="172">
        <v>9</v>
      </c>
      <c r="B40" s="173" t="s">
        <v>66</v>
      </c>
      <c r="C40" s="174">
        <f t="shared" ca="1" si="26"/>
        <v>31600</v>
      </c>
      <c r="D40" s="175">
        <f t="shared" ca="1" si="51"/>
        <v>31600</v>
      </c>
      <c r="E40" s="176">
        <f ca="1">IFERROR(__xludf.DUMMYFUNCTION("IMPORTRANGE(""https://docs.google.com/spreadsheets/d/1-uDff_7J0KD5mKrp0Vvzr7lt3OU09vwQwhkpOPPYv2Y/edit?usp=sharing"",""งบพรบ!BR40"")"),0)</f>
        <v>0</v>
      </c>
      <c r="F40" s="176">
        <f ca="1">IFERROR(__xludf.DUMMYFUNCTION("IMPORTRANGE(""https://docs.google.com/spreadsheets/d/1-uDff_7J0KD5mKrp0Vvzr7lt3OU09vwQwhkpOPPYv2Y/edit?usp=sharing"",""งบพรบ!BS40"")"),31600)</f>
        <v>31600</v>
      </c>
      <c r="G40" s="176">
        <f ca="1">IFERROR(__xludf.DUMMYFUNCTION("IMPORTRANGE(""https://docs.google.com/spreadsheets/d/1-uDff_7J0KD5mKrp0Vvzr7lt3OU09vwQwhkpOPPYv2Y/edit?usp=sharing"",""งบพรบ!BT40"")"),0)</f>
        <v>0</v>
      </c>
      <c r="H40" s="176">
        <f ca="1">IFERROR(__xludf.DUMMYFUNCTION("IMPORTRANGE(""https://docs.google.com/spreadsheets/d/1-uDff_7J0KD5mKrp0Vvzr7lt3OU09vwQwhkpOPPYv2Y/edit?usp=sharing"",""งบพรบ!BV40"")"),26600)</f>
        <v>26600</v>
      </c>
      <c r="I40" s="176">
        <f ca="1">IFERROR(__xludf.DUMMYFUNCTION("IMPORTRANGE(""https://docs.google.com/spreadsheets/d/1-uDff_7J0KD5mKrp0Vvzr7lt3OU09vwQwhkpOPPYv2Y/edit?usp=sharing"",""งบพรบ!BW40"")"),0)</f>
        <v>0</v>
      </c>
      <c r="J40" s="176">
        <f t="shared" ca="1" si="28"/>
        <v>0</v>
      </c>
      <c r="K40" s="179">
        <f t="shared" ca="1" si="29"/>
        <v>0</v>
      </c>
      <c r="L40" s="176">
        <f ca="1">IFERROR(__xludf.DUMMYFUNCTION("IMPORTRANGE(""https://docs.google.com/spreadsheets/d/1-uDff_7J0KD5mKrp0Vvzr7lt3OU09vwQwhkpOPPYv2Y/edit?usp=sharing"",""งบพรบ!BX40"")"),0)</f>
        <v>0</v>
      </c>
      <c r="M40" s="87">
        <f t="shared" ca="1" si="30"/>
        <v>0</v>
      </c>
      <c r="N40" s="87">
        <f t="shared" ca="1" si="31"/>
        <v>0</v>
      </c>
      <c r="O40" s="86">
        <f ca="1">IFERROR(__xludf.DUMMYFUNCTION("IMPORTRANGE(""https://docs.google.com/spreadsheets/d/1-uDff_7J0KD5mKrp0Vvzr7lt3OU09vwQwhkpOPPYv2Y/edit?usp=sharing"",""งบพรบ!BY40"")"),0)</f>
        <v>0</v>
      </c>
      <c r="P40" s="86">
        <f t="shared" ca="1" si="32"/>
        <v>0</v>
      </c>
      <c r="Q40" s="87">
        <f t="shared" ca="1" si="33"/>
        <v>0</v>
      </c>
      <c r="R40" s="86">
        <f ca="1">IFERROR(__xludf.DUMMYFUNCTION("IMPORTRANGE(""https://docs.google.com/spreadsheets/d/1uB74YLqNjWX6FObjekfB2NtSYigTQyR2rq9u4Ub2Sq4/edit?usp=sharing"",""มุกดาหาร!Q139"")"),0)</f>
        <v>0</v>
      </c>
      <c r="S40" s="86">
        <f ca="1">IFERROR(__xludf.DUMMYFUNCTION("IMPORTRANGE(""https://docs.google.com/spreadsheets/d/1uB74YLqNjWX6FObjekfB2NtSYigTQyR2rq9u4Ub2Sq4/edit?usp=sharing"",""มุกดาหาร!R139"")"),0)</f>
        <v>0</v>
      </c>
      <c r="T40" s="86">
        <f ca="1">IFERROR(__xludf.DUMMYFUNCTION("IMPORTRANGE(""https://docs.google.com/spreadsheets/d/1uB74YLqNjWX6FObjekfB2NtSYigTQyR2rq9u4Ub2Sq4/edit?usp=sharing"",""มุกดาหาร!S139"")"),0)</f>
        <v>0</v>
      </c>
      <c r="U40" s="87">
        <f t="shared" ca="1" si="35"/>
        <v>0</v>
      </c>
      <c r="V40" s="87">
        <f t="shared" ca="1" si="36"/>
        <v>0</v>
      </c>
      <c r="W40" s="97">
        <f ca="1">IFERROR(__xludf.DUMMYFUNCTION("IMPORTRANGE(""https://docs.google.com/spreadsheets/d/1uB74YLqNjWX6FObjekfB2NtSYigTQyR2rq9u4Ub2Sq4/edit?usp=sharing"",""มุกดาหาร!J149"")"),0)</f>
        <v>0</v>
      </c>
      <c r="X40" s="97">
        <f ca="1">IFERROR(__xludf.DUMMYFUNCTION("IMPORTRANGE(""https://docs.google.com/spreadsheets/d/1uB74YLqNjWX6FObjekfB2NtSYigTQyR2rq9u4Ub2Sq4/edit?usp=sharing"",""มุกดาหาร!I150"")"),0)</f>
        <v>0</v>
      </c>
      <c r="Y40" s="97">
        <f ca="1">IFERROR(__xludf.DUMMYFUNCTION("IMPORTRANGE(""https://docs.google.com/spreadsheets/d/1uB74YLqNjWX6FObjekfB2NtSYigTQyR2rq9u4Ub2Sq4/edit?usp=sharing"",""มุกดาหาร!I151"")"),0)</f>
        <v>0</v>
      </c>
      <c r="Z40" s="97">
        <f ca="1">IFERROR(__xludf.DUMMYFUNCTION("IMPORTRANGE(""https://docs.google.com/spreadsheets/d/1uB74YLqNjWX6FObjekfB2NtSYigTQyR2rq9u4Ub2Sq4/edit?usp=sharing"",""มุกดาหาร!J150"")"),0)</f>
        <v>0</v>
      </c>
      <c r="AA40" s="98">
        <f t="shared" ca="1" si="38"/>
        <v>0</v>
      </c>
      <c r="AB40" s="97">
        <f ca="1">IFERROR(__xludf.DUMMYFUNCTION("IMPORTRANGE(""https://docs.google.com/spreadsheets/d/1uB74YLqNjWX6FObjekfB2NtSYigTQyR2rq9u4Ub2Sq4/edit?usp=sharing"",""มุกดาหาร!J151"")"),0)</f>
        <v>0</v>
      </c>
      <c r="AC40" s="98">
        <f t="shared" ca="1" si="39"/>
        <v>0</v>
      </c>
      <c r="AD40" s="97">
        <f ca="1">IFERROR(__xludf.DUMMYFUNCTION("IMPORTRANGE(""https://docs.google.com/spreadsheets/d/1uB74YLqNjWX6FObjekfB2NtSYigTQyR2rq9u4Ub2Sq4/edit?usp=sharing"",""มุกดาหาร!I152"")"),20)</f>
        <v>20</v>
      </c>
      <c r="AE40" s="97">
        <f ca="1">IFERROR(__xludf.DUMMYFUNCTION("IMPORTRANGE(""https://docs.google.com/spreadsheets/d/1uB74YLqNjWX6FObjekfB2NtSYigTQyR2rq9u4Ub2Sq4/edit?usp=sharing"",""มุกดาหาร!I153"")"),2)</f>
        <v>2</v>
      </c>
      <c r="AF40" s="97">
        <f ca="1">IFERROR(__xludf.DUMMYFUNCTION("IMPORTRANGE(""https://docs.google.com/spreadsheets/d/1uB74YLqNjWX6FObjekfB2NtSYigTQyR2rq9u4Ub2Sq4/edit?usp=sharing"",""มุกดาหาร!J152"")"),0)</f>
        <v>0</v>
      </c>
      <c r="AG40" s="98">
        <f t="shared" ca="1" si="41"/>
        <v>0</v>
      </c>
      <c r="AH40" s="97">
        <f ca="1">IFERROR(__xludf.DUMMYFUNCTION("IMPORTRANGE(""https://docs.google.com/spreadsheets/d/1uB74YLqNjWX6FObjekfB2NtSYigTQyR2rq9u4Ub2Sq4/edit?usp=sharing"",""มุกดาหาร!J153"")"),0)</f>
        <v>0</v>
      </c>
      <c r="AI40" s="98">
        <f t="shared" ca="1" si="42"/>
        <v>0</v>
      </c>
      <c r="AJ40" s="97">
        <f ca="1">IFERROR(__xludf.DUMMYFUNCTION("IMPORTRANGE(""https://docs.google.com/spreadsheets/d/1uB74YLqNjWX6FObjekfB2NtSYigTQyR2rq9u4Ub2Sq4/edit?usp=sharing"",""มุกดาหาร!I154"")"),0)</f>
        <v>0</v>
      </c>
      <c r="AK40" s="97">
        <f ca="1">IFERROR(__xludf.DUMMYFUNCTION("IMPORTRANGE(""https://docs.google.com/spreadsheets/d/1uB74YLqNjWX6FObjekfB2NtSYigTQyR2rq9u4Ub2Sq4/edit?usp=sharing"",""มุกดาหาร!J154"")"),0)</f>
        <v>0</v>
      </c>
      <c r="AL40" s="98">
        <f t="shared" ca="1" si="44"/>
        <v>0</v>
      </c>
    </row>
    <row r="41" spans="1:38" ht="21" customHeight="1" x14ac:dyDescent="0.3">
      <c r="A41" s="172">
        <v>10</v>
      </c>
      <c r="B41" s="173" t="s">
        <v>67</v>
      </c>
      <c r="C41" s="174">
        <f t="shared" ca="1" si="26"/>
        <v>31600</v>
      </c>
      <c r="D41" s="175">
        <f t="shared" ca="1" si="51"/>
        <v>31600</v>
      </c>
      <c r="E41" s="176">
        <f ca="1">IFERROR(__xludf.DUMMYFUNCTION("IMPORTRANGE(""https://docs.google.com/spreadsheets/d/1-uDff_7J0KD5mKrp0Vvzr7lt3OU09vwQwhkpOPPYv2Y/edit?usp=sharing"",""งบพรบ!BR41"")"),0)</f>
        <v>0</v>
      </c>
      <c r="F41" s="176">
        <f ca="1">IFERROR(__xludf.DUMMYFUNCTION("IMPORTRANGE(""https://docs.google.com/spreadsheets/d/1-uDff_7J0KD5mKrp0Vvzr7lt3OU09vwQwhkpOPPYv2Y/edit?usp=sharing"",""งบพรบ!BS41"")"),31600)</f>
        <v>31600</v>
      </c>
      <c r="G41" s="176">
        <f ca="1">IFERROR(__xludf.DUMMYFUNCTION("IMPORTRANGE(""https://docs.google.com/spreadsheets/d/1-uDff_7J0KD5mKrp0Vvzr7lt3OU09vwQwhkpOPPYv2Y/edit?usp=sharing"",""งบพรบ!BT41"")"),0)</f>
        <v>0</v>
      </c>
      <c r="H41" s="176">
        <f ca="1">IFERROR(__xludf.DUMMYFUNCTION("IMPORTRANGE(""https://docs.google.com/spreadsheets/d/1-uDff_7J0KD5mKrp0Vvzr7lt3OU09vwQwhkpOPPYv2Y/edit?usp=sharing"",""งบพรบ!BV41"")"),26600)</f>
        <v>26600</v>
      </c>
      <c r="I41" s="176">
        <f ca="1">IFERROR(__xludf.DUMMYFUNCTION("IMPORTRANGE(""https://docs.google.com/spreadsheets/d/1-uDff_7J0KD5mKrp0Vvzr7lt3OU09vwQwhkpOPPYv2Y/edit?usp=sharing"",""งบพรบ!BW41"")"),0)</f>
        <v>0</v>
      </c>
      <c r="J41" s="176">
        <f t="shared" ca="1" si="28"/>
        <v>0</v>
      </c>
      <c r="K41" s="179">
        <f t="shared" ca="1" si="29"/>
        <v>0</v>
      </c>
      <c r="L41" s="176">
        <f ca="1">IFERROR(__xludf.DUMMYFUNCTION("IMPORTRANGE(""https://docs.google.com/spreadsheets/d/1-uDff_7J0KD5mKrp0Vvzr7lt3OU09vwQwhkpOPPYv2Y/edit?usp=sharing"",""งบพรบ!BX41"")"),0)</f>
        <v>0</v>
      </c>
      <c r="M41" s="87">
        <f t="shared" ca="1" si="30"/>
        <v>0</v>
      </c>
      <c r="N41" s="87">
        <f t="shared" ca="1" si="31"/>
        <v>0</v>
      </c>
      <c r="O41" s="86">
        <f ca="1">IFERROR(__xludf.DUMMYFUNCTION("IMPORTRANGE(""https://docs.google.com/spreadsheets/d/1-uDff_7J0KD5mKrp0Vvzr7lt3OU09vwQwhkpOPPYv2Y/edit?usp=sharing"",""งบพรบ!BY41"")"),0)</f>
        <v>0</v>
      </c>
      <c r="P41" s="86">
        <f t="shared" ca="1" si="32"/>
        <v>0</v>
      </c>
      <c r="Q41" s="87">
        <f t="shared" ca="1" si="33"/>
        <v>0</v>
      </c>
      <c r="R41" s="86">
        <f ca="1">IFERROR(__xludf.DUMMYFUNCTION("IMPORTRANGE(""https://docs.google.com/spreadsheets/d/1NexK3geCPxCTO1fzNF8dPec7yZyUx3OaWkFBC9HsQOo/edit?usp=sharing"",""ยโสธร!Q139"")"),0)</f>
        <v>0</v>
      </c>
      <c r="S41" s="86">
        <f ca="1">IFERROR(__xludf.DUMMYFUNCTION("IMPORTRANGE(""https://docs.google.com/spreadsheets/d/1NexK3geCPxCTO1fzNF8dPec7yZyUx3OaWkFBC9HsQOo/edit?usp=sharing"",""ยโสธร!R139"")"),0)</f>
        <v>0</v>
      </c>
      <c r="T41" s="86">
        <f ca="1">IFERROR(__xludf.DUMMYFUNCTION("IMPORTRANGE(""https://docs.google.com/spreadsheets/d/1NexK3geCPxCTO1fzNF8dPec7yZyUx3OaWkFBC9HsQOo/edit?usp=sharing"",""ยโสธร!S139"")"),0)</f>
        <v>0</v>
      </c>
      <c r="U41" s="87">
        <f t="shared" ca="1" si="35"/>
        <v>0</v>
      </c>
      <c r="V41" s="87">
        <f t="shared" ca="1" si="36"/>
        <v>0</v>
      </c>
      <c r="W41" s="97">
        <f ca="1">IFERROR(__xludf.DUMMYFUNCTION("IMPORTRANGE(""https://docs.google.com/spreadsheets/d/1NexK3geCPxCTO1fzNF8dPec7yZyUx3OaWkFBC9HsQOo/edit?usp=sharing"",""ยโสธร!J149"")"),0)</f>
        <v>0</v>
      </c>
      <c r="X41" s="97">
        <f ca="1">IFERROR(__xludf.DUMMYFUNCTION("IMPORTRANGE(""https://docs.google.com/spreadsheets/d/1NexK3geCPxCTO1fzNF8dPec7yZyUx3OaWkFBC9HsQOo/edit?usp=sharing"",""ยโสธร!I150"")"),0)</f>
        <v>0</v>
      </c>
      <c r="Y41" s="97">
        <f ca="1">IFERROR(__xludf.DUMMYFUNCTION("IMPORTRANGE(""https://docs.google.com/spreadsheets/d/1NexK3geCPxCTO1fzNF8dPec7yZyUx3OaWkFBC9HsQOo/edit?usp=sharing"",""ยโสธร!I151"")"),0)</f>
        <v>0</v>
      </c>
      <c r="Z41" s="97">
        <f ca="1">IFERROR(__xludf.DUMMYFUNCTION("IMPORTRANGE(""https://docs.google.com/spreadsheets/d/1NexK3geCPxCTO1fzNF8dPec7yZyUx3OaWkFBC9HsQOo/edit?usp=sharing"",""ยโสธร!J150"")"),0)</f>
        <v>0</v>
      </c>
      <c r="AA41" s="98">
        <f t="shared" ca="1" si="38"/>
        <v>0</v>
      </c>
      <c r="AB41" s="97">
        <f ca="1">IFERROR(__xludf.DUMMYFUNCTION("IMPORTRANGE(""https://docs.google.com/spreadsheets/d/1NexK3geCPxCTO1fzNF8dPec7yZyUx3OaWkFBC9HsQOo/edit?usp=sharing"",""ยโสธร!J151"")"),0)</f>
        <v>0</v>
      </c>
      <c r="AC41" s="98">
        <f t="shared" ca="1" si="39"/>
        <v>0</v>
      </c>
      <c r="AD41" s="97">
        <f ca="1">IFERROR(__xludf.DUMMYFUNCTION("IMPORTRANGE(""https://docs.google.com/spreadsheets/d/1NexK3geCPxCTO1fzNF8dPec7yZyUx3OaWkFBC9HsQOo/edit?usp=sharing"",""ยโสธร!I152"")"),20)</f>
        <v>20</v>
      </c>
      <c r="AE41" s="97">
        <f ca="1">IFERROR(__xludf.DUMMYFUNCTION("IMPORTRANGE(""https://docs.google.com/spreadsheets/d/1NexK3geCPxCTO1fzNF8dPec7yZyUx3OaWkFBC9HsQOo/edit?usp=sharing"",""ยโสธร!I153"")"),2)</f>
        <v>2</v>
      </c>
      <c r="AF41" s="97">
        <f ca="1">IFERROR(__xludf.DUMMYFUNCTION("IMPORTRANGE(""https://docs.google.com/spreadsheets/d/1NexK3geCPxCTO1fzNF8dPec7yZyUx3OaWkFBC9HsQOo/edit?usp=sharing"",""ยโสธร!J152"")"),0)</f>
        <v>0</v>
      </c>
      <c r="AG41" s="98">
        <f t="shared" ca="1" si="41"/>
        <v>0</v>
      </c>
      <c r="AH41" s="97">
        <f ca="1">IFERROR(__xludf.DUMMYFUNCTION("IMPORTRANGE(""https://docs.google.com/spreadsheets/d/1NexK3geCPxCTO1fzNF8dPec7yZyUx3OaWkFBC9HsQOo/edit?usp=sharing"",""ยโสธร!J153"")"),0)</f>
        <v>0</v>
      </c>
      <c r="AI41" s="98">
        <f t="shared" ca="1" si="42"/>
        <v>0</v>
      </c>
      <c r="AJ41" s="97">
        <f ca="1">IFERROR(__xludf.DUMMYFUNCTION("IMPORTRANGE(""https://docs.google.com/spreadsheets/d/1NexK3geCPxCTO1fzNF8dPec7yZyUx3OaWkFBC9HsQOo/edit?usp=sharing"",""ยโสธร!I154"")"),0)</f>
        <v>0</v>
      </c>
      <c r="AK41" s="97">
        <f ca="1">IFERROR(__xludf.DUMMYFUNCTION("IMPORTRANGE(""https://docs.google.com/spreadsheets/d/1NexK3geCPxCTO1fzNF8dPec7yZyUx3OaWkFBC9HsQOo/edit?usp=sharing"",""ยโสธร!J154"")"),0)</f>
        <v>0</v>
      </c>
      <c r="AL41" s="98">
        <f t="shared" ca="1" si="44"/>
        <v>0</v>
      </c>
    </row>
    <row r="42" spans="1:38" ht="21" customHeight="1" x14ac:dyDescent="0.3">
      <c r="A42" s="172">
        <v>11</v>
      </c>
      <c r="B42" s="173" t="s">
        <v>68</v>
      </c>
      <c r="C42" s="174">
        <f t="shared" ca="1" si="26"/>
        <v>0</v>
      </c>
      <c r="D42" s="175">
        <f t="shared" ca="1" si="51"/>
        <v>0</v>
      </c>
      <c r="E42" s="176">
        <f ca="1">IFERROR(__xludf.DUMMYFUNCTION("IMPORTRANGE(""https://docs.google.com/spreadsheets/d/1-uDff_7J0KD5mKrp0Vvzr7lt3OU09vwQwhkpOPPYv2Y/edit?usp=sharing"",""งบพรบ!BR42"")"),0)</f>
        <v>0</v>
      </c>
      <c r="F42" s="176">
        <f ca="1">IFERROR(__xludf.DUMMYFUNCTION("IMPORTRANGE(""https://docs.google.com/spreadsheets/d/1-uDff_7J0KD5mKrp0Vvzr7lt3OU09vwQwhkpOPPYv2Y/edit?usp=sharing"",""งบพรบ!BS42"")"),0)</f>
        <v>0</v>
      </c>
      <c r="G42" s="176">
        <f ca="1">IFERROR(__xludf.DUMMYFUNCTION("IMPORTRANGE(""https://docs.google.com/spreadsheets/d/1-uDff_7J0KD5mKrp0Vvzr7lt3OU09vwQwhkpOPPYv2Y/edit?usp=sharing"",""งบพรบ!BT42"")"),0)</f>
        <v>0</v>
      </c>
      <c r="H42" s="176">
        <f ca="1">IFERROR(__xludf.DUMMYFUNCTION("IMPORTRANGE(""https://docs.google.com/spreadsheets/d/1-uDff_7J0KD5mKrp0Vvzr7lt3OU09vwQwhkpOPPYv2Y/edit?usp=sharing"",""งบพรบ!BV42"")"),0)</f>
        <v>0</v>
      </c>
      <c r="I42" s="176">
        <f ca="1">IFERROR(__xludf.DUMMYFUNCTION("IMPORTRANGE(""https://docs.google.com/spreadsheets/d/1-uDff_7J0KD5mKrp0Vvzr7lt3OU09vwQwhkpOPPYv2Y/edit?usp=sharing"",""งบพรบ!BW42"")"),0)</f>
        <v>0</v>
      </c>
      <c r="J42" s="176">
        <f t="shared" ca="1" si="28"/>
        <v>0</v>
      </c>
      <c r="K42" s="179">
        <f t="shared" ca="1" si="29"/>
        <v>0</v>
      </c>
      <c r="L42" s="176">
        <f ca="1">IFERROR(__xludf.DUMMYFUNCTION("IMPORTRANGE(""https://docs.google.com/spreadsheets/d/1-uDff_7J0KD5mKrp0Vvzr7lt3OU09vwQwhkpOPPYv2Y/edit?usp=sharing"",""งบพรบ!BX42"")"),0)</f>
        <v>0</v>
      </c>
      <c r="M42" s="87">
        <f t="shared" ca="1" si="30"/>
        <v>0</v>
      </c>
      <c r="N42" s="87">
        <f t="shared" ca="1" si="31"/>
        <v>0</v>
      </c>
      <c r="O42" s="86">
        <f ca="1">IFERROR(__xludf.DUMMYFUNCTION("IMPORTRANGE(""https://docs.google.com/spreadsheets/d/1-uDff_7J0KD5mKrp0Vvzr7lt3OU09vwQwhkpOPPYv2Y/edit?usp=sharing"",""งบพรบ!BY42"")"),0)</f>
        <v>0</v>
      </c>
      <c r="P42" s="86">
        <f t="shared" ca="1" si="32"/>
        <v>0</v>
      </c>
      <c r="Q42" s="87">
        <f t="shared" ca="1" si="33"/>
        <v>0</v>
      </c>
      <c r="R42" s="86">
        <f ca="1">IFERROR(__xludf.DUMMYFUNCTION("IMPORTRANGE(""https://docs.google.com/spreadsheets/d/1v_cJrbBlyqmnHPReHk44g9NrMRdENNlSy_E_c5M9fIg/edit?usp=sharing"",""ร้อยเอ็ด!Q139"")"),0)</f>
        <v>0</v>
      </c>
      <c r="S42" s="86">
        <f ca="1">IFERROR(__xludf.DUMMYFUNCTION("IMPORTRANGE(""https://docs.google.com/spreadsheets/d/1v_cJrbBlyqmnHPReHk44g9NrMRdENNlSy_E_c5M9fIg/edit?usp=sharing"",""ร้อยเอ็ด!R139"")"),0)</f>
        <v>0</v>
      </c>
      <c r="T42" s="86">
        <f ca="1">IFERROR(__xludf.DUMMYFUNCTION("IMPORTRANGE(""https://docs.google.com/spreadsheets/d/1v_cJrbBlyqmnHPReHk44g9NrMRdENNlSy_E_c5M9fIg/edit?usp=sharing"",""ร้อยเอ็ด!S139"")"),0)</f>
        <v>0</v>
      </c>
      <c r="U42" s="87">
        <f t="shared" ca="1" si="35"/>
        <v>0</v>
      </c>
      <c r="V42" s="87">
        <f t="shared" ca="1" si="36"/>
        <v>0</v>
      </c>
      <c r="W42" s="97">
        <f ca="1">IFERROR(__xludf.DUMMYFUNCTION("IMPORTRANGE(""https://docs.google.com/spreadsheets/d/1v_cJrbBlyqmnHPReHk44g9NrMRdENNlSy_E_c5M9fIg/edit?usp=sharing"",""ร้อยเอ็ด!J149"")"),0)</f>
        <v>0</v>
      </c>
      <c r="X42" s="97">
        <f ca="1">IFERROR(__xludf.DUMMYFUNCTION("IMPORTRANGE(""https://docs.google.com/spreadsheets/d/1v_cJrbBlyqmnHPReHk44g9NrMRdENNlSy_E_c5M9fIg/edit?usp=sharing"",""ร้อยเอ็ด!I150"")"),0)</f>
        <v>0</v>
      </c>
      <c r="Y42" s="97">
        <f ca="1">IFERROR(__xludf.DUMMYFUNCTION("IMPORTRANGE(""https://docs.google.com/spreadsheets/d/1v_cJrbBlyqmnHPReHk44g9NrMRdENNlSy_E_c5M9fIg/edit?usp=sharing"",""ร้อยเอ็ด!I151"")"),0)</f>
        <v>0</v>
      </c>
      <c r="Z42" s="97">
        <f ca="1">IFERROR(__xludf.DUMMYFUNCTION("IMPORTRANGE(""https://docs.google.com/spreadsheets/d/1v_cJrbBlyqmnHPReHk44g9NrMRdENNlSy_E_c5M9fIg/edit?usp=sharing"",""ร้อยเอ็ด!J150"")"),0)</f>
        <v>0</v>
      </c>
      <c r="AA42" s="98">
        <f t="shared" ca="1" si="38"/>
        <v>0</v>
      </c>
      <c r="AB42" s="97">
        <f ca="1">IFERROR(__xludf.DUMMYFUNCTION("IMPORTRANGE(""https://docs.google.com/spreadsheets/d/1v_cJrbBlyqmnHPReHk44g9NrMRdENNlSy_E_c5M9fIg/edit?usp=sharing"",""ร้อยเอ็ด!J151"")"),0)</f>
        <v>0</v>
      </c>
      <c r="AC42" s="98">
        <f t="shared" ca="1" si="39"/>
        <v>0</v>
      </c>
      <c r="AD42" s="97">
        <f ca="1">IFERROR(__xludf.DUMMYFUNCTION("IMPORTRANGE(""https://docs.google.com/spreadsheets/d/1v_cJrbBlyqmnHPReHk44g9NrMRdENNlSy_E_c5M9fIg/edit?usp=sharing"",""ร้อยเอ็ด!I152"")"),0)</f>
        <v>0</v>
      </c>
      <c r="AE42" s="97">
        <f ca="1">IFERROR(__xludf.DUMMYFUNCTION("IMPORTRANGE(""https://docs.google.com/spreadsheets/d/1v_cJrbBlyqmnHPReHk44g9NrMRdENNlSy_E_c5M9fIg/edit?usp=sharing"",""ร้อยเอ็ด!I153"")"),0)</f>
        <v>0</v>
      </c>
      <c r="AF42" s="97">
        <f ca="1">IFERROR(__xludf.DUMMYFUNCTION("IMPORTRANGE(""https://docs.google.com/spreadsheets/d/1v_cJrbBlyqmnHPReHk44g9NrMRdENNlSy_E_c5M9fIg/edit?usp=sharing"",""ร้อยเอ็ด!J152"")"),0)</f>
        <v>0</v>
      </c>
      <c r="AG42" s="98">
        <f t="shared" ca="1" si="41"/>
        <v>0</v>
      </c>
      <c r="AH42" s="97">
        <f ca="1">IFERROR(__xludf.DUMMYFUNCTION("IMPORTRANGE(""https://docs.google.com/spreadsheets/d/1v_cJrbBlyqmnHPReHk44g9NrMRdENNlSy_E_c5M9fIg/edit?usp=sharing"",""ร้อยเอ็ด!J153"")"),0)</f>
        <v>0</v>
      </c>
      <c r="AI42" s="98">
        <f t="shared" ca="1" si="42"/>
        <v>0</v>
      </c>
      <c r="AJ42" s="97">
        <f ca="1">IFERROR(__xludf.DUMMYFUNCTION("IMPORTRANGE(""https://docs.google.com/spreadsheets/d/1v_cJrbBlyqmnHPReHk44g9NrMRdENNlSy_E_c5M9fIg/edit?usp=sharing"",""ร้อยเอ็ด!I154"")"),0)</f>
        <v>0</v>
      </c>
      <c r="AK42" s="97">
        <f ca="1">IFERROR(__xludf.DUMMYFUNCTION("IMPORTRANGE(""https://docs.google.com/spreadsheets/d/1v_cJrbBlyqmnHPReHk44g9NrMRdENNlSy_E_c5M9fIg/edit?usp=sharing"",""ร้อยเอ็ด!J154"")"),0)</f>
        <v>0</v>
      </c>
      <c r="AL42" s="98">
        <f t="shared" ca="1" si="44"/>
        <v>0</v>
      </c>
    </row>
    <row r="43" spans="1:38" ht="21" customHeight="1" x14ac:dyDescent="0.3">
      <c r="A43" s="172">
        <v>12</v>
      </c>
      <c r="B43" s="173" t="s">
        <v>69</v>
      </c>
      <c r="C43" s="174">
        <f t="shared" ca="1" si="26"/>
        <v>117600</v>
      </c>
      <c r="D43" s="175">
        <f t="shared" ca="1" si="51"/>
        <v>117600</v>
      </c>
      <c r="E43" s="176">
        <f ca="1">IFERROR(__xludf.DUMMYFUNCTION("IMPORTRANGE(""https://docs.google.com/spreadsheets/d/1-uDff_7J0KD5mKrp0Vvzr7lt3OU09vwQwhkpOPPYv2Y/edit?usp=sharing"",""งบพรบ!BR43"")"),86000)</f>
        <v>86000</v>
      </c>
      <c r="F43" s="176">
        <f ca="1">IFERROR(__xludf.DUMMYFUNCTION("IMPORTRANGE(""https://docs.google.com/spreadsheets/d/1-uDff_7J0KD5mKrp0Vvzr7lt3OU09vwQwhkpOPPYv2Y/edit?usp=sharing"",""งบพรบ!BS43"")"),31600)</f>
        <v>31600</v>
      </c>
      <c r="G43" s="176">
        <f ca="1">IFERROR(__xludf.DUMMYFUNCTION("IMPORTRANGE(""https://docs.google.com/spreadsheets/d/1-uDff_7J0KD5mKrp0Vvzr7lt3OU09vwQwhkpOPPYv2Y/edit?usp=sharing"",""งบพรบ!BT43"")"),0)</f>
        <v>0</v>
      </c>
      <c r="H43" s="176">
        <f ca="1">IFERROR(__xludf.DUMMYFUNCTION("IMPORTRANGE(""https://docs.google.com/spreadsheets/d/1-uDff_7J0KD5mKrp0Vvzr7lt3OU09vwQwhkpOPPYv2Y/edit?usp=sharing"",""งบพรบ!BV43"")"),112600)</f>
        <v>112600</v>
      </c>
      <c r="I43" s="176">
        <f ca="1">IFERROR(__xludf.DUMMYFUNCTION("IMPORTRANGE(""https://docs.google.com/spreadsheets/d/1-uDff_7J0KD5mKrp0Vvzr7lt3OU09vwQwhkpOPPYv2Y/edit?usp=sharing"",""งบพรบ!BW43"")"),0)</f>
        <v>0</v>
      </c>
      <c r="J43" s="176">
        <f t="shared" ca="1" si="28"/>
        <v>58200.45</v>
      </c>
      <c r="K43" s="179">
        <f t="shared" ca="1" si="29"/>
        <v>49.490178571428572</v>
      </c>
      <c r="L43" s="176">
        <f ca="1">IFERROR(__xludf.DUMMYFUNCTION("IMPORTRANGE(""https://docs.google.com/spreadsheets/d/1-uDff_7J0KD5mKrp0Vvzr7lt3OU09vwQwhkpOPPYv2Y/edit?usp=sharing"",""งบพรบ!BX43"")"),58200.45)</f>
        <v>58200.45</v>
      </c>
      <c r="M43" s="87">
        <f t="shared" ca="1" si="30"/>
        <v>49.490178571428572</v>
      </c>
      <c r="N43" s="87">
        <f t="shared" ca="1" si="31"/>
        <v>51.687788632326821</v>
      </c>
      <c r="O43" s="86">
        <f ca="1">IFERROR(__xludf.DUMMYFUNCTION("IMPORTRANGE(""https://docs.google.com/spreadsheets/d/1-uDff_7J0KD5mKrp0Vvzr7lt3OU09vwQwhkpOPPYv2Y/edit?usp=sharing"",""งบพรบ!BY43"")"),0)</f>
        <v>0</v>
      </c>
      <c r="P43" s="86">
        <f t="shared" ca="1" si="32"/>
        <v>0</v>
      </c>
      <c r="Q43" s="87">
        <f t="shared" ca="1" si="33"/>
        <v>0</v>
      </c>
      <c r="R43" s="86">
        <f ca="1">IFERROR(__xludf.DUMMYFUNCTION("IMPORTRANGE(""https://docs.google.com/spreadsheets/d/1Ul4RCpCX66NxYADU1QpwAPjOmBzW64SsT11s1wzXw_c/edit?usp=sharing"",""เลย!Q139"")"),0)</f>
        <v>0</v>
      </c>
      <c r="S43" s="86">
        <f ca="1">IFERROR(__xludf.DUMMYFUNCTION("IMPORTRANGE(""https://docs.google.com/spreadsheets/d/1Ul4RCpCX66NxYADU1QpwAPjOmBzW64SsT11s1wzXw_c/edit?usp=sharing"",""เลย!R139"")"),0)</f>
        <v>0</v>
      </c>
      <c r="T43" s="86">
        <f ca="1">IFERROR(__xludf.DUMMYFUNCTION("IMPORTRANGE(""https://docs.google.com/spreadsheets/d/1Ul4RCpCX66NxYADU1QpwAPjOmBzW64SsT11s1wzXw_c/edit?usp=sharing"",""เลย!S139"")"),0)</f>
        <v>0</v>
      </c>
      <c r="U43" s="87">
        <f t="shared" ca="1" si="35"/>
        <v>0</v>
      </c>
      <c r="V43" s="87">
        <f t="shared" ca="1" si="36"/>
        <v>0</v>
      </c>
      <c r="W43" s="97">
        <f ca="1">IFERROR(__xludf.DUMMYFUNCTION("IMPORTRANGE(""https://docs.google.com/spreadsheets/d/1Ul4RCpCX66NxYADU1QpwAPjOmBzW64SsT11s1wzXw_c/edit?usp=sharing"",""เลย!J149"")"),0)</f>
        <v>0</v>
      </c>
      <c r="X43" s="97">
        <f ca="1">IFERROR(__xludf.DUMMYFUNCTION("IMPORTRANGE(""https://docs.google.com/spreadsheets/d/1Ul4RCpCX66NxYADU1QpwAPjOmBzW64SsT11s1wzXw_c/edit?usp=sharing"",""เลย!I150"")"),0)</f>
        <v>0</v>
      </c>
      <c r="Y43" s="97">
        <f ca="1">IFERROR(__xludf.DUMMYFUNCTION("IMPORTRANGE(""https://docs.google.com/spreadsheets/d/1Ul4RCpCX66NxYADU1QpwAPjOmBzW64SsT11s1wzXw_c/edit?usp=sharing"",""เลย!I151"")"),0)</f>
        <v>0</v>
      </c>
      <c r="Z43" s="97">
        <f ca="1">IFERROR(__xludf.DUMMYFUNCTION("IMPORTRANGE(""https://docs.google.com/spreadsheets/d/1Ul4RCpCX66NxYADU1QpwAPjOmBzW64SsT11s1wzXw_c/edit?usp=sharing"",""เลย!J150"")"),0)</f>
        <v>0</v>
      </c>
      <c r="AA43" s="98">
        <f t="shared" ca="1" si="38"/>
        <v>0</v>
      </c>
      <c r="AB43" s="97">
        <f ca="1">IFERROR(__xludf.DUMMYFUNCTION("IMPORTRANGE(""https://docs.google.com/spreadsheets/d/1Ul4RCpCX66NxYADU1QpwAPjOmBzW64SsT11s1wzXw_c/edit?usp=sharing"",""เลย!J151"")"),0)</f>
        <v>0</v>
      </c>
      <c r="AC43" s="98">
        <f t="shared" ca="1" si="39"/>
        <v>0</v>
      </c>
      <c r="AD43" s="97">
        <f ca="1">IFERROR(__xludf.DUMMYFUNCTION("IMPORTRANGE(""https://docs.google.com/spreadsheets/d/1Ul4RCpCX66NxYADU1QpwAPjOmBzW64SsT11s1wzXw_c/edit?usp=sharing"",""เลย!I152"")"),20)</f>
        <v>20</v>
      </c>
      <c r="AE43" s="97">
        <f ca="1">IFERROR(__xludf.DUMMYFUNCTION("IMPORTRANGE(""https://docs.google.com/spreadsheets/d/1Ul4RCpCX66NxYADU1QpwAPjOmBzW64SsT11s1wzXw_c/edit?usp=sharing"",""เลย!I153"")"),2)</f>
        <v>2</v>
      </c>
      <c r="AF43" s="97">
        <f ca="1">IFERROR(__xludf.DUMMYFUNCTION("IMPORTRANGE(""https://docs.google.com/spreadsheets/d/1Ul4RCpCX66NxYADU1QpwAPjOmBzW64SsT11s1wzXw_c/edit?usp=sharing"",""เลย!J152"")"),0)</f>
        <v>0</v>
      </c>
      <c r="AG43" s="98">
        <f t="shared" ca="1" si="41"/>
        <v>0</v>
      </c>
      <c r="AH43" s="97">
        <f ca="1">IFERROR(__xludf.DUMMYFUNCTION("IMPORTRANGE(""https://docs.google.com/spreadsheets/d/1Ul4RCpCX66NxYADU1QpwAPjOmBzW64SsT11s1wzXw_c/edit?usp=sharing"",""เลย!J153"")"),0)</f>
        <v>0</v>
      </c>
      <c r="AI43" s="98">
        <f t="shared" ca="1" si="42"/>
        <v>0</v>
      </c>
      <c r="AJ43" s="97">
        <f ca="1">IFERROR(__xludf.DUMMYFUNCTION("IMPORTRANGE(""https://docs.google.com/spreadsheets/d/1Ul4RCpCX66NxYADU1QpwAPjOmBzW64SsT11s1wzXw_c/edit?usp=sharing"",""เลย!I154"")"),0)</f>
        <v>0</v>
      </c>
      <c r="AK43" s="97">
        <f ca="1">IFERROR(__xludf.DUMMYFUNCTION("IMPORTRANGE(""https://docs.google.com/spreadsheets/d/1Ul4RCpCX66NxYADU1QpwAPjOmBzW64SsT11s1wzXw_c/edit?usp=sharing"",""เลย!J154"")"),0)</f>
        <v>0</v>
      </c>
      <c r="AL43" s="98">
        <f t="shared" ca="1" si="44"/>
        <v>0</v>
      </c>
    </row>
    <row r="44" spans="1:38" ht="21" customHeight="1" x14ac:dyDescent="0.3">
      <c r="A44" s="172">
        <v>13</v>
      </c>
      <c r="B44" s="173" t="s">
        <v>70</v>
      </c>
      <c r="C44" s="174">
        <f t="shared" ca="1" si="26"/>
        <v>0</v>
      </c>
      <c r="D44" s="175">
        <f t="shared" ca="1" si="51"/>
        <v>0</v>
      </c>
      <c r="E44" s="176">
        <f ca="1">IFERROR(__xludf.DUMMYFUNCTION("IMPORTRANGE(""https://docs.google.com/spreadsheets/d/1-uDff_7J0KD5mKrp0Vvzr7lt3OU09vwQwhkpOPPYv2Y/edit?usp=sharing"",""งบพรบ!BR44"")"),0)</f>
        <v>0</v>
      </c>
      <c r="F44" s="176">
        <f ca="1">IFERROR(__xludf.DUMMYFUNCTION("IMPORTRANGE(""https://docs.google.com/spreadsheets/d/1-uDff_7J0KD5mKrp0Vvzr7lt3OU09vwQwhkpOPPYv2Y/edit?usp=sharing"",""งบพรบ!BS44"")"),0)</f>
        <v>0</v>
      </c>
      <c r="G44" s="176">
        <f ca="1">IFERROR(__xludf.DUMMYFUNCTION("IMPORTRANGE(""https://docs.google.com/spreadsheets/d/1-uDff_7J0KD5mKrp0Vvzr7lt3OU09vwQwhkpOPPYv2Y/edit?usp=sharing"",""งบพรบ!BT44"")"),0)</f>
        <v>0</v>
      </c>
      <c r="H44" s="176">
        <f ca="1">IFERROR(__xludf.DUMMYFUNCTION("IMPORTRANGE(""https://docs.google.com/spreadsheets/d/1-uDff_7J0KD5mKrp0Vvzr7lt3OU09vwQwhkpOPPYv2Y/edit?usp=sharing"",""งบพรบ!BV44"")"),0)</f>
        <v>0</v>
      </c>
      <c r="I44" s="176">
        <f ca="1">IFERROR(__xludf.DUMMYFUNCTION("IMPORTRANGE(""https://docs.google.com/spreadsheets/d/1-uDff_7J0KD5mKrp0Vvzr7lt3OU09vwQwhkpOPPYv2Y/edit?usp=sharing"",""งบพรบ!BW44"")"),0)</f>
        <v>0</v>
      </c>
      <c r="J44" s="176">
        <f t="shared" ca="1" si="28"/>
        <v>0</v>
      </c>
      <c r="K44" s="179">
        <f t="shared" ca="1" si="29"/>
        <v>0</v>
      </c>
      <c r="L44" s="176">
        <f ca="1">IFERROR(__xludf.DUMMYFUNCTION("IMPORTRANGE(""https://docs.google.com/spreadsheets/d/1-uDff_7J0KD5mKrp0Vvzr7lt3OU09vwQwhkpOPPYv2Y/edit?usp=sharing"",""งบพรบ!BX44"")"),0)</f>
        <v>0</v>
      </c>
      <c r="M44" s="87">
        <f t="shared" ca="1" si="30"/>
        <v>0</v>
      </c>
      <c r="N44" s="87">
        <f t="shared" ca="1" si="31"/>
        <v>0</v>
      </c>
      <c r="O44" s="86">
        <f ca="1">IFERROR(__xludf.DUMMYFUNCTION("IMPORTRANGE(""https://docs.google.com/spreadsheets/d/1-uDff_7J0KD5mKrp0Vvzr7lt3OU09vwQwhkpOPPYv2Y/edit?usp=sharing"",""งบพรบ!BY44"")"),0)</f>
        <v>0</v>
      </c>
      <c r="P44" s="86">
        <f t="shared" ca="1" si="32"/>
        <v>0</v>
      </c>
      <c r="Q44" s="87">
        <f t="shared" ca="1" si="33"/>
        <v>0</v>
      </c>
      <c r="R44" s="86">
        <f ca="1">IFERROR(__xludf.DUMMYFUNCTION("IMPORTRANGE(""https://docs.google.com/spreadsheets/d/1bRrNKwbHDVktQG10isr5vbWRtt5spIZPpkOSWgbT5ug/edit?usp=sharing"",""ศรีสะเกษ!Q139"")"),0)</f>
        <v>0</v>
      </c>
      <c r="S44" s="86">
        <f ca="1">IFERROR(__xludf.DUMMYFUNCTION("IMPORTRANGE(""https://docs.google.com/spreadsheets/d/1bRrNKwbHDVktQG10isr5vbWRtt5spIZPpkOSWgbT5ug/edit?usp=sharing"",""ศรีสะเกษ!R139"")"),0)</f>
        <v>0</v>
      </c>
      <c r="T44" s="86">
        <f ca="1">IFERROR(__xludf.DUMMYFUNCTION("IMPORTRANGE(""https://docs.google.com/spreadsheets/d/1bRrNKwbHDVktQG10isr5vbWRtt5spIZPpkOSWgbT5ug/edit?usp=sharing"",""ศรีสะเกษ!S139"")"),0)</f>
        <v>0</v>
      </c>
      <c r="U44" s="87">
        <f t="shared" ca="1" si="35"/>
        <v>0</v>
      </c>
      <c r="V44" s="87">
        <f t="shared" ca="1" si="36"/>
        <v>0</v>
      </c>
      <c r="W44" s="97">
        <f ca="1">IFERROR(__xludf.DUMMYFUNCTION("IMPORTRANGE(""https://docs.google.com/spreadsheets/d/1bRrNKwbHDVktQG10isr5vbWRtt5spIZPpkOSWgbT5ug/edit?usp=sharing"",""ศรีสะเกษ!J149"")"),0)</f>
        <v>0</v>
      </c>
      <c r="X44" s="97">
        <f ca="1">IFERROR(__xludf.DUMMYFUNCTION("IMPORTRANGE(""https://docs.google.com/spreadsheets/d/1bRrNKwbHDVktQG10isr5vbWRtt5spIZPpkOSWgbT5ug/edit?usp=sharing"",""ศรีสะเกษ!I150"")"),0)</f>
        <v>0</v>
      </c>
      <c r="Y44" s="97">
        <f ca="1">IFERROR(__xludf.DUMMYFUNCTION("IMPORTRANGE(""https://docs.google.com/spreadsheets/d/1bRrNKwbHDVktQG10isr5vbWRtt5spIZPpkOSWgbT5ug/edit?usp=sharing"",""ศรีสะเกษ!I151"")"),0)</f>
        <v>0</v>
      </c>
      <c r="Z44" s="97">
        <f ca="1">IFERROR(__xludf.DUMMYFUNCTION("IMPORTRANGE(""https://docs.google.com/spreadsheets/d/1bRrNKwbHDVktQG10isr5vbWRtt5spIZPpkOSWgbT5ug/edit?usp=sharing"",""ศรีสะเกษ!J150"")"),0)</f>
        <v>0</v>
      </c>
      <c r="AA44" s="98">
        <f t="shared" ca="1" si="38"/>
        <v>0</v>
      </c>
      <c r="AB44" s="97">
        <f ca="1">IFERROR(__xludf.DUMMYFUNCTION("IMPORTRANGE(""https://docs.google.com/spreadsheets/d/1bRrNKwbHDVktQG10isr5vbWRtt5spIZPpkOSWgbT5ug/edit?usp=sharing"",""ศรีสะเกษ!J151"")"),0)</f>
        <v>0</v>
      </c>
      <c r="AC44" s="98">
        <f t="shared" ca="1" si="39"/>
        <v>0</v>
      </c>
      <c r="AD44" s="97">
        <f ca="1">IFERROR(__xludf.DUMMYFUNCTION("IMPORTRANGE(""https://docs.google.com/spreadsheets/d/1bRrNKwbHDVktQG10isr5vbWRtt5spIZPpkOSWgbT5ug/edit?usp=sharing"",""ศรีสะเกษ!I152"")"),0)</f>
        <v>0</v>
      </c>
      <c r="AE44" s="97">
        <f ca="1">IFERROR(__xludf.DUMMYFUNCTION("IMPORTRANGE(""https://docs.google.com/spreadsheets/d/1bRrNKwbHDVktQG10isr5vbWRtt5spIZPpkOSWgbT5ug/edit?usp=sharing"",""ศรีสะเกษ!I153"")"),0)</f>
        <v>0</v>
      </c>
      <c r="AF44" s="97">
        <f ca="1">IFERROR(__xludf.DUMMYFUNCTION("IMPORTRANGE(""https://docs.google.com/spreadsheets/d/1bRrNKwbHDVktQG10isr5vbWRtt5spIZPpkOSWgbT5ug/edit?usp=sharing"",""ศรีสะเกษ!J152"")"),0)</f>
        <v>0</v>
      </c>
      <c r="AG44" s="98">
        <f t="shared" ca="1" si="41"/>
        <v>0</v>
      </c>
      <c r="AH44" s="97">
        <f ca="1">IFERROR(__xludf.DUMMYFUNCTION("IMPORTRANGE(""https://docs.google.com/spreadsheets/d/1bRrNKwbHDVktQG10isr5vbWRtt5spIZPpkOSWgbT5ug/edit?usp=sharing"",""ศรีสะเกษ!J153"")"),0)</f>
        <v>0</v>
      </c>
      <c r="AI44" s="98">
        <f t="shared" ca="1" si="42"/>
        <v>0</v>
      </c>
      <c r="AJ44" s="97">
        <f ca="1">IFERROR(__xludf.DUMMYFUNCTION("IMPORTRANGE(""https://docs.google.com/spreadsheets/d/1bRrNKwbHDVktQG10isr5vbWRtt5spIZPpkOSWgbT5ug/edit?usp=sharing"",""ศรีสะเกษ!I154"")"),0)</f>
        <v>0</v>
      </c>
      <c r="AK44" s="97">
        <f ca="1">IFERROR(__xludf.DUMMYFUNCTION("IMPORTRANGE(""https://docs.google.com/spreadsheets/d/1bRrNKwbHDVktQG10isr5vbWRtt5spIZPpkOSWgbT5ug/edit?usp=sharing"",""ศรีสะเกษ!J154"")"),0)</f>
        <v>0</v>
      </c>
      <c r="AL44" s="98">
        <f t="shared" ca="1" si="44"/>
        <v>0</v>
      </c>
    </row>
    <row r="45" spans="1:38" ht="21" customHeight="1" x14ac:dyDescent="0.3">
      <c r="A45" s="172">
        <v>14</v>
      </c>
      <c r="B45" s="173" t="s">
        <v>71</v>
      </c>
      <c r="C45" s="174">
        <f t="shared" ca="1" si="26"/>
        <v>48200</v>
      </c>
      <c r="D45" s="175">
        <f t="shared" ca="1" si="51"/>
        <v>48200</v>
      </c>
      <c r="E45" s="176">
        <f ca="1">IFERROR(__xludf.DUMMYFUNCTION("IMPORTRANGE(""https://docs.google.com/spreadsheets/d/1-uDff_7J0KD5mKrp0Vvzr7lt3OU09vwQwhkpOPPYv2Y/edit?usp=sharing"",""งบพรบ!BR45"")"),0)</f>
        <v>0</v>
      </c>
      <c r="F45" s="176">
        <f ca="1">IFERROR(__xludf.DUMMYFUNCTION("IMPORTRANGE(""https://docs.google.com/spreadsheets/d/1-uDff_7J0KD5mKrp0Vvzr7lt3OU09vwQwhkpOPPYv2Y/edit?usp=sharing"",""งบพรบ!BS45"")"),48200)</f>
        <v>48200</v>
      </c>
      <c r="G45" s="176">
        <f ca="1">IFERROR(__xludf.DUMMYFUNCTION("IMPORTRANGE(""https://docs.google.com/spreadsheets/d/1-uDff_7J0KD5mKrp0Vvzr7lt3OU09vwQwhkpOPPYv2Y/edit?usp=sharing"",""งบพรบ!BT45"")"),0)</f>
        <v>0</v>
      </c>
      <c r="H45" s="176">
        <f ca="1">IFERROR(__xludf.DUMMYFUNCTION("IMPORTRANGE(""https://docs.google.com/spreadsheets/d/1-uDff_7J0KD5mKrp0Vvzr7lt3OU09vwQwhkpOPPYv2Y/edit?usp=sharing"",""งบพรบ!BV45"")"),43200)</f>
        <v>43200</v>
      </c>
      <c r="I45" s="176">
        <f ca="1">IFERROR(__xludf.DUMMYFUNCTION("IMPORTRANGE(""https://docs.google.com/spreadsheets/d/1-uDff_7J0KD5mKrp0Vvzr7lt3OU09vwQwhkpOPPYv2Y/edit?usp=sharing"",""งบพรบ!BW45"")"),0)</f>
        <v>0</v>
      </c>
      <c r="J45" s="176">
        <f t="shared" ca="1" si="28"/>
        <v>0</v>
      </c>
      <c r="K45" s="179">
        <f t="shared" ca="1" si="29"/>
        <v>0</v>
      </c>
      <c r="L45" s="176">
        <f ca="1">IFERROR(__xludf.DUMMYFUNCTION("IMPORTRANGE(""https://docs.google.com/spreadsheets/d/1-uDff_7J0KD5mKrp0Vvzr7lt3OU09vwQwhkpOPPYv2Y/edit?usp=sharing"",""งบพรบ!BX45"")"),0)</f>
        <v>0</v>
      </c>
      <c r="M45" s="87">
        <f t="shared" ca="1" si="30"/>
        <v>0</v>
      </c>
      <c r="N45" s="87">
        <f t="shared" ca="1" si="31"/>
        <v>0</v>
      </c>
      <c r="O45" s="86">
        <f ca="1">IFERROR(__xludf.DUMMYFUNCTION("IMPORTRANGE(""https://docs.google.com/spreadsheets/d/1-uDff_7J0KD5mKrp0Vvzr7lt3OU09vwQwhkpOPPYv2Y/edit?usp=sharing"",""งบพรบ!BY45"")"),0)</f>
        <v>0</v>
      </c>
      <c r="P45" s="86">
        <f t="shared" ca="1" si="32"/>
        <v>0</v>
      </c>
      <c r="Q45" s="87">
        <f t="shared" ca="1" si="33"/>
        <v>0</v>
      </c>
      <c r="R45" s="86">
        <f ca="1">IFERROR(__xludf.DUMMYFUNCTION("IMPORTRANGE(""https://docs.google.com/spreadsheets/d/17P34_Ow5kFBfdQD0qspb2UuPX5zpi6WMrQzslghyvrI/edit?usp=sharing"",""สกลนคร!Q139"")"),0)</f>
        <v>0</v>
      </c>
      <c r="S45" s="86">
        <f ca="1">IFERROR(__xludf.DUMMYFUNCTION("IMPORTRANGE(""https://docs.google.com/spreadsheets/d/17P34_Ow5kFBfdQD0qspb2UuPX5zpi6WMrQzslghyvrI/edit?usp=sharing"",""สกลนคร!R139"")"),0)</f>
        <v>0</v>
      </c>
      <c r="T45" s="86">
        <f ca="1">IFERROR(__xludf.DUMMYFUNCTION("IMPORTRANGE(""https://docs.google.com/spreadsheets/d/17P34_Ow5kFBfdQD0qspb2UuPX5zpi6WMrQzslghyvrI/edit?usp=sharing"",""สกลนคร!S139"")"),0)</f>
        <v>0</v>
      </c>
      <c r="U45" s="87">
        <f t="shared" ca="1" si="35"/>
        <v>0</v>
      </c>
      <c r="V45" s="87">
        <f t="shared" ca="1" si="36"/>
        <v>0</v>
      </c>
      <c r="W45" s="97">
        <f ca="1">IFERROR(__xludf.DUMMYFUNCTION("IMPORTRANGE(""https://docs.google.com/spreadsheets/d/17P34_Ow5kFBfdQD0qspb2UuPX5zpi6WMrQzslghyvrI/edit?usp=sharing"",""สกลนคร!J149"")"),0)</f>
        <v>0</v>
      </c>
      <c r="X45" s="97">
        <f ca="1">IFERROR(__xludf.DUMMYFUNCTION("IMPORTRANGE(""https://docs.google.com/spreadsheets/d/17P34_Ow5kFBfdQD0qspb2UuPX5zpi6WMrQzslghyvrI/edit?usp=sharing"",""สกลนคร!I150"")"),0)</f>
        <v>0</v>
      </c>
      <c r="Y45" s="97">
        <f ca="1">IFERROR(__xludf.DUMMYFUNCTION("IMPORTRANGE(""https://docs.google.com/spreadsheets/d/17P34_Ow5kFBfdQD0qspb2UuPX5zpi6WMrQzslghyvrI/edit?usp=sharing"",""สกลนคร!I151"")"),0)</f>
        <v>0</v>
      </c>
      <c r="Z45" s="97">
        <f ca="1">IFERROR(__xludf.DUMMYFUNCTION("IMPORTRANGE(""https://docs.google.com/spreadsheets/d/17P34_Ow5kFBfdQD0qspb2UuPX5zpi6WMrQzslghyvrI/edit?usp=sharing"",""สกลนคร!J150"")"),0)</f>
        <v>0</v>
      </c>
      <c r="AA45" s="98">
        <f t="shared" ca="1" si="38"/>
        <v>0</v>
      </c>
      <c r="AB45" s="97">
        <f ca="1">IFERROR(__xludf.DUMMYFUNCTION("IMPORTRANGE(""https://docs.google.com/spreadsheets/d/17P34_Ow5kFBfdQD0qspb2UuPX5zpi6WMrQzslghyvrI/edit?usp=sharing"",""สกลนคร!J151"")"),0)</f>
        <v>0</v>
      </c>
      <c r="AC45" s="98">
        <f t="shared" ca="1" si="39"/>
        <v>0</v>
      </c>
      <c r="AD45" s="97">
        <f ca="1">IFERROR(__xludf.DUMMYFUNCTION("IMPORTRANGE(""https://docs.google.com/spreadsheets/d/17P34_Ow5kFBfdQD0qspb2UuPX5zpi6WMrQzslghyvrI/edit?usp=sharing"",""สกลนคร!I152"")"),40)</f>
        <v>40</v>
      </c>
      <c r="AE45" s="97">
        <f ca="1">IFERROR(__xludf.DUMMYFUNCTION("IMPORTRANGE(""https://docs.google.com/spreadsheets/d/17P34_Ow5kFBfdQD0qspb2UuPX5zpi6WMrQzslghyvrI/edit?usp=sharing"",""สกลนคร!I153"")"),4)</f>
        <v>4</v>
      </c>
      <c r="AF45" s="97">
        <f ca="1">IFERROR(__xludf.DUMMYFUNCTION("IMPORTRANGE(""https://docs.google.com/spreadsheets/d/17P34_Ow5kFBfdQD0qspb2UuPX5zpi6WMrQzslghyvrI/edit?usp=sharing"",""สกลนคร!J152"")"),0)</f>
        <v>0</v>
      </c>
      <c r="AG45" s="98">
        <f t="shared" ca="1" si="41"/>
        <v>0</v>
      </c>
      <c r="AH45" s="97">
        <f ca="1">IFERROR(__xludf.DUMMYFUNCTION("IMPORTRANGE(""https://docs.google.com/spreadsheets/d/17P34_Ow5kFBfdQD0qspb2UuPX5zpi6WMrQzslghyvrI/edit?usp=sharing"",""สกลนคร!J153"")"),0)</f>
        <v>0</v>
      </c>
      <c r="AI45" s="98">
        <f t="shared" ca="1" si="42"/>
        <v>0</v>
      </c>
      <c r="AJ45" s="97">
        <f ca="1">IFERROR(__xludf.DUMMYFUNCTION("IMPORTRANGE(""https://docs.google.com/spreadsheets/d/17P34_Ow5kFBfdQD0qspb2UuPX5zpi6WMrQzslghyvrI/edit?usp=sharing"",""สกลนคร!I154"")"),0)</f>
        <v>0</v>
      </c>
      <c r="AK45" s="97">
        <f ca="1">IFERROR(__xludf.DUMMYFUNCTION("IMPORTRANGE(""https://docs.google.com/spreadsheets/d/17P34_Ow5kFBfdQD0qspb2UuPX5zpi6WMrQzslghyvrI/edit?usp=sharing"",""สกลนคร!J154"")"),0)</f>
        <v>0</v>
      </c>
      <c r="AL45" s="98">
        <f t="shared" ca="1" si="44"/>
        <v>0</v>
      </c>
    </row>
    <row r="46" spans="1:38" ht="21" customHeight="1" x14ac:dyDescent="0.3">
      <c r="A46" s="172">
        <v>15</v>
      </c>
      <c r="B46" s="173" t="s">
        <v>72</v>
      </c>
      <c r="C46" s="174">
        <f t="shared" ca="1" si="26"/>
        <v>0</v>
      </c>
      <c r="D46" s="175">
        <f t="shared" ca="1" si="51"/>
        <v>0</v>
      </c>
      <c r="E46" s="176">
        <f ca="1">IFERROR(__xludf.DUMMYFUNCTION("IMPORTRANGE(""https://docs.google.com/spreadsheets/d/1-uDff_7J0KD5mKrp0Vvzr7lt3OU09vwQwhkpOPPYv2Y/edit?usp=sharing"",""งบพรบ!BR46"")"),0)</f>
        <v>0</v>
      </c>
      <c r="F46" s="176">
        <f ca="1">IFERROR(__xludf.DUMMYFUNCTION("IMPORTRANGE(""https://docs.google.com/spreadsheets/d/1-uDff_7J0KD5mKrp0Vvzr7lt3OU09vwQwhkpOPPYv2Y/edit?usp=sharing"",""งบพรบ!BS46"")"),0)</f>
        <v>0</v>
      </c>
      <c r="G46" s="176">
        <f ca="1">IFERROR(__xludf.DUMMYFUNCTION("IMPORTRANGE(""https://docs.google.com/spreadsheets/d/1-uDff_7J0KD5mKrp0Vvzr7lt3OU09vwQwhkpOPPYv2Y/edit?usp=sharing"",""งบพรบ!BT46"")"),0)</f>
        <v>0</v>
      </c>
      <c r="H46" s="176">
        <f ca="1">IFERROR(__xludf.DUMMYFUNCTION("IMPORTRANGE(""https://docs.google.com/spreadsheets/d/1-uDff_7J0KD5mKrp0Vvzr7lt3OU09vwQwhkpOPPYv2Y/edit?usp=sharing"",""งบพรบ!BV46"")"),0)</f>
        <v>0</v>
      </c>
      <c r="I46" s="176">
        <f ca="1">IFERROR(__xludf.DUMMYFUNCTION("IMPORTRANGE(""https://docs.google.com/spreadsheets/d/1-uDff_7J0KD5mKrp0Vvzr7lt3OU09vwQwhkpOPPYv2Y/edit?usp=sharing"",""งบพรบ!BW46"")"),0)</f>
        <v>0</v>
      </c>
      <c r="J46" s="176">
        <f t="shared" ca="1" si="28"/>
        <v>0</v>
      </c>
      <c r="K46" s="179">
        <f t="shared" ca="1" si="29"/>
        <v>0</v>
      </c>
      <c r="L46" s="176">
        <f ca="1">IFERROR(__xludf.DUMMYFUNCTION("IMPORTRANGE(""https://docs.google.com/spreadsheets/d/1-uDff_7J0KD5mKrp0Vvzr7lt3OU09vwQwhkpOPPYv2Y/edit?usp=sharing"",""งบพรบ!BX46"")"),0)</f>
        <v>0</v>
      </c>
      <c r="M46" s="87">
        <f t="shared" ca="1" si="30"/>
        <v>0</v>
      </c>
      <c r="N46" s="87">
        <f t="shared" ca="1" si="31"/>
        <v>0</v>
      </c>
      <c r="O46" s="86">
        <f ca="1">IFERROR(__xludf.DUMMYFUNCTION("IMPORTRANGE(""https://docs.google.com/spreadsheets/d/1-uDff_7J0KD5mKrp0Vvzr7lt3OU09vwQwhkpOPPYv2Y/edit?usp=sharing"",""งบพรบ!BY46"")"),0)</f>
        <v>0</v>
      </c>
      <c r="P46" s="86">
        <f t="shared" ca="1" si="32"/>
        <v>0</v>
      </c>
      <c r="Q46" s="87">
        <f t="shared" ca="1" si="33"/>
        <v>0</v>
      </c>
      <c r="R46" s="86">
        <f ca="1">IFERROR(__xludf.DUMMYFUNCTION("IMPORTRANGE(""https://docs.google.com/spreadsheets/d/1yswqbM3-AEpThF3ZSUa1AcmHnmRTF1vlJ1CZGcJ8YuU/edit?usp=sharing"",""สุรินทร์!Q139"")"),0)</f>
        <v>0</v>
      </c>
      <c r="S46" s="86">
        <f ca="1">IFERROR(__xludf.DUMMYFUNCTION("IMPORTRANGE(""https://docs.google.com/spreadsheets/d/1yswqbM3-AEpThF3ZSUa1AcmHnmRTF1vlJ1CZGcJ8YuU/edit?usp=sharing"",""สุรินทร์!R139"")"),0)</f>
        <v>0</v>
      </c>
      <c r="T46" s="86">
        <f ca="1">IFERROR(__xludf.DUMMYFUNCTION("IMPORTRANGE(""https://docs.google.com/spreadsheets/d/1yswqbM3-AEpThF3ZSUa1AcmHnmRTF1vlJ1CZGcJ8YuU/edit?usp=sharing"",""สุรินทร์!S139"")"),0)</f>
        <v>0</v>
      </c>
      <c r="U46" s="87">
        <f t="shared" ca="1" si="35"/>
        <v>0</v>
      </c>
      <c r="V46" s="87">
        <f t="shared" ca="1" si="36"/>
        <v>0</v>
      </c>
      <c r="W46" s="97">
        <f ca="1">IFERROR(__xludf.DUMMYFUNCTION("IMPORTRANGE(""https://docs.google.com/spreadsheets/d/1yswqbM3-AEpThF3ZSUa1AcmHnmRTF1vlJ1CZGcJ8YuU/edit?usp=sharing"",""สุรินทร์!J149"")"),0)</f>
        <v>0</v>
      </c>
      <c r="X46" s="97">
        <f ca="1">IFERROR(__xludf.DUMMYFUNCTION("IMPORTRANGE(""https://docs.google.com/spreadsheets/d/1yswqbM3-AEpThF3ZSUa1AcmHnmRTF1vlJ1CZGcJ8YuU/edit?usp=sharing"",""สุรินทร์!I150"")"),0)</f>
        <v>0</v>
      </c>
      <c r="Y46" s="97">
        <f ca="1">IFERROR(__xludf.DUMMYFUNCTION("IMPORTRANGE(""https://docs.google.com/spreadsheets/d/1yswqbM3-AEpThF3ZSUa1AcmHnmRTF1vlJ1CZGcJ8YuU/edit?usp=sharing"",""สุรินทร์!I151"")"),0)</f>
        <v>0</v>
      </c>
      <c r="Z46" s="97">
        <f ca="1">IFERROR(__xludf.DUMMYFUNCTION("IMPORTRANGE(""https://docs.google.com/spreadsheets/d/1yswqbM3-AEpThF3ZSUa1AcmHnmRTF1vlJ1CZGcJ8YuU/edit?usp=sharing"",""สุรินทร์!J150"")"),0)</f>
        <v>0</v>
      </c>
      <c r="AA46" s="98">
        <f t="shared" ca="1" si="38"/>
        <v>0</v>
      </c>
      <c r="AB46" s="97">
        <f ca="1">IFERROR(__xludf.DUMMYFUNCTION("IMPORTRANGE(""https://docs.google.com/spreadsheets/d/1yswqbM3-AEpThF3ZSUa1AcmHnmRTF1vlJ1CZGcJ8YuU/edit?usp=sharing"",""สุรินทร์!J151"")"),0)</f>
        <v>0</v>
      </c>
      <c r="AC46" s="98">
        <f t="shared" ca="1" si="39"/>
        <v>0</v>
      </c>
      <c r="AD46" s="97">
        <f ca="1">IFERROR(__xludf.DUMMYFUNCTION("IMPORTRANGE(""https://docs.google.com/spreadsheets/d/1yswqbM3-AEpThF3ZSUa1AcmHnmRTF1vlJ1CZGcJ8YuU/edit?usp=sharing"",""สุรินทร์!I152"")"),0)</f>
        <v>0</v>
      </c>
      <c r="AE46" s="97">
        <f ca="1">IFERROR(__xludf.DUMMYFUNCTION("IMPORTRANGE(""https://docs.google.com/spreadsheets/d/1yswqbM3-AEpThF3ZSUa1AcmHnmRTF1vlJ1CZGcJ8YuU/edit?usp=sharing"",""สุรินทร์!I153"")"),0)</f>
        <v>0</v>
      </c>
      <c r="AF46" s="97">
        <f ca="1">IFERROR(__xludf.DUMMYFUNCTION("IMPORTRANGE(""https://docs.google.com/spreadsheets/d/1yswqbM3-AEpThF3ZSUa1AcmHnmRTF1vlJ1CZGcJ8YuU/edit?usp=sharing"",""สุรินทร์!J152"")"),0)</f>
        <v>0</v>
      </c>
      <c r="AG46" s="98">
        <f t="shared" ca="1" si="41"/>
        <v>0</v>
      </c>
      <c r="AH46" s="97">
        <f ca="1">IFERROR(__xludf.DUMMYFUNCTION("IMPORTRANGE(""https://docs.google.com/spreadsheets/d/1yswqbM3-AEpThF3ZSUa1AcmHnmRTF1vlJ1CZGcJ8YuU/edit?usp=sharing"",""สุรินทร์!J153"")"),0)</f>
        <v>0</v>
      </c>
      <c r="AI46" s="98">
        <f t="shared" ca="1" si="42"/>
        <v>0</v>
      </c>
      <c r="AJ46" s="97">
        <f ca="1">IFERROR(__xludf.DUMMYFUNCTION("IMPORTRANGE(""https://docs.google.com/spreadsheets/d/1yswqbM3-AEpThF3ZSUa1AcmHnmRTF1vlJ1CZGcJ8YuU/edit?usp=sharing"",""สุรินทร์!I154"")"),0)</f>
        <v>0</v>
      </c>
      <c r="AK46" s="97">
        <f ca="1">IFERROR(__xludf.DUMMYFUNCTION("IMPORTRANGE(""https://docs.google.com/spreadsheets/d/1yswqbM3-AEpThF3ZSUa1AcmHnmRTF1vlJ1CZGcJ8YuU/edit?usp=sharing"",""สุรินทร์!J154"")"),0)</f>
        <v>0</v>
      </c>
      <c r="AL46" s="98">
        <f t="shared" ca="1" si="44"/>
        <v>0</v>
      </c>
    </row>
    <row r="47" spans="1:38" ht="21" customHeight="1" x14ac:dyDescent="0.3">
      <c r="A47" s="172">
        <v>16</v>
      </c>
      <c r="B47" s="173" t="s">
        <v>73</v>
      </c>
      <c r="C47" s="174">
        <f t="shared" ca="1" si="26"/>
        <v>137600</v>
      </c>
      <c r="D47" s="175">
        <f t="shared" ca="1" si="51"/>
        <v>137600</v>
      </c>
      <c r="E47" s="176">
        <f ca="1">IFERROR(__xludf.DUMMYFUNCTION("IMPORTRANGE(""https://docs.google.com/spreadsheets/d/1-uDff_7J0KD5mKrp0Vvzr7lt3OU09vwQwhkpOPPYv2Y/edit?usp=sharing"",""งบพรบ!BR47"")"),81100)</f>
        <v>81100</v>
      </c>
      <c r="F47" s="176">
        <f ca="1">IFERROR(__xludf.DUMMYFUNCTION("IMPORTRANGE(""https://docs.google.com/spreadsheets/d/1-uDff_7J0KD5mKrp0Vvzr7lt3OU09vwQwhkpOPPYv2Y/edit?usp=sharing"",""งบพรบ!BS47"")"),56500)</f>
        <v>56500</v>
      </c>
      <c r="G47" s="176">
        <f ca="1">IFERROR(__xludf.DUMMYFUNCTION("IMPORTRANGE(""https://docs.google.com/spreadsheets/d/1-uDff_7J0KD5mKrp0Vvzr7lt3OU09vwQwhkpOPPYv2Y/edit?usp=sharing"",""งบพรบ!BT47"")"),0)</f>
        <v>0</v>
      </c>
      <c r="H47" s="176">
        <f ca="1">IFERROR(__xludf.DUMMYFUNCTION("IMPORTRANGE(""https://docs.google.com/spreadsheets/d/1-uDff_7J0KD5mKrp0Vvzr7lt3OU09vwQwhkpOPPYv2Y/edit?usp=sharing"",""งบพรบ!BV47"")"),132600)</f>
        <v>132600</v>
      </c>
      <c r="I47" s="176">
        <f ca="1">IFERROR(__xludf.DUMMYFUNCTION("IMPORTRANGE(""https://docs.google.com/spreadsheets/d/1-uDff_7J0KD5mKrp0Vvzr7lt3OU09vwQwhkpOPPYv2Y/edit?usp=sharing"",""งบพรบ!BW47"")"),0)</f>
        <v>0</v>
      </c>
      <c r="J47" s="176">
        <f t="shared" ca="1" si="28"/>
        <v>69211.8</v>
      </c>
      <c r="K47" s="179">
        <f t="shared" ca="1" si="29"/>
        <v>50.299273255813951</v>
      </c>
      <c r="L47" s="176">
        <f ca="1">IFERROR(__xludf.DUMMYFUNCTION("IMPORTRANGE(""https://docs.google.com/spreadsheets/d/1-uDff_7J0KD5mKrp0Vvzr7lt3OU09vwQwhkpOPPYv2Y/edit?usp=sharing"",""งบพรบ!BX47"")"),69211.8)</f>
        <v>69211.8</v>
      </c>
      <c r="M47" s="87">
        <f t="shared" ca="1" si="30"/>
        <v>50.299273255813951</v>
      </c>
      <c r="N47" s="87">
        <f t="shared" ca="1" si="31"/>
        <v>52.195927601809956</v>
      </c>
      <c r="O47" s="86">
        <f ca="1">IFERROR(__xludf.DUMMYFUNCTION("IMPORTRANGE(""https://docs.google.com/spreadsheets/d/1-uDff_7J0KD5mKrp0Vvzr7lt3OU09vwQwhkpOPPYv2Y/edit?usp=sharing"",""งบพรบ!BY47"")"),0)</f>
        <v>0</v>
      </c>
      <c r="P47" s="86">
        <f t="shared" ca="1" si="32"/>
        <v>0</v>
      </c>
      <c r="Q47" s="87">
        <f t="shared" ca="1" si="33"/>
        <v>0</v>
      </c>
      <c r="R47" s="86">
        <f ca="1">IFERROR(__xludf.DUMMYFUNCTION("IMPORTRANGE(""https://docs.google.com/spreadsheets/d/13JHU_EFbsQOUQ0JSQ3dWy1VTRosIWcDq6Nc99z2qzdc/edit?usp=sharing"",""หนองคาย!Q139"")"),0)</f>
        <v>0</v>
      </c>
      <c r="S47" s="86">
        <f ca="1">IFERROR(__xludf.DUMMYFUNCTION("IMPORTRANGE(""https://docs.google.com/spreadsheets/d/13JHU_EFbsQOUQ0JSQ3dWy1VTRosIWcDq6Nc99z2qzdc/edit?usp=sharing"",""หนองคาย!R139"")"),0)</f>
        <v>0</v>
      </c>
      <c r="T47" s="86">
        <f ca="1">IFERROR(__xludf.DUMMYFUNCTION("IMPORTRANGE(""https://docs.google.com/spreadsheets/d/13JHU_EFbsQOUQ0JSQ3dWy1VTRosIWcDq6Nc99z2qzdc/edit?usp=sharing"",""หนองคาย!S139"")"),0)</f>
        <v>0</v>
      </c>
      <c r="U47" s="87">
        <f t="shared" ca="1" si="35"/>
        <v>0</v>
      </c>
      <c r="V47" s="87">
        <f t="shared" ca="1" si="36"/>
        <v>0</v>
      </c>
      <c r="W47" s="97">
        <f ca="1">IFERROR(__xludf.DUMMYFUNCTION("IMPORTRANGE(""https://docs.google.com/spreadsheets/d/13JHU_EFbsQOUQ0JSQ3dWy1VTRosIWcDq6Nc99z2qzdc/edit?usp=sharing"",""หนองคาย!J149"")"),0)</f>
        <v>0</v>
      </c>
      <c r="X47" s="97">
        <f ca="1">IFERROR(__xludf.DUMMYFUNCTION("IMPORTRANGE(""https://docs.google.com/spreadsheets/d/13JHU_EFbsQOUQ0JSQ3dWy1VTRosIWcDq6Nc99z2qzdc/edit?usp=sharing"",""หนองคาย!I150"")"),0)</f>
        <v>0</v>
      </c>
      <c r="Y47" s="97">
        <f ca="1">IFERROR(__xludf.DUMMYFUNCTION("IMPORTRANGE(""https://docs.google.com/spreadsheets/d/13JHU_EFbsQOUQ0JSQ3dWy1VTRosIWcDq6Nc99z2qzdc/edit?usp=sharing"",""หนองคาย!I151"")"),0)</f>
        <v>0</v>
      </c>
      <c r="Z47" s="97">
        <f ca="1">IFERROR(__xludf.DUMMYFUNCTION("IMPORTRANGE(""https://docs.google.com/spreadsheets/d/13JHU_EFbsQOUQ0JSQ3dWy1VTRosIWcDq6Nc99z2qzdc/edit?usp=sharing"",""หนองคาย!J150"")"),0)</f>
        <v>0</v>
      </c>
      <c r="AA47" s="98">
        <f t="shared" ca="1" si="38"/>
        <v>0</v>
      </c>
      <c r="AB47" s="97">
        <f ca="1">IFERROR(__xludf.DUMMYFUNCTION("IMPORTRANGE(""https://docs.google.com/spreadsheets/d/13JHU_EFbsQOUQ0JSQ3dWy1VTRosIWcDq6Nc99z2qzdc/edit?usp=sharing"",""หนองคาย!J151"")"),0)</f>
        <v>0</v>
      </c>
      <c r="AC47" s="98">
        <f t="shared" ca="1" si="39"/>
        <v>0</v>
      </c>
      <c r="AD47" s="97">
        <f ca="1">IFERROR(__xludf.DUMMYFUNCTION("IMPORTRANGE(""https://docs.google.com/spreadsheets/d/13JHU_EFbsQOUQ0JSQ3dWy1VTRosIWcDq6Nc99z2qzdc/edit?usp=sharing"",""หนองคาย!I152"")"),50)</f>
        <v>50</v>
      </c>
      <c r="AE47" s="97">
        <f ca="1">IFERROR(__xludf.DUMMYFUNCTION("IMPORTRANGE(""https://docs.google.com/spreadsheets/d/13JHU_EFbsQOUQ0JSQ3dWy1VTRosIWcDq6Nc99z2qzdc/edit?usp=sharing"",""หนองคาย!I153"")"),5)</f>
        <v>5</v>
      </c>
      <c r="AF47" s="97">
        <f ca="1">IFERROR(__xludf.DUMMYFUNCTION("IMPORTRANGE(""https://docs.google.com/spreadsheets/d/13JHU_EFbsQOUQ0JSQ3dWy1VTRosIWcDq6Nc99z2qzdc/edit?usp=sharing"",""หนองคาย!J152"")"),0)</f>
        <v>0</v>
      </c>
      <c r="AG47" s="98">
        <f t="shared" ca="1" si="41"/>
        <v>0</v>
      </c>
      <c r="AH47" s="97">
        <f ca="1">IFERROR(__xludf.DUMMYFUNCTION("IMPORTRANGE(""https://docs.google.com/spreadsheets/d/13JHU_EFbsQOUQ0JSQ3dWy1VTRosIWcDq6Nc99z2qzdc/edit?usp=sharing"",""หนองคาย!J153"")"),0)</f>
        <v>0</v>
      </c>
      <c r="AI47" s="98">
        <f t="shared" ca="1" si="42"/>
        <v>0</v>
      </c>
      <c r="AJ47" s="97">
        <f ca="1">IFERROR(__xludf.DUMMYFUNCTION("IMPORTRANGE(""https://docs.google.com/spreadsheets/d/13JHU_EFbsQOUQ0JSQ3dWy1VTRosIWcDq6Nc99z2qzdc/edit?usp=sharing"",""หนองคาย!I154"")"),0)</f>
        <v>0</v>
      </c>
      <c r="AK47" s="97">
        <f ca="1">IFERROR(__xludf.DUMMYFUNCTION("IMPORTRANGE(""https://docs.google.com/spreadsheets/d/13JHU_EFbsQOUQ0JSQ3dWy1VTRosIWcDq6Nc99z2qzdc/edit?usp=sharing"",""หนองคาย!J154"")"),0)</f>
        <v>0</v>
      </c>
      <c r="AL47" s="98">
        <f t="shared" ca="1" si="44"/>
        <v>0</v>
      </c>
    </row>
    <row r="48" spans="1:38" ht="21" customHeight="1" x14ac:dyDescent="0.3">
      <c r="A48" s="172">
        <v>17</v>
      </c>
      <c r="B48" s="173" t="s">
        <v>74</v>
      </c>
      <c r="C48" s="174">
        <f t="shared" ca="1" si="26"/>
        <v>0</v>
      </c>
      <c r="D48" s="175">
        <f t="shared" ca="1" si="51"/>
        <v>0</v>
      </c>
      <c r="E48" s="176">
        <f ca="1">IFERROR(__xludf.DUMMYFUNCTION("IMPORTRANGE(""https://docs.google.com/spreadsheets/d/1-uDff_7J0KD5mKrp0Vvzr7lt3OU09vwQwhkpOPPYv2Y/edit?usp=sharing"",""งบพรบ!BR48"")"),0)</f>
        <v>0</v>
      </c>
      <c r="F48" s="176">
        <f ca="1">IFERROR(__xludf.DUMMYFUNCTION("IMPORTRANGE(""https://docs.google.com/spreadsheets/d/1-uDff_7J0KD5mKrp0Vvzr7lt3OU09vwQwhkpOPPYv2Y/edit?usp=sharing"",""งบพรบ!BS48"")"),0)</f>
        <v>0</v>
      </c>
      <c r="G48" s="176">
        <f ca="1">IFERROR(__xludf.DUMMYFUNCTION("IMPORTRANGE(""https://docs.google.com/spreadsheets/d/1-uDff_7J0KD5mKrp0Vvzr7lt3OU09vwQwhkpOPPYv2Y/edit?usp=sharing"",""งบพรบ!BT48"")"),0)</f>
        <v>0</v>
      </c>
      <c r="H48" s="176">
        <f ca="1">IFERROR(__xludf.DUMMYFUNCTION("IMPORTRANGE(""https://docs.google.com/spreadsheets/d/1-uDff_7J0KD5mKrp0Vvzr7lt3OU09vwQwhkpOPPYv2Y/edit?usp=sharing"",""งบพรบ!BV48"")"),0)</f>
        <v>0</v>
      </c>
      <c r="I48" s="176">
        <f ca="1">IFERROR(__xludf.DUMMYFUNCTION("IMPORTRANGE(""https://docs.google.com/spreadsheets/d/1-uDff_7J0KD5mKrp0Vvzr7lt3OU09vwQwhkpOPPYv2Y/edit?usp=sharing"",""งบพรบ!BW48"")"),0)</f>
        <v>0</v>
      </c>
      <c r="J48" s="176">
        <f t="shared" ca="1" si="28"/>
        <v>0</v>
      </c>
      <c r="K48" s="179">
        <f t="shared" ca="1" si="29"/>
        <v>0</v>
      </c>
      <c r="L48" s="176">
        <f ca="1">IFERROR(__xludf.DUMMYFUNCTION("IMPORTRANGE(""https://docs.google.com/spreadsheets/d/1-uDff_7J0KD5mKrp0Vvzr7lt3OU09vwQwhkpOPPYv2Y/edit?usp=sharing"",""งบพรบ!BX48"")"),0)</f>
        <v>0</v>
      </c>
      <c r="M48" s="87">
        <f t="shared" ca="1" si="30"/>
        <v>0</v>
      </c>
      <c r="N48" s="87">
        <f t="shared" ca="1" si="31"/>
        <v>0</v>
      </c>
      <c r="O48" s="86">
        <f ca="1">IFERROR(__xludf.DUMMYFUNCTION("IMPORTRANGE(""https://docs.google.com/spreadsheets/d/1-uDff_7J0KD5mKrp0Vvzr7lt3OU09vwQwhkpOPPYv2Y/edit?usp=sharing"",""งบพรบ!BY48"")"),0)</f>
        <v>0</v>
      </c>
      <c r="P48" s="86">
        <f t="shared" ca="1" si="32"/>
        <v>0</v>
      </c>
      <c r="Q48" s="87">
        <f t="shared" ca="1" si="33"/>
        <v>0</v>
      </c>
      <c r="R48" s="86">
        <f ca="1">IFERROR(__xludf.DUMMYFUNCTION("IMPORTRANGE(""https://docs.google.com/spreadsheets/d/1Hx73zIEgVdDZZaYSTc46Dqv64atFhpr3GelxLbaIN8A/edit?usp=sharing"",""หนองบัวลำภู!Q139"")"),0)</f>
        <v>0</v>
      </c>
      <c r="S48" s="86">
        <f ca="1">IFERROR(__xludf.DUMMYFUNCTION("IMPORTRANGE(""https://docs.google.com/spreadsheets/d/1Hx73zIEgVdDZZaYSTc46Dqv64atFhpr3GelxLbaIN8A/edit?usp=sharing"",""หนองบัวลำภู!R139"")"),0)</f>
        <v>0</v>
      </c>
      <c r="T48" s="86">
        <f ca="1">IFERROR(__xludf.DUMMYFUNCTION("IMPORTRANGE(""https://docs.google.com/spreadsheets/d/1Hx73zIEgVdDZZaYSTc46Dqv64atFhpr3GelxLbaIN8A/edit?usp=sharing"",""หนองบัวลำภู!S139"")"),0)</f>
        <v>0</v>
      </c>
      <c r="U48" s="87">
        <f t="shared" ca="1" si="35"/>
        <v>0</v>
      </c>
      <c r="V48" s="87">
        <f t="shared" ca="1" si="36"/>
        <v>0</v>
      </c>
      <c r="W48" s="97">
        <f ca="1">IFERROR(__xludf.DUMMYFUNCTION("IMPORTRANGE(""https://docs.google.com/spreadsheets/d/1Hx73zIEgVdDZZaYSTc46Dqv64atFhpr3GelxLbaIN8A/edit?usp=sharing"",""หนองบัวลำภู!J149"")"),0)</f>
        <v>0</v>
      </c>
      <c r="X48" s="97">
        <f ca="1">IFERROR(__xludf.DUMMYFUNCTION("IMPORTRANGE(""https://docs.google.com/spreadsheets/d/1Hx73zIEgVdDZZaYSTc46Dqv64atFhpr3GelxLbaIN8A/edit?usp=sharing"",""หนองบัวลำภู!I150"")"),0)</f>
        <v>0</v>
      </c>
      <c r="Y48" s="97">
        <f ca="1">IFERROR(__xludf.DUMMYFUNCTION("IMPORTRANGE(""https://docs.google.com/spreadsheets/d/1Hx73zIEgVdDZZaYSTc46Dqv64atFhpr3GelxLbaIN8A/edit?usp=sharing"",""หนองบัวลำภู!I151"")"),0)</f>
        <v>0</v>
      </c>
      <c r="Z48" s="97">
        <f ca="1">IFERROR(__xludf.DUMMYFUNCTION("IMPORTRANGE(""https://docs.google.com/spreadsheets/d/1Hx73zIEgVdDZZaYSTc46Dqv64atFhpr3GelxLbaIN8A/edit?usp=sharing"",""หนองบัวลำภู!J150"")"),0)</f>
        <v>0</v>
      </c>
      <c r="AA48" s="98">
        <f t="shared" ca="1" si="38"/>
        <v>0</v>
      </c>
      <c r="AB48" s="97">
        <f ca="1">IFERROR(__xludf.DUMMYFUNCTION("IMPORTRANGE(""https://docs.google.com/spreadsheets/d/1Hx73zIEgVdDZZaYSTc46Dqv64atFhpr3GelxLbaIN8A/edit?usp=sharing"",""หนองบัวลำภู!J151"")"),0)</f>
        <v>0</v>
      </c>
      <c r="AC48" s="98">
        <f t="shared" ca="1" si="39"/>
        <v>0</v>
      </c>
      <c r="AD48" s="97">
        <f ca="1">IFERROR(__xludf.DUMMYFUNCTION("IMPORTRANGE(""https://docs.google.com/spreadsheets/d/1Hx73zIEgVdDZZaYSTc46Dqv64atFhpr3GelxLbaIN8A/edit?usp=sharing"",""หนองบัวลำภู!I152"")"),0)</f>
        <v>0</v>
      </c>
      <c r="AE48" s="97">
        <f ca="1">IFERROR(__xludf.DUMMYFUNCTION("IMPORTRANGE(""https://docs.google.com/spreadsheets/d/1Hx73zIEgVdDZZaYSTc46Dqv64atFhpr3GelxLbaIN8A/edit?usp=sharing"",""หนองบัวลำภู!I153"")"),0)</f>
        <v>0</v>
      </c>
      <c r="AF48" s="97">
        <f ca="1">IFERROR(__xludf.DUMMYFUNCTION("IMPORTRANGE(""https://docs.google.com/spreadsheets/d/1Hx73zIEgVdDZZaYSTc46Dqv64atFhpr3GelxLbaIN8A/edit?usp=sharing"",""หนองบัวลำภู!J152"")"),0)</f>
        <v>0</v>
      </c>
      <c r="AG48" s="98">
        <f t="shared" ca="1" si="41"/>
        <v>0</v>
      </c>
      <c r="AH48" s="97">
        <f ca="1">IFERROR(__xludf.DUMMYFUNCTION("IMPORTRANGE(""https://docs.google.com/spreadsheets/d/1Hx73zIEgVdDZZaYSTc46Dqv64atFhpr3GelxLbaIN8A/edit?usp=sharing"",""หนองบัวลำภู!J153"")"),0)</f>
        <v>0</v>
      </c>
      <c r="AI48" s="98">
        <f t="shared" ca="1" si="42"/>
        <v>0</v>
      </c>
      <c r="AJ48" s="97">
        <f ca="1">IFERROR(__xludf.DUMMYFUNCTION("IMPORTRANGE(""https://docs.google.com/spreadsheets/d/1Hx73zIEgVdDZZaYSTc46Dqv64atFhpr3GelxLbaIN8A/edit?usp=sharing"",""หนองบัวลำภู!I154"")"),0)</f>
        <v>0</v>
      </c>
      <c r="AK48" s="97">
        <f ca="1">IFERROR(__xludf.DUMMYFUNCTION("IMPORTRANGE(""https://docs.google.com/spreadsheets/d/1Hx73zIEgVdDZZaYSTc46Dqv64atFhpr3GelxLbaIN8A/edit?usp=sharing"",""หนองบัวลำภู!J154"")"),0)</f>
        <v>0</v>
      </c>
      <c r="AL48" s="98">
        <f t="shared" ca="1" si="44"/>
        <v>0</v>
      </c>
    </row>
    <row r="49" spans="1:38" ht="21" customHeight="1" x14ac:dyDescent="0.3">
      <c r="A49" s="172">
        <v>18</v>
      </c>
      <c r="B49" s="173" t="s">
        <v>75</v>
      </c>
      <c r="C49" s="174">
        <f t="shared" ca="1" si="26"/>
        <v>0</v>
      </c>
      <c r="D49" s="175">
        <f t="shared" ca="1" si="51"/>
        <v>0</v>
      </c>
      <c r="E49" s="176">
        <f ca="1">IFERROR(__xludf.DUMMYFUNCTION("IMPORTRANGE(""https://docs.google.com/spreadsheets/d/1-uDff_7J0KD5mKrp0Vvzr7lt3OU09vwQwhkpOPPYv2Y/edit?usp=sharing"",""งบพรบ!BR49"")"),0)</f>
        <v>0</v>
      </c>
      <c r="F49" s="176">
        <f ca="1">IFERROR(__xludf.DUMMYFUNCTION("IMPORTRANGE(""https://docs.google.com/spreadsheets/d/1-uDff_7J0KD5mKrp0Vvzr7lt3OU09vwQwhkpOPPYv2Y/edit?usp=sharing"",""งบพรบ!BS49"")"),0)</f>
        <v>0</v>
      </c>
      <c r="G49" s="176">
        <f ca="1">IFERROR(__xludf.DUMMYFUNCTION("IMPORTRANGE(""https://docs.google.com/spreadsheets/d/1-uDff_7J0KD5mKrp0Vvzr7lt3OU09vwQwhkpOPPYv2Y/edit?usp=sharing"",""งบพรบ!BT49"")"),0)</f>
        <v>0</v>
      </c>
      <c r="H49" s="176">
        <f ca="1">IFERROR(__xludf.DUMMYFUNCTION("IMPORTRANGE(""https://docs.google.com/spreadsheets/d/1-uDff_7J0KD5mKrp0Vvzr7lt3OU09vwQwhkpOPPYv2Y/edit?usp=sharing"",""งบพรบ!BV49"")"),0)</f>
        <v>0</v>
      </c>
      <c r="I49" s="176">
        <f ca="1">IFERROR(__xludf.DUMMYFUNCTION("IMPORTRANGE(""https://docs.google.com/spreadsheets/d/1-uDff_7J0KD5mKrp0Vvzr7lt3OU09vwQwhkpOPPYv2Y/edit?usp=sharing"",""งบพรบ!BW49"")"),0)</f>
        <v>0</v>
      </c>
      <c r="J49" s="176">
        <f t="shared" ca="1" si="28"/>
        <v>0</v>
      </c>
      <c r="K49" s="179">
        <f t="shared" ca="1" si="29"/>
        <v>0</v>
      </c>
      <c r="L49" s="176">
        <f ca="1">IFERROR(__xludf.DUMMYFUNCTION("IMPORTRANGE(""https://docs.google.com/spreadsheets/d/1-uDff_7J0KD5mKrp0Vvzr7lt3OU09vwQwhkpOPPYv2Y/edit?usp=sharing"",""งบพรบ!BX49"")"),0)</f>
        <v>0</v>
      </c>
      <c r="M49" s="87">
        <f t="shared" ca="1" si="30"/>
        <v>0</v>
      </c>
      <c r="N49" s="87">
        <f t="shared" ca="1" si="31"/>
        <v>0</v>
      </c>
      <c r="O49" s="86">
        <f ca="1">IFERROR(__xludf.DUMMYFUNCTION("IMPORTRANGE(""https://docs.google.com/spreadsheets/d/1-uDff_7J0KD5mKrp0Vvzr7lt3OU09vwQwhkpOPPYv2Y/edit?usp=sharing"",""งบพรบ!BY49"")"),0)</f>
        <v>0</v>
      </c>
      <c r="P49" s="86">
        <f t="shared" ca="1" si="32"/>
        <v>0</v>
      </c>
      <c r="Q49" s="87">
        <f t="shared" ca="1" si="33"/>
        <v>0</v>
      </c>
      <c r="R49" s="86">
        <f ca="1">IFERROR(__xludf.DUMMYFUNCTION("IMPORTRANGE(""https://docs.google.com/spreadsheets/d/1lFxr3ctmjFN90yc-xV6jrQ9Ty8BKYVBWnAZ15wcNIJc/edit?usp=sharing"",""อำนาจเจริญ!Q139"")"),0)</f>
        <v>0</v>
      </c>
      <c r="S49" s="86">
        <f ca="1">IFERROR(__xludf.DUMMYFUNCTION("IMPORTRANGE(""https://docs.google.com/spreadsheets/d/1lFxr3ctmjFN90yc-xV6jrQ9Ty8BKYVBWnAZ15wcNIJc/edit?usp=sharing"",""อำนาจเจริญ!R139"")"),0)</f>
        <v>0</v>
      </c>
      <c r="T49" s="86">
        <f ca="1">IFERROR(__xludf.DUMMYFUNCTION("IMPORTRANGE(""https://docs.google.com/spreadsheets/d/1lFxr3ctmjFN90yc-xV6jrQ9Ty8BKYVBWnAZ15wcNIJc/edit?usp=sharing"",""อำนาจเจริญ!S139"")"),0)</f>
        <v>0</v>
      </c>
      <c r="U49" s="87">
        <f t="shared" ca="1" si="35"/>
        <v>0</v>
      </c>
      <c r="V49" s="87">
        <f t="shared" ca="1" si="36"/>
        <v>0</v>
      </c>
      <c r="W49" s="97">
        <f ca="1">IFERROR(__xludf.DUMMYFUNCTION("IMPORTRANGE(""https://docs.google.com/spreadsheets/d/1lFxr3ctmjFN90yc-xV6jrQ9Ty8BKYVBWnAZ15wcNIJc/edit?usp=sharing"",""อำนาจเจริญ!J149"")"),0)</f>
        <v>0</v>
      </c>
      <c r="X49" s="97">
        <f ca="1">IFERROR(__xludf.DUMMYFUNCTION("IMPORTRANGE(""https://docs.google.com/spreadsheets/d/1lFxr3ctmjFN90yc-xV6jrQ9Ty8BKYVBWnAZ15wcNIJc/edit?usp=sharing"",""อำนาจเจริญ!I150"")"),0)</f>
        <v>0</v>
      </c>
      <c r="Y49" s="97">
        <f ca="1">IFERROR(__xludf.DUMMYFUNCTION("IMPORTRANGE(""https://docs.google.com/spreadsheets/d/1lFxr3ctmjFN90yc-xV6jrQ9Ty8BKYVBWnAZ15wcNIJc/edit?usp=sharing"",""อำนาจเจริญ!I151"")"),0)</f>
        <v>0</v>
      </c>
      <c r="Z49" s="97">
        <f ca="1">IFERROR(__xludf.DUMMYFUNCTION("IMPORTRANGE(""https://docs.google.com/spreadsheets/d/1lFxr3ctmjFN90yc-xV6jrQ9Ty8BKYVBWnAZ15wcNIJc/edit?usp=sharing"",""อำนาจเจริญ!J150"")"),0)</f>
        <v>0</v>
      </c>
      <c r="AA49" s="98">
        <f t="shared" ca="1" si="38"/>
        <v>0</v>
      </c>
      <c r="AB49" s="97">
        <f ca="1">IFERROR(__xludf.DUMMYFUNCTION("IMPORTRANGE(""https://docs.google.com/spreadsheets/d/1lFxr3ctmjFN90yc-xV6jrQ9Ty8BKYVBWnAZ15wcNIJc/edit?usp=sharing"",""อำนาจเจริญ!J151"")"),0)</f>
        <v>0</v>
      </c>
      <c r="AC49" s="98">
        <f t="shared" ca="1" si="39"/>
        <v>0</v>
      </c>
      <c r="AD49" s="97">
        <f ca="1">IFERROR(__xludf.DUMMYFUNCTION("IMPORTRANGE(""https://docs.google.com/spreadsheets/d/1lFxr3ctmjFN90yc-xV6jrQ9Ty8BKYVBWnAZ15wcNIJc/edit?usp=sharing"",""อำนาจเจริญ!I152"")"),0)</f>
        <v>0</v>
      </c>
      <c r="AE49" s="97">
        <f ca="1">IFERROR(__xludf.DUMMYFUNCTION("IMPORTRANGE(""https://docs.google.com/spreadsheets/d/1lFxr3ctmjFN90yc-xV6jrQ9Ty8BKYVBWnAZ15wcNIJc/edit?usp=sharing"",""อำนาจเจริญ!I153"")"),0)</f>
        <v>0</v>
      </c>
      <c r="AF49" s="97">
        <f ca="1">IFERROR(__xludf.DUMMYFUNCTION("IMPORTRANGE(""https://docs.google.com/spreadsheets/d/1lFxr3ctmjFN90yc-xV6jrQ9Ty8BKYVBWnAZ15wcNIJc/edit?usp=sharing"",""อำนาจเจริญ!J152"")"),0)</f>
        <v>0</v>
      </c>
      <c r="AG49" s="98">
        <f t="shared" ca="1" si="41"/>
        <v>0</v>
      </c>
      <c r="AH49" s="97">
        <f ca="1">IFERROR(__xludf.DUMMYFUNCTION("IMPORTRANGE(""https://docs.google.com/spreadsheets/d/1lFxr3ctmjFN90yc-xV6jrQ9Ty8BKYVBWnAZ15wcNIJc/edit?usp=sharing"",""อำนาจเจริญ!J153"")"),0)</f>
        <v>0</v>
      </c>
      <c r="AI49" s="98">
        <f t="shared" ca="1" si="42"/>
        <v>0</v>
      </c>
      <c r="AJ49" s="97">
        <f ca="1">IFERROR(__xludf.DUMMYFUNCTION("IMPORTRANGE(""https://docs.google.com/spreadsheets/d/1lFxr3ctmjFN90yc-xV6jrQ9Ty8BKYVBWnAZ15wcNIJc/edit?usp=sharing"",""อำนาจเจริญ!I154"")"),0)</f>
        <v>0</v>
      </c>
      <c r="AK49" s="97">
        <f ca="1">IFERROR(__xludf.DUMMYFUNCTION("IMPORTRANGE(""https://docs.google.com/spreadsheets/d/1lFxr3ctmjFN90yc-xV6jrQ9Ty8BKYVBWnAZ15wcNIJc/edit?usp=sharing"",""อำนาจเจริญ!J154"")"),0)</f>
        <v>0</v>
      </c>
      <c r="AL49" s="98">
        <f t="shared" ca="1" si="44"/>
        <v>0</v>
      </c>
    </row>
    <row r="50" spans="1:38" ht="21" customHeight="1" x14ac:dyDescent="0.3">
      <c r="A50" s="172">
        <v>19</v>
      </c>
      <c r="B50" s="173" t="s">
        <v>76</v>
      </c>
      <c r="C50" s="174">
        <f t="shared" ca="1" si="26"/>
        <v>0</v>
      </c>
      <c r="D50" s="175">
        <f t="shared" ca="1" si="51"/>
        <v>0</v>
      </c>
      <c r="E50" s="176">
        <f ca="1">IFERROR(__xludf.DUMMYFUNCTION("IMPORTRANGE(""https://docs.google.com/spreadsheets/d/1-uDff_7J0KD5mKrp0Vvzr7lt3OU09vwQwhkpOPPYv2Y/edit?usp=sharing"",""งบพรบ!BR50"")"),0)</f>
        <v>0</v>
      </c>
      <c r="F50" s="176">
        <f ca="1">IFERROR(__xludf.DUMMYFUNCTION("IMPORTRANGE(""https://docs.google.com/spreadsheets/d/1-uDff_7J0KD5mKrp0Vvzr7lt3OU09vwQwhkpOPPYv2Y/edit?usp=sharing"",""งบพรบ!BS50"")"),0)</f>
        <v>0</v>
      </c>
      <c r="G50" s="176">
        <f ca="1">IFERROR(__xludf.DUMMYFUNCTION("IMPORTRANGE(""https://docs.google.com/spreadsheets/d/1-uDff_7J0KD5mKrp0Vvzr7lt3OU09vwQwhkpOPPYv2Y/edit?usp=sharing"",""งบพรบ!BT50"")"),0)</f>
        <v>0</v>
      </c>
      <c r="H50" s="176">
        <f ca="1">IFERROR(__xludf.DUMMYFUNCTION("IMPORTRANGE(""https://docs.google.com/spreadsheets/d/1-uDff_7J0KD5mKrp0Vvzr7lt3OU09vwQwhkpOPPYv2Y/edit?usp=sharing"",""งบพรบ!BV50"")"),0)</f>
        <v>0</v>
      </c>
      <c r="I50" s="176">
        <f ca="1">IFERROR(__xludf.DUMMYFUNCTION("IMPORTRANGE(""https://docs.google.com/spreadsheets/d/1-uDff_7J0KD5mKrp0Vvzr7lt3OU09vwQwhkpOPPYv2Y/edit?usp=sharing"",""งบพรบ!BW50"")"),0)</f>
        <v>0</v>
      </c>
      <c r="J50" s="176">
        <f t="shared" ca="1" si="28"/>
        <v>0</v>
      </c>
      <c r="K50" s="179">
        <f t="shared" ca="1" si="29"/>
        <v>0</v>
      </c>
      <c r="L50" s="176">
        <f ca="1">IFERROR(__xludf.DUMMYFUNCTION("IMPORTRANGE(""https://docs.google.com/spreadsheets/d/1-uDff_7J0KD5mKrp0Vvzr7lt3OU09vwQwhkpOPPYv2Y/edit?usp=sharing"",""งบพรบ!BX50"")"),0)</f>
        <v>0</v>
      </c>
      <c r="M50" s="87">
        <f t="shared" ca="1" si="30"/>
        <v>0</v>
      </c>
      <c r="N50" s="87">
        <f t="shared" ca="1" si="31"/>
        <v>0</v>
      </c>
      <c r="O50" s="86">
        <f ca="1">IFERROR(__xludf.DUMMYFUNCTION("IMPORTRANGE(""https://docs.google.com/spreadsheets/d/1-uDff_7J0KD5mKrp0Vvzr7lt3OU09vwQwhkpOPPYv2Y/edit?usp=sharing"",""งบพรบ!BY50"")"),0)</f>
        <v>0</v>
      </c>
      <c r="P50" s="86">
        <f t="shared" ca="1" si="32"/>
        <v>0</v>
      </c>
      <c r="Q50" s="87">
        <f t="shared" ca="1" si="33"/>
        <v>0</v>
      </c>
      <c r="R50" s="86">
        <f ca="1">IFERROR(__xludf.DUMMYFUNCTION("IMPORTRANGE(""https://docs.google.com/spreadsheets/d/1gF7RJpRnL-1oyjyeWxs5SFWEH7y8ahOZsQlyp2A2e-A/edit?usp=sharing"",""อุดรธานี!Q139"")"),0)</f>
        <v>0</v>
      </c>
      <c r="S50" s="86">
        <f ca="1">IFERROR(__xludf.DUMMYFUNCTION("IMPORTRANGE(""https://docs.google.com/spreadsheets/d/1gF7RJpRnL-1oyjyeWxs5SFWEH7y8ahOZsQlyp2A2e-A/edit?usp=sharing"",""อุดรธานี!R139"")"),0)</f>
        <v>0</v>
      </c>
      <c r="T50" s="86">
        <f ca="1">IFERROR(__xludf.DUMMYFUNCTION("IMPORTRANGE(""https://docs.google.com/spreadsheets/d/1gF7RJpRnL-1oyjyeWxs5SFWEH7y8ahOZsQlyp2A2e-A/edit?usp=sharing"",""อุดรธานี!S139"")"),0)</f>
        <v>0</v>
      </c>
      <c r="U50" s="87">
        <f t="shared" ca="1" si="35"/>
        <v>0</v>
      </c>
      <c r="V50" s="87">
        <f t="shared" ca="1" si="36"/>
        <v>0</v>
      </c>
      <c r="W50" s="97">
        <f ca="1">IFERROR(__xludf.DUMMYFUNCTION("IMPORTRANGE(""https://docs.google.com/spreadsheets/d/1gF7RJpRnL-1oyjyeWxs5SFWEH7y8ahOZsQlyp2A2e-A/edit?usp=sharing"",""อุดรธานี!J149"")"),0)</f>
        <v>0</v>
      </c>
      <c r="X50" s="97">
        <f ca="1">IFERROR(__xludf.DUMMYFUNCTION("IMPORTRANGE(""https://docs.google.com/spreadsheets/d/1gF7RJpRnL-1oyjyeWxs5SFWEH7y8ahOZsQlyp2A2e-A/edit?usp=sharing"",""อุดรธานี!I150"")"),0)</f>
        <v>0</v>
      </c>
      <c r="Y50" s="97">
        <f ca="1">IFERROR(__xludf.DUMMYFUNCTION("IMPORTRANGE(""https://docs.google.com/spreadsheets/d/1gF7RJpRnL-1oyjyeWxs5SFWEH7y8ahOZsQlyp2A2e-A/edit?usp=sharing"",""อุดรธานี!I151"")"),0)</f>
        <v>0</v>
      </c>
      <c r="Z50" s="97">
        <f ca="1">IFERROR(__xludf.DUMMYFUNCTION("IMPORTRANGE(""https://docs.google.com/spreadsheets/d/1gF7RJpRnL-1oyjyeWxs5SFWEH7y8ahOZsQlyp2A2e-A/edit?usp=sharing"",""อุดรธานี!J150"")"),0)</f>
        <v>0</v>
      </c>
      <c r="AA50" s="98">
        <f t="shared" ca="1" si="38"/>
        <v>0</v>
      </c>
      <c r="AB50" s="97">
        <f ca="1">IFERROR(__xludf.DUMMYFUNCTION("IMPORTRANGE(""https://docs.google.com/spreadsheets/d/1gF7RJpRnL-1oyjyeWxs5SFWEH7y8ahOZsQlyp2A2e-A/edit?usp=sharing"",""อุดรธานี!J151"")"),0)</f>
        <v>0</v>
      </c>
      <c r="AC50" s="98">
        <f t="shared" ca="1" si="39"/>
        <v>0</v>
      </c>
      <c r="AD50" s="97">
        <f ca="1">IFERROR(__xludf.DUMMYFUNCTION("IMPORTRANGE(""https://docs.google.com/spreadsheets/d/1gF7RJpRnL-1oyjyeWxs5SFWEH7y8ahOZsQlyp2A2e-A/edit?usp=sharing"",""อุดรธานี!I152"")"),0)</f>
        <v>0</v>
      </c>
      <c r="AE50" s="97">
        <f ca="1">IFERROR(__xludf.DUMMYFUNCTION("IMPORTRANGE(""https://docs.google.com/spreadsheets/d/1gF7RJpRnL-1oyjyeWxs5SFWEH7y8ahOZsQlyp2A2e-A/edit?usp=sharing"",""อุดรธานี!I153"")"),0)</f>
        <v>0</v>
      </c>
      <c r="AF50" s="97">
        <f ca="1">IFERROR(__xludf.DUMMYFUNCTION("IMPORTRANGE(""https://docs.google.com/spreadsheets/d/1gF7RJpRnL-1oyjyeWxs5SFWEH7y8ahOZsQlyp2A2e-A/edit?usp=sharing"",""อุดรธานี!J152"")"),0)</f>
        <v>0</v>
      </c>
      <c r="AG50" s="98">
        <f t="shared" ca="1" si="41"/>
        <v>0</v>
      </c>
      <c r="AH50" s="97">
        <f ca="1">IFERROR(__xludf.DUMMYFUNCTION("IMPORTRANGE(""https://docs.google.com/spreadsheets/d/1gF7RJpRnL-1oyjyeWxs5SFWEH7y8ahOZsQlyp2A2e-A/edit?usp=sharing"",""อุดรธานี!J153"")"),0)</f>
        <v>0</v>
      </c>
      <c r="AI50" s="98">
        <f t="shared" ca="1" si="42"/>
        <v>0</v>
      </c>
      <c r="AJ50" s="97">
        <f ca="1">IFERROR(__xludf.DUMMYFUNCTION("IMPORTRANGE(""https://docs.google.com/spreadsheets/d/1gF7RJpRnL-1oyjyeWxs5SFWEH7y8ahOZsQlyp2A2e-A/edit?usp=sharing"",""อุดรธานี!I154"")"),0)</f>
        <v>0</v>
      </c>
      <c r="AK50" s="97">
        <f ca="1">IFERROR(__xludf.DUMMYFUNCTION("IMPORTRANGE(""https://docs.google.com/spreadsheets/d/1gF7RJpRnL-1oyjyeWxs5SFWEH7y8ahOZsQlyp2A2e-A/edit?usp=sharing"",""อุดรธานี!J154"")"),0)</f>
        <v>0</v>
      </c>
      <c r="AL50" s="98">
        <f t="shared" ca="1" si="44"/>
        <v>0</v>
      </c>
    </row>
    <row r="51" spans="1:38" ht="21" customHeight="1" x14ac:dyDescent="0.3">
      <c r="A51" s="187">
        <v>20</v>
      </c>
      <c r="B51" s="188" t="s">
        <v>77</v>
      </c>
      <c r="C51" s="189">
        <f t="shared" ca="1" si="26"/>
        <v>113800</v>
      </c>
      <c r="D51" s="190">
        <f t="shared" ca="1" si="51"/>
        <v>113800</v>
      </c>
      <c r="E51" s="191">
        <f ca="1">IFERROR(__xludf.DUMMYFUNCTION("IMPORTRANGE(""https://docs.google.com/spreadsheets/d/1-uDff_7J0KD5mKrp0Vvzr7lt3OU09vwQwhkpOPPYv2Y/edit?usp=sharing"",""งบพรบ!BR51"")"),90500)</f>
        <v>90500</v>
      </c>
      <c r="F51" s="191">
        <f ca="1">IFERROR(__xludf.DUMMYFUNCTION("IMPORTRANGE(""https://docs.google.com/spreadsheets/d/1-uDff_7J0KD5mKrp0Vvzr7lt3OU09vwQwhkpOPPYv2Y/edit?usp=sharing"",""งบพรบ!BS51"")"),23300)</f>
        <v>23300</v>
      </c>
      <c r="G51" s="191">
        <f ca="1">IFERROR(__xludf.DUMMYFUNCTION("IMPORTRANGE(""https://docs.google.com/spreadsheets/d/1-uDff_7J0KD5mKrp0Vvzr7lt3OU09vwQwhkpOPPYv2Y/edit?usp=sharing"",""งบพรบ!BT51"")"),0)</f>
        <v>0</v>
      </c>
      <c r="H51" s="191">
        <f ca="1">IFERROR(__xludf.DUMMYFUNCTION("IMPORTRANGE(""https://docs.google.com/spreadsheets/d/1-uDff_7J0KD5mKrp0Vvzr7lt3OU09vwQwhkpOPPYv2Y/edit?usp=sharing"",""งบพรบ!BV51"")"),108800)</f>
        <v>108800</v>
      </c>
      <c r="I51" s="191">
        <f ca="1">IFERROR(__xludf.DUMMYFUNCTION("IMPORTRANGE(""https://docs.google.com/spreadsheets/d/1-uDff_7J0KD5mKrp0Vvzr7lt3OU09vwQwhkpOPPYv2Y/edit?usp=sharing"",""งบพรบ!BW51"")"),0)</f>
        <v>0</v>
      </c>
      <c r="J51" s="191">
        <f t="shared" ca="1" si="28"/>
        <v>51641.35</v>
      </c>
      <c r="K51" s="192">
        <f t="shared" ca="1" si="29"/>
        <v>45.379042179261866</v>
      </c>
      <c r="L51" s="191">
        <f ca="1">IFERROR(__xludf.DUMMYFUNCTION("IMPORTRANGE(""https://docs.google.com/spreadsheets/d/1-uDff_7J0KD5mKrp0Vvzr7lt3OU09vwQwhkpOPPYv2Y/edit?usp=sharing"",""งบพรบ!BX51"")"),51641.35)</f>
        <v>51641.35</v>
      </c>
      <c r="M51" s="118">
        <f t="shared" ca="1" si="30"/>
        <v>45.379042179261866</v>
      </c>
      <c r="N51" s="118">
        <f t="shared" ca="1" si="31"/>
        <v>47.464476102941177</v>
      </c>
      <c r="O51" s="117">
        <f ca="1">IFERROR(__xludf.DUMMYFUNCTION("IMPORTRANGE(""https://docs.google.com/spreadsheets/d/1-uDff_7J0KD5mKrp0Vvzr7lt3OU09vwQwhkpOPPYv2Y/edit?usp=sharing"",""งบพรบ!BY51"")"),0)</f>
        <v>0</v>
      </c>
      <c r="P51" s="117">
        <f t="shared" ca="1" si="32"/>
        <v>0</v>
      </c>
      <c r="Q51" s="118">
        <f t="shared" ca="1" si="33"/>
        <v>0</v>
      </c>
      <c r="R51" s="117">
        <f ca="1">IFERROR(__xludf.DUMMYFUNCTION("IMPORTRANGE(""https://docs.google.com/spreadsheets/d/1kfLP0j3INXRa8bTDpcEmoWewMBV61jlFlfzczfjWIgc/edit?usp=sharing"",""อุบลราชธานี!Q139"")"),0)</f>
        <v>0</v>
      </c>
      <c r="S51" s="117">
        <f ca="1">IFERROR(__xludf.DUMMYFUNCTION("IMPORTRANGE(""https://docs.google.com/spreadsheets/d/1kfLP0j3INXRa8bTDpcEmoWewMBV61jlFlfzczfjWIgc/edit?usp=sharing"",""อุบลราชธานี!R139"")"),0)</f>
        <v>0</v>
      </c>
      <c r="T51" s="117">
        <f ca="1">IFERROR(__xludf.DUMMYFUNCTION("IMPORTRANGE(""https://docs.google.com/spreadsheets/d/1kfLP0j3INXRa8bTDpcEmoWewMBV61jlFlfzczfjWIgc/edit?usp=sharing"",""อุบลราชธานี!S139"")"),0)</f>
        <v>0</v>
      </c>
      <c r="U51" s="118">
        <f t="shared" ca="1" si="35"/>
        <v>0</v>
      </c>
      <c r="V51" s="118">
        <f t="shared" ca="1" si="36"/>
        <v>0</v>
      </c>
      <c r="W51" s="110">
        <f ca="1">IFERROR(__xludf.DUMMYFUNCTION("IMPORTRANGE(""https://docs.google.com/spreadsheets/d/1kfLP0j3INXRa8bTDpcEmoWewMBV61jlFlfzczfjWIgc/edit?usp=sharing"",""อุบลราชธานี!J149"")"),0)</f>
        <v>0</v>
      </c>
      <c r="X51" s="110">
        <f ca="1">IFERROR(__xludf.DUMMYFUNCTION("IMPORTRANGE(""https://docs.google.com/spreadsheets/d/1kfLP0j3INXRa8bTDpcEmoWewMBV61jlFlfzczfjWIgc/edit?usp=sharing"",""อุบลราชธานี!I150"")"),0)</f>
        <v>0</v>
      </c>
      <c r="Y51" s="110">
        <f ca="1">IFERROR(__xludf.DUMMYFUNCTION("IMPORTRANGE(""https://docs.google.com/spreadsheets/d/1kfLP0j3INXRa8bTDpcEmoWewMBV61jlFlfzczfjWIgc/edit?usp=sharing"",""อุบลราชธานี!I151"")"),0)</f>
        <v>0</v>
      </c>
      <c r="Z51" s="110">
        <f ca="1">IFERROR(__xludf.DUMMYFUNCTION("IMPORTRANGE(""https://docs.google.com/spreadsheets/d/1kfLP0j3INXRa8bTDpcEmoWewMBV61jlFlfzczfjWIgc/edit?usp=sharing"",""อุบลราชธานี!J150"")"),0)</f>
        <v>0</v>
      </c>
      <c r="AA51" s="111">
        <f t="shared" ca="1" si="38"/>
        <v>0</v>
      </c>
      <c r="AB51" s="110">
        <f ca="1">IFERROR(__xludf.DUMMYFUNCTION("IMPORTRANGE(""https://docs.google.com/spreadsheets/d/1kfLP0j3INXRa8bTDpcEmoWewMBV61jlFlfzczfjWIgc/edit?usp=sharing"",""อุบลราชธานี!J151"")"),0)</f>
        <v>0</v>
      </c>
      <c r="AC51" s="111">
        <f t="shared" ca="1" si="39"/>
        <v>0</v>
      </c>
      <c r="AD51" s="110">
        <f ca="1">IFERROR(__xludf.DUMMYFUNCTION("IMPORTRANGE(""https://docs.google.com/spreadsheets/d/1kfLP0j3INXRa8bTDpcEmoWewMBV61jlFlfzczfjWIgc/edit?usp=sharing"",""อุบลราชธานี!I152"")"),10)</f>
        <v>10</v>
      </c>
      <c r="AE51" s="110">
        <f ca="1">IFERROR(__xludf.DUMMYFUNCTION("IMPORTRANGE(""https://docs.google.com/spreadsheets/d/1kfLP0j3INXRa8bTDpcEmoWewMBV61jlFlfzczfjWIgc/edit?usp=sharing"",""อุบลราชธานี!I153"")"),1)</f>
        <v>1</v>
      </c>
      <c r="AF51" s="110">
        <f ca="1">IFERROR(__xludf.DUMMYFUNCTION("IMPORTRANGE(""https://docs.google.com/spreadsheets/d/1kfLP0j3INXRa8bTDpcEmoWewMBV61jlFlfzczfjWIgc/edit?usp=sharing"",""อุบลราชธานี!J152"")"),0)</f>
        <v>0</v>
      </c>
      <c r="AG51" s="111">
        <f t="shared" ca="1" si="41"/>
        <v>0</v>
      </c>
      <c r="AH51" s="110">
        <f ca="1">IFERROR(__xludf.DUMMYFUNCTION("IMPORTRANGE(""https://docs.google.com/spreadsheets/d/1kfLP0j3INXRa8bTDpcEmoWewMBV61jlFlfzczfjWIgc/edit?usp=sharing"",""อุบลราชธานี!J153"")"),0)</f>
        <v>0</v>
      </c>
      <c r="AI51" s="111">
        <f t="shared" ca="1" si="42"/>
        <v>0</v>
      </c>
      <c r="AJ51" s="110">
        <f ca="1">IFERROR(__xludf.DUMMYFUNCTION("IMPORTRANGE(""https://docs.google.com/spreadsheets/d/1kfLP0j3INXRa8bTDpcEmoWewMBV61jlFlfzczfjWIgc/edit?usp=sharing"",""อุบลราชธานี!I154"")"),0)</f>
        <v>0</v>
      </c>
      <c r="AK51" s="110">
        <f ca="1">IFERROR(__xludf.DUMMYFUNCTION("IMPORTRANGE(""https://docs.google.com/spreadsheets/d/1kfLP0j3INXRa8bTDpcEmoWewMBV61jlFlfzczfjWIgc/edit?usp=sharing"",""อุบลราชธานี!J154"")"),0)</f>
        <v>0</v>
      </c>
      <c r="AL51" s="111">
        <f t="shared" ca="1" si="44"/>
        <v>0</v>
      </c>
    </row>
    <row r="52" spans="1:38" ht="21" customHeight="1" x14ac:dyDescent="0.3">
      <c r="A52" s="637" t="s">
        <v>78</v>
      </c>
      <c r="B52" s="583"/>
      <c r="C52" s="194">
        <f t="shared" ca="1" si="26"/>
        <v>791100</v>
      </c>
      <c r="D52" s="194">
        <f t="shared" ref="D52:I52" ca="1" si="52">SUM(D53:D73)</f>
        <v>791100</v>
      </c>
      <c r="E52" s="194">
        <f t="shared" ca="1" si="52"/>
        <v>465200</v>
      </c>
      <c r="F52" s="194">
        <f t="shared" ca="1" si="52"/>
        <v>325900</v>
      </c>
      <c r="G52" s="194">
        <f t="shared" ca="1" si="52"/>
        <v>0</v>
      </c>
      <c r="H52" s="194">
        <f t="shared" ca="1" si="52"/>
        <v>756100</v>
      </c>
      <c r="I52" s="194">
        <f t="shared" ca="1" si="52"/>
        <v>0</v>
      </c>
      <c r="J52" s="194">
        <f t="shared" ca="1" si="28"/>
        <v>214850.36</v>
      </c>
      <c r="K52" s="195">
        <f t="shared" ca="1" si="29"/>
        <v>27.158432562255086</v>
      </c>
      <c r="L52" s="194">
        <f ca="1">SUM(L53:L73)</f>
        <v>214850.36</v>
      </c>
      <c r="M52" s="120">
        <f t="shared" ca="1" si="30"/>
        <v>27.158432562255086</v>
      </c>
      <c r="N52" s="120">
        <f t="shared" ca="1" si="31"/>
        <v>28.415601110964158</v>
      </c>
      <c r="O52" s="119">
        <f ca="1">SUM(O53:O73)</f>
        <v>0</v>
      </c>
      <c r="P52" s="119">
        <f t="shared" ca="1" si="32"/>
        <v>0</v>
      </c>
      <c r="Q52" s="120">
        <f t="shared" ca="1" si="33"/>
        <v>0</v>
      </c>
      <c r="R52" s="119">
        <f t="shared" ref="R52:T52" ca="1" si="53">SUM(R53:R73)</f>
        <v>0</v>
      </c>
      <c r="S52" s="119">
        <f t="shared" ca="1" si="53"/>
        <v>0</v>
      </c>
      <c r="T52" s="119">
        <f t="shared" ca="1" si="53"/>
        <v>0</v>
      </c>
      <c r="U52" s="120">
        <f t="shared" ca="1" si="35"/>
        <v>0</v>
      </c>
      <c r="V52" s="120">
        <f t="shared" ca="1" si="36"/>
        <v>0</v>
      </c>
      <c r="W52" s="71">
        <f t="shared" ref="W52:Z52" ca="1" si="54">SUM(W53:W73)</f>
        <v>0</v>
      </c>
      <c r="X52" s="71">
        <f t="shared" ca="1" si="54"/>
        <v>50</v>
      </c>
      <c r="Y52" s="71">
        <f t="shared" ca="1" si="54"/>
        <v>5</v>
      </c>
      <c r="Z52" s="71">
        <f t="shared" ca="1" si="54"/>
        <v>0</v>
      </c>
      <c r="AA52" s="114">
        <f t="shared" ca="1" si="38"/>
        <v>0</v>
      </c>
      <c r="AB52" s="71">
        <f ca="1">SUM(AB53:AB73)</f>
        <v>0</v>
      </c>
      <c r="AC52" s="114">
        <f t="shared" ca="1" si="39"/>
        <v>0</v>
      </c>
      <c r="AD52" s="71">
        <f t="shared" ref="AD52:AF52" ca="1" si="55">SUM(AD53:AD73)</f>
        <v>180</v>
      </c>
      <c r="AE52" s="71">
        <f t="shared" ca="1" si="55"/>
        <v>18</v>
      </c>
      <c r="AF52" s="71">
        <f t="shared" ca="1" si="55"/>
        <v>0</v>
      </c>
      <c r="AG52" s="114">
        <f t="shared" ca="1" si="41"/>
        <v>0</v>
      </c>
      <c r="AH52" s="71">
        <f ca="1">SUM(AH53:AH73)</f>
        <v>0</v>
      </c>
      <c r="AI52" s="114">
        <f t="shared" ca="1" si="42"/>
        <v>0</v>
      </c>
      <c r="AJ52" s="71">
        <f t="shared" ref="AJ52:AK52" ca="1" si="56">SUM(AJ53:AJ73)</f>
        <v>5</v>
      </c>
      <c r="AK52" s="71">
        <f t="shared" ca="1" si="56"/>
        <v>0</v>
      </c>
      <c r="AL52" s="114">
        <f t="shared" ca="1" si="44"/>
        <v>0</v>
      </c>
    </row>
    <row r="53" spans="1:38" ht="21" customHeight="1" x14ac:dyDescent="0.3">
      <c r="A53" s="172">
        <v>1</v>
      </c>
      <c r="B53" s="173" t="s">
        <v>79</v>
      </c>
      <c r="C53" s="174">
        <f t="shared" ca="1" si="26"/>
        <v>119900</v>
      </c>
      <c r="D53" s="175">
        <f t="shared" ref="D53:D73" ca="1" si="57">+E53+F53</f>
        <v>119900</v>
      </c>
      <c r="E53" s="176">
        <f ca="1">IFERROR(__xludf.DUMMYFUNCTION("IMPORTRANGE(""https://docs.google.com/spreadsheets/d/1-uDff_7J0KD5mKrp0Vvzr7lt3OU09vwQwhkpOPPYv2Y/edit?usp=sharing"",""งบพรบ!BR53"")"),88300)</f>
        <v>88300</v>
      </c>
      <c r="F53" s="176">
        <f ca="1">IFERROR(__xludf.DUMMYFUNCTION("IMPORTRANGE(""https://docs.google.com/spreadsheets/d/1-uDff_7J0KD5mKrp0Vvzr7lt3OU09vwQwhkpOPPYv2Y/edit?usp=sharing"",""งบพรบ!BS53"")"),31600)</f>
        <v>31600</v>
      </c>
      <c r="G53" s="177">
        <f ca="1">IFERROR(__xludf.DUMMYFUNCTION("IMPORTRANGE(""https://docs.google.com/spreadsheets/d/1-uDff_7J0KD5mKrp0Vvzr7lt3OU09vwQwhkpOPPYv2Y/edit?usp=sharing"",""งบพรบ!BT53"")"),0)</f>
        <v>0</v>
      </c>
      <c r="H53" s="177">
        <f ca="1">IFERROR(__xludf.DUMMYFUNCTION("IMPORTRANGE(""https://docs.google.com/spreadsheets/d/1-uDff_7J0KD5mKrp0Vvzr7lt3OU09vwQwhkpOPPYv2Y/edit?usp=sharing"",""งบพรบ!BV53"")"),114900)</f>
        <v>114900</v>
      </c>
      <c r="I53" s="177">
        <f ca="1">IFERROR(__xludf.DUMMYFUNCTION("IMPORTRANGE(""https://docs.google.com/spreadsheets/d/1-uDff_7J0KD5mKrp0Vvzr7lt3OU09vwQwhkpOPPYv2Y/edit?usp=sharing"",""งบพรบ!BW53"")"),0)</f>
        <v>0</v>
      </c>
      <c r="J53" s="177">
        <f t="shared" ca="1" si="28"/>
        <v>78647</v>
      </c>
      <c r="K53" s="178">
        <f t="shared" ca="1" si="29"/>
        <v>65.593828190158462</v>
      </c>
      <c r="L53" s="177">
        <f ca="1">IFERROR(__xludf.DUMMYFUNCTION("IMPORTRANGE(""https://docs.google.com/spreadsheets/d/1-uDff_7J0KD5mKrp0Vvzr7lt3OU09vwQwhkpOPPYv2Y/edit?usp=sharing"",""งบพรบ!BX53"")"),78647)</f>
        <v>78647</v>
      </c>
      <c r="M53" s="87">
        <f t="shared" ca="1" si="30"/>
        <v>65.593828190158462</v>
      </c>
      <c r="N53" s="87">
        <f t="shared" ca="1" si="31"/>
        <v>68.448215839860751</v>
      </c>
      <c r="O53" s="86">
        <f ca="1">IFERROR(__xludf.DUMMYFUNCTION("IMPORTRANGE(""https://docs.google.com/spreadsheets/d/1-uDff_7J0KD5mKrp0Vvzr7lt3OU09vwQwhkpOPPYv2Y/edit?usp=sharing"",""งบพรบ!BY53"")"),0)</f>
        <v>0</v>
      </c>
      <c r="P53" s="86">
        <f t="shared" ca="1" si="32"/>
        <v>0</v>
      </c>
      <c r="Q53" s="87">
        <f t="shared" ca="1" si="33"/>
        <v>0</v>
      </c>
      <c r="R53" s="86">
        <f ca="1">IFERROR(__xludf.DUMMYFUNCTION("IMPORTRANGE(""https://docs.google.com/spreadsheets/d/13wPX838HrBrQMCywv1BsuMkt4PEKTChp52zj44s2izQ/edit?usp=sharing"",""กาญจนบุรี!Q139"")"),0)</f>
        <v>0</v>
      </c>
      <c r="S53" s="86">
        <f ca="1">IFERROR(__xludf.DUMMYFUNCTION("IMPORTRANGE(""https://docs.google.com/spreadsheets/d/13wPX838HrBrQMCywv1BsuMkt4PEKTChp52zj44s2izQ/edit?usp=sharing"",""กาญจนบุรี!R139"")"),0)</f>
        <v>0</v>
      </c>
      <c r="T53" s="86">
        <f ca="1">IFERROR(__xludf.DUMMYFUNCTION("IMPORTRANGE(""https://docs.google.com/spreadsheets/d/13wPX838HrBrQMCywv1BsuMkt4PEKTChp52zj44s2izQ/edit?usp=sharing"",""กาญจนบุรี!S139"")"),0)</f>
        <v>0</v>
      </c>
      <c r="U53" s="87">
        <f t="shared" ca="1" si="35"/>
        <v>0</v>
      </c>
      <c r="V53" s="87">
        <f t="shared" ca="1" si="36"/>
        <v>0</v>
      </c>
      <c r="W53" s="82">
        <f ca="1">IFERROR(__xludf.DUMMYFUNCTION("IMPORTRANGE(""https://docs.google.com/spreadsheets/d/13wPX838HrBrQMCywv1BsuMkt4PEKTChp52zj44s2izQ/edit?usp=sharing"",""กาญจนบุรี!J149"")"),0)</f>
        <v>0</v>
      </c>
      <c r="X53" s="82">
        <f ca="1">IFERROR(__xludf.DUMMYFUNCTION("IMPORTRANGE(""https://docs.google.com/spreadsheets/d/13wPX838HrBrQMCywv1BsuMkt4PEKTChp52zj44s2izQ/edit?usp=sharing"",""กาญจนบุรี!I150"")"),0)</f>
        <v>0</v>
      </c>
      <c r="Y53" s="82">
        <f ca="1">IFERROR(__xludf.DUMMYFUNCTION("IMPORTRANGE(""https://docs.google.com/spreadsheets/d/13wPX838HrBrQMCywv1BsuMkt4PEKTChp52zj44s2izQ/edit?usp=sharing"",""กาญจนบุรี!I151"")"),0)</f>
        <v>0</v>
      </c>
      <c r="Z53" s="82">
        <f ca="1">IFERROR(__xludf.DUMMYFUNCTION("IMPORTRANGE(""https://docs.google.com/spreadsheets/d/13wPX838HrBrQMCywv1BsuMkt4PEKTChp52zj44s2izQ/edit?usp=sharing"",""กาญจนบุรี!J150"")"),0)</f>
        <v>0</v>
      </c>
      <c r="AA53" s="88">
        <f t="shared" ca="1" si="38"/>
        <v>0</v>
      </c>
      <c r="AB53" s="82">
        <f ca="1">IFERROR(__xludf.DUMMYFUNCTION("IMPORTRANGE(""https://docs.google.com/spreadsheets/d/13wPX838HrBrQMCywv1BsuMkt4PEKTChp52zj44s2izQ/edit?usp=sharing"",""กาญจนบุรี!J151"")"),0)</f>
        <v>0</v>
      </c>
      <c r="AC53" s="88">
        <f t="shared" ca="1" si="39"/>
        <v>0</v>
      </c>
      <c r="AD53" s="82">
        <f ca="1">IFERROR(__xludf.DUMMYFUNCTION("IMPORTRANGE(""https://docs.google.com/spreadsheets/d/13wPX838HrBrQMCywv1BsuMkt4PEKTChp52zj44s2izQ/edit?usp=sharing"",""กาญจนบุรี!I152"")"),20)</f>
        <v>20</v>
      </c>
      <c r="AE53" s="82">
        <f ca="1">IFERROR(__xludf.DUMMYFUNCTION("IMPORTRANGE(""https://docs.google.com/spreadsheets/d/13wPX838HrBrQMCywv1BsuMkt4PEKTChp52zj44s2izQ/edit?usp=sharing"",""กาญจนบุรี!I153"")"),2)</f>
        <v>2</v>
      </c>
      <c r="AF53" s="82">
        <f ca="1">IFERROR(__xludf.DUMMYFUNCTION("IMPORTRANGE(""https://docs.google.com/spreadsheets/d/13wPX838HrBrQMCywv1BsuMkt4PEKTChp52zj44s2izQ/edit?usp=sharing"",""กาญจนบุรี!J152"")"),0)</f>
        <v>0</v>
      </c>
      <c r="AG53" s="88">
        <f t="shared" ca="1" si="41"/>
        <v>0</v>
      </c>
      <c r="AH53" s="82">
        <f ca="1">IFERROR(__xludf.DUMMYFUNCTION("IMPORTRANGE(""https://docs.google.com/spreadsheets/d/13wPX838HrBrQMCywv1BsuMkt4PEKTChp52zj44s2izQ/edit?usp=sharing"",""กาญจนบุรี!J153"")"),0)</f>
        <v>0</v>
      </c>
      <c r="AI53" s="88">
        <f t="shared" ca="1" si="42"/>
        <v>0</v>
      </c>
      <c r="AJ53" s="82">
        <f ca="1">IFERROR(__xludf.DUMMYFUNCTION("IMPORTRANGE(""https://docs.google.com/spreadsheets/d/13wPX838HrBrQMCywv1BsuMkt4PEKTChp52zj44s2izQ/edit?usp=sharing"",""กาญจนบุรี!I154"")"),0)</f>
        <v>0</v>
      </c>
      <c r="AK53" s="82">
        <f ca="1">IFERROR(__xludf.DUMMYFUNCTION("IMPORTRANGE(""https://docs.google.com/spreadsheets/d/13wPX838HrBrQMCywv1BsuMkt4PEKTChp52zj44s2izQ/edit?usp=sharing"",""กาญจนบุรี!J154"")"),0)</f>
        <v>0</v>
      </c>
      <c r="AL53" s="88">
        <f t="shared" ca="1" si="44"/>
        <v>0</v>
      </c>
    </row>
    <row r="54" spans="1:38" ht="21" customHeight="1" x14ac:dyDescent="0.3">
      <c r="A54" s="172">
        <v>2</v>
      </c>
      <c r="B54" s="173" t="s">
        <v>80</v>
      </c>
      <c r="C54" s="174">
        <f t="shared" ca="1" si="26"/>
        <v>0</v>
      </c>
      <c r="D54" s="175">
        <f t="shared" ca="1" si="57"/>
        <v>0</v>
      </c>
      <c r="E54" s="176">
        <f ca="1">IFERROR(__xludf.DUMMYFUNCTION("IMPORTRANGE(""https://docs.google.com/spreadsheets/d/1-uDff_7J0KD5mKrp0Vvzr7lt3OU09vwQwhkpOPPYv2Y/edit?usp=sharing"",""งบพรบ!BR54"")"),0)</f>
        <v>0</v>
      </c>
      <c r="F54" s="176">
        <f ca="1">IFERROR(__xludf.DUMMYFUNCTION("IMPORTRANGE(""https://docs.google.com/spreadsheets/d/1-uDff_7J0KD5mKrp0Vvzr7lt3OU09vwQwhkpOPPYv2Y/edit?usp=sharing"",""งบพรบ!BS54"")"),0)</f>
        <v>0</v>
      </c>
      <c r="G54" s="176">
        <f ca="1">IFERROR(__xludf.DUMMYFUNCTION("IMPORTRANGE(""https://docs.google.com/spreadsheets/d/1-uDff_7J0KD5mKrp0Vvzr7lt3OU09vwQwhkpOPPYv2Y/edit?usp=sharing"",""งบพรบ!BT54"")"),0)</f>
        <v>0</v>
      </c>
      <c r="H54" s="176">
        <f ca="1">IFERROR(__xludf.DUMMYFUNCTION("IMPORTRANGE(""https://docs.google.com/spreadsheets/d/1-uDff_7J0KD5mKrp0Vvzr7lt3OU09vwQwhkpOPPYv2Y/edit?usp=sharing"",""งบพรบ!BV54"")"),0)</f>
        <v>0</v>
      </c>
      <c r="I54" s="176">
        <f ca="1">IFERROR(__xludf.DUMMYFUNCTION("IMPORTRANGE(""https://docs.google.com/spreadsheets/d/1-uDff_7J0KD5mKrp0Vvzr7lt3OU09vwQwhkpOPPYv2Y/edit?usp=sharing"",""งบพรบ!BW54"")"),0)</f>
        <v>0</v>
      </c>
      <c r="J54" s="176">
        <f t="shared" ca="1" si="28"/>
        <v>0</v>
      </c>
      <c r="K54" s="179">
        <f t="shared" ca="1" si="29"/>
        <v>0</v>
      </c>
      <c r="L54" s="176">
        <f ca="1">IFERROR(__xludf.DUMMYFUNCTION("IMPORTRANGE(""https://docs.google.com/spreadsheets/d/1-uDff_7J0KD5mKrp0Vvzr7lt3OU09vwQwhkpOPPYv2Y/edit?usp=sharing"",""งบพรบ!BX54"")"),0)</f>
        <v>0</v>
      </c>
      <c r="M54" s="87">
        <f t="shared" ca="1" si="30"/>
        <v>0</v>
      </c>
      <c r="N54" s="87">
        <f t="shared" ca="1" si="31"/>
        <v>0</v>
      </c>
      <c r="O54" s="86">
        <f ca="1">IFERROR(__xludf.DUMMYFUNCTION("IMPORTRANGE(""https://docs.google.com/spreadsheets/d/1-uDff_7J0KD5mKrp0Vvzr7lt3OU09vwQwhkpOPPYv2Y/edit?usp=sharing"",""งบพรบ!BY54"")"),0)</f>
        <v>0</v>
      </c>
      <c r="P54" s="86">
        <f t="shared" ca="1" si="32"/>
        <v>0</v>
      </c>
      <c r="Q54" s="87">
        <f t="shared" ca="1" si="33"/>
        <v>0</v>
      </c>
      <c r="R54" s="86">
        <f ca="1">IFERROR(__xludf.DUMMYFUNCTION("IMPORTRANGE(""https://docs.google.com/spreadsheets/d/1ddFKvqj1W1NEiWytbGlB1zMx_ykJDVtmfEQ-6-lIUBA/edit?usp=sharing"",""จันทบุรี!Q139"")"),0)</f>
        <v>0</v>
      </c>
      <c r="S54" s="86">
        <f ca="1">IFERROR(__xludf.DUMMYFUNCTION("IMPORTRANGE(""https://docs.google.com/spreadsheets/d/1ddFKvqj1W1NEiWytbGlB1zMx_ykJDVtmfEQ-6-lIUBA/edit?usp=sharing"",""จันทบุรี!R139"")"),0)</f>
        <v>0</v>
      </c>
      <c r="T54" s="86">
        <f ca="1">IFERROR(__xludf.DUMMYFUNCTION("IMPORTRANGE(""https://docs.google.com/spreadsheets/d/1ddFKvqj1W1NEiWytbGlB1zMx_ykJDVtmfEQ-6-lIUBA/edit?usp=sharing"",""จันทบุรี!S139"")"),0)</f>
        <v>0</v>
      </c>
      <c r="U54" s="87">
        <f t="shared" ca="1" si="35"/>
        <v>0</v>
      </c>
      <c r="V54" s="87">
        <f t="shared" ca="1" si="36"/>
        <v>0</v>
      </c>
      <c r="W54" s="97">
        <f ca="1">IFERROR(__xludf.DUMMYFUNCTION("IMPORTRANGE(""https://docs.google.com/spreadsheets/d/1ddFKvqj1W1NEiWytbGlB1zMx_ykJDVtmfEQ-6-lIUBA/edit?usp=sharing"",""จันทบุรี!J149"")"),0)</f>
        <v>0</v>
      </c>
      <c r="X54" s="97">
        <f ca="1">IFERROR(__xludf.DUMMYFUNCTION("IMPORTRANGE(""https://docs.google.com/spreadsheets/d/1ddFKvqj1W1NEiWytbGlB1zMx_ykJDVtmfEQ-6-lIUBA/edit?usp=sharing"",""จันทบุรี!I150"")"),0)</f>
        <v>0</v>
      </c>
      <c r="Y54" s="97">
        <f ca="1">IFERROR(__xludf.DUMMYFUNCTION("IMPORTRANGE(""https://docs.google.com/spreadsheets/d/1ddFKvqj1W1NEiWytbGlB1zMx_ykJDVtmfEQ-6-lIUBA/edit?usp=sharing"",""จันทบุรี!I151"")"),0)</f>
        <v>0</v>
      </c>
      <c r="Z54" s="97">
        <f ca="1">IFERROR(__xludf.DUMMYFUNCTION("IMPORTRANGE(""https://docs.google.com/spreadsheets/d/1ddFKvqj1W1NEiWytbGlB1zMx_ykJDVtmfEQ-6-lIUBA/edit?usp=sharing"",""จันทบุรี!J150"")"),0)</f>
        <v>0</v>
      </c>
      <c r="AA54" s="98">
        <f t="shared" ca="1" si="38"/>
        <v>0</v>
      </c>
      <c r="AB54" s="97">
        <f ca="1">IFERROR(__xludf.DUMMYFUNCTION("IMPORTRANGE(""https://docs.google.com/spreadsheets/d/1ddFKvqj1W1NEiWytbGlB1zMx_ykJDVtmfEQ-6-lIUBA/edit?usp=sharing"",""จันทบุรี!J151"")"),0)</f>
        <v>0</v>
      </c>
      <c r="AC54" s="98">
        <f t="shared" ca="1" si="39"/>
        <v>0</v>
      </c>
      <c r="AD54" s="97">
        <f ca="1">IFERROR(__xludf.DUMMYFUNCTION("IMPORTRANGE(""https://docs.google.com/spreadsheets/d/1ddFKvqj1W1NEiWytbGlB1zMx_ykJDVtmfEQ-6-lIUBA/edit?usp=sharing"",""จันทบุรี!I152"")"),0)</f>
        <v>0</v>
      </c>
      <c r="AE54" s="97">
        <f ca="1">IFERROR(__xludf.DUMMYFUNCTION("IMPORTRANGE(""https://docs.google.com/spreadsheets/d/1ddFKvqj1W1NEiWytbGlB1zMx_ykJDVtmfEQ-6-lIUBA/edit?usp=sharing"",""จันทบุรี!I153"")"),0)</f>
        <v>0</v>
      </c>
      <c r="AF54" s="97">
        <f ca="1">IFERROR(__xludf.DUMMYFUNCTION("IMPORTRANGE(""https://docs.google.com/spreadsheets/d/1ddFKvqj1W1NEiWytbGlB1zMx_ykJDVtmfEQ-6-lIUBA/edit?usp=sharing"",""จันทบุรี!J152"")"),0)</f>
        <v>0</v>
      </c>
      <c r="AG54" s="98">
        <f t="shared" ca="1" si="41"/>
        <v>0</v>
      </c>
      <c r="AH54" s="97">
        <f ca="1">IFERROR(__xludf.DUMMYFUNCTION("IMPORTRANGE(""https://docs.google.com/spreadsheets/d/1ddFKvqj1W1NEiWytbGlB1zMx_ykJDVtmfEQ-6-lIUBA/edit?usp=sharing"",""จันทบุรี!J153"")"),0)</f>
        <v>0</v>
      </c>
      <c r="AI54" s="98">
        <f t="shared" ca="1" si="42"/>
        <v>0</v>
      </c>
      <c r="AJ54" s="97">
        <f ca="1">IFERROR(__xludf.DUMMYFUNCTION("IMPORTRANGE(""https://docs.google.com/spreadsheets/d/1ddFKvqj1W1NEiWytbGlB1zMx_ykJDVtmfEQ-6-lIUBA/edit?usp=sharing"",""จันทบุรี!I154"")"),0)</f>
        <v>0</v>
      </c>
      <c r="AK54" s="97">
        <f ca="1">IFERROR(__xludf.DUMMYFUNCTION("IMPORTRANGE(""https://docs.google.com/spreadsheets/d/1ddFKvqj1W1NEiWytbGlB1zMx_ykJDVtmfEQ-6-lIUBA/edit?usp=sharing"",""จันทบุรี!J154"")"),0)</f>
        <v>0</v>
      </c>
      <c r="AL54" s="98">
        <f t="shared" ca="1" si="44"/>
        <v>0</v>
      </c>
    </row>
    <row r="55" spans="1:38" ht="21" customHeight="1" x14ac:dyDescent="0.3">
      <c r="A55" s="172">
        <v>3</v>
      </c>
      <c r="B55" s="173" t="s">
        <v>81</v>
      </c>
      <c r="C55" s="174">
        <f t="shared" ca="1" si="26"/>
        <v>170500</v>
      </c>
      <c r="D55" s="175">
        <f t="shared" ca="1" si="57"/>
        <v>170500</v>
      </c>
      <c r="E55" s="176">
        <f ca="1">IFERROR(__xludf.DUMMYFUNCTION("IMPORTRANGE(""https://docs.google.com/spreadsheets/d/1-uDff_7J0KD5mKrp0Vvzr7lt3OU09vwQwhkpOPPYv2Y/edit?usp=sharing"",""งบพรบ!BR55"")"),79100)</f>
        <v>79100</v>
      </c>
      <c r="F55" s="176">
        <f ca="1">IFERROR(__xludf.DUMMYFUNCTION("IMPORTRANGE(""https://docs.google.com/spreadsheets/d/1-uDff_7J0KD5mKrp0Vvzr7lt3OU09vwQwhkpOPPYv2Y/edit?usp=sharing"",""งบพรบ!BS55"")"),91400)</f>
        <v>91400</v>
      </c>
      <c r="G55" s="176">
        <f ca="1">IFERROR(__xludf.DUMMYFUNCTION("IMPORTRANGE(""https://docs.google.com/spreadsheets/d/1-uDff_7J0KD5mKrp0Vvzr7lt3OU09vwQwhkpOPPYv2Y/edit?usp=sharing"",""งบพรบ!BT55"")"),0)</f>
        <v>0</v>
      </c>
      <c r="H55" s="176">
        <f ca="1">IFERROR(__xludf.DUMMYFUNCTION("IMPORTRANGE(""https://docs.google.com/spreadsheets/d/1-uDff_7J0KD5mKrp0Vvzr7lt3OU09vwQwhkpOPPYv2Y/edit?usp=sharing"",""งบพรบ!BV55"")"),165500)</f>
        <v>165500</v>
      </c>
      <c r="I55" s="176">
        <f ca="1">IFERROR(__xludf.DUMMYFUNCTION("IMPORTRANGE(""https://docs.google.com/spreadsheets/d/1-uDff_7J0KD5mKrp0Vvzr7lt3OU09vwQwhkpOPPYv2Y/edit?usp=sharing"",""งบพรบ!BW55"")"),0)</f>
        <v>0</v>
      </c>
      <c r="J55" s="176">
        <f t="shared" ca="1" si="28"/>
        <v>32016.36</v>
      </c>
      <c r="K55" s="179">
        <f t="shared" ca="1" si="29"/>
        <v>18.777923753665689</v>
      </c>
      <c r="L55" s="176">
        <f ca="1">IFERROR(__xludf.DUMMYFUNCTION("IMPORTRANGE(""https://docs.google.com/spreadsheets/d/1-uDff_7J0KD5mKrp0Vvzr7lt3OU09vwQwhkpOPPYv2Y/edit?usp=sharing"",""งบพรบ!BX55"")"),32016.36)</f>
        <v>32016.36</v>
      </c>
      <c r="M55" s="87">
        <f t="shared" ca="1" si="30"/>
        <v>18.777923753665689</v>
      </c>
      <c r="N55" s="87">
        <f t="shared" ca="1" si="31"/>
        <v>19.34523262839879</v>
      </c>
      <c r="O55" s="86">
        <f ca="1">IFERROR(__xludf.DUMMYFUNCTION("IMPORTRANGE(""https://docs.google.com/spreadsheets/d/1-uDff_7J0KD5mKrp0Vvzr7lt3OU09vwQwhkpOPPYv2Y/edit?usp=sharing"",""งบพรบ!BY55"")"),0)</f>
        <v>0</v>
      </c>
      <c r="P55" s="86">
        <f t="shared" ca="1" si="32"/>
        <v>0</v>
      </c>
      <c r="Q55" s="87">
        <f t="shared" ca="1" si="33"/>
        <v>0</v>
      </c>
      <c r="R55" s="86">
        <f ca="1">IFERROR(__xludf.DUMMYFUNCTION("IMPORTRANGE(""https://docs.google.com/spreadsheets/d/1T1PQvRODqOBZk8BRht_U031fIS1beLA0Ub2CEytj2q0/edit?usp=sharing"",""ฉะเชิงเทรา!Q139"")"),0)</f>
        <v>0</v>
      </c>
      <c r="S55" s="86">
        <f ca="1">IFERROR(__xludf.DUMMYFUNCTION("IMPORTRANGE(""https://docs.google.com/spreadsheets/d/1T1PQvRODqOBZk8BRht_U031fIS1beLA0Ub2CEytj2q0/edit?usp=sharing"",""ฉะเชิงเทรา!R139"")"),0)</f>
        <v>0</v>
      </c>
      <c r="T55" s="86">
        <f ca="1">IFERROR(__xludf.DUMMYFUNCTION("IMPORTRANGE(""https://docs.google.com/spreadsheets/d/1T1PQvRODqOBZk8BRht_U031fIS1beLA0Ub2CEytj2q0/edit?usp=sharing"",""ฉะเชิงเทรา!S139"")"),0)</f>
        <v>0</v>
      </c>
      <c r="U55" s="87">
        <f t="shared" ca="1" si="35"/>
        <v>0</v>
      </c>
      <c r="V55" s="87">
        <f t="shared" ca="1" si="36"/>
        <v>0</v>
      </c>
      <c r="W55" s="97">
        <f ca="1">IFERROR(__xludf.DUMMYFUNCTION("IMPORTRANGE(""https://docs.google.com/spreadsheets/d/1T1PQvRODqOBZk8BRht_U031fIS1beLA0Ub2CEytj2q0/edit?usp=sharing"",""ฉะเชิงเทรา!J149"")"),0)</f>
        <v>0</v>
      </c>
      <c r="X55" s="97">
        <f ca="1">IFERROR(__xludf.DUMMYFUNCTION("IMPORTRANGE(""https://docs.google.com/spreadsheets/d/1T1PQvRODqOBZk8BRht_U031fIS1beLA0Ub2CEytj2q0/edit?usp=sharing"",""ฉะเชิงเทรา!I150"")"),30)</f>
        <v>30</v>
      </c>
      <c r="Y55" s="97">
        <f ca="1">IFERROR(__xludf.DUMMYFUNCTION("IMPORTRANGE(""https://docs.google.com/spreadsheets/d/1T1PQvRODqOBZk8BRht_U031fIS1beLA0Ub2CEytj2q0/edit?usp=sharing"",""ฉะเชิงเทรา!I151"")"),3)</f>
        <v>3</v>
      </c>
      <c r="Z55" s="97">
        <f ca="1">IFERROR(__xludf.DUMMYFUNCTION("IMPORTRANGE(""https://docs.google.com/spreadsheets/d/1T1PQvRODqOBZk8BRht_U031fIS1beLA0Ub2CEytj2q0/edit?usp=sharing"",""ฉะเชิงเทรา!J150"")"),0)</f>
        <v>0</v>
      </c>
      <c r="AA55" s="98">
        <f t="shared" ca="1" si="38"/>
        <v>0</v>
      </c>
      <c r="AB55" s="97">
        <f ca="1">IFERROR(__xludf.DUMMYFUNCTION("IMPORTRANGE(""https://docs.google.com/spreadsheets/d/1T1PQvRODqOBZk8BRht_U031fIS1beLA0Ub2CEytj2q0/edit?usp=sharing"",""ฉะเชิงเทรา!J151"")"),0)</f>
        <v>0</v>
      </c>
      <c r="AC55" s="98">
        <f t="shared" ca="1" si="39"/>
        <v>0</v>
      </c>
      <c r="AD55" s="97">
        <f ca="1">IFERROR(__xludf.DUMMYFUNCTION("IMPORTRANGE(""https://docs.google.com/spreadsheets/d/1T1PQvRODqOBZk8BRht_U031fIS1beLA0Ub2CEytj2q0/edit?usp=sharing"",""ฉะเชิงเทรา!I152"")"),50)</f>
        <v>50</v>
      </c>
      <c r="AE55" s="97">
        <f ca="1">IFERROR(__xludf.DUMMYFUNCTION("IMPORTRANGE(""https://docs.google.com/spreadsheets/d/1T1PQvRODqOBZk8BRht_U031fIS1beLA0Ub2CEytj2q0/edit?usp=sharing"",""ฉะเชิงเทรา!I153"")"),5)</f>
        <v>5</v>
      </c>
      <c r="AF55" s="97">
        <f ca="1">IFERROR(__xludf.DUMMYFUNCTION("IMPORTRANGE(""https://docs.google.com/spreadsheets/d/1T1PQvRODqOBZk8BRht_U031fIS1beLA0Ub2CEytj2q0/edit?usp=sharing"",""ฉะเชิงเทรา!J152"")"),0)</f>
        <v>0</v>
      </c>
      <c r="AG55" s="98">
        <f t="shared" ca="1" si="41"/>
        <v>0</v>
      </c>
      <c r="AH55" s="97">
        <f ca="1">IFERROR(__xludf.DUMMYFUNCTION("IMPORTRANGE(""https://docs.google.com/spreadsheets/d/1T1PQvRODqOBZk8BRht_U031fIS1beLA0Ub2CEytj2q0/edit?usp=sharing"",""ฉะเชิงเทรา!J153"")"),0)</f>
        <v>0</v>
      </c>
      <c r="AI55" s="98">
        <f t="shared" ca="1" si="42"/>
        <v>0</v>
      </c>
      <c r="AJ55" s="97">
        <f ca="1">IFERROR(__xludf.DUMMYFUNCTION("IMPORTRANGE(""https://docs.google.com/spreadsheets/d/1T1PQvRODqOBZk8BRht_U031fIS1beLA0Ub2CEytj2q0/edit?usp=sharing"",""ฉะเชิงเทรา!I154"")"),3)</f>
        <v>3</v>
      </c>
      <c r="AK55" s="97">
        <f ca="1">IFERROR(__xludf.DUMMYFUNCTION("IMPORTRANGE(""https://docs.google.com/spreadsheets/d/1T1PQvRODqOBZk8BRht_U031fIS1beLA0Ub2CEytj2q0/edit?usp=sharing"",""ฉะเชิงเทรา!J154"")"),0)</f>
        <v>0</v>
      </c>
      <c r="AL55" s="98">
        <f t="shared" ca="1" si="44"/>
        <v>0</v>
      </c>
    </row>
    <row r="56" spans="1:38" ht="21" customHeight="1" x14ac:dyDescent="0.3">
      <c r="A56" s="172">
        <v>4</v>
      </c>
      <c r="B56" s="173" t="s">
        <v>82</v>
      </c>
      <c r="C56" s="174">
        <f t="shared" ca="1" si="26"/>
        <v>95500</v>
      </c>
      <c r="D56" s="175">
        <f t="shared" ca="1" si="57"/>
        <v>95500</v>
      </c>
      <c r="E56" s="176">
        <f ca="1">IFERROR(__xludf.DUMMYFUNCTION("IMPORTRANGE(""https://docs.google.com/spreadsheets/d/1-uDff_7J0KD5mKrp0Vvzr7lt3OU09vwQwhkpOPPYv2Y/edit?usp=sharing"",""งบพรบ!BR56"")"),72200)</f>
        <v>72200</v>
      </c>
      <c r="F56" s="176">
        <f ca="1">IFERROR(__xludf.DUMMYFUNCTION("IMPORTRANGE(""https://docs.google.com/spreadsheets/d/1-uDff_7J0KD5mKrp0Vvzr7lt3OU09vwQwhkpOPPYv2Y/edit?usp=sharing"",""งบพรบ!BS56"")"),23300)</f>
        <v>23300</v>
      </c>
      <c r="G56" s="176">
        <f ca="1">IFERROR(__xludf.DUMMYFUNCTION("IMPORTRANGE(""https://docs.google.com/spreadsheets/d/1-uDff_7J0KD5mKrp0Vvzr7lt3OU09vwQwhkpOPPYv2Y/edit?usp=sharing"",""งบพรบ!BT56"")"),0)</f>
        <v>0</v>
      </c>
      <c r="H56" s="176">
        <f ca="1">IFERROR(__xludf.DUMMYFUNCTION("IMPORTRANGE(""https://docs.google.com/spreadsheets/d/1-uDff_7J0KD5mKrp0Vvzr7lt3OU09vwQwhkpOPPYv2Y/edit?usp=sharing"",""งบพรบ!BV56"")"),90500)</f>
        <v>90500</v>
      </c>
      <c r="I56" s="176">
        <f ca="1">IFERROR(__xludf.DUMMYFUNCTION("IMPORTRANGE(""https://docs.google.com/spreadsheets/d/1-uDff_7J0KD5mKrp0Vvzr7lt3OU09vwQwhkpOPPYv2Y/edit?usp=sharing"",""งบพรบ!BW56"")"),0)</f>
        <v>0</v>
      </c>
      <c r="J56" s="176">
        <f t="shared" ca="1" si="28"/>
        <v>44000</v>
      </c>
      <c r="K56" s="179">
        <f t="shared" ca="1" si="29"/>
        <v>46.073298429319372</v>
      </c>
      <c r="L56" s="176">
        <f ca="1">IFERROR(__xludf.DUMMYFUNCTION("IMPORTRANGE(""https://docs.google.com/spreadsheets/d/1-uDff_7J0KD5mKrp0Vvzr7lt3OU09vwQwhkpOPPYv2Y/edit?usp=sharing"",""งบพรบ!BX56"")"),44000)</f>
        <v>44000</v>
      </c>
      <c r="M56" s="87">
        <f t="shared" ca="1" si="30"/>
        <v>46.073298429319372</v>
      </c>
      <c r="N56" s="87">
        <f t="shared" ca="1" si="31"/>
        <v>48.618784530386741</v>
      </c>
      <c r="O56" s="86">
        <f ca="1">IFERROR(__xludf.DUMMYFUNCTION("IMPORTRANGE(""https://docs.google.com/spreadsheets/d/1-uDff_7J0KD5mKrp0Vvzr7lt3OU09vwQwhkpOPPYv2Y/edit?usp=sharing"",""งบพรบ!BY56"")"),0)</f>
        <v>0</v>
      </c>
      <c r="P56" s="86">
        <f t="shared" ca="1" si="32"/>
        <v>0</v>
      </c>
      <c r="Q56" s="87">
        <f t="shared" ca="1" si="33"/>
        <v>0</v>
      </c>
      <c r="R56" s="86">
        <f ca="1">IFERROR(__xludf.DUMMYFUNCTION("IMPORTRANGE(""https://docs.google.com/spreadsheets/d/11tr1B-Bhyr79v2bkwVh5h_fR-PStkgjlZtkrZpYurG0/edit?usp=sharing"",""ชลบุรี!Q139"")"),0)</f>
        <v>0</v>
      </c>
      <c r="S56" s="86">
        <f ca="1">IFERROR(__xludf.DUMMYFUNCTION("IMPORTRANGE(""https://docs.google.com/spreadsheets/d/11tr1B-Bhyr79v2bkwVh5h_fR-PStkgjlZtkrZpYurG0/edit?usp=sharing"",""ชลบุรี!R139"")"),0)</f>
        <v>0</v>
      </c>
      <c r="T56" s="86">
        <f ca="1">IFERROR(__xludf.DUMMYFUNCTION("IMPORTRANGE(""https://docs.google.com/spreadsheets/d/11tr1B-Bhyr79v2bkwVh5h_fR-PStkgjlZtkrZpYurG0/edit?usp=sharing"",""ชลบุรี!S139"")"),0)</f>
        <v>0</v>
      </c>
      <c r="U56" s="87">
        <f t="shared" ca="1" si="35"/>
        <v>0</v>
      </c>
      <c r="V56" s="87">
        <f t="shared" ca="1" si="36"/>
        <v>0</v>
      </c>
      <c r="W56" s="97">
        <f ca="1">IFERROR(__xludf.DUMMYFUNCTION("IMPORTRANGE(""https://docs.google.com/spreadsheets/d/11tr1B-Bhyr79v2bkwVh5h_fR-PStkgjlZtkrZpYurG0/edit?usp=sharing"",""ชลบุรี!J149"")"),0)</f>
        <v>0</v>
      </c>
      <c r="X56" s="97">
        <f ca="1">IFERROR(__xludf.DUMMYFUNCTION("IMPORTRANGE(""https://docs.google.com/spreadsheets/d/11tr1B-Bhyr79v2bkwVh5h_fR-PStkgjlZtkrZpYurG0/edit?usp=sharing"",""ชลบุรี!I150"")"),0)</f>
        <v>0</v>
      </c>
      <c r="Y56" s="97">
        <f ca="1">IFERROR(__xludf.DUMMYFUNCTION("IMPORTRANGE(""https://docs.google.com/spreadsheets/d/11tr1B-Bhyr79v2bkwVh5h_fR-PStkgjlZtkrZpYurG0/edit?usp=sharing"",""ชลบุรี!I151"")"),0)</f>
        <v>0</v>
      </c>
      <c r="Z56" s="97">
        <f ca="1">IFERROR(__xludf.DUMMYFUNCTION("IMPORTRANGE(""https://docs.google.com/spreadsheets/d/11tr1B-Bhyr79v2bkwVh5h_fR-PStkgjlZtkrZpYurG0/edit?usp=sharing"",""ชลบุรี!J150"")"),0)</f>
        <v>0</v>
      </c>
      <c r="AA56" s="98">
        <f t="shared" ca="1" si="38"/>
        <v>0</v>
      </c>
      <c r="AB56" s="97">
        <f ca="1">IFERROR(__xludf.DUMMYFUNCTION("IMPORTRANGE(""https://docs.google.com/spreadsheets/d/11tr1B-Bhyr79v2bkwVh5h_fR-PStkgjlZtkrZpYurG0/edit?usp=sharing"",""ชลบุรี!J151"")"),0)</f>
        <v>0</v>
      </c>
      <c r="AC56" s="98">
        <f t="shared" ca="1" si="39"/>
        <v>0</v>
      </c>
      <c r="AD56" s="97">
        <f ca="1">IFERROR(__xludf.DUMMYFUNCTION("IMPORTRANGE(""https://docs.google.com/spreadsheets/d/11tr1B-Bhyr79v2bkwVh5h_fR-PStkgjlZtkrZpYurG0/edit?usp=sharing"",""ชลบุรี!I152"")"),10)</f>
        <v>10</v>
      </c>
      <c r="AE56" s="97">
        <f ca="1">IFERROR(__xludf.DUMMYFUNCTION("IMPORTRANGE(""https://docs.google.com/spreadsheets/d/11tr1B-Bhyr79v2bkwVh5h_fR-PStkgjlZtkrZpYurG0/edit?usp=sharing"",""ชลบุรี!I153"")"),1)</f>
        <v>1</v>
      </c>
      <c r="AF56" s="97">
        <f ca="1">IFERROR(__xludf.DUMMYFUNCTION("IMPORTRANGE(""https://docs.google.com/spreadsheets/d/11tr1B-Bhyr79v2bkwVh5h_fR-PStkgjlZtkrZpYurG0/edit?usp=sharing"",""ชลบุรี!J152"")"),0)</f>
        <v>0</v>
      </c>
      <c r="AG56" s="98">
        <f t="shared" ca="1" si="41"/>
        <v>0</v>
      </c>
      <c r="AH56" s="97">
        <f ca="1">IFERROR(__xludf.DUMMYFUNCTION("IMPORTRANGE(""https://docs.google.com/spreadsheets/d/11tr1B-Bhyr79v2bkwVh5h_fR-PStkgjlZtkrZpYurG0/edit?usp=sharing"",""ชลบุรี!J153"")"),0)</f>
        <v>0</v>
      </c>
      <c r="AI56" s="98">
        <f t="shared" ca="1" si="42"/>
        <v>0</v>
      </c>
      <c r="AJ56" s="97">
        <f ca="1">IFERROR(__xludf.DUMMYFUNCTION("IMPORTRANGE(""https://docs.google.com/spreadsheets/d/11tr1B-Bhyr79v2bkwVh5h_fR-PStkgjlZtkrZpYurG0/edit?usp=sharing"",""ชลบุรี!I154"")"),0)</f>
        <v>0</v>
      </c>
      <c r="AK56" s="97">
        <f ca="1">IFERROR(__xludf.DUMMYFUNCTION("IMPORTRANGE(""https://docs.google.com/spreadsheets/d/11tr1B-Bhyr79v2bkwVh5h_fR-PStkgjlZtkrZpYurG0/edit?usp=sharing"",""ชลบุรี!J154"")"),0)</f>
        <v>0</v>
      </c>
      <c r="AL56" s="98">
        <f t="shared" ca="1" si="44"/>
        <v>0</v>
      </c>
    </row>
    <row r="57" spans="1:38" ht="21" customHeight="1" x14ac:dyDescent="0.3">
      <c r="A57" s="172">
        <v>5</v>
      </c>
      <c r="B57" s="173" t="s">
        <v>83</v>
      </c>
      <c r="C57" s="174">
        <f t="shared" ca="1" si="26"/>
        <v>0</v>
      </c>
      <c r="D57" s="175">
        <f t="shared" ca="1" si="57"/>
        <v>0</v>
      </c>
      <c r="E57" s="176">
        <f ca="1">IFERROR(__xludf.DUMMYFUNCTION("IMPORTRANGE(""https://docs.google.com/spreadsheets/d/1-uDff_7J0KD5mKrp0Vvzr7lt3OU09vwQwhkpOPPYv2Y/edit?usp=sharing"",""งบพรบ!BR57"")"),0)</f>
        <v>0</v>
      </c>
      <c r="F57" s="176">
        <f ca="1">IFERROR(__xludf.DUMMYFUNCTION("IMPORTRANGE(""https://docs.google.com/spreadsheets/d/1-uDff_7J0KD5mKrp0Vvzr7lt3OU09vwQwhkpOPPYv2Y/edit?usp=sharing"",""งบพรบ!BS57"")"),0)</f>
        <v>0</v>
      </c>
      <c r="G57" s="176">
        <f ca="1">IFERROR(__xludf.DUMMYFUNCTION("IMPORTRANGE(""https://docs.google.com/spreadsheets/d/1-uDff_7J0KD5mKrp0Vvzr7lt3OU09vwQwhkpOPPYv2Y/edit?usp=sharing"",""งบพรบ!BT57"")"),0)</f>
        <v>0</v>
      </c>
      <c r="H57" s="176">
        <f ca="1">IFERROR(__xludf.DUMMYFUNCTION("IMPORTRANGE(""https://docs.google.com/spreadsheets/d/1-uDff_7J0KD5mKrp0Vvzr7lt3OU09vwQwhkpOPPYv2Y/edit?usp=sharing"",""งบพรบ!BV57"")"),0)</f>
        <v>0</v>
      </c>
      <c r="I57" s="176">
        <f ca="1">IFERROR(__xludf.DUMMYFUNCTION("IMPORTRANGE(""https://docs.google.com/spreadsheets/d/1-uDff_7J0KD5mKrp0Vvzr7lt3OU09vwQwhkpOPPYv2Y/edit?usp=sharing"",""งบพรบ!BW57"")"),0)</f>
        <v>0</v>
      </c>
      <c r="J57" s="176">
        <f t="shared" ca="1" si="28"/>
        <v>0</v>
      </c>
      <c r="K57" s="179">
        <f t="shared" ca="1" si="29"/>
        <v>0</v>
      </c>
      <c r="L57" s="176">
        <f ca="1">IFERROR(__xludf.DUMMYFUNCTION("IMPORTRANGE(""https://docs.google.com/spreadsheets/d/1-uDff_7J0KD5mKrp0Vvzr7lt3OU09vwQwhkpOPPYv2Y/edit?usp=sharing"",""งบพรบ!BX57"")"),0)</f>
        <v>0</v>
      </c>
      <c r="M57" s="87">
        <f t="shared" ca="1" si="30"/>
        <v>0</v>
      </c>
      <c r="N57" s="87">
        <f t="shared" ca="1" si="31"/>
        <v>0</v>
      </c>
      <c r="O57" s="86">
        <f ca="1">IFERROR(__xludf.DUMMYFUNCTION("IMPORTRANGE(""https://docs.google.com/spreadsheets/d/1-uDff_7J0KD5mKrp0Vvzr7lt3OU09vwQwhkpOPPYv2Y/edit?usp=sharing"",""งบพรบ!BY57"")"),0)</f>
        <v>0</v>
      </c>
      <c r="P57" s="86">
        <f t="shared" ca="1" si="32"/>
        <v>0</v>
      </c>
      <c r="Q57" s="87">
        <f t="shared" ca="1" si="33"/>
        <v>0</v>
      </c>
      <c r="R57" s="86">
        <f ca="1">IFERROR(__xludf.DUMMYFUNCTION("IMPORTRANGE(""https://docs.google.com/spreadsheets/d/1hh-FVnSX0vozXhGluamEcS54Dw9_zqW0N7qJUWgJ0Sw/edit?usp=sharing"",""ชัยนาท!Q139"")"),0)</f>
        <v>0</v>
      </c>
      <c r="S57" s="86">
        <f ca="1">IFERROR(__xludf.DUMMYFUNCTION("IMPORTRANGE(""https://docs.google.com/spreadsheets/d/1hh-FVnSX0vozXhGluamEcS54Dw9_zqW0N7qJUWgJ0Sw/edit?usp=sharing"",""ชัยนาท!R139"")"),0)</f>
        <v>0</v>
      </c>
      <c r="T57" s="86">
        <f ca="1">IFERROR(__xludf.DUMMYFUNCTION("IMPORTRANGE(""https://docs.google.com/spreadsheets/d/1hh-FVnSX0vozXhGluamEcS54Dw9_zqW0N7qJUWgJ0Sw/edit?usp=sharing"",""ชัยนาท!S139"")"),0)</f>
        <v>0</v>
      </c>
      <c r="U57" s="87">
        <f t="shared" ca="1" si="35"/>
        <v>0</v>
      </c>
      <c r="V57" s="87">
        <f t="shared" ca="1" si="36"/>
        <v>0</v>
      </c>
      <c r="W57" s="97">
        <f ca="1">IFERROR(__xludf.DUMMYFUNCTION("IMPORTRANGE(""https://docs.google.com/spreadsheets/d/1hh-FVnSX0vozXhGluamEcS54Dw9_zqW0N7qJUWgJ0Sw/edit?usp=sharing"",""ชัยนาท!J149"")"),0)</f>
        <v>0</v>
      </c>
      <c r="X57" s="97">
        <f ca="1">IFERROR(__xludf.DUMMYFUNCTION("IMPORTRANGE(""https://docs.google.com/spreadsheets/d/1hh-FVnSX0vozXhGluamEcS54Dw9_zqW0N7qJUWgJ0Sw/edit?usp=sharing"",""ชัยนาท!I150"")"),0)</f>
        <v>0</v>
      </c>
      <c r="Y57" s="97">
        <f ca="1">IFERROR(__xludf.DUMMYFUNCTION("IMPORTRANGE(""https://docs.google.com/spreadsheets/d/1hh-FVnSX0vozXhGluamEcS54Dw9_zqW0N7qJUWgJ0Sw/edit?usp=sharing"",""ชัยนาท!I151"")"),0)</f>
        <v>0</v>
      </c>
      <c r="Z57" s="97">
        <f ca="1">IFERROR(__xludf.DUMMYFUNCTION("IMPORTRANGE(""https://docs.google.com/spreadsheets/d/1hh-FVnSX0vozXhGluamEcS54Dw9_zqW0N7qJUWgJ0Sw/edit?usp=sharing"",""ชัยนาท!J150"")"),0)</f>
        <v>0</v>
      </c>
      <c r="AA57" s="98">
        <f t="shared" ca="1" si="38"/>
        <v>0</v>
      </c>
      <c r="AB57" s="97">
        <f ca="1">IFERROR(__xludf.DUMMYFUNCTION("IMPORTRANGE(""https://docs.google.com/spreadsheets/d/1hh-FVnSX0vozXhGluamEcS54Dw9_zqW0N7qJUWgJ0Sw/edit?usp=sharing"",""ชัยนาท!J151"")"),0)</f>
        <v>0</v>
      </c>
      <c r="AC57" s="98">
        <f t="shared" ca="1" si="39"/>
        <v>0</v>
      </c>
      <c r="AD57" s="97">
        <f ca="1">IFERROR(__xludf.DUMMYFUNCTION("IMPORTRANGE(""https://docs.google.com/spreadsheets/d/1hh-FVnSX0vozXhGluamEcS54Dw9_zqW0N7qJUWgJ0Sw/edit?usp=sharing"",""ชัยนาท!I152"")"),0)</f>
        <v>0</v>
      </c>
      <c r="AE57" s="97">
        <f ca="1">IFERROR(__xludf.DUMMYFUNCTION("IMPORTRANGE(""https://docs.google.com/spreadsheets/d/1hh-FVnSX0vozXhGluamEcS54Dw9_zqW0N7qJUWgJ0Sw/edit?usp=sharing"",""ชัยนาท!I153"")"),0)</f>
        <v>0</v>
      </c>
      <c r="AF57" s="97">
        <f ca="1">IFERROR(__xludf.DUMMYFUNCTION("IMPORTRANGE(""https://docs.google.com/spreadsheets/d/1hh-FVnSX0vozXhGluamEcS54Dw9_zqW0N7qJUWgJ0Sw/edit?usp=sharing"",""ชัยนาท!J152"")"),0)</f>
        <v>0</v>
      </c>
      <c r="AG57" s="98">
        <f t="shared" ca="1" si="41"/>
        <v>0</v>
      </c>
      <c r="AH57" s="97">
        <f ca="1">IFERROR(__xludf.DUMMYFUNCTION("IMPORTRANGE(""https://docs.google.com/spreadsheets/d/1hh-FVnSX0vozXhGluamEcS54Dw9_zqW0N7qJUWgJ0Sw/edit?usp=sharing"",""ชัยนาท!J153"")"),0)</f>
        <v>0</v>
      </c>
      <c r="AI57" s="98">
        <f t="shared" ca="1" si="42"/>
        <v>0</v>
      </c>
      <c r="AJ57" s="97">
        <f ca="1">IFERROR(__xludf.DUMMYFUNCTION("IMPORTRANGE(""https://docs.google.com/spreadsheets/d/1hh-FVnSX0vozXhGluamEcS54Dw9_zqW0N7qJUWgJ0Sw/edit?usp=sharing"",""ชัยนาท!I154"")"),0)</f>
        <v>0</v>
      </c>
      <c r="AK57" s="97">
        <f ca="1">IFERROR(__xludf.DUMMYFUNCTION("IMPORTRANGE(""https://docs.google.com/spreadsheets/d/1hh-FVnSX0vozXhGluamEcS54Dw9_zqW0N7qJUWgJ0Sw/edit?usp=sharing"",""ชัยนาท!J154"")"),0)</f>
        <v>0</v>
      </c>
      <c r="AL57" s="98">
        <f t="shared" ca="1" si="44"/>
        <v>0</v>
      </c>
    </row>
    <row r="58" spans="1:38" ht="21" customHeight="1" x14ac:dyDescent="0.3">
      <c r="A58" s="172">
        <v>6</v>
      </c>
      <c r="B58" s="173" t="s">
        <v>84</v>
      </c>
      <c r="C58" s="174">
        <f t="shared" ca="1" si="26"/>
        <v>0</v>
      </c>
      <c r="D58" s="175">
        <f t="shared" ca="1" si="57"/>
        <v>0</v>
      </c>
      <c r="E58" s="176">
        <f ca="1">IFERROR(__xludf.DUMMYFUNCTION("IMPORTRANGE(""https://docs.google.com/spreadsheets/d/1-uDff_7J0KD5mKrp0Vvzr7lt3OU09vwQwhkpOPPYv2Y/edit?usp=sharing"",""งบพรบ!BR58"")"),0)</f>
        <v>0</v>
      </c>
      <c r="F58" s="176">
        <f ca="1">IFERROR(__xludf.DUMMYFUNCTION("IMPORTRANGE(""https://docs.google.com/spreadsheets/d/1-uDff_7J0KD5mKrp0Vvzr7lt3OU09vwQwhkpOPPYv2Y/edit?usp=sharing"",""งบพรบ!BS58"")"),0)</f>
        <v>0</v>
      </c>
      <c r="G58" s="176">
        <f ca="1">IFERROR(__xludf.DUMMYFUNCTION("IMPORTRANGE(""https://docs.google.com/spreadsheets/d/1-uDff_7J0KD5mKrp0Vvzr7lt3OU09vwQwhkpOPPYv2Y/edit?usp=sharing"",""งบพรบ!BT58"")"),0)</f>
        <v>0</v>
      </c>
      <c r="H58" s="176">
        <f ca="1">IFERROR(__xludf.DUMMYFUNCTION("IMPORTRANGE(""https://docs.google.com/spreadsheets/d/1-uDff_7J0KD5mKrp0Vvzr7lt3OU09vwQwhkpOPPYv2Y/edit?usp=sharing"",""งบพรบ!BV58"")"),0)</f>
        <v>0</v>
      </c>
      <c r="I58" s="176">
        <f ca="1">IFERROR(__xludf.DUMMYFUNCTION("IMPORTRANGE(""https://docs.google.com/spreadsheets/d/1-uDff_7J0KD5mKrp0Vvzr7lt3OU09vwQwhkpOPPYv2Y/edit?usp=sharing"",""งบพรบ!BW58"")"),0)</f>
        <v>0</v>
      </c>
      <c r="J58" s="176">
        <f t="shared" ca="1" si="28"/>
        <v>0</v>
      </c>
      <c r="K58" s="179">
        <f t="shared" ca="1" si="29"/>
        <v>0</v>
      </c>
      <c r="L58" s="176">
        <f ca="1">IFERROR(__xludf.DUMMYFUNCTION("IMPORTRANGE(""https://docs.google.com/spreadsheets/d/1-uDff_7J0KD5mKrp0Vvzr7lt3OU09vwQwhkpOPPYv2Y/edit?usp=sharing"",""งบพรบ!BX58"")"),0)</f>
        <v>0</v>
      </c>
      <c r="M58" s="87">
        <f t="shared" ca="1" si="30"/>
        <v>0</v>
      </c>
      <c r="N58" s="87">
        <f t="shared" ca="1" si="31"/>
        <v>0</v>
      </c>
      <c r="O58" s="86">
        <f ca="1">IFERROR(__xludf.DUMMYFUNCTION("IMPORTRANGE(""https://docs.google.com/spreadsheets/d/1-uDff_7J0KD5mKrp0Vvzr7lt3OU09vwQwhkpOPPYv2Y/edit?usp=sharing"",""งบพรบ!BY58"")"),0)</f>
        <v>0</v>
      </c>
      <c r="P58" s="86">
        <f t="shared" ca="1" si="32"/>
        <v>0</v>
      </c>
      <c r="Q58" s="87">
        <f t="shared" ca="1" si="33"/>
        <v>0</v>
      </c>
      <c r="R58" s="86">
        <f ca="1">IFERROR(__xludf.DUMMYFUNCTION("IMPORTRANGE(""https://docs.google.com/spreadsheets/d/1jkqa6GXxSacMcY1eN8AHjMNJ_7dDXMJVRLDlaFSOdPM/edit?usp=sharing"",""ตราด!Q139"")"),0)</f>
        <v>0</v>
      </c>
      <c r="S58" s="86">
        <f ca="1">IFERROR(__xludf.DUMMYFUNCTION("IMPORTRANGE(""https://docs.google.com/spreadsheets/d/1jkqa6GXxSacMcY1eN8AHjMNJ_7dDXMJVRLDlaFSOdPM/edit?usp=sharing"",""ตราด!R139"")"),0)</f>
        <v>0</v>
      </c>
      <c r="T58" s="86">
        <f ca="1">IFERROR(__xludf.DUMMYFUNCTION("IMPORTRANGE(""https://docs.google.com/spreadsheets/d/1jkqa6GXxSacMcY1eN8AHjMNJ_7dDXMJVRLDlaFSOdPM/edit?usp=sharing"",""ตราด!S139"")"),0)</f>
        <v>0</v>
      </c>
      <c r="U58" s="87">
        <f t="shared" ca="1" si="35"/>
        <v>0</v>
      </c>
      <c r="V58" s="87">
        <f t="shared" ca="1" si="36"/>
        <v>0</v>
      </c>
      <c r="W58" s="97">
        <f ca="1">IFERROR(__xludf.DUMMYFUNCTION("IMPORTRANGE(""https://docs.google.com/spreadsheets/d/1jkqa6GXxSacMcY1eN8AHjMNJ_7dDXMJVRLDlaFSOdPM/edit?usp=sharing"",""ตราด!J149"")"),0)</f>
        <v>0</v>
      </c>
      <c r="X58" s="97">
        <f ca="1">IFERROR(__xludf.DUMMYFUNCTION("IMPORTRANGE(""https://docs.google.com/spreadsheets/d/1jkqa6GXxSacMcY1eN8AHjMNJ_7dDXMJVRLDlaFSOdPM/edit?usp=sharing"",""ตราด!I150"")"),0)</f>
        <v>0</v>
      </c>
      <c r="Y58" s="97">
        <f ca="1">IFERROR(__xludf.DUMMYFUNCTION("IMPORTRANGE(""https://docs.google.com/spreadsheets/d/1jkqa6GXxSacMcY1eN8AHjMNJ_7dDXMJVRLDlaFSOdPM/edit?usp=sharing"",""ตราด!I151"")"),0)</f>
        <v>0</v>
      </c>
      <c r="Z58" s="97">
        <f ca="1">IFERROR(__xludf.DUMMYFUNCTION("IMPORTRANGE(""https://docs.google.com/spreadsheets/d/1jkqa6GXxSacMcY1eN8AHjMNJ_7dDXMJVRLDlaFSOdPM/edit?usp=sharing"",""ตราด!J150"")"),0)</f>
        <v>0</v>
      </c>
      <c r="AA58" s="98">
        <f t="shared" ca="1" si="38"/>
        <v>0</v>
      </c>
      <c r="AB58" s="97">
        <f ca="1">IFERROR(__xludf.DUMMYFUNCTION("IMPORTRANGE(""https://docs.google.com/spreadsheets/d/1jkqa6GXxSacMcY1eN8AHjMNJ_7dDXMJVRLDlaFSOdPM/edit?usp=sharing"",""ตราด!J151"")"),0)</f>
        <v>0</v>
      </c>
      <c r="AC58" s="98">
        <f t="shared" ca="1" si="39"/>
        <v>0</v>
      </c>
      <c r="AD58" s="97">
        <f ca="1">IFERROR(__xludf.DUMMYFUNCTION("IMPORTRANGE(""https://docs.google.com/spreadsheets/d/1jkqa6GXxSacMcY1eN8AHjMNJ_7dDXMJVRLDlaFSOdPM/edit?usp=sharing"",""ตราด!I152"")"),0)</f>
        <v>0</v>
      </c>
      <c r="AE58" s="97">
        <f ca="1">IFERROR(__xludf.DUMMYFUNCTION("IMPORTRANGE(""https://docs.google.com/spreadsheets/d/1jkqa6GXxSacMcY1eN8AHjMNJ_7dDXMJVRLDlaFSOdPM/edit?usp=sharing"",""ตราด!I153"")"),0)</f>
        <v>0</v>
      </c>
      <c r="AF58" s="97">
        <f ca="1">IFERROR(__xludf.DUMMYFUNCTION("IMPORTRANGE(""https://docs.google.com/spreadsheets/d/1jkqa6GXxSacMcY1eN8AHjMNJ_7dDXMJVRLDlaFSOdPM/edit?usp=sharing"",""ตราด!J152"")"),0)</f>
        <v>0</v>
      </c>
      <c r="AG58" s="98">
        <f t="shared" ca="1" si="41"/>
        <v>0</v>
      </c>
      <c r="AH58" s="97">
        <f ca="1">IFERROR(__xludf.DUMMYFUNCTION("IMPORTRANGE(""https://docs.google.com/spreadsheets/d/1jkqa6GXxSacMcY1eN8AHjMNJ_7dDXMJVRLDlaFSOdPM/edit?usp=sharing"",""ตราด!J153"")"),0)</f>
        <v>0</v>
      </c>
      <c r="AI58" s="98">
        <f t="shared" ca="1" si="42"/>
        <v>0</v>
      </c>
      <c r="AJ58" s="97">
        <f ca="1">IFERROR(__xludf.DUMMYFUNCTION("IMPORTRANGE(""https://docs.google.com/spreadsheets/d/1jkqa6GXxSacMcY1eN8AHjMNJ_7dDXMJVRLDlaFSOdPM/edit?usp=sharing"",""ตราด!I154"")"),0)</f>
        <v>0</v>
      </c>
      <c r="AK58" s="97">
        <f ca="1">IFERROR(__xludf.DUMMYFUNCTION("IMPORTRANGE(""https://docs.google.com/spreadsheets/d/1jkqa6GXxSacMcY1eN8AHjMNJ_7dDXMJVRLDlaFSOdPM/edit?usp=sharing"",""ตราด!J154"")"),0)</f>
        <v>0</v>
      </c>
      <c r="AL58" s="98">
        <f t="shared" ca="1" si="44"/>
        <v>0</v>
      </c>
    </row>
    <row r="59" spans="1:38" ht="21" customHeight="1" x14ac:dyDescent="0.3">
      <c r="A59" s="172">
        <v>7</v>
      </c>
      <c r="B59" s="173" t="s">
        <v>85</v>
      </c>
      <c r="C59" s="174">
        <f t="shared" ca="1" si="26"/>
        <v>0</v>
      </c>
      <c r="D59" s="175">
        <f t="shared" ca="1" si="57"/>
        <v>0</v>
      </c>
      <c r="E59" s="176">
        <f ca="1">IFERROR(__xludf.DUMMYFUNCTION("IMPORTRANGE(""https://docs.google.com/spreadsheets/d/1-uDff_7J0KD5mKrp0Vvzr7lt3OU09vwQwhkpOPPYv2Y/edit?usp=sharing"",""งบพรบ!BR59"")"),0)</f>
        <v>0</v>
      </c>
      <c r="F59" s="176">
        <f ca="1">IFERROR(__xludf.DUMMYFUNCTION("IMPORTRANGE(""https://docs.google.com/spreadsheets/d/1-uDff_7J0KD5mKrp0Vvzr7lt3OU09vwQwhkpOPPYv2Y/edit?usp=sharing"",""งบพรบ!BS59"")"),0)</f>
        <v>0</v>
      </c>
      <c r="G59" s="176">
        <f ca="1">IFERROR(__xludf.DUMMYFUNCTION("IMPORTRANGE(""https://docs.google.com/spreadsheets/d/1-uDff_7J0KD5mKrp0Vvzr7lt3OU09vwQwhkpOPPYv2Y/edit?usp=sharing"",""งบพรบ!BT59"")"),0)</f>
        <v>0</v>
      </c>
      <c r="H59" s="176">
        <f ca="1">IFERROR(__xludf.DUMMYFUNCTION("IMPORTRANGE(""https://docs.google.com/spreadsheets/d/1-uDff_7J0KD5mKrp0Vvzr7lt3OU09vwQwhkpOPPYv2Y/edit?usp=sharing"",""งบพรบ!BV59"")"),0)</f>
        <v>0</v>
      </c>
      <c r="I59" s="176">
        <f ca="1">IFERROR(__xludf.DUMMYFUNCTION("IMPORTRANGE(""https://docs.google.com/spreadsheets/d/1-uDff_7J0KD5mKrp0Vvzr7lt3OU09vwQwhkpOPPYv2Y/edit?usp=sharing"",""งบพรบ!BW59"")"),0)</f>
        <v>0</v>
      </c>
      <c r="J59" s="176">
        <f t="shared" ca="1" si="28"/>
        <v>0</v>
      </c>
      <c r="K59" s="179">
        <f t="shared" ca="1" si="29"/>
        <v>0</v>
      </c>
      <c r="L59" s="176">
        <f ca="1">IFERROR(__xludf.DUMMYFUNCTION("IMPORTRANGE(""https://docs.google.com/spreadsheets/d/1-uDff_7J0KD5mKrp0Vvzr7lt3OU09vwQwhkpOPPYv2Y/edit?usp=sharing"",""งบพรบ!BX59"")"),0)</f>
        <v>0</v>
      </c>
      <c r="M59" s="87">
        <f t="shared" ca="1" si="30"/>
        <v>0</v>
      </c>
      <c r="N59" s="87">
        <f t="shared" ca="1" si="31"/>
        <v>0</v>
      </c>
      <c r="O59" s="86">
        <f ca="1">IFERROR(__xludf.DUMMYFUNCTION("IMPORTRANGE(""https://docs.google.com/spreadsheets/d/1-uDff_7J0KD5mKrp0Vvzr7lt3OU09vwQwhkpOPPYv2Y/edit?usp=sharing"",""งบพรบ!BY59"")"),0)</f>
        <v>0</v>
      </c>
      <c r="P59" s="86">
        <f t="shared" ca="1" si="32"/>
        <v>0</v>
      </c>
      <c r="Q59" s="87">
        <f t="shared" ca="1" si="33"/>
        <v>0</v>
      </c>
      <c r="R59" s="86">
        <f ca="1">IFERROR(__xludf.DUMMYFUNCTION("IMPORTRANGE(""https://docs.google.com/spreadsheets/d/18hSgUJ3VwClqi_qtULmmW3cLr0oe3OKaSYoKzdpTsYQ/edit?usp=sharing"",""นครนายก!Q139"")"),0)</f>
        <v>0</v>
      </c>
      <c r="S59" s="86">
        <f ca="1">IFERROR(__xludf.DUMMYFUNCTION("IMPORTRANGE(""https://docs.google.com/spreadsheets/d/18hSgUJ3VwClqi_qtULmmW3cLr0oe3OKaSYoKzdpTsYQ/edit?usp=sharing"",""นครนายก!R139"")"),0)</f>
        <v>0</v>
      </c>
      <c r="T59" s="86">
        <f ca="1">IFERROR(__xludf.DUMMYFUNCTION("IMPORTRANGE(""https://docs.google.com/spreadsheets/d/18hSgUJ3VwClqi_qtULmmW3cLr0oe3OKaSYoKzdpTsYQ/edit?usp=sharing"",""นครนายก!S139"")"),0)</f>
        <v>0</v>
      </c>
      <c r="U59" s="87">
        <f t="shared" ca="1" si="35"/>
        <v>0</v>
      </c>
      <c r="V59" s="87">
        <f t="shared" ca="1" si="36"/>
        <v>0</v>
      </c>
      <c r="W59" s="97">
        <f ca="1">IFERROR(__xludf.DUMMYFUNCTION("IMPORTRANGE(""https://docs.google.com/spreadsheets/d/18hSgUJ3VwClqi_qtULmmW3cLr0oe3OKaSYoKzdpTsYQ/edit?usp=sharing"",""นครนายก!J149"")"),0)</f>
        <v>0</v>
      </c>
      <c r="X59" s="97">
        <f ca="1">IFERROR(__xludf.DUMMYFUNCTION("IMPORTRANGE(""https://docs.google.com/spreadsheets/d/18hSgUJ3VwClqi_qtULmmW3cLr0oe3OKaSYoKzdpTsYQ/edit?usp=sharing"",""นครนายก!I150"")"),0)</f>
        <v>0</v>
      </c>
      <c r="Y59" s="97">
        <f ca="1">IFERROR(__xludf.DUMMYFUNCTION("IMPORTRANGE(""https://docs.google.com/spreadsheets/d/18hSgUJ3VwClqi_qtULmmW3cLr0oe3OKaSYoKzdpTsYQ/edit?usp=sharing"",""นครนายก!I151"")"),0)</f>
        <v>0</v>
      </c>
      <c r="Z59" s="97">
        <f ca="1">IFERROR(__xludf.DUMMYFUNCTION("IMPORTRANGE(""https://docs.google.com/spreadsheets/d/18hSgUJ3VwClqi_qtULmmW3cLr0oe3OKaSYoKzdpTsYQ/edit?usp=sharing"",""นครนายก!J150"")"),0)</f>
        <v>0</v>
      </c>
      <c r="AA59" s="98">
        <f t="shared" ca="1" si="38"/>
        <v>0</v>
      </c>
      <c r="AB59" s="97">
        <f ca="1">IFERROR(__xludf.DUMMYFUNCTION("IMPORTRANGE(""https://docs.google.com/spreadsheets/d/18hSgUJ3VwClqi_qtULmmW3cLr0oe3OKaSYoKzdpTsYQ/edit?usp=sharing"",""นครนายก!J151"")"),0)</f>
        <v>0</v>
      </c>
      <c r="AC59" s="98">
        <f t="shared" ca="1" si="39"/>
        <v>0</v>
      </c>
      <c r="AD59" s="97">
        <f ca="1">IFERROR(__xludf.DUMMYFUNCTION("IMPORTRANGE(""https://docs.google.com/spreadsheets/d/18hSgUJ3VwClqi_qtULmmW3cLr0oe3OKaSYoKzdpTsYQ/edit?usp=sharing"",""นครนายก!I152"")"),0)</f>
        <v>0</v>
      </c>
      <c r="AE59" s="97">
        <f ca="1">IFERROR(__xludf.DUMMYFUNCTION("IMPORTRANGE(""https://docs.google.com/spreadsheets/d/18hSgUJ3VwClqi_qtULmmW3cLr0oe3OKaSYoKzdpTsYQ/edit?usp=sharing"",""นครนายก!I153"")"),0)</f>
        <v>0</v>
      </c>
      <c r="AF59" s="97">
        <f ca="1">IFERROR(__xludf.DUMMYFUNCTION("IMPORTRANGE(""https://docs.google.com/spreadsheets/d/18hSgUJ3VwClqi_qtULmmW3cLr0oe3OKaSYoKzdpTsYQ/edit?usp=sharing"",""นครนายก!J152"")"),0)</f>
        <v>0</v>
      </c>
      <c r="AG59" s="98">
        <f t="shared" ca="1" si="41"/>
        <v>0</v>
      </c>
      <c r="AH59" s="97">
        <f ca="1">IFERROR(__xludf.DUMMYFUNCTION("IMPORTRANGE(""https://docs.google.com/spreadsheets/d/18hSgUJ3VwClqi_qtULmmW3cLr0oe3OKaSYoKzdpTsYQ/edit?usp=sharing"",""นครนายก!J153"")"),0)</f>
        <v>0</v>
      </c>
      <c r="AI59" s="98">
        <f t="shared" ca="1" si="42"/>
        <v>0</v>
      </c>
      <c r="AJ59" s="97">
        <f ca="1">IFERROR(__xludf.DUMMYFUNCTION("IMPORTRANGE(""https://docs.google.com/spreadsheets/d/18hSgUJ3VwClqi_qtULmmW3cLr0oe3OKaSYoKzdpTsYQ/edit?usp=sharing"",""นครนายก!I154"")"),0)</f>
        <v>0</v>
      </c>
      <c r="AK59" s="97">
        <f ca="1">IFERROR(__xludf.DUMMYFUNCTION("IMPORTRANGE(""https://docs.google.com/spreadsheets/d/18hSgUJ3VwClqi_qtULmmW3cLr0oe3OKaSYoKzdpTsYQ/edit?usp=sharing"",""นครนายก!J154"")"),0)</f>
        <v>0</v>
      </c>
      <c r="AL59" s="98">
        <f t="shared" ca="1" si="44"/>
        <v>0</v>
      </c>
    </row>
    <row r="60" spans="1:38" ht="21" customHeight="1" x14ac:dyDescent="0.3">
      <c r="A60" s="172">
        <v>8</v>
      </c>
      <c r="B60" s="173" t="s">
        <v>86</v>
      </c>
      <c r="C60" s="174">
        <f t="shared" ca="1" si="26"/>
        <v>0</v>
      </c>
      <c r="D60" s="175">
        <f t="shared" ca="1" si="57"/>
        <v>0</v>
      </c>
      <c r="E60" s="176">
        <f ca="1">IFERROR(__xludf.DUMMYFUNCTION("IMPORTRANGE(""https://docs.google.com/spreadsheets/d/1-uDff_7J0KD5mKrp0Vvzr7lt3OU09vwQwhkpOPPYv2Y/edit?usp=sharing"",""งบพรบ!BR60"")"),0)</f>
        <v>0</v>
      </c>
      <c r="F60" s="176">
        <f ca="1">IFERROR(__xludf.DUMMYFUNCTION("IMPORTRANGE(""https://docs.google.com/spreadsheets/d/1-uDff_7J0KD5mKrp0Vvzr7lt3OU09vwQwhkpOPPYv2Y/edit?usp=sharing"",""งบพรบ!BS60"")"),0)</f>
        <v>0</v>
      </c>
      <c r="G60" s="176">
        <f ca="1">IFERROR(__xludf.DUMMYFUNCTION("IMPORTRANGE(""https://docs.google.com/spreadsheets/d/1-uDff_7J0KD5mKrp0Vvzr7lt3OU09vwQwhkpOPPYv2Y/edit?usp=sharing"",""งบพรบ!BT60"")"),0)</f>
        <v>0</v>
      </c>
      <c r="H60" s="176">
        <f ca="1">IFERROR(__xludf.DUMMYFUNCTION("IMPORTRANGE(""https://docs.google.com/spreadsheets/d/1-uDff_7J0KD5mKrp0Vvzr7lt3OU09vwQwhkpOPPYv2Y/edit?usp=sharing"",""งบพรบ!BV60"")"),0)</f>
        <v>0</v>
      </c>
      <c r="I60" s="176">
        <f ca="1">IFERROR(__xludf.DUMMYFUNCTION("IMPORTRANGE(""https://docs.google.com/spreadsheets/d/1-uDff_7J0KD5mKrp0Vvzr7lt3OU09vwQwhkpOPPYv2Y/edit?usp=sharing"",""งบพรบ!BW60"")"),0)</f>
        <v>0</v>
      </c>
      <c r="J60" s="176">
        <f t="shared" ca="1" si="28"/>
        <v>0</v>
      </c>
      <c r="K60" s="179">
        <f t="shared" ca="1" si="29"/>
        <v>0</v>
      </c>
      <c r="L60" s="176">
        <f ca="1">IFERROR(__xludf.DUMMYFUNCTION("IMPORTRANGE(""https://docs.google.com/spreadsheets/d/1-uDff_7J0KD5mKrp0Vvzr7lt3OU09vwQwhkpOPPYv2Y/edit?usp=sharing"",""งบพรบ!BX60"")"),0)</f>
        <v>0</v>
      </c>
      <c r="M60" s="87">
        <f t="shared" ca="1" si="30"/>
        <v>0</v>
      </c>
      <c r="N60" s="87">
        <f t="shared" ca="1" si="31"/>
        <v>0</v>
      </c>
      <c r="O60" s="86">
        <f ca="1">IFERROR(__xludf.DUMMYFUNCTION("IMPORTRANGE(""https://docs.google.com/spreadsheets/d/1-uDff_7J0KD5mKrp0Vvzr7lt3OU09vwQwhkpOPPYv2Y/edit?usp=sharing"",""งบพรบ!BY60"")"),0)</f>
        <v>0</v>
      </c>
      <c r="P60" s="86">
        <f t="shared" ca="1" si="32"/>
        <v>0</v>
      </c>
      <c r="Q60" s="87">
        <f t="shared" ca="1" si="33"/>
        <v>0</v>
      </c>
      <c r="R60" s="86">
        <f ca="1">IFERROR(__xludf.DUMMYFUNCTION("IMPORTRANGE(""https://docs.google.com/spreadsheets/d/1YTZo6WM2dQ6Ix6FSdnL5P7uVnVKu40sxZu975tgG10E/edit?usp=sharing"",""นครปฐม!Q139"")"),0)</f>
        <v>0</v>
      </c>
      <c r="S60" s="86">
        <f ca="1">IFERROR(__xludf.DUMMYFUNCTION("IMPORTRANGE(""https://docs.google.com/spreadsheets/d/1YTZo6WM2dQ6Ix6FSdnL5P7uVnVKu40sxZu975tgG10E/edit?usp=sharing"",""นครปฐม!R139"")"),0)</f>
        <v>0</v>
      </c>
      <c r="T60" s="86">
        <f ca="1">IFERROR(__xludf.DUMMYFUNCTION("IMPORTRANGE(""https://docs.google.com/spreadsheets/d/1YTZo6WM2dQ6Ix6FSdnL5P7uVnVKu40sxZu975tgG10E/edit?usp=sharing"",""นครปฐม!S139"")"),0)</f>
        <v>0</v>
      </c>
      <c r="U60" s="87">
        <f t="shared" ca="1" si="35"/>
        <v>0</v>
      </c>
      <c r="V60" s="87">
        <f t="shared" ca="1" si="36"/>
        <v>0</v>
      </c>
      <c r="W60" s="97">
        <f ca="1">IFERROR(__xludf.DUMMYFUNCTION("IMPORTRANGE(""https://docs.google.com/spreadsheets/d/1YTZo6WM2dQ6Ix6FSdnL5P7uVnVKu40sxZu975tgG10E/edit?usp=sharing"",""นครปฐม!J149"")"),0)</f>
        <v>0</v>
      </c>
      <c r="X60" s="97">
        <f ca="1">IFERROR(__xludf.DUMMYFUNCTION("IMPORTRANGE(""https://docs.google.com/spreadsheets/d/1YTZo6WM2dQ6Ix6FSdnL5P7uVnVKu40sxZu975tgG10E/edit?usp=sharing"",""นครปฐม!I150"")"),0)</f>
        <v>0</v>
      </c>
      <c r="Y60" s="97">
        <f ca="1">IFERROR(__xludf.DUMMYFUNCTION("IMPORTRANGE(""https://docs.google.com/spreadsheets/d/1YTZo6WM2dQ6Ix6FSdnL5P7uVnVKu40sxZu975tgG10E/edit?usp=sharing"",""นครปฐม!I151"")"),0)</f>
        <v>0</v>
      </c>
      <c r="Z60" s="97">
        <f ca="1">IFERROR(__xludf.DUMMYFUNCTION("IMPORTRANGE(""https://docs.google.com/spreadsheets/d/1YTZo6WM2dQ6Ix6FSdnL5P7uVnVKu40sxZu975tgG10E/edit?usp=sharing"",""นครปฐม!J150"")"),0)</f>
        <v>0</v>
      </c>
      <c r="AA60" s="98">
        <f t="shared" ca="1" si="38"/>
        <v>0</v>
      </c>
      <c r="AB60" s="97">
        <f ca="1">IFERROR(__xludf.DUMMYFUNCTION("IMPORTRANGE(""https://docs.google.com/spreadsheets/d/1YTZo6WM2dQ6Ix6FSdnL5P7uVnVKu40sxZu975tgG10E/edit?usp=sharing"",""นครปฐม!J151"")"),0)</f>
        <v>0</v>
      </c>
      <c r="AC60" s="98">
        <f t="shared" ca="1" si="39"/>
        <v>0</v>
      </c>
      <c r="AD60" s="97">
        <f ca="1">IFERROR(__xludf.DUMMYFUNCTION("IMPORTRANGE(""https://docs.google.com/spreadsheets/d/1YTZo6WM2dQ6Ix6FSdnL5P7uVnVKu40sxZu975tgG10E/edit?usp=sharing"",""นครปฐม!I152"")"),0)</f>
        <v>0</v>
      </c>
      <c r="AE60" s="97">
        <f ca="1">IFERROR(__xludf.DUMMYFUNCTION("IMPORTRANGE(""https://docs.google.com/spreadsheets/d/1YTZo6WM2dQ6Ix6FSdnL5P7uVnVKu40sxZu975tgG10E/edit?usp=sharing"",""นครปฐม!I153"")"),0)</f>
        <v>0</v>
      </c>
      <c r="AF60" s="97">
        <f ca="1">IFERROR(__xludf.DUMMYFUNCTION("IMPORTRANGE(""https://docs.google.com/spreadsheets/d/1YTZo6WM2dQ6Ix6FSdnL5P7uVnVKu40sxZu975tgG10E/edit?usp=sharing"",""นครปฐม!J152"")"),0)</f>
        <v>0</v>
      </c>
      <c r="AG60" s="98">
        <f t="shared" ca="1" si="41"/>
        <v>0</v>
      </c>
      <c r="AH60" s="97">
        <f ca="1">IFERROR(__xludf.DUMMYFUNCTION("IMPORTRANGE(""https://docs.google.com/spreadsheets/d/1YTZo6WM2dQ6Ix6FSdnL5P7uVnVKu40sxZu975tgG10E/edit?usp=sharing"",""นครปฐม!J153"")"),0)</f>
        <v>0</v>
      </c>
      <c r="AI60" s="98">
        <f t="shared" ca="1" si="42"/>
        <v>0</v>
      </c>
      <c r="AJ60" s="97">
        <f ca="1">IFERROR(__xludf.DUMMYFUNCTION("IMPORTRANGE(""https://docs.google.com/spreadsheets/d/1YTZo6WM2dQ6Ix6FSdnL5P7uVnVKu40sxZu975tgG10E/edit?usp=sharing"",""นครปฐม!I154"")"),0)</f>
        <v>0</v>
      </c>
      <c r="AK60" s="97">
        <f ca="1">IFERROR(__xludf.DUMMYFUNCTION("IMPORTRANGE(""https://docs.google.com/spreadsheets/d/1YTZo6WM2dQ6Ix6FSdnL5P7uVnVKu40sxZu975tgG10E/edit?usp=sharing"",""นครปฐม!J154"")"),0)</f>
        <v>0</v>
      </c>
      <c r="AL60" s="98">
        <f t="shared" ca="1" si="44"/>
        <v>0</v>
      </c>
    </row>
    <row r="61" spans="1:38" ht="21" customHeight="1" x14ac:dyDescent="0.3">
      <c r="A61" s="172">
        <v>9</v>
      </c>
      <c r="B61" s="173" t="s">
        <v>87</v>
      </c>
      <c r="C61" s="174">
        <f t="shared" ca="1" si="26"/>
        <v>0</v>
      </c>
      <c r="D61" s="175">
        <f t="shared" ca="1" si="57"/>
        <v>0</v>
      </c>
      <c r="E61" s="176">
        <f ca="1">IFERROR(__xludf.DUMMYFUNCTION("IMPORTRANGE(""https://docs.google.com/spreadsheets/d/1-uDff_7J0KD5mKrp0Vvzr7lt3OU09vwQwhkpOPPYv2Y/edit?usp=sharing"",""งบพรบ!BR61"")"),0)</f>
        <v>0</v>
      </c>
      <c r="F61" s="176">
        <f ca="1">IFERROR(__xludf.DUMMYFUNCTION("IMPORTRANGE(""https://docs.google.com/spreadsheets/d/1-uDff_7J0KD5mKrp0Vvzr7lt3OU09vwQwhkpOPPYv2Y/edit?usp=sharing"",""งบพรบ!BS61"")"),0)</f>
        <v>0</v>
      </c>
      <c r="G61" s="176">
        <f ca="1">IFERROR(__xludf.DUMMYFUNCTION("IMPORTRANGE(""https://docs.google.com/spreadsheets/d/1-uDff_7J0KD5mKrp0Vvzr7lt3OU09vwQwhkpOPPYv2Y/edit?usp=sharing"",""งบพรบ!BT61"")"),0)</f>
        <v>0</v>
      </c>
      <c r="H61" s="176">
        <f ca="1">IFERROR(__xludf.DUMMYFUNCTION("IMPORTRANGE(""https://docs.google.com/spreadsheets/d/1-uDff_7J0KD5mKrp0Vvzr7lt3OU09vwQwhkpOPPYv2Y/edit?usp=sharing"",""งบพรบ!BV61"")"),0)</f>
        <v>0</v>
      </c>
      <c r="I61" s="176">
        <f ca="1">IFERROR(__xludf.DUMMYFUNCTION("IMPORTRANGE(""https://docs.google.com/spreadsheets/d/1-uDff_7J0KD5mKrp0Vvzr7lt3OU09vwQwhkpOPPYv2Y/edit?usp=sharing"",""งบพรบ!BW61"")"),0)</f>
        <v>0</v>
      </c>
      <c r="J61" s="176">
        <f t="shared" ca="1" si="28"/>
        <v>0</v>
      </c>
      <c r="K61" s="179">
        <f t="shared" ca="1" si="29"/>
        <v>0</v>
      </c>
      <c r="L61" s="176">
        <f ca="1">IFERROR(__xludf.DUMMYFUNCTION("IMPORTRANGE(""https://docs.google.com/spreadsheets/d/1-uDff_7J0KD5mKrp0Vvzr7lt3OU09vwQwhkpOPPYv2Y/edit?usp=sharing"",""งบพรบ!BX61"")"),0)</f>
        <v>0</v>
      </c>
      <c r="M61" s="87">
        <f t="shared" ca="1" si="30"/>
        <v>0</v>
      </c>
      <c r="N61" s="87">
        <f t="shared" ca="1" si="31"/>
        <v>0</v>
      </c>
      <c r="O61" s="86">
        <f ca="1">IFERROR(__xludf.DUMMYFUNCTION("IMPORTRANGE(""https://docs.google.com/spreadsheets/d/1-uDff_7J0KD5mKrp0Vvzr7lt3OU09vwQwhkpOPPYv2Y/edit?usp=sharing"",""งบพรบ!BY61"")"),0)</f>
        <v>0</v>
      </c>
      <c r="P61" s="86">
        <f t="shared" ca="1" si="32"/>
        <v>0</v>
      </c>
      <c r="Q61" s="87">
        <f t="shared" ca="1" si="33"/>
        <v>0</v>
      </c>
      <c r="R61" s="86">
        <f ca="1">IFERROR(__xludf.DUMMYFUNCTION("IMPORTRANGE(""https://docs.google.com/spreadsheets/d/1OYoGg4WDg5RIzwGeB10padOxJF9E_Vljuvvct_M7RDo/edit?usp=sharing"",""ปทุมธานี!Q139"")"),0)</f>
        <v>0</v>
      </c>
      <c r="S61" s="86">
        <f ca="1">IFERROR(__xludf.DUMMYFUNCTION("IMPORTRANGE(""https://docs.google.com/spreadsheets/d/1OYoGg4WDg5RIzwGeB10padOxJF9E_Vljuvvct_M7RDo/edit?usp=sharing"",""ปทุมธานี!R139"")"),0)</f>
        <v>0</v>
      </c>
      <c r="T61" s="86">
        <f ca="1">IFERROR(__xludf.DUMMYFUNCTION("IMPORTRANGE(""https://docs.google.com/spreadsheets/d/1OYoGg4WDg5RIzwGeB10padOxJF9E_Vljuvvct_M7RDo/edit?usp=sharing"",""ปทุมธานี!S139"")"),0)</f>
        <v>0</v>
      </c>
      <c r="U61" s="87">
        <f t="shared" ca="1" si="35"/>
        <v>0</v>
      </c>
      <c r="V61" s="87">
        <f t="shared" ca="1" si="36"/>
        <v>0</v>
      </c>
      <c r="W61" s="97">
        <f ca="1">IFERROR(__xludf.DUMMYFUNCTION("IMPORTRANGE(""https://docs.google.com/spreadsheets/d/1OYoGg4WDg5RIzwGeB10padOxJF9E_Vljuvvct_M7RDo/edit?usp=sharing"",""ปทุมธานี!J149"")"),0)</f>
        <v>0</v>
      </c>
      <c r="X61" s="97">
        <f ca="1">IFERROR(__xludf.DUMMYFUNCTION("IMPORTRANGE(""https://docs.google.com/spreadsheets/d/1OYoGg4WDg5RIzwGeB10padOxJF9E_Vljuvvct_M7RDo/edit?usp=sharing"",""ปทุมธานี!I150"")"),0)</f>
        <v>0</v>
      </c>
      <c r="Y61" s="97">
        <f ca="1">IFERROR(__xludf.DUMMYFUNCTION("IMPORTRANGE(""https://docs.google.com/spreadsheets/d/1OYoGg4WDg5RIzwGeB10padOxJF9E_Vljuvvct_M7RDo/edit?usp=sharing"",""ปทุมธานี!I151"")"),0)</f>
        <v>0</v>
      </c>
      <c r="Z61" s="97">
        <f ca="1">IFERROR(__xludf.DUMMYFUNCTION("IMPORTRANGE(""https://docs.google.com/spreadsheets/d/1OYoGg4WDg5RIzwGeB10padOxJF9E_Vljuvvct_M7RDo/edit?usp=sharing"",""ปทุมธานี!J150"")"),0)</f>
        <v>0</v>
      </c>
      <c r="AA61" s="98">
        <f t="shared" ca="1" si="38"/>
        <v>0</v>
      </c>
      <c r="AB61" s="97">
        <f ca="1">IFERROR(__xludf.DUMMYFUNCTION("IMPORTRANGE(""https://docs.google.com/spreadsheets/d/1OYoGg4WDg5RIzwGeB10padOxJF9E_Vljuvvct_M7RDo/edit?usp=sharing"",""ปทุมธานี!J151"")"),0)</f>
        <v>0</v>
      </c>
      <c r="AC61" s="98">
        <f t="shared" ca="1" si="39"/>
        <v>0</v>
      </c>
      <c r="AD61" s="97">
        <f ca="1">IFERROR(__xludf.DUMMYFUNCTION("IMPORTRANGE(""https://docs.google.com/spreadsheets/d/1OYoGg4WDg5RIzwGeB10padOxJF9E_Vljuvvct_M7RDo/edit?usp=sharing"",""ปทุมธานี!I152"")"),0)</f>
        <v>0</v>
      </c>
      <c r="AE61" s="97">
        <f ca="1">IFERROR(__xludf.DUMMYFUNCTION("IMPORTRANGE(""https://docs.google.com/spreadsheets/d/1OYoGg4WDg5RIzwGeB10padOxJF9E_Vljuvvct_M7RDo/edit?usp=sharing"",""ปทุมธานี!I153"")"),0)</f>
        <v>0</v>
      </c>
      <c r="AF61" s="97">
        <f ca="1">IFERROR(__xludf.DUMMYFUNCTION("IMPORTRANGE(""https://docs.google.com/spreadsheets/d/1OYoGg4WDg5RIzwGeB10padOxJF9E_Vljuvvct_M7RDo/edit?usp=sharing"",""ปทุมธานี!J152"")"),0)</f>
        <v>0</v>
      </c>
      <c r="AG61" s="98">
        <f t="shared" ca="1" si="41"/>
        <v>0</v>
      </c>
      <c r="AH61" s="97">
        <f ca="1">IFERROR(__xludf.DUMMYFUNCTION("IMPORTRANGE(""https://docs.google.com/spreadsheets/d/1OYoGg4WDg5RIzwGeB10padOxJF9E_Vljuvvct_M7RDo/edit?usp=sharing"",""ปทุมธานี!J153"")"),0)</f>
        <v>0</v>
      </c>
      <c r="AI61" s="98">
        <f t="shared" ca="1" si="42"/>
        <v>0</v>
      </c>
      <c r="AJ61" s="97">
        <f ca="1">IFERROR(__xludf.DUMMYFUNCTION("IMPORTRANGE(""https://docs.google.com/spreadsheets/d/1OYoGg4WDg5RIzwGeB10padOxJF9E_Vljuvvct_M7RDo/edit?usp=sharing"",""ปทุมธานี!I154"")"),0)</f>
        <v>0</v>
      </c>
      <c r="AK61" s="97">
        <f ca="1">IFERROR(__xludf.DUMMYFUNCTION("IMPORTRANGE(""https://docs.google.com/spreadsheets/d/1OYoGg4WDg5RIzwGeB10padOxJF9E_Vljuvvct_M7RDo/edit?usp=sharing"",""ปทุมธานี!J154"")"),0)</f>
        <v>0</v>
      </c>
      <c r="AL61" s="98">
        <f t="shared" ca="1" si="44"/>
        <v>0</v>
      </c>
    </row>
    <row r="62" spans="1:38" ht="21" customHeight="1" x14ac:dyDescent="0.3">
      <c r="A62" s="172">
        <v>10</v>
      </c>
      <c r="B62" s="173" t="s">
        <v>88</v>
      </c>
      <c r="C62" s="174">
        <f t="shared" ca="1" si="26"/>
        <v>0</v>
      </c>
      <c r="D62" s="175">
        <f t="shared" ca="1" si="57"/>
        <v>0</v>
      </c>
      <c r="E62" s="176">
        <f ca="1">IFERROR(__xludf.DUMMYFUNCTION("IMPORTRANGE(""https://docs.google.com/spreadsheets/d/1-uDff_7J0KD5mKrp0Vvzr7lt3OU09vwQwhkpOPPYv2Y/edit?usp=sharing"",""งบพรบ!BR62"")"),0)</f>
        <v>0</v>
      </c>
      <c r="F62" s="176">
        <f ca="1">IFERROR(__xludf.DUMMYFUNCTION("IMPORTRANGE(""https://docs.google.com/spreadsheets/d/1-uDff_7J0KD5mKrp0Vvzr7lt3OU09vwQwhkpOPPYv2Y/edit?usp=sharing"",""งบพรบ!BS62"")"),0)</f>
        <v>0</v>
      </c>
      <c r="G62" s="176">
        <f ca="1">IFERROR(__xludf.DUMMYFUNCTION("IMPORTRANGE(""https://docs.google.com/spreadsheets/d/1-uDff_7J0KD5mKrp0Vvzr7lt3OU09vwQwhkpOPPYv2Y/edit?usp=sharing"",""งบพรบ!BT62"")"),0)</f>
        <v>0</v>
      </c>
      <c r="H62" s="176">
        <f ca="1">IFERROR(__xludf.DUMMYFUNCTION("IMPORTRANGE(""https://docs.google.com/spreadsheets/d/1-uDff_7J0KD5mKrp0Vvzr7lt3OU09vwQwhkpOPPYv2Y/edit?usp=sharing"",""งบพรบ!BV62"")"),0)</f>
        <v>0</v>
      </c>
      <c r="I62" s="176">
        <f ca="1">IFERROR(__xludf.DUMMYFUNCTION("IMPORTRANGE(""https://docs.google.com/spreadsheets/d/1-uDff_7J0KD5mKrp0Vvzr7lt3OU09vwQwhkpOPPYv2Y/edit?usp=sharing"",""งบพรบ!BW62"")"),0)</f>
        <v>0</v>
      </c>
      <c r="J62" s="176">
        <f t="shared" ca="1" si="28"/>
        <v>0</v>
      </c>
      <c r="K62" s="179">
        <f t="shared" ca="1" si="29"/>
        <v>0</v>
      </c>
      <c r="L62" s="176">
        <f ca="1">IFERROR(__xludf.DUMMYFUNCTION("IMPORTRANGE(""https://docs.google.com/spreadsheets/d/1-uDff_7J0KD5mKrp0Vvzr7lt3OU09vwQwhkpOPPYv2Y/edit?usp=sharing"",""งบพรบ!BX62"")"),0)</f>
        <v>0</v>
      </c>
      <c r="M62" s="87">
        <f t="shared" ca="1" si="30"/>
        <v>0</v>
      </c>
      <c r="N62" s="87">
        <f t="shared" ca="1" si="31"/>
        <v>0</v>
      </c>
      <c r="O62" s="86">
        <f ca="1">IFERROR(__xludf.DUMMYFUNCTION("IMPORTRANGE(""https://docs.google.com/spreadsheets/d/1-uDff_7J0KD5mKrp0Vvzr7lt3OU09vwQwhkpOPPYv2Y/edit?usp=sharing"",""งบพรบ!BY62"")"),0)</f>
        <v>0</v>
      </c>
      <c r="P62" s="86">
        <f t="shared" ca="1" si="32"/>
        <v>0</v>
      </c>
      <c r="Q62" s="87">
        <f t="shared" ca="1" si="33"/>
        <v>0</v>
      </c>
      <c r="R62" s="86">
        <f ca="1">IFERROR(__xludf.DUMMYFUNCTION("IMPORTRANGE(""https://docs.google.com/spreadsheets/d/1GbCIE4D4wk9FUozzqk7SxfDMxDVBwVmI5zcaVUSzKAc/edit?usp=sharing"",""ประจวบคีรีขันธ์!Q139"")"),0)</f>
        <v>0</v>
      </c>
      <c r="S62" s="86">
        <f ca="1">IFERROR(__xludf.DUMMYFUNCTION("IMPORTRANGE(""https://docs.google.com/spreadsheets/d/1GbCIE4D4wk9FUozzqk7SxfDMxDVBwVmI5zcaVUSzKAc/edit?usp=sharing"",""ประจวบคีรีขันธ์!R139"")"),0)</f>
        <v>0</v>
      </c>
      <c r="T62" s="86">
        <f ca="1">IFERROR(__xludf.DUMMYFUNCTION("IMPORTRANGE(""https://docs.google.com/spreadsheets/d/1GbCIE4D4wk9FUozzqk7SxfDMxDVBwVmI5zcaVUSzKAc/edit?usp=sharing"",""ประจวบคีรีขันธ์!S139"")"),0)</f>
        <v>0</v>
      </c>
      <c r="U62" s="87">
        <f t="shared" ca="1" si="35"/>
        <v>0</v>
      </c>
      <c r="V62" s="87">
        <f t="shared" ca="1" si="36"/>
        <v>0</v>
      </c>
      <c r="W62" s="97">
        <f ca="1">IFERROR(__xludf.DUMMYFUNCTION("IMPORTRANGE(""https://docs.google.com/spreadsheets/d/1GbCIE4D4wk9FUozzqk7SxfDMxDVBwVmI5zcaVUSzKAc/edit?usp=sharing"",""ประจวบคีรีขันธ์!J149"")"),0)</f>
        <v>0</v>
      </c>
      <c r="X62" s="97">
        <f ca="1">IFERROR(__xludf.DUMMYFUNCTION("IMPORTRANGE(""https://docs.google.com/spreadsheets/d/1GbCIE4D4wk9FUozzqk7SxfDMxDVBwVmI5zcaVUSzKAc/edit?usp=sharing"",""ประจวบคีรีขันธ์!I150"")"),0)</f>
        <v>0</v>
      </c>
      <c r="Y62" s="97">
        <f ca="1">IFERROR(__xludf.DUMMYFUNCTION("IMPORTRANGE(""https://docs.google.com/spreadsheets/d/1GbCIE4D4wk9FUozzqk7SxfDMxDVBwVmI5zcaVUSzKAc/edit?usp=sharing"",""ประจวบคีรีขันธ์!I151"")"),0)</f>
        <v>0</v>
      </c>
      <c r="Z62" s="97">
        <f ca="1">IFERROR(__xludf.DUMMYFUNCTION("IMPORTRANGE(""https://docs.google.com/spreadsheets/d/1GbCIE4D4wk9FUozzqk7SxfDMxDVBwVmI5zcaVUSzKAc/edit?usp=sharing"",""ประจวบคีรีขันธ์!J150"")"),0)</f>
        <v>0</v>
      </c>
      <c r="AA62" s="98">
        <f t="shared" ca="1" si="38"/>
        <v>0</v>
      </c>
      <c r="AB62" s="97">
        <f ca="1">IFERROR(__xludf.DUMMYFUNCTION("IMPORTRANGE(""https://docs.google.com/spreadsheets/d/1GbCIE4D4wk9FUozzqk7SxfDMxDVBwVmI5zcaVUSzKAc/edit?usp=sharing"",""ประจวบคีรีขันธ์!J151"")"),0)</f>
        <v>0</v>
      </c>
      <c r="AC62" s="98">
        <f t="shared" ca="1" si="39"/>
        <v>0</v>
      </c>
      <c r="AD62" s="97">
        <f ca="1">IFERROR(__xludf.DUMMYFUNCTION("IMPORTRANGE(""https://docs.google.com/spreadsheets/d/1GbCIE4D4wk9FUozzqk7SxfDMxDVBwVmI5zcaVUSzKAc/edit?usp=sharing"",""ประจวบคีรีขันธ์!I152"")"),0)</f>
        <v>0</v>
      </c>
      <c r="AE62" s="97">
        <f ca="1">IFERROR(__xludf.DUMMYFUNCTION("IMPORTRANGE(""https://docs.google.com/spreadsheets/d/1GbCIE4D4wk9FUozzqk7SxfDMxDVBwVmI5zcaVUSzKAc/edit?usp=sharing"",""ประจวบคีรีขันธ์!I153"")"),0)</f>
        <v>0</v>
      </c>
      <c r="AF62" s="97">
        <f ca="1">IFERROR(__xludf.DUMMYFUNCTION("IMPORTRANGE(""https://docs.google.com/spreadsheets/d/1GbCIE4D4wk9FUozzqk7SxfDMxDVBwVmI5zcaVUSzKAc/edit?usp=sharing"",""ประจวบคีรีขันธ์!J152"")"),0)</f>
        <v>0</v>
      </c>
      <c r="AG62" s="98">
        <f t="shared" ca="1" si="41"/>
        <v>0</v>
      </c>
      <c r="AH62" s="97">
        <f ca="1">IFERROR(__xludf.DUMMYFUNCTION("IMPORTRANGE(""https://docs.google.com/spreadsheets/d/1GbCIE4D4wk9FUozzqk7SxfDMxDVBwVmI5zcaVUSzKAc/edit?usp=sharing"",""ประจวบคีรีขันธ์!J153"")"),0)</f>
        <v>0</v>
      </c>
      <c r="AI62" s="98">
        <f t="shared" ca="1" si="42"/>
        <v>0</v>
      </c>
      <c r="AJ62" s="97">
        <f ca="1">IFERROR(__xludf.DUMMYFUNCTION("IMPORTRANGE(""https://docs.google.com/spreadsheets/d/1GbCIE4D4wk9FUozzqk7SxfDMxDVBwVmI5zcaVUSzKAc/edit?usp=sharing"",""ประจวบคีรีขันธ์!I154"")"),0)</f>
        <v>0</v>
      </c>
      <c r="AK62" s="97">
        <f ca="1">IFERROR(__xludf.DUMMYFUNCTION("IMPORTRANGE(""https://docs.google.com/spreadsheets/d/1GbCIE4D4wk9FUozzqk7SxfDMxDVBwVmI5zcaVUSzKAc/edit?usp=sharing"",""ประจวบคีรีขันธ์!J154"")"),0)</f>
        <v>0</v>
      </c>
      <c r="AL62" s="98">
        <f t="shared" ca="1" si="44"/>
        <v>0</v>
      </c>
    </row>
    <row r="63" spans="1:38" ht="21" customHeight="1" x14ac:dyDescent="0.3">
      <c r="A63" s="172">
        <v>11</v>
      </c>
      <c r="B63" s="173" t="s">
        <v>89</v>
      </c>
      <c r="C63" s="174">
        <f t="shared" ca="1" si="26"/>
        <v>56500</v>
      </c>
      <c r="D63" s="175">
        <f t="shared" ca="1" si="57"/>
        <v>56500</v>
      </c>
      <c r="E63" s="176">
        <f ca="1">IFERROR(__xludf.DUMMYFUNCTION("IMPORTRANGE(""https://docs.google.com/spreadsheets/d/1-uDff_7J0KD5mKrp0Vvzr7lt3OU09vwQwhkpOPPYv2Y/edit?usp=sharing"",""งบพรบ!BR63"")"),0)</f>
        <v>0</v>
      </c>
      <c r="F63" s="176">
        <f ca="1">IFERROR(__xludf.DUMMYFUNCTION("IMPORTRANGE(""https://docs.google.com/spreadsheets/d/1-uDff_7J0KD5mKrp0Vvzr7lt3OU09vwQwhkpOPPYv2Y/edit?usp=sharing"",""งบพรบ!BS63"")"),56500)</f>
        <v>56500</v>
      </c>
      <c r="G63" s="176">
        <f ca="1">IFERROR(__xludf.DUMMYFUNCTION("IMPORTRANGE(""https://docs.google.com/spreadsheets/d/1-uDff_7J0KD5mKrp0Vvzr7lt3OU09vwQwhkpOPPYv2Y/edit?usp=sharing"",""งบพรบ!BT63"")"),0)</f>
        <v>0</v>
      </c>
      <c r="H63" s="176">
        <f ca="1">IFERROR(__xludf.DUMMYFUNCTION("IMPORTRANGE(""https://docs.google.com/spreadsheets/d/1-uDff_7J0KD5mKrp0Vvzr7lt3OU09vwQwhkpOPPYv2Y/edit?usp=sharing"",""งบพรบ!BV63"")"),51500)</f>
        <v>51500</v>
      </c>
      <c r="I63" s="176">
        <f ca="1">IFERROR(__xludf.DUMMYFUNCTION("IMPORTRANGE(""https://docs.google.com/spreadsheets/d/1-uDff_7J0KD5mKrp0Vvzr7lt3OU09vwQwhkpOPPYv2Y/edit?usp=sharing"",""งบพรบ!BW63"")"),0)</f>
        <v>0</v>
      </c>
      <c r="J63" s="176">
        <f t="shared" ca="1" si="28"/>
        <v>0</v>
      </c>
      <c r="K63" s="179">
        <f t="shared" ca="1" si="29"/>
        <v>0</v>
      </c>
      <c r="L63" s="176">
        <f ca="1">IFERROR(__xludf.DUMMYFUNCTION("IMPORTRANGE(""https://docs.google.com/spreadsheets/d/1-uDff_7J0KD5mKrp0Vvzr7lt3OU09vwQwhkpOPPYv2Y/edit?usp=sharing"",""งบพรบ!BX63"")"),0)</f>
        <v>0</v>
      </c>
      <c r="M63" s="87">
        <f t="shared" ca="1" si="30"/>
        <v>0</v>
      </c>
      <c r="N63" s="87">
        <f t="shared" ca="1" si="31"/>
        <v>0</v>
      </c>
      <c r="O63" s="86">
        <f ca="1">IFERROR(__xludf.DUMMYFUNCTION("IMPORTRANGE(""https://docs.google.com/spreadsheets/d/1-uDff_7J0KD5mKrp0Vvzr7lt3OU09vwQwhkpOPPYv2Y/edit?usp=sharing"",""งบพรบ!BY63"")"),0)</f>
        <v>0</v>
      </c>
      <c r="P63" s="86">
        <f t="shared" ca="1" si="32"/>
        <v>0</v>
      </c>
      <c r="Q63" s="87">
        <f t="shared" ca="1" si="33"/>
        <v>0</v>
      </c>
      <c r="R63" s="86">
        <f ca="1">IFERROR(__xludf.DUMMYFUNCTION("IMPORTRANGE(""https://docs.google.com/spreadsheets/d/1vVf6wykvW_lAyu7Yo9L4hUTqHqIeP_qcVuxCtosJEbg/edit?usp=sharing"",""ปราจีนบุรี!Q139"")"),0)</f>
        <v>0</v>
      </c>
      <c r="S63" s="86">
        <f ca="1">IFERROR(__xludf.DUMMYFUNCTION("IMPORTRANGE(""https://docs.google.com/spreadsheets/d/1vVf6wykvW_lAyu7Yo9L4hUTqHqIeP_qcVuxCtosJEbg/edit?usp=sharing"",""ปราจีนบุรี!R139"")"),0)</f>
        <v>0</v>
      </c>
      <c r="T63" s="86">
        <f ca="1">IFERROR(__xludf.DUMMYFUNCTION("IMPORTRANGE(""https://docs.google.com/spreadsheets/d/1vVf6wykvW_lAyu7Yo9L4hUTqHqIeP_qcVuxCtosJEbg/edit?usp=sharing"",""ปราจีนบุรี!S139"")"),0)</f>
        <v>0</v>
      </c>
      <c r="U63" s="87">
        <f t="shared" ca="1" si="35"/>
        <v>0</v>
      </c>
      <c r="V63" s="87">
        <f t="shared" ca="1" si="36"/>
        <v>0</v>
      </c>
      <c r="W63" s="97">
        <f ca="1">IFERROR(__xludf.DUMMYFUNCTION("IMPORTRANGE(""https://docs.google.com/spreadsheets/d/1vVf6wykvW_lAyu7Yo9L4hUTqHqIeP_qcVuxCtosJEbg/edit?usp=sharing"",""ปราจีนบุรี!J149"")"),0)</f>
        <v>0</v>
      </c>
      <c r="X63" s="97">
        <f ca="1">IFERROR(__xludf.DUMMYFUNCTION("IMPORTRANGE(""https://docs.google.com/spreadsheets/d/1vVf6wykvW_lAyu7Yo9L4hUTqHqIeP_qcVuxCtosJEbg/edit?usp=sharing"",""ปราจีนบุรี!I150"")"),0)</f>
        <v>0</v>
      </c>
      <c r="Y63" s="97">
        <f ca="1">IFERROR(__xludf.DUMMYFUNCTION("IMPORTRANGE(""https://docs.google.com/spreadsheets/d/1vVf6wykvW_lAyu7Yo9L4hUTqHqIeP_qcVuxCtosJEbg/edit?usp=sharing"",""ปราจีนบุรี!I151"")"),0)</f>
        <v>0</v>
      </c>
      <c r="Z63" s="97">
        <f ca="1">IFERROR(__xludf.DUMMYFUNCTION("IMPORTRANGE(""https://docs.google.com/spreadsheets/d/1vVf6wykvW_lAyu7Yo9L4hUTqHqIeP_qcVuxCtosJEbg/edit?usp=sharing"",""ปราจีนบุรี!J150"")"),0)</f>
        <v>0</v>
      </c>
      <c r="AA63" s="98">
        <f t="shared" ca="1" si="38"/>
        <v>0</v>
      </c>
      <c r="AB63" s="97">
        <f ca="1">IFERROR(__xludf.DUMMYFUNCTION("IMPORTRANGE(""https://docs.google.com/spreadsheets/d/1vVf6wykvW_lAyu7Yo9L4hUTqHqIeP_qcVuxCtosJEbg/edit?usp=sharing"",""ปราจีนบุรี!J151"")"),0)</f>
        <v>0</v>
      </c>
      <c r="AC63" s="98">
        <f t="shared" ca="1" si="39"/>
        <v>0</v>
      </c>
      <c r="AD63" s="97">
        <f ca="1">IFERROR(__xludf.DUMMYFUNCTION("IMPORTRANGE(""https://docs.google.com/spreadsheets/d/1vVf6wykvW_lAyu7Yo9L4hUTqHqIeP_qcVuxCtosJEbg/edit?usp=sharing"",""ปราจีนบุรี!I152"")"),50)</f>
        <v>50</v>
      </c>
      <c r="AE63" s="97">
        <f ca="1">IFERROR(__xludf.DUMMYFUNCTION("IMPORTRANGE(""https://docs.google.com/spreadsheets/d/1vVf6wykvW_lAyu7Yo9L4hUTqHqIeP_qcVuxCtosJEbg/edit?usp=sharing"",""ปราจีนบุรี!I153"")"),5)</f>
        <v>5</v>
      </c>
      <c r="AF63" s="97">
        <f ca="1">IFERROR(__xludf.DUMMYFUNCTION("IMPORTRANGE(""https://docs.google.com/spreadsheets/d/1vVf6wykvW_lAyu7Yo9L4hUTqHqIeP_qcVuxCtosJEbg/edit?usp=sharing"",""ปราจีนบุรี!J152"")"),0)</f>
        <v>0</v>
      </c>
      <c r="AG63" s="98">
        <f t="shared" ca="1" si="41"/>
        <v>0</v>
      </c>
      <c r="AH63" s="97">
        <f ca="1">IFERROR(__xludf.DUMMYFUNCTION("IMPORTRANGE(""https://docs.google.com/spreadsheets/d/1vVf6wykvW_lAyu7Yo9L4hUTqHqIeP_qcVuxCtosJEbg/edit?usp=sharing"",""ปราจีนบุรี!J153"")"),0)</f>
        <v>0</v>
      </c>
      <c r="AI63" s="98">
        <f t="shared" ca="1" si="42"/>
        <v>0</v>
      </c>
      <c r="AJ63" s="97">
        <f ca="1">IFERROR(__xludf.DUMMYFUNCTION("IMPORTRANGE(""https://docs.google.com/spreadsheets/d/1vVf6wykvW_lAyu7Yo9L4hUTqHqIeP_qcVuxCtosJEbg/edit?usp=sharing"",""ปราจีนบุรี!I154"")"),0)</f>
        <v>0</v>
      </c>
      <c r="AK63" s="97">
        <f ca="1">IFERROR(__xludf.DUMMYFUNCTION("IMPORTRANGE(""https://docs.google.com/spreadsheets/d/1vVf6wykvW_lAyu7Yo9L4hUTqHqIeP_qcVuxCtosJEbg/edit?usp=sharing"",""ปราจีนบุรี!J154"")"),0)</f>
        <v>0</v>
      </c>
      <c r="AL63" s="98">
        <f t="shared" ca="1" si="44"/>
        <v>0</v>
      </c>
    </row>
    <row r="64" spans="1:38" ht="21" customHeight="1" x14ac:dyDescent="0.3">
      <c r="A64" s="172">
        <v>12</v>
      </c>
      <c r="B64" s="173" t="s">
        <v>90</v>
      </c>
      <c r="C64" s="174">
        <f t="shared" ca="1" si="26"/>
        <v>0</v>
      </c>
      <c r="D64" s="175">
        <f t="shared" ca="1" si="57"/>
        <v>0</v>
      </c>
      <c r="E64" s="176">
        <f ca="1">IFERROR(__xludf.DUMMYFUNCTION("IMPORTRANGE(""https://docs.google.com/spreadsheets/d/1-uDff_7J0KD5mKrp0Vvzr7lt3OU09vwQwhkpOPPYv2Y/edit?usp=sharing"",""งบพรบ!BR64"")"),0)</f>
        <v>0</v>
      </c>
      <c r="F64" s="176">
        <f ca="1">IFERROR(__xludf.DUMMYFUNCTION("IMPORTRANGE(""https://docs.google.com/spreadsheets/d/1-uDff_7J0KD5mKrp0Vvzr7lt3OU09vwQwhkpOPPYv2Y/edit?usp=sharing"",""งบพรบ!BS64"")"),0)</f>
        <v>0</v>
      </c>
      <c r="G64" s="176">
        <f ca="1">IFERROR(__xludf.DUMMYFUNCTION("IMPORTRANGE(""https://docs.google.com/spreadsheets/d/1-uDff_7J0KD5mKrp0Vvzr7lt3OU09vwQwhkpOPPYv2Y/edit?usp=sharing"",""งบพรบ!BT64"")"),0)</f>
        <v>0</v>
      </c>
      <c r="H64" s="176">
        <f ca="1">IFERROR(__xludf.DUMMYFUNCTION("IMPORTRANGE(""https://docs.google.com/spreadsheets/d/1-uDff_7J0KD5mKrp0Vvzr7lt3OU09vwQwhkpOPPYv2Y/edit?usp=sharing"",""งบพรบ!BV64"")"),0)</f>
        <v>0</v>
      </c>
      <c r="I64" s="176">
        <f ca="1">IFERROR(__xludf.DUMMYFUNCTION("IMPORTRANGE(""https://docs.google.com/spreadsheets/d/1-uDff_7J0KD5mKrp0Vvzr7lt3OU09vwQwhkpOPPYv2Y/edit?usp=sharing"",""งบพรบ!BW64"")"),0)</f>
        <v>0</v>
      </c>
      <c r="J64" s="176">
        <f t="shared" ca="1" si="28"/>
        <v>0</v>
      </c>
      <c r="K64" s="179">
        <f t="shared" ca="1" si="29"/>
        <v>0</v>
      </c>
      <c r="L64" s="176">
        <f ca="1">IFERROR(__xludf.DUMMYFUNCTION("IMPORTRANGE(""https://docs.google.com/spreadsheets/d/1-uDff_7J0KD5mKrp0Vvzr7lt3OU09vwQwhkpOPPYv2Y/edit?usp=sharing"",""งบพรบ!BX64"")"),0)</f>
        <v>0</v>
      </c>
      <c r="M64" s="87">
        <f t="shared" ca="1" si="30"/>
        <v>0</v>
      </c>
      <c r="N64" s="87">
        <f t="shared" ca="1" si="31"/>
        <v>0</v>
      </c>
      <c r="O64" s="86">
        <f ca="1">IFERROR(__xludf.DUMMYFUNCTION("IMPORTRANGE(""https://docs.google.com/spreadsheets/d/1-uDff_7J0KD5mKrp0Vvzr7lt3OU09vwQwhkpOPPYv2Y/edit?usp=sharing"",""งบพรบ!BY64"")"),0)</f>
        <v>0</v>
      </c>
      <c r="P64" s="86">
        <f t="shared" ca="1" si="32"/>
        <v>0</v>
      </c>
      <c r="Q64" s="87">
        <f t="shared" ca="1" si="33"/>
        <v>0</v>
      </c>
      <c r="R64" s="86">
        <f ca="1">IFERROR(__xludf.DUMMYFUNCTION("IMPORTRANGE(""https://docs.google.com/spreadsheets/d/1BIDqLLg5jk3v59G8NlR8rk5xfQDKne0sAvZHSj7TI6I/edit?usp=sharing"",""พระนครศรีอยุธยา!Q139"")"),0)</f>
        <v>0</v>
      </c>
      <c r="S64" s="86">
        <f ca="1">IFERROR(__xludf.DUMMYFUNCTION("IMPORTRANGE(""https://docs.google.com/spreadsheets/d/1BIDqLLg5jk3v59G8NlR8rk5xfQDKne0sAvZHSj7TI6I/edit?usp=sharing"",""พระนครศรีอยุธยา!R139"")"),0)</f>
        <v>0</v>
      </c>
      <c r="T64" s="86">
        <f ca="1">IFERROR(__xludf.DUMMYFUNCTION("IMPORTRANGE(""https://docs.google.com/spreadsheets/d/1BIDqLLg5jk3v59G8NlR8rk5xfQDKne0sAvZHSj7TI6I/edit?usp=sharing"",""พระนครศรีอยุธยา!S139"")"),0)</f>
        <v>0</v>
      </c>
      <c r="U64" s="87">
        <f t="shared" ca="1" si="35"/>
        <v>0</v>
      </c>
      <c r="V64" s="87">
        <f t="shared" ca="1" si="36"/>
        <v>0</v>
      </c>
      <c r="W64" s="97">
        <f ca="1">IFERROR(__xludf.DUMMYFUNCTION("IMPORTRANGE(""https://docs.google.com/spreadsheets/d/1BIDqLLg5jk3v59G8NlR8rk5xfQDKne0sAvZHSj7TI6I/edit?usp=sharing"",""พระนครศรีอยุธยา!J149"")"),0)</f>
        <v>0</v>
      </c>
      <c r="X64" s="97">
        <f ca="1">IFERROR(__xludf.DUMMYFUNCTION("IMPORTRANGE(""https://docs.google.com/spreadsheets/d/1BIDqLLg5jk3v59G8NlR8rk5xfQDKne0sAvZHSj7TI6I/edit?usp=sharing"",""พระนครศรีอยุธยา!I150"")"),0)</f>
        <v>0</v>
      </c>
      <c r="Y64" s="97">
        <f ca="1">IFERROR(__xludf.DUMMYFUNCTION("IMPORTRANGE(""https://docs.google.com/spreadsheets/d/1BIDqLLg5jk3v59G8NlR8rk5xfQDKne0sAvZHSj7TI6I/edit?usp=sharing"",""พระนครศรีอยุธยา!I151"")"),0)</f>
        <v>0</v>
      </c>
      <c r="Z64" s="97">
        <f ca="1">IFERROR(__xludf.DUMMYFUNCTION("IMPORTRANGE(""https://docs.google.com/spreadsheets/d/1BIDqLLg5jk3v59G8NlR8rk5xfQDKne0sAvZHSj7TI6I/edit?usp=sharing"",""พระนครศรีอยุธยา!J150"")"),0)</f>
        <v>0</v>
      </c>
      <c r="AA64" s="98">
        <f t="shared" ca="1" si="38"/>
        <v>0</v>
      </c>
      <c r="AB64" s="97">
        <f ca="1">IFERROR(__xludf.DUMMYFUNCTION("IMPORTRANGE(""https://docs.google.com/spreadsheets/d/1BIDqLLg5jk3v59G8NlR8rk5xfQDKne0sAvZHSj7TI6I/edit?usp=sharing"",""พระนครศรีอยุธยา!J151"")"),0)</f>
        <v>0</v>
      </c>
      <c r="AC64" s="98">
        <f t="shared" ca="1" si="39"/>
        <v>0</v>
      </c>
      <c r="AD64" s="97">
        <f ca="1">IFERROR(__xludf.DUMMYFUNCTION("IMPORTRANGE(""https://docs.google.com/spreadsheets/d/1BIDqLLg5jk3v59G8NlR8rk5xfQDKne0sAvZHSj7TI6I/edit?usp=sharing"",""พระนครศรีอยุธยา!I152"")"),0)</f>
        <v>0</v>
      </c>
      <c r="AE64" s="97">
        <f ca="1">IFERROR(__xludf.DUMMYFUNCTION("IMPORTRANGE(""https://docs.google.com/spreadsheets/d/1BIDqLLg5jk3v59G8NlR8rk5xfQDKne0sAvZHSj7TI6I/edit?usp=sharing"",""พระนครศรีอยุธยา!I153"")"),0)</f>
        <v>0</v>
      </c>
      <c r="AF64" s="97">
        <f ca="1">IFERROR(__xludf.DUMMYFUNCTION("IMPORTRANGE(""https://docs.google.com/spreadsheets/d/1BIDqLLg5jk3v59G8NlR8rk5xfQDKne0sAvZHSj7TI6I/edit?usp=sharing"",""พระนครศรีอยุธยา!J152"")"),0)</f>
        <v>0</v>
      </c>
      <c r="AG64" s="98">
        <f t="shared" ca="1" si="41"/>
        <v>0</v>
      </c>
      <c r="AH64" s="97">
        <f ca="1">IFERROR(__xludf.DUMMYFUNCTION("IMPORTRANGE(""https://docs.google.com/spreadsheets/d/1BIDqLLg5jk3v59G8NlR8rk5xfQDKne0sAvZHSj7TI6I/edit?usp=sharing"",""พระนครศรีอยุธยา!J153"")"),0)</f>
        <v>0</v>
      </c>
      <c r="AI64" s="98">
        <f t="shared" ca="1" si="42"/>
        <v>0</v>
      </c>
      <c r="AJ64" s="97">
        <f ca="1">IFERROR(__xludf.DUMMYFUNCTION("IMPORTRANGE(""https://docs.google.com/spreadsheets/d/1BIDqLLg5jk3v59G8NlR8rk5xfQDKne0sAvZHSj7TI6I/edit?usp=sharing"",""พระนครศรีอยุธยา!I154"")"),0)</f>
        <v>0</v>
      </c>
      <c r="AK64" s="97">
        <f ca="1">IFERROR(__xludf.DUMMYFUNCTION("IMPORTRANGE(""https://docs.google.com/spreadsheets/d/1BIDqLLg5jk3v59G8NlR8rk5xfQDKne0sAvZHSj7TI6I/edit?usp=sharing"",""พระนครศรีอยุธยา!J154"")"),0)</f>
        <v>0</v>
      </c>
      <c r="AL64" s="98">
        <f t="shared" ca="1" si="44"/>
        <v>0</v>
      </c>
    </row>
    <row r="65" spans="1:38" ht="21" customHeight="1" x14ac:dyDescent="0.3">
      <c r="A65" s="172">
        <v>13</v>
      </c>
      <c r="B65" s="173" t="s">
        <v>91</v>
      </c>
      <c r="C65" s="174">
        <f t="shared" ca="1" si="26"/>
        <v>115300</v>
      </c>
      <c r="D65" s="175">
        <f t="shared" ca="1" si="57"/>
        <v>115300</v>
      </c>
      <c r="E65" s="176">
        <f ca="1">IFERROR(__xludf.DUMMYFUNCTION("IMPORTRANGE(""https://docs.google.com/spreadsheets/d/1-uDff_7J0KD5mKrp0Vvzr7lt3OU09vwQwhkpOPPYv2Y/edit?usp=sharing"",""งบพรบ!BR65"")"),73700)</f>
        <v>73700</v>
      </c>
      <c r="F65" s="176">
        <f ca="1">IFERROR(__xludf.DUMMYFUNCTION("IMPORTRANGE(""https://docs.google.com/spreadsheets/d/1-uDff_7J0KD5mKrp0Vvzr7lt3OU09vwQwhkpOPPYv2Y/edit?usp=sharing"",""งบพรบ!BS65"")"),41600)</f>
        <v>41600</v>
      </c>
      <c r="G65" s="176">
        <f ca="1">IFERROR(__xludf.DUMMYFUNCTION("IMPORTRANGE(""https://docs.google.com/spreadsheets/d/1-uDff_7J0KD5mKrp0Vvzr7lt3OU09vwQwhkpOPPYv2Y/edit?usp=sharing"",""งบพรบ!BT65"")"),0)</f>
        <v>0</v>
      </c>
      <c r="H65" s="176">
        <f ca="1">IFERROR(__xludf.DUMMYFUNCTION("IMPORTRANGE(""https://docs.google.com/spreadsheets/d/1-uDff_7J0KD5mKrp0Vvzr7lt3OU09vwQwhkpOPPYv2Y/edit?usp=sharing"",""งบพรบ!BV65"")"),110300)</f>
        <v>110300</v>
      </c>
      <c r="I65" s="176">
        <f ca="1">IFERROR(__xludf.DUMMYFUNCTION("IMPORTRANGE(""https://docs.google.com/spreadsheets/d/1-uDff_7J0KD5mKrp0Vvzr7lt3OU09vwQwhkpOPPYv2Y/edit?usp=sharing"",""งบพรบ!BW65"")"),0)</f>
        <v>0</v>
      </c>
      <c r="J65" s="176">
        <f t="shared" ca="1" si="28"/>
        <v>12200</v>
      </c>
      <c r="K65" s="179">
        <f t="shared" ca="1" si="29"/>
        <v>10.581092801387685</v>
      </c>
      <c r="L65" s="176">
        <f ca="1">IFERROR(__xludf.DUMMYFUNCTION("IMPORTRANGE(""https://docs.google.com/spreadsheets/d/1-uDff_7J0KD5mKrp0Vvzr7lt3OU09vwQwhkpOPPYv2Y/edit?usp=sharing"",""งบพรบ!BX65"")"),12200)</f>
        <v>12200</v>
      </c>
      <c r="M65" s="87">
        <f t="shared" ca="1" si="30"/>
        <v>10.581092801387685</v>
      </c>
      <c r="N65" s="87">
        <f t="shared" ca="1" si="31"/>
        <v>11.060743427017226</v>
      </c>
      <c r="O65" s="86">
        <f ca="1">IFERROR(__xludf.DUMMYFUNCTION("IMPORTRANGE(""https://docs.google.com/spreadsheets/d/1-uDff_7J0KD5mKrp0Vvzr7lt3OU09vwQwhkpOPPYv2Y/edit?usp=sharing"",""งบพรบ!BY65"")"),0)</f>
        <v>0</v>
      </c>
      <c r="P65" s="86">
        <f t="shared" ca="1" si="32"/>
        <v>0</v>
      </c>
      <c r="Q65" s="87">
        <f t="shared" ca="1" si="33"/>
        <v>0</v>
      </c>
      <c r="R65" s="86">
        <f ca="1">IFERROR(__xludf.DUMMYFUNCTION("IMPORTRANGE(""https://docs.google.com/spreadsheets/d/1YXvxf8Yu6_rV4hTBrwMqAcAnv6DfhUxh5emyM3CJp_w/edit?usp=sharing"",""เพชรบุรี!Q139"")"),0)</f>
        <v>0</v>
      </c>
      <c r="S65" s="86">
        <f ca="1">IFERROR(__xludf.DUMMYFUNCTION("IMPORTRANGE(""https://docs.google.com/spreadsheets/d/1YXvxf8Yu6_rV4hTBrwMqAcAnv6DfhUxh5emyM3CJp_w/edit?usp=sharing"",""เพชรบุรี!R139"")"),0)</f>
        <v>0</v>
      </c>
      <c r="T65" s="86">
        <f ca="1">IFERROR(__xludf.DUMMYFUNCTION("IMPORTRANGE(""https://docs.google.com/spreadsheets/d/1YXvxf8Yu6_rV4hTBrwMqAcAnv6DfhUxh5emyM3CJp_w/edit?usp=sharing"",""เพชรบุรี!S139"")"),0)</f>
        <v>0</v>
      </c>
      <c r="U65" s="87">
        <f t="shared" ca="1" si="35"/>
        <v>0</v>
      </c>
      <c r="V65" s="87">
        <f t="shared" ca="1" si="36"/>
        <v>0</v>
      </c>
      <c r="W65" s="97">
        <f ca="1">IFERROR(__xludf.DUMMYFUNCTION("IMPORTRANGE(""https://docs.google.com/spreadsheets/d/1YXvxf8Yu6_rV4hTBrwMqAcAnv6DfhUxh5emyM3CJp_w/edit?usp=sharing"",""เพชรบุรี!J149"")"),0)</f>
        <v>0</v>
      </c>
      <c r="X65" s="97">
        <f ca="1">IFERROR(__xludf.DUMMYFUNCTION("IMPORTRANGE(""https://docs.google.com/spreadsheets/d/1YXvxf8Yu6_rV4hTBrwMqAcAnv6DfhUxh5emyM3CJp_w/edit?usp=sharing"",""เพชรบุรี!I150"")"),10)</f>
        <v>10</v>
      </c>
      <c r="Y65" s="97">
        <f ca="1">IFERROR(__xludf.DUMMYFUNCTION("IMPORTRANGE(""https://docs.google.com/spreadsheets/d/1YXvxf8Yu6_rV4hTBrwMqAcAnv6DfhUxh5emyM3CJp_w/edit?usp=sharing"",""เพชรบุรี!I151"")"),1)</f>
        <v>1</v>
      </c>
      <c r="Z65" s="97">
        <f ca="1">IFERROR(__xludf.DUMMYFUNCTION("IMPORTRANGE(""https://docs.google.com/spreadsheets/d/1YXvxf8Yu6_rV4hTBrwMqAcAnv6DfhUxh5emyM3CJp_w/edit?usp=sharing"",""เพชรบุรี!J150"")"),0)</f>
        <v>0</v>
      </c>
      <c r="AA65" s="98">
        <f t="shared" ca="1" si="38"/>
        <v>0</v>
      </c>
      <c r="AB65" s="97">
        <f ca="1">IFERROR(__xludf.DUMMYFUNCTION("IMPORTRANGE(""https://docs.google.com/spreadsheets/d/1YXvxf8Yu6_rV4hTBrwMqAcAnv6DfhUxh5emyM3CJp_w/edit?usp=sharing"",""เพชรบุรี!J151"")"),0)</f>
        <v>0</v>
      </c>
      <c r="AC65" s="98">
        <f t="shared" ca="1" si="39"/>
        <v>0</v>
      </c>
      <c r="AD65" s="97">
        <f ca="1">IFERROR(__xludf.DUMMYFUNCTION("IMPORTRANGE(""https://docs.google.com/spreadsheets/d/1YXvxf8Yu6_rV4hTBrwMqAcAnv6DfhUxh5emyM3CJp_w/edit?usp=sharing"",""เพชรบุรี!I152"")"),10)</f>
        <v>10</v>
      </c>
      <c r="AE65" s="97">
        <f ca="1">IFERROR(__xludf.DUMMYFUNCTION("IMPORTRANGE(""https://docs.google.com/spreadsheets/d/1YXvxf8Yu6_rV4hTBrwMqAcAnv6DfhUxh5emyM3CJp_w/edit?usp=sharing"",""เพชรบุรี!I153"")"),1)</f>
        <v>1</v>
      </c>
      <c r="AF65" s="97">
        <f ca="1">IFERROR(__xludf.DUMMYFUNCTION("IMPORTRANGE(""https://docs.google.com/spreadsheets/d/1YXvxf8Yu6_rV4hTBrwMqAcAnv6DfhUxh5emyM3CJp_w/edit?usp=sharing"",""เพชรบุรี!J152"")"),0)</f>
        <v>0</v>
      </c>
      <c r="AG65" s="98">
        <f t="shared" ca="1" si="41"/>
        <v>0</v>
      </c>
      <c r="AH65" s="97">
        <f ca="1">IFERROR(__xludf.DUMMYFUNCTION("IMPORTRANGE(""https://docs.google.com/spreadsheets/d/1YXvxf8Yu6_rV4hTBrwMqAcAnv6DfhUxh5emyM3CJp_w/edit?usp=sharing"",""เพชรบุรี!J153"")"),0)</f>
        <v>0</v>
      </c>
      <c r="AI65" s="98">
        <f t="shared" ca="1" si="42"/>
        <v>0</v>
      </c>
      <c r="AJ65" s="97">
        <f ca="1">IFERROR(__xludf.DUMMYFUNCTION("IMPORTRANGE(""https://docs.google.com/spreadsheets/d/1YXvxf8Yu6_rV4hTBrwMqAcAnv6DfhUxh5emyM3CJp_w/edit?usp=sharing"",""เพชรบุรี!I154"")"),1)</f>
        <v>1</v>
      </c>
      <c r="AK65" s="97">
        <f ca="1">IFERROR(__xludf.DUMMYFUNCTION("IMPORTRANGE(""https://docs.google.com/spreadsheets/d/1YXvxf8Yu6_rV4hTBrwMqAcAnv6DfhUxh5emyM3CJp_w/edit?usp=sharing"",""เพชรบุรี!J154"")"),0)</f>
        <v>0</v>
      </c>
      <c r="AL65" s="98">
        <f t="shared" ca="1" si="44"/>
        <v>0</v>
      </c>
    </row>
    <row r="66" spans="1:38" ht="21" customHeight="1" x14ac:dyDescent="0.3">
      <c r="A66" s="172">
        <v>14</v>
      </c>
      <c r="B66" s="173" t="s">
        <v>92</v>
      </c>
      <c r="C66" s="174">
        <f t="shared" ca="1" si="26"/>
        <v>0</v>
      </c>
      <c r="D66" s="175">
        <f t="shared" ca="1" si="57"/>
        <v>0</v>
      </c>
      <c r="E66" s="176">
        <f ca="1">IFERROR(__xludf.DUMMYFUNCTION("IMPORTRANGE(""https://docs.google.com/spreadsheets/d/1-uDff_7J0KD5mKrp0Vvzr7lt3OU09vwQwhkpOPPYv2Y/edit?usp=sharing"",""งบพรบ!BR66"")"),0)</f>
        <v>0</v>
      </c>
      <c r="F66" s="176">
        <f ca="1">IFERROR(__xludf.DUMMYFUNCTION("IMPORTRANGE(""https://docs.google.com/spreadsheets/d/1-uDff_7J0KD5mKrp0Vvzr7lt3OU09vwQwhkpOPPYv2Y/edit?usp=sharing"",""งบพรบ!BS66"")"),0)</f>
        <v>0</v>
      </c>
      <c r="G66" s="176">
        <f ca="1">IFERROR(__xludf.DUMMYFUNCTION("IMPORTRANGE(""https://docs.google.com/spreadsheets/d/1-uDff_7J0KD5mKrp0Vvzr7lt3OU09vwQwhkpOPPYv2Y/edit?usp=sharing"",""งบพรบ!BT66"")"),0)</f>
        <v>0</v>
      </c>
      <c r="H66" s="176">
        <f ca="1">IFERROR(__xludf.DUMMYFUNCTION("IMPORTRANGE(""https://docs.google.com/spreadsheets/d/1-uDff_7J0KD5mKrp0Vvzr7lt3OU09vwQwhkpOPPYv2Y/edit?usp=sharing"",""งบพรบ!BV66"")"),0)</f>
        <v>0</v>
      </c>
      <c r="I66" s="176">
        <f ca="1">IFERROR(__xludf.DUMMYFUNCTION("IMPORTRANGE(""https://docs.google.com/spreadsheets/d/1-uDff_7J0KD5mKrp0Vvzr7lt3OU09vwQwhkpOPPYv2Y/edit?usp=sharing"",""งบพรบ!BW66"")"),0)</f>
        <v>0</v>
      </c>
      <c r="J66" s="176">
        <f t="shared" ca="1" si="28"/>
        <v>0</v>
      </c>
      <c r="K66" s="179">
        <f t="shared" ca="1" si="29"/>
        <v>0</v>
      </c>
      <c r="L66" s="176">
        <f ca="1">IFERROR(__xludf.DUMMYFUNCTION("IMPORTRANGE(""https://docs.google.com/spreadsheets/d/1-uDff_7J0KD5mKrp0Vvzr7lt3OU09vwQwhkpOPPYv2Y/edit?usp=sharing"",""งบพรบ!BX66"")"),0)</f>
        <v>0</v>
      </c>
      <c r="M66" s="87">
        <f t="shared" ca="1" si="30"/>
        <v>0</v>
      </c>
      <c r="N66" s="87">
        <f t="shared" ca="1" si="31"/>
        <v>0</v>
      </c>
      <c r="O66" s="86">
        <f ca="1">IFERROR(__xludf.DUMMYFUNCTION("IMPORTRANGE(""https://docs.google.com/spreadsheets/d/1-uDff_7J0KD5mKrp0Vvzr7lt3OU09vwQwhkpOPPYv2Y/edit?usp=sharing"",""งบพรบ!BY66"")"),0)</f>
        <v>0</v>
      </c>
      <c r="P66" s="86">
        <f t="shared" ca="1" si="32"/>
        <v>0</v>
      </c>
      <c r="Q66" s="87">
        <f t="shared" ca="1" si="33"/>
        <v>0</v>
      </c>
      <c r="R66" s="86">
        <f ca="1">IFERROR(__xludf.DUMMYFUNCTION("IMPORTRANGE(""https://docs.google.com/spreadsheets/d/19KBlQQs7uwvsao6t2n-KvW3Ax8J8uRRfZPq1zPbXgKc/edit?usp=sharing"",""ระยอง!Q139"")"),0)</f>
        <v>0</v>
      </c>
      <c r="S66" s="86">
        <f ca="1">IFERROR(__xludf.DUMMYFUNCTION("IMPORTRANGE(""https://docs.google.com/spreadsheets/d/19KBlQQs7uwvsao6t2n-KvW3Ax8J8uRRfZPq1zPbXgKc/edit?usp=sharing"",""ระยอง!R139"")"),0)</f>
        <v>0</v>
      </c>
      <c r="T66" s="86">
        <f ca="1">IFERROR(__xludf.DUMMYFUNCTION("IMPORTRANGE(""https://docs.google.com/spreadsheets/d/19KBlQQs7uwvsao6t2n-KvW3Ax8J8uRRfZPq1zPbXgKc/edit?usp=sharing"",""ระยอง!S139"")"),0)</f>
        <v>0</v>
      </c>
      <c r="U66" s="87">
        <f t="shared" ca="1" si="35"/>
        <v>0</v>
      </c>
      <c r="V66" s="87">
        <f t="shared" ca="1" si="36"/>
        <v>0</v>
      </c>
      <c r="W66" s="97">
        <f ca="1">IFERROR(__xludf.DUMMYFUNCTION("IMPORTRANGE(""https://docs.google.com/spreadsheets/d/19KBlQQs7uwvsao6t2n-KvW3Ax8J8uRRfZPq1zPbXgKc/edit?usp=sharing"",""ระยอง!J149"")"),0)</f>
        <v>0</v>
      </c>
      <c r="X66" s="97">
        <f ca="1">IFERROR(__xludf.DUMMYFUNCTION("IMPORTRANGE(""https://docs.google.com/spreadsheets/d/19KBlQQs7uwvsao6t2n-KvW3Ax8J8uRRfZPq1zPbXgKc/edit?usp=sharing"",""ระยอง!I150"")"),0)</f>
        <v>0</v>
      </c>
      <c r="Y66" s="97">
        <f ca="1">IFERROR(__xludf.DUMMYFUNCTION("IMPORTRANGE(""https://docs.google.com/spreadsheets/d/19KBlQQs7uwvsao6t2n-KvW3Ax8J8uRRfZPq1zPbXgKc/edit?usp=sharing"",""ระยอง!I151"")"),0)</f>
        <v>0</v>
      </c>
      <c r="Z66" s="97">
        <f ca="1">IFERROR(__xludf.DUMMYFUNCTION("IMPORTRANGE(""https://docs.google.com/spreadsheets/d/19KBlQQs7uwvsao6t2n-KvW3Ax8J8uRRfZPq1zPbXgKc/edit?usp=sharing"",""ระยอง!J150"")"),0)</f>
        <v>0</v>
      </c>
      <c r="AA66" s="98">
        <f t="shared" ca="1" si="38"/>
        <v>0</v>
      </c>
      <c r="AB66" s="97">
        <f ca="1">IFERROR(__xludf.DUMMYFUNCTION("IMPORTRANGE(""https://docs.google.com/spreadsheets/d/19KBlQQs7uwvsao6t2n-KvW3Ax8J8uRRfZPq1zPbXgKc/edit?usp=sharing"",""ระยอง!J151"")"),0)</f>
        <v>0</v>
      </c>
      <c r="AC66" s="98">
        <f t="shared" ca="1" si="39"/>
        <v>0</v>
      </c>
      <c r="AD66" s="97">
        <f ca="1">IFERROR(__xludf.DUMMYFUNCTION("IMPORTRANGE(""https://docs.google.com/spreadsheets/d/19KBlQQs7uwvsao6t2n-KvW3Ax8J8uRRfZPq1zPbXgKc/edit?usp=sharing"",""ระยอง!I152"")"),0)</f>
        <v>0</v>
      </c>
      <c r="AE66" s="97">
        <f ca="1">IFERROR(__xludf.DUMMYFUNCTION("IMPORTRANGE(""https://docs.google.com/spreadsheets/d/19KBlQQs7uwvsao6t2n-KvW3Ax8J8uRRfZPq1zPbXgKc/edit?usp=sharing"",""ระยอง!I153"")"),0)</f>
        <v>0</v>
      </c>
      <c r="AF66" s="97">
        <f ca="1">IFERROR(__xludf.DUMMYFUNCTION("IMPORTRANGE(""https://docs.google.com/spreadsheets/d/19KBlQQs7uwvsao6t2n-KvW3Ax8J8uRRfZPq1zPbXgKc/edit?usp=sharing"",""ระยอง!J152"")"),0)</f>
        <v>0</v>
      </c>
      <c r="AG66" s="98">
        <f t="shared" ca="1" si="41"/>
        <v>0</v>
      </c>
      <c r="AH66" s="97">
        <f ca="1">IFERROR(__xludf.DUMMYFUNCTION("IMPORTRANGE(""https://docs.google.com/spreadsheets/d/19KBlQQs7uwvsao6t2n-KvW3Ax8J8uRRfZPq1zPbXgKc/edit?usp=sharing"",""ระยอง!J153"")"),0)</f>
        <v>0</v>
      </c>
      <c r="AI66" s="98">
        <f t="shared" ca="1" si="42"/>
        <v>0</v>
      </c>
      <c r="AJ66" s="97">
        <f ca="1">IFERROR(__xludf.DUMMYFUNCTION("IMPORTRANGE(""https://docs.google.com/spreadsheets/d/19KBlQQs7uwvsao6t2n-KvW3Ax8J8uRRfZPq1zPbXgKc/edit?usp=sharing"",""ระยอง!I154"")"),0)</f>
        <v>0</v>
      </c>
      <c r="AK66" s="97">
        <f ca="1">IFERROR(__xludf.DUMMYFUNCTION("IMPORTRANGE(""https://docs.google.com/spreadsheets/d/19KBlQQs7uwvsao6t2n-KvW3Ax8J8uRRfZPq1zPbXgKc/edit?usp=sharing"",""ระยอง!J154"")"),0)</f>
        <v>0</v>
      </c>
      <c r="AL66" s="98">
        <f t="shared" ca="1" si="44"/>
        <v>0</v>
      </c>
    </row>
    <row r="67" spans="1:38" ht="21" customHeight="1" x14ac:dyDescent="0.3">
      <c r="A67" s="172">
        <v>15</v>
      </c>
      <c r="B67" s="173" t="s">
        <v>93</v>
      </c>
      <c r="C67" s="174">
        <f t="shared" ca="1" si="26"/>
        <v>135400</v>
      </c>
      <c r="D67" s="175">
        <f t="shared" ca="1" si="57"/>
        <v>135400</v>
      </c>
      <c r="E67" s="176">
        <f ca="1">IFERROR(__xludf.DUMMYFUNCTION("IMPORTRANGE(""https://docs.google.com/spreadsheets/d/1-uDff_7J0KD5mKrp0Vvzr7lt3OU09vwQwhkpOPPYv2Y/edit?usp=sharing"",""งบพรบ!BR67"")"),77200)</f>
        <v>77200</v>
      </c>
      <c r="F67" s="176">
        <f ca="1">IFERROR(__xludf.DUMMYFUNCTION("IMPORTRANGE(""https://docs.google.com/spreadsheets/d/1-uDff_7J0KD5mKrp0Vvzr7lt3OU09vwQwhkpOPPYv2Y/edit?usp=sharing"",""งบพรบ!BS67"")"),58200)</f>
        <v>58200</v>
      </c>
      <c r="G67" s="176">
        <f ca="1">IFERROR(__xludf.DUMMYFUNCTION("IMPORTRANGE(""https://docs.google.com/spreadsheets/d/1-uDff_7J0KD5mKrp0Vvzr7lt3OU09vwQwhkpOPPYv2Y/edit?usp=sharing"",""งบพรบ!BT67"")"),0)</f>
        <v>0</v>
      </c>
      <c r="H67" s="176">
        <f ca="1">IFERROR(__xludf.DUMMYFUNCTION("IMPORTRANGE(""https://docs.google.com/spreadsheets/d/1-uDff_7J0KD5mKrp0Vvzr7lt3OU09vwQwhkpOPPYv2Y/edit?usp=sharing"",""งบพรบ!BV67"")"),130400)</f>
        <v>130400</v>
      </c>
      <c r="I67" s="176">
        <f ca="1">IFERROR(__xludf.DUMMYFUNCTION("IMPORTRANGE(""https://docs.google.com/spreadsheets/d/1-uDff_7J0KD5mKrp0Vvzr7lt3OU09vwQwhkpOPPYv2Y/edit?usp=sharing"",""งบพรบ!BW67"")"),0)</f>
        <v>0</v>
      </c>
      <c r="J67" s="176">
        <f t="shared" ca="1" si="28"/>
        <v>47987</v>
      </c>
      <c r="K67" s="179">
        <f t="shared" ca="1" si="29"/>
        <v>35.440915805022158</v>
      </c>
      <c r="L67" s="176">
        <f ca="1">IFERROR(__xludf.DUMMYFUNCTION("IMPORTRANGE(""https://docs.google.com/spreadsheets/d/1-uDff_7J0KD5mKrp0Vvzr7lt3OU09vwQwhkpOPPYv2Y/edit?usp=sharing"",""งบพรบ!BX67"")"),47987)</f>
        <v>47987</v>
      </c>
      <c r="M67" s="87">
        <f t="shared" ca="1" si="30"/>
        <v>35.440915805022158</v>
      </c>
      <c r="N67" s="87">
        <f t="shared" ca="1" si="31"/>
        <v>36.799846625766868</v>
      </c>
      <c r="O67" s="86">
        <f ca="1">IFERROR(__xludf.DUMMYFUNCTION("IMPORTRANGE(""https://docs.google.com/spreadsheets/d/1-uDff_7J0KD5mKrp0Vvzr7lt3OU09vwQwhkpOPPYv2Y/edit?usp=sharing"",""งบพรบ!BY67"")"),0)</f>
        <v>0</v>
      </c>
      <c r="P67" s="86">
        <f t="shared" ca="1" si="32"/>
        <v>0</v>
      </c>
      <c r="Q67" s="87">
        <f t="shared" ca="1" si="33"/>
        <v>0</v>
      </c>
      <c r="R67" s="86">
        <f ca="1">IFERROR(__xludf.DUMMYFUNCTION("IMPORTRANGE(""https://docs.google.com/spreadsheets/d/1jQ6P4QcrGM89YfqcC_PxOHGCMq5ezhucwJd8ci-NHng/edit?usp=sharing"",""ราชบุรี!Q139"")"),0)</f>
        <v>0</v>
      </c>
      <c r="S67" s="86">
        <f ca="1">IFERROR(__xludf.DUMMYFUNCTION("IMPORTRANGE(""https://docs.google.com/spreadsheets/d/1jQ6P4QcrGM89YfqcC_PxOHGCMq5ezhucwJd8ci-NHng/edit?usp=sharing"",""ราชบุรี!R139"")"),0)</f>
        <v>0</v>
      </c>
      <c r="T67" s="86">
        <f ca="1">IFERROR(__xludf.DUMMYFUNCTION("IMPORTRANGE(""https://docs.google.com/spreadsheets/d/1jQ6P4QcrGM89YfqcC_PxOHGCMq5ezhucwJd8ci-NHng/edit?usp=sharing"",""ราชบุรี!S139"")"),0)</f>
        <v>0</v>
      </c>
      <c r="U67" s="87">
        <f t="shared" ca="1" si="35"/>
        <v>0</v>
      </c>
      <c r="V67" s="87">
        <f t="shared" ca="1" si="36"/>
        <v>0</v>
      </c>
      <c r="W67" s="97">
        <f ca="1">IFERROR(__xludf.DUMMYFUNCTION("IMPORTRANGE(""https://docs.google.com/spreadsheets/d/1jQ6P4QcrGM89YfqcC_PxOHGCMq5ezhucwJd8ci-NHng/edit?usp=sharing"",""ราชบุรี!J149"")"),0)</f>
        <v>0</v>
      </c>
      <c r="X67" s="97">
        <f ca="1">IFERROR(__xludf.DUMMYFUNCTION("IMPORTRANGE(""https://docs.google.com/spreadsheets/d/1jQ6P4QcrGM89YfqcC_PxOHGCMq5ezhucwJd8ci-NHng/edit?usp=sharing"",""ราชบุรี!I150"")"),10)</f>
        <v>10</v>
      </c>
      <c r="Y67" s="97">
        <f ca="1">IFERROR(__xludf.DUMMYFUNCTION("IMPORTRANGE(""https://docs.google.com/spreadsheets/d/1jQ6P4QcrGM89YfqcC_PxOHGCMq5ezhucwJd8ci-NHng/edit?usp=sharing"",""ราชบุรี!I151"")"),1)</f>
        <v>1</v>
      </c>
      <c r="Z67" s="97">
        <f ca="1">IFERROR(__xludf.DUMMYFUNCTION("IMPORTRANGE(""https://docs.google.com/spreadsheets/d/1jQ6P4QcrGM89YfqcC_PxOHGCMq5ezhucwJd8ci-NHng/edit?usp=sharing"",""ราชบุรี!J150"")"),0)</f>
        <v>0</v>
      </c>
      <c r="AA67" s="98">
        <f t="shared" ca="1" si="38"/>
        <v>0</v>
      </c>
      <c r="AB67" s="97">
        <f ca="1">IFERROR(__xludf.DUMMYFUNCTION("IMPORTRANGE(""https://docs.google.com/spreadsheets/d/1jQ6P4QcrGM89YfqcC_PxOHGCMq5ezhucwJd8ci-NHng/edit?usp=sharing"",""ราชบุรี!J151"")"),0)</f>
        <v>0</v>
      </c>
      <c r="AC67" s="98">
        <f t="shared" ca="1" si="39"/>
        <v>0</v>
      </c>
      <c r="AD67" s="97">
        <f ca="1">IFERROR(__xludf.DUMMYFUNCTION("IMPORTRANGE(""https://docs.google.com/spreadsheets/d/1jQ6P4QcrGM89YfqcC_PxOHGCMq5ezhucwJd8ci-NHng/edit?usp=sharing"",""ราชบุรี!I152"")"),30)</f>
        <v>30</v>
      </c>
      <c r="AE67" s="97">
        <f ca="1">IFERROR(__xludf.DUMMYFUNCTION("IMPORTRANGE(""https://docs.google.com/spreadsheets/d/1jQ6P4QcrGM89YfqcC_PxOHGCMq5ezhucwJd8ci-NHng/edit?usp=sharing"",""ราชบุรี!I153"")"),3)</f>
        <v>3</v>
      </c>
      <c r="AF67" s="97">
        <f ca="1">IFERROR(__xludf.DUMMYFUNCTION("IMPORTRANGE(""https://docs.google.com/spreadsheets/d/1jQ6P4QcrGM89YfqcC_PxOHGCMq5ezhucwJd8ci-NHng/edit?usp=sharing"",""ราชบุรี!J152"")"),0)</f>
        <v>0</v>
      </c>
      <c r="AG67" s="98">
        <f t="shared" ca="1" si="41"/>
        <v>0</v>
      </c>
      <c r="AH67" s="97">
        <f ca="1">IFERROR(__xludf.DUMMYFUNCTION("IMPORTRANGE(""https://docs.google.com/spreadsheets/d/1jQ6P4QcrGM89YfqcC_PxOHGCMq5ezhucwJd8ci-NHng/edit?usp=sharing"",""ราชบุรี!J153"")"),0)</f>
        <v>0</v>
      </c>
      <c r="AI67" s="98">
        <f t="shared" ca="1" si="42"/>
        <v>0</v>
      </c>
      <c r="AJ67" s="97">
        <f ca="1">IFERROR(__xludf.DUMMYFUNCTION("IMPORTRANGE(""https://docs.google.com/spreadsheets/d/1jQ6P4QcrGM89YfqcC_PxOHGCMq5ezhucwJd8ci-NHng/edit?usp=sharing"",""ราชบุรี!I154"")"),1)</f>
        <v>1</v>
      </c>
      <c r="AK67" s="97">
        <f ca="1">IFERROR(__xludf.DUMMYFUNCTION("IMPORTRANGE(""https://docs.google.com/spreadsheets/d/1jQ6P4QcrGM89YfqcC_PxOHGCMq5ezhucwJd8ci-NHng/edit?usp=sharing"",""ราชบุรี!J154"")"),0)</f>
        <v>0</v>
      </c>
      <c r="AL67" s="98">
        <f t="shared" ca="1" si="44"/>
        <v>0</v>
      </c>
    </row>
    <row r="68" spans="1:38" ht="24" customHeight="1" x14ac:dyDescent="0.3">
      <c r="A68" s="172">
        <v>16</v>
      </c>
      <c r="B68" s="173" t="s">
        <v>94</v>
      </c>
      <c r="C68" s="174">
        <f t="shared" ca="1" si="26"/>
        <v>0</v>
      </c>
      <c r="D68" s="175">
        <f t="shared" ca="1" si="57"/>
        <v>0</v>
      </c>
      <c r="E68" s="176">
        <f ca="1">IFERROR(__xludf.DUMMYFUNCTION("IMPORTRANGE(""https://docs.google.com/spreadsheets/d/1-uDff_7J0KD5mKrp0Vvzr7lt3OU09vwQwhkpOPPYv2Y/edit?usp=sharing"",""งบพรบ!BR68"")"),0)</f>
        <v>0</v>
      </c>
      <c r="F68" s="176">
        <f ca="1">IFERROR(__xludf.DUMMYFUNCTION("IMPORTRANGE(""https://docs.google.com/spreadsheets/d/1-uDff_7J0KD5mKrp0Vvzr7lt3OU09vwQwhkpOPPYv2Y/edit?usp=sharing"",""งบพรบ!BS68"")"),0)</f>
        <v>0</v>
      </c>
      <c r="G68" s="176">
        <f ca="1">IFERROR(__xludf.DUMMYFUNCTION("IMPORTRANGE(""https://docs.google.com/spreadsheets/d/1-uDff_7J0KD5mKrp0Vvzr7lt3OU09vwQwhkpOPPYv2Y/edit?usp=sharing"",""งบพรบ!BT68"")"),0)</f>
        <v>0</v>
      </c>
      <c r="H68" s="176">
        <f ca="1">IFERROR(__xludf.DUMMYFUNCTION("IMPORTRANGE(""https://docs.google.com/spreadsheets/d/1-uDff_7J0KD5mKrp0Vvzr7lt3OU09vwQwhkpOPPYv2Y/edit?usp=sharing"",""งบพรบ!BV68"")"),0)</f>
        <v>0</v>
      </c>
      <c r="I68" s="176">
        <f ca="1">IFERROR(__xludf.DUMMYFUNCTION("IMPORTRANGE(""https://docs.google.com/spreadsheets/d/1-uDff_7J0KD5mKrp0Vvzr7lt3OU09vwQwhkpOPPYv2Y/edit?usp=sharing"",""งบพรบ!BW68"")"),0)</f>
        <v>0</v>
      </c>
      <c r="J68" s="176">
        <f t="shared" ca="1" si="28"/>
        <v>0</v>
      </c>
      <c r="K68" s="179">
        <f t="shared" ca="1" si="29"/>
        <v>0</v>
      </c>
      <c r="L68" s="176">
        <f ca="1">IFERROR(__xludf.DUMMYFUNCTION("IMPORTRANGE(""https://docs.google.com/spreadsheets/d/1-uDff_7J0KD5mKrp0Vvzr7lt3OU09vwQwhkpOPPYv2Y/edit?usp=sharing"",""งบพรบ!BX68"")"),0)</f>
        <v>0</v>
      </c>
      <c r="M68" s="87">
        <f t="shared" ca="1" si="30"/>
        <v>0</v>
      </c>
      <c r="N68" s="87">
        <f t="shared" ca="1" si="31"/>
        <v>0</v>
      </c>
      <c r="O68" s="86">
        <f ca="1">IFERROR(__xludf.DUMMYFUNCTION("IMPORTRANGE(""https://docs.google.com/spreadsheets/d/1-uDff_7J0KD5mKrp0Vvzr7lt3OU09vwQwhkpOPPYv2Y/edit?usp=sharing"",""งบพรบ!BY68"")"),0)</f>
        <v>0</v>
      </c>
      <c r="P68" s="86">
        <f t="shared" ca="1" si="32"/>
        <v>0</v>
      </c>
      <c r="Q68" s="87">
        <f t="shared" ca="1" si="33"/>
        <v>0</v>
      </c>
      <c r="R68" s="86">
        <f ca="1">IFERROR(__xludf.DUMMYFUNCTION("IMPORTRANGE(""https://docs.google.com/spreadsheets/d/1lufeA2cfFqM-elVq2hznhDzC6Pr7wkJ9ZG_sYNGCMCU/edit?usp=sharing"",""ลพบุรี!Q139"")"),0)</f>
        <v>0</v>
      </c>
      <c r="S68" s="86">
        <f ca="1">IFERROR(__xludf.DUMMYFUNCTION("IMPORTRANGE(""https://docs.google.com/spreadsheets/d/1lufeA2cfFqM-elVq2hznhDzC6Pr7wkJ9ZG_sYNGCMCU/edit?usp=sharing"",""ลพบุรี!R139"")"),0)</f>
        <v>0</v>
      </c>
      <c r="T68" s="86">
        <f ca="1">IFERROR(__xludf.DUMMYFUNCTION("IMPORTRANGE(""https://docs.google.com/spreadsheets/d/1lufeA2cfFqM-elVq2hznhDzC6Pr7wkJ9ZG_sYNGCMCU/edit?usp=sharing"",""ลพบุรี!S139"")"),0)</f>
        <v>0</v>
      </c>
      <c r="U68" s="87">
        <f t="shared" ca="1" si="35"/>
        <v>0</v>
      </c>
      <c r="V68" s="87">
        <f t="shared" ca="1" si="36"/>
        <v>0</v>
      </c>
      <c r="W68" s="97">
        <f ca="1">IFERROR(__xludf.DUMMYFUNCTION("IMPORTRANGE(""https://docs.google.com/spreadsheets/d/1lufeA2cfFqM-elVq2hznhDzC6Pr7wkJ9ZG_sYNGCMCU/edit?usp=sharing"",""ลพบุรี!J149"")"),0)</f>
        <v>0</v>
      </c>
      <c r="X68" s="97">
        <f ca="1">IFERROR(__xludf.DUMMYFUNCTION("IMPORTRANGE(""https://docs.google.com/spreadsheets/d/1lufeA2cfFqM-elVq2hznhDzC6Pr7wkJ9ZG_sYNGCMCU/edit?usp=sharing"",""ลพบุรี!I150"")"),0)</f>
        <v>0</v>
      </c>
      <c r="Y68" s="97">
        <f ca="1">IFERROR(__xludf.DUMMYFUNCTION("IMPORTRANGE(""https://docs.google.com/spreadsheets/d/1lufeA2cfFqM-elVq2hznhDzC6Pr7wkJ9ZG_sYNGCMCU/edit?usp=sharing"",""ลพบุรี!I151"")"),0)</f>
        <v>0</v>
      </c>
      <c r="Z68" s="97">
        <f ca="1">IFERROR(__xludf.DUMMYFUNCTION("IMPORTRANGE(""https://docs.google.com/spreadsheets/d/1lufeA2cfFqM-elVq2hznhDzC6Pr7wkJ9ZG_sYNGCMCU/edit?usp=sharing"",""ลพบุรี!J150"")"),0)</f>
        <v>0</v>
      </c>
      <c r="AA68" s="98">
        <f t="shared" ca="1" si="38"/>
        <v>0</v>
      </c>
      <c r="AB68" s="97">
        <f ca="1">IFERROR(__xludf.DUMMYFUNCTION("IMPORTRANGE(""https://docs.google.com/spreadsheets/d/1lufeA2cfFqM-elVq2hznhDzC6Pr7wkJ9ZG_sYNGCMCU/edit?usp=sharing"",""ลพบุรี!J151"")"),0)</f>
        <v>0</v>
      </c>
      <c r="AC68" s="98">
        <f t="shared" ca="1" si="39"/>
        <v>0</v>
      </c>
      <c r="AD68" s="97">
        <f ca="1">IFERROR(__xludf.DUMMYFUNCTION("IMPORTRANGE(""https://docs.google.com/spreadsheets/d/1lufeA2cfFqM-elVq2hznhDzC6Pr7wkJ9ZG_sYNGCMCU/edit?usp=sharing"",""ลพบุรี!I152"")"),0)</f>
        <v>0</v>
      </c>
      <c r="AE68" s="97">
        <f ca="1">IFERROR(__xludf.DUMMYFUNCTION("IMPORTRANGE(""https://docs.google.com/spreadsheets/d/1lufeA2cfFqM-elVq2hznhDzC6Pr7wkJ9ZG_sYNGCMCU/edit?usp=sharing"",""ลพบุรี!I153"")"),0)</f>
        <v>0</v>
      </c>
      <c r="AF68" s="97">
        <f ca="1">IFERROR(__xludf.DUMMYFUNCTION("IMPORTRANGE(""https://docs.google.com/spreadsheets/d/1lufeA2cfFqM-elVq2hznhDzC6Pr7wkJ9ZG_sYNGCMCU/edit?usp=sharing"",""ลพบุรี!J152"")"),0)</f>
        <v>0</v>
      </c>
      <c r="AG68" s="98">
        <f t="shared" ca="1" si="41"/>
        <v>0</v>
      </c>
      <c r="AH68" s="97">
        <f ca="1">IFERROR(__xludf.DUMMYFUNCTION("IMPORTRANGE(""https://docs.google.com/spreadsheets/d/1lufeA2cfFqM-elVq2hznhDzC6Pr7wkJ9ZG_sYNGCMCU/edit?usp=sharing"",""ลพบุรี!J153"")"),0)</f>
        <v>0</v>
      </c>
      <c r="AI68" s="98">
        <f t="shared" ca="1" si="42"/>
        <v>0</v>
      </c>
      <c r="AJ68" s="97">
        <f ca="1">IFERROR(__xludf.DUMMYFUNCTION("IMPORTRANGE(""https://docs.google.com/spreadsheets/d/1lufeA2cfFqM-elVq2hznhDzC6Pr7wkJ9ZG_sYNGCMCU/edit?usp=sharing"",""ลพบุรี!I154"")"),0)</f>
        <v>0</v>
      </c>
      <c r="AK68" s="97">
        <f ca="1">IFERROR(__xludf.DUMMYFUNCTION("IMPORTRANGE(""https://docs.google.com/spreadsheets/d/1lufeA2cfFqM-elVq2hznhDzC6Pr7wkJ9ZG_sYNGCMCU/edit?usp=sharing"",""ลพบุรี!J154"")"),0)</f>
        <v>0</v>
      </c>
      <c r="AL68" s="98">
        <f t="shared" ca="1" si="44"/>
        <v>0</v>
      </c>
    </row>
    <row r="69" spans="1:38" ht="21" customHeight="1" x14ac:dyDescent="0.3">
      <c r="A69" s="172">
        <v>17</v>
      </c>
      <c r="B69" s="173" t="s">
        <v>95</v>
      </c>
      <c r="C69" s="174">
        <f t="shared" ca="1" si="26"/>
        <v>0</v>
      </c>
      <c r="D69" s="175">
        <f t="shared" ca="1" si="57"/>
        <v>0</v>
      </c>
      <c r="E69" s="176">
        <f ca="1">IFERROR(__xludf.DUMMYFUNCTION("IMPORTRANGE(""https://docs.google.com/spreadsheets/d/1-uDff_7J0KD5mKrp0Vvzr7lt3OU09vwQwhkpOPPYv2Y/edit?usp=sharing"",""งบพรบ!BR69"")"),0)</f>
        <v>0</v>
      </c>
      <c r="F69" s="176">
        <f ca="1">IFERROR(__xludf.DUMMYFUNCTION("IMPORTRANGE(""https://docs.google.com/spreadsheets/d/1-uDff_7J0KD5mKrp0Vvzr7lt3OU09vwQwhkpOPPYv2Y/edit?usp=sharing"",""งบพรบ!BS69"")"),0)</f>
        <v>0</v>
      </c>
      <c r="G69" s="176">
        <f ca="1">IFERROR(__xludf.DUMMYFUNCTION("IMPORTRANGE(""https://docs.google.com/spreadsheets/d/1-uDff_7J0KD5mKrp0Vvzr7lt3OU09vwQwhkpOPPYv2Y/edit?usp=sharing"",""งบพรบ!BT69"")"),0)</f>
        <v>0</v>
      </c>
      <c r="H69" s="176">
        <f ca="1">IFERROR(__xludf.DUMMYFUNCTION("IMPORTRANGE(""https://docs.google.com/spreadsheets/d/1-uDff_7J0KD5mKrp0Vvzr7lt3OU09vwQwhkpOPPYv2Y/edit?usp=sharing"",""งบพรบ!BV69"")"),0)</f>
        <v>0</v>
      </c>
      <c r="I69" s="176">
        <f ca="1">IFERROR(__xludf.DUMMYFUNCTION("IMPORTRANGE(""https://docs.google.com/spreadsheets/d/1-uDff_7J0KD5mKrp0Vvzr7lt3OU09vwQwhkpOPPYv2Y/edit?usp=sharing"",""งบพรบ!BW69"")"),0)</f>
        <v>0</v>
      </c>
      <c r="J69" s="176">
        <f t="shared" ca="1" si="28"/>
        <v>0</v>
      </c>
      <c r="K69" s="179">
        <f t="shared" ca="1" si="29"/>
        <v>0</v>
      </c>
      <c r="L69" s="176">
        <f ca="1">IFERROR(__xludf.DUMMYFUNCTION("IMPORTRANGE(""https://docs.google.com/spreadsheets/d/1-uDff_7J0KD5mKrp0Vvzr7lt3OU09vwQwhkpOPPYv2Y/edit?usp=sharing"",""งบพรบ!BX69"")"),0)</f>
        <v>0</v>
      </c>
      <c r="M69" s="87">
        <f t="shared" ca="1" si="30"/>
        <v>0</v>
      </c>
      <c r="N69" s="87">
        <f t="shared" ca="1" si="31"/>
        <v>0</v>
      </c>
      <c r="O69" s="86">
        <f ca="1">IFERROR(__xludf.DUMMYFUNCTION("IMPORTRANGE(""https://docs.google.com/spreadsheets/d/1-uDff_7J0KD5mKrp0Vvzr7lt3OU09vwQwhkpOPPYv2Y/edit?usp=sharing"",""งบพรบ!BY69"")"),0)</f>
        <v>0</v>
      </c>
      <c r="P69" s="86">
        <f t="shared" ca="1" si="32"/>
        <v>0</v>
      </c>
      <c r="Q69" s="87">
        <f t="shared" ca="1" si="33"/>
        <v>0</v>
      </c>
      <c r="R69" s="86">
        <f ca="1">IFERROR(__xludf.DUMMYFUNCTION("IMPORTRANGE(""https://docs.google.com/spreadsheets/d/10oOiF7loTyfsTkbd4MpaIm0HQ9SwB7IYHdIUvt-U1Uc/edit?usp=sharing"",""สระแก้ว!Q139"")"),0)</f>
        <v>0</v>
      </c>
      <c r="S69" s="86">
        <f ca="1">IFERROR(__xludf.DUMMYFUNCTION("IMPORTRANGE(""https://docs.google.com/spreadsheets/d/10oOiF7loTyfsTkbd4MpaIm0HQ9SwB7IYHdIUvt-U1Uc/edit?usp=sharing"",""สระแก้ว!R139"")"),0)</f>
        <v>0</v>
      </c>
      <c r="T69" s="86">
        <f ca="1">IFERROR(__xludf.DUMMYFUNCTION("IMPORTRANGE(""https://docs.google.com/spreadsheets/d/10oOiF7loTyfsTkbd4MpaIm0HQ9SwB7IYHdIUvt-U1Uc/edit?usp=sharing"",""สระแก้ว!S139"")"),0)</f>
        <v>0</v>
      </c>
      <c r="U69" s="87">
        <f t="shared" ca="1" si="35"/>
        <v>0</v>
      </c>
      <c r="V69" s="87">
        <f t="shared" ca="1" si="36"/>
        <v>0</v>
      </c>
      <c r="W69" s="97">
        <f ca="1">IFERROR(__xludf.DUMMYFUNCTION("IMPORTRANGE(""https://docs.google.com/spreadsheets/d/10oOiF7loTyfsTkbd4MpaIm0HQ9SwB7IYHdIUvt-U1Uc/edit?usp=sharing"",""สระแก้ว!J149"")"),0)</f>
        <v>0</v>
      </c>
      <c r="X69" s="97">
        <f ca="1">IFERROR(__xludf.DUMMYFUNCTION("IMPORTRANGE(""https://docs.google.com/spreadsheets/d/10oOiF7loTyfsTkbd4MpaIm0HQ9SwB7IYHdIUvt-U1Uc/edit?usp=sharing"",""สระแก้ว!I150"")"),0)</f>
        <v>0</v>
      </c>
      <c r="Y69" s="97">
        <f ca="1">IFERROR(__xludf.DUMMYFUNCTION("IMPORTRANGE(""https://docs.google.com/spreadsheets/d/10oOiF7loTyfsTkbd4MpaIm0HQ9SwB7IYHdIUvt-U1Uc/edit?usp=sharing"",""สระแก้ว!I151"")"),0)</f>
        <v>0</v>
      </c>
      <c r="Z69" s="97">
        <f ca="1">IFERROR(__xludf.DUMMYFUNCTION("IMPORTRANGE(""https://docs.google.com/spreadsheets/d/10oOiF7loTyfsTkbd4MpaIm0HQ9SwB7IYHdIUvt-U1Uc/edit?usp=sharing"",""สระแก้ว!J150"")"),0)</f>
        <v>0</v>
      </c>
      <c r="AA69" s="98">
        <f t="shared" ca="1" si="38"/>
        <v>0</v>
      </c>
      <c r="AB69" s="97">
        <f ca="1">IFERROR(__xludf.DUMMYFUNCTION("IMPORTRANGE(""https://docs.google.com/spreadsheets/d/10oOiF7loTyfsTkbd4MpaIm0HQ9SwB7IYHdIUvt-U1Uc/edit?usp=sharing"",""สระแก้ว!J151"")"),0)</f>
        <v>0</v>
      </c>
      <c r="AC69" s="98">
        <f t="shared" ca="1" si="39"/>
        <v>0</v>
      </c>
      <c r="AD69" s="97">
        <f ca="1">IFERROR(__xludf.DUMMYFUNCTION("IMPORTRANGE(""https://docs.google.com/spreadsheets/d/10oOiF7loTyfsTkbd4MpaIm0HQ9SwB7IYHdIUvt-U1Uc/edit?usp=sharing"",""สระแก้ว!I152"")"),0)</f>
        <v>0</v>
      </c>
      <c r="AE69" s="97">
        <f ca="1">IFERROR(__xludf.DUMMYFUNCTION("IMPORTRANGE(""https://docs.google.com/spreadsheets/d/10oOiF7loTyfsTkbd4MpaIm0HQ9SwB7IYHdIUvt-U1Uc/edit?usp=sharing"",""สระแก้ว!I153"")"),0)</f>
        <v>0</v>
      </c>
      <c r="AF69" s="97">
        <f ca="1">IFERROR(__xludf.DUMMYFUNCTION("IMPORTRANGE(""https://docs.google.com/spreadsheets/d/10oOiF7loTyfsTkbd4MpaIm0HQ9SwB7IYHdIUvt-U1Uc/edit?usp=sharing"",""สระแก้ว!J152"")"),0)</f>
        <v>0</v>
      </c>
      <c r="AG69" s="98">
        <f t="shared" ca="1" si="41"/>
        <v>0</v>
      </c>
      <c r="AH69" s="97">
        <f ca="1">IFERROR(__xludf.DUMMYFUNCTION("IMPORTRANGE(""https://docs.google.com/spreadsheets/d/10oOiF7loTyfsTkbd4MpaIm0HQ9SwB7IYHdIUvt-U1Uc/edit?usp=sharing"",""สระแก้ว!J153"")"),0)</f>
        <v>0</v>
      </c>
      <c r="AI69" s="98">
        <f t="shared" ca="1" si="42"/>
        <v>0</v>
      </c>
      <c r="AJ69" s="97">
        <f ca="1">IFERROR(__xludf.DUMMYFUNCTION("IMPORTRANGE(""https://docs.google.com/spreadsheets/d/10oOiF7loTyfsTkbd4MpaIm0HQ9SwB7IYHdIUvt-U1Uc/edit?usp=sharing"",""สระแก้ว!I154"")"),0)</f>
        <v>0</v>
      </c>
      <c r="AK69" s="97">
        <f ca="1">IFERROR(__xludf.DUMMYFUNCTION("IMPORTRANGE(""https://docs.google.com/spreadsheets/d/10oOiF7loTyfsTkbd4MpaIm0HQ9SwB7IYHdIUvt-U1Uc/edit?usp=sharing"",""สระแก้ว!J154"")"),0)</f>
        <v>0</v>
      </c>
      <c r="AL69" s="98">
        <f t="shared" ca="1" si="44"/>
        <v>0</v>
      </c>
    </row>
    <row r="70" spans="1:38" ht="21" customHeight="1" x14ac:dyDescent="0.3">
      <c r="A70" s="172">
        <v>18</v>
      </c>
      <c r="B70" s="173" t="s">
        <v>96</v>
      </c>
      <c r="C70" s="174">
        <f t="shared" ca="1" si="26"/>
        <v>98000</v>
      </c>
      <c r="D70" s="175">
        <f t="shared" ca="1" si="57"/>
        <v>98000</v>
      </c>
      <c r="E70" s="176">
        <f ca="1">IFERROR(__xludf.DUMMYFUNCTION("IMPORTRANGE(""https://docs.google.com/spreadsheets/d/1-uDff_7J0KD5mKrp0Vvzr7lt3OU09vwQwhkpOPPYv2Y/edit?usp=sharing"",""งบพรบ!BR70"")"),74700)</f>
        <v>74700</v>
      </c>
      <c r="F70" s="176">
        <f ca="1">IFERROR(__xludf.DUMMYFUNCTION("IMPORTRANGE(""https://docs.google.com/spreadsheets/d/1-uDff_7J0KD5mKrp0Vvzr7lt3OU09vwQwhkpOPPYv2Y/edit?usp=sharing"",""งบพรบ!BS70"")"),23300)</f>
        <v>23300</v>
      </c>
      <c r="G70" s="176">
        <f ca="1">IFERROR(__xludf.DUMMYFUNCTION("IMPORTRANGE(""https://docs.google.com/spreadsheets/d/1-uDff_7J0KD5mKrp0Vvzr7lt3OU09vwQwhkpOPPYv2Y/edit?usp=sharing"",""งบพรบ!BT70"")"),0)</f>
        <v>0</v>
      </c>
      <c r="H70" s="176">
        <f ca="1">IFERROR(__xludf.DUMMYFUNCTION("IMPORTRANGE(""https://docs.google.com/spreadsheets/d/1-uDff_7J0KD5mKrp0Vvzr7lt3OU09vwQwhkpOPPYv2Y/edit?usp=sharing"",""งบพรบ!BV70"")"),93000)</f>
        <v>93000</v>
      </c>
      <c r="I70" s="176">
        <f ca="1">IFERROR(__xludf.DUMMYFUNCTION("IMPORTRANGE(""https://docs.google.com/spreadsheets/d/1-uDff_7J0KD5mKrp0Vvzr7lt3OU09vwQwhkpOPPYv2Y/edit?usp=sharing"",""งบพรบ!BW70"")"),0)</f>
        <v>0</v>
      </c>
      <c r="J70" s="176">
        <f t="shared" ca="1" si="28"/>
        <v>0</v>
      </c>
      <c r="K70" s="179">
        <f t="shared" ca="1" si="29"/>
        <v>0</v>
      </c>
      <c r="L70" s="176">
        <f ca="1">IFERROR(__xludf.DUMMYFUNCTION("IMPORTRANGE(""https://docs.google.com/spreadsheets/d/1-uDff_7J0KD5mKrp0Vvzr7lt3OU09vwQwhkpOPPYv2Y/edit?usp=sharing"",""งบพรบ!BX70"")"),0)</f>
        <v>0</v>
      </c>
      <c r="M70" s="87">
        <f t="shared" ca="1" si="30"/>
        <v>0</v>
      </c>
      <c r="N70" s="87">
        <f t="shared" ca="1" si="31"/>
        <v>0</v>
      </c>
      <c r="O70" s="86">
        <f ca="1">IFERROR(__xludf.DUMMYFUNCTION("IMPORTRANGE(""https://docs.google.com/spreadsheets/d/1-uDff_7J0KD5mKrp0Vvzr7lt3OU09vwQwhkpOPPYv2Y/edit?usp=sharing"",""งบพรบ!BY70"")"),0)</f>
        <v>0</v>
      </c>
      <c r="P70" s="86">
        <f t="shared" ca="1" si="32"/>
        <v>0</v>
      </c>
      <c r="Q70" s="87">
        <f t="shared" ca="1" si="33"/>
        <v>0</v>
      </c>
      <c r="R70" s="86">
        <f ca="1">IFERROR(__xludf.DUMMYFUNCTION("IMPORTRANGE(""https://docs.google.com/spreadsheets/d/1xmPlrr1QbdSIKvl1dWUl9K4PjAfSL9oeMr_37QVzcxc/edit?usp=sharing"",""สระบุรี!Q139"")"),0)</f>
        <v>0</v>
      </c>
      <c r="S70" s="86">
        <f ca="1">IFERROR(__xludf.DUMMYFUNCTION("IMPORTRANGE(""https://docs.google.com/spreadsheets/d/1xmPlrr1QbdSIKvl1dWUl9K4PjAfSL9oeMr_37QVzcxc/edit?usp=sharing"",""สระบุรี!R139"")"),0)</f>
        <v>0</v>
      </c>
      <c r="T70" s="86">
        <f ca="1">IFERROR(__xludf.DUMMYFUNCTION("IMPORTRANGE(""https://docs.google.com/spreadsheets/d/1xmPlrr1QbdSIKvl1dWUl9K4PjAfSL9oeMr_37QVzcxc/edit?usp=sharing"",""สระบุรี!S139"")"),0)</f>
        <v>0</v>
      </c>
      <c r="U70" s="87">
        <f t="shared" ca="1" si="35"/>
        <v>0</v>
      </c>
      <c r="V70" s="87">
        <f t="shared" ca="1" si="36"/>
        <v>0</v>
      </c>
      <c r="W70" s="97">
        <f ca="1">IFERROR(__xludf.DUMMYFUNCTION("IMPORTRANGE(""https://docs.google.com/spreadsheets/d/1xmPlrr1QbdSIKvl1dWUl9K4PjAfSL9oeMr_37QVzcxc/edit?usp=sharing"",""สระบุรี!J149"")"),0)</f>
        <v>0</v>
      </c>
      <c r="X70" s="97">
        <f ca="1">IFERROR(__xludf.DUMMYFUNCTION("IMPORTRANGE(""https://docs.google.com/spreadsheets/d/1xmPlrr1QbdSIKvl1dWUl9K4PjAfSL9oeMr_37QVzcxc/edit?usp=sharing"",""สระบุรี!I150"")"),0)</f>
        <v>0</v>
      </c>
      <c r="Y70" s="97">
        <f ca="1">IFERROR(__xludf.DUMMYFUNCTION("IMPORTRANGE(""https://docs.google.com/spreadsheets/d/1xmPlrr1QbdSIKvl1dWUl9K4PjAfSL9oeMr_37QVzcxc/edit?usp=sharing"",""สระบุรี!I151"")"),0)</f>
        <v>0</v>
      </c>
      <c r="Z70" s="97">
        <f ca="1">IFERROR(__xludf.DUMMYFUNCTION("IMPORTRANGE(""https://docs.google.com/spreadsheets/d/1xmPlrr1QbdSIKvl1dWUl9K4PjAfSL9oeMr_37QVzcxc/edit?usp=sharing"",""สระบุรี!J150"")"),0)</f>
        <v>0</v>
      </c>
      <c r="AA70" s="98">
        <f t="shared" ca="1" si="38"/>
        <v>0</v>
      </c>
      <c r="AB70" s="97">
        <f ca="1">IFERROR(__xludf.DUMMYFUNCTION("IMPORTRANGE(""https://docs.google.com/spreadsheets/d/1xmPlrr1QbdSIKvl1dWUl9K4PjAfSL9oeMr_37QVzcxc/edit?usp=sharing"",""สระบุรี!J151"")"),0)</f>
        <v>0</v>
      </c>
      <c r="AC70" s="98">
        <f t="shared" ca="1" si="39"/>
        <v>0</v>
      </c>
      <c r="AD70" s="97">
        <f ca="1">IFERROR(__xludf.DUMMYFUNCTION("IMPORTRANGE(""https://docs.google.com/spreadsheets/d/1xmPlrr1QbdSIKvl1dWUl9K4PjAfSL9oeMr_37QVzcxc/edit?usp=sharing"",""สระบุรี!I152"")"),10)</f>
        <v>10</v>
      </c>
      <c r="AE70" s="97">
        <f ca="1">IFERROR(__xludf.DUMMYFUNCTION("IMPORTRANGE(""https://docs.google.com/spreadsheets/d/1xmPlrr1QbdSIKvl1dWUl9K4PjAfSL9oeMr_37QVzcxc/edit?usp=sharing"",""สระบุรี!I153"")"),1)</f>
        <v>1</v>
      </c>
      <c r="AF70" s="97">
        <f ca="1">IFERROR(__xludf.DUMMYFUNCTION("IMPORTRANGE(""https://docs.google.com/spreadsheets/d/1xmPlrr1QbdSIKvl1dWUl9K4PjAfSL9oeMr_37QVzcxc/edit?usp=sharing"",""สระบุรี!J152"")"),0)</f>
        <v>0</v>
      </c>
      <c r="AG70" s="98">
        <f t="shared" ca="1" si="41"/>
        <v>0</v>
      </c>
      <c r="AH70" s="97">
        <f ca="1">IFERROR(__xludf.DUMMYFUNCTION("IMPORTRANGE(""https://docs.google.com/spreadsheets/d/1xmPlrr1QbdSIKvl1dWUl9K4PjAfSL9oeMr_37QVzcxc/edit?usp=sharing"",""สระบุรี!J153"")"),0)</f>
        <v>0</v>
      </c>
      <c r="AI70" s="98">
        <f t="shared" ca="1" si="42"/>
        <v>0</v>
      </c>
      <c r="AJ70" s="97">
        <f ca="1">IFERROR(__xludf.DUMMYFUNCTION("IMPORTRANGE(""https://docs.google.com/spreadsheets/d/1xmPlrr1QbdSIKvl1dWUl9K4PjAfSL9oeMr_37QVzcxc/edit?usp=sharing"",""สระบุรี!I154"")"),0)</f>
        <v>0</v>
      </c>
      <c r="AK70" s="97">
        <f ca="1">IFERROR(__xludf.DUMMYFUNCTION("IMPORTRANGE(""https://docs.google.com/spreadsheets/d/1xmPlrr1QbdSIKvl1dWUl9K4PjAfSL9oeMr_37QVzcxc/edit?usp=sharing"",""สระบุรี!J154"")"),0)</f>
        <v>0</v>
      </c>
      <c r="AL70" s="98">
        <f t="shared" ca="1" si="44"/>
        <v>0</v>
      </c>
    </row>
    <row r="71" spans="1:38" ht="21" customHeight="1" x14ac:dyDescent="0.3">
      <c r="A71" s="172">
        <v>19</v>
      </c>
      <c r="B71" s="173" t="s">
        <v>97</v>
      </c>
      <c r="C71" s="174">
        <f t="shared" ca="1" si="26"/>
        <v>0</v>
      </c>
      <c r="D71" s="175">
        <f t="shared" ca="1" si="57"/>
        <v>0</v>
      </c>
      <c r="E71" s="176">
        <f ca="1">IFERROR(__xludf.DUMMYFUNCTION("IMPORTRANGE(""https://docs.google.com/spreadsheets/d/1-uDff_7J0KD5mKrp0Vvzr7lt3OU09vwQwhkpOPPYv2Y/edit?usp=sharing"",""งบพรบ!BR71"")"),0)</f>
        <v>0</v>
      </c>
      <c r="F71" s="176">
        <f ca="1">IFERROR(__xludf.DUMMYFUNCTION("IMPORTRANGE(""https://docs.google.com/spreadsheets/d/1-uDff_7J0KD5mKrp0Vvzr7lt3OU09vwQwhkpOPPYv2Y/edit?usp=sharing"",""งบพรบ!BS71"")"),0)</f>
        <v>0</v>
      </c>
      <c r="G71" s="176">
        <f ca="1">IFERROR(__xludf.DUMMYFUNCTION("IMPORTRANGE(""https://docs.google.com/spreadsheets/d/1-uDff_7J0KD5mKrp0Vvzr7lt3OU09vwQwhkpOPPYv2Y/edit?usp=sharing"",""งบพรบ!BT71"")"),0)</f>
        <v>0</v>
      </c>
      <c r="H71" s="176">
        <f ca="1">IFERROR(__xludf.DUMMYFUNCTION("IMPORTRANGE(""https://docs.google.com/spreadsheets/d/1-uDff_7J0KD5mKrp0Vvzr7lt3OU09vwQwhkpOPPYv2Y/edit?usp=sharing"",""งบพรบ!BV71"")"),0)</f>
        <v>0</v>
      </c>
      <c r="I71" s="176">
        <f ca="1">IFERROR(__xludf.DUMMYFUNCTION("IMPORTRANGE(""https://docs.google.com/spreadsheets/d/1-uDff_7J0KD5mKrp0Vvzr7lt3OU09vwQwhkpOPPYv2Y/edit?usp=sharing"",""งบพรบ!BW71"")"),0)</f>
        <v>0</v>
      </c>
      <c r="J71" s="176">
        <f t="shared" ca="1" si="28"/>
        <v>0</v>
      </c>
      <c r="K71" s="179">
        <f t="shared" ca="1" si="29"/>
        <v>0</v>
      </c>
      <c r="L71" s="176">
        <f ca="1">IFERROR(__xludf.DUMMYFUNCTION("IMPORTRANGE(""https://docs.google.com/spreadsheets/d/1-uDff_7J0KD5mKrp0Vvzr7lt3OU09vwQwhkpOPPYv2Y/edit?usp=sharing"",""งบพรบ!BX71"")"),0)</f>
        <v>0</v>
      </c>
      <c r="M71" s="87">
        <f t="shared" ca="1" si="30"/>
        <v>0</v>
      </c>
      <c r="N71" s="87">
        <f t="shared" ca="1" si="31"/>
        <v>0</v>
      </c>
      <c r="O71" s="86">
        <f ca="1">IFERROR(__xludf.DUMMYFUNCTION("IMPORTRANGE(""https://docs.google.com/spreadsheets/d/1-uDff_7J0KD5mKrp0Vvzr7lt3OU09vwQwhkpOPPYv2Y/edit?usp=sharing"",""งบพรบ!BY71"")"),0)</f>
        <v>0</v>
      </c>
      <c r="P71" s="86">
        <f t="shared" ca="1" si="32"/>
        <v>0</v>
      </c>
      <c r="Q71" s="87">
        <f t="shared" ca="1" si="33"/>
        <v>0</v>
      </c>
      <c r="R71" s="86">
        <f ca="1">IFERROR(__xludf.DUMMYFUNCTION("IMPORTRANGE(""https://docs.google.com/spreadsheets/d/1j51vR6CYVGhABJpv6tkstgok82RLpXieLzW1yOY5rHw/edit?usp=sharing"",""สิงห์บุรี!Q139"")"),0)</f>
        <v>0</v>
      </c>
      <c r="S71" s="86">
        <f ca="1">IFERROR(__xludf.DUMMYFUNCTION("IMPORTRANGE(""https://docs.google.com/spreadsheets/d/1j51vR6CYVGhABJpv6tkstgok82RLpXieLzW1yOY5rHw/edit?usp=sharing"",""สิงห์บุรี!R139"")"),0)</f>
        <v>0</v>
      </c>
      <c r="T71" s="86">
        <f ca="1">IFERROR(__xludf.DUMMYFUNCTION("IMPORTRANGE(""https://docs.google.com/spreadsheets/d/1j51vR6CYVGhABJpv6tkstgok82RLpXieLzW1yOY5rHw/edit?usp=sharing"",""สิงห์บุรี!S139"")"),0)</f>
        <v>0</v>
      </c>
      <c r="U71" s="87">
        <f t="shared" ca="1" si="35"/>
        <v>0</v>
      </c>
      <c r="V71" s="87">
        <f t="shared" ca="1" si="36"/>
        <v>0</v>
      </c>
      <c r="W71" s="97">
        <f ca="1">IFERROR(__xludf.DUMMYFUNCTION("IMPORTRANGE(""https://docs.google.com/spreadsheets/d/1j51vR6CYVGhABJpv6tkstgok82RLpXieLzW1yOY5rHw/edit?usp=sharing"",""สิงห์บุรี!J149"")"),0)</f>
        <v>0</v>
      </c>
      <c r="X71" s="97">
        <f ca="1">IFERROR(__xludf.DUMMYFUNCTION("IMPORTRANGE(""https://docs.google.com/spreadsheets/d/1j51vR6CYVGhABJpv6tkstgok82RLpXieLzW1yOY5rHw/edit?usp=sharing"",""สิงห์บุรี!I150"")"),0)</f>
        <v>0</v>
      </c>
      <c r="Y71" s="97">
        <f ca="1">IFERROR(__xludf.DUMMYFUNCTION("IMPORTRANGE(""https://docs.google.com/spreadsheets/d/1j51vR6CYVGhABJpv6tkstgok82RLpXieLzW1yOY5rHw/edit?usp=sharing"",""สิงห์บุรี!I151"")"),0)</f>
        <v>0</v>
      </c>
      <c r="Z71" s="97">
        <f ca="1">IFERROR(__xludf.DUMMYFUNCTION("IMPORTRANGE(""https://docs.google.com/spreadsheets/d/1j51vR6CYVGhABJpv6tkstgok82RLpXieLzW1yOY5rHw/edit?usp=sharing"",""สิงห์บุรี!J150"")"),0)</f>
        <v>0</v>
      </c>
      <c r="AA71" s="98">
        <f t="shared" ca="1" si="38"/>
        <v>0</v>
      </c>
      <c r="AB71" s="97">
        <f ca="1">IFERROR(__xludf.DUMMYFUNCTION("IMPORTRANGE(""https://docs.google.com/spreadsheets/d/1j51vR6CYVGhABJpv6tkstgok82RLpXieLzW1yOY5rHw/edit?usp=sharing"",""สิงห์บุรี!J151"")"),0)</f>
        <v>0</v>
      </c>
      <c r="AC71" s="98">
        <f t="shared" ca="1" si="39"/>
        <v>0</v>
      </c>
      <c r="AD71" s="97">
        <f ca="1">IFERROR(__xludf.DUMMYFUNCTION("IMPORTRANGE(""https://docs.google.com/spreadsheets/d/1j51vR6CYVGhABJpv6tkstgok82RLpXieLzW1yOY5rHw/edit?usp=sharing"",""สิงห์บุรี!I152"")"),0)</f>
        <v>0</v>
      </c>
      <c r="AE71" s="97">
        <f ca="1">IFERROR(__xludf.DUMMYFUNCTION("IMPORTRANGE(""https://docs.google.com/spreadsheets/d/1j51vR6CYVGhABJpv6tkstgok82RLpXieLzW1yOY5rHw/edit?usp=sharing"",""สิงห์บุรี!I153"")"),0)</f>
        <v>0</v>
      </c>
      <c r="AF71" s="97">
        <f ca="1">IFERROR(__xludf.DUMMYFUNCTION("IMPORTRANGE(""https://docs.google.com/spreadsheets/d/1j51vR6CYVGhABJpv6tkstgok82RLpXieLzW1yOY5rHw/edit?usp=sharing"",""สิงห์บุรี!J152"")"),0)</f>
        <v>0</v>
      </c>
      <c r="AG71" s="98">
        <f t="shared" ca="1" si="41"/>
        <v>0</v>
      </c>
      <c r="AH71" s="97">
        <f ca="1">IFERROR(__xludf.DUMMYFUNCTION("IMPORTRANGE(""https://docs.google.com/spreadsheets/d/1j51vR6CYVGhABJpv6tkstgok82RLpXieLzW1yOY5rHw/edit?usp=sharing"",""สิงห์บุรี!J153"")"),0)</f>
        <v>0</v>
      </c>
      <c r="AI71" s="98">
        <f t="shared" ca="1" si="42"/>
        <v>0</v>
      </c>
      <c r="AJ71" s="97">
        <f ca="1">IFERROR(__xludf.DUMMYFUNCTION("IMPORTRANGE(""https://docs.google.com/spreadsheets/d/1j51vR6CYVGhABJpv6tkstgok82RLpXieLzW1yOY5rHw/edit?usp=sharing"",""สิงห์บุรี!I154"")"),0)</f>
        <v>0</v>
      </c>
      <c r="AK71" s="97">
        <f ca="1">IFERROR(__xludf.DUMMYFUNCTION("IMPORTRANGE(""https://docs.google.com/spreadsheets/d/1j51vR6CYVGhABJpv6tkstgok82RLpXieLzW1yOY5rHw/edit?usp=sharing"",""สิงห์บุรี!J154"")"),0)</f>
        <v>0</v>
      </c>
      <c r="AL71" s="98">
        <f t="shared" ca="1" si="44"/>
        <v>0</v>
      </c>
    </row>
    <row r="72" spans="1:38" ht="21" customHeight="1" x14ac:dyDescent="0.3">
      <c r="A72" s="172">
        <v>20</v>
      </c>
      <c r="B72" s="173" t="s">
        <v>98</v>
      </c>
      <c r="C72" s="174">
        <f t="shared" ca="1" si="26"/>
        <v>0</v>
      </c>
      <c r="D72" s="175">
        <f t="shared" ca="1" si="57"/>
        <v>0</v>
      </c>
      <c r="E72" s="176">
        <f ca="1">IFERROR(__xludf.DUMMYFUNCTION("IMPORTRANGE(""https://docs.google.com/spreadsheets/d/1-uDff_7J0KD5mKrp0Vvzr7lt3OU09vwQwhkpOPPYv2Y/edit?usp=sharing"",""งบพรบ!BR72"")"),0)</f>
        <v>0</v>
      </c>
      <c r="F72" s="176">
        <f ca="1">IFERROR(__xludf.DUMMYFUNCTION("IMPORTRANGE(""https://docs.google.com/spreadsheets/d/1-uDff_7J0KD5mKrp0Vvzr7lt3OU09vwQwhkpOPPYv2Y/edit?usp=sharing"",""งบพรบ!BS72"")"),0)</f>
        <v>0</v>
      </c>
      <c r="G72" s="176">
        <f ca="1">IFERROR(__xludf.DUMMYFUNCTION("IMPORTRANGE(""https://docs.google.com/spreadsheets/d/1-uDff_7J0KD5mKrp0Vvzr7lt3OU09vwQwhkpOPPYv2Y/edit?usp=sharing"",""งบพรบ!BT72"")"),0)</f>
        <v>0</v>
      </c>
      <c r="H72" s="176">
        <f ca="1">IFERROR(__xludf.DUMMYFUNCTION("IMPORTRANGE(""https://docs.google.com/spreadsheets/d/1-uDff_7J0KD5mKrp0Vvzr7lt3OU09vwQwhkpOPPYv2Y/edit?usp=sharing"",""งบพรบ!BV72"")"),0)</f>
        <v>0</v>
      </c>
      <c r="I72" s="176">
        <f ca="1">IFERROR(__xludf.DUMMYFUNCTION("IMPORTRANGE(""https://docs.google.com/spreadsheets/d/1-uDff_7J0KD5mKrp0Vvzr7lt3OU09vwQwhkpOPPYv2Y/edit?usp=sharing"",""งบพรบ!BW72"")"),0)</f>
        <v>0</v>
      </c>
      <c r="J72" s="176">
        <f t="shared" ca="1" si="28"/>
        <v>0</v>
      </c>
      <c r="K72" s="179">
        <f t="shared" ca="1" si="29"/>
        <v>0</v>
      </c>
      <c r="L72" s="176">
        <f ca="1">IFERROR(__xludf.DUMMYFUNCTION("IMPORTRANGE(""https://docs.google.com/spreadsheets/d/1-uDff_7J0KD5mKrp0Vvzr7lt3OU09vwQwhkpOPPYv2Y/edit?usp=sharing"",""งบพรบ!BX72"")"),0)</f>
        <v>0</v>
      </c>
      <c r="M72" s="87">
        <f t="shared" ca="1" si="30"/>
        <v>0</v>
      </c>
      <c r="N72" s="87">
        <f t="shared" ca="1" si="31"/>
        <v>0</v>
      </c>
      <c r="O72" s="86">
        <f ca="1">IFERROR(__xludf.DUMMYFUNCTION("IMPORTRANGE(""https://docs.google.com/spreadsheets/d/1-uDff_7J0KD5mKrp0Vvzr7lt3OU09vwQwhkpOPPYv2Y/edit?usp=sharing"",""งบพรบ!BY72"")"),0)</f>
        <v>0</v>
      </c>
      <c r="P72" s="86">
        <f t="shared" ca="1" si="32"/>
        <v>0</v>
      </c>
      <c r="Q72" s="87">
        <f t="shared" ca="1" si="33"/>
        <v>0</v>
      </c>
      <c r="R72" s="86">
        <f ca="1">IFERROR(__xludf.DUMMYFUNCTION("IMPORTRANGE(""https://docs.google.com/spreadsheets/d/1H1EalTWKUSzO4Z1-1CwzoDUaVffgrThEBe2sl74kKG0/edit?usp=sharing"",""สุพรรณบุรี!Q139"")"),0)</f>
        <v>0</v>
      </c>
      <c r="S72" s="86">
        <f ca="1">IFERROR(__xludf.DUMMYFUNCTION("IMPORTRANGE(""https://docs.google.com/spreadsheets/d/1H1EalTWKUSzO4Z1-1CwzoDUaVffgrThEBe2sl74kKG0/edit?usp=sharing"",""สุพรรณบุรี!R139"")"),0)</f>
        <v>0</v>
      </c>
      <c r="T72" s="86">
        <f ca="1">IFERROR(__xludf.DUMMYFUNCTION("IMPORTRANGE(""https://docs.google.com/spreadsheets/d/1H1EalTWKUSzO4Z1-1CwzoDUaVffgrThEBe2sl74kKG0/edit?usp=sharing"",""สุพรรณบุรี!S139"")"),0)</f>
        <v>0</v>
      </c>
      <c r="U72" s="87">
        <f t="shared" ca="1" si="35"/>
        <v>0</v>
      </c>
      <c r="V72" s="87">
        <f t="shared" ca="1" si="36"/>
        <v>0</v>
      </c>
      <c r="W72" s="97">
        <f ca="1">IFERROR(__xludf.DUMMYFUNCTION("IMPORTRANGE(""https://docs.google.com/spreadsheets/d/1H1EalTWKUSzO4Z1-1CwzoDUaVffgrThEBe2sl74kKG0/edit?usp=sharing"",""สุพรรณบุรี!J149"")"),0)</f>
        <v>0</v>
      </c>
      <c r="X72" s="97">
        <f ca="1">IFERROR(__xludf.DUMMYFUNCTION("IMPORTRANGE(""https://docs.google.com/spreadsheets/d/1H1EalTWKUSzO4Z1-1CwzoDUaVffgrThEBe2sl74kKG0/edit?usp=sharing"",""สุพรรณบุรี!I150"")"),0)</f>
        <v>0</v>
      </c>
      <c r="Y72" s="97">
        <f ca="1">IFERROR(__xludf.DUMMYFUNCTION("IMPORTRANGE(""https://docs.google.com/spreadsheets/d/1H1EalTWKUSzO4Z1-1CwzoDUaVffgrThEBe2sl74kKG0/edit?usp=sharing"",""สุพรรณบุรี!I151"")"),0)</f>
        <v>0</v>
      </c>
      <c r="Z72" s="97">
        <f ca="1">IFERROR(__xludf.DUMMYFUNCTION("IMPORTRANGE(""https://docs.google.com/spreadsheets/d/1H1EalTWKUSzO4Z1-1CwzoDUaVffgrThEBe2sl74kKG0/edit?usp=sharing"",""สุพรรณบุรี!J150"")"),0)</f>
        <v>0</v>
      </c>
      <c r="AA72" s="98">
        <f t="shared" ca="1" si="38"/>
        <v>0</v>
      </c>
      <c r="AB72" s="97">
        <f ca="1">IFERROR(__xludf.DUMMYFUNCTION("IMPORTRANGE(""https://docs.google.com/spreadsheets/d/1H1EalTWKUSzO4Z1-1CwzoDUaVffgrThEBe2sl74kKG0/edit?usp=sharing"",""สุพรรณบุรี!J151"")"),0)</f>
        <v>0</v>
      </c>
      <c r="AC72" s="98">
        <f t="shared" ca="1" si="39"/>
        <v>0</v>
      </c>
      <c r="AD72" s="97">
        <f ca="1">IFERROR(__xludf.DUMMYFUNCTION("IMPORTRANGE(""https://docs.google.com/spreadsheets/d/1H1EalTWKUSzO4Z1-1CwzoDUaVffgrThEBe2sl74kKG0/edit?usp=sharing"",""สุพรรณบุรี!I152"")"),0)</f>
        <v>0</v>
      </c>
      <c r="AE72" s="97">
        <f ca="1">IFERROR(__xludf.DUMMYFUNCTION("IMPORTRANGE(""https://docs.google.com/spreadsheets/d/1H1EalTWKUSzO4Z1-1CwzoDUaVffgrThEBe2sl74kKG0/edit?usp=sharing"",""สุพรรณบุรี!I153"")"),0)</f>
        <v>0</v>
      </c>
      <c r="AF72" s="97">
        <f ca="1">IFERROR(__xludf.DUMMYFUNCTION("IMPORTRANGE(""https://docs.google.com/spreadsheets/d/1H1EalTWKUSzO4Z1-1CwzoDUaVffgrThEBe2sl74kKG0/edit?usp=sharing"",""สุพรรณบุรี!J152"")"),0)</f>
        <v>0</v>
      </c>
      <c r="AG72" s="98">
        <f t="shared" ca="1" si="41"/>
        <v>0</v>
      </c>
      <c r="AH72" s="97">
        <f ca="1">IFERROR(__xludf.DUMMYFUNCTION("IMPORTRANGE(""https://docs.google.com/spreadsheets/d/1H1EalTWKUSzO4Z1-1CwzoDUaVffgrThEBe2sl74kKG0/edit?usp=sharing"",""สุพรรณบุรี!J153"")"),0)</f>
        <v>0</v>
      </c>
      <c r="AI72" s="98">
        <f t="shared" ca="1" si="42"/>
        <v>0</v>
      </c>
      <c r="AJ72" s="97">
        <f ca="1">IFERROR(__xludf.DUMMYFUNCTION("IMPORTRANGE(""https://docs.google.com/spreadsheets/d/1H1EalTWKUSzO4Z1-1CwzoDUaVffgrThEBe2sl74kKG0/edit?usp=sharing"",""สุพรรณบุรี!I154"")"),0)</f>
        <v>0</v>
      </c>
      <c r="AK72" s="97">
        <f ca="1">IFERROR(__xludf.DUMMYFUNCTION("IMPORTRANGE(""https://docs.google.com/spreadsheets/d/1H1EalTWKUSzO4Z1-1CwzoDUaVffgrThEBe2sl74kKG0/edit?usp=sharing"",""สุพรรณบุรี!J154"")"),0)</f>
        <v>0</v>
      </c>
      <c r="AL72" s="98">
        <f t="shared" ca="1" si="44"/>
        <v>0</v>
      </c>
    </row>
    <row r="73" spans="1:38" ht="21" customHeight="1" x14ac:dyDescent="0.3">
      <c r="A73" s="180">
        <v>21</v>
      </c>
      <c r="B73" s="181" t="s">
        <v>99</v>
      </c>
      <c r="C73" s="182">
        <f t="shared" ca="1" si="26"/>
        <v>0</v>
      </c>
      <c r="D73" s="183">
        <f t="shared" ca="1" si="57"/>
        <v>0</v>
      </c>
      <c r="E73" s="184">
        <f ca="1">IFERROR(__xludf.DUMMYFUNCTION("IMPORTRANGE(""https://docs.google.com/spreadsheets/d/1-uDff_7J0KD5mKrp0Vvzr7lt3OU09vwQwhkpOPPYv2Y/edit?usp=sharing"",""งบพรบ!BR73"")"),0)</f>
        <v>0</v>
      </c>
      <c r="F73" s="184">
        <f ca="1">IFERROR(__xludf.DUMMYFUNCTION("IMPORTRANGE(""https://docs.google.com/spreadsheets/d/1-uDff_7J0KD5mKrp0Vvzr7lt3OU09vwQwhkpOPPYv2Y/edit?usp=sharing"",""งบพรบ!BS73"")"),0)</f>
        <v>0</v>
      </c>
      <c r="G73" s="184">
        <f ca="1">IFERROR(__xludf.DUMMYFUNCTION("IMPORTRANGE(""https://docs.google.com/spreadsheets/d/1-uDff_7J0KD5mKrp0Vvzr7lt3OU09vwQwhkpOPPYv2Y/edit?usp=sharing"",""งบพรบ!BT73"")"),0)</f>
        <v>0</v>
      </c>
      <c r="H73" s="184">
        <f ca="1">IFERROR(__xludf.DUMMYFUNCTION("IMPORTRANGE(""https://docs.google.com/spreadsheets/d/1-uDff_7J0KD5mKrp0Vvzr7lt3OU09vwQwhkpOPPYv2Y/edit?usp=sharing"",""งบพรบ!BV73"")"),0)</f>
        <v>0</v>
      </c>
      <c r="I73" s="184">
        <f ca="1">IFERROR(__xludf.DUMMYFUNCTION("IMPORTRANGE(""https://docs.google.com/spreadsheets/d/1-uDff_7J0KD5mKrp0Vvzr7lt3OU09vwQwhkpOPPYv2Y/edit?usp=sharing"",""งบพรบ!BW73"")"),0)</f>
        <v>0</v>
      </c>
      <c r="J73" s="184">
        <f t="shared" ca="1" si="28"/>
        <v>0</v>
      </c>
      <c r="K73" s="185">
        <f t="shared" ca="1" si="29"/>
        <v>0</v>
      </c>
      <c r="L73" s="184">
        <f ca="1">IFERROR(__xludf.DUMMYFUNCTION("IMPORTRANGE(""https://docs.google.com/spreadsheets/d/1-uDff_7J0KD5mKrp0Vvzr7lt3OU09vwQwhkpOPPYv2Y/edit?usp=sharing"",""งบพรบ!BX73"")"),0)</f>
        <v>0</v>
      </c>
      <c r="M73" s="109">
        <f t="shared" ca="1" si="30"/>
        <v>0</v>
      </c>
      <c r="N73" s="109">
        <f t="shared" ca="1" si="31"/>
        <v>0</v>
      </c>
      <c r="O73" s="108">
        <f ca="1">IFERROR(__xludf.DUMMYFUNCTION("IMPORTRANGE(""https://docs.google.com/spreadsheets/d/1-uDff_7J0KD5mKrp0Vvzr7lt3OU09vwQwhkpOPPYv2Y/edit?usp=sharing"",""งบพรบ!BY73"")"),0)</f>
        <v>0</v>
      </c>
      <c r="P73" s="108">
        <f t="shared" ca="1" si="32"/>
        <v>0</v>
      </c>
      <c r="Q73" s="109">
        <f t="shared" ca="1" si="33"/>
        <v>0</v>
      </c>
      <c r="R73" s="108">
        <f ca="1">IFERROR(__xludf.DUMMYFUNCTION("IMPORTRANGE(""https://docs.google.com/spreadsheets/d/1BmIruG_sIrJLYao_Pdr7zVArWsfoBt2692TMi6x_854/edit?usp=sharing"",""อ่างทอง!Q139"")"),0)</f>
        <v>0</v>
      </c>
      <c r="S73" s="108">
        <f ca="1">IFERROR(__xludf.DUMMYFUNCTION("IMPORTRANGE(""https://docs.google.com/spreadsheets/d/1BmIruG_sIrJLYao_Pdr7zVArWsfoBt2692TMi6x_854/edit?usp=sharing"",""อ่างทอง!R139"")"),0)</f>
        <v>0</v>
      </c>
      <c r="T73" s="108">
        <f ca="1">IFERROR(__xludf.DUMMYFUNCTION("IMPORTRANGE(""https://docs.google.com/spreadsheets/d/1BmIruG_sIrJLYao_Pdr7zVArWsfoBt2692TMi6x_854/edit?usp=sharing"",""อ่างทอง!S139"")"),0)</f>
        <v>0</v>
      </c>
      <c r="U73" s="109">
        <f t="shared" ca="1" si="35"/>
        <v>0</v>
      </c>
      <c r="V73" s="109">
        <f t="shared" ca="1" si="36"/>
        <v>0</v>
      </c>
      <c r="W73" s="110">
        <f ca="1">IFERROR(__xludf.DUMMYFUNCTION("IMPORTRANGE(""https://docs.google.com/spreadsheets/d/1BmIruG_sIrJLYao_Pdr7zVArWsfoBt2692TMi6x_854/edit?usp=sharing"",""อ่างทอง!J149"")"),0)</f>
        <v>0</v>
      </c>
      <c r="X73" s="110">
        <f ca="1">IFERROR(__xludf.DUMMYFUNCTION("IMPORTRANGE(""https://docs.google.com/spreadsheets/d/1BmIruG_sIrJLYao_Pdr7zVArWsfoBt2692TMi6x_854/edit?usp=sharing"",""อ่างทอง!I150"")"),0)</f>
        <v>0</v>
      </c>
      <c r="Y73" s="110">
        <f ca="1">IFERROR(__xludf.DUMMYFUNCTION("IMPORTRANGE(""https://docs.google.com/spreadsheets/d/1BmIruG_sIrJLYao_Pdr7zVArWsfoBt2692TMi6x_854/edit?usp=sharing"",""อ่างทอง!I151"")"),0)</f>
        <v>0</v>
      </c>
      <c r="Z73" s="110">
        <f ca="1">IFERROR(__xludf.DUMMYFUNCTION("IMPORTRANGE(""https://docs.google.com/spreadsheets/d/1BmIruG_sIrJLYao_Pdr7zVArWsfoBt2692TMi6x_854/edit?usp=sharing"",""อ่างทอง!J150"")"),0)</f>
        <v>0</v>
      </c>
      <c r="AA73" s="111">
        <f t="shared" ca="1" si="38"/>
        <v>0</v>
      </c>
      <c r="AB73" s="110">
        <f ca="1">IFERROR(__xludf.DUMMYFUNCTION("IMPORTRANGE(""https://docs.google.com/spreadsheets/d/1BmIruG_sIrJLYao_Pdr7zVArWsfoBt2692TMi6x_854/edit?usp=sharing"",""อ่างทอง!J151"")"),0)</f>
        <v>0</v>
      </c>
      <c r="AC73" s="111">
        <f t="shared" ca="1" si="39"/>
        <v>0</v>
      </c>
      <c r="AD73" s="110">
        <f ca="1">IFERROR(__xludf.DUMMYFUNCTION("IMPORTRANGE(""https://docs.google.com/spreadsheets/d/1BmIruG_sIrJLYao_Pdr7zVArWsfoBt2692TMi6x_854/edit?usp=sharing"",""อ่างทอง!I152"")"),0)</f>
        <v>0</v>
      </c>
      <c r="AE73" s="110">
        <f ca="1">IFERROR(__xludf.DUMMYFUNCTION("IMPORTRANGE(""https://docs.google.com/spreadsheets/d/1BmIruG_sIrJLYao_Pdr7zVArWsfoBt2692TMi6x_854/edit?usp=sharing"",""อ่างทอง!I153"")"),0)</f>
        <v>0</v>
      </c>
      <c r="AF73" s="110">
        <f ca="1">IFERROR(__xludf.DUMMYFUNCTION("IMPORTRANGE(""https://docs.google.com/spreadsheets/d/1BmIruG_sIrJLYao_Pdr7zVArWsfoBt2692TMi6x_854/edit?usp=sharing"",""อ่างทอง!J152"")"),0)</f>
        <v>0</v>
      </c>
      <c r="AG73" s="111">
        <f t="shared" ca="1" si="41"/>
        <v>0</v>
      </c>
      <c r="AH73" s="110">
        <f ca="1">IFERROR(__xludf.DUMMYFUNCTION("IMPORTRANGE(""https://docs.google.com/spreadsheets/d/1BmIruG_sIrJLYao_Pdr7zVArWsfoBt2692TMi6x_854/edit?usp=sharing"",""อ่างทอง!J153"")"),0)</f>
        <v>0</v>
      </c>
      <c r="AI73" s="111">
        <f t="shared" ca="1" si="42"/>
        <v>0</v>
      </c>
      <c r="AJ73" s="110">
        <f ca="1">IFERROR(__xludf.DUMMYFUNCTION("IMPORTRANGE(""https://docs.google.com/spreadsheets/d/1BmIruG_sIrJLYao_Pdr7zVArWsfoBt2692TMi6x_854/edit?usp=sharing"",""อ่างทอง!I154"")"),0)</f>
        <v>0</v>
      </c>
      <c r="AK73" s="110">
        <f ca="1">IFERROR(__xludf.DUMMYFUNCTION("IMPORTRANGE(""https://docs.google.com/spreadsheets/d/1BmIruG_sIrJLYao_Pdr7zVArWsfoBt2692TMi6x_854/edit?usp=sharing"",""อ่างทอง!J154"")"),0)</f>
        <v>0</v>
      </c>
      <c r="AL73" s="111">
        <f t="shared" ca="1" si="44"/>
        <v>0</v>
      </c>
    </row>
    <row r="74" spans="1:38" ht="21" customHeight="1" x14ac:dyDescent="0.3">
      <c r="A74" s="636" t="s">
        <v>100</v>
      </c>
      <c r="B74" s="633"/>
      <c r="C74" s="161">
        <f t="shared" ca="1" si="26"/>
        <v>597100</v>
      </c>
      <c r="D74" s="161">
        <f t="shared" ref="D74:I74" ca="1" si="58">SUM(D75:D88)</f>
        <v>597100</v>
      </c>
      <c r="E74" s="161">
        <f t="shared" ca="1" si="58"/>
        <v>254600</v>
      </c>
      <c r="F74" s="161">
        <f t="shared" ca="1" si="58"/>
        <v>342500</v>
      </c>
      <c r="G74" s="161">
        <f t="shared" ca="1" si="58"/>
        <v>0</v>
      </c>
      <c r="H74" s="161">
        <f t="shared" ca="1" si="58"/>
        <v>562100</v>
      </c>
      <c r="I74" s="161">
        <f t="shared" ca="1" si="58"/>
        <v>0</v>
      </c>
      <c r="J74" s="161">
        <f t="shared" ca="1" si="28"/>
        <v>150599.4</v>
      </c>
      <c r="K74" s="162">
        <f t="shared" ca="1" si="29"/>
        <v>25.221805392731536</v>
      </c>
      <c r="L74" s="161">
        <f ca="1">SUM(L75:L88)</f>
        <v>150599.4</v>
      </c>
      <c r="M74" s="40">
        <f t="shared" ca="1" si="30"/>
        <v>25.221805392731536</v>
      </c>
      <c r="N74" s="40">
        <f t="shared" ca="1" si="31"/>
        <v>26.792278953922789</v>
      </c>
      <c r="O74" s="39">
        <f ca="1">SUM(O75:O88)</f>
        <v>0</v>
      </c>
      <c r="P74" s="39">
        <f t="shared" ca="1" si="32"/>
        <v>0</v>
      </c>
      <c r="Q74" s="40">
        <f t="shared" ca="1" si="33"/>
        <v>0</v>
      </c>
      <c r="R74" s="39">
        <f t="shared" ref="R74:T74" ca="1" si="59">SUM(R75:R88)</f>
        <v>0</v>
      </c>
      <c r="S74" s="39">
        <f t="shared" ca="1" si="59"/>
        <v>0</v>
      </c>
      <c r="T74" s="39">
        <f t="shared" ca="1" si="59"/>
        <v>0</v>
      </c>
      <c r="U74" s="40">
        <f t="shared" ca="1" si="35"/>
        <v>0</v>
      </c>
      <c r="V74" s="40">
        <f t="shared" ca="1" si="36"/>
        <v>0</v>
      </c>
      <c r="W74" s="71">
        <f t="shared" ref="W74:Z74" ca="1" si="60">SUM(W75:W88)</f>
        <v>0</v>
      </c>
      <c r="X74" s="71">
        <f t="shared" ca="1" si="60"/>
        <v>50</v>
      </c>
      <c r="Y74" s="71">
        <f t="shared" ca="1" si="60"/>
        <v>5</v>
      </c>
      <c r="Z74" s="71">
        <f t="shared" ca="1" si="60"/>
        <v>0</v>
      </c>
      <c r="AA74" s="114">
        <f t="shared" ca="1" si="38"/>
        <v>0</v>
      </c>
      <c r="AB74" s="71">
        <f ca="1">SUM(AB75:AB88)</f>
        <v>0</v>
      </c>
      <c r="AC74" s="114">
        <f t="shared" ca="1" si="39"/>
        <v>0</v>
      </c>
      <c r="AD74" s="71">
        <f t="shared" ref="AD74:AF74" ca="1" si="61">SUM(AD75:AD88)</f>
        <v>200</v>
      </c>
      <c r="AE74" s="71">
        <f t="shared" ca="1" si="61"/>
        <v>20</v>
      </c>
      <c r="AF74" s="71">
        <f t="shared" ca="1" si="61"/>
        <v>0</v>
      </c>
      <c r="AG74" s="114">
        <f t="shared" ca="1" si="41"/>
        <v>0</v>
      </c>
      <c r="AH74" s="71">
        <f ca="1">SUM(AH75:AH88)</f>
        <v>0</v>
      </c>
      <c r="AI74" s="114">
        <f t="shared" ca="1" si="42"/>
        <v>0</v>
      </c>
      <c r="AJ74" s="71">
        <f t="shared" ref="AJ74:AK74" ca="1" si="62">SUM(AJ75:AJ88)</f>
        <v>5</v>
      </c>
      <c r="AK74" s="71">
        <f t="shared" ca="1" si="62"/>
        <v>0</v>
      </c>
      <c r="AL74" s="114">
        <f t="shared" ca="1" si="44"/>
        <v>0</v>
      </c>
    </row>
    <row r="75" spans="1:38" ht="21" customHeight="1" x14ac:dyDescent="0.3">
      <c r="A75" s="172">
        <v>1</v>
      </c>
      <c r="B75" s="173" t="s">
        <v>101</v>
      </c>
      <c r="C75" s="174">
        <f t="shared" ca="1" si="26"/>
        <v>0</v>
      </c>
      <c r="D75" s="175">
        <f t="shared" ref="D75:D88" ca="1" si="63">+E75+F75</f>
        <v>0</v>
      </c>
      <c r="E75" s="176">
        <f ca="1">IFERROR(__xludf.DUMMYFUNCTION("IMPORTRANGE(""https://docs.google.com/spreadsheets/d/1-uDff_7J0KD5mKrp0Vvzr7lt3OU09vwQwhkpOPPYv2Y/edit?usp=sharing"",""งบพรบ!BR75"")"),0)</f>
        <v>0</v>
      </c>
      <c r="F75" s="176">
        <f ca="1">IFERROR(__xludf.DUMMYFUNCTION("IMPORTRANGE(""https://docs.google.com/spreadsheets/d/1-uDff_7J0KD5mKrp0Vvzr7lt3OU09vwQwhkpOPPYv2Y/edit?usp=sharing"",""งบพรบ!BS75"")"),0)</f>
        <v>0</v>
      </c>
      <c r="G75" s="176">
        <f ca="1">IFERROR(__xludf.DUMMYFUNCTION("IMPORTRANGE(""https://docs.google.com/spreadsheets/d/1-uDff_7J0KD5mKrp0Vvzr7lt3OU09vwQwhkpOPPYv2Y/edit?usp=sharing"",""งบพรบ!BT75"")"),0)</f>
        <v>0</v>
      </c>
      <c r="H75" s="176">
        <f ca="1">IFERROR(__xludf.DUMMYFUNCTION("IMPORTRANGE(""https://docs.google.com/spreadsheets/d/1-uDff_7J0KD5mKrp0Vvzr7lt3OU09vwQwhkpOPPYv2Y/edit?usp=sharing"",""งบพรบ!BV75"")"),0)</f>
        <v>0</v>
      </c>
      <c r="I75" s="176">
        <f ca="1">IFERROR(__xludf.DUMMYFUNCTION("IMPORTRANGE(""https://docs.google.com/spreadsheets/d/1-uDff_7J0KD5mKrp0Vvzr7lt3OU09vwQwhkpOPPYv2Y/edit?usp=sharing"",""งบพรบ!BW75"")"),0)</f>
        <v>0</v>
      </c>
      <c r="J75" s="176">
        <f t="shared" ca="1" si="28"/>
        <v>0</v>
      </c>
      <c r="K75" s="179">
        <f t="shared" ca="1" si="29"/>
        <v>0</v>
      </c>
      <c r="L75" s="176">
        <f ca="1">IFERROR(__xludf.DUMMYFUNCTION("IMPORTRANGE(""https://docs.google.com/spreadsheets/d/1-uDff_7J0KD5mKrp0Vvzr7lt3OU09vwQwhkpOPPYv2Y/edit?usp=sharing"",""งบพรบ!BX75"")"),0)</f>
        <v>0</v>
      </c>
      <c r="M75" s="87">
        <f t="shared" ca="1" si="30"/>
        <v>0</v>
      </c>
      <c r="N75" s="87">
        <f t="shared" ca="1" si="31"/>
        <v>0</v>
      </c>
      <c r="O75" s="86">
        <f ca="1">IFERROR(__xludf.DUMMYFUNCTION("IMPORTRANGE(""https://docs.google.com/spreadsheets/d/1-uDff_7J0KD5mKrp0Vvzr7lt3OU09vwQwhkpOPPYv2Y/edit?usp=sharing"",""งบพรบ!BY75"")"),0)</f>
        <v>0</v>
      </c>
      <c r="P75" s="86">
        <f t="shared" ca="1" si="32"/>
        <v>0</v>
      </c>
      <c r="Q75" s="87">
        <f t="shared" ca="1" si="33"/>
        <v>0</v>
      </c>
      <c r="R75" s="86">
        <f ca="1">IFERROR(__xludf.DUMMYFUNCTION("IMPORTRANGE(""https://docs.google.com/spreadsheets/d/1kKUcYdkIfrgTSj8iHHHB2MD2FAtwyyocFgqGQn6ADyI/edit?usp=sharing"",""กระบี่!Q139"")"),0)</f>
        <v>0</v>
      </c>
      <c r="S75" s="86">
        <f ca="1">IFERROR(__xludf.DUMMYFUNCTION("IMPORTRANGE(""https://docs.google.com/spreadsheets/d/1kKUcYdkIfrgTSj8iHHHB2MD2FAtwyyocFgqGQn6ADyI/edit?usp=sharing"",""กระบี่!R139"")"),0)</f>
        <v>0</v>
      </c>
      <c r="T75" s="86">
        <f ca="1">IFERROR(__xludf.DUMMYFUNCTION("IMPORTRANGE(""https://docs.google.com/spreadsheets/d/1kKUcYdkIfrgTSj8iHHHB2MD2FAtwyyocFgqGQn6ADyI/edit?usp=sharing"",""กระบี่!S139"")"),0)</f>
        <v>0</v>
      </c>
      <c r="U75" s="87">
        <f t="shared" ca="1" si="35"/>
        <v>0</v>
      </c>
      <c r="V75" s="87">
        <f t="shared" ca="1" si="36"/>
        <v>0</v>
      </c>
      <c r="W75" s="82">
        <f ca="1">IFERROR(__xludf.DUMMYFUNCTION("IMPORTRANGE(""https://docs.google.com/spreadsheets/d/1kKUcYdkIfrgTSj8iHHHB2MD2FAtwyyocFgqGQn6ADyI/edit?usp=sharing"",""กระบี่!J149"")"),0)</f>
        <v>0</v>
      </c>
      <c r="X75" s="82">
        <f ca="1">IFERROR(__xludf.DUMMYFUNCTION("IMPORTRANGE(""https://docs.google.com/spreadsheets/d/1kKUcYdkIfrgTSj8iHHHB2MD2FAtwyyocFgqGQn6ADyI/edit?usp=sharing"",""กระบี่!I150"")"),0)</f>
        <v>0</v>
      </c>
      <c r="Y75" s="82">
        <f ca="1">IFERROR(__xludf.DUMMYFUNCTION("IMPORTRANGE(""https://docs.google.com/spreadsheets/d/1kKUcYdkIfrgTSj8iHHHB2MD2FAtwyyocFgqGQn6ADyI/edit?usp=sharing"",""กระบี่!I151"")"),0)</f>
        <v>0</v>
      </c>
      <c r="Z75" s="82">
        <f ca="1">IFERROR(__xludf.DUMMYFUNCTION("IMPORTRANGE(""https://docs.google.com/spreadsheets/d/1kKUcYdkIfrgTSj8iHHHB2MD2FAtwyyocFgqGQn6ADyI/edit?usp=sharing"",""กระบี่!J150"")"),0)</f>
        <v>0</v>
      </c>
      <c r="AA75" s="88">
        <f t="shared" ca="1" si="38"/>
        <v>0</v>
      </c>
      <c r="AB75" s="82">
        <f ca="1">IFERROR(__xludf.DUMMYFUNCTION("IMPORTRANGE(""https://docs.google.com/spreadsheets/d/1kKUcYdkIfrgTSj8iHHHB2MD2FAtwyyocFgqGQn6ADyI/edit?usp=sharing"",""กระบี่!J151"")"),0)</f>
        <v>0</v>
      </c>
      <c r="AC75" s="88">
        <f t="shared" ca="1" si="39"/>
        <v>0</v>
      </c>
      <c r="AD75" s="82">
        <f ca="1">IFERROR(__xludf.DUMMYFUNCTION("IMPORTRANGE(""https://docs.google.com/spreadsheets/d/1kKUcYdkIfrgTSj8iHHHB2MD2FAtwyyocFgqGQn6ADyI/edit?usp=sharing"",""กระบี่!I152"")"),0)</f>
        <v>0</v>
      </c>
      <c r="AE75" s="82">
        <f ca="1">IFERROR(__xludf.DUMMYFUNCTION("IMPORTRANGE(""https://docs.google.com/spreadsheets/d/1kKUcYdkIfrgTSj8iHHHB2MD2FAtwyyocFgqGQn6ADyI/edit?usp=sharing"",""กระบี่!I153"")"),0)</f>
        <v>0</v>
      </c>
      <c r="AF75" s="82">
        <f ca="1">IFERROR(__xludf.DUMMYFUNCTION("IMPORTRANGE(""https://docs.google.com/spreadsheets/d/1kKUcYdkIfrgTSj8iHHHB2MD2FAtwyyocFgqGQn6ADyI/edit?usp=sharing"",""กระบี่!J152"")"),0)</f>
        <v>0</v>
      </c>
      <c r="AG75" s="88">
        <f t="shared" ca="1" si="41"/>
        <v>0</v>
      </c>
      <c r="AH75" s="82">
        <f ca="1">IFERROR(__xludf.DUMMYFUNCTION("IMPORTRANGE(""https://docs.google.com/spreadsheets/d/1kKUcYdkIfrgTSj8iHHHB2MD2FAtwyyocFgqGQn6ADyI/edit?usp=sharing"",""กระบี่!J153"")"),0)</f>
        <v>0</v>
      </c>
      <c r="AI75" s="88">
        <f t="shared" ca="1" si="42"/>
        <v>0</v>
      </c>
      <c r="AJ75" s="82">
        <f ca="1">IFERROR(__xludf.DUMMYFUNCTION("IMPORTRANGE(""https://docs.google.com/spreadsheets/d/1kKUcYdkIfrgTSj8iHHHB2MD2FAtwyyocFgqGQn6ADyI/edit?usp=sharing"",""กระบี่!I154"")"),0)</f>
        <v>0</v>
      </c>
      <c r="AK75" s="82">
        <f ca="1">IFERROR(__xludf.DUMMYFUNCTION("IMPORTRANGE(""https://docs.google.com/spreadsheets/d/1kKUcYdkIfrgTSj8iHHHB2MD2FAtwyyocFgqGQn6ADyI/edit?usp=sharing"",""กระบี่!J154"")"),0)</f>
        <v>0</v>
      </c>
      <c r="AL75" s="88">
        <f t="shared" ca="1" si="44"/>
        <v>0</v>
      </c>
    </row>
    <row r="76" spans="1:38" ht="21" customHeight="1" x14ac:dyDescent="0.3">
      <c r="A76" s="172">
        <v>2</v>
      </c>
      <c r="B76" s="173" t="s">
        <v>102</v>
      </c>
      <c r="C76" s="174">
        <f t="shared" ca="1" si="26"/>
        <v>111200</v>
      </c>
      <c r="D76" s="175">
        <f t="shared" ca="1" si="63"/>
        <v>111200</v>
      </c>
      <c r="E76" s="176">
        <f ca="1">IFERROR(__xludf.DUMMYFUNCTION("IMPORTRANGE(""https://docs.google.com/spreadsheets/d/1-uDff_7J0KD5mKrp0Vvzr7lt3OU09vwQwhkpOPPYv2Y/edit?usp=sharing"",""งบพรบ!BR76"")"),79600)</f>
        <v>79600</v>
      </c>
      <c r="F76" s="176">
        <f ca="1">IFERROR(__xludf.DUMMYFUNCTION("IMPORTRANGE(""https://docs.google.com/spreadsheets/d/1-uDff_7J0KD5mKrp0Vvzr7lt3OU09vwQwhkpOPPYv2Y/edit?usp=sharing"",""งบพรบ!BS76"")"),31600)</f>
        <v>31600</v>
      </c>
      <c r="G76" s="176">
        <f ca="1">IFERROR(__xludf.DUMMYFUNCTION("IMPORTRANGE(""https://docs.google.com/spreadsheets/d/1-uDff_7J0KD5mKrp0Vvzr7lt3OU09vwQwhkpOPPYv2Y/edit?usp=sharing"",""งบพรบ!BT76"")"),0)</f>
        <v>0</v>
      </c>
      <c r="H76" s="176">
        <f ca="1">IFERROR(__xludf.DUMMYFUNCTION("IMPORTRANGE(""https://docs.google.com/spreadsheets/d/1-uDff_7J0KD5mKrp0Vvzr7lt3OU09vwQwhkpOPPYv2Y/edit?usp=sharing"",""งบพรบ!BV76"")"),106200)</f>
        <v>106200</v>
      </c>
      <c r="I76" s="176">
        <f ca="1">IFERROR(__xludf.DUMMYFUNCTION("IMPORTRANGE(""https://docs.google.com/spreadsheets/d/1-uDff_7J0KD5mKrp0Vvzr7lt3OU09vwQwhkpOPPYv2Y/edit?usp=sharing"",""งบพรบ!BW76"")"),0)</f>
        <v>0</v>
      </c>
      <c r="J76" s="176">
        <f t="shared" ca="1" si="28"/>
        <v>50970</v>
      </c>
      <c r="K76" s="179">
        <f t="shared" ca="1" si="29"/>
        <v>45.836330935251802</v>
      </c>
      <c r="L76" s="176">
        <f ca="1">IFERROR(__xludf.DUMMYFUNCTION("IMPORTRANGE(""https://docs.google.com/spreadsheets/d/1-uDff_7J0KD5mKrp0Vvzr7lt3OU09vwQwhkpOPPYv2Y/edit?usp=sharing"",""งบพรบ!BX76"")"),50970)</f>
        <v>50970</v>
      </c>
      <c r="M76" s="87">
        <f t="shared" ca="1" si="30"/>
        <v>45.836330935251802</v>
      </c>
      <c r="N76" s="87">
        <f t="shared" ca="1" si="31"/>
        <v>47.994350282485875</v>
      </c>
      <c r="O76" s="86">
        <f ca="1">IFERROR(__xludf.DUMMYFUNCTION("IMPORTRANGE(""https://docs.google.com/spreadsheets/d/1-uDff_7J0KD5mKrp0Vvzr7lt3OU09vwQwhkpOPPYv2Y/edit?usp=sharing"",""งบพรบ!BY76"")"),0)</f>
        <v>0</v>
      </c>
      <c r="P76" s="86">
        <f t="shared" ca="1" si="32"/>
        <v>0</v>
      </c>
      <c r="Q76" s="87">
        <f t="shared" ca="1" si="33"/>
        <v>0</v>
      </c>
      <c r="R76" s="86">
        <f ca="1">IFERROR(__xludf.DUMMYFUNCTION("IMPORTRANGE(""https://docs.google.com/spreadsheets/d/1GwtLaSlNZkLk7iDqcyZz22giiy40b_usZZBXYciEN1U/edit?usp=sharing"",""ชุมพร!Q139"")"),0)</f>
        <v>0</v>
      </c>
      <c r="S76" s="86">
        <f ca="1">IFERROR(__xludf.DUMMYFUNCTION("IMPORTRANGE(""https://docs.google.com/spreadsheets/d/1GwtLaSlNZkLk7iDqcyZz22giiy40b_usZZBXYciEN1U/edit?usp=sharing"",""ชุมพร!R139"")"),0)</f>
        <v>0</v>
      </c>
      <c r="T76" s="86">
        <f ca="1">IFERROR(__xludf.DUMMYFUNCTION("IMPORTRANGE(""https://docs.google.com/spreadsheets/d/1GwtLaSlNZkLk7iDqcyZz22giiy40b_usZZBXYciEN1U/edit?usp=sharing"",""ชุมพร!S139"")"),0)</f>
        <v>0</v>
      </c>
      <c r="U76" s="87">
        <f t="shared" ca="1" si="35"/>
        <v>0</v>
      </c>
      <c r="V76" s="87">
        <f t="shared" ca="1" si="36"/>
        <v>0</v>
      </c>
      <c r="W76" s="97">
        <f ca="1">IFERROR(__xludf.DUMMYFUNCTION("IMPORTRANGE(""https://docs.google.com/spreadsheets/d/1GwtLaSlNZkLk7iDqcyZz22giiy40b_usZZBXYciEN1U/edit?usp=sharing"",""ชุมพร!J149"")"),0)</f>
        <v>0</v>
      </c>
      <c r="X76" s="97">
        <f ca="1">IFERROR(__xludf.DUMMYFUNCTION("IMPORTRANGE(""https://docs.google.com/spreadsheets/d/1GwtLaSlNZkLk7iDqcyZz22giiy40b_usZZBXYciEN1U/edit?usp=sharing"",""ชุมพร!I150"")"),0)</f>
        <v>0</v>
      </c>
      <c r="Y76" s="97">
        <f ca="1">IFERROR(__xludf.DUMMYFUNCTION("IMPORTRANGE(""https://docs.google.com/spreadsheets/d/1GwtLaSlNZkLk7iDqcyZz22giiy40b_usZZBXYciEN1U/edit?usp=sharing"",""ชุมพร!I151"")"),0)</f>
        <v>0</v>
      </c>
      <c r="Z76" s="97">
        <f ca="1">IFERROR(__xludf.DUMMYFUNCTION("IMPORTRANGE(""https://docs.google.com/spreadsheets/d/1GwtLaSlNZkLk7iDqcyZz22giiy40b_usZZBXYciEN1U/edit?usp=sharing"",""ชุมพร!J150"")"),0)</f>
        <v>0</v>
      </c>
      <c r="AA76" s="98">
        <f t="shared" ca="1" si="38"/>
        <v>0</v>
      </c>
      <c r="AB76" s="97">
        <f ca="1">IFERROR(__xludf.DUMMYFUNCTION("IMPORTRANGE(""https://docs.google.com/spreadsheets/d/1GwtLaSlNZkLk7iDqcyZz22giiy40b_usZZBXYciEN1U/edit?usp=sharing"",""ชุมพร!J151"")"),0)</f>
        <v>0</v>
      </c>
      <c r="AC76" s="98">
        <f t="shared" ca="1" si="39"/>
        <v>0</v>
      </c>
      <c r="AD76" s="97">
        <f ca="1">IFERROR(__xludf.DUMMYFUNCTION("IMPORTRANGE(""https://docs.google.com/spreadsheets/d/1GwtLaSlNZkLk7iDqcyZz22giiy40b_usZZBXYciEN1U/edit?usp=sharing"",""ชุมพร!I152"")"),20)</f>
        <v>20</v>
      </c>
      <c r="AE76" s="97">
        <f ca="1">IFERROR(__xludf.DUMMYFUNCTION("IMPORTRANGE(""https://docs.google.com/spreadsheets/d/1GwtLaSlNZkLk7iDqcyZz22giiy40b_usZZBXYciEN1U/edit?usp=sharing"",""ชุมพร!I153"")"),2)</f>
        <v>2</v>
      </c>
      <c r="AF76" s="97">
        <f ca="1">IFERROR(__xludf.DUMMYFUNCTION("IMPORTRANGE(""https://docs.google.com/spreadsheets/d/1GwtLaSlNZkLk7iDqcyZz22giiy40b_usZZBXYciEN1U/edit?usp=sharing"",""ชุมพร!J152"")"),0)</f>
        <v>0</v>
      </c>
      <c r="AG76" s="98">
        <f t="shared" ca="1" si="41"/>
        <v>0</v>
      </c>
      <c r="AH76" s="97">
        <f ca="1">IFERROR(__xludf.DUMMYFUNCTION("IMPORTRANGE(""https://docs.google.com/spreadsheets/d/1GwtLaSlNZkLk7iDqcyZz22giiy40b_usZZBXYciEN1U/edit?usp=sharing"",""ชุมพร!J153"")"),0)</f>
        <v>0</v>
      </c>
      <c r="AI76" s="98">
        <f t="shared" ca="1" si="42"/>
        <v>0</v>
      </c>
      <c r="AJ76" s="97">
        <f ca="1">IFERROR(__xludf.DUMMYFUNCTION("IMPORTRANGE(""https://docs.google.com/spreadsheets/d/1GwtLaSlNZkLk7iDqcyZz22giiy40b_usZZBXYciEN1U/edit?usp=sharing"",""ชุมพร!I154"")"),0)</f>
        <v>0</v>
      </c>
      <c r="AK76" s="97">
        <f ca="1">IFERROR(__xludf.DUMMYFUNCTION("IMPORTRANGE(""https://docs.google.com/spreadsheets/d/1GwtLaSlNZkLk7iDqcyZz22giiy40b_usZZBXYciEN1U/edit?usp=sharing"",""ชุมพร!J154"")"),0)</f>
        <v>0</v>
      </c>
      <c r="AL76" s="98">
        <f t="shared" ca="1" si="44"/>
        <v>0</v>
      </c>
    </row>
    <row r="77" spans="1:38" ht="21" customHeight="1" x14ac:dyDescent="0.3">
      <c r="A77" s="172">
        <v>3</v>
      </c>
      <c r="B77" s="173" t="s">
        <v>103</v>
      </c>
      <c r="C77" s="174">
        <f t="shared" ca="1" si="26"/>
        <v>137700</v>
      </c>
      <c r="D77" s="175">
        <f t="shared" ca="1" si="63"/>
        <v>137700</v>
      </c>
      <c r="E77" s="176">
        <f ca="1">IFERROR(__xludf.DUMMYFUNCTION("IMPORTRANGE(""https://docs.google.com/spreadsheets/d/1-uDff_7J0KD5mKrp0Vvzr7lt3OU09vwQwhkpOPPYv2Y/edit?usp=sharing"",""งบพรบ!BR77"")"),87800)</f>
        <v>87800</v>
      </c>
      <c r="F77" s="176">
        <f ca="1">IFERROR(__xludf.DUMMYFUNCTION("IMPORTRANGE(""https://docs.google.com/spreadsheets/d/1-uDff_7J0KD5mKrp0Vvzr7lt3OU09vwQwhkpOPPYv2Y/edit?usp=sharing"",""งบพรบ!BS77"")"),49900)</f>
        <v>49900</v>
      </c>
      <c r="G77" s="176">
        <f ca="1">IFERROR(__xludf.DUMMYFUNCTION("IMPORTRANGE(""https://docs.google.com/spreadsheets/d/1-uDff_7J0KD5mKrp0Vvzr7lt3OU09vwQwhkpOPPYv2Y/edit?usp=sharing"",""งบพรบ!BT77"")"),0)</f>
        <v>0</v>
      </c>
      <c r="H77" s="176">
        <f ca="1">IFERROR(__xludf.DUMMYFUNCTION("IMPORTRANGE(""https://docs.google.com/spreadsheets/d/1-uDff_7J0KD5mKrp0Vvzr7lt3OU09vwQwhkpOPPYv2Y/edit?usp=sharing"",""งบพรบ!BV77"")"),132700)</f>
        <v>132700</v>
      </c>
      <c r="I77" s="176">
        <f ca="1">IFERROR(__xludf.DUMMYFUNCTION("IMPORTRANGE(""https://docs.google.com/spreadsheets/d/1-uDff_7J0KD5mKrp0Vvzr7lt3OU09vwQwhkpOPPYv2Y/edit?usp=sharing"",""งบพรบ!BW77"")"),0)</f>
        <v>0</v>
      </c>
      <c r="J77" s="176">
        <f t="shared" ca="1" si="28"/>
        <v>55979.4</v>
      </c>
      <c r="K77" s="179">
        <f t="shared" ca="1" si="29"/>
        <v>40.653159041394332</v>
      </c>
      <c r="L77" s="176">
        <f ca="1">IFERROR(__xludf.DUMMYFUNCTION("IMPORTRANGE(""https://docs.google.com/spreadsheets/d/1-uDff_7J0KD5mKrp0Vvzr7lt3OU09vwQwhkpOPPYv2Y/edit?usp=sharing"",""งบพรบ!BX77"")"),55979.4)</f>
        <v>55979.4</v>
      </c>
      <c r="M77" s="87">
        <f t="shared" ca="1" si="30"/>
        <v>40.653159041394332</v>
      </c>
      <c r="N77" s="87">
        <f t="shared" ca="1" si="31"/>
        <v>42.184928409947247</v>
      </c>
      <c r="O77" s="86">
        <f ca="1">IFERROR(__xludf.DUMMYFUNCTION("IMPORTRANGE(""https://docs.google.com/spreadsheets/d/1-uDff_7J0KD5mKrp0Vvzr7lt3OU09vwQwhkpOPPYv2Y/edit?usp=sharing"",""งบพรบ!BY77"")"),0)</f>
        <v>0</v>
      </c>
      <c r="P77" s="86">
        <f t="shared" ca="1" si="32"/>
        <v>0</v>
      </c>
      <c r="Q77" s="87">
        <f t="shared" ca="1" si="33"/>
        <v>0</v>
      </c>
      <c r="R77" s="86">
        <f ca="1">IFERROR(__xludf.DUMMYFUNCTION("IMPORTRANGE(""https://docs.google.com/spreadsheets/d/16pAz3pOhQEZBhvFNMa5KGgZS6iKWpsKX0pg6tQmwFpo/edit?usp=sharing"",""ตรัง!Q139"")"),0)</f>
        <v>0</v>
      </c>
      <c r="S77" s="86">
        <f ca="1">IFERROR(__xludf.DUMMYFUNCTION("IMPORTRANGE(""https://docs.google.com/spreadsheets/d/16pAz3pOhQEZBhvFNMa5KGgZS6iKWpsKX0pg6tQmwFpo/edit?usp=sharing"",""ตรัง!R139"")"),0)</f>
        <v>0</v>
      </c>
      <c r="T77" s="86">
        <f ca="1">IFERROR(__xludf.DUMMYFUNCTION("IMPORTRANGE(""https://docs.google.com/spreadsheets/d/16pAz3pOhQEZBhvFNMa5KGgZS6iKWpsKX0pg6tQmwFpo/edit?usp=sharing"",""ตรัง!S139"")"),0)</f>
        <v>0</v>
      </c>
      <c r="U77" s="87">
        <f t="shared" ca="1" si="35"/>
        <v>0</v>
      </c>
      <c r="V77" s="87">
        <f t="shared" ca="1" si="36"/>
        <v>0</v>
      </c>
      <c r="W77" s="97">
        <f ca="1">IFERROR(__xludf.DUMMYFUNCTION("IMPORTRANGE(""https://docs.google.com/spreadsheets/d/16pAz3pOhQEZBhvFNMa5KGgZS6iKWpsKX0pg6tQmwFpo/edit?usp=sharing"",""ตรัง!J149"")"),0)</f>
        <v>0</v>
      </c>
      <c r="X77" s="97">
        <f ca="1">IFERROR(__xludf.DUMMYFUNCTION("IMPORTRANGE(""https://docs.google.com/spreadsheets/d/16pAz3pOhQEZBhvFNMa5KGgZS6iKWpsKX0pg6tQmwFpo/edit?usp=sharing"",""ตรัง!I150"")"),10)</f>
        <v>10</v>
      </c>
      <c r="Y77" s="97">
        <f ca="1">IFERROR(__xludf.DUMMYFUNCTION("IMPORTRANGE(""https://docs.google.com/spreadsheets/d/16pAz3pOhQEZBhvFNMa5KGgZS6iKWpsKX0pg6tQmwFpo/edit?usp=sharing"",""ตรัง!I151"")"),1)</f>
        <v>1</v>
      </c>
      <c r="Z77" s="97">
        <f ca="1">IFERROR(__xludf.DUMMYFUNCTION("IMPORTRANGE(""https://docs.google.com/spreadsheets/d/16pAz3pOhQEZBhvFNMa5KGgZS6iKWpsKX0pg6tQmwFpo/edit?usp=sharing"",""ตรัง!J150"")"),0)</f>
        <v>0</v>
      </c>
      <c r="AA77" s="98">
        <f t="shared" ca="1" si="38"/>
        <v>0</v>
      </c>
      <c r="AB77" s="97">
        <f ca="1">IFERROR(__xludf.DUMMYFUNCTION("IMPORTRANGE(""https://docs.google.com/spreadsheets/d/16pAz3pOhQEZBhvFNMa5KGgZS6iKWpsKX0pg6tQmwFpo/edit?usp=sharing"",""ตรัง!J151"")"),0)</f>
        <v>0</v>
      </c>
      <c r="AC77" s="98">
        <f t="shared" ca="1" si="39"/>
        <v>0</v>
      </c>
      <c r="AD77" s="97">
        <f ca="1">IFERROR(__xludf.DUMMYFUNCTION("IMPORTRANGE(""https://docs.google.com/spreadsheets/d/16pAz3pOhQEZBhvFNMa5KGgZS6iKWpsKX0pg6tQmwFpo/edit?usp=sharing"",""ตรัง!I152"")"),20)</f>
        <v>20</v>
      </c>
      <c r="AE77" s="97">
        <f ca="1">IFERROR(__xludf.DUMMYFUNCTION("IMPORTRANGE(""https://docs.google.com/spreadsheets/d/16pAz3pOhQEZBhvFNMa5KGgZS6iKWpsKX0pg6tQmwFpo/edit?usp=sharing"",""ตรัง!I153"")"),2)</f>
        <v>2</v>
      </c>
      <c r="AF77" s="97">
        <f ca="1">IFERROR(__xludf.DUMMYFUNCTION("IMPORTRANGE(""https://docs.google.com/spreadsheets/d/16pAz3pOhQEZBhvFNMa5KGgZS6iKWpsKX0pg6tQmwFpo/edit?usp=sharing"",""ตรัง!J152"")"),0)</f>
        <v>0</v>
      </c>
      <c r="AG77" s="98">
        <f t="shared" ca="1" si="41"/>
        <v>0</v>
      </c>
      <c r="AH77" s="97">
        <f ca="1">IFERROR(__xludf.DUMMYFUNCTION("IMPORTRANGE(""https://docs.google.com/spreadsheets/d/16pAz3pOhQEZBhvFNMa5KGgZS6iKWpsKX0pg6tQmwFpo/edit?usp=sharing"",""ตรัง!J153"")"),0)</f>
        <v>0</v>
      </c>
      <c r="AI77" s="98">
        <f t="shared" ca="1" si="42"/>
        <v>0</v>
      </c>
      <c r="AJ77" s="97">
        <f ca="1">IFERROR(__xludf.DUMMYFUNCTION("IMPORTRANGE(""https://docs.google.com/spreadsheets/d/16pAz3pOhQEZBhvFNMa5KGgZS6iKWpsKX0pg6tQmwFpo/edit?usp=sharing"",""ตรัง!I154"")"),1)</f>
        <v>1</v>
      </c>
      <c r="AK77" s="97">
        <f ca="1">IFERROR(__xludf.DUMMYFUNCTION("IMPORTRANGE(""https://docs.google.com/spreadsheets/d/16pAz3pOhQEZBhvFNMa5KGgZS6iKWpsKX0pg6tQmwFpo/edit?usp=sharing"",""ตรัง!J154"")"),0)</f>
        <v>0</v>
      </c>
      <c r="AL77" s="98">
        <f t="shared" ca="1" si="44"/>
        <v>0</v>
      </c>
    </row>
    <row r="78" spans="1:38" ht="21" customHeight="1" x14ac:dyDescent="0.3">
      <c r="A78" s="172">
        <v>4</v>
      </c>
      <c r="B78" s="173" t="s">
        <v>104</v>
      </c>
      <c r="C78" s="174">
        <f t="shared" ca="1" si="26"/>
        <v>135400</v>
      </c>
      <c r="D78" s="175">
        <f t="shared" ca="1" si="63"/>
        <v>135400</v>
      </c>
      <c r="E78" s="176">
        <f ca="1">IFERROR(__xludf.DUMMYFUNCTION("IMPORTRANGE(""https://docs.google.com/spreadsheets/d/1-uDff_7J0KD5mKrp0Vvzr7lt3OU09vwQwhkpOPPYv2Y/edit?usp=sharing"",""งบพรบ!BR78"")"),87200)</f>
        <v>87200</v>
      </c>
      <c r="F78" s="176">
        <f ca="1">IFERROR(__xludf.DUMMYFUNCTION("IMPORTRANGE(""https://docs.google.com/spreadsheets/d/1-uDff_7J0KD5mKrp0Vvzr7lt3OU09vwQwhkpOPPYv2Y/edit?usp=sharing"",""งบพรบ!BS78"")"),48200)</f>
        <v>48200</v>
      </c>
      <c r="G78" s="176">
        <f ca="1">IFERROR(__xludf.DUMMYFUNCTION("IMPORTRANGE(""https://docs.google.com/spreadsheets/d/1-uDff_7J0KD5mKrp0Vvzr7lt3OU09vwQwhkpOPPYv2Y/edit?usp=sharing"",""งบพรบ!BT78"")"),0)</f>
        <v>0</v>
      </c>
      <c r="H78" s="176">
        <f ca="1">IFERROR(__xludf.DUMMYFUNCTION("IMPORTRANGE(""https://docs.google.com/spreadsheets/d/1-uDff_7J0KD5mKrp0Vvzr7lt3OU09vwQwhkpOPPYv2Y/edit?usp=sharing"",""งบพรบ!BV78"")"),130400)</f>
        <v>130400</v>
      </c>
      <c r="I78" s="176">
        <f ca="1">IFERROR(__xludf.DUMMYFUNCTION("IMPORTRANGE(""https://docs.google.com/spreadsheets/d/1-uDff_7J0KD5mKrp0Vvzr7lt3OU09vwQwhkpOPPYv2Y/edit?usp=sharing"",""งบพรบ!BW78"")"),0)</f>
        <v>0</v>
      </c>
      <c r="J78" s="176">
        <f t="shared" ca="1" si="28"/>
        <v>43650</v>
      </c>
      <c r="K78" s="179">
        <f t="shared" ca="1" si="29"/>
        <v>32.237813884785822</v>
      </c>
      <c r="L78" s="176">
        <f ca="1">IFERROR(__xludf.DUMMYFUNCTION("IMPORTRANGE(""https://docs.google.com/spreadsheets/d/1-uDff_7J0KD5mKrp0Vvzr7lt3OU09vwQwhkpOPPYv2Y/edit?usp=sharing"",""งบพรบ!BX78"")"),43650)</f>
        <v>43650</v>
      </c>
      <c r="M78" s="87">
        <f t="shared" ca="1" si="30"/>
        <v>32.237813884785822</v>
      </c>
      <c r="N78" s="87">
        <f t="shared" ca="1" si="31"/>
        <v>33.473926380368098</v>
      </c>
      <c r="O78" s="86">
        <f ca="1">IFERROR(__xludf.DUMMYFUNCTION("IMPORTRANGE(""https://docs.google.com/spreadsheets/d/1-uDff_7J0KD5mKrp0Vvzr7lt3OU09vwQwhkpOPPYv2Y/edit?usp=sharing"",""งบพรบ!BY78"")"),0)</f>
        <v>0</v>
      </c>
      <c r="P78" s="86">
        <f t="shared" ca="1" si="32"/>
        <v>0</v>
      </c>
      <c r="Q78" s="87">
        <f t="shared" ca="1" si="33"/>
        <v>0</v>
      </c>
      <c r="R78" s="86">
        <f ca="1">IFERROR(__xludf.DUMMYFUNCTION("IMPORTRANGE(""https://docs.google.com/spreadsheets/d/1Dj4jcHCTV9JXKCaMoheSXS52JE63kDKyG7bPXnFogHk/edit?usp=sharing"",""นครศรีธรรมราช!Q139"")"),0)</f>
        <v>0</v>
      </c>
      <c r="S78" s="86">
        <f ca="1">IFERROR(__xludf.DUMMYFUNCTION("IMPORTRANGE(""https://docs.google.com/spreadsheets/d/1Dj4jcHCTV9JXKCaMoheSXS52JE63kDKyG7bPXnFogHk/edit?usp=sharing"",""นครศรีธรรมราช!R139"")"),0)</f>
        <v>0</v>
      </c>
      <c r="T78" s="86">
        <f ca="1">IFERROR(__xludf.DUMMYFUNCTION("IMPORTRANGE(""https://docs.google.com/spreadsheets/d/1Dj4jcHCTV9JXKCaMoheSXS52JE63kDKyG7bPXnFogHk/edit?usp=sharing"",""นครศรีธรรมราช!S139"")"),0)</f>
        <v>0</v>
      </c>
      <c r="U78" s="87">
        <f t="shared" ca="1" si="35"/>
        <v>0</v>
      </c>
      <c r="V78" s="87">
        <f t="shared" ca="1" si="36"/>
        <v>0</v>
      </c>
      <c r="W78" s="97">
        <f ca="1">IFERROR(__xludf.DUMMYFUNCTION("IMPORTRANGE(""https://docs.google.com/spreadsheets/d/1Dj4jcHCTV9JXKCaMoheSXS52JE63kDKyG7bPXnFogHk/edit?usp=sharing"",""นครศรีธรรมราช!J149"")"),0)</f>
        <v>0</v>
      </c>
      <c r="X78" s="97">
        <f ca="1">IFERROR(__xludf.DUMMYFUNCTION("IMPORTRANGE(""https://docs.google.com/spreadsheets/d/1Dj4jcHCTV9JXKCaMoheSXS52JE63kDKyG7bPXnFogHk/edit?usp=sharing"",""นครศรีธรรมราช!I150"")"),0)</f>
        <v>0</v>
      </c>
      <c r="Y78" s="97">
        <f ca="1">IFERROR(__xludf.DUMMYFUNCTION("IMPORTRANGE(""https://docs.google.com/spreadsheets/d/1Dj4jcHCTV9JXKCaMoheSXS52JE63kDKyG7bPXnFogHk/edit?usp=sharing"",""นครศรีธรรมราช!I151"")"),0)</f>
        <v>0</v>
      </c>
      <c r="Z78" s="97">
        <f ca="1">IFERROR(__xludf.DUMMYFUNCTION("IMPORTRANGE(""https://docs.google.com/spreadsheets/d/1Dj4jcHCTV9JXKCaMoheSXS52JE63kDKyG7bPXnFogHk/edit?usp=sharing"",""นครศรีธรรมราช!J150"")"),0)</f>
        <v>0</v>
      </c>
      <c r="AA78" s="98">
        <f t="shared" ca="1" si="38"/>
        <v>0</v>
      </c>
      <c r="AB78" s="97">
        <f ca="1">IFERROR(__xludf.DUMMYFUNCTION("IMPORTRANGE(""https://docs.google.com/spreadsheets/d/1Dj4jcHCTV9JXKCaMoheSXS52JE63kDKyG7bPXnFogHk/edit?usp=sharing"",""นครศรีธรรมราช!J151"")"),0)</f>
        <v>0</v>
      </c>
      <c r="AC78" s="98">
        <f t="shared" ca="1" si="39"/>
        <v>0</v>
      </c>
      <c r="AD78" s="97">
        <f ca="1">IFERROR(__xludf.DUMMYFUNCTION("IMPORTRANGE(""https://docs.google.com/spreadsheets/d/1Dj4jcHCTV9JXKCaMoheSXS52JE63kDKyG7bPXnFogHk/edit?usp=sharing"",""นครศรีธรรมราช!I152"")"),40)</f>
        <v>40</v>
      </c>
      <c r="AE78" s="97">
        <f ca="1">IFERROR(__xludf.DUMMYFUNCTION("IMPORTRANGE(""https://docs.google.com/spreadsheets/d/1Dj4jcHCTV9JXKCaMoheSXS52JE63kDKyG7bPXnFogHk/edit?usp=sharing"",""นครศรีธรรมราช!I153"")"),4)</f>
        <v>4</v>
      </c>
      <c r="AF78" s="97">
        <f ca="1">IFERROR(__xludf.DUMMYFUNCTION("IMPORTRANGE(""https://docs.google.com/spreadsheets/d/1Dj4jcHCTV9JXKCaMoheSXS52JE63kDKyG7bPXnFogHk/edit?usp=sharing"",""นครศรีธรรมราช!J152"")"),0)</f>
        <v>0</v>
      </c>
      <c r="AG78" s="98">
        <f t="shared" ca="1" si="41"/>
        <v>0</v>
      </c>
      <c r="AH78" s="97">
        <f ca="1">IFERROR(__xludf.DUMMYFUNCTION("IMPORTRANGE(""https://docs.google.com/spreadsheets/d/1Dj4jcHCTV9JXKCaMoheSXS52JE63kDKyG7bPXnFogHk/edit?usp=sharing"",""นครศรีธรรมราช!J153"")"),0)</f>
        <v>0</v>
      </c>
      <c r="AI78" s="98">
        <f t="shared" ca="1" si="42"/>
        <v>0</v>
      </c>
      <c r="AJ78" s="97">
        <f ca="1">IFERROR(__xludf.DUMMYFUNCTION("IMPORTRANGE(""https://docs.google.com/spreadsheets/d/1Dj4jcHCTV9JXKCaMoheSXS52JE63kDKyG7bPXnFogHk/edit?usp=sharing"",""นครศรีธรรมราช!I154"")"),0)</f>
        <v>0</v>
      </c>
      <c r="AK78" s="97">
        <f ca="1">IFERROR(__xludf.DUMMYFUNCTION("IMPORTRANGE(""https://docs.google.com/spreadsheets/d/1Dj4jcHCTV9JXKCaMoheSXS52JE63kDKyG7bPXnFogHk/edit?usp=sharing"",""นครศรีธรรมราช!J154"")"),0)</f>
        <v>0</v>
      </c>
      <c r="AL78" s="98">
        <f t="shared" ca="1" si="44"/>
        <v>0</v>
      </c>
    </row>
    <row r="79" spans="1:38" ht="21" customHeight="1" x14ac:dyDescent="0.3">
      <c r="A79" s="172">
        <v>5</v>
      </c>
      <c r="B79" s="173" t="s">
        <v>105</v>
      </c>
      <c r="C79" s="174">
        <f t="shared" ca="1" si="26"/>
        <v>0</v>
      </c>
      <c r="D79" s="175">
        <f t="shared" ca="1" si="63"/>
        <v>0</v>
      </c>
      <c r="E79" s="176">
        <f ca="1">IFERROR(__xludf.DUMMYFUNCTION("IMPORTRANGE(""https://docs.google.com/spreadsheets/d/1-uDff_7J0KD5mKrp0Vvzr7lt3OU09vwQwhkpOPPYv2Y/edit?usp=sharing"",""งบพรบ!BR79"")"),0)</f>
        <v>0</v>
      </c>
      <c r="F79" s="176">
        <f ca="1">IFERROR(__xludf.DUMMYFUNCTION("IMPORTRANGE(""https://docs.google.com/spreadsheets/d/1-uDff_7J0KD5mKrp0Vvzr7lt3OU09vwQwhkpOPPYv2Y/edit?usp=sharing"",""งบพรบ!BS79"")"),0)</f>
        <v>0</v>
      </c>
      <c r="G79" s="176">
        <f ca="1">IFERROR(__xludf.DUMMYFUNCTION("IMPORTRANGE(""https://docs.google.com/spreadsheets/d/1-uDff_7J0KD5mKrp0Vvzr7lt3OU09vwQwhkpOPPYv2Y/edit?usp=sharing"",""งบพรบ!BT79"")"),0)</f>
        <v>0</v>
      </c>
      <c r="H79" s="176">
        <f ca="1">IFERROR(__xludf.DUMMYFUNCTION("IMPORTRANGE(""https://docs.google.com/spreadsheets/d/1-uDff_7J0KD5mKrp0Vvzr7lt3OU09vwQwhkpOPPYv2Y/edit?usp=sharing"",""งบพรบ!BV79"")"),0)</f>
        <v>0</v>
      </c>
      <c r="I79" s="176">
        <f ca="1">IFERROR(__xludf.DUMMYFUNCTION("IMPORTRANGE(""https://docs.google.com/spreadsheets/d/1-uDff_7J0KD5mKrp0Vvzr7lt3OU09vwQwhkpOPPYv2Y/edit?usp=sharing"",""งบพรบ!BW79"")"),0)</f>
        <v>0</v>
      </c>
      <c r="J79" s="176">
        <f t="shared" ca="1" si="28"/>
        <v>0</v>
      </c>
      <c r="K79" s="179">
        <f t="shared" ca="1" si="29"/>
        <v>0</v>
      </c>
      <c r="L79" s="176">
        <f ca="1">IFERROR(__xludf.DUMMYFUNCTION("IMPORTRANGE(""https://docs.google.com/spreadsheets/d/1-uDff_7J0KD5mKrp0Vvzr7lt3OU09vwQwhkpOPPYv2Y/edit?usp=sharing"",""งบพรบ!BX79"")"),0)</f>
        <v>0</v>
      </c>
      <c r="M79" s="87">
        <f t="shared" ca="1" si="30"/>
        <v>0</v>
      </c>
      <c r="N79" s="87">
        <f t="shared" ca="1" si="31"/>
        <v>0</v>
      </c>
      <c r="O79" s="86">
        <f ca="1">IFERROR(__xludf.DUMMYFUNCTION("IMPORTRANGE(""https://docs.google.com/spreadsheets/d/1-uDff_7J0KD5mKrp0Vvzr7lt3OU09vwQwhkpOPPYv2Y/edit?usp=sharing"",""งบพรบ!BY79"")"),0)</f>
        <v>0</v>
      </c>
      <c r="P79" s="86">
        <f t="shared" ca="1" si="32"/>
        <v>0</v>
      </c>
      <c r="Q79" s="87">
        <f t="shared" ca="1" si="33"/>
        <v>0</v>
      </c>
      <c r="R79" s="86">
        <f ca="1">IFERROR(__xludf.DUMMYFUNCTION("IMPORTRANGE(""https://docs.google.com/spreadsheets/d/1iodCdmuK2GR3jzUwk8tpccY2JHQQA-87DLOtJP-ooyU/edit?usp=sharing"",""นราธิวาส!Q139"")"),0)</f>
        <v>0</v>
      </c>
      <c r="S79" s="86">
        <f ca="1">IFERROR(__xludf.DUMMYFUNCTION("IMPORTRANGE(""https://docs.google.com/spreadsheets/d/1iodCdmuK2GR3jzUwk8tpccY2JHQQA-87DLOtJP-ooyU/edit?usp=sharing"",""นราธิวาส!R139"")"),0)</f>
        <v>0</v>
      </c>
      <c r="T79" s="86">
        <f ca="1">IFERROR(__xludf.DUMMYFUNCTION("IMPORTRANGE(""https://docs.google.com/spreadsheets/d/1iodCdmuK2GR3jzUwk8tpccY2JHQQA-87DLOtJP-ooyU/edit?usp=sharing"",""นราธิวาส!S139"")"),0)</f>
        <v>0</v>
      </c>
      <c r="U79" s="87">
        <f t="shared" ca="1" si="35"/>
        <v>0</v>
      </c>
      <c r="V79" s="87">
        <f t="shared" ca="1" si="36"/>
        <v>0</v>
      </c>
      <c r="W79" s="97">
        <f ca="1">IFERROR(__xludf.DUMMYFUNCTION("IMPORTRANGE(""https://docs.google.com/spreadsheets/d/1iodCdmuK2GR3jzUwk8tpccY2JHQQA-87DLOtJP-ooyU/edit?usp=sharing"",""นราธิวาส!J149"")"),0)</f>
        <v>0</v>
      </c>
      <c r="X79" s="97">
        <f ca="1">IFERROR(__xludf.DUMMYFUNCTION("IMPORTRANGE(""https://docs.google.com/spreadsheets/d/1iodCdmuK2GR3jzUwk8tpccY2JHQQA-87DLOtJP-ooyU/edit?usp=sharing"",""นราธิวาส!I150"")"),0)</f>
        <v>0</v>
      </c>
      <c r="Y79" s="97">
        <f ca="1">IFERROR(__xludf.DUMMYFUNCTION("IMPORTRANGE(""https://docs.google.com/spreadsheets/d/1iodCdmuK2GR3jzUwk8tpccY2JHQQA-87DLOtJP-ooyU/edit?usp=sharing"",""นราธิวาส!I151"")"),0)</f>
        <v>0</v>
      </c>
      <c r="Z79" s="97">
        <f ca="1">IFERROR(__xludf.DUMMYFUNCTION("IMPORTRANGE(""https://docs.google.com/spreadsheets/d/1iodCdmuK2GR3jzUwk8tpccY2JHQQA-87DLOtJP-ooyU/edit?usp=sharing"",""นราธิวาส!J150"")"),0)</f>
        <v>0</v>
      </c>
      <c r="AA79" s="98">
        <f t="shared" ca="1" si="38"/>
        <v>0</v>
      </c>
      <c r="AB79" s="97">
        <f ca="1">IFERROR(__xludf.DUMMYFUNCTION("IMPORTRANGE(""https://docs.google.com/spreadsheets/d/1iodCdmuK2GR3jzUwk8tpccY2JHQQA-87DLOtJP-ooyU/edit?usp=sharing"",""นราธิวาส!J151"")"),0)</f>
        <v>0</v>
      </c>
      <c r="AC79" s="98">
        <f t="shared" ca="1" si="39"/>
        <v>0</v>
      </c>
      <c r="AD79" s="97">
        <f ca="1">IFERROR(__xludf.DUMMYFUNCTION("IMPORTRANGE(""https://docs.google.com/spreadsheets/d/1iodCdmuK2GR3jzUwk8tpccY2JHQQA-87DLOtJP-ooyU/edit?usp=sharing"",""นราธิวาส!I152"")"),0)</f>
        <v>0</v>
      </c>
      <c r="AE79" s="97">
        <f ca="1">IFERROR(__xludf.DUMMYFUNCTION("IMPORTRANGE(""https://docs.google.com/spreadsheets/d/1iodCdmuK2GR3jzUwk8tpccY2JHQQA-87DLOtJP-ooyU/edit?usp=sharing"",""นราธิวาส!I153"")"),0)</f>
        <v>0</v>
      </c>
      <c r="AF79" s="97">
        <f ca="1">IFERROR(__xludf.DUMMYFUNCTION("IMPORTRANGE(""https://docs.google.com/spreadsheets/d/1iodCdmuK2GR3jzUwk8tpccY2JHQQA-87DLOtJP-ooyU/edit?usp=sharing"",""นราธิวาส!J152"")"),0)</f>
        <v>0</v>
      </c>
      <c r="AG79" s="98">
        <f t="shared" ca="1" si="41"/>
        <v>0</v>
      </c>
      <c r="AH79" s="97">
        <f ca="1">IFERROR(__xludf.DUMMYFUNCTION("IMPORTRANGE(""https://docs.google.com/spreadsheets/d/1iodCdmuK2GR3jzUwk8tpccY2JHQQA-87DLOtJP-ooyU/edit?usp=sharing"",""นราธิวาส!J153"")"),0)</f>
        <v>0</v>
      </c>
      <c r="AI79" s="98">
        <f t="shared" ca="1" si="42"/>
        <v>0</v>
      </c>
      <c r="AJ79" s="97">
        <f ca="1">IFERROR(__xludf.DUMMYFUNCTION("IMPORTRANGE(""https://docs.google.com/spreadsheets/d/1iodCdmuK2GR3jzUwk8tpccY2JHQQA-87DLOtJP-ooyU/edit?usp=sharing"",""นราธิวาส!I154"")"),0)</f>
        <v>0</v>
      </c>
      <c r="AK79" s="97">
        <f ca="1">IFERROR(__xludf.DUMMYFUNCTION("IMPORTRANGE(""https://docs.google.com/spreadsheets/d/1iodCdmuK2GR3jzUwk8tpccY2JHQQA-87DLOtJP-ooyU/edit?usp=sharing"",""นราธิวาส!J154"")"),0)</f>
        <v>0</v>
      </c>
      <c r="AL79" s="98">
        <f t="shared" ca="1" si="44"/>
        <v>0</v>
      </c>
    </row>
    <row r="80" spans="1:38" ht="21" customHeight="1" x14ac:dyDescent="0.3">
      <c r="A80" s="172">
        <v>6</v>
      </c>
      <c r="B80" s="173" t="s">
        <v>106</v>
      </c>
      <c r="C80" s="174">
        <f t="shared" ca="1" si="26"/>
        <v>0</v>
      </c>
      <c r="D80" s="175">
        <f t="shared" ca="1" si="63"/>
        <v>0</v>
      </c>
      <c r="E80" s="176">
        <f ca="1">IFERROR(__xludf.DUMMYFUNCTION("IMPORTRANGE(""https://docs.google.com/spreadsheets/d/1-uDff_7J0KD5mKrp0Vvzr7lt3OU09vwQwhkpOPPYv2Y/edit?usp=sharing"",""งบพรบ!BR80"")"),0)</f>
        <v>0</v>
      </c>
      <c r="F80" s="176">
        <f ca="1">IFERROR(__xludf.DUMMYFUNCTION("IMPORTRANGE(""https://docs.google.com/spreadsheets/d/1-uDff_7J0KD5mKrp0Vvzr7lt3OU09vwQwhkpOPPYv2Y/edit?usp=sharing"",""งบพรบ!BS80"")"),0)</f>
        <v>0</v>
      </c>
      <c r="G80" s="176">
        <f ca="1">IFERROR(__xludf.DUMMYFUNCTION("IMPORTRANGE(""https://docs.google.com/spreadsheets/d/1-uDff_7J0KD5mKrp0Vvzr7lt3OU09vwQwhkpOPPYv2Y/edit?usp=sharing"",""งบพรบ!BT80"")"),0)</f>
        <v>0</v>
      </c>
      <c r="H80" s="176">
        <f ca="1">IFERROR(__xludf.DUMMYFUNCTION("IMPORTRANGE(""https://docs.google.com/spreadsheets/d/1-uDff_7J0KD5mKrp0Vvzr7lt3OU09vwQwhkpOPPYv2Y/edit?usp=sharing"",""งบพรบ!BV80"")"),0)</f>
        <v>0</v>
      </c>
      <c r="I80" s="176">
        <f ca="1">IFERROR(__xludf.DUMMYFUNCTION("IMPORTRANGE(""https://docs.google.com/spreadsheets/d/1-uDff_7J0KD5mKrp0Vvzr7lt3OU09vwQwhkpOPPYv2Y/edit?usp=sharing"",""งบพรบ!BW80"")"),0)</f>
        <v>0</v>
      </c>
      <c r="J80" s="176">
        <f t="shared" ca="1" si="28"/>
        <v>0</v>
      </c>
      <c r="K80" s="179">
        <f t="shared" ca="1" si="29"/>
        <v>0</v>
      </c>
      <c r="L80" s="176">
        <f ca="1">IFERROR(__xludf.DUMMYFUNCTION("IMPORTRANGE(""https://docs.google.com/spreadsheets/d/1-uDff_7J0KD5mKrp0Vvzr7lt3OU09vwQwhkpOPPYv2Y/edit?usp=sharing"",""งบพรบ!BX80"")"),0)</f>
        <v>0</v>
      </c>
      <c r="M80" s="87">
        <f t="shared" ca="1" si="30"/>
        <v>0</v>
      </c>
      <c r="N80" s="87">
        <f t="shared" ca="1" si="31"/>
        <v>0</v>
      </c>
      <c r="O80" s="86">
        <f ca="1">IFERROR(__xludf.DUMMYFUNCTION("IMPORTRANGE(""https://docs.google.com/spreadsheets/d/1-uDff_7J0KD5mKrp0Vvzr7lt3OU09vwQwhkpOPPYv2Y/edit?usp=sharing"",""งบพรบ!BY80"")"),0)</f>
        <v>0</v>
      </c>
      <c r="P80" s="86">
        <f t="shared" ca="1" si="32"/>
        <v>0</v>
      </c>
      <c r="Q80" s="87">
        <f t="shared" ca="1" si="33"/>
        <v>0</v>
      </c>
      <c r="R80" s="86">
        <f ca="1">IFERROR(__xludf.DUMMYFUNCTION("IMPORTRANGE(""https://docs.google.com/spreadsheets/d/1SDNX3JhDdYRuIOsj0Wh2M-Qa_eaXl0NbWmhAOTbfQAs/edit?usp=sharing"",""ปัตตานี!Q139"")"),0)</f>
        <v>0</v>
      </c>
      <c r="S80" s="86">
        <f ca="1">IFERROR(__xludf.DUMMYFUNCTION("IMPORTRANGE(""https://docs.google.com/spreadsheets/d/1SDNX3JhDdYRuIOsj0Wh2M-Qa_eaXl0NbWmhAOTbfQAs/edit?usp=sharing"",""ปัตตานี!R139"")"),0)</f>
        <v>0</v>
      </c>
      <c r="T80" s="86">
        <f ca="1">IFERROR(__xludf.DUMMYFUNCTION("IMPORTRANGE(""https://docs.google.com/spreadsheets/d/1SDNX3JhDdYRuIOsj0Wh2M-Qa_eaXl0NbWmhAOTbfQAs/edit?usp=sharing"",""ปัตตานี!S139"")"),0)</f>
        <v>0</v>
      </c>
      <c r="U80" s="87">
        <f t="shared" ca="1" si="35"/>
        <v>0</v>
      </c>
      <c r="V80" s="87">
        <f t="shared" ca="1" si="36"/>
        <v>0</v>
      </c>
      <c r="W80" s="97">
        <f ca="1">IFERROR(__xludf.DUMMYFUNCTION("IMPORTRANGE(""https://docs.google.com/spreadsheets/d/1SDNX3JhDdYRuIOsj0Wh2M-Qa_eaXl0NbWmhAOTbfQAs/edit?usp=sharing"",""ปัตตานี!J149"")"),0)</f>
        <v>0</v>
      </c>
      <c r="X80" s="97">
        <f ca="1">IFERROR(__xludf.DUMMYFUNCTION("IMPORTRANGE(""https://docs.google.com/spreadsheets/d/1SDNX3JhDdYRuIOsj0Wh2M-Qa_eaXl0NbWmhAOTbfQAs/edit?usp=sharing"",""ปัตตานี!I150"")"),0)</f>
        <v>0</v>
      </c>
      <c r="Y80" s="97">
        <f ca="1">IFERROR(__xludf.DUMMYFUNCTION("IMPORTRANGE(""https://docs.google.com/spreadsheets/d/1SDNX3JhDdYRuIOsj0Wh2M-Qa_eaXl0NbWmhAOTbfQAs/edit?usp=sharing"",""ปัตตานี!I151"")"),0)</f>
        <v>0</v>
      </c>
      <c r="Z80" s="97">
        <f ca="1">IFERROR(__xludf.DUMMYFUNCTION("IMPORTRANGE(""https://docs.google.com/spreadsheets/d/1SDNX3JhDdYRuIOsj0Wh2M-Qa_eaXl0NbWmhAOTbfQAs/edit?usp=sharing"",""ปัตตานี!J150"")"),0)</f>
        <v>0</v>
      </c>
      <c r="AA80" s="98">
        <f t="shared" ca="1" si="38"/>
        <v>0</v>
      </c>
      <c r="AB80" s="97">
        <f ca="1">IFERROR(__xludf.DUMMYFUNCTION("IMPORTRANGE(""https://docs.google.com/spreadsheets/d/1SDNX3JhDdYRuIOsj0Wh2M-Qa_eaXl0NbWmhAOTbfQAs/edit?usp=sharing"",""ปัตตานี!J151"")"),0)</f>
        <v>0</v>
      </c>
      <c r="AC80" s="98">
        <f t="shared" ca="1" si="39"/>
        <v>0</v>
      </c>
      <c r="AD80" s="97">
        <f ca="1">IFERROR(__xludf.DUMMYFUNCTION("IMPORTRANGE(""https://docs.google.com/spreadsheets/d/1SDNX3JhDdYRuIOsj0Wh2M-Qa_eaXl0NbWmhAOTbfQAs/edit?usp=sharing"",""ปัตตานี!I152"")"),0)</f>
        <v>0</v>
      </c>
      <c r="AE80" s="97">
        <f ca="1">IFERROR(__xludf.DUMMYFUNCTION("IMPORTRANGE(""https://docs.google.com/spreadsheets/d/1SDNX3JhDdYRuIOsj0Wh2M-Qa_eaXl0NbWmhAOTbfQAs/edit?usp=sharing"",""ปัตตานี!I153"")"),0)</f>
        <v>0</v>
      </c>
      <c r="AF80" s="97">
        <f ca="1">IFERROR(__xludf.DUMMYFUNCTION("IMPORTRANGE(""https://docs.google.com/spreadsheets/d/1SDNX3JhDdYRuIOsj0Wh2M-Qa_eaXl0NbWmhAOTbfQAs/edit?usp=sharing"",""ปัตตานี!J152"")"),0)</f>
        <v>0</v>
      </c>
      <c r="AG80" s="98">
        <f t="shared" ca="1" si="41"/>
        <v>0</v>
      </c>
      <c r="AH80" s="97">
        <f ca="1">IFERROR(__xludf.DUMMYFUNCTION("IMPORTRANGE(""https://docs.google.com/spreadsheets/d/1SDNX3JhDdYRuIOsj0Wh2M-Qa_eaXl0NbWmhAOTbfQAs/edit?usp=sharing"",""ปัตตานี!J153"")"),0)</f>
        <v>0</v>
      </c>
      <c r="AI80" s="98">
        <f t="shared" ca="1" si="42"/>
        <v>0</v>
      </c>
      <c r="AJ80" s="97">
        <f ca="1">IFERROR(__xludf.DUMMYFUNCTION("IMPORTRANGE(""https://docs.google.com/spreadsheets/d/1SDNX3JhDdYRuIOsj0Wh2M-Qa_eaXl0NbWmhAOTbfQAs/edit?usp=sharing"",""ปัตตานี!I154"")"),0)</f>
        <v>0</v>
      </c>
      <c r="AK80" s="97">
        <f ca="1">IFERROR(__xludf.DUMMYFUNCTION("IMPORTRANGE(""https://docs.google.com/spreadsheets/d/1SDNX3JhDdYRuIOsj0Wh2M-Qa_eaXl0NbWmhAOTbfQAs/edit?usp=sharing"",""ปัตตานี!J154"")"),0)</f>
        <v>0</v>
      </c>
      <c r="AL80" s="98">
        <f t="shared" ca="1" si="44"/>
        <v>0</v>
      </c>
    </row>
    <row r="81" spans="1:38" ht="21" customHeight="1" x14ac:dyDescent="0.3">
      <c r="A81" s="172">
        <v>7</v>
      </c>
      <c r="B81" s="173" t="s">
        <v>107</v>
      </c>
      <c r="C81" s="174">
        <f t="shared" ca="1" si="26"/>
        <v>0</v>
      </c>
      <c r="D81" s="175">
        <f t="shared" ca="1" si="63"/>
        <v>0</v>
      </c>
      <c r="E81" s="176">
        <f ca="1">IFERROR(__xludf.DUMMYFUNCTION("IMPORTRANGE(""https://docs.google.com/spreadsheets/d/1-uDff_7J0KD5mKrp0Vvzr7lt3OU09vwQwhkpOPPYv2Y/edit?usp=sharing"",""งบพรบ!BR81"")"),0)</f>
        <v>0</v>
      </c>
      <c r="F81" s="176">
        <f ca="1">IFERROR(__xludf.DUMMYFUNCTION("IMPORTRANGE(""https://docs.google.com/spreadsheets/d/1-uDff_7J0KD5mKrp0Vvzr7lt3OU09vwQwhkpOPPYv2Y/edit?usp=sharing"",""งบพรบ!BS81"")"),0)</f>
        <v>0</v>
      </c>
      <c r="G81" s="176">
        <f ca="1">IFERROR(__xludf.DUMMYFUNCTION("IMPORTRANGE(""https://docs.google.com/spreadsheets/d/1-uDff_7J0KD5mKrp0Vvzr7lt3OU09vwQwhkpOPPYv2Y/edit?usp=sharing"",""งบพรบ!BT81"")"),0)</f>
        <v>0</v>
      </c>
      <c r="H81" s="176">
        <f ca="1">IFERROR(__xludf.DUMMYFUNCTION("IMPORTRANGE(""https://docs.google.com/spreadsheets/d/1-uDff_7J0KD5mKrp0Vvzr7lt3OU09vwQwhkpOPPYv2Y/edit?usp=sharing"",""งบพรบ!BV81"")"),0)</f>
        <v>0</v>
      </c>
      <c r="I81" s="176">
        <f ca="1">IFERROR(__xludf.DUMMYFUNCTION("IMPORTRANGE(""https://docs.google.com/spreadsheets/d/1-uDff_7J0KD5mKrp0Vvzr7lt3OU09vwQwhkpOPPYv2Y/edit?usp=sharing"",""งบพรบ!BW81"")"),0)</f>
        <v>0</v>
      </c>
      <c r="J81" s="176">
        <f t="shared" ca="1" si="28"/>
        <v>0</v>
      </c>
      <c r="K81" s="179">
        <f t="shared" ca="1" si="29"/>
        <v>0</v>
      </c>
      <c r="L81" s="176">
        <f ca="1">IFERROR(__xludf.DUMMYFUNCTION("IMPORTRANGE(""https://docs.google.com/spreadsheets/d/1-uDff_7J0KD5mKrp0Vvzr7lt3OU09vwQwhkpOPPYv2Y/edit?usp=sharing"",""งบพรบ!BX81"")"),0)</f>
        <v>0</v>
      </c>
      <c r="M81" s="87">
        <f t="shared" ca="1" si="30"/>
        <v>0</v>
      </c>
      <c r="N81" s="87">
        <f t="shared" ca="1" si="31"/>
        <v>0</v>
      </c>
      <c r="O81" s="86">
        <f ca="1">IFERROR(__xludf.DUMMYFUNCTION("IMPORTRANGE(""https://docs.google.com/spreadsheets/d/1-uDff_7J0KD5mKrp0Vvzr7lt3OU09vwQwhkpOPPYv2Y/edit?usp=sharing"",""งบพรบ!BY81"")"),0)</f>
        <v>0</v>
      </c>
      <c r="P81" s="86">
        <f t="shared" ca="1" si="32"/>
        <v>0</v>
      </c>
      <c r="Q81" s="87">
        <f t="shared" ca="1" si="33"/>
        <v>0</v>
      </c>
      <c r="R81" s="86">
        <f ca="1">IFERROR(__xludf.DUMMYFUNCTION("IMPORTRANGE(""https://docs.google.com/spreadsheets/d/16JDLGguT8s5DsGCND1KcwHP_AWR_zDMTqLHPLJUKhaU/edit?usp=sharing"",""พังงา!Q139"")"),0)</f>
        <v>0</v>
      </c>
      <c r="S81" s="86">
        <f ca="1">IFERROR(__xludf.DUMMYFUNCTION("IMPORTRANGE(""https://docs.google.com/spreadsheets/d/16JDLGguT8s5DsGCND1KcwHP_AWR_zDMTqLHPLJUKhaU/edit?usp=sharing"",""พังงา!R139"")"),0)</f>
        <v>0</v>
      </c>
      <c r="T81" s="86">
        <f ca="1">IFERROR(__xludf.DUMMYFUNCTION("IMPORTRANGE(""https://docs.google.com/spreadsheets/d/16JDLGguT8s5DsGCND1KcwHP_AWR_zDMTqLHPLJUKhaU/edit?usp=sharing"",""พังงา!S139"")"),0)</f>
        <v>0</v>
      </c>
      <c r="U81" s="87">
        <f t="shared" ca="1" si="35"/>
        <v>0</v>
      </c>
      <c r="V81" s="87">
        <f t="shared" ca="1" si="36"/>
        <v>0</v>
      </c>
      <c r="W81" s="97">
        <f ca="1">IFERROR(__xludf.DUMMYFUNCTION("IMPORTRANGE(""https://docs.google.com/spreadsheets/d/16JDLGguT8s5DsGCND1KcwHP_AWR_zDMTqLHPLJUKhaU/edit?usp=sharing"",""พังงา!J149"")"),0)</f>
        <v>0</v>
      </c>
      <c r="X81" s="97">
        <f ca="1">IFERROR(__xludf.DUMMYFUNCTION("IMPORTRANGE(""https://docs.google.com/spreadsheets/d/16JDLGguT8s5DsGCND1KcwHP_AWR_zDMTqLHPLJUKhaU/edit?usp=sharing"",""พังงา!I150"")"),0)</f>
        <v>0</v>
      </c>
      <c r="Y81" s="97">
        <f ca="1">IFERROR(__xludf.DUMMYFUNCTION("IMPORTRANGE(""https://docs.google.com/spreadsheets/d/16JDLGguT8s5DsGCND1KcwHP_AWR_zDMTqLHPLJUKhaU/edit?usp=sharing"",""พังงา!I151"")"),0)</f>
        <v>0</v>
      </c>
      <c r="Z81" s="97">
        <f ca="1">IFERROR(__xludf.DUMMYFUNCTION("IMPORTRANGE(""https://docs.google.com/spreadsheets/d/16JDLGguT8s5DsGCND1KcwHP_AWR_zDMTqLHPLJUKhaU/edit?usp=sharing"",""พังงา!J150"")"),0)</f>
        <v>0</v>
      </c>
      <c r="AA81" s="98">
        <f t="shared" ca="1" si="38"/>
        <v>0</v>
      </c>
      <c r="AB81" s="97">
        <f ca="1">IFERROR(__xludf.DUMMYFUNCTION("IMPORTRANGE(""https://docs.google.com/spreadsheets/d/16JDLGguT8s5DsGCND1KcwHP_AWR_zDMTqLHPLJUKhaU/edit?usp=sharing"",""พังงา!J151"")"),0)</f>
        <v>0</v>
      </c>
      <c r="AC81" s="98">
        <f t="shared" ca="1" si="39"/>
        <v>0</v>
      </c>
      <c r="AD81" s="97">
        <f ca="1">IFERROR(__xludf.DUMMYFUNCTION("IMPORTRANGE(""https://docs.google.com/spreadsheets/d/16JDLGguT8s5DsGCND1KcwHP_AWR_zDMTqLHPLJUKhaU/edit?usp=sharing"",""พังงา!I152"")"),0)</f>
        <v>0</v>
      </c>
      <c r="AE81" s="97">
        <f ca="1">IFERROR(__xludf.DUMMYFUNCTION("IMPORTRANGE(""https://docs.google.com/spreadsheets/d/16JDLGguT8s5DsGCND1KcwHP_AWR_zDMTqLHPLJUKhaU/edit?usp=sharing"",""พังงา!I153"")"),0)</f>
        <v>0</v>
      </c>
      <c r="AF81" s="97">
        <f ca="1">IFERROR(__xludf.DUMMYFUNCTION("IMPORTRANGE(""https://docs.google.com/spreadsheets/d/16JDLGguT8s5DsGCND1KcwHP_AWR_zDMTqLHPLJUKhaU/edit?usp=sharing"",""พังงา!J152"")"),0)</f>
        <v>0</v>
      </c>
      <c r="AG81" s="98">
        <f t="shared" ca="1" si="41"/>
        <v>0</v>
      </c>
      <c r="AH81" s="97">
        <f ca="1">IFERROR(__xludf.DUMMYFUNCTION("IMPORTRANGE(""https://docs.google.com/spreadsheets/d/16JDLGguT8s5DsGCND1KcwHP_AWR_zDMTqLHPLJUKhaU/edit?usp=sharing"",""พังงา!J153"")"),0)</f>
        <v>0</v>
      </c>
      <c r="AI81" s="98">
        <f t="shared" ca="1" si="42"/>
        <v>0</v>
      </c>
      <c r="AJ81" s="97">
        <f ca="1">IFERROR(__xludf.DUMMYFUNCTION("IMPORTRANGE(""https://docs.google.com/spreadsheets/d/16JDLGguT8s5DsGCND1KcwHP_AWR_zDMTqLHPLJUKhaU/edit?usp=sharing"",""พังงา!I154"")"),0)</f>
        <v>0</v>
      </c>
      <c r="AK81" s="97">
        <f ca="1">IFERROR(__xludf.DUMMYFUNCTION("IMPORTRANGE(""https://docs.google.com/spreadsheets/d/16JDLGguT8s5DsGCND1KcwHP_AWR_zDMTqLHPLJUKhaU/edit?usp=sharing"",""พังงา!J154"")"),0)</f>
        <v>0</v>
      </c>
      <c r="AL81" s="98">
        <f t="shared" ca="1" si="44"/>
        <v>0</v>
      </c>
    </row>
    <row r="82" spans="1:38" ht="21" customHeight="1" x14ac:dyDescent="0.3">
      <c r="A82" s="172">
        <v>8</v>
      </c>
      <c r="B82" s="173" t="s">
        <v>108</v>
      </c>
      <c r="C82" s="174">
        <f t="shared" ca="1" si="26"/>
        <v>91400</v>
      </c>
      <c r="D82" s="175">
        <f t="shared" ca="1" si="63"/>
        <v>91400</v>
      </c>
      <c r="E82" s="176">
        <f ca="1">IFERROR(__xludf.DUMMYFUNCTION("IMPORTRANGE(""https://docs.google.com/spreadsheets/d/1-uDff_7J0KD5mKrp0Vvzr7lt3OU09vwQwhkpOPPYv2Y/edit?usp=sharing"",""งบพรบ!BR82"")"),0)</f>
        <v>0</v>
      </c>
      <c r="F82" s="176">
        <f ca="1">IFERROR(__xludf.DUMMYFUNCTION("IMPORTRANGE(""https://docs.google.com/spreadsheets/d/1-uDff_7J0KD5mKrp0Vvzr7lt3OU09vwQwhkpOPPYv2Y/edit?usp=sharing"",""งบพรบ!BS82"")"),91400)</f>
        <v>91400</v>
      </c>
      <c r="G82" s="176">
        <f ca="1">IFERROR(__xludf.DUMMYFUNCTION("IMPORTRANGE(""https://docs.google.com/spreadsheets/d/1-uDff_7J0KD5mKrp0Vvzr7lt3OU09vwQwhkpOPPYv2Y/edit?usp=sharing"",""งบพรบ!BT82"")"),0)</f>
        <v>0</v>
      </c>
      <c r="H82" s="176">
        <f ca="1">IFERROR(__xludf.DUMMYFUNCTION("IMPORTRANGE(""https://docs.google.com/spreadsheets/d/1-uDff_7J0KD5mKrp0Vvzr7lt3OU09vwQwhkpOPPYv2Y/edit?usp=sharing"",""งบพรบ!BV82"")"),86400)</f>
        <v>86400</v>
      </c>
      <c r="I82" s="176">
        <f ca="1">IFERROR(__xludf.DUMMYFUNCTION("IMPORTRANGE(""https://docs.google.com/spreadsheets/d/1-uDff_7J0KD5mKrp0Vvzr7lt3OU09vwQwhkpOPPYv2Y/edit?usp=sharing"",""งบพรบ!BW82"")"),0)</f>
        <v>0</v>
      </c>
      <c r="J82" s="176">
        <f t="shared" ca="1" si="28"/>
        <v>0</v>
      </c>
      <c r="K82" s="179">
        <f t="shared" ca="1" si="29"/>
        <v>0</v>
      </c>
      <c r="L82" s="176">
        <f ca="1">IFERROR(__xludf.DUMMYFUNCTION("IMPORTRANGE(""https://docs.google.com/spreadsheets/d/1-uDff_7J0KD5mKrp0Vvzr7lt3OU09vwQwhkpOPPYv2Y/edit?usp=sharing"",""งบพรบ!BX82"")"),0)</f>
        <v>0</v>
      </c>
      <c r="M82" s="87">
        <f t="shared" ca="1" si="30"/>
        <v>0</v>
      </c>
      <c r="N82" s="87">
        <f t="shared" ca="1" si="31"/>
        <v>0</v>
      </c>
      <c r="O82" s="86">
        <f ca="1">IFERROR(__xludf.DUMMYFUNCTION("IMPORTRANGE(""https://docs.google.com/spreadsheets/d/1-uDff_7J0KD5mKrp0Vvzr7lt3OU09vwQwhkpOPPYv2Y/edit?usp=sharing"",""งบพรบ!BY82"")"),0)</f>
        <v>0</v>
      </c>
      <c r="P82" s="86">
        <f t="shared" ca="1" si="32"/>
        <v>0</v>
      </c>
      <c r="Q82" s="87">
        <f t="shared" ca="1" si="33"/>
        <v>0</v>
      </c>
      <c r="R82" s="86">
        <f ca="1">IFERROR(__xludf.DUMMYFUNCTION("IMPORTRANGE(""https://docs.google.com/spreadsheets/d/17ht0gPKzzT3PObBL1XJkeRmntBXI7wGjpLV7QorqlTk/edit?usp=sharing"",""พัทลุง!Q139"")"),0)</f>
        <v>0</v>
      </c>
      <c r="S82" s="86">
        <f ca="1">IFERROR(__xludf.DUMMYFUNCTION("IMPORTRANGE(""https://docs.google.com/spreadsheets/d/17ht0gPKzzT3PObBL1XJkeRmntBXI7wGjpLV7QorqlTk/edit?usp=sharing"",""พัทลุง!R139"")"),0)</f>
        <v>0</v>
      </c>
      <c r="T82" s="86">
        <f ca="1">IFERROR(__xludf.DUMMYFUNCTION("IMPORTRANGE(""https://docs.google.com/spreadsheets/d/17ht0gPKzzT3PObBL1XJkeRmntBXI7wGjpLV7QorqlTk/edit?usp=sharing"",""พัทลุง!S139"")"),0)</f>
        <v>0</v>
      </c>
      <c r="U82" s="87">
        <f t="shared" ca="1" si="35"/>
        <v>0</v>
      </c>
      <c r="V82" s="87">
        <f t="shared" ca="1" si="36"/>
        <v>0</v>
      </c>
      <c r="W82" s="97">
        <f ca="1">IFERROR(__xludf.DUMMYFUNCTION("IMPORTRANGE(""https://docs.google.com/spreadsheets/d/17ht0gPKzzT3PObBL1XJkeRmntBXI7wGjpLV7QorqlTk/edit?usp=sharing"",""พัทลุง!J149"")"),0)</f>
        <v>0</v>
      </c>
      <c r="X82" s="97">
        <f ca="1">IFERROR(__xludf.DUMMYFUNCTION("IMPORTRANGE(""https://docs.google.com/spreadsheets/d/17ht0gPKzzT3PObBL1XJkeRmntBXI7wGjpLV7QorqlTk/edit?usp=sharing"",""พัทลุง!I150"")"),20)</f>
        <v>20</v>
      </c>
      <c r="Y82" s="97">
        <f ca="1">IFERROR(__xludf.DUMMYFUNCTION("IMPORTRANGE(""https://docs.google.com/spreadsheets/d/17ht0gPKzzT3PObBL1XJkeRmntBXI7wGjpLV7QorqlTk/edit?usp=sharing"",""พัทลุง!I151"")"),2)</f>
        <v>2</v>
      </c>
      <c r="Z82" s="97">
        <f ca="1">IFERROR(__xludf.DUMMYFUNCTION("IMPORTRANGE(""https://docs.google.com/spreadsheets/d/17ht0gPKzzT3PObBL1XJkeRmntBXI7wGjpLV7QorqlTk/edit?usp=sharing"",""พัทลุง!J150"")"),0)</f>
        <v>0</v>
      </c>
      <c r="AA82" s="98">
        <f t="shared" ca="1" si="38"/>
        <v>0</v>
      </c>
      <c r="AB82" s="97">
        <f ca="1">IFERROR(__xludf.DUMMYFUNCTION("IMPORTRANGE(""https://docs.google.com/spreadsheets/d/17ht0gPKzzT3PObBL1XJkeRmntBXI7wGjpLV7QorqlTk/edit?usp=sharing"",""พัทลุง!J151"")"),0)</f>
        <v>0</v>
      </c>
      <c r="AC82" s="98">
        <f t="shared" ca="1" si="39"/>
        <v>0</v>
      </c>
      <c r="AD82" s="97">
        <f ca="1">IFERROR(__xludf.DUMMYFUNCTION("IMPORTRANGE(""https://docs.google.com/spreadsheets/d/17ht0gPKzzT3PObBL1XJkeRmntBXI7wGjpLV7QorqlTk/edit?usp=sharing"",""พัทลุง!I152"")"),60)</f>
        <v>60</v>
      </c>
      <c r="AE82" s="97">
        <f ca="1">IFERROR(__xludf.DUMMYFUNCTION("IMPORTRANGE(""https://docs.google.com/spreadsheets/d/17ht0gPKzzT3PObBL1XJkeRmntBXI7wGjpLV7QorqlTk/edit?usp=sharing"",""พัทลุง!I153"")"),6)</f>
        <v>6</v>
      </c>
      <c r="AF82" s="97">
        <f ca="1">IFERROR(__xludf.DUMMYFUNCTION("IMPORTRANGE(""https://docs.google.com/spreadsheets/d/17ht0gPKzzT3PObBL1XJkeRmntBXI7wGjpLV7QorqlTk/edit?usp=sharing"",""พัทลุง!J152"")"),0)</f>
        <v>0</v>
      </c>
      <c r="AG82" s="98">
        <f t="shared" ca="1" si="41"/>
        <v>0</v>
      </c>
      <c r="AH82" s="97">
        <f ca="1">IFERROR(__xludf.DUMMYFUNCTION("IMPORTRANGE(""https://docs.google.com/spreadsheets/d/17ht0gPKzzT3PObBL1XJkeRmntBXI7wGjpLV7QorqlTk/edit?usp=sharing"",""พัทลุง!J153"")"),0)</f>
        <v>0</v>
      </c>
      <c r="AI82" s="98">
        <f t="shared" ca="1" si="42"/>
        <v>0</v>
      </c>
      <c r="AJ82" s="97">
        <f ca="1">IFERROR(__xludf.DUMMYFUNCTION("IMPORTRANGE(""https://docs.google.com/spreadsheets/d/17ht0gPKzzT3PObBL1XJkeRmntBXI7wGjpLV7QorqlTk/edit?usp=sharing"",""พัทลุง!I154"")"),2)</f>
        <v>2</v>
      </c>
      <c r="AK82" s="97">
        <f ca="1">IFERROR(__xludf.DUMMYFUNCTION("IMPORTRANGE(""https://docs.google.com/spreadsheets/d/17ht0gPKzzT3PObBL1XJkeRmntBXI7wGjpLV7QorqlTk/edit?usp=sharing"",""พัทลุง!J154"")"),0)</f>
        <v>0</v>
      </c>
      <c r="AL82" s="98">
        <f t="shared" ca="1" si="44"/>
        <v>0</v>
      </c>
    </row>
    <row r="83" spans="1:38" ht="21" customHeight="1" x14ac:dyDescent="0.3">
      <c r="A83" s="172">
        <v>9</v>
      </c>
      <c r="B83" s="173" t="s">
        <v>109</v>
      </c>
      <c r="C83" s="174">
        <f t="shared" ca="1" si="26"/>
        <v>0</v>
      </c>
      <c r="D83" s="175">
        <f t="shared" ca="1" si="63"/>
        <v>0</v>
      </c>
      <c r="E83" s="176">
        <f ca="1">IFERROR(__xludf.DUMMYFUNCTION("IMPORTRANGE(""https://docs.google.com/spreadsheets/d/1-uDff_7J0KD5mKrp0Vvzr7lt3OU09vwQwhkpOPPYv2Y/edit?usp=sharing"",""งบพรบ!BR83"")"),0)</f>
        <v>0</v>
      </c>
      <c r="F83" s="176">
        <f ca="1">IFERROR(__xludf.DUMMYFUNCTION("IMPORTRANGE(""https://docs.google.com/spreadsheets/d/1-uDff_7J0KD5mKrp0Vvzr7lt3OU09vwQwhkpOPPYv2Y/edit?usp=sharing"",""งบพรบ!BS83"")"),0)</f>
        <v>0</v>
      </c>
      <c r="G83" s="176">
        <f ca="1">IFERROR(__xludf.DUMMYFUNCTION("IMPORTRANGE(""https://docs.google.com/spreadsheets/d/1-uDff_7J0KD5mKrp0Vvzr7lt3OU09vwQwhkpOPPYv2Y/edit?usp=sharing"",""งบพรบ!BT83"")"),0)</f>
        <v>0</v>
      </c>
      <c r="H83" s="176">
        <f ca="1">IFERROR(__xludf.DUMMYFUNCTION("IMPORTRANGE(""https://docs.google.com/spreadsheets/d/1-uDff_7J0KD5mKrp0Vvzr7lt3OU09vwQwhkpOPPYv2Y/edit?usp=sharing"",""งบพรบ!BV83"")"),0)</f>
        <v>0</v>
      </c>
      <c r="I83" s="176">
        <f ca="1">IFERROR(__xludf.DUMMYFUNCTION("IMPORTRANGE(""https://docs.google.com/spreadsheets/d/1-uDff_7J0KD5mKrp0Vvzr7lt3OU09vwQwhkpOPPYv2Y/edit?usp=sharing"",""งบพรบ!BW83"")"),0)</f>
        <v>0</v>
      </c>
      <c r="J83" s="176">
        <f t="shared" ca="1" si="28"/>
        <v>0</v>
      </c>
      <c r="K83" s="179">
        <f t="shared" ca="1" si="29"/>
        <v>0</v>
      </c>
      <c r="L83" s="176">
        <f ca="1">IFERROR(__xludf.DUMMYFUNCTION("IMPORTRANGE(""https://docs.google.com/spreadsheets/d/1-uDff_7J0KD5mKrp0Vvzr7lt3OU09vwQwhkpOPPYv2Y/edit?usp=sharing"",""งบพรบ!BX83"")"),0)</f>
        <v>0</v>
      </c>
      <c r="M83" s="87">
        <f t="shared" ca="1" si="30"/>
        <v>0</v>
      </c>
      <c r="N83" s="87">
        <f t="shared" ca="1" si="31"/>
        <v>0</v>
      </c>
      <c r="O83" s="86">
        <f ca="1">IFERROR(__xludf.DUMMYFUNCTION("IMPORTRANGE(""https://docs.google.com/spreadsheets/d/1-uDff_7J0KD5mKrp0Vvzr7lt3OU09vwQwhkpOPPYv2Y/edit?usp=sharing"",""งบพรบ!BY83"")"),0)</f>
        <v>0</v>
      </c>
      <c r="P83" s="86">
        <f t="shared" ca="1" si="32"/>
        <v>0</v>
      </c>
      <c r="Q83" s="87">
        <f t="shared" ca="1" si="33"/>
        <v>0</v>
      </c>
      <c r="R83" s="86">
        <f ca="1">IFERROR(__xludf.DUMMYFUNCTION("IMPORTRANGE(""https://docs.google.com/spreadsheets/d/1rd4qoM1q_hsgaolqNGfrim9gbsoLxQsda4-vOz5x_BM/edit?usp=sharing"",""ภูเก็ต!Q139"")"),0)</f>
        <v>0</v>
      </c>
      <c r="S83" s="86">
        <f ca="1">IFERROR(__xludf.DUMMYFUNCTION("IMPORTRANGE(""https://docs.google.com/spreadsheets/d/1rd4qoM1q_hsgaolqNGfrim9gbsoLxQsda4-vOz5x_BM/edit?usp=sharing"",""ภูเก็ต!R139"")"),0)</f>
        <v>0</v>
      </c>
      <c r="T83" s="86">
        <f ca="1">IFERROR(__xludf.DUMMYFUNCTION("IMPORTRANGE(""https://docs.google.com/spreadsheets/d/1rd4qoM1q_hsgaolqNGfrim9gbsoLxQsda4-vOz5x_BM/edit?usp=sharing"",""ภูเก็ต!S139"")"),0)</f>
        <v>0</v>
      </c>
      <c r="U83" s="87">
        <f t="shared" ca="1" si="35"/>
        <v>0</v>
      </c>
      <c r="V83" s="87">
        <f t="shared" ca="1" si="36"/>
        <v>0</v>
      </c>
      <c r="W83" s="97">
        <f ca="1">IFERROR(__xludf.DUMMYFUNCTION("IMPORTRANGE(""https://docs.google.com/spreadsheets/d/1rd4qoM1q_hsgaolqNGfrim9gbsoLxQsda4-vOz5x_BM/edit?usp=sharing"",""ภูเก็ต!J149"")"),0)</f>
        <v>0</v>
      </c>
      <c r="X83" s="97">
        <f ca="1">IFERROR(__xludf.DUMMYFUNCTION("IMPORTRANGE(""https://docs.google.com/spreadsheets/d/1rd4qoM1q_hsgaolqNGfrim9gbsoLxQsda4-vOz5x_BM/edit?usp=sharing"",""ภูเก็ต!I150"")"),0)</f>
        <v>0</v>
      </c>
      <c r="Y83" s="97">
        <f ca="1">IFERROR(__xludf.DUMMYFUNCTION("IMPORTRANGE(""https://docs.google.com/spreadsheets/d/1rd4qoM1q_hsgaolqNGfrim9gbsoLxQsda4-vOz5x_BM/edit?usp=sharing"",""ภูเก็ต!I151"")"),0)</f>
        <v>0</v>
      </c>
      <c r="Z83" s="97">
        <f ca="1">IFERROR(__xludf.DUMMYFUNCTION("IMPORTRANGE(""https://docs.google.com/spreadsheets/d/1rd4qoM1q_hsgaolqNGfrim9gbsoLxQsda4-vOz5x_BM/edit?usp=sharing"",""ภูเก็ต!J150"")"),0)</f>
        <v>0</v>
      </c>
      <c r="AA83" s="98">
        <f t="shared" ca="1" si="38"/>
        <v>0</v>
      </c>
      <c r="AB83" s="97">
        <f ca="1">IFERROR(__xludf.DUMMYFUNCTION("IMPORTRANGE(""https://docs.google.com/spreadsheets/d/1rd4qoM1q_hsgaolqNGfrim9gbsoLxQsda4-vOz5x_BM/edit?usp=sharing"",""ภูเก็ต!J151"")"),0)</f>
        <v>0</v>
      </c>
      <c r="AC83" s="98">
        <f t="shared" ca="1" si="39"/>
        <v>0</v>
      </c>
      <c r="AD83" s="97">
        <f ca="1">IFERROR(__xludf.DUMMYFUNCTION("IMPORTRANGE(""https://docs.google.com/spreadsheets/d/1rd4qoM1q_hsgaolqNGfrim9gbsoLxQsda4-vOz5x_BM/edit?usp=sharing"",""ภูเก็ต!I152"")"),0)</f>
        <v>0</v>
      </c>
      <c r="AE83" s="97">
        <f ca="1">IFERROR(__xludf.DUMMYFUNCTION("IMPORTRANGE(""https://docs.google.com/spreadsheets/d/1rd4qoM1q_hsgaolqNGfrim9gbsoLxQsda4-vOz5x_BM/edit?usp=sharing"",""ภูเก็ต!I153"")"),0)</f>
        <v>0</v>
      </c>
      <c r="AF83" s="97">
        <f ca="1">IFERROR(__xludf.DUMMYFUNCTION("IMPORTRANGE(""https://docs.google.com/spreadsheets/d/1rd4qoM1q_hsgaolqNGfrim9gbsoLxQsda4-vOz5x_BM/edit?usp=sharing"",""ภูเก็ต!J152"")"),0)</f>
        <v>0</v>
      </c>
      <c r="AG83" s="98">
        <f t="shared" ca="1" si="41"/>
        <v>0</v>
      </c>
      <c r="AH83" s="97">
        <f ca="1">IFERROR(__xludf.DUMMYFUNCTION("IMPORTRANGE(""https://docs.google.com/spreadsheets/d/1rd4qoM1q_hsgaolqNGfrim9gbsoLxQsda4-vOz5x_BM/edit?usp=sharing"",""ภูเก็ต!J153"")"),0)</f>
        <v>0</v>
      </c>
      <c r="AI83" s="98">
        <f t="shared" ca="1" si="42"/>
        <v>0</v>
      </c>
      <c r="AJ83" s="97">
        <f ca="1">IFERROR(__xludf.DUMMYFUNCTION("IMPORTRANGE(""https://docs.google.com/spreadsheets/d/1rd4qoM1q_hsgaolqNGfrim9gbsoLxQsda4-vOz5x_BM/edit?usp=sharing"",""ภูเก็ต!I154"")"),0)</f>
        <v>0</v>
      </c>
      <c r="AK83" s="97">
        <f ca="1">IFERROR(__xludf.DUMMYFUNCTION("IMPORTRANGE(""https://docs.google.com/spreadsheets/d/1rd4qoM1q_hsgaolqNGfrim9gbsoLxQsda4-vOz5x_BM/edit?usp=sharing"",""ภูเก็ต!J154"")"),0)</f>
        <v>0</v>
      </c>
      <c r="AL83" s="98">
        <f t="shared" ca="1" si="44"/>
        <v>0</v>
      </c>
    </row>
    <row r="84" spans="1:38" ht="21" customHeight="1" x14ac:dyDescent="0.3">
      <c r="A84" s="172">
        <v>10</v>
      </c>
      <c r="B84" s="173" t="s">
        <v>110</v>
      </c>
      <c r="C84" s="174">
        <f t="shared" ca="1" si="26"/>
        <v>0</v>
      </c>
      <c r="D84" s="175">
        <f t="shared" ca="1" si="63"/>
        <v>0</v>
      </c>
      <c r="E84" s="176">
        <f ca="1">IFERROR(__xludf.DUMMYFUNCTION("IMPORTRANGE(""https://docs.google.com/spreadsheets/d/1-uDff_7J0KD5mKrp0Vvzr7lt3OU09vwQwhkpOPPYv2Y/edit?usp=sharing"",""งบพรบ!BR84"")"),0)</f>
        <v>0</v>
      </c>
      <c r="F84" s="176">
        <f ca="1">IFERROR(__xludf.DUMMYFUNCTION("IMPORTRANGE(""https://docs.google.com/spreadsheets/d/1-uDff_7J0KD5mKrp0Vvzr7lt3OU09vwQwhkpOPPYv2Y/edit?usp=sharing"",""งบพรบ!BS84"")"),0)</f>
        <v>0</v>
      </c>
      <c r="G84" s="176">
        <f ca="1">IFERROR(__xludf.DUMMYFUNCTION("IMPORTRANGE(""https://docs.google.com/spreadsheets/d/1-uDff_7J0KD5mKrp0Vvzr7lt3OU09vwQwhkpOPPYv2Y/edit?usp=sharing"",""งบพรบ!BT84"")"),0)</f>
        <v>0</v>
      </c>
      <c r="H84" s="176">
        <f ca="1">IFERROR(__xludf.DUMMYFUNCTION("IMPORTRANGE(""https://docs.google.com/spreadsheets/d/1-uDff_7J0KD5mKrp0Vvzr7lt3OU09vwQwhkpOPPYv2Y/edit?usp=sharing"",""งบพรบ!BV84"")"),0)</f>
        <v>0</v>
      </c>
      <c r="I84" s="176">
        <f ca="1">IFERROR(__xludf.DUMMYFUNCTION("IMPORTRANGE(""https://docs.google.com/spreadsheets/d/1-uDff_7J0KD5mKrp0Vvzr7lt3OU09vwQwhkpOPPYv2Y/edit?usp=sharing"",""งบพรบ!BW84"")"),0)</f>
        <v>0</v>
      </c>
      <c r="J84" s="176">
        <f t="shared" ca="1" si="28"/>
        <v>0</v>
      </c>
      <c r="K84" s="179">
        <f t="shared" ca="1" si="29"/>
        <v>0</v>
      </c>
      <c r="L84" s="176">
        <f ca="1">IFERROR(__xludf.DUMMYFUNCTION("IMPORTRANGE(""https://docs.google.com/spreadsheets/d/1-uDff_7J0KD5mKrp0Vvzr7lt3OU09vwQwhkpOPPYv2Y/edit?usp=sharing"",""งบพรบ!BX84"")"),0)</f>
        <v>0</v>
      </c>
      <c r="M84" s="87">
        <f t="shared" ca="1" si="30"/>
        <v>0</v>
      </c>
      <c r="N84" s="87">
        <f t="shared" ca="1" si="31"/>
        <v>0</v>
      </c>
      <c r="O84" s="86">
        <f ca="1">IFERROR(__xludf.DUMMYFUNCTION("IMPORTRANGE(""https://docs.google.com/spreadsheets/d/1-uDff_7J0KD5mKrp0Vvzr7lt3OU09vwQwhkpOPPYv2Y/edit?usp=sharing"",""งบพรบ!BY84"")"),0)</f>
        <v>0</v>
      </c>
      <c r="P84" s="86">
        <f t="shared" ca="1" si="32"/>
        <v>0</v>
      </c>
      <c r="Q84" s="87">
        <f t="shared" ca="1" si="33"/>
        <v>0</v>
      </c>
      <c r="R84" s="86">
        <f ca="1">IFERROR(__xludf.DUMMYFUNCTION("IMPORTRANGE(""https://docs.google.com/spreadsheets/d/1woKwKjgoLssDvPcPeVyezB5izizAn4X1JDrys69n6xI/edit?usp=sharing"",""ยะลา!Q139"")"),0)</f>
        <v>0</v>
      </c>
      <c r="S84" s="86">
        <f ca="1">IFERROR(__xludf.DUMMYFUNCTION("IMPORTRANGE(""https://docs.google.com/spreadsheets/d/1woKwKjgoLssDvPcPeVyezB5izizAn4X1JDrys69n6xI/edit?usp=sharing"",""ยะลา!R139"")"),0)</f>
        <v>0</v>
      </c>
      <c r="T84" s="86">
        <f ca="1">IFERROR(__xludf.DUMMYFUNCTION("IMPORTRANGE(""https://docs.google.com/spreadsheets/d/1woKwKjgoLssDvPcPeVyezB5izizAn4X1JDrys69n6xI/edit?usp=sharing"",""ยะลา!S139"")"),0)</f>
        <v>0</v>
      </c>
      <c r="U84" s="87">
        <f t="shared" ca="1" si="35"/>
        <v>0</v>
      </c>
      <c r="V84" s="87">
        <f t="shared" ca="1" si="36"/>
        <v>0</v>
      </c>
      <c r="W84" s="97">
        <f ca="1">IFERROR(__xludf.DUMMYFUNCTION("IMPORTRANGE(""https://docs.google.com/spreadsheets/d/1woKwKjgoLssDvPcPeVyezB5izizAn4X1JDrys69n6xI/edit?usp=sharing"",""ยะลา!J149"")"),0)</f>
        <v>0</v>
      </c>
      <c r="X84" s="97">
        <f ca="1">IFERROR(__xludf.DUMMYFUNCTION("IMPORTRANGE(""https://docs.google.com/spreadsheets/d/1woKwKjgoLssDvPcPeVyezB5izizAn4X1JDrys69n6xI/edit?usp=sharing"",""ยะลา!I150"")"),0)</f>
        <v>0</v>
      </c>
      <c r="Y84" s="97">
        <f ca="1">IFERROR(__xludf.DUMMYFUNCTION("IMPORTRANGE(""https://docs.google.com/spreadsheets/d/1woKwKjgoLssDvPcPeVyezB5izizAn4X1JDrys69n6xI/edit?usp=sharing"",""ยะลา!I151"")"),0)</f>
        <v>0</v>
      </c>
      <c r="Z84" s="97">
        <f ca="1">IFERROR(__xludf.DUMMYFUNCTION("IMPORTRANGE(""https://docs.google.com/spreadsheets/d/1woKwKjgoLssDvPcPeVyezB5izizAn4X1JDrys69n6xI/edit?usp=sharing"",""ยะลา!J150"")"),0)</f>
        <v>0</v>
      </c>
      <c r="AA84" s="98">
        <f t="shared" ca="1" si="38"/>
        <v>0</v>
      </c>
      <c r="AB84" s="97">
        <f ca="1">IFERROR(__xludf.DUMMYFUNCTION("IMPORTRANGE(""https://docs.google.com/spreadsheets/d/1woKwKjgoLssDvPcPeVyezB5izizAn4X1JDrys69n6xI/edit?usp=sharing"",""ยะลา!J151"")"),0)</f>
        <v>0</v>
      </c>
      <c r="AC84" s="98">
        <f t="shared" ca="1" si="39"/>
        <v>0</v>
      </c>
      <c r="AD84" s="97">
        <f ca="1">IFERROR(__xludf.DUMMYFUNCTION("IMPORTRANGE(""https://docs.google.com/spreadsheets/d/1woKwKjgoLssDvPcPeVyezB5izizAn4X1JDrys69n6xI/edit?usp=sharing"",""ยะลา!I152"")"),0)</f>
        <v>0</v>
      </c>
      <c r="AE84" s="97">
        <f ca="1">IFERROR(__xludf.DUMMYFUNCTION("IMPORTRANGE(""https://docs.google.com/spreadsheets/d/1woKwKjgoLssDvPcPeVyezB5izizAn4X1JDrys69n6xI/edit?usp=sharing"",""ยะลา!I153"")"),0)</f>
        <v>0</v>
      </c>
      <c r="AF84" s="97">
        <f ca="1">IFERROR(__xludf.DUMMYFUNCTION("IMPORTRANGE(""https://docs.google.com/spreadsheets/d/1woKwKjgoLssDvPcPeVyezB5izizAn4X1JDrys69n6xI/edit?usp=sharing"",""ยะลา!J152"")"),0)</f>
        <v>0</v>
      </c>
      <c r="AG84" s="98">
        <f t="shared" ca="1" si="41"/>
        <v>0</v>
      </c>
      <c r="AH84" s="97">
        <f ca="1">IFERROR(__xludf.DUMMYFUNCTION("IMPORTRANGE(""https://docs.google.com/spreadsheets/d/1woKwKjgoLssDvPcPeVyezB5izizAn4X1JDrys69n6xI/edit?usp=sharing"",""ยะลา!J153"")"),0)</f>
        <v>0</v>
      </c>
      <c r="AI84" s="98">
        <f t="shared" ca="1" si="42"/>
        <v>0</v>
      </c>
      <c r="AJ84" s="97">
        <f ca="1">IFERROR(__xludf.DUMMYFUNCTION("IMPORTRANGE(""https://docs.google.com/spreadsheets/d/1woKwKjgoLssDvPcPeVyezB5izizAn4X1JDrys69n6xI/edit?usp=sharing"",""ยะลา!I154"")"),0)</f>
        <v>0</v>
      </c>
      <c r="AK84" s="97">
        <f ca="1">IFERROR(__xludf.DUMMYFUNCTION("IMPORTRANGE(""https://docs.google.com/spreadsheets/d/1woKwKjgoLssDvPcPeVyezB5izizAn4X1JDrys69n6xI/edit?usp=sharing"",""ยะลา!J154"")"),0)</f>
        <v>0</v>
      </c>
      <c r="AL84" s="98">
        <f t="shared" ca="1" si="44"/>
        <v>0</v>
      </c>
    </row>
    <row r="85" spans="1:38" ht="21" customHeight="1" x14ac:dyDescent="0.3">
      <c r="A85" s="172">
        <v>11</v>
      </c>
      <c r="B85" s="173" t="s">
        <v>111</v>
      </c>
      <c r="C85" s="174">
        <f t="shared" ca="1" si="26"/>
        <v>66500</v>
      </c>
      <c r="D85" s="175">
        <f t="shared" ca="1" si="63"/>
        <v>66500</v>
      </c>
      <c r="E85" s="176">
        <f ca="1">IFERROR(__xludf.DUMMYFUNCTION("IMPORTRANGE(""https://docs.google.com/spreadsheets/d/1-uDff_7J0KD5mKrp0Vvzr7lt3OU09vwQwhkpOPPYv2Y/edit?usp=sharing"",""งบพรบ!BR85"")"),0)</f>
        <v>0</v>
      </c>
      <c r="F85" s="176">
        <f ca="1">IFERROR(__xludf.DUMMYFUNCTION("IMPORTRANGE(""https://docs.google.com/spreadsheets/d/1-uDff_7J0KD5mKrp0Vvzr7lt3OU09vwQwhkpOPPYv2Y/edit?usp=sharing"",""งบพรบ!BS85"")"),66500)</f>
        <v>66500</v>
      </c>
      <c r="G85" s="176">
        <f ca="1">IFERROR(__xludf.DUMMYFUNCTION("IMPORTRANGE(""https://docs.google.com/spreadsheets/d/1-uDff_7J0KD5mKrp0Vvzr7lt3OU09vwQwhkpOPPYv2Y/edit?usp=sharing"",""งบพรบ!BT85"")"),0)</f>
        <v>0</v>
      </c>
      <c r="H85" s="176">
        <f ca="1">IFERROR(__xludf.DUMMYFUNCTION("IMPORTRANGE(""https://docs.google.com/spreadsheets/d/1-uDff_7J0KD5mKrp0Vvzr7lt3OU09vwQwhkpOPPYv2Y/edit?usp=sharing"",""งบพรบ!BV85"")"),61500)</f>
        <v>61500</v>
      </c>
      <c r="I85" s="176">
        <f ca="1">IFERROR(__xludf.DUMMYFUNCTION("IMPORTRANGE(""https://docs.google.com/spreadsheets/d/1-uDff_7J0KD5mKrp0Vvzr7lt3OU09vwQwhkpOPPYv2Y/edit?usp=sharing"",""งบพรบ!BW85"")"),0)</f>
        <v>0</v>
      </c>
      <c r="J85" s="176">
        <f t="shared" ca="1" si="28"/>
        <v>0</v>
      </c>
      <c r="K85" s="179">
        <f t="shared" ca="1" si="29"/>
        <v>0</v>
      </c>
      <c r="L85" s="176">
        <f ca="1">IFERROR(__xludf.DUMMYFUNCTION("IMPORTRANGE(""https://docs.google.com/spreadsheets/d/1-uDff_7J0KD5mKrp0Vvzr7lt3OU09vwQwhkpOPPYv2Y/edit?usp=sharing"",""งบพรบ!BX85"")"),0)</f>
        <v>0</v>
      </c>
      <c r="M85" s="87">
        <f t="shared" ca="1" si="30"/>
        <v>0</v>
      </c>
      <c r="N85" s="87">
        <f t="shared" ca="1" si="31"/>
        <v>0</v>
      </c>
      <c r="O85" s="86">
        <f ca="1">IFERROR(__xludf.DUMMYFUNCTION("IMPORTRANGE(""https://docs.google.com/spreadsheets/d/1-uDff_7J0KD5mKrp0Vvzr7lt3OU09vwQwhkpOPPYv2Y/edit?usp=sharing"",""งบพรบ!BY85"")"),0)</f>
        <v>0</v>
      </c>
      <c r="P85" s="86">
        <f t="shared" ca="1" si="32"/>
        <v>0</v>
      </c>
      <c r="Q85" s="87">
        <f t="shared" ca="1" si="33"/>
        <v>0</v>
      </c>
      <c r="R85" s="86">
        <f ca="1">IFERROR(__xludf.DUMMYFUNCTION("IMPORTRANGE(""https://docs.google.com/spreadsheets/d/1qfrKjzMhm2HJfxQ-qVlJlJQ25Hne1d0khsySbZyGtPA/edit?usp=sharing"",""ระนอง!Q139"")"),0)</f>
        <v>0</v>
      </c>
      <c r="S85" s="86">
        <f ca="1">IFERROR(__xludf.DUMMYFUNCTION("IMPORTRANGE(""https://docs.google.com/spreadsheets/d/1qfrKjzMhm2HJfxQ-qVlJlJQ25Hne1d0khsySbZyGtPA/edit?usp=sharing"",""ระนอง!R139"")"),0)</f>
        <v>0</v>
      </c>
      <c r="T85" s="86">
        <f ca="1">IFERROR(__xludf.DUMMYFUNCTION("IMPORTRANGE(""https://docs.google.com/spreadsheets/d/1qfrKjzMhm2HJfxQ-qVlJlJQ25Hne1d0khsySbZyGtPA/edit?usp=sharing"",""ระนอง!S139"")"),0)</f>
        <v>0</v>
      </c>
      <c r="U85" s="87">
        <f t="shared" ca="1" si="35"/>
        <v>0</v>
      </c>
      <c r="V85" s="87">
        <f t="shared" ca="1" si="36"/>
        <v>0</v>
      </c>
      <c r="W85" s="97">
        <f ca="1">IFERROR(__xludf.DUMMYFUNCTION("IMPORTRANGE(""https://docs.google.com/spreadsheets/d/1qfrKjzMhm2HJfxQ-qVlJlJQ25Hne1d0khsySbZyGtPA/edit?usp=sharing"",""ระนอง!J149"")"),0)</f>
        <v>0</v>
      </c>
      <c r="X85" s="97">
        <f ca="1">IFERROR(__xludf.DUMMYFUNCTION("IMPORTRANGE(""https://docs.google.com/spreadsheets/d/1qfrKjzMhm2HJfxQ-qVlJlJQ25Hne1d0khsySbZyGtPA/edit?usp=sharing"",""ระนอง!I150"")"),20)</f>
        <v>20</v>
      </c>
      <c r="Y85" s="97">
        <f ca="1">IFERROR(__xludf.DUMMYFUNCTION("IMPORTRANGE(""https://docs.google.com/spreadsheets/d/1qfrKjzMhm2HJfxQ-qVlJlJQ25Hne1d0khsySbZyGtPA/edit?usp=sharing"",""ระนอง!I151"")"),2)</f>
        <v>2</v>
      </c>
      <c r="Z85" s="97">
        <f ca="1">IFERROR(__xludf.DUMMYFUNCTION("IMPORTRANGE(""https://docs.google.com/spreadsheets/d/1qfrKjzMhm2HJfxQ-qVlJlJQ25Hne1d0khsySbZyGtPA/edit?usp=sharing"",""ระนอง!J150"")"),0)</f>
        <v>0</v>
      </c>
      <c r="AA85" s="98">
        <f t="shared" ca="1" si="38"/>
        <v>0</v>
      </c>
      <c r="AB85" s="97">
        <f ca="1">IFERROR(__xludf.DUMMYFUNCTION("IMPORTRANGE(""https://docs.google.com/spreadsheets/d/1qfrKjzMhm2HJfxQ-qVlJlJQ25Hne1d0khsySbZyGtPA/edit?usp=sharing"",""ระนอง!J151"")"),0)</f>
        <v>0</v>
      </c>
      <c r="AC85" s="98">
        <f t="shared" ca="1" si="39"/>
        <v>0</v>
      </c>
      <c r="AD85" s="97">
        <f ca="1">IFERROR(__xludf.DUMMYFUNCTION("IMPORTRANGE(""https://docs.google.com/spreadsheets/d/1qfrKjzMhm2HJfxQ-qVlJlJQ25Hne1d0khsySbZyGtPA/edit?usp=sharing"",""ระนอง!I152"")"),30)</f>
        <v>30</v>
      </c>
      <c r="AE85" s="97">
        <f ca="1">IFERROR(__xludf.DUMMYFUNCTION("IMPORTRANGE(""https://docs.google.com/spreadsheets/d/1qfrKjzMhm2HJfxQ-qVlJlJQ25Hne1d0khsySbZyGtPA/edit?usp=sharing"",""ระนอง!I153"")"),3)</f>
        <v>3</v>
      </c>
      <c r="AF85" s="97">
        <f ca="1">IFERROR(__xludf.DUMMYFUNCTION("IMPORTRANGE(""https://docs.google.com/spreadsheets/d/1qfrKjzMhm2HJfxQ-qVlJlJQ25Hne1d0khsySbZyGtPA/edit?usp=sharing"",""ระนอง!J152"")"),0)</f>
        <v>0</v>
      </c>
      <c r="AG85" s="98">
        <f t="shared" ca="1" si="41"/>
        <v>0</v>
      </c>
      <c r="AH85" s="97">
        <f ca="1">IFERROR(__xludf.DUMMYFUNCTION("IMPORTRANGE(""https://docs.google.com/spreadsheets/d/1qfrKjzMhm2HJfxQ-qVlJlJQ25Hne1d0khsySbZyGtPA/edit?usp=sharing"",""ระนอง!J153"")"),0)</f>
        <v>0</v>
      </c>
      <c r="AI85" s="98">
        <f t="shared" ca="1" si="42"/>
        <v>0</v>
      </c>
      <c r="AJ85" s="97">
        <f ca="1">IFERROR(__xludf.DUMMYFUNCTION("IMPORTRANGE(""https://docs.google.com/spreadsheets/d/1qfrKjzMhm2HJfxQ-qVlJlJQ25Hne1d0khsySbZyGtPA/edit?usp=sharing"",""ระนอง!I154"")"),2)</f>
        <v>2</v>
      </c>
      <c r="AK85" s="97">
        <f ca="1">IFERROR(__xludf.DUMMYFUNCTION("IMPORTRANGE(""https://docs.google.com/spreadsheets/d/1qfrKjzMhm2HJfxQ-qVlJlJQ25Hne1d0khsySbZyGtPA/edit?usp=sharing"",""ระนอง!J154"")"),0)</f>
        <v>0</v>
      </c>
      <c r="AL85" s="98">
        <f t="shared" ca="1" si="44"/>
        <v>0</v>
      </c>
    </row>
    <row r="86" spans="1:38" ht="24" customHeight="1" x14ac:dyDescent="0.3">
      <c r="A86" s="172">
        <v>12</v>
      </c>
      <c r="B86" s="173" t="s">
        <v>112</v>
      </c>
      <c r="C86" s="174">
        <f t="shared" ca="1" si="26"/>
        <v>23300</v>
      </c>
      <c r="D86" s="175">
        <f t="shared" ca="1" si="63"/>
        <v>23300</v>
      </c>
      <c r="E86" s="176">
        <f ca="1">IFERROR(__xludf.DUMMYFUNCTION("IMPORTRANGE(""https://docs.google.com/spreadsheets/d/1-uDff_7J0KD5mKrp0Vvzr7lt3OU09vwQwhkpOPPYv2Y/edit?usp=sharing"",""งบพรบ!BR86"")"),0)</f>
        <v>0</v>
      </c>
      <c r="F86" s="176">
        <f ca="1">IFERROR(__xludf.DUMMYFUNCTION("IMPORTRANGE(""https://docs.google.com/spreadsheets/d/1-uDff_7J0KD5mKrp0Vvzr7lt3OU09vwQwhkpOPPYv2Y/edit?usp=sharing"",""งบพรบ!BS86"")"),23300)</f>
        <v>23300</v>
      </c>
      <c r="G86" s="176">
        <f ca="1">IFERROR(__xludf.DUMMYFUNCTION("IMPORTRANGE(""https://docs.google.com/spreadsheets/d/1-uDff_7J0KD5mKrp0Vvzr7lt3OU09vwQwhkpOPPYv2Y/edit?usp=sharing"",""งบพรบ!BT86"")"),0)</f>
        <v>0</v>
      </c>
      <c r="H86" s="176">
        <f ca="1">IFERROR(__xludf.DUMMYFUNCTION("IMPORTRANGE(""https://docs.google.com/spreadsheets/d/1-uDff_7J0KD5mKrp0Vvzr7lt3OU09vwQwhkpOPPYv2Y/edit?usp=sharing"",""งบพรบ!BV86"")"),18300)</f>
        <v>18300</v>
      </c>
      <c r="I86" s="176">
        <f ca="1">IFERROR(__xludf.DUMMYFUNCTION("IMPORTRANGE(""https://docs.google.com/spreadsheets/d/1-uDff_7J0KD5mKrp0Vvzr7lt3OU09vwQwhkpOPPYv2Y/edit?usp=sharing"",""งบพรบ!BW86"")"),0)</f>
        <v>0</v>
      </c>
      <c r="J86" s="176">
        <f t="shared" ca="1" si="28"/>
        <v>0</v>
      </c>
      <c r="K86" s="179">
        <f t="shared" ca="1" si="29"/>
        <v>0</v>
      </c>
      <c r="L86" s="176">
        <f ca="1">IFERROR(__xludf.DUMMYFUNCTION("IMPORTRANGE(""https://docs.google.com/spreadsheets/d/1-uDff_7J0KD5mKrp0Vvzr7lt3OU09vwQwhkpOPPYv2Y/edit?usp=sharing"",""งบพรบ!BX86"")"),0)</f>
        <v>0</v>
      </c>
      <c r="M86" s="87">
        <f t="shared" ca="1" si="30"/>
        <v>0</v>
      </c>
      <c r="N86" s="87">
        <f t="shared" ca="1" si="31"/>
        <v>0</v>
      </c>
      <c r="O86" s="86">
        <f ca="1">IFERROR(__xludf.DUMMYFUNCTION("IMPORTRANGE(""https://docs.google.com/spreadsheets/d/1-uDff_7J0KD5mKrp0Vvzr7lt3OU09vwQwhkpOPPYv2Y/edit?usp=sharing"",""งบพรบ!BY86"")"),0)</f>
        <v>0</v>
      </c>
      <c r="P86" s="86">
        <f t="shared" ca="1" si="32"/>
        <v>0</v>
      </c>
      <c r="Q86" s="87">
        <f t="shared" ca="1" si="33"/>
        <v>0</v>
      </c>
      <c r="R86" s="86">
        <f ca="1">IFERROR(__xludf.DUMMYFUNCTION("IMPORTRANGE(""https://docs.google.com/spreadsheets/d/1IbSCnFOKpZsnFogBHJnL_isstZVaOMnFiIN0fGTPZZw/edit?usp=sharing"",""สงขลา!Q139"")"),0)</f>
        <v>0</v>
      </c>
      <c r="S86" s="86">
        <f ca="1">IFERROR(__xludf.DUMMYFUNCTION("IMPORTRANGE(""https://docs.google.com/spreadsheets/d/1IbSCnFOKpZsnFogBHJnL_isstZVaOMnFiIN0fGTPZZw/edit?usp=sharing"",""สงขลา!R139"")"),0)</f>
        <v>0</v>
      </c>
      <c r="T86" s="86">
        <f ca="1">IFERROR(__xludf.DUMMYFUNCTION("IMPORTRANGE(""https://docs.google.com/spreadsheets/d/1IbSCnFOKpZsnFogBHJnL_isstZVaOMnFiIN0fGTPZZw/edit?usp=sharing"",""สงขลา!S139"")"),0)</f>
        <v>0</v>
      </c>
      <c r="U86" s="87">
        <f t="shared" ca="1" si="35"/>
        <v>0</v>
      </c>
      <c r="V86" s="87">
        <f t="shared" ca="1" si="36"/>
        <v>0</v>
      </c>
      <c r="W86" s="97">
        <f ca="1">IFERROR(__xludf.DUMMYFUNCTION("IMPORTRANGE(""https://docs.google.com/spreadsheets/d/1IbSCnFOKpZsnFogBHJnL_isstZVaOMnFiIN0fGTPZZw/edit?usp=sharing"",""สงขลา!J149"")"),0)</f>
        <v>0</v>
      </c>
      <c r="X86" s="97">
        <f ca="1">IFERROR(__xludf.DUMMYFUNCTION("IMPORTRANGE(""https://docs.google.com/spreadsheets/d/1IbSCnFOKpZsnFogBHJnL_isstZVaOMnFiIN0fGTPZZw/edit?usp=sharing"",""สงขลา!I150"")"),0)</f>
        <v>0</v>
      </c>
      <c r="Y86" s="97">
        <f ca="1">IFERROR(__xludf.DUMMYFUNCTION("IMPORTRANGE(""https://docs.google.com/spreadsheets/d/1IbSCnFOKpZsnFogBHJnL_isstZVaOMnFiIN0fGTPZZw/edit?usp=sharing"",""สงขลา!I151"")"),0)</f>
        <v>0</v>
      </c>
      <c r="Z86" s="97">
        <f ca="1">IFERROR(__xludf.DUMMYFUNCTION("IMPORTRANGE(""https://docs.google.com/spreadsheets/d/1IbSCnFOKpZsnFogBHJnL_isstZVaOMnFiIN0fGTPZZw/edit?usp=sharing"",""สงขลา!J150"")"),0)</f>
        <v>0</v>
      </c>
      <c r="AA86" s="98">
        <f t="shared" ca="1" si="38"/>
        <v>0</v>
      </c>
      <c r="AB86" s="97">
        <f ca="1">IFERROR(__xludf.DUMMYFUNCTION("IMPORTRANGE(""https://docs.google.com/spreadsheets/d/1IbSCnFOKpZsnFogBHJnL_isstZVaOMnFiIN0fGTPZZw/edit?usp=sharing"",""สงขลา!J151"")"),0)</f>
        <v>0</v>
      </c>
      <c r="AC86" s="98">
        <f t="shared" ca="1" si="39"/>
        <v>0</v>
      </c>
      <c r="AD86" s="97">
        <f ca="1">IFERROR(__xludf.DUMMYFUNCTION("IMPORTRANGE(""https://docs.google.com/spreadsheets/d/1IbSCnFOKpZsnFogBHJnL_isstZVaOMnFiIN0fGTPZZw/edit?usp=sharing"",""สงขลา!I152"")"),10)</f>
        <v>10</v>
      </c>
      <c r="AE86" s="97">
        <f ca="1">IFERROR(__xludf.DUMMYFUNCTION("IMPORTRANGE(""https://docs.google.com/spreadsheets/d/1IbSCnFOKpZsnFogBHJnL_isstZVaOMnFiIN0fGTPZZw/edit?usp=sharing"",""สงขลา!I153"")"),1)</f>
        <v>1</v>
      </c>
      <c r="AF86" s="97">
        <f ca="1">IFERROR(__xludf.DUMMYFUNCTION("IMPORTRANGE(""https://docs.google.com/spreadsheets/d/1IbSCnFOKpZsnFogBHJnL_isstZVaOMnFiIN0fGTPZZw/edit?usp=sharing"",""สงขลา!J152"")"),0)</f>
        <v>0</v>
      </c>
      <c r="AG86" s="98">
        <f t="shared" ca="1" si="41"/>
        <v>0</v>
      </c>
      <c r="AH86" s="97">
        <f ca="1">IFERROR(__xludf.DUMMYFUNCTION("IMPORTRANGE(""https://docs.google.com/spreadsheets/d/1IbSCnFOKpZsnFogBHJnL_isstZVaOMnFiIN0fGTPZZw/edit?usp=sharing"",""สงขลา!J153"")"),0)</f>
        <v>0</v>
      </c>
      <c r="AI86" s="98">
        <f t="shared" ca="1" si="42"/>
        <v>0</v>
      </c>
      <c r="AJ86" s="97">
        <f ca="1">IFERROR(__xludf.DUMMYFUNCTION("IMPORTRANGE(""https://docs.google.com/spreadsheets/d/1IbSCnFOKpZsnFogBHJnL_isstZVaOMnFiIN0fGTPZZw/edit?usp=sharing"",""สงขลา!I154"")"),0)</f>
        <v>0</v>
      </c>
      <c r="AK86" s="97">
        <f ca="1">IFERROR(__xludf.DUMMYFUNCTION("IMPORTRANGE(""https://docs.google.com/spreadsheets/d/1IbSCnFOKpZsnFogBHJnL_isstZVaOMnFiIN0fGTPZZw/edit?usp=sharing"",""สงขลา!J154"")"),0)</f>
        <v>0</v>
      </c>
      <c r="AL86" s="98">
        <f t="shared" ca="1" si="44"/>
        <v>0</v>
      </c>
    </row>
    <row r="87" spans="1:38" ht="24" customHeight="1" x14ac:dyDescent="0.3">
      <c r="A87" s="172">
        <v>13</v>
      </c>
      <c r="B87" s="173" t="s">
        <v>113</v>
      </c>
      <c r="C87" s="174">
        <f t="shared" ca="1" si="26"/>
        <v>0</v>
      </c>
      <c r="D87" s="175">
        <f t="shared" ca="1" si="63"/>
        <v>0</v>
      </c>
      <c r="E87" s="176">
        <f ca="1">IFERROR(__xludf.DUMMYFUNCTION("IMPORTRANGE(""https://docs.google.com/spreadsheets/d/1-uDff_7J0KD5mKrp0Vvzr7lt3OU09vwQwhkpOPPYv2Y/edit?usp=sharing"",""งบพรบ!BR87"")"),0)</f>
        <v>0</v>
      </c>
      <c r="F87" s="176">
        <f ca="1">IFERROR(__xludf.DUMMYFUNCTION("IMPORTRANGE(""https://docs.google.com/spreadsheets/d/1-uDff_7J0KD5mKrp0Vvzr7lt3OU09vwQwhkpOPPYv2Y/edit?usp=sharing"",""งบพรบ!BS87"")"),0)</f>
        <v>0</v>
      </c>
      <c r="G87" s="176">
        <f ca="1">IFERROR(__xludf.DUMMYFUNCTION("IMPORTRANGE(""https://docs.google.com/spreadsheets/d/1-uDff_7J0KD5mKrp0Vvzr7lt3OU09vwQwhkpOPPYv2Y/edit?usp=sharing"",""งบพรบ!BT87"")"),0)</f>
        <v>0</v>
      </c>
      <c r="H87" s="176">
        <f ca="1">IFERROR(__xludf.DUMMYFUNCTION("IMPORTRANGE(""https://docs.google.com/spreadsheets/d/1-uDff_7J0KD5mKrp0Vvzr7lt3OU09vwQwhkpOPPYv2Y/edit?usp=sharing"",""งบพรบ!BV87"")"),0)</f>
        <v>0</v>
      </c>
      <c r="I87" s="176">
        <f ca="1">IFERROR(__xludf.DUMMYFUNCTION("IMPORTRANGE(""https://docs.google.com/spreadsheets/d/1-uDff_7J0KD5mKrp0Vvzr7lt3OU09vwQwhkpOPPYv2Y/edit?usp=sharing"",""งบพรบ!BW87"")"),0)</f>
        <v>0</v>
      </c>
      <c r="J87" s="176">
        <f t="shared" ca="1" si="28"/>
        <v>0</v>
      </c>
      <c r="K87" s="179">
        <f t="shared" ca="1" si="29"/>
        <v>0</v>
      </c>
      <c r="L87" s="176">
        <f ca="1">IFERROR(__xludf.DUMMYFUNCTION("IMPORTRANGE(""https://docs.google.com/spreadsheets/d/1-uDff_7J0KD5mKrp0Vvzr7lt3OU09vwQwhkpOPPYv2Y/edit?usp=sharing"",""งบพรบ!BX87"")"),0)</f>
        <v>0</v>
      </c>
      <c r="M87" s="87">
        <f t="shared" ca="1" si="30"/>
        <v>0</v>
      </c>
      <c r="N87" s="87">
        <f t="shared" ca="1" si="31"/>
        <v>0</v>
      </c>
      <c r="O87" s="86">
        <f ca="1">IFERROR(__xludf.DUMMYFUNCTION("IMPORTRANGE(""https://docs.google.com/spreadsheets/d/1-uDff_7J0KD5mKrp0Vvzr7lt3OU09vwQwhkpOPPYv2Y/edit?usp=sharing"",""งบพรบ!BY87"")"),0)</f>
        <v>0</v>
      </c>
      <c r="P87" s="86">
        <f t="shared" ca="1" si="32"/>
        <v>0</v>
      </c>
      <c r="Q87" s="87">
        <f t="shared" ca="1" si="33"/>
        <v>0</v>
      </c>
      <c r="R87" s="86">
        <f ca="1">IFERROR(__xludf.DUMMYFUNCTION("IMPORTRANGE(""https://docs.google.com/spreadsheets/d/1q9nWasZJ-K8bFGvbE9n0qSRuKGA4Toe3Y89cKCiVtCU/edit?usp=sharing"",""สตูล!Q139"")"),0)</f>
        <v>0</v>
      </c>
      <c r="S87" s="86">
        <f ca="1">IFERROR(__xludf.DUMMYFUNCTION("IMPORTRANGE(""https://docs.google.com/spreadsheets/d/1q9nWasZJ-K8bFGvbE9n0qSRuKGA4Toe3Y89cKCiVtCU/edit?usp=sharing"",""สตูล!R139"")"),0)</f>
        <v>0</v>
      </c>
      <c r="T87" s="86">
        <f ca="1">IFERROR(__xludf.DUMMYFUNCTION("IMPORTRANGE(""https://docs.google.com/spreadsheets/d/1q9nWasZJ-K8bFGvbE9n0qSRuKGA4Toe3Y89cKCiVtCU/edit?usp=sharing"",""สตูล!S139"")"),0)</f>
        <v>0</v>
      </c>
      <c r="U87" s="87">
        <f t="shared" ca="1" si="35"/>
        <v>0</v>
      </c>
      <c r="V87" s="87">
        <f t="shared" ca="1" si="36"/>
        <v>0</v>
      </c>
      <c r="W87" s="97">
        <f ca="1">IFERROR(__xludf.DUMMYFUNCTION("IMPORTRANGE(""https://docs.google.com/spreadsheets/d/1q9nWasZJ-K8bFGvbE9n0qSRuKGA4Toe3Y89cKCiVtCU/edit?usp=sharing"",""สตูล!J149"")"),0)</f>
        <v>0</v>
      </c>
      <c r="X87" s="97">
        <f ca="1">IFERROR(__xludf.DUMMYFUNCTION("IMPORTRANGE(""https://docs.google.com/spreadsheets/d/1q9nWasZJ-K8bFGvbE9n0qSRuKGA4Toe3Y89cKCiVtCU/edit?usp=sharing"",""สตูล!I150"")"),0)</f>
        <v>0</v>
      </c>
      <c r="Y87" s="97">
        <f ca="1">IFERROR(__xludf.DUMMYFUNCTION("IMPORTRANGE(""https://docs.google.com/spreadsheets/d/1q9nWasZJ-K8bFGvbE9n0qSRuKGA4Toe3Y89cKCiVtCU/edit?usp=sharing"",""สตูล!I151"")"),0)</f>
        <v>0</v>
      </c>
      <c r="Z87" s="97">
        <f ca="1">IFERROR(__xludf.DUMMYFUNCTION("IMPORTRANGE(""https://docs.google.com/spreadsheets/d/1q9nWasZJ-K8bFGvbE9n0qSRuKGA4Toe3Y89cKCiVtCU/edit?usp=sharing"",""สตูล!J150"")"),0)</f>
        <v>0</v>
      </c>
      <c r="AA87" s="98">
        <f t="shared" ca="1" si="38"/>
        <v>0</v>
      </c>
      <c r="AB87" s="97">
        <f ca="1">IFERROR(__xludf.DUMMYFUNCTION("IMPORTRANGE(""https://docs.google.com/spreadsheets/d/1q9nWasZJ-K8bFGvbE9n0qSRuKGA4Toe3Y89cKCiVtCU/edit?usp=sharing"",""สตูล!J151"")"),0)</f>
        <v>0</v>
      </c>
      <c r="AC87" s="98">
        <f t="shared" ca="1" si="39"/>
        <v>0</v>
      </c>
      <c r="AD87" s="97">
        <f ca="1">IFERROR(__xludf.DUMMYFUNCTION("IMPORTRANGE(""https://docs.google.com/spreadsheets/d/1q9nWasZJ-K8bFGvbE9n0qSRuKGA4Toe3Y89cKCiVtCU/edit?usp=sharing"",""สตูล!I152"")"),0)</f>
        <v>0</v>
      </c>
      <c r="AE87" s="97">
        <f ca="1">IFERROR(__xludf.DUMMYFUNCTION("IMPORTRANGE(""https://docs.google.com/spreadsheets/d/1q9nWasZJ-K8bFGvbE9n0qSRuKGA4Toe3Y89cKCiVtCU/edit?usp=sharing"",""สตูล!I153"")"),0)</f>
        <v>0</v>
      </c>
      <c r="AF87" s="97">
        <f ca="1">IFERROR(__xludf.DUMMYFUNCTION("IMPORTRANGE(""https://docs.google.com/spreadsheets/d/1q9nWasZJ-K8bFGvbE9n0qSRuKGA4Toe3Y89cKCiVtCU/edit?usp=sharing"",""สตูล!J152"")"),0)</f>
        <v>0</v>
      </c>
      <c r="AG87" s="98">
        <f t="shared" ca="1" si="41"/>
        <v>0</v>
      </c>
      <c r="AH87" s="97">
        <f ca="1">IFERROR(__xludf.DUMMYFUNCTION("IMPORTRANGE(""https://docs.google.com/spreadsheets/d/1q9nWasZJ-K8bFGvbE9n0qSRuKGA4Toe3Y89cKCiVtCU/edit?usp=sharing"",""สตูล!J153"")"),0)</f>
        <v>0</v>
      </c>
      <c r="AI87" s="98">
        <f t="shared" ca="1" si="42"/>
        <v>0</v>
      </c>
      <c r="AJ87" s="97">
        <f ca="1">IFERROR(__xludf.DUMMYFUNCTION("IMPORTRANGE(""https://docs.google.com/spreadsheets/d/1q9nWasZJ-K8bFGvbE9n0qSRuKGA4Toe3Y89cKCiVtCU/edit?usp=sharing"",""สตูล!I154"")"),0)</f>
        <v>0</v>
      </c>
      <c r="AK87" s="97">
        <f ca="1">IFERROR(__xludf.DUMMYFUNCTION("IMPORTRANGE(""https://docs.google.com/spreadsheets/d/1q9nWasZJ-K8bFGvbE9n0qSRuKGA4Toe3Y89cKCiVtCU/edit?usp=sharing"",""สตูล!J154"")"),0)</f>
        <v>0</v>
      </c>
      <c r="AL87" s="98">
        <f t="shared" ca="1" si="44"/>
        <v>0</v>
      </c>
    </row>
    <row r="88" spans="1:38" ht="24" customHeight="1" x14ac:dyDescent="0.3">
      <c r="A88" s="180">
        <v>14</v>
      </c>
      <c r="B88" s="181" t="s">
        <v>114</v>
      </c>
      <c r="C88" s="182">
        <f t="shared" ca="1" si="26"/>
        <v>31600</v>
      </c>
      <c r="D88" s="183">
        <f t="shared" ca="1" si="63"/>
        <v>31600</v>
      </c>
      <c r="E88" s="184">
        <f ca="1">IFERROR(__xludf.DUMMYFUNCTION("IMPORTRANGE(""https://docs.google.com/spreadsheets/d/1-uDff_7J0KD5mKrp0Vvzr7lt3OU09vwQwhkpOPPYv2Y/edit?usp=sharing"",""งบพรบ!BR88"")"),0)</f>
        <v>0</v>
      </c>
      <c r="F88" s="184">
        <f ca="1">IFERROR(__xludf.DUMMYFUNCTION("IMPORTRANGE(""https://docs.google.com/spreadsheets/d/1-uDff_7J0KD5mKrp0Vvzr7lt3OU09vwQwhkpOPPYv2Y/edit?usp=sharing"",""งบพรบ!BS88"")"),31600)</f>
        <v>31600</v>
      </c>
      <c r="G88" s="184">
        <f ca="1">IFERROR(__xludf.DUMMYFUNCTION("IMPORTRANGE(""https://docs.google.com/spreadsheets/d/1-uDff_7J0KD5mKrp0Vvzr7lt3OU09vwQwhkpOPPYv2Y/edit?usp=sharing"",""งบพรบ!BT88"")"),0)</f>
        <v>0</v>
      </c>
      <c r="H88" s="184">
        <f ca="1">IFERROR(__xludf.DUMMYFUNCTION("IMPORTRANGE(""https://docs.google.com/spreadsheets/d/1-uDff_7J0KD5mKrp0Vvzr7lt3OU09vwQwhkpOPPYv2Y/edit?usp=sharing"",""งบพรบ!BV88"")"),26600)</f>
        <v>26600</v>
      </c>
      <c r="I88" s="184">
        <f ca="1">IFERROR(__xludf.DUMMYFUNCTION("IMPORTRANGE(""https://docs.google.com/spreadsheets/d/1-uDff_7J0KD5mKrp0Vvzr7lt3OU09vwQwhkpOPPYv2Y/edit?usp=sharing"",""งบพรบ!BW88"")"),0)</f>
        <v>0</v>
      </c>
      <c r="J88" s="184">
        <f t="shared" ca="1" si="28"/>
        <v>0</v>
      </c>
      <c r="K88" s="185">
        <f t="shared" ca="1" si="29"/>
        <v>0</v>
      </c>
      <c r="L88" s="184">
        <f ca="1">IFERROR(__xludf.DUMMYFUNCTION("IMPORTRANGE(""https://docs.google.com/spreadsheets/d/1-uDff_7J0KD5mKrp0Vvzr7lt3OU09vwQwhkpOPPYv2Y/edit?usp=sharing"",""งบพรบ!BX88"")"),0)</f>
        <v>0</v>
      </c>
      <c r="M88" s="109">
        <f t="shared" ca="1" si="30"/>
        <v>0</v>
      </c>
      <c r="N88" s="109">
        <f t="shared" ca="1" si="31"/>
        <v>0</v>
      </c>
      <c r="O88" s="108">
        <f ca="1">IFERROR(__xludf.DUMMYFUNCTION("IMPORTRANGE(""https://docs.google.com/spreadsheets/d/1-uDff_7J0KD5mKrp0Vvzr7lt3OU09vwQwhkpOPPYv2Y/edit?usp=sharing"",""งบพรบ!BY88"")"),0)</f>
        <v>0</v>
      </c>
      <c r="P88" s="108">
        <f t="shared" ca="1" si="32"/>
        <v>0</v>
      </c>
      <c r="Q88" s="109">
        <f t="shared" ca="1" si="33"/>
        <v>0</v>
      </c>
      <c r="R88" s="108">
        <f ca="1">IFERROR(__xludf.DUMMYFUNCTION("IMPORTRANGE(""https://docs.google.com/spreadsheets/d/18T20gbkS_WBjdscyTOV05cvq_JqvqQ17C81mpxf7Ncs/edit?usp=sharing"",""สุราษฎร์ธานี!Q139"")"),0)</f>
        <v>0</v>
      </c>
      <c r="S88" s="108">
        <f ca="1">IFERROR(__xludf.DUMMYFUNCTION("IMPORTRANGE(""https://docs.google.com/spreadsheets/d/18T20gbkS_WBjdscyTOV05cvq_JqvqQ17C81mpxf7Ncs/edit?usp=sharing"",""สุราษฎร์ธานี!R139"")"),0)</f>
        <v>0</v>
      </c>
      <c r="T88" s="108">
        <f ca="1">IFERROR(__xludf.DUMMYFUNCTION("IMPORTRANGE(""https://docs.google.com/spreadsheets/d/18T20gbkS_WBjdscyTOV05cvq_JqvqQ17C81mpxf7Ncs/edit?usp=sharing"",""สุราษฎร์ธานี!S139"")"),0)</f>
        <v>0</v>
      </c>
      <c r="U88" s="109">
        <f t="shared" ca="1" si="35"/>
        <v>0</v>
      </c>
      <c r="V88" s="109">
        <f t="shared" ca="1" si="36"/>
        <v>0</v>
      </c>
      <c r="W88" s="110">
        <f ca="1">IFERROR(__xludf.DUMMYFUNCTION("IMPORTRANGE(""https://docs.google.com/spreadsheets/d/18T20gbkS_WBjdscyTOV05cvq_JqvqQ17C81mpxf7Ncs/edit?usp=sharing"",""สุราษฎร์ธานี!J149"")"),0)</f>
        <v>0</v>
      </c>
      <c r="X88" s="110">
        <f ca="1">IFERROR(__xludf.DUMMYFUNCTION("IMPORTRANGE(""https://docs.google.com/spreadsheets/d/18T20gbkS_WBjdscyTOV05cvq_JqvqQ17C81mpxf7Ncs/edit?usp=sharing"",""สุราษฎร์ธานี!I150"")"),0)</f>
        <v>0</v>
      </c>
      <c r="Y88" s="110">
        <f ca="1">IFERROR(__xludf.DUMMYFUNCTION("IMPORTRANGE(""https://docs.google.com/spreadsheets/d/18T20gbkS_WBjdscyTOV05cvq_JqvqQ17C81mpxf7Ncs/edit?usp=sharing"",""สุราษฎร์ธานี!I151"")"),0)</f>
        <v>0</v>
      </c>
      <c r="Z88" s="110">
        <f ca="1">IFERROR(__xludf.DUMMYFUNCTION("IMPORTRANGE(""https://docs.google.com/spreadsheets/d/18T20gbkS_WBjdscyTOV05cvq_JqvqQ17C81mpxf7Ncs/edit?usp=sharing"",""สุราษฎร์ธานี!J150"")"),0)</f>
        <v>0</v>
      </c>
      <c r="AA88" s="111">
        <f t="shared" ca="1" si="38"/>
        <v>0</v>
      </c>
      <c r="AB88" s="110">
        <f ca="1">IFERROR(__xludf.DUMMYFUNCTION("IMPORTRANGE(""https://docs.google.com/spreadsheets/d/18T20gbkS_WBjdscyTOV05cvq_JqvqQ17C81mpxf7Ncs/edit?usp=sharing"",""สุราษฎร์ธานี!J151"")"),0)</f>
        <v>0</v>
      </c>
      <c r="AC88" s="111">
        <f t="shared" ca="1" si="39"/>
        <v>0</v>
      </c>
      <c r="AD88" s="110">
        <f ca="1">IFERROR(__xludf.DUMMYFUNCTION("IMPORTRANGE(""https://docs.google.com/spreadsheets/d/18T20gbkS_WBjdscyTOV05cvq_JqvqQ17C81mpxf7Ncs/edit?usp=sharing"",""สุราษฎร์ธานี!I152"")"),20)</f>
        <v>20</v>
      </c>
      <c r="AE88" s="110">
        <f ca="1">IFERROR(__xludf.DUMMYFUNCTION("IMPORTRANGE(""https://docs.google.com/spreadsheets/d/18T20gbkS_WBjdscyTOV05cvq_JqvqQ17C81mpxf7Ncs/edit?usp=sharing"",""สุราษฎร์ธานี!I153"")"),2)</f>
        <v>2</v>
      </c>
      <c r="AF88" s="110">
        <f ca="1">IFERROR(__xludf.DUMMYFUNCTION("IMPORTRANGE(""https://docs.google.com/spreadsheets/d/18T20gbkS_WBjdscyTOV05cvq_JqvqQ17C81mpxf7Ncs/edit?usp=sharing"",""สุราษฎร์ธานี!J152"")"),0)</f>
        <v>0</v>
      </c>
      <c r="AG88" s="111">
        <f t="shared" ca="1" si="41"/>
        <v>0</v>
      </c>
      <c r="AH88" s="110">
        <f ca="1">IFERROR(__xludf.DUMMYFUNCTION("IMPORTRANGE(""https://docs.google.com/spreadsheets/d/18T20gbkS_WBjdscyTOV05cvq_JqvqQ17C81mpxf7Ncs/edit?usp=sharing"",""สุราษฎร์ธานี!J153"")"),0)</f>
        <v>0</v>
      </c>
      <c r="AI88" s="111">
        <f t="shared" ca="1" si="42"/>
        <v>0</v>
      </c>
      <c r="AJ88" s="110">
        <f ca="1">IFERROR(__xludf.DUMMYFUNCTION("IMPORTRANGE(""https://docs.google.com/spreadsheets/d/18T20gbkS_WBjdscyTOV05cvq_JqvqQ17C81mpxf7Ncs/edit?usp=sharing"",""สุราษฎร์ธานี!I154"")"),0)</f>
        <v>0</v>
      </c>
      <c r="AK88" s="110">
        <f ca="1">IFERROR(__xludf.DUMMYFUNCTION("IMPORTRANGE(""https://docs.google.com/spreadsheets/d/18T20gbkS_WBjdscyTOV05cvq_JqvqQ17C81mpxf7Ncs/edit?usp=sharing"",""สุราษฎร์ธานี!J154"")"),0)</f>
        <v>0</v>
      </c>
      <c r="AL88" s="111">
        <f t="shared" ca="1" si="44"/>
        <v>0</v>
      </c>
    </row>
    <row r="89" spans="1:38" ht="21" hidden="1" customHeight="1" x14ac:dyDescent="0.3">
      <c r="A89" s="632" t="s">
        <v>115</v>
      </c>
      <c r="B89" s="633"/>
      <c r="C89" s="45">
        <f t="shared" ref="C89:T89" ca="1" si="64">SUM(C90:C106)</f>
        <v>312000</v>
      </c>
      <c r="D89" s="45">
        <f t="shared" ca="1" si="64"/>
        <v>312000</v>
      </c>
      <c r="E89" s="45">
        <f t="shared" ca="1" si="64"/>
        <v>92800</v>
      </c>
      <c r="F89" s="45">
        <f t="shared" ca="1" si="64"/>
        <v>219200</v>
      </c>
      <c r="G89" s="45">
        <f t="shared" ca="1" si="64"/>
        <v>0</v>
      </c>
      <c r="H89" s="45">
        <f t="shared" ca="1" si="64"/>
        <v>492000</v>
      </c>
      <c r="I89" s="45">
        <f t="shared" ca="1" si="64"/>
        <v>0</v>
      </c>
      <c r="J89" s="45">
        <f t="shared" ca="1" si="64"/>
        <v>153327.79999999999</v>
      </c>
      <c r="K89" s="47">
        <f t="shared" ca="1" si="64"/>
        <v>39.53777372262774</v>
      </c>
      <c r="L89" s="45">
        <f t="shared" ca="1" si="64"/>
        <v>153327.79999999999</v>
      </c>
      <c r="M89" s="47">
        <f t="shared" ca="1" si="64"/>
        <v>39.53777372262774</v>
      </c>
      <c r="N89" s="47">
        <f t="shared" ca="1" si="64"/>
        <v>93.543094378411993</v>
      </c>
      <c r="O89" s="45">
        <f t="shared" ca="1" si="64"/>
        <v>0</v>
      </c>
      <c r="P89" s="45">
        <f t="shared" ca="1" si="64"/>
        <v>0</v>
      </c>
      <c r="Q89" s="45">
        <f t="shared" ca="1" si="64"/>
        <v>0</v>
      </c>
      <c r="R89" s="45">
        <f t="shared" si="64"/>
        <v>0</v>
      </c>
      <c r="S89" s="45">
        <f t="shared" si="64"/>
        <v>0</v>
      </c>
      <c r="T89" s="45">
        <f t="shared" si="64"/>
        <v>0</v>
      </c>
      <c r="U89" s="45">
        <f t="shared" si="35"/>
        <v>0</v>
      </c>
      <c r="V89" s="45">
        <f t="shared" si="36"/>
        <v>0</v>
      </c>
      <c r="W89" s="45"/>
      <c r="X89" s="45"/>
      <c r="Y89" s="45"/>
      <c r="Z89" s="45"/>
      <c r="AA89" s="48"/>
      <c r="AB89" s="48"/>
      <c r="AC89" s="48"/>
      <c r="AD89" s="45"/>
      <c r="AE89" s="45"/>
      <c r="AF89" s="48"/>
      <c r="AG89" s="48"/>
      <c r="AH89" s="48"/>
      <c r="AI89" s="48"/>
      <c r="AJ89" s="45"/>
      <c r="AK89" s="45"/>
      <c r="AL89" s="48"/>
    </row>
    <row r="90" spans="1:38" ht="24" hidden="1" customHeight="1" x14ac:dyDescent="0.3">
      <c r="A90" s="197"/>
      <c r="B90" s="125" t="s">
        <v>116</v>
      </c>
      <c r="C90" s="198">
        <f t="shared" ref="C90:C106" ca="1" si="65">D90+G90</f>
        <v>0</v>
      </c>
      <c r="D90" s="199">
        <f t="shared" ref="D90:D106" ca="1" si="66">+E90+F90</f>
        <v>0</v>
      </c>
      <c r="E90" s="81">
        <f ca="1">IFERROR(__xludf.DUMMYFUNCTION("IMPORTRANGE(""https://docs.google.com/spreadsheets/d/1-uDff_7J0KD5mKrp0Vvzr7lt3OU09vwQwhkpOPPYv2Y/edit?usp=sharing"",""งบพรบ!BR90"")"),0)</f>
        <v>0</v>
      </c>
      <c r="F90" s="81">
        <f ca="1">IFERROR(__xludf.DUMMYFUNCTION("IMPORTRANGE(""https://docs.google.com/spreadsheets/d/1-uDff_7J0KD5mKrp0Vvzr7lt3OU09vwQwhkpOPPYv2Y/edit?usp=sharing"",""งบพรบ!BS90"")"),0)</f>
        <v>0</v>
      </c>
      <c r="G90" s="81">
        <f ca="1">IFERROR(__xludf.DUMMYFUNCTION("IMPORTRANGE(""https://docs.google.com/spreadsheets/d/1-uDff_7J0KD5mKrp0Vvzr7lt3OU09vwQwhkpOPPYv2Y/edit?usp=sharing"",""งบพรบ!BT90"")"),0)</f>
        <v>0</v>
      </c>
      <c r="H90" s="81">
        <f ca="1">IFERROR(__xludf.DUMMYFUNCTION("IMPORTRANGE(""https://docs.google.com/spreadsheets/d/1-uDff_7J0KD5mKrp0Vvzr7lt3OU09vwQwhkpOPPYv2Y/edit?usp=sharing"",""งบพรบ!BV90"")"),0)</f>
        <v>0</v>
      </c>
      <c r="I90" s="81">
        <f ca="1">IFERROR(__xludf.DUMMYFUNCTION("IMPORTRANGE(""https://docs.google.com/spreadsheets/d/1-uDff_7J0KD5mKrp0Vvzr7lt3OU09vwQwhkpOPPYv2Y/edit?usp=sharing"",""งบพรบ!BW90"")"),0)</f>
        <v>0</v>
      </c>
      <c r="J90" s="81">
        <f t="shared" ref="J90:J106" ca="1" si="67">L90+O90</f>
        <v>0</v>
      </c>
      <c r="K90" s="126">
        <f t="shared" ref="K90:K106" ca="1" si="68">IF(C90&gt;0,J90*100/C90,0)</f>
        <v>0</v>
      </c>
      <c r="L90" s="81">
        <f ca="1">IFERROR(__xludf.DUMMYFUNCTION("IMPORTRANGE(""https://docs.google.com/spreadsheets/d/1-uDff_7J0KD5mKrp0Vvzr7lt3OU09vwQwhkpOPPYv2Y/edit?usp=sharing"",""งบพรบ!BX90"")"),0)</f>
        <v>0</v>
      </c>
      <c r="M90" s="84">
        <f t="shared" ref="M90:M106" ca="1" si="69">IF(D90&gt;0,L90*100/D90,0)</f>
        <v>0</v>
      </c>
      <c r="N90" s="84">
        <f t="shared" ref="N90:N106" ca="1" si="70">IF(H90&gt;0,L90*100/H90,0)</f>
        <v>0</v>
      </c>
      <c r="O90" s="85">
        <f ca="1">IFERROR(__xludf.DUMMYFUNCTION("IMPORTRANGE(""https://docs.google.com/spreadsheets/d/1-uDff_7J0KD5mKrp0Vvzr7lt3OU09vwQwhkpOPPYv2Y/edit?usp=sharing"",""งบพรบ!BY90"")"),0)</f>
        <v>0</v>
      </c>
      <c r="P90" s="85">
        <f t="shared" ref="P90:P106" ca="1" si="71">IF(G90&gt;0,O90*100/G90,0)</f>
        <v>0</v>
      </c>
      <c r="Q90" s="84">
        <f t="shared" ref="Q90:Q106" ca="1" si="72">IF(I90&gt;0,O90*100/I90,0)</f>
        <v>0</v>
      </c>
      <c r="R90" s="127">
        <v>0</v>
      </c>
      <c r="S90" s="127">
        <v>0</v>
      </c>
      <c r="T90" s="127">
        <v>0</v>
      </c>
      <c r="U90" s="84">
        <f t="shared" si="35"/>
        <v>0</v>
      </c>
      <c r="V90" s="84">
        <f t="shared" si="36"/>
        <v>0</v>
      </c>
      <c r="W90" s="81"/>
      <c r="X90" s="81"/>
      <c r="Y90" s="81"/>
      <c r="Z90" s="81"/>
      <c r="AA90" s="84"/>
      <c r="AB90" s="84"/>
      <c r="AC90" s="84"/>
      <c r="AD90" s="81"/>
      <c r="AE90" s="81"/>
      <c r="AF90" s="84"/>
      <c r="AG90" s="84"/>
      <c r="AH90" s="84"/>
      <c r="AI90" s="84"/>
      <c r="AJ90" s="81"/>
      <c r="AK90" s="81"/>
      <c r="AL90" s="84"/>
    </row>
    <row r="91" spans="1:38" ht="24" hidden="1" customHeight="1" x14ac:dyDescent="0.3">
      <c r="A91" s="201"/>
      <c r="B91" s="129" t="s">
        <v>117</v>
      </c>
      <c r="C91" s="202">
        <f t="shared" ca="1" si="65"/>
        <v>0</v>
      </c>
      <c r="D91" s="203">
        <f t="shared" ca="1" si="66"/>
        <v>0</v>
      </c>
      <c r="E91" s="93">
        <f ca="1">IFERROR(__xludf.DUMMYFUNCTION("IMPORTRANGE(""https://docs.google.com/spreadsheets/d/1-uDff_7J0KD5mKrp0Vvzr7lt3OU09vwQwhkpOPPYv2Y/edit?usp=sharing"",""งบพรบ!BR91"")"),0)</f>
        <v>0</v>
      </c>
      <c r="F91" s="93">
        <f ca="1">IFERROR(__xludf.DUMMYFUNCTION("IMPORTRANGE(""https://docs.google.com/spreadsheets/d/1-uDff_7J0KD5mKrp0Vvzr7lt3OU09vwQwhkpOPPYv2Y/edit?usp=sharing"",""งบพรบ!BS91"")"),0)</f>
        <v>0</v>
      </c>
      <c r="G91" s="93">
        <f ca="1">IFERROR(__xludf.DUMMYFUNCTION("IMPORTRANGE(""https://docs.google.com/spreadsheets/d/1-uDff_7J0KD5mKrp0Vvzr7lt3OU09vwQwhkpOPPYv2Y/edit?usp=sharing"",""งบพรบ!BT91"")"),0)</f>
        <v>0</v>
      </c>
      <c r="H91" s="93">
        <f ca="1">IFERROR(__xludf.DUMMYFUNCTION("IMPORTRANGE(""https://docs.google.com/spreadsheets/d/1-uDff_7J0KD5mKrp0Vvzr7lt3OU09vwQwhkpOPPYv2Y/edit?usp=sharing"",""งบพรบ!BV91"")"),0)</f>
        <v>0</v>
      </c>
      <c r="I91" s="93">
        <f ca="1">IFERROR(__xludf.DUMMYFUNCTION("IMPORTRANGE(""https://docs.google.com/spreadsheets/d/1-uDff_7J0KD5mKrp0Vvzr7lt3OU09vwQwhkpOPPYv2Y/edit?usp=sharing"",""งบพรบ!BW91"")"),0)</f>
        <v>0</v>
      </c>
      <c r="J91" s="93">
        <f t="shared" ca="1" si="67"/>
        <v>0</v>
      </c>
      <c r="K91" s="94">
        <f t="shared" ca="1" si="68"/>
        <v>0</v>
      </c>
      <c r="L91" s="93">
        <f ca="1">IFERROR(__xludf.DUMMYFUNCTION("IMPORTRANGE(""https://docs.google.com/spreadsheets/d/1-uDff_7J0KD5mKrp0Vvzr7lt3OU09vwQwhkpOPPYv2Y/edit?usp=sharing"",""งบพรบ!BX91"")"),0)</f>
        <v>0</v>
      </c>
      <c r="M91" s="95">
        <f t="shared" ca="1" si="69"/>
        <v>0</v>
      </c>
      <c r="N91" s="95">
        <f t="shared" ca="1" si="70"/>
        <v>0</v>
      </c>
      <c r="O91" s="96">
        <f ca="1">IFERROR(__xludf.DUMMYFUNCTION("IMPORTRANGE(""https://docs.google.com/spreadsheets/d/1-uDff_7J0KD5mKrp0Vvzr7lt3OU09vwQwhkpOPPYv2Y/edit?usp=sharing"",""งบพรบ!BY91"")"),0)</f>
        <v>0</v>
      </c>
      <c r="P91" s="96">
        <f t="shared" ca="1" si="71"/>
        <v>0</v>
      </c>
      <c r="Q91" s="95">
        <f t="shared" ca="1" si="72"/>
        <v>0</v>
      </c>
      <c r="R91" s="130">
        <v>0</v>
      </c>
      <c r="S91" s="130">
        <v>0</v>
      </c>
      <c r="T91" s="130">
        <v>0</v>
      </c>
      <c r="U91" s="95">
        <f t="shared" si="35"/>
        <v>0</v>
      </c>
      <c r="V91" s="95">
        <f t="shared" si="36"/>
        <v>0</v>
      </c>
      <c r="W91" s="93"/>
      <c r="X91" s="93"/>
      <c r="Y91" s="93"/>
      <c r="Z91" s="93"/>
      <c r="AA91" s="95"/>
      <c r="AB91" s="95"/>
      <c r="AC91" s="95"/>
      <c r="AD91" s="93"/>
      <c r="AE91" s="93"/>
      <c r="AF91" s="95"/>
      <c r="AG91" s="95"/>
      <c r="AH91" s="95"/>
      <c r="AI91" s="95"/>
      <c r="AJ91" s="93"/>
      <c r="AK91" s="93"/>
      <c r="AL91" s="95"/>
    </row>
    <row r="92" spans="1:38" ht="24" hidden="1" customHeight="1" x14ac:dyDescent="0.3">
      <c r="A92" s="201"/>
      <c r="B92" s="129" t="s">
        <v>118</v>
      </c>
      <c r="C92" s="202">
        <f t="shared" ca="1" si="65"/>
        <v>0</v>
      </c>
      <c r="D92" s="203">
        <f t="shared" ca="1" si="66"/>
        <v>0</v>
      </c>
      <c r="E92" s="93">
        <f ca="1">IFERROR(__xludf.DUMMYFUNCTION("IMPORTRANGE(""https://docs.google.com/spreadsheets/d/1-uDff_7J0KD5mKrp0Vvzr7lt3OU09vwQwhkpOPPYv2Y/edit?usp=sharing"",""งบพรบ!BR92"")"),0)</f>
        <v>0</v>
      </c>
      <c r="F92" s="93">
        <f ca="1">IFERROR(__xludf.DUMMYFUNCTION("IMPORTRANGE(""https://docs.google.com/spreadsheets/d/1-uDff_7J0KD5mKrp0Vvzr7lt3OU09vwQwhkpOPPYv2Y/edit?usp=sharing"",""งบพรบ!BS92"")"),0)</f>
        <v>0</v>
      </c>
      <c r="G92" s="93">
        <f ca="1">IFERROR(__xludf.DUMMYFUNCTION("IMPORTRANGE(""https://docs.google.com/spreadsheets/d/1-uDff_7J0KD5mKrp0Vvzr7lt3OU09vwQwhkpOPPYv2Y/edit?usp=sharing"",""งบพรบ!BT92"")"),0)</f>
        <v>0</v>
      </c>
      <c r="H92" s="93">
        <f ca="1">IFERROR(__xludf.DUMMYFUNCTION("IMPORTRANGE(""https://docs.google.com/spreadsheets/d/1-uDff_7J0KD5mKrp0Vvzr7lt3OU09vwQwhkpOPPYv2Y/edit?usp=sharing"",""งบพรบ!BV92"")"),0)</f>
        <v>0</v>
      </c>
      <c r="I92" s="93">
        <f ca="1">IFERROR(__xludf.DUMMYFUNCTION("IMPORTRANGE(""https://docs.google.com/spreadsheets/d/1-uDff_7J0KD5mKrp0Vvzr7lt3OU09vwQwhkpOPPYv2Y/edit?usp=sharing"",""งบพรบ!BW92"")"),0)</f>
        <v>0</v>
      </c>
      <c r="J92" s="93">
        <f t="shared" ca="1" si="67"/>
        <v>0</v>
      </c>
      <c r="K92" s="94">
        <f t="shared" ca="1" si="68"/>
        <v>0</v>
      </c>
      <c r="L92" s="93">
        <f ca="1">IFERROR(__xludf.DUMMYFUNCTION("IMPORTRANGE(""https://docs.google.com/spreadsheets/d/1-uDff_7J0KD5mKrp0Vvzr7lt3OU09vwQwhkpOPPYv2Y/edit?usp=sharing"",""งบพรบ!BX92"")"),0)</f>
        <v>0</v>
      </c>
      <c r="M92" s="95">
        <f t="shared" ca="1" si="69"/>
        <v>0</v>
      </c>
      <c r="N92" s="95">
        <f t="shared" ca="1" si="70"/>
        <v>0</v>
      </c>
      <c r="O92" s="96">
        <f ca="1">IFERROR(__xludf.DUMMYFUNCTION("IMPORTRANGE(""https://docs.google.com/spreadsheets/d/1-uDff_7J0KD5mKrp0Vvzr7lt3OU09vwQwhkpOPPYv2Y/edit?usp=sharing"",""งบพรบ!BY92"")"),0)</f>
        <v>0</v>
      </c>
      <c r="P92" s="96">
        <f t="shared" ca="1" si="71"/>
        <v>0</v>
      </c>
      <c r="Q92" s="95">
        <f t="shared" ca="1" si="72"/>
        <v>0</v>
      </c>
      <c r="R92" s="130">
        <v>0</v>
      </c>
      <c r="S92" s="130">
        <v>0</v>
      </c>
      <c r="T92" s="130">
        <v>0</v>
      </c>
      <c r="U92" s="95">
        <f t="shared" si="35"/>
        <v>0</v>
      </c>
      <c r="V92" s="95">
        <f t="shared" si="36"/>
        <v>0</v>
      </c>
      <c r="W92" s="93"/>
      <c r="X92" s="93"/>
      <c r="Y92" s="93"/>
      <c r="Z92" s="93"/>
      <c r="AA92" s="95"/>
      <c r="AB92" s="95"/>
      <c r="AC92" s="95"/>
      <c r="AD92" s="93"/>
      <c r="AE92" s="93"/>
      <c r="AF92" s="95"/>
      <c r="AG92" s="95"/>
      <c r="AH92" s="95"/>
      <c r="AI92" s="95"/>
      <c r="AJ92" s="93"/>
      <c r="AK92" s="93"/>
      <c r="AL92" s="95"/>
    </row>
    <row r="93" spans="1:38" ht="24" hidden="1" customHeight="1" x14ac:dyDescent="0.3">
      <c r="A93" s="201"/>
      <c r="B93" s="129" t="s">
        <v>119</v>
      </c>
      <c r="C93" s="202">
        <f t="shared" ca="1" si="65"/>
        <v>0</v>
      </c>
      <c r="D93" s="203">
        <f t="shared" ca="1" si="66"/>
        <v>0</v>
      </c>
      <c r="E93" s="93">
        <f ca="1">IFERROR(__xludf.DUMMYFUNCTION("IMPORTRANGE(""https://docs.google.com/spreadsheets/d/1-uDff_7J0KD5mKrp0Vvzr7lt3OU09vwQwhkpOPPYv2Y/edit?usp=sharing"",""งบพรบ!BR93"")"),0)</f>
        <v>0</v>
      </c>
      <c r="F93" s="93">
        <f ca="1">IFERROR(__xludf.DUMMYFUNCTION("IMPORTRANGE(""https://docs.google.com/spreadsheets/d/1-uDff_7J0KD5mKrp0Vvzr7lt3OU09vwQwhkpOPPYv2Y/edit?usp=sharing"",""งบพรบ!BS93"")"),0)</f>
        <v>0</v>
      </c>
      <c r="G93" s="93">
        <f ca="1">IFERROR(__xludf.DUMMYFUNCTION("IMPORTRANGE(""https://docs.google.com/spreadsheets/d/1-uDff_7J0KD5mKrp0Vvzr7lt3OU09vwQwhkpOPPYv2Y/edit?usp=sharing"",""งบพรบ!BT93"")"),0)</f>
        <v>0</v>
      </c>
      <c r="H93" s="93">
        <f ca="1">IFERROR(__xludf.DUMMYFUNCTION("IMPORTRANGE(""https://docs.google.com/spreadsheets/d/1-uDff_7J0KD5mKrp0Vvzr7lt3OU09vwQwhkpOPPYv2Y/edit?usp=sharing"",""งบพรบ!BV93"")"),92800)</f>
        <v>92800</v>
      </c>
      <c r="I93" s="93">
        <f ca="1">IFERROR(__xludf.DUMMYFUNCTION("IMPORTRANGE(""https://docs.google.com/spreadsheets/d/1-uDff_7J0KD5mKrp0Vvzr7lt3OU09vwQwhkpOPPYv2Y/edit?usp=sharing"",""งบพรบ!BW93"")"),0)</f>
        <v>0</v>
      </c>
      <c r="J93" s="93">
        <f t="shared" ca="1" si="67"/>
        <v>66661</v>
      </c>
      <c r="K93" s="94">
        <f t="shared" ca="1" si="68"/>
        <v>0</v>
      </c>
      <c r="L93" s="93">
        <f ca="1">IFERROR(__xludf.DUMMYFUNCTION("IMPORTRANGE(""https://docs.google.com/spreadsheets/d/1-uDff_7J0KD5mKrp0Vvzr7lt3OU09vwQwhkpOPPYv2Y/edit?usp=sharing"",""งบพรบ!BX93"")"),66661)</f>
        <v>66661</v>
      </c>
      <c r="M93" s="95">
        <f t="shared" ca="1" si="69"/>
        <v>0</v>
      </c>
      <c r="N93" s="95">
        <f t="shared" ca="1" si="70"/>
        <v>71.832974137931032</v>
      </c>
      <c r="O93" s="96">
        <f ca="1">IFERROR(__xludf.DUMMYFUNCTION("IMPORTRANGE(""https://docs.google.com/spreadsheets/d/1-uDff_7J0KD5mKrp0Vvzr7lt3OU09vwQwhkpOPPYv2Y/edit?usp=sharing"",""งบพรบ!BY93"")"),0)</f>
        <v>0</v>
      </c>
      <c r="P93" s="96">
        <f t="shared" ca="1" si="71"/>
        <v>0</v>
      </c>
      <c r="Q93" s="95">
        <f t="shared" ca="1" si="72"/>
        <v>0</v>
      </c>
      <c r="R93" s="130">
        <v>0</v>
      </c>
      <c r="S93" s="130">
        <v>0</v>
      </c>
      <c r="T93" s="130">
        <v>0</v>
      </c>
      <c r="U93" s="95">
        <f t="shared" si="35"/>
        <v>0</v>
      </c>
      <c r="V93" s="95">
        <f t="shared" si="36"/>
        <v>0</v>
      </c>
      <c r="W93" s="93"/>
      <c r="X93" s="93"/>
      <c r="Y93" s="93"/>
      <c r="Z93" s="93"/>
      <c r="AA93" s="95"/>
      <c r="AB93" s="95"/>
      <c r="AC93" s="95"/>
      <c r="AD93" s="93"/>
      <c r="AE93" s="93"/>
      <c r="AF93" s="95"/>
      <c r="AG93" s="95"/>
      <c r="AH93" s="95"/>
      <c r="AI93" s="95"/>
      <c r="AJ93" s="93"/>
      <c r="AK93" s="93"/>
      <c r="AL93" s="95"/>
    </row>
    <row r="94" spans="1:38" ht="24" hidden="1" customHeight="1" x14ac:dyDescent="0.3">
      <c r="A94" s="201"/>
      <c r="B94" s="129" t="s">
        <v>120</v>
      </c>
      <c r="C94" s="202">
        <f t="shared" ca="1" si="65"/>
        <v>0</v>
      </c>
      <c r="D94" s="203">
        <f t="shared" ca="1" si="66"/>
        <v>0</v>
      </c>
      <c r="E94" s="93">
        <f ca="1">IFERROR(__xludf.DUMMYFUNCTION("IMPORTRANGE(""https://docs.google.com/spreadsheets/d/1-uDff_7J0KD5mKrp0Vvzr7lt3OU09vwQwhkpOPPYv2Y/edit?usp=sharing"",""งบพรบ!BR94"")"),0)</f>
        <v>0</v>
      </c>
      <c r="F94" s="93">
        <f ca="1">IFERROR(__xludf.DUMMYFUNCTION("IMPORTRANGE(""https://docs.google.com/spreadsheets/d/1-uDff_7J0KD5mKrp0Vvzr7lt3OU09vwQwhkpOPPYv2Y/edit?usp=sharing"",""งบพรบ!BS94"")"),0)</f>
        <v>0</v>
      </c>
      <c r="G94" s="93">
        <f ca="1">IFERROR(__xludf.DUMMYFUNCTION("IMPORTRANGE(""https://docs.google.com/spreadsheets/d/1-uDff_7J0KD5mKrp0Vvzr7lt3OU09vwQwhkpOPPYv2Y/edit?usp=sharing"",""งบพรบ!BT94"")"),0)</f>
        <v>0</v>
      </c>
      <c r="H94" s="93">
        <f ca="1">IFERROR(__xludf.DUMMYFUNCTION("IMPORTRANGE(""https://docs.google.com/spreadsheets/d/1-uDff_7J0KD5mKrp0Vvzr7lt3OU09vwQwhkpOPPYv2Y/edit?usp=sharing"",""งบพรบ!BV94"")"),0)</f>
        <v>0</v>
      </c>
      <c r="I94" s="93">
        <f ca="1">IFERROR(__xludf.DUMMYFUNCTION("IMPORTRANGE(""https://docs.google.com/spreadsheets/d/1-uDff_7J0KD5mKrp0Vvzr7lt3OU09vwQwhkpOPPYv2Y/edit?usp=sharing"",""งบพรบ!BW94"")"),0)</f>
        <v>0</v>
      </c>
      <c r="J94" s="93">
        <f t="shared" ca="1" si="67"/>
        <v>0</v>
      </c>
      <c r="K94" s="94">
        <f t="shared" ca="1" si="68"/>
        <v>0</v>
      </c>
      <c r="L94" s="93">
        <f ca="1">IFERROR(__xludf.DUMMYFUNCTION("IMPORTRANGE(""https://docs.google.com/spreadsheets/d/1-uDff_7J0KD5mKrp0Vvzr7lt3OU09vwQwhkpOPPYv2Y/edit?usp=sharing"",""งบพรบ!BX94"")"),0)</f>
        <v>0</v>
      </c>
      <c r="M94" s="95">
        <f t="shared" ca="1" si="69"/>
        <v>0</v>
      </c>
      <c r="N94" s="95">
        <f t="shared" ca="1" si="70"/>
        <v>0</v>
      </c>
      <c r="O94" s="96">
        <f ca="1">IFERROR(__xludf.DUMMYFUNCTION("IMPORTRANGE(""https://docs.google.com/spreadsheets/d/1-uDff_7J0KD5mKrp0Vvzr7lt3OU09vwQwhkpOPPYv2Y/edit?usp=sharing"",""งบพรบ!BY94"")"),0)</f>
        <v>0</v>
      </c>
      <c r="P94" s="96">
        <f t="shared" ca="1" si="71"/>
        <v>0</v>
      </c>
      <c r="Q94" s="95">
        <f t="shared" ca="1" si="72"/>
        <v>0</v>
      </c>
      <c r="R94" s="130">
        <v>0</v>
      </c>
      <c r="S94" s="130">
        <v>0</v>
      </c>
      <c r="T94" s="130">
        <v>0</v>
      </c>
      <c r="U94" s="95">
        <f t="shared" si="35"/>
        <v>0</v>
      </c>
      <c r="V94" s="95">
        <f t="shared" si="36"/>
        <v>0</v>
      </c>
      <c r="W94" s="93"/>
      <c r="X94" s="93"/>
      <c r="Y94" s="93"/>
      <c r="Z94" s="93"/>
      <c r="AA94" s="95"/>
      <c r="AB94" s="95"/>
      <c r="AC94" s="95"/>
      <c r="AD94" s="93"/>
      <c r="AE94" s="93"/>
      <c r="AF94" s="95"/>
      <c r="AG94" s="95"/>
      <c r="AH94" s="95"/>
      <c r="AI94" s="95"/>
      <c r="AJ94" s="93"/>
      <c r="AK94" s="93"/>
      <c r="AL94" s="95"/>
    </row>
    <row r="95" spans="1:38" ht="24" hidden="1" customHeight="1" x14ac:dyDescent="0.3">
      <c r="A95" s="201"/>
      <c r="B95" s="129" t="s">
        <v>121</v>
      </c>
      <c r="C95" s="202">
        <f t="shared" ca="1" si="65"/>
        <v>0</v>
      </c>
      <c r="D95" s="203">
        <f t="shared" ca="1" si="66"/>
        <v>0</v>
      </c>
      <c r="E95" s="93">
        <f ca="1">IFERROR(__xludf.DUMMYFUNCTION("IMPORTRANGE(""https://docs.google.com/spreadsheets/d/1-uDff_7J0KD5mKrp0Vvzr7lt3OU09vwQwhkpOPPYv2Y/edit?usp=sharing"",""งบพรบ!BR95"")"),0)</f>
        <v>0</v>
      </c>
      <c r="F95" s="93">
        <f ca="1">IFERROR(__xludf.DUMMYFUNCTION("IMPORTRANGE(""https://docs.google.com/spreadsheets/d/1-uDff_7J0KD5mKrp0Vvzr7lt3OU09vwQwhkpOPPYv2Y/edit?usp=sharing"",""งบพรบ!BS95"")"),0)</f>
        <v>0</v>
      </c>
      <c r="G95" s="93">
        <f ca="1">IFERROR(__xludf.DUMMYFUNCTION("IMPORTRANGE(""https://docs.google.com/spreadsheets/d/1-uDff_7J0KD5mKrp0Vvzr7lt3OU09vwQwhkpOPPYv2Y/edit?usp=sharing"",""งบพรบ!BT95"")"),0)</f>
        <v>0</v>
      </c>
      <c r="H95" s="93">
        <f ca="1">IFERROR(__xludf.DUMMYFUNCTION("IMPORTRANGE(""https://docs.google.com/spreadsheets/d/1-uDff_7J0KD5mKrp0Vvzr7lt3OU09vwQwhkpOPPYv2Y/edit?usp=sharing"",""งบพรบ!BV95"")"),0)</f>
        <v>0</v>
      </c>
      <c r="I95" s="93">
        <f ca="1">IFERROR(__xludf.DUMMYFUNCTION("IMPORTRANGE(""https://docs.google.com/spreadsheets/d/1-uDff_7J0KD5mKrp0Vvzr7lt3OU09vwQwhkpOPPYv2Y/edit?usp=sharing"",""งบพรบ!BW95"")"),0)</f>
        <v>0</v>
      </c>
      <c r="J95" s="93">
        <f t="shared" ca="1" si="67"/>
        <v>0</v>
      </c>
      <c r="K95" s="94">
        <f t="shared" ca="1" si="68"/>
        <v>0</v>
      </c>
      <c r="L95" s="93">
        <f ca="1">IFERROR(__xludf.DUMMYFUNCTION("IMPORTRANGE(""https://docs.google.com/spreadsheets/d/1-uDff_7J0KD5mKrp0Vvzr7lt3OU09vwQwhkpOPPYv2Y/edit?usp=sharing"",""งบพรบ!BX95"")"),0)</f>
        <v>0</v>
      </c>
      <c r="M95" s="95">
        <f t="shared" ca="1" si="69"/>
        <v>0</v>
      </c>
      <c r="N95" s="95">
        <f t="shared" ca="1" si="70"/>
        <v>0</v>
      </c>
      <c r="O95" s="96">
        <f ca="1">IFERROR(__xludf.DUMMYFUNCTION("IMPORTRANGE(""https://docs.google.com/spreadsheets/d/1-uDff_7J0KD5mKrp0Vvzr7lt3OU09vwQwhkpOPPYv2Y/edit?usp=sharing"",""งบพรบ!BY95"")"),0)</f>
        <v>0</v>
      </c>
      <c r="P95" s="96">
        <f t="shared" ca="1" si="71"/>
        <v>0</v>
      </c>
      <c r="Q95" s="95">
        <f t="shared" ca="1" si="72"/>
        <v>0</v>
      </c>
      <c r="R95" s="130">
        <v>0</v>
      </c>
      <c r="S95" s="130">
        <v>0</v>
      </c>
      <c r="T95" s="130">
        <v>0</v>
      </c>
      <c r="U95" s="95">
        <f t="shared" si="35"/>
        <v>0</v>
      </c>
      <c r="V95" s="95">
        <f t="shared" si="36"/>
        <v>0</v>
      </c>
      <c r="W95" s="93"/>
      <c r="X95" s="93"/>
      <c r="Y95" s="93"/>
      <c r="Z95" s="93"/>
      <c r="AA95" s="95"/>
      <c r="AB95" s="95"/>
      <c r="AC95" s="95"/>
      <c r="AD95" s="93"/>
      <c r="AE95" s="93"/>
      <c r="AF95" s="95"/>
      <c r="AG95" s="95"/>
      <c r="AH95" s="95"/>
      <c r="AI95" s="95"/>
      <c r="AJ95" s="93"/>
      <c r="AK95" s="93"/>
      <c r="AL95" s="95"/>
    </row>
    <row r="96" spans="1:38" ht="24" hidden="1" customHeight="1" x14ac:dyDescent="0.3">
      <c r="A96" s="201"/>
      <c r="B96" s="129" t="s">
        <v>122</v>
      </c>
      <c r="C96" s="202">
        <f t="shared" ca="1" si="65"/>
        <v>0</v>
      </c>
      <c r="D96" s="203">
        <f t="shared" ca="1" si="66"/>
        <v>0</v>
      </c>
      <c r="E96" s="93">
        <f ca="1">IFERROR(__xludf.DUMMYFUNCTION("IMPORTRANGE(""https://docs.google.com/spreadsheets/d/1-uDff_7J0KD5mKrp0Vvzr7lt3OU09vwQwhkpOPPYv2Y/edit?usp=sharing"",""งบพรบ!BR96"")"),0)</f>
        <v>0</v>
      </c>
      <c r="F96" s="93">
        <f ca="1">IFERROR(__xludf.DUMMYFUNCTION("IMPORTRANGE(""https://docs.google.com/spreadsheets/d/1-uDff_7J0KD5mKrp0Vvzr7lt3OU09vwQwhkpOPPYv2Y/edit?usp=sharing"",""งบพรบ!BS96"")"),0)</f>
        <v>0</v>
      </c>
      <c r="G96" s="93">
        <f ca="1">IFERROR(__xludf.DUMMYFUNCTION("IMPORTRANGE(""https://docs.google.com/spreadsheets/d/1-uDff_7J0KD5mKrp0Vvzr7lt3OU09vwQwhkpOPPYv2Y/edit?usp=sharing"",""งบพรบ!BT96"")"),0)</f>
        <v>0</v>
      </c>
      <c r="H96" s="93">
        <f ca="1">IFERROR(__xludf.DUMMYFUNCTION("IMPORTRANGE(""https://docs.google.com/spreadsheets/d/1-uDff_7J0KD5mKrp0Vvzr7lt3OU09vwQwhkpOPPYv2Y/edit?usp=sharing"",""งบพรบ!BV96"")"),0)</f>
        <v>0</v>
      </c>
      <c r="I96" s="93">
        <f ca="1">IFERROR(__xludf.DUMMYFUNCTION("IMPORTRANGE(""https://docs.google.com/spreadsheets/d/1-uDff_7J0KD5mKrp0Vvzr7lt3OU09vwQwhkpOPPYv2Y/edit?usp=sharing"",""งบพรบ!BW96"")"),0)</f>
        <v>0</v>
      </c>
      <c r="J96" s="93">
        <f t="shared" ca="1" si="67"/>
        <v>0</v>
      </c>
      <c r="K96" s="94">
        <f t="shared" ca="1" si="68"/>
        <v>0</v>
      </c>
      <c r="L96" s="93">
        <f ca="1">IFERROR(__xludf.DUMMYFUNCTION("IMPORTRANGE(""https://docs.google.com/spreadsheets/d/1-uDff_7J0KD5mKrp0Vvzr7lt3OU09vwQwhkpOPPYv2Y/edit?usp=sharing"",""งบพรบ!BX96"")"),0)</f>
        <v>0</v>
      </c>
      <c r="M96" s="95">
        <f t="shared" ca="1" si="69"/>
        <v>0</v>
      </c>
      <c r="N96" s="95">
        <f t="shared" ca="1" si="70"/>
        <v>0</v>
      </c>
      <c r="O96" s="96">
        <f ca="1">IFERROR(__xludf.DUMMYFUNCTION("IMPORTRANGE(""https://docs.google.com/spreadsheets/d/1-uDff_7J0KD5mKrp0Vvzr7lt3OU09vwQwhkpOPPYv2Y/edit?usp=sharing"",""งบพรบ!BY96"")"),0)</f>
        <v>0</v>
      </c>
      <c r="P96" s="96">
        <f t="shared" ca="1" si="71"/>
        <v>0</v>
      </c>
      <c r="Q96" s="95">
        <f t="shared" ca="1" si="72"/>
        <v>0</v>
      </c>
      <c r="R96" s="130">
        <v>0</v>
      </c>
      <c r="S96" s="130">
        <v>0</v>
      </c>
      <c r="T96" s="130">
        <v>0</v>
      </c>
      <c r="U96" s="95">
        <f t="shared" si="35"/>
        <v>0</v>
      </c>
      <c r="V96" s="95">
        <f t="shared" si="36"/>
        <v>0</v>
      </c>
      <c r="W96" s="93"/>
      <c r="X96" s="93"/>
      <c r="Y96" s="93"/>
      <c r="Z96" s="93"/>
      <c r="AA96" s="95"/>
      <c r="AB96" s="95"/>
      <c r="AC96" s="95"/>
      <c r="AD96" s="93"/>
      <c r="AE96" s="93"/>
      <c r="AF96" s="95"/>
      <c r="AG96" s="95"/>
      <c r="AH96" s="95"/>
      <c r="AI96" s="95"/>
      <c r="AJ96" s="93"/>
      <c r="AK96" s="93"/>
      <c r="AL96" s="95"/>
    </row>
    <row r="97" spans="1:38" ht="24" hidden="1" customHeight="1" x14ac:dyDescent="0.3">
      <c r="A97" s="201"/>
      <c r="B97" s="129" t="s">
        <v>123</v>
      </c>
      <c r="C97" s="202">
        <f t="shared" ca="1" si="65"/>
        <v>0</v>
      </c>
      <c r="D97" s="203">
        <f t="shared" ca="1" si="66"/>
        <v>0</v>
      </c>
      <c r="E97" s="93">
        <f ca="1">IFERROR(__xludf.DUMMYFUNCTION("IMPORTRANGE(""https://docs.google.com/spreadsheets/d/1-uDff_7J0KD5mKrp0Vvzr7lt3OU09vwQwhkpOPPYv2Y/edit?usp=sharing"",""งบพรบ!BR97"")"),0)</f>
        <v>0</v>
      </c>
      <c r="F97" s="93">
        <f ca="1">IFERROR(__xludf.DUMMYFUNCTION("IMPORTRANGE(""https://docs.google.com/spreadsheets/d/1-uDff_7J0KD5mKrp0Vvzr7lt3OU09vwQwhkpOPPYv2Y/edit?usp=sharing"",""งบพรบ!BS97"")"),0)</f>
        <v>0</v>
      </c>
      <c r="G97" s="93">
        <f ca="1">IFERROR(__xludf.DUMMYFUNCTION("IMPORTRANGE(""https://docs.google.com/spreadsheets/d/1-uDff_7J0KD5mKrp0Vvzr7lt3OU09vwQwhkpOPPYv2Y/edit?usp=sharing"",""งบพรบ!BT97"")"),0)</f>
        <v>0</v>
      </c>
      <c r="H97" s="93">
        <f ca="1">IFERROR(__xludf.DUMMYFUNCTION("IMPORTRANGE(""https://docs.google.com/spreadsheets/d/1-uDff_7J0KD5mKrp0Vvzr7lt3OU09vwQwhkpOPPYv2Y/edit?usp=sharing"",""งบพรบ!BV97"")"),0)</f>
        <v>0</v>
      </c>
      <c r="I97" s="93">
        <f ca="1">IFERROR(__xludf.DUMMYFUNCTION("IMPORTRANGE(""https://docs.google.com/spreadsheets/d/1-uDff_7J0KD5mKrp0Vvzr7lt3OU09vwQwhkpOPPYv2Y/edit?usp=sharing"",""งบพรบ!BW97"")"),0)</f>
        <v>0</v>
      </c>
      <c r="J97" s="93">
        <f t="shared" ca="1" si="67"/>
        <v>0</v>
      </c>
      <c r="K97" s="94">
        <f t="shared" ca="1" si="68"/>
        <v>0</v>
      </c>
      <c r="L97" s="93">
        <f ca="1">IFERROR(__xludf.DUMMYFUNCTION("IMPORTRANGE(""https://docs.google.com/spreadsheets/d/1-uDff_7J0KD5mKrp0Vvzr7lt3OU09vwQwhkpOPPYv2Y/edit?usp=sharing"",""งบพรบ!BX97"")"),0)</f>
        <v>0</v>
      </c>
      <c r="M97" s="95">
        <f t="shared" ca="1" si="69"/>
        <v>0</v>
      </c>
      <c r="N97" s="95">
        <f t="shared" ca="1" si="70"/>
        <v>0</v>
      </c>
      <c r="O97" s="96">
        <f ca="1">IFERROR(__xludf.DUMMYFUNCTION("IMPORTRANGE(""https://docs.google.com/spreadsheets/d/1-uDff_7J0KD5mKrp0Vvzr7lt3OU09vwQwhkpOPPYv2Y/edit?usp=sharing"",""งบพรบ!BY97"")"),0)</f>
        <v>0</v>
      </c>
      <c r="P97" s="96">
        <f t="shared" ca="1" si="71"/>
        <v>0</v>
      </c>
      <c r="Q97" s="95">
        <f t="shared" ca="1" si="72"/>
        <v>0</v>
      </c>
      <c r="R97" s="130">
        <v>0</v>
      </c>
      <c r="S97" s="130">
        <v>0</v>
      </c>
      <c r="T97" s="130">
        <v>0</v>
      </c>
      <c r="U97" s="95">
        <f t="shared" si="35"/>
        <v>0</v>
      </c>
      <c r="V97" s="95">
        <f t="shared" si="36"/>
        <v>0</v>
      </c>
      <c r="W97" s="93"/>
      <c r="X97" s="93"/>
      <c r="Y97" s="93"/>
      <c r="Z97" s="93"/>
      <c r="AA97" s="95"/>
      <c r="AB97" s="95"/>
      <c r="AC97" s="95"/>
      <c r="AD97" s="93"/>
      <c r="AE97" s="93"/>
      <c r="AF97" s="95"/>
      <c r="AG97" s="95"/>
      <c r="AH97" s="95"/>
      <c r="AI97" s="95"/>
      <c r="AJ97" s="93"/>
      <c r="AK97" s="93"/>
      <c r="AL97" s="95"/>
    </row>
    <row r="98" spans="1:38" ht="24" hidden="1" customHeight="1" x14ac:dyDescent="0.3">
      <c r="A98" s="201"/>
      <c r="B98" s="129" t="s">
        <v>124</v>
      </c>
      <c r="C98" s="202">
        <f t="shared" ca="1" si="65"/>
        <v>0</v>
      </c>
      <c r="D98" s="203">
        <f t="shared" ca="1" si="66"/>
        <v>0</v>
      </c>
      <c r="E98" s="93">
        <f ca="1">IFERROR(__xludf.DUMMYFUNCTION("IMPORTRANGE(""https://docs.google.com/spreadsheets/d/1-uDff_7J0KD5mKrp0Vvzr7lt3OU09vwQwhkpOPPYv2Y/edit?usp=sharing"",""งบพรบ!BR98"")"),0)</f>
        <v>0</v>
      </c>
      <c r="F98" s="93">
        <f ca="1">IFERROR(__xludf.DUMMYFUNCTION("IMPORTRANGE(""https://docs.google.com/spreadsheets/d/1-uDff_7J0KD5mKrp0Vvzr7lt3OU09vwQwhkpOPPYv2Y/edit?usp=sharing"",""งบพรบ!BS98"")"),0)</f>
        <v>0</v>
      </c>
      <c r="G98" s="93">
        <f ca="1">IFERROR(__xludf.DUMMYFUNCTION("IMPORTRANGE(""https://docs.google.com/spreadsheets/d/1-uDff_7J0KD5mKrp0Vvzr7lt3OU09vwQwhkpOPPYv2Y/edit?usp=sharing"",""งบพรบ!BT98"")"),0)</f>
        <v>0</v>
      </c>
      <c r="H98" s="93">
        <f ca="1">IFERROR(__xludf.DUMMYFUNCTION("IMPORTRANGE(""https://docs.google.com/spreadsheets/d/1-uDff_7J0KD5mKrp0Vvzr7lt3OU09vwQwhkpOPPYv2Y/edit?usp=sharing"",""งบพรบ!BV98"")"),0)</f>
        <v>0</v>
      </c>
      <c r="I98" s="93">
        <f ca="1">IFERROR(__xludf.DUMMYFUNCTION("IMPORTRANGE(""https://docs.google.com/spreadsheets/d/1-uDff_7J0KD5mKrp0Vvzr7lt3OU09vwQwhkpOPPYv2Y/edit?usp=sharing"",""งบพรบ!BW98"")"),0)</f>
        <v>0</v>
      </c>
      <c r="J98" s="93">
        <f t="shared" ca="1" si="67"/>
        <v>0</v>
      </c>
      <c r="K98" s="94">
        <f t="shared" ca="1" si="68"/>
        <v>0</v>
      </c>
      <c r="L98" s="93">
        <f ca="1">IFERROR(__xludf.DUMMYFUNCTION("IMPORTRANGE(""https://docs.google.com/spreadsheets/d/1-uDff_7J0KD5mKrp0Vvzr7lt3OU09vwQwhkpOPPYv2Y/edit?usp=sharing"",""งบพรบ!BX98"")"),0)</f>
        <v>0</v>
      </c>
      <c r="M98" s="95">
        <f t="shared" ca="1" si="69"/>
        <v>0</v>
      </c>
      <c r="N98" s="95">
        <f t="shared" ca="1" si="70"/>
        <v>0</v>
      </c>
      <c r="O98" s="96">
        <f ca="1">IFERROR(__xludf.DUMMYFUNCTION("IMPORTRANGE(""https://docs.google.com/spreadsheets/d/1-uDff_7J0KD5mKrp0Vvzr7lt3OU09vwQwhkpOPPYv2Y/edit?usp=sharing"",""งบพรบ!BY98"")"),0)</f>
        <v>0</v>
      </c>
      <c r="P98" s="96">
        <f t="shared" ca="1" si="71"/>
        <v>0</v>
      </c>
      <c r="Q98" s="95">
        <f t="shared" ca="1" si="72"/>
        <v>0</v>
      </c>
      <c r="R98" s="130">
        <v>0</v>
      </c>
      <c r="S98" s="130">
        <v>0</v>
      </c>
      <c r="T98" s="130">
        <v>0</v>
      </c>
      <c r="U98" s="95">
        <f t="shared" si="35"/>
        <v>0</v>
      </c>
      <c r="V98" s="95">
        <f t="shared" si="36"/>
        <v>0</v>
      </c>
      <c r="W98" s="93"/>
      <c r="X98" s="93"/>
      <c r="Y98" s="93"/>
      <c r="Z98" s="93"/>
      <c r="AA98" s="95"/>
      <c r="AB98" s="95"/>
      <c r="AC98" s="95"/>
      <c r="AD98" s="93"/>
      <c r="AE98" s="93"/>
      <c r="AF98" s="95"/>
      <c r="AG98" s="95"/>
      <c r="AH98" s="95"/>
      <c r="AI98" s="95"/>
      <c r="AJ98" s="93"/>
      <c r="AK98" s="93"/>
      <c r="AL98" s="95"/>
    </row>
    <row r="99" spans="1:38" ht="24" hidden="1" customHeight="1" x14ac:dyDescent="0.3">
      <c r="A99" s="201"/>
      <c r="B99" s="129" t="s">
        <v>125</v>
      </c>
      <c r="C99" s="202">
        <f t="shared" ca="1" si="65"/>
        <v>0</v>
      </c>
      <c r="D99" s="203">
        <f t="shared" ca="1" si="66"/>
        <v>0</v>
      </c>
      <c r="E99" s="93">
        <f ca="1">IFERROR(__xludf.DUMMYFUNCTION("IMPORTRANGE(""https://docs.google.com/spreadsheets/d/1-uDff_7J0KD5mKrp0Vvzr7lt3OU09vwQwhkpOPPYv2Y/edit?usp=sharing"",""งบพรบ!BR99"")"),0)</f>
        <v>0</v>
      </c>
      <c r="F99" s="93">
        <f ca="1">IFERROR(__xludf.DUMMYFUNCTION("IMPORTRANGE(""https://docs.google.com/spreadsheets/d/1-uDff_7J0KD5mKrp0Vvzr7lt3OU09vwQwhkpOPPYv2Y/edit?usp=sharing"",""งบพรบ!BS99"")"),0)</f>
        <v>0</v>
      </c>
      <c r="G99" s="93">
        <f ca="1">IFERROR(__xludf.DUMMYFUNCTION("IMPORTRANGE(""https://docs.google.com/spreadsheets/d/1-uDff_7J0KD5mKrp0Vvzr7lt3OU09vwQwhkpOPPYv2Y/edit?usp=sharing"",""งบพรบ!BT99"")"),0)</f>
        <v>0</v>
      </c>
      <c r="H99" s="93">
        <f ca="1">IFERROR(__xludf.DUMMYFUNCTION("IMPORTRANGE(""https://docs.google.com/spreadsheets/d/1-uDff_7J0KD5mKrp0Vvzr7lt3OU09vwQwhkpOPPYv2Y/edit?usp=sharing"",""งบพรบ!BV99"")"),0)</f>
        <v>0</v>
      </c>
      <c r="I99" s="93">
        <f ca="1">IFERROR(__xludf.DUMMYFUNCTION("IMPORTRANGE(""https://docs.google.com/spreadsheets/d/1-uDff_7J0KD5mKrp0Vvzr7lt3OU09vwQwhkpOPPYv2Y/edit?usp=sharing"",""งบพรบ!BW99"")"),0)</f>
        <v>0</v>
      </c>
      <c r="J99" s="93">
        <f t="shared" ca="1" si="67"/>
        <v>0</v>
      </c>
      <c r="K99" s="94">
        <f t="shared" ca="1" si="68"/>
        <v>0</v>
      </c>
      <c r="L99" s="93">
        <f ca="1">IFERROR(__xludf.DUMMYFUNCTION("IMPORTRANGE(""https://docs.google.com/spreadsheets/d/1-uDff_7J0KD5mKrp0Vvzr7lt3OU09vwQwhkpOPPYv2Y/edit?usp=sharing"",""งบพรบ!BX99"")"),0)</f>
        <v>0</v>
      </c>
      <c r="M99" s="95">
        <f t="shared" ca="1" si="69"/>
        <v>0</v>
      </c>
      <c r="N99" s="95">
        <f t="shared" ca="1" si="70"/>
        <v>0</v>
      </c>
      <c r="O99" s="96">
        <f ca="1">IFERROR(__xludf.DUMMYFUNCTION("IMPORTRANGE(""https://docs.google.com/spreadsheets/d/1-uDff_7J0KD5mKrp0Vvzr7lt3OU09vwQwhkpOPPYv2Y/edit?usp=sharing"",""งบพรบ!BY99"")"),0)</f>
        <v>0</v>
      </c>
      <c r="P99" s="96">
        <f t="shared" ca="1" si="71"/>
        <v>0</v>
      </c>
      <c r="Q99" s="95">
        <f t="shared" ca="1" si="72"/>
        <v>0</v>
      </c>
      <c r="R99" s="130">
        <v>0</v>
      </c>
      <c r="S99" s="130">
        <v>0</v>
      </c>
      <c r="T99" s="130">
        <v>0</v>
      </c>
      <c r="U99" s="95">
        <f t="shared" si="35"/>
        <v>0</v>
      </c>
      <c r="V99" s="95">
        <f t="shared" si="36"/>
        <v>0</v>
      </c>
      <c r="W99" s="93"/>
      <c r="X99" s="93"/>
      <c r="Y99" s="93"/>
      <c r="Z99" s="93"/>
      <c r="AA99" s="95"/>
      <c r="AB99" s="95"/>
      <c r="AC99" s="95"/>
      <c r="AD99" s="93"/>
      <c r="AE99" s="93"/>
      <c r="AF99" s="95"/>
      <c r="AG99" s="95"/>
      <c r="AH99" s="95"/>
      <c r="AI99" s="95"/>
      <c r="AJ99" s="93"/>
      <c r="AK99" s="93"/>
      <c r="AL99" s="95"/>
    </row>
    <row r="100" spans="1:38" ht="24" hidden="1" customHeight="1" x14ac:dyDescent="0.3">
      <c r="A100" s="201"/>
      <c r="B100" s="129" t="s">
        <v>126</v>
      </c>
      <c r="C100" s="202">
        <f t="shared" ca="1" si="65"/>
        <v>0</v>
      </c>
      <c r="D100" s="203">
        <f t="shared" ca="1" si="66"/>
        <v>0</v>
      </c>
      <c r="E100" s="93">
        <f ca="1">IFERROR(__xludf.DUMMYFUNCTION("IMPORTRANGE(""https://docs.google.com/spreadsheets/d/1-uDff_7J0KD5mKrp0Vvzr7lt3OU09vwQwhkpOPPYv2Y/edit?usp=sharing"",""งบพรบ!BR100"")"),0)</f>
        <v>0</v>
      </c>
      <c r="F100" s="93">
        <f ca="1">IFERROR(__xludf.DUMMYFUNCTION("IMPORTRANGE(""https://docs.google.com/spreadsheets/d/1-uDff_7J0KD5mKrp0Vvzr7lt3OU09vwQwhkpOPPYv2Y/edit?usp=sharing"",""งบพรบ!BS100"")"),0)</f>
        <v>0</v>
      </c>
      <c r="G100" s="93">
        <f ca="1">IFERROR(__xludf.DUMMYFUNCTION("IMPORTRANGE(""https://docs.google.com/spreadsheets/d/1-uDff_7J0KD5mKrp0Vvzr7lt3OU09vwQwhkpOPPYv2Y/edit?usp=sharing"",""งบพรบ!BT100"")"),0)</f>
        <v>0</v>
      </c>
      <c r="H100" s="93">
        <f ca="1">IFERROR(__xludf.DUMMYFUNCTION("IMPORTRANGE(""https://docs.google.com/spreadsheets/d/1-uDff_7J0KD5mKrp0Vvzr7lt3OU09vwQwhkpOPPYv2Y/edit?usp=sharing"",""งบพรบ!BV100"")"),0)</f>
        <v>0</v>
      </c>
      <c r="I100" s="93">
        <f ca="1">IFERROR(__xludf.DUMMYFUNCTION("IMPORTRANGE(""https://docs.google.com/spreadsheets/d/1-uDff_7J0KD5mKrp0Vvzr7lt3OU09vwQwhkpOPPYv2Y/edit?usp=sharing"",""งบพรบ!BW100"")"),0)</f>
        <v>0</v>
      </c>
      <c r="J100" s="93">
        <f t="shared" ca="1" si="67"/>
        <v>0</v>
      </c>
      <c r="K100" s="94">
        <f t="shared" ca="1" si="68"/>
        <v>0</v>
      </c>
      <c r="L100" s="93">
        <f ca="1">IFERROR(__xludf.DUMMYFUNCTION("IMPORTRANGE(""https://docs.google.com/spreadsheets/d/1-uDff_7J0KD5mKrp0Vvzr7lt3OU09vwQwhkpOPPYv2Y/edit?usp=sharing"",""งบพรบ!BX100"")"),0)</f>
        <v>0</v>
      </c>
      <c r="M100" s="95">
        <f t="shared" ca="1" si="69"/>
        <v>0</v>
      </c>
      <c r="N100" s="95">
        <f t="shared" ca="1" si="70"/>
        <v>0</v>
      </c>
      <c r="O100" s="96">
        <f ca="1">IFERROR(__xludf.DUMMYFUNCTION("IMPORTRANGE(""https://docs.google.com/spreadsheets/d/1-uDff_7J0KD5mKrp0Vvzr7lt3OU09vwQwhkpOPPYv2Y/edit?usp=sharing"",""งบพรบ!BY100"")"),0)</f>
        <v>0</v>
      </c>
      <c r="P100" s="96">
        <f t="shared" ca="1" si="71"/>
        <v>0</v>
      </c>
      <c r="Q100" s="95">
        <f t="shared" ca="1" si="72"/>
        <v>0</v>
      </c>
      <c r="R100" s="130">
        <v>0</v>
      </c>
      <c r="S100" s="130">
        <v>0</v>
      </c>
      <c r="T100" s="130">
        <v>0</v>
      </c>
      <c r="U100" s="95">
        <f t="shared" si="35"/>
        <v>0</v>
      </c>
      <c r="V100" s="95">
        <f t="shared" si="36"/>
        <v>0</v>
      </c>
      <c r="W100" s="93"/>
      <c r="X100" s="93"/>
      <c r="Y100" s="93"/>
      <c r="Z100" s="93"/>
      <c r="AA100" s="95"/>
      <c r="AB100" s="95"/>
      <c r="AC100" s="95"/>
      <c r="AD100" s="93"/>
      <c r="AE100" s="93"/>
      <c r="AF100" s="95"/>
      <c r="AG100" s="95"/>
      <c r="AH100" s="95"/>
      <c r="AI100" s="95"/>
      <c r="AJ100" s="93"/>
      <c r="AK100" s="93"/>
      <c r="AL100" s="95"/>
    </row>
    <row r="101" spans="1:38" ht="24" hidden="1" customHeight="1" x14ac:dyDescent="0.3">
      <c r="A101" s="201"/>
      <c r="B101" s="129" t="s">
        <v>127</v>
      </c>
      <c r="C101" s="202">
        <f t="shared" ca="1" si="65"/>
        <v>219200</v>
      </c>
      <c r="D101" s="203">
        <f t="shared" ca="1" si="66"/>
        <v>219200</v>
      </c>
      <c r="E101" s="93">
        <f ca="1">IFERROR(__xludf.DUMMYFUNCTION("IMPORTRANGE(""https://docs.google.com/spreadsheets/d/1-uDff_7J0KD5mKrp0Vvzr7lt3OU09vwQwhkpOPPYv2Y/edit?usp=sharing"",""งบพรบ!BR101"")"),0)</f>
        <v>0</v>
      </c>
      <c r="F101" s="93">
        <f ca="1">IFERROR(__xludf.DUMMYFUNCTION("IMPORTRANGE(""https://docs.google.com/spreadsheets/d/1-uDff_7J0KD5mKrp0Vvzr7lt3OU09vwQwhkpOPPYv2Y/edit?usp=sharing"",""งบพรบ!BS101"")"),219200)</f>
        <v>219200</v>
      </c>
      <c r="G101" s="93">
        <f ca="1">IFERROR(__xludf.DUMMYFUNCTION("IMPORTRANGE(""https://docs.google.com/spreadsheets/d/1-uDff_7J0KD5mKrp0Vvzr7lt3OU09vwQwhkpOPPYv2Y/edit?usp=sharing"",""งบพรบ!BT101"")"),0)</f>
        <v>0</v>
      </c>
      <c r="H101" s="93">
        <f ca="1">IFERROR(__xludf.DUMMYFUNCTION("IMPORTRANGE(""https://docs.google.com/spreadsheets/d/1-uDff_7J0KD5mKrp0Vvzr7lt3OU09vwQwhkpOPPYv2Y/edit?usp=sharing"",""งบพรบ!BV101"")"),399200)</f>
        <v>399200</v>
      </c>
      <c r="I101" s="93">
        <f ca="1">IFERROR(__xludf.DUMMYFUNCTION("IMPORTRANGE(""https://docs.google.com/spreadsheets/d/1-uDff_7J0KD5mKrp0Vvzr7lt3OU09vwQwhkpOPPYv2Y/edit?usp=sharing"",""งบพรบ!BW101"")"),0)</f>
        <v>0</v>
      </c>
      <c r="J101" s="93">
        <f t="shared" ca="1" si="67"/>
        <v>86666.8</v>
      </c>
      <c r="K101" s="94">
        <f t="shared" ca="1" si="68"/>
        <v>39.53777372262774</v>
      </c>
      <c r="L101" s="93">
        <f ca="1">IFERROR(__xludf.DUMMYFUNCTION("IMPORTRANGE(""https://docs.google.com/spreadsheets/d/1-uDff_7J0KD5mKrp0Vvzr7lt3OU09vwQwhkpOPPYv2Y/edit?usp=sharing"",""งบพรบ!BX101"")"),86666.8)</f>
        <v>86666.8</v>
      </c>
      <c r="M101" s="95">
        <f t="shared" ca="1" si="69"/>
        <v>39.53777372262774</v>
      </c>
      <c r="N101" s="95">
        <f t="shared" ca="1" si="70"/>
        <v>21.710120240480961</v>
      </c>
      <c r="O101" s="96">
        <f ca="1">IFERROR(__xludf.DUMMYFUNCTION("IMPORTRANGE(""https://docs.google.com/spreadsheets/d/1-uDff_7J0KD5mKrp0Vvzr7lt3OU09vwQwhkpOPPYv2Y/edit?usp=sharing"",""งบพรบ!BY101"")"),0)</f>
        <v>0</v>
      </c>
      <c r="P101" s="96">
        <f t="shared" ca="1" si="71"/>
        <v>0</v>
      </c>
      <c r="Q101" s="95">
        <f t="shared" ca="1" si="72"/>
        <v>0</v>
      </c>
      <c r="R101" s="130">
        <v>0</v>
      </c>
      <c r="S101" s="130">
        <v>0</v>
      </c>
      <c r="T101" s="130">
        <v>0</v>
      </c>
      <c r="U101" s="95">
        <f t="shared" si="35"/>
        <v>0</v>
      </c>
      <c r="V101" s="95">
        <f t="shared" si="36"/>
        <v>0</v>
      </c>
      <c r="W101" s="93"/>
      <c r="X101" s="93"/>
      <c r="Y101" s="93"/>
      <c r="Z101" s="93"/>
      <c r="AA101" s="95"/>
      <c r="AB101" s="95"/>
      <c r="AC101" s="95"/>
      <c r="AD101" s="93"/>
      <c r="AE101" s="93"/>
      <c r="AF101" s="95"/>
      <c r="AG101" s="95"/>
      <c r="AH101" s="95"/>
      <c r="AI101" s="95"/>
      <c r="AJ101" s="93"/>
      <c r="AK101" s="93"/>
      <c r="AL101" s="95"/>
    </row>
    <row r="102" spans="1:38" ht="24" hidden="1" customHeight="1" x14ac:dyDescent="0.3">
      <c r="A102" s="201"/>
      <c r="B102" s="129" t="s">
        <v>128</v>
      </c>
      <c r="C102" s="202">
        <f t="shared" ca="1" si="65"/>
        <v>0</v>
      </c>
      <c r="D102" s="203">
        <f t="shared" ca="1" si="66"/>
        <v>0</v>
      </c>
      <c r="E102" s="93">
        <f ca="1">IFERROR(__xludf.DUMMYFUNCTION("IMPORTRANGE(""https://docs.google.com/spreadsheets/d/1-uDff_7J0KD5mKrp0Vvzr7lt3OU09vwQwhkpOPPYv2Y/edit?usp=sharing"",""งบพรบ!BR102"")"),0)</f>
        <v>0</v>
      </c>
      <c r="F102" s="93">
        <f ca="1">IFERROR(__xludf.DUMMYFUNCTION("IMPORTRANGE(""https://docs.google.com/spreadsheets/d/1-uDff_7J0KD5mKrp0Vvzr7lt3OU09vwQwhkpOPPYv2Y/edit?usp=sharing"",""งบพรบ!BS102"")"),0)</f>
        <v>0</v>
      </c>
      <c r="G102" s="93">
        <f ca="1">IFERROR(__xludf.DUMMYFUNCTION("IMPORTRANGE(""https://docs.google.com/spreadsheets/d/1-uDff_7J0KD5mKrp0Vvzr7lt3OU09vwQwhkpOPPYv2Y/edit?usp=sharing"",""งบพรบ!BT102"")"),0)</f>
        <v>0</v>
      </c>
      <c r="H102" s="93">
        <f ca="1">IFERROR(__xludf.DUMMYFUNCTION("IMPORTRANGE(""https://docs.google.com/spreadsheets/d/1-uDff_7J0KD5mKrp0Vvzr7lt3OU09vwQwhkpOPPYv2Y/edit?usp=sharing"",""งบพรบ!BV102"")"),0)</f>
        <v>0</v>
      </c>
      <c r="I102" s="93">
        <f ca="1">IFERROR(__xludf.DUMMYFUNCTION("IMPORTRANGE(""https://docs.google.com/spreadsheets/d/1-uDff_7J0KD5mKrp0Vvzr7lt3OU09vwQwhkpOPPYv2Y/edit?usp=sharing"",""งบพรบ!BW102"")"),0)</f>
        <v>0</v>
      </c>
      <c r="J102" s="93">
        <f t="shared" ca="1" si="67"/>
        <v>0</v>
      </c>
      <c r="K102" s="94">
        <f t="shared" ca="1" si="68"/>
        <v>0</v>
      </c>
      <c r="L102" s="93">
        <f ca="1">IFERROR(__xludf.DUMMYFUNCTION("IMPORTRANGE(""https://docs.google.com/spreadsheets/d/1-uDff_7J0KD5mKrp0Vvzr7lt3OU09vwQwhkpOPPYv2Y/edit?usp=sharing"",""งบพรบ!BX102"")"),0)</f>
        <v>0</v>
      </c>
      <c r="M102" s="95">
        <f t="shared" ca="1" si="69"/>
        <v>0</v>
      </c>
      <c r="N102" s="95">
        <f t="shared" ca="1" si="70"/>
        <v>0</v>
      </c>
      <c r="O102" s="96">
        <f ca="1">IFERROR(__xludf.DUMMYFUNCTION("IMPORTRANGE(""https://docs.google.com/spreadsheets/d/1-uDff_7J0KD5mKrp0Vvzr7lt3OU09vwQwhkpOPPYv2Y/edit?usp=sharing"",""งบพรบ!BY102"")"),0)</f>
        <v>0</v>
      </c>
      <c r="P102" s="96">
        <f t="shared" ca="1" si="71"/>
        <v>0</v>
      </c>
      <c r="Q102" s="95">
        <f t="shared" ca="1" si="72"/>
        <v>0</v>
      </c>
      <c r="R102" s="130">
        <v>0</v>
      </c>
      <c r="S102" s="130">
        <v>0</v>
      </c>
      <c r="T102" s="130">
        <v>0</v>
      </c>
      <c r="U102" s="95">
        <f t="shared" si="35"/>
        <v>0</v>
      </c>
      <c r="V102" s="95">
        <f t="shared" si="36"/>
        <v>0</v>
      </c>
      <c r="W102" s="93"/>
      <c r="X102" s="93"/>
      <c r="Y102" s="93"/>
      <c r="Z102" s="93"/>
      <c r="AA102" s="95"/>
      <c r="AB102" s="95"/>
      <c r="AC102" s="95"/>
      <c r="AD102" s="93"/>
      <c r="AE102" s="93"/>
      <c r="AF102" s="95"/>
      <c r="AG102" s="95"/>
      <c r="AH102" s="95"/>
      <c r="AI102" s="95"/>
      <c r="AJ102" s="93"/>
      <c r="AK102" s="93"/>
      <c r="AL102" s="95"/>
    </row>
    <row r="103" spans="1:38" ht="24" hidden="1" customHeight="1" x14ac:dyDescent="0.3">
      <c r="A103" s="201"/>
      <c r="B103" s="129" t="s">
        <v>129</v>
      </c>
      <c r="C103" s="202">
        <f t="shared" ca="1" si="65"/>
        <v>0</v>
      </c>
      <c r="D103" s="203">
        <f t="shared" ca="1" si="66"/>
        <v>0</v>
      </c>
      <c r="E103" s="93">
        <f ca="1">IFERROR(__xludf.DUMMYFUNCTION("IMPORTRANGE(""https://docs.google.com/spreadsheets/d/1-uDff_7J0KD5mKrp0Vvzr7lt3OU09vwQwhkpOPPYv2Y/edit?usp=sharing"",""งบพรบ!BR103"")"),0)</f>
        <v>0</v>
      </c>
      <c r="F103" s="93">
        <f ca="1">IFERROR(__xludf.DUMMYFUNCTION("IMPORTRANGE(""https://docs.google.com/spreadsheets/d/1-uDff_7J0KD5mKrp0Vvzr7lt3OU09vwQwhkpOPPYv2Y/edit?usp=sharing"",""งบพรบ!BS103"")"),0)</f>
        <v>0</v>
      </c>
      <c r="G103" s="93">
        <f ca="1">IFERROR(__xludf.DUMMYFUNCTION("IMPORTRANGE(""https://docs.google.com/spreadsheets/d/1-uDff_7J0KD5mKrp0Vvzr7lt3OU09vwQwhkpOPPYv2Y/edit?usp=sharing"",""งบพรบ!BT103"")"),0)</f>
        <v>0</v>
      </c>
      <c r="H103" s="93">
        <f ca="1">IFERROR(__xludf.DUMMYFUNCTION("IMPORTRANGE(""https://docs.google.com/spreadsheets/d/1-uDff_7J0KD5mKrp0Vvzr7lt3OU09vwQwhkpOPPYv2Y/edit?usp=sharing"",""งบพรบ!BV103"")"),0)</f>
        <v>0</v>
      </c>
      <c r="I103" s="93">
        <f ca="1">IFERROR(__xludf.DUMMYFUNCTION("IMPORTRANGE(""https://docs.google.com/spreadsheets/d/1-uDff_7J0KD5mKrp0Vvzr7lt3OU09vwQwhkpOPPYv2Y/edit?usp=sharing"",""งบพรบ!BW103"")"),0)</f>
        <v>0</v>
      </c>
      <c r="J103" s="93">
        <f t="shared" ca="1" si="67"/>
        <v>0</v>
      </c>
      <c r="K103" s="94">
        <f t="shared" ca="1" si="68"/>
        <v>0</v>
      </c>
      <c r="L103" s="93">
        <f ca="1">IFERROR(__xludf.DUMMYFUNCTION("IMPORTRANGE(""https://docs.google.com/spreadsheets/d/1-uDff_7J0KD5mKrp0Vvzr7lt3OU09vwQwhkpOPPYv2Y/edit?usp=sharing"",""งบพรบ!BX103"")"),0)</f>
        <v>0</v>
      </c>
      <c r="M103" s="95">
        <f t="shared" ca="1" si="69"/>
        <v>0</v>
      </c>
      <c r="N103" s="95">
        <f t="shared" ca="1" si="70"/>
        <v>0</v>
      </c>
      <c r="O103" s="96">
        <f ca="1">IFERROR(__xludf.DUMMYFUNCTION("IMPORTRANGE(""https://docs.google.com/spreadsheets/d/1-uDff_7J0KD5mKrp0Vvzr7lt3OU09vwQwhkpOPPYv2Y/edit?usp=sharing"",""งบพรบ!BY103"")"),0)</f>
        <v>0</v>
      </c>
      <c r="P103" s="96">
        <f t="shared" ca="1" si="71"/>
        <v>0</v>
      </c>
      <c r="Q103" s="95">
        <f t="shared" ca="1" si="72"/>
        <v>0</v>
      </c>
      <c r="R103" s="131">
        <v>0</v>
      </c>
      <c r="S103" s="131">
        <v>0</v>
      </c>
      <c r="T103" s="131">
        <v>0</v>
      </c>
      <c r="U103" s="132">
        <f t="shared" si="35"/>
        <v>0</v>
      </c>
      <c r="V103" s="132">
        <f t="shared" si="36"/>
        <v>0</v>
      </c>
      <c r="W103" s="93"/>
      <c r="X103" s="93"/>
      <c r="Y103" s="93"/>
      <c r="Z103" s="93"/>
      <c r="AA103" s="95"/>
      <c r="AB103" s="95"/>
      <c r="AC103" s="95"/>
      <c r="AD103" s="93"/>
      <c r="AE103" s="93"/>
      <c r="AF103" s="95"/>
      <c r="AG103" s="95"/>
      <c r="AH103" s="95"/>
      <c r="AI103" s="95"/>
      <c r="AJ103" s="93"/>
      <c r="AK103" s="93"/>
      <c r="AL103" s="95"/>
    </row>
    <row r="104" spans="1:38" ht="24" hidden="1" customHeight="1" x14ac:dyDescent="0.3">
      <c r="A104" s="201"/>
      <c r="B104" s="129" t="s">
        <v>130</v>
      </c>
      <c r="C104" s="202">
        <f t="shared" ca="1" si="65"/>
        <v>92800</v>
      </c>
      <c r="D104" s="203">
        <f t="shared" ca="1" si="66"/>
        <v>92800</v>
      </c>
      <c r="E104" s="93">
        <f ca="1">IFERROR(__xludf.DUMMYFUNCTION("IMPORTRANGE(""https://docs.google.com/spreadsheets/d/1-uDff_7J0KD5mKrp0Vvzr7lt3OU09vwQwhkpOPPYv2Y/edit?usp=sharing"",""งบพรบ!BR104"")"),92800)</f>
        <v>92800</v>
      </c>
      <c r="F104" s="93">
        <f ca="1">IFERROR(__xludf.DUMMYFUNCTION("IMPORTRANGE(""https://docs.google.com/spreadsheets/d/1-uDff_7J0KD5mKrp0Vvzr7lt3OU09vwQwhkpOPPYv2Y/edit?usp=sharing"",""งบพรบ!BS104"")"),0)</f>
        <v>0</v>
      </c>
      <c r="G104" s="93">
        <f ca="1">IFERROR(__xludf.DUMMYFUNCTION("IMPORTRANGE(""https://docs.google.com/spreadsheets/d/1-uDff_7J0KD5mKrp0Vvzr7lt3OU09vwQwhkpOPPYv2Y/edit?usp=sharing"",""งบพรบ!BT104"")"),0)</f>
        <v>0</v>
      </c>
      <c r="H104" s="93">
        <f ca="1">IFERROR(__xludf.DUMMYFUNCTION("IMPORTRANGE(""https://docs.google.com/spreadsheets/d/1-uDff_7J0KD5mKrp0Vvzr7lt3OU09vwQwhkpOPPYv2Y/edit?usp=sharing"",""งบพรบ!BV104"")"),0)</f>
        <v>0</v>
      </c>
      <c r="I104" s="93">
        <f ca="1">IFERROR(__xludf.DUMMYFUNCTION("IMPORTRANGE(""https://docs.google.com/spreadsheets/d/1-uDff_7J0KD5mKrp0Vvzr7lt3OU09vwQwhkpOPPYv2Y/edit?usp=sharing"",""งบพรบ!BW104"")"),0)</f>
        <v>0</v>
      </c>
      <c r="J104" s="93">
        <f t="shared" ca="1" si="67"/>
        <v>0</v>
      </c>
      <c r="K104" s="94">
        <f t="shared" ca="1" si="68"/>
        <v>0</v>
      </c>
      <c r="L104" s="93">
        <f ca="1">IFERROR(__xludf.DUMMYFUNCTION("IMPORTRANGE(""https://docs.google.com/spreadsheets/d/1-uDff_7J0KD5mKrp0Vvzr7lt3OU09vwQwhkpOPPYv2Y/edit?usp=sharing"",""งบพรบ!BX104"")"),0)</f>
        <v>0</v>
      </c>
      <c r="M104" s="95">
        <f t="shared" ca="1" si="69"/>
        <v>0</v>
      </c>
      <c r="N104" s="95">
        <f t="shared" ca="1" si="70"/>
        <v>0</v>
      </c>
      <c r="O104" s="96">
        <f ca="1">IFERROR(__xludf.DUMMYFUNCTION("IMPORTRANGE(""https://docs.google.com/spreadsheets/d/1-uDff_7J0KD5mKrp0Vvzr7lt3OU09vwQwhkpOPPYv2Y/edit?usp=sharing"",""งบพรบ!BY104"")"),0)</f>
        <v>0</v>
      </c>
      <c r="P104" s="96">
        <f t="shared" ca="1" si="71"/>
        <v>0</v>
      </c>
      <c r="Q104" s="95">
        <f t="shared" ca="1" si="72"/>
        <v>0</v>
      </c>
      <c r="R104" s="130">
        <v>0</v>
      </c>
      <c r="S104" s="130">
        <v>0</v>
      </c>
      <c r="T104" s="130">
        <v>0</v>
      </c>
      <c r="U104" s="95">
        <f t="shared" si="35"/>
        <v>0</v>
      </c>
      <c r="V104" s="95">
        <f t="shared" si="36"/>
        <v>0</v>
      </c>
      <c r="W104" s="93"/>
      <c r="X104" s="93"/>
      <c r="Y104" s="93"/>
      <c r="Z104" s="93"/>
      <c r="AA104" s="95"/>
      <c r="AB104" s="95"/>
      <c r="AC104" s="95"/>
      <c r="AD104" s="93"/>
      <c r="AE104" s="93"/>
      <c r="AF104" s="95"/>
      <c r="AG104" s="95"/>
      <c r="AH104" s="95"/>
      <c r="AI104" s="95"/>
      <c r="AJ104" s="93"/>
      <c r="AK104" s="93"/>
      <c r="AL104" s="95"/>
    </row>
    <row r="105" spans="1:38" ht="24" hidden="1" customHeight="1" x14ac:dyDescent="0.3">
      <c r="A105" s="201"/>
      <c r="B105" s="133" t="s">
        <v>131</v>
      </c>
      <c r="C105" s="202">
        <f t="shared" ca="1" si="65"/>
        <v>0</v>
      </c>
      <c r="D105" s="203">
        <f t="shared" ca="1" si="66"/>
        <v>0</v>
      </c>
      <c r="E105" s="93">
        <f ca="1">IFERROR(__xludf.DUMMYFUNCTION("IMPORTRANGE(""https://docs.google.com/spreadsheets/d/1-uDff_7J0KD5mKrp0Vvzr7lt3OU09vwQwhkpOPPYv2Y/edit?usp=sharing"",""งบพรบ!BR105"")"),0)</f>
        <v>0</v>
      </c>
      <c r="F105" s="93">
        <f ca="1">IFERROR(__xludf.DUMMYFUNCTION("IMPORTRANGE(""https://docs.google.com/spreadsheets/d/1-uDff_7J0KD5mKrp0Vvzr7lt3OU09vwQwhkpOPPYv2Y/edit?usp=sharing"",""งบพรบ!BS105"")"),0)</f>
        <v>0</v>
      </c>
      <c r="G105" s="93">
        <f ca="1">IFERROR(__xludf.DUMMYFUNCTION("IMPORTRANGE(""https://docs.google.com/spreadsheets/d/1-uDff_7J0KD5mKrp0Vvzr7lt3OU09vwQwhkpOPPYv2Y/edit?usp=sharing"",""งบพรบ!BT105"")"),0)</f>
        <v>0</v>
      </c>
      <c r="H105" s="93">
        <f ca="1">IFERROR(__xludf.DUMMYFUNCTION("IMPORTRANGE(""https://docs.google.com/spreadsheets/d/1-uDff_7J0KD5mKrp0Vvzr7lt3OU09vwQwhkpOPPYv2Y/edit?usp=sharing"",""งบพรบ!BV105"")"),0)</f>
        <v>0</v>
      </c>
      <c r="I105" s="93">
        <f ca="1">IFERROR(__xludf.DUMMYFUNCTION("IMPORTRANGE(""https://docs.google.com/spreadsheets/d/1-uDff_7J0KD5mKrp0Vvzr7lt3OU09vwQwhkpOPPYv2Y/edit?usp=sharing"",""งบพรบ!BW105"")"),0)</f>
        <v>0</v>
      </c>
      <c r="J105" s="93">
        <f t="shared" ca="1" si="67"/>
        <v>0</v>
      </c>
      <c r="K105" s="94">
        <f t="shared" ca="1" si="68"/>
        <v>0</v>
      </c>
      <c r="L105" s="93">
        <f ca="1">IFERROR(__xludf.DUMMYFUNCTION("IMPORTRANGE(""https://docs.google.com/spreadsheets/d/1-uDff_7J0KD5mKrp0Vvzr7lt3OU09vwQwhkpOPPYv2Y/edit?usp=sharing"",""งบพรบ!BX105"")"),0)</f>
        <v>0</v>
      </c>
      <c r="M105" s="95">
        <f t="shared" ca="1" si="69"/>
        <v>0</v>
      </c>
      <c r="N105" s="95">
        <f t="shared" ca="1" si="70"/>
        <v>0</v>
      </c>
      <c r="O105" s="96">
        <f ca="1">IFERROR(__xludf.DUMMYFUNCTION("IMPORTRANGE(""https://docs.google.com/spreadsheets/d/1-uDff_7J0KD5mKrp0Vvzr7lt3OU09vwQwhkpOPPYv2Y/edit?usp=sharing"",""งบพรบ!BY105"")"),0)</f>
        <v>0</v>
      </c>
      <c r="P105" s="96">
        <f t="shared" ca="1" si="71"/>
        <v>0</v>
      </c>
      <c r="Q105" s="95">
        <f t="shared" ca="1" si="72"/>
        <v>0</v>
      </c>
      <c r="R105" s="134">
        <v>0</v>
      </c>
      <c r="S105" s="134">
        <v>0</v>
      </c>
      <c r="T105" s="134">
        <v>0</v>
      </c>
      <c r="U105" s="135">
        <f t="shared" si="35"/>
        <v>0</v>
      </c>
      <c r="V105" s="135">
        <f t="shared" si="36"/>
        <v>0</v>
      </c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</row>
    <row r="106" spans="1:38" ht="24" hidden="1" customHeight="1" x14ac:dyDescent="0.3">
      <c r="A106" s="205"/>
      <c r="B106" s="137" t="s">
        <v>132</v>
      </c>
      <c r="C106" s="206">
        <f t="shared" ca="1" si="65"/>
        <v>0</v>
      </c>
      <c r="D106" s="207">
        <f t="shared" ca="1" si="66"/>
        <v>0</v>
      </c>
      <c r="E106" s="104">
        <f ca="1">IFERROR(__xludf.DUMMYFUNCTION("IMPORTRANGE(""https://docs.google.com/spreadsheets/d/1-uDff_7J0KD5mKrp0Vvzr7lt3OU09vwQwhkpOPPYv2Y/edit?usp=sharing"",""งบพรบ!BR106"")"),0)</f>
        <v>0</v>
      </c>
      <c r="F106" s="104">
        <f ca="1">IFERROR(__xludf.DUMMYFUNCTION("IMPORTRANGE(""https://docs.google.com/spreadsheets/d/1-uDff_7J0KD5mKrp0Vvzr7lt3OU09vwQwhkpOPPYv2Y/edit?usp=sharing"",""งบพรบ!BS106"")"),0)</f>
        <v>0</v>
      </c>
      <c r="G106" s="104">
        <f ca="1">IFERROR(__xludf.DUMMYFUNCTION("IMPORTRANGE(""https://docs.google.com/spreadsheets/d/1-uDff_7J0KD5mKrp0Vvzr7lt3OU09vwQwhkpOPPYv2Y/edit?usp=sharing"",""งบพรบ!BT106"")"),0)</f>
        <v>0</v>
      </c>
      <c r="H106" s="104">
        <f ca="1">IFERROR(__xludf.DUMMYFUNCTION("IMPORTRANGE(""https://docs.google.com/spreadsheets/d/1-uDff_7J0KD5mKrp0Vvzr7lt3OU09vwQwhkpOPPYv2Y/edit?usp=sharing"",""งบพรบ!BV106"")"),0)</f>
        <v>0</v>
      </c>
      <c r="I106" s="104">
        <f ca="1">IFERROR(__xludf.DUMMYFUNCTION("IMPORTRANGE(""https://docs.google.com/spreadsheets/d/1-uDff_7J0KD5mKrp0Vvzr7lt3OU09vwQwhkpOPPYv2Y/edit?usp=sharing"",""งบพรบ!BW106"")"),0)</f>
        <v>0</v>
      </c>
      <c r="J106" s="104">
        <f t="shared" ca="1" si="67"/>
        <v>0</v>
      </c>
      <c r="K106" s="105">
        <f t="shared" ca="1" si="68"/>
        <v>0</v>
      </c>
      <c r="L106" s="104">
        <f ca="1">IFERROR(__xludf.DUMMYFUNCTION("IMPORTRANGE(""https://docs.google.com/spreadsheets/d/1-uDff_7J0KD5mKrp0Vvzr7lt3OU09vwQwhkpOPPYv2Y/edit?usp=sharing"",""งบพรบ!BX106"")"),0)</f>
        <v>0</v>
      </c>
      <c r="M106" s="106">
        <f t="shared" ca="1" si="69"/>
        <v>0</v>
      </c>
      <c r="N106" s="106">
        <f t="shared" ca="1" si="70"/>
        <v>0</v>
      </c>
      <c r="O106" s="107">
        <f ca="1">IFERROR(__xludf.DUMMYFUNCTION("IMPORTRANGE(""https://docs.google.com/spreadsheets/d/1-uDff_7J0KD5mKrp0Vvzr7lt3OU09vwQwhkpOPPYv2Y/edit?usp=sharing"",""งบพรบ!BY106"")"),0)</f>
        <v>0</v>
      </c>
      <c r="P106" s="107">
        <f t="shared" ca="1" si="71"/>
        <v>0</v>
      </c>
      <c r="Q106" s="106">
        <f t="shared" ca="1" si="72"/>
        <v>0</v>
      </c>
      <c r="R106" s="138">
        <v>0</v>
      </c>
      <c r="S106" s="138">
        <v>0</v>
      </c>
      <c r="T106" s="138">
        <v>0</v>
      </c>
      <c r="U106" s="106">
        <f t="shared" si="35"/>
        <v>0</v>
      </c>
      <c r="V106" s="106">
        <f t="shared" si="36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</row>
  </sheetData>
  <mergeCells count="38">
    <mergeCell ref="AJ4:AL4"/>
    <mergeCell ref="C5:C6"/>
    <mergeCell ref="D5:D6"/>
    <mergeCell ref="E5:E6"/>
    <mergeCell ref="F5:F6"/>
    <mergeCell ref="H4:I4"/>
    <mergeCell ref="J5:K5"/>
    <mergeCell ref="L5:N5"/>
    <mergeCell ref="O5:Q5"/>
    <mergeCell ref="X5:Y5"/>
    <mergeCell ref="Z5:AA5"/>
    <mergeCell ref="AH5:AI5"/>
    <mergeCell ref="A52:B52"/>
    <mergeCell ref="A74:B74"/>
    <mergeCell ref="A89:B89"/>
    <mergeCell ref="C2:AL2"/>
    <mergeCell ref="C3:Q3"/>
    <mergeCell ref="W3:AL3"/>
    <mergeCell ref="C4:G4"/>
    <mergeCell ref="W4:W6"/>
    <mergeCell ref="G5:G6"/>
    <mergeCell ref="AK5:AL5"/>
    <mergeCell ref="R3:V3"/>
    <mergeCell ref="R4:R6"/>
    <mergeCell ref="S4:S6"/>
    <mergeCell ref="T4:T6"/>
    <mergeCell ref="U4:U6"/>
    <mergeCell ref="V4:V6"/>
    <mergeCell ref="A2:B6"/>
    <mergeCell ref="A7:B7"/>
    <mergeCell ref="A13:B13"/>
    <mergeCell ref="A31:B31"/>
    <mergeCell ref="AD4:AI4"/>
    <mergeCell ref="J4:Q4"/>
    <mergeCell ref="X4:AC4"/>
    <mergeCell ref="AB5:AC5"/>
    <mergeCell ref="AD5:AE5"/>
    <mergeCell ref="AF5:AG5"/>
  </mergeCells>
  <printOptions horizontalCentered="1"/>
  <pageMargins left="0.23622047244094491" right="0.23622047244094491" top="0.55118110236220474" bottom="0.55118110236220474" header="0" footer="0"/>
  <pageSetup paperSize="9" scale="45" fitToWidth="0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  <outlinePr summaryBelow="0" summaryRight="0"/>
    <pageSetUpPr fitToPage="1"/>
  </sheetPr>
  <dimension ref="A1:Y106"/>
  <sheetViews>
    <sheetView view="pageBreakPreview" zoomScale="60" zoomScaleNormal="55" workbookViewId="0">
      <pane xSplit="2" ySplit="7" topLeftCell="C8" activePane="bottomRight" state="frozen"/>
      <selection activeCell="A13" sqref="A13:B13"/>
      <selection pane="topRight" activeCell="A13" sqref="A13:B13"/>
      <selection pane="bottomLeft" activeCell="A13" sqref="A13:B13"/>
      <selection pane="bottomRight" activeCell="S22" sqref="S22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16.85546875" bestFit="1" customWidth="1"/>
    <col min="4" max="4" width="16.7109375" bestFit="1" customWidth="1"/>
    <col min="5" max="5" width="16.85546875" bestFit="1" customWidth="1"/>
    <col min="6" max="6" width="16.5703125" bestFit="1" customWidth="1"/>
    <col min="7" max="7" width="13.85546875" customWidth="1"/>
    <col min="8" max="8" width="16.42578125" customWidth="1"/>
    <col min="9" max="9" width="13.5703125" bestFit="1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4" width="15.140625" customWidth="1"/>
    <col min="15" max="15" width="9.7109375" customWidth="1"/>
    <col min="16" max="16" width="12.28515625" customWidth="1"/>
    <col min="17" max="17" width="15.140625" customWidth="1"/>
    <col min="18" max="18" width="17.140625" bestFit="1" customWidth="1"/>
    <col min="19" max="19" width="11" bestFit="1" customWidth="1"/>
    <col min="20" max="20" width="12.42578125" bestFit="1" customWidth="1"/>
    <col min="21" max="22" width="15.140625" customWidth="1"/>
    <col min="23" max="23" width="14.28515625" customWidth="1"/>
    <col min="24" max="24" width="7.5703125" customWidth="1"/>
    <col min="25" max="25" width="10.140625" customWidth="1"/>
  </cols>
  <sheetData>
    <row r="1" spans="1:25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4"/>
    </row>
    <row r="2" spans="1:25" ht="24" customHeight="1" x14ac:dyDescent="0.2">
      <c r="A2" s="647" t="s">
        <v>1</v>
      </c>
      <c r="B2" s="607"/>
      <c r="C2" s="600" t="s">
        <v>149</v>
      </c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2"/>
    </row>
    <row r="3" spans="1:25" ht="30" customHeight="1" x14ac:dyDescent="0.2">
      <c r="A3" s="640"/>
      <c r="B3" s="590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653" t="s">
        <v>4</v>
      </c>
      <c r="S3" s="598"/>
      <c r="T3" s="598"/>
      <c r="U3" s="598"/>
      <c r="V3" s="598"/>
      <c r="W3" s="652" t="s">
        <v>150</v>
      </c>
      <c r="X3" s="585"/>
      <c r="Y3" s="607"/>
    </row>
    <row r="4" spans="1:25" ht="30" customHeight="1" x14ac:dyDescent="0.2">
      <c r="A4" s="640"/>
      <c r="B4" s="590"/>
      <c r="C4" s="609" t="s">
        <v>7</v>
      </c>
      <c r="D4" s="598"/>
      <c r="E4" s="598"/>
      <c r="F4" s="598"/>
      <c r="G4" s="583"/>
      <c r="H4" s="612" t="s">
        <v>8</v>
      </c>
      <c r="I4" s="583"/>
      <c r="J4" s="613" t="s">
        <v>9</v>
      </c>
      <c r="K4" s="598"/>
      <c r="L4" s="598"/>
      <c r="M4" s="598"/>
      <c r="N4" s="598"/>
      <c r="O4" s="598"/>
      <c r="P4" s="598"/>
      <c r="Q4" s="583"/>
      <c r="R4" s="760" t="s">
        <v>10</v>
      </c>
      <c r="S4" s="761" t="s">
        <v>11</v>
      </c>
      <c r="T4" s="762" t="s">
        <v>12</v>
      </c>
      <c r="U4" s="763" t="s">
        <v>13</v>
      </c>
      <c r="V4" s="763" t="s">
        <v>14</v>
      </c>
      <c r="W4" s="641"/>
      <c r="X4" s="592"/>
      <c r="Y4" s="593"/>
    </row>
    <row r="5" spans="1:25" ht="24" customHeight="1" x14ac:dyDescent="0.3">
      <c r="A5" s="640"/>
      <c r="B5" s="590"/>
      <c r="C5" s="726" t="s">
        <v>19</v>
      </c>
      <c r="D5" s="727" t="s">
        <v>20</v>
      </c>
      <c r="E5" s="728" t="s">
        <v>21</v>
      </c>
      <c r="F5" s="729" t="s">
        <v>22</v>
      </c>
      <c r="G5" s="730" t="s">
        <v>23</v>
      </c>
      <c r="H5" s="6" t="s">
        <v>24</v>
      </c>
      <c r="I5" s="6" t="s">
        <v>25</v>
      </c>
      <c r="J5" s="589" t="s">
        <v>26</v>
      </c>
      <c r="K5" s="590"/>
      <c r="L5" s="591" t="s">
        <v>24</v>
      </c>
      <c r="M5" s="592"/>
      <c r="N5" s="593"/>
      <c r="O5" s="611" t="s">
        <v>25</v>
      </c>
      <c r="P5" s="592"/>
      <c r="Q5" s="593"/>
      <c r="R5" s="764"/>
      <c r="S5" s="765"/>
      <c r="T5" s="765"/>
      <c r="U5" s="766"/>
      <c r="V5" s="766"/>
      <c r="W5" s="224" t="s">
        <v>27</v>
      </c>
      <c r="X5" s="597" t="s">
        <v>28</v>
      </c>
      <c r="Y5" s="583"/>
    </row>
    <row r="6" spans="1:25" ht="46.5" customHeight="1" x14ac:dyDescent="0.2">
      <c r="A6" s="641"/>
      <c r="B6" s="593"/>
      <c r="C6" s="731"/>
      <c r="D6" s="732"/>
      <c r="E6" s="732"/>
      <c r="F6" s="732"/>
      <c r="G6" s="732"/>
      <c r="H6" s="6"/>
      <c r="I6" s="6"/>
      <c r="J6" s="739" t="s">
        <v>29</v>
      </c>
      <c r="K6" s="740" t="s">
        <v>30</v>
      </c>
      <c r="L6" s="739" t="s">
        <v>29</v>
      </c>
      <c r="M6" s="741" t="s">
        <v>31</v>
      </c>
      <c r="N6" s="742" t="s">
        <v>32</v>
      </c>
      <c r="O6" s="743" t="s">
        <v>29</v>
      </c>
      <c r="P6" s="741" t="s">
        <v>31</v>
      </c>
      <c r="Q6" s="742" t="s">
        <v>32</v>
      </c>
      <c r="R6" s="767"/>
      <c r="S6" s="768"/>
      <c r="T6" s="768"/>
      <c r="U6" s="769"/>
      <c r="V6" s="769"/>
      <c r="W6" s="9" t="s">
        <v>34</v>
      </c>
      <c r="X6" s="12" t="s">
        <v>34</v>
      </c>
      <c r="Y6" s="11" t="s">
        <v>30</v>
      </c>
    </row>
    <row r="7" spans="1:25" ht="24" customHeight="1" x14ac:dyDescent="0.3">
      <c r="A7" s="651" t="s">
        <v>289</v>
      </c>
      <c r="B7" s="629"/>
      <c r="C7" s="150">
        <f t="shared" ref="C7:C9" ca="1" si="0">D7+G7</f>
        <v>3408600</v>
      </c>
      <c r="D7" s="151">
        <f t="shared" ref="D7:E7" ca="1" si="1">D8+D9+D12</f>
        <v>3408600</v>
      </c>
      <c r="E7" s="152">
        <f t="shared" ca="1" si="1"/>
        <v>1533900</v>
      </c>
      <c r="F7" s="153">
        <f ca="1">F8+F9</f>
        <v>1874700</v>
      </c>
      <c r="G7" s="154">
        <f t="shared" ref="G7:I7" ca="1" si="2">G8+G9+G12</f>
        <v>0</v>
      </c>
      <c r="H7" s="228">
        <f t="shared" ca="1" si="2"/>
        <v>3408600</v>
      </c>
      <c r="I7" s="228">
        <f t="shared" ca="1" si="2"/>
        <v>0</v>
      </c>
      <c r="J7" s="156">
        <f t="shared" ref="J7:J9" ca="1" si="3">L7+O7</f>
        <v>360192.83</v>
      </c>
      <c r="K7" s="157">
        <f t="shared" ref="K7:K9" ca="1" si="4">IF(C7&gt;0,J7*100/C7,0)</f>
        <v>10.56717802030159</v>
      </c>
      <c r="L7" s="156">
        <f ca="1">L8+L9+L12</f>
        <v>360192.83</v>
      </c>
      <c r="M7" s="27">
        <f t="shared" ref="M7:M9" ca="1" si="5">IF(D7&gt;0,L7*100/D7,0)</f>
        <v>10.56717802030159</v>
      </c>
      <c r="N7" s="27">
        <f t="shared" ref="N7:N9" ca="1" si="6">IF(H7&gt;0,L7*100/H7,0)</f>
        <v>10.56717802030159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29">
        <f t="shared" ref="R7:T7" ca="1" si="9">R8+R9</f>
        <v>0</v>
      </c>
      <c r="S7" s="230">
        <f t="shared" ca="1" si="9"/>
        <v>0</v>
      </c>
      <c r="T7" s="230">
        <f t="shared" ca="1" si="9"/>
        <v>0</v>
      </c>
      <c r="U7" s="231">
        <f t="shared" ref="U7:U9" ca="1" si="10">IF(R7&gt;0,T7*100/R7,0)</f>
        <v>0</v>
      </c>
      <c r="V7" s="231">
        <f t="shared" ref="V7:V9" ca="1" si="11">IF(S7&gt;0,T7*100/S7,0)</f>
        <v>0</v>
      </c>
      <c r="W7" s="28">
        <f t="shared" ref="W7:X7" ca="1" si="12">W8</f>
        <v>330</v>
      </c>
      <c r="X7" s="29">
        <f t="shared" ca="1" si="12"/>
        <v>44</v>
      </c>
      <c r="Y7" s="30">
        <f t="shared" ref="Y7:Y8" ca="1" si="13">IF(W7&gt;0,X7*100/W7,0)</f>
        <v>13.333333333333334</v>
      </c>
    </row>
    <row r="8" spans="1:25" ht="28.5" customHeight="1" x14ac:dyDescent="0.3">
      <c r="A8" s="31" t="s">
        <v>37</v>
      </c>
      <c r="B8" s="32"/>
      <c r="C8" s="161">
        <f t="shared" ca="1" si="0"/>
        <v>99000</v>
      </c>
      <c r="D8" s="161">
        <f t="shared" ref="D8:I8" ca="1" si="14">+D13+D31+D52+D74</f>
        <v>99000</v>
      </c>
      <c r="E8" s="161">
        <f t="shared" ca="1" si="14"/>
        <v>0</v>
      </c>
      <c r="F8" s="161">
        <f t="shared" ca="1" si="14"/>
        <v>99000</v>
      </c>
      <c r="G8" s="161">
        <f t="shared" ca="1" si="14"/>
        <v>0</v>
      </c>
      <c r="H8" s="161">
        <f t="shared" ca="1" si="14"/>
        <v>0</v>
      </c>
      <c r="I8" s="161">
        <f t="shared" ca="1" si="14"/>
        <v>0</v>
      </c>
      <c r="J8" s="161">
        <f t="shared" ca="1" si="3"/>
        <v>0</v>
      </c>
      <c r="K8" s="162">
        <f t="shared" ca="1" si="4"/>
        <v>0</v>
      </c>
      <c r="L8" s="161">
        <f ca="1">+L13+L31+L52+L74</f>
        <v>0</v>
      </c>
      <c r="M8" s="40">
        <f t="shared" ca="1" si="5"/>
        <v>0</v>
      </c>
      <c r="N8" s="40">
        <f t="shared" ca="1" si="6"/>
        <v>0</v>
      </c>
      <c r="O8" s="39">
        <f ca="1">+O13+O31+O52+O74</f>
        <v>0</v>
      </c>
      <c r="P8" s="39">
        <f t="shared" ca="1" si="7"/>
        <v>0</v>
      </c>
      <c r="Q8" s="40">
        <f t="shared" ca="1" si="8"/>
        <v>0</v>
      </c>
      <c r="R8" s="232">
        <f t="shared" ref="R8:T8" ca="1" si="15">+R13+R31+R52+R74</f>
        <v>0</v>
      </c>
      <c r="S8" s="233">
        <f t="shared" ca="1" si="15"/>
        <v>0</v>
      </c>
      <c r="T8" s="233">
        <f t="shared" ca="1" si="15"/>
        <v>0</v>
      </c>
      <c r="U8" s="234">
        <f t="shared" ca="1" si="10"/>
        <v>0</v>
      </c>
      <c r="V8" s="234">
        <f t="shared" ca="1" si="11"/>
        <v>0</v>
      </c>
      <c r="W8" s="35">
        <f t="shared" ref="W8:X8" ca="1" si="16">+W13+W31+W52+W74</f>
        <v>330</v>
      </c>
      <c r="X8" s="35">
        <f t="shared" ca="1" si="16"/>
        <v>44</v>
      </c>
      <c r="Y8" s="37">
        <f t="shared" ca="1" si="13"/>
        <v>13.333333333333334</v>
      </c>
    </row>
    <row r="9" spans="1:25" ht="28.5" customHeight="1" x14ac:dyDescent="0.3">
      <c r="A9" s="43" t="s">
        <v>38</v>
      </c>
      <c r="B9" s="44"/>
      <c r="C9" s="164">
        <f t="shared" ca="1" si="0"/>
        <v>3309600</v>
      </c>
      <c r="D9" s="164">
        <f t="shared" ref="D9:I9" ca="1" si="17">+D89</f>
        <v>3309600</v>
      </c>
      <c r="E9" s="164">
        <f t="shared" ca="1" si="17"/>
        <v>1533900</v>
      </c>
      <c r="F9" s="164">
        <f t="shared" ca="1" si="17"/>
        <v>1775700</v>
      </c>
      <c r="G9" s="164">
        <f t="shared" ca="1" si="17"/>
        <v>0</v>
      </c>
      <c r="H9" s="164">
        <f t="shared" ca="1" si="17"/>
        <v>3408600</v>
      </c>
      <c r="I9" s="164">
        <f t="shared" ca="1" si="17"/>
        <v>0</v>
      </c>
      <c r="J9" s="164">
        <f t="shared" ca="1" si="3"/>
        <v>360192.83</v>
      </c>
      <c r="K9" s="165">
        <f t="shared" ca="1" si="4"/>
        <v>10.883273809523809</v>
      </c>
      <c r="L9" s="164">
        <f ca="1">+L89</f>
        <v>360192.83</v>
      </c>
      <c r="M9" s="51">
        <f t="shared" ca="1" si="5"/>
        <v>10.883273809523809</v>
      </c>
      <c r="N9" s="51">
        <f t="shared" ca="1" si="6"/>
        <v>10.56717802030159</v>
      </c>
      <c r="O9" s="50">
        <f ca="1">+O89</f>
        <v>0</v>
      </c>
      <c r="P9" s="50">
        <f t="shared" ca="1" si="7"/>
        <v>0</v>
      </c>
      <c r="Q9" s="51">
        <f t="shared" ca="1" si="8"/>
        <v>0</v>
      </c>
      <c r="R9" s="235">
        <f ca="1">IFERROR(__xludf.DUMMYFUNCTION("IMPORTRANGE(""https://docs.google.com/spreadsheets/d/1ItG2mGa2ceCfYo0BwxsXqNm01IGEUdYcSSLTEv9YCik/edit?usp=sharing"",""เบิกจ่ายกองทุน!AG11"")"),0)</f>
        <v>0</v>
      </c>
      <c r="S9" s="236">
        <f ca="1">IFERROR(__xludf.DUMMYFUNCTION("IMPORTRANGE(""https://docs.google.com/spreadsheets/d/1ItG2mGa2ceCfYo0BwxsXqNm01IGEUdYcSSLTEv9YCik/edit?usp=sharing"",""เบิกจ่ายกองทุน!AH11"")"),0)</f>
        <v>0</v>
      </c>
      <c r="T9" s="236">
        <f ca="1">IFERROR(__xludf.DUMMYFUNCTION("IMPORTRANGE(""https://docs.google.com/spreadsheets/d/1ItG2mGa2ceCfYo0BwxsXqNm01IGEUdYcSSLTEv9YCik/edit?usp=sharing"",""เบิกจ่ายกองทุน!AI11"")"),0)</f>
        <v>0</v>
      </c>
      <c r="U9" s="237">
        <f t="shared" ca="1" si="10"/>
        <v>0</v>
      </c>
      <c r="V9" s="237">
        <f t="shared" ca="1" si="11"/>
        <v>0</v>
      </c>
      <c r="W9" s="45"/>
      <c r="X9" s="45"/>
      <c r="Y9" s="48"/>
    </row>
    <row r="10" spans="1:25" ht="28.5" hidden="1" customHeight="1" x14ac:dyDescent="0.3">
      <c r="A10" s="54"/>
      <c r="B10" s="55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238"/>
      <c r="S10" s="239"/>
      <c r="T10" s="239"/>
      <c r="U10" s="240"/>
      <c r="V10" s="240"/>
      <c r="W10" s="56"/>
      <c r="X10" s="56"/>
      <c r="Y10" s="59"/>
    </row>
    <row r="11" spans="1:25" ht="28.5" hidden="1" customHeight="1" x14ac:dyDescent="0.3">
      <c r="A11" s="65"/>
      <c r="B11" s="55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238"/>
      <c r="S11" s="239"/>
      <c r="T11" s="239"/>
      <c r="U11" s="240"/>
      <c r="V11" s="240"/>
      <c r="W11" s="56"/>
      <c r="X11" s="56"/>
      <c r="Y11" s="59"/>
    </row>
    <row r="12" spans="1:25" ht="28.5" hidden="1" customHeight="1" x14ac:dyDescent="0.3">
      <c r="A12" s="54"/>
      <c r="B12" s="55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238"/>
      <c r="S12" s="239"/>
      <c r="T12" s="239"/>
      <c r="U12" s="240"/>
      <c r="V12" s="240"/>
      <c r="W12" s="67"/>
      <c r="X12" s="67"/>
      <c r="Y12" s="69"/>
    </row>
    <row r="13" spans="1:25" ht="28.5" customHeight="1" x14ac:dyDescent="0.3">
      <c r="A13" s="624" t="s">
        <v>39</v>
      </c>
      <c r="B13" s="583"/>
      <c r="C13" s="161">
        <f t="shared" ref="C13:C88" ca="1" si="18">D13+G13</f>
        <v>34500</v>
      </c>
      <c r="D13" s="161">
        <f t="shared" ref="D13:I13" ca="1" si="19">SUM(D14:D30)</f>
        <v>34500</v>
      </c>
      <c r="E13" s="161">
        <f t="shared" ca="1" si="19"/>
        <v>0</v>
      </c>
      <c r="F13" s="161">
        <f t="shared" ca="1" si="19"/>
        <v>34500</v>
      </c>
      <c r="G13" s="161">
        <f t="shared" ca="1" si="19"/>
        <v>0</v>
      </c>
      <c r="H13" s="161">
        <f t="shared" ca="1" si="19"/>
        <v>0</v>
      </c>
      <c r="I13" s="161">
        <f t="shared" ca="1" si="19"/>
        <v>0</v>
      </c>
      <c r="J13" s="161">
        <f t="shared" ref="J13:J88" ca="1" si="20">L13+O13</f>
        <v>0</v>
      </c>
      <c r="K13" s="162">
        <f t="shared" ref="K13:K88" ca="1" si="21">IF(C13&gt;0,J13*100/C13,0)</f>
        <v>0</v>
      </c>
      <c r="L13" s="161">
        <f ca="1">SUM(L14:L30)</f>
        <v>0</v>
      </c>
      <c r="M13" s="40">
        <f t="shared" ref="M13:M88" ca="1" si="22">IF(D13&gt;0,L13*100/D13,0)</f>
        <v>0</v>
      </c>
      <c r="N13" s="40">
        <f t="shared" ref="N13:N88" ca="1" si="23">IF(H13&gt;0,L13*100/H13,0)</f>
        <v>0</v>
      </c>
      <c r="O13" s="39">
        <f ca="1">SUM(O14:O30)</f>
        <v>0</v>
      </c>
      <c r="P13" s="39">
        <f t="shared" ref="P13:P88" ca="1" si="24">IF(G13&gt;0,O13*100/G13,0)</f>
        <v>0</v>
      </c>
      <c r="Q13" s="40">
        <f t="shared" ref="Q13:Q88" ca="1" si="25">IF(I13&gt;0,O13*100/I13,0)</f>
        <v>0</v>
      </c>
      <c r="R13" s="232">
        <f t="shared" ref="R13:T13" ca="1" si="26">SUM(R14:R30)</f>
        <v>0</v>
      </c>
      <c r="S13" s="233">
        <f t="shared" ca="1" si="26"/>
        <v>0</v>
      </c>
      <c r="T13" s="233">
        <f t="shared" ca="1" si="26"/>
        <v>0</v>
      </c>
      <c r="U13" s="234">
        <f t="shared" ref="U13:U106" ca="1" si="27">IF(R13&gt;0,T13*100/R13,0)</f>
        <v>0</v>
      </c>
      <c r="V13" s="234">
        <f t="shared" ref="V13:V106" ca="1" si="28">IF(S13&gt;0,T13*100/S13,0)</f>
        <v>0</v>
      </c>
      <c r="W13" s="73">
        <f t="shared" ref="W13:X13" ca="1" si="29">SUM(W14:W30)</f>
        <v>115</v>
      </c>
      <c r="X13" s="73">
        <f t="shared" ca="1" si="29"/>
        <v>44</v>
      </c>
      <c r="Y13" s="75">
        <f t="shared" ref="Y13:Y88" ca="1" si="30">IF(W13&gt;0,X13*100/W13,0)</f>
        <v>38.260869565217391</v>
      </c>
    </row>
    <row r="14" spans="1:25" ht="24" customHeight="1" x14ac:dyDescent="0.3">
      <c r="A14" s="77">
        <v>1</v>
      </c>
      <c r="B14" s="78" t="s">
        <v>40</v>
      </c>
      <c r="C14" s="174">
        <f t="shared" ca="1" si="18"/>
        <v>0</v>
      </c>
      <c r="D14" s="175">
        <f t="shared" ref="D14:D30" ca="1" si="31">+E14+F14</f>
        <v>0</v>
      </c>
      <c r="E14" s="176">
        <f ca="1">IFERROR(__xludf.DUMMYFUNCTION("IMPORTRANGE(""https://docs.google.com/spreadsheets/d/1-uDff_7J0KD5mKrp0Vvzr7lt3OU09vwQwhkpOPPYv2Y/edit?usp=sharing"",""งบพรบ!CB14"")"),0)</f>
        <v>0</v>
      </c>
      <c r="F14" s="176">
        <f ca="1">IFERROR(__xludf.DUMMYFUNCTION("IMPORTRANGE(""https://docs.google.com/spreadsheets/d/1-uDff_7J0KD5mKrp0Vvzr7lt3OU09vwQwhkpOPPYv2Y/edit?usp=sharing"",""งบพรบ!CC14"")"),0)</f>
        <v>0</v>
      </c>
      <c r="G14" s="177">
        <f ca="1">IFERROR(__xludf.DUMMYFUNCTION("IMPORTRANGE(""https://docs.google.com/spreadsheets/d/1-uDff_7J0KD5mKrp0Vvzr7lt3OU09vwQwhkpOPPYv2Y/edit?usp=sharing"",""งบพรบ!CD14"")"),0)</f>
        <v>0</v>
      </c>
      <c r="H14" s="177">
        <f ca="1">IFERROR(__xludf.DUMMYFUNCTION("IMPORTRANGE(""https://docs.google.com/spreadsheets/d/1-uDff_7J0KD5mKrp0Vvzr7lt3OU09vwQwhkpOPPYv2Y/edit?usp=sharing"",""งบพรบ!CF14"")"),0)</f>
        <v>0</v>
      </c>
      <c r="I14" s="177">
        <f ca="1">IFERROR(__xludf.DUMMYFUNCTION("IMPORTRANGE(""https://docs.google.com/spreadsheets/d/1-uDff_7J0KD5mKrp0Vvzr7lt3OU09vwQwhkpOPPYv2Y/edit?usp=sharing"",""งบพรบ!CG14"")"),0)</f>
        <v>0</v>
      </c>
      <c r="J14" s="177">
        <f t="shared" ca="1" si="20"/>
        <v>0</v>
      </c>
      <c r="K14" s="178">
        <f t="shared" ca="1" si="21"/>
        <v>0</v>
      </c>
      <c r="L14" s="177">
        <f ca="1">IFERROR(__xludf.DUMMYFUNCTION("IMPORTRANGE(""https://docs.google.com/spreadsheets/d/1-uDff_7J0KD5mKrp0Vvzr7lt3OU09vwQwhkpOPPYv2Y/edit?usp=sharing"",""งบพรบ!CH14"")"),0)</f>
        <v>0</v>
      </c>
      <c r="M14" s="87">
        <f t="shared" ca="1" si="22"/>
        <v>0</v>
      </c>
      <c r="N14" s="87">
        <f t="shared" ca="1" si="23"/>
        <v>0</v>
      </c>
      <c r="O14" s="86">
        <f ca="1">IFERROR(__xludf.DUMMYFUNCTION("IMPORTRANGE(""https://docs.google.com/spreadsheets/d/1-uDff_7J0KD5mKrp0Vvzr7lt3OU09vwQwhkpOPPYv2Y/edit?usp=sharing"",""งบพรบ!CI14"")"),0)</f>
        <v>0</v>
      </c>
      <c r="P14" s="86">
        <f t="shared" ca="1" si="24"/>
        <v>0</v>
      </c>
      <c r="Q14" s="87">
        <f t="shared" ca="1" si="25"/>
        <v>0</v>
      </c>
      <c r="R14" s="241">
        <f ca="1">IFERROR(__xludf.DUMMYFUNCTION("IMPORTRANGE(""https://docs.google.com/spreadsheets/d/1jTcq05yEiRwXcBMLjiodW9e4biSGYWAHcDj22rKWQ3s/edit?usp=sharing"",""กำแพงเพชร!Q157"")"),0)</f>
        <v>0</v>
      </c>
      <c r="S14" s="242">
        <f ca="1">IFERROR(__xludf.DUMMYFUNCTION("IMPORTRANGE(""https://docs.google.com/spreadsheets/d/1jTcq05yEiRwXcBMLjiodW9e4biSGYWAHcDj22rKWQ3s/edit?usp=sharing"",""กำแพงเพชร!R157"")"),0)</f>
        <v>0</v>
      </c>
      <c r="T14" s="242">
        <f ca="1">IFERROR(__xludf.DUMMYFUNCTION("IMPORTRANGE(""https://docs.google.com/spreadsheets/d/1jTcq05yEiRwXcBMLjiodW9e4biSGYWAHcDj22rKWQ3s/edit?usp=sharing"",""กำแพงเพชร!S157"")"),0)</f>
        <v>0</v>
      </c>
      <c r="U14" s="243">
        <f t="shared" ca="1" si="27"/>
        <v>0</v>
      </c>
      <c r="V14" s="243">
        <f t="shared" ca="1" si="28"/>
        <v>0</v>
      </c>
      <c r="W14" s="82">
        <f ca="1">IFERROR(__xludf.DUMMYFUNCTION("IMPORTRANGE(""https://docs.google.com/spreadsheets/d/1jTcq05yEiRwXcBMLjiodW9e4biSGYWAHcDj22rKWQ3s/edit?usp=sharing"",""กำแพงเพชร!I167"")"),0)</f>
        <v>0</v>
      </c>
      <c r="X14" s="82">
        <f ca="1">IFERROR(__xludf.DUMMYFUNCTION("IMPORTRANGE(""https://docs.google.com/spreadsheets/d/1jTcq05yEiRwXcBMLjiodW9e4biSGYWAHcDj22rKWQ3s/edit?usp=sharing"",""กำแพงเพชร!J167"")"),0)</f>
        <v>0</v>
      </c>
      <c r="Y14" s="88">
        <f t="shared" ca="1" si="30"/>
        <v>0</v>
      </c>
    </row>
    <row r="15" spans="1:25" ht="24" customHeight="1" x14ac:dyDescent="0.3">
      <c r="A15" s="89">
        <v>2</v>
      </c>
      <c r="B15" s="90" t="s">
        <v>41</v>
      </c>
      <c r="C15" s="174">
        <f t="shared" ca="1" si="18"/>
        <v>3000</v>
      </c>
      <c r="D15" s="175">
        <f t="shared" ca="1" si="31"/>
        <v>3000</v>
      </c>
      <c r="E15" s="176">
        <f ca="1">IFERROR(__xludf.DUMMYFUNCTION("IMPORTRANGE(""https://docs.google.com/spreadsheets/d/1-uDff_7J0KD5mKrp0Vvzr7lt3OU09vwQwhkpOPPYv2Y/edit?usp=sharing"",""งบพรบ!CB15"")"),0)</f>
        <v>0</v>
      </c>
      <c r="F15" s="176">
        <f ca="1">IFERROR(__xludf.DUMMYFUNCTION("IMPORTRANGE(""https://docs.google.com/spreadsheets/d/1-uDff_7J0KD5mKrp0Vvzr7lt3OU09vwQwhkpOPPYv2Y/edit?usp=sharing"",""งบพรบ!CC15"")"),3000)</f>
        <v>3000</v>
      </c>
      <c r="G15" s="176">
        <f ca="1">IFERROR(__xludf.DUMMYFUNCTION("IMPORTRANGE(""https://docs.google.com/spreadsheets/d/1-uDff_7J0KD5mKrp0Vvzr7lt3OU09vwQwhkpOPPYv2Y/edit?usp=sharing"",""งบพรบ!CD15"")"),0)</f>
        <v>0</v>
      </c>
      <c r="H15" s="176">
        <f ca="1">IFERROR(__xludf.DUMMYFUNCTION("IMPORTRANGE(""https://docs.google.com/spreadsheets/d/1-uDff_7J0KD5mKrp0Vvzr7lt3OU09vwQwhkpOPPYv2Y/edit?usp=sharing"",""งบพรบ!CF15"")"),0)</f>
        <v>0</v>
      </c>
      <c r="I15" s="176">
        <f ca="1">IFERROR(__xludf.DUMMYFUNCTION("IMPORTRANGE(""https://docs.google.com/spreadsheets/d/1-uDff_7J0KD5mKrp0Vvzr7lt3OU09vwQwhkpOPPYv2Y/edit?usp=sharing"",""งบพรบ!CG15"")"),0)</f>
        <v>0</v>
      </c>
      <c r="J15" s="176">
        <f t="shared" ca="1" si="20"/>
        <v>0</v>
      </c>
      <c r="K15" s="179">
        <f t="shared" ca="1" si="21"/>
        <v>0</v>
      </c>
      <c r="L15" s="176">
        <f ca="1">IFERROR(__xludf.DUMMYFUNCTION("IMPORTRANGE(""https://docs.google.com/spreadsheets/d/1-uDff_7J0KD5mKrp0Vvzr7lt3OU09vwQwhkpOPPYv2Y/edit?usp=sharing"",""งบพรบ!CH15"")"),0)</f>
        <v>0</v>
      </c>
      <c r="M15" s="87">
        <f t="shared" ca="1" si="22"/>
        <v>0</v>
      </c>
      <c r="N15" s="87">
        <f t="shared" ca="1" si="23"/>
        <v>0</v>
      </c>
      <c r="O15" s="86">
        <f ca="1">IFERROR(__xludf.DUMMYFUNCTION("IMPORTRANGE(""https://docs.google.com/spreadsheets/d/1-uDff_7J0KD5mKrp0Vvzr7lt3OU09vwQwhkpOPPYv2Y/edit?usp=sharing"",""งบพรบ!CI15"")"),0)</f>
        <v>0</v>
      </c>
      <c r="P15" s="86">
        <f t="shared" ca="1" si="24"/>
        <v>0</v>
      </c>
      <c r="Q15" s="87">
        <f t="shared" ca="1" si="25"/>
        <v>0</v>
      </c>
      <c r="R15" s="241">
        <f ca="1">IFERROR(__xludf.DUMMYFUNCTION("IMPORTRANGE(""https://docs.google.com/spreadsheets/d/1KS0zmDSZPk8KnTAbGN-Xk6MtX1YRZD0ldgdt20K4CRk/edit?usp=sharing"",""เชียงราย!Q157"")"),0)</f>
        <v>0</v>
      </c>
      <c r="S15" s="242">
        <f ca="1">IFERROR(__xludf.DUMMYFUNCTION("IMPORTRANGE(""https://docs.google.com/spreadsheets/d/1KS0zmDSZPk8KnTAbGN-Xk6MtX1YRZD0ldgdt20K4CRk/edit?usp=sharing"",""เชียงราย!R157"")"),0)</f>
        <v>0</v>
      </c>
      <c r="T15" s="242">
        <f ca="1">IFERROR(__xludf.DUMMYFUNCTION("IMPORTRANGE(""https://docs.google.com/spreadsheets/d/1KS0zmDSZPk8KnTAbGN-Xk6MtX1YRZD0ldgdt20K4CRk/edit?usp=sharing"",""เชียงราย!S157"")"),0)</f>
        <v>0</v>
      </c>
      <c r="U15" s="243">
        <f t="shared" ca="1" si="27"/>
        <v>0</v>
      </c>
      <c r="V15" s="243">
        <f t="shared" ca="1" si="28"/>
        <v>0</v>
      </c>
      <c r="W15" s="97">
        <f ca="1">IFERROR(__xludf.DUMMYFUNCTION("IMPORTRANGE(""https://docs.google.com/spreadsheets/d/1KS0zmDSZPk8KnTAbGN-Xk6MtX1YRZD0ldgdt20K4CRk/edit?usp=sharing"",""เชียงราย!I167"")"),10)</f>
        <v>10</v>
      </c>
      <c r="X15" s="97">
        <f ca="1">IFERROR(__xludf.DUMMYFUNCTION("IMPORTRANGE(""https://docs.google.com/spreadsheets/d/1KS0zmDSZPk8KnTAbGN-Xk6MtX1YRZD0ldgdt20K4CRk/edit?usp=sharing"",""เชียงราย!J167"")"),0)</f>
        <v>0</v>
      </c>
      <c r="Y15" s="98">
        <f t="shared" ca="1" si="30"/>
        <v>0</v>
      </c>
    </row>
    <row r="16" spans="1:25" ht="24" customHeight="1" x14ac:dyDescent="0.3">
      <c r="A16" s="89">
        <v>3</v>
      </c>
      <c r="B16" s="90" t="s">
        <v>42</v>
      </c>
      <c r="C16" s="174">
        <f t="shared" ca="1" si="18"/>
        <v>0</v>
      </c>
      <c r="D16" s="175">
        <f t="shared" ca="1" si="31"/>
        <v>0</v>
      </c>
      <c r="E16" s="176">
        <f ca="1">IFERROR(__xludf.DUMMYFUNCTION("IMPORTRANGE(""https://docs.google.com/spreadsheets/d/1-uDff_7J0KD5mKrp0Vvzr7lt3OU09vwQwhkpOPPYv2Y/edit?usp=sharing"",""งบพรบ!CB16"")"),0)</f>
        <v>0</v>
      </c>
      <c r="F16" s="176">
        <f ca="1">IFERROR(__xludf.DUMMYFUNCTION("IMPORTRANGE(""https://docs.google.com/spreadsheets/d/1-uDff_7J0KD5mKrp0Vvzr7lt3OU09vwQwhkpOPPYv2Y/edit?usp=sharing"",""งบพรบ!CC16"")"),0)</f>
        <v>0</v>
      </c>
      <c r="G16" s="176">
        <f ca="1">IFERROR(__xludf.DUMMYFUNCTION("IMPORTRANGE(""https://docs.google.com/spreadsheets/d/1-uDff_7J0KD5mKrp0Vvzr7lt3OU09vwQwhkpOPPYv2Y/edit?usp=sharing"",""งบพรบ!CD16"")"),0)</f>
        <v>0</v>
      </c>
      <c r="H16" s="176">
        <f ca="1">IFERROR(__xludf.DUMMYFUNCTION("IMPORTRANGE(""https://docs.google.com/spreadsheets/d/1-uDff_7J0KD5mKrp0Vvzr7lt3OU09vwQwhkpOPPYv2Y/edit?usp=sharing"",""งบพรบ!CF16"")"),0)</f>
        <v>0</v>
      </c>
      <c r="I16" s="176">
        <f ca="1">IFERROR(__xludf.DUMMYFUNCTION("IMPORTRANGE(""https://docs.google.com/spreadsheets/d/1-uDff_7J0KD5mKrp0Vvzr7lt3OU09vwQwhkpOPPYv2Y/edit?usp=sharing"",""งบพรบ!CG16"")"),0)</f>
        <v>0</v>
      </c>
      <c r="J16" s="176">
        <f t="shared" ca="1" si="20"/>
        <v>0</v>
      </c>
      <c r="K16" s="179">
        <f t="shared" ca="1" si="21"/>
        <v>0</v>
      </c>
      <c r="L16" s="176">
        <f ca="1">IFERROR(__xludf.DUMMYFUNCTION("IMPORTRANGE(""https://docs.google.com/spreadsheets/d/1-uDff_7J0KD5mKrp0Vvzr7lt3OU09vwQwhkpOPPYv2Y/edit?usp=sharing"",""งบพรบ!CH16"")"),0)</f>
        <v>0</v>
      </c>
      <c r="M16" s="87">
        <f t="shared" ca="1" si="22"/>
        <v>0</v>
      </c>
      <c r="N16" s="87">
        <f t="shared" ca="1" si="23"/>
        <v>0</v>
      </c>
      <c r="O16" s="86">
        <f ca="1">IFERROR(__xludf.DUMMYFUNCTION("IMPORTRANGE(""https://docs.google.com/spreadsheets/d/1-uDff_7J0KD5mKrp0Vvzr7lt3OU09vwQwhkpOPPYv2Y/edit?usp=sharing"",""งบพรบ!CI16"")"),0)</f>
        <v>0</v>
      </c>
      <c r="P16" s="86">
        <f t="shared" ca="1" si="24"/>
        <v>0</v>
      </c>
      <c r="Q16" s="87">
        <f t="shared" ca="1" si="25"/>
        <v>0</v>
      </c>
      <c r="R16" s="241">
        <f ca="1">IFERROR(__xludf.DUMMYFUNCTION("IMPORTRANGE(""https://docs.google.com/spreadsheets/d/1rEDxBtusbi64tE0zunoIbsTVV16HeL0oJ6trHQeQ7K8/edit?usp=sharing"",""เชียงใหม่!Q157"")"),0)</f>
        <v>0</v>
      </c>
      <c r="S16" s="242">
        <f ca="1">IFERROR(__xludf.DUMMYFUNCTION("IMPORTRANGE(""https://docs.google.com/spreadsheets/d/1rEDxBtusbi64tE0zunoIbsTVV16HeL0oJ6trHQeQ7K8/edit?usp=sharing"",""เชียงใหม่!R157"")"),0)</f>
        <v>0</v>
      </c>
      <c r="T16" s="242">
        <f ca="1">IFERROR(__xludf.DUMMYFUNCTION("IMPORTRANGE(""https://docs.google.com/spreadsheets/d/1rEDxBtusbi64tE0zunoIbsTVV16HeL0oJ6trHQeQ7K8/edit?usp=sharing"",""เชียงใหม่!S157"")"),0)</f>
        <v>0</v>
      </c>
      <c r="U16" s="243">
        <f t="shared" ca="1" si="27"/>
        <v>0</v>
      </c>
      <c r="V16" s="243">
        <f t="shared" ca="1" si="28"/>
        <v>0</v>
      </c>
      <c r="W16" s="97">
        <f ca="1">IFERROR(__xludf.DUMMYFUNCTION("IMPORTRANGE(""https://docs.google.com/spreadsheets/d/1rEDxBtusbi64tE0zunoIbsTVV16HeL0oJ6trHQeQ7K8/edit?usp=sharing"",""เชียงใหม่!I167"")"),0)</f>
        <v>0</v>
      </c>
      <c r="X16" s="97">
        <f ca="1">IFERROR(__xludf.DUMMYFUNCTION("IMPORTRANGE(""https://docs.google.com/spreadsheets/d/1rEDxBtusbi64tE0zunoIbsTVV16HeL0oJ6trHQeQ7K8/edit?usp=sharing"",""เชียงใหม่!J167"")"),0)</f>
        <v>0</v>
      </c>
      <c r="Y16" s="98">
        <f t="shared" ca="1" si="30"/>
        <v>0</v>
      </c>
    </row>
    <row r="17" spans="1:25" ht="24" customHeight="1" x14ac:dyDescent="0.3">
      <c r="A17" s="89">
        <v>4</v>
      </c>
      <c r="B17" s="90" t="s">
        <v>43</v>
      </c>
      <c r="C17" s="174">
        <f t="shared" ca="1" si="18"/>
        <v>3000</v>
      </c>
      <c r="D17" s="175">
        <f t="shared" ca="1" si="31"/>
        <v>3000</v>
      </c>
      <c r="E17" s="176">
        <f ca="1">IFERROR(__xludf.DUMMYFUNCTION("IMPORTRANGE(""https://docs.google.com/spreadsheets/d/1-uDff_7J0KD5mKrp0Vvzr7lt3OU09vwQwhkpOPPYv2Y/edit?usp=sharing"",""งบพรบ!CB17"")"),0)</f>
        <v>0</v>
      </c>
      <c r="F17" s="176">
        <f ca="1">IFERROR(__xludf.DUMMYFUNCTION("IMPORTRANGE(""https://docs.google.com/spreadsheets/d/1-uDff_7J0KD5mKrp0Vvzr7lt3OU09vwQwhkpOPPYv2Y/edit?usp=sharing"",""งบพรบ!CC17"")"),3000)</f>
        <v>3000</v>
      </c>
      <c r="G17" s="176">
        <f ca="1">IFERROR(__xludf.DUMMYFUNCTION("IMPORTRANGE(""https://docs.google.com/spreadsheets/d/1-uDff_7J0KD5mKrp0Vvzr7lt3OU09vwQwhkpOPPYv2Y/edit?usp=sharing"",""งบพรบ!CD17"")"),0)</f>
        <v>0</v>
      </c>
      <c r="H17" s="176">
        <f ca="1">IFERROR(__xludf.DUMMYFUNCTION("IMPORTRANGE(""https://docs.google.com/spreadsheets/d/1-uDff_7J0KD5mKrp0Vvzr7lt3OU09vwQwhkpOPPYv2Y/edit?usp=sharing"",""งบพรบ!CF17"")"),0)</f>
        <v>0</v>
      </c>
      <c r="I17" s="176">
        <f ca="1">IFERROR(__xludf.DUMMYFUNCTION("IMPORTRANGE(""https://docs.google.com/spreadsheets/d/1-uDff_7J0KD5mKrp0Vvzr7lt3OU09vwQwhkpOPPYv2Y/edit?usp=sharing"",""งบพรบ!CG17"")"),0)</f>
        <v>0</v>
      </c>
      <c r="J17" s="176">
        <f t="shared" ca="1" si="20"/>
        <v>0</v>
      </c>
      <c r="K17" s="179">
        <f t="shared" ca="1" si="21"/>
        <v>0</v>
      </c>
      <c r="L17" s="176">
        <f ca="1">IFERROR(__xludf.DUMMYFUNCTION("IMPORTRANGE(""https://docs.google.com/spreadsheets/d/1-uDff_7J0KD5mKrp0Vvzr7lt3OU09vwQwhkpOPPYv2Y/edit?usp=sharing"",""งบพรบ!CH17"")"),0)</f>
        <v>0</v>
      </c>
      <c r="M17" s="87">
        <f t="shared" ca="1" si="22"/>
        <v>0</v>
      </c>
      <c r="N17" s="87">
        <f t="shared" ca="1" si="23"/>
        <v>0</v>
      </c>
      <c r="O17" s="86">
        <f ca="1">IFERROR(__xludf.DUMMYFUNCTION("IMPORTRANGE(""https://docs.google.com/spreadsheets/d/1-uDff_7J0KD5mKrp0Vvzr7lt3OU09vwQwhkpOPPYv2Y/edit?usp=sharing"",""งบพรบ!CI17"")"),0)</f>
        <v>0</v>
      </c>
      <c r="P17" s="86">
        <f t="shared" ca="1" si="24"/>
        <v>0</v>
      </c>
      <c r="Q17" s="87">
        <f t="shared" ca="1" si="25"/>
        <v>0</v>
      </c>
      <c r="R17" s="241">
        <f ca="1">IFERROR(__xludf.DUMMYFUNCTION("IMPORTRANGE(""https://docs.google.com/spreadsheets/d/1W6MnUbDkMi6xHnHko_XkFDO9kkuL6Wqyc-6OCDFjW9I/edit?usp=sharing"",""ตาก!Q157"")"),0)</f>
        <v>0</v>
      </c>
      <c r="S17" s="242">
        <f ca="1">IFERROR(__xludf.DUMMYFUNCTION("IMPORTRANGE(""https://docs.google.com/spreadsheets/d/1W6MnUbDkMi6xHnHko_XkFDO9kkuL6Wqyc-6OCDFjW9I/edit?usp=sharing"",""ตาก!R157"")"),0)</f>
        <v>0</v>
      </c>
      <c r="T17" s="242">
        <f ca="1">IFERROR(__xludf.DUMMYFUNCTION("IMPORTRANGE(""https://docs.google.com/spreadsheets/d/1W6MnUbDkMi6xHnHko_XkFDO9kkuL6Wqyc-6OCDFjW9I/edit?usp=sharing"",""ตาก!S157"")"),0)</f>
        <v>0</v>
      </c>
      <c r="U17" s="243">
        <f t="shared" ca="1" si="27"/>
        <v>0</v>
      </c>
      <c r="V17" s="243">
        <f t="shared" ca="1" si="28"/>
        <v>0</v>
      </c>
      <c r="W17" s="97">
        <f ca="1">IFERROR(__xludf.DUMMYFUNCTION("IMPORTRANGE(""https://docs.google.com/spreadsheets/d/1W6MnUbDkMi6xHnHko_XkFDO9kkuL6Wqyc-6OCDFjW9I/edit?usp=sharing"",""ตาก!I167"")"),10)</f>
        <v>10</v>
      </c>
      <c r="X17" s="97">
        <f ca="1">IFERROR(__xludf.DUMMYFUNCTION("IMPORTRANGE(""https://docs.google.com/spreadsheets/d/1W6MnUbDkMi6xHnHko_XkFDO9kkuL6Wqyc-6OCDFjW9I/edit?usp=sharing"",""ตาก!J167"")"),24)</f>
        <v>24</v>
      </c>
      <c r="Y17" s="98">
        <f t="shared" ca="1" si="30"/>
        <v>240</v>
      </c>
    </row>
    <row r="18" spans="1:25" ht="24" customHeight="1" x14ac:dyDescent="0.3">
      <c r="A18" s="89">
        <v>5</v>
      </c>
      <c r="B18" s="90" t="s">
        <v>44</v>
      </c>
      <c r="C18" s="174">
        <f t="shared" ca="1" si="18"/>
        <v>4500</v>
      </c>
      <c r="D18" s="175">
        <f t="shared" ca="1" si="31"/>
        <v>4500</v>
      </c>
      <c r="E18" s="176">
        <f ca="1">IFERROR(__xludf.DUMMYFUNCTION("IMPORTRANGE(""https://docs.google.com/spreadsheets/d/1-uDff_7J0KD5mKrp0Vvzr7lt3OU09vwQwhkpOPPYv2Y/edit?usp=sharing"",""งบพรบ!CB18"")"),0)</f>
        <v>0</v>
      </c>
      <c r="F18" s="176">
        <f ca="1">IFERROR(__xludf.DUMMYFUNCTION("IMPORTRANGE(""https://docs.google.com/spreadsheets/d/1-uDff_7J0KD5mKrp0Vvzr7lt3OU09vwQwhkpOPPYv2Y/edit?usp=sharing"",""งบพรบ!CC18"")"),4500)</f>
        <v>4500</v>
      </c>
      <c r="G18" s="176">
        <f ca="1">IFERROR(__xludf.DUMMYFUNCTION("IMPORTRANGE(""https://docs.google.com/spreadsheets/d/1-uDff_7J0KD5mKrp0Vvzr7lt3OU09vwQwhkpOPPYv2Y/edit?usp=sharing"",""งบพรบ!CD18"")"),0)</f>
        <v>0</v>
      </c>
      <c r="H18" s="176">
        <f ca="1">IFERROR(__xludf.DUMMYFUNCTION("IMPORTRANGE(""https://docs.google.com/spreadsheets/d/1-uDff_7J0KD5mKrp0Vvzr7lt3OU09vwQwhkpOPPYv2Y/edit?usp=sharing"",""งบพรบ!CF18"")"),0)</f>
        <v>0</v>
      </c>
      <c r="I18" s="176">
        <f ca="1">IFERROR(__xludf.DUMMYFUNCTION("IMPORTRANGE(""https://docs.google.com/spreadsheets/d/1-uDff_7J0KD5mKrp0Vvzr7lt3OU09vwQwhkpOPPYv2Y/edit?usp=sharing"",""งบพรบ!CG18"")"),0)</f>
        <v>0</v>
      </c>
      <c r="J18" s="176">
        <f t="shared" ca="1" si="20"/>
        <v>0</v>
      </c>
      <c r="K18" s="179">
        <f t="shared" ca="1" si="21"/>
        <v>0</v>
      </c>
      <c r="L18" s="176">
        <f ca="1">IFERROR(__xludf.DUMMYFUNCTION("IMPORTRANGE(""https://docs.google.com/spreadsheets/d/1-uDff_7J0KD5mKrp0Vvzr7lt3OU09vwQwhkpOPPYv2Y/edit?usp=sharing"",""งบพรบ!CH18"")"),0)</f>
        <v>0</v>
      </c>
      <c r="M18" s="87">
        <f t="shared" ca="1" si="22"/>
        <v>0</v>
      </c>
      <c r="N18" s="87">
        <f t="shared" ca="1" si="23"/>
        <v>0</v>
      </c>
      <c r="O18" s="86">
        <f ca="1">IFERROR(__xludf.DUMMYFUNCTION("IMPORTRANGE(""https://docs.google.com/spreadsheets/d/1-uDff_7J0KD5mKrp0Vvzr7lt3OU09vwQwhkpOPPYv2Y/edit?usp=sharing"",""งบพรบ!CI18"")"),0)</f>
        <v>0</v>
      </c>
      <c r="P18" s="86">
        <f t="shared" ca="1" si="24"/>
        <v>0</v>
      </c>
      <c r="Q18" s="87">
        <f t="shared" ca="1" si="25"/>
        <v>0</v>
      </c>
      <c r="R18" s="241">
        <f ca="1">IFERROR(__xludf.DUMMYFUNCTION("IMPORTRANGE(""https://docs.google.com/spreadsheets/d/1IQAWArduLkta9LpYo4a_ULsyqdta6-6aDDiwpUnQT6c/edit?usp=sharing"",""นครสวรรค์!Q157"")"),0)</f>
        <v>0</v>
      </c>
      <c r="S18" s="242">
        <f ca="1">IFERROR(__xludf.DUMMYFUNCTION("IMPORTRANGE(""https://docs.google.com/spreadsheets/d/1IQAWArduLkta9LpYo4a_ULsyqdta6-6aDDiwpUnQT6c/edit?usp=sharing"",""นครสวรรค์!R157"")"),0)</f>
        <v>0</v>
      </c>
      <c r="T18" s="242">
        <f ca="1">IFERROR(__xludf.DUMMYFUNCTION("IMPORTRANGE(""https://docs.google.com/spreadsheets/d/1IQAWArduLkta9LpYo4a_ULsyqdta6-6aDDiwpUnQT6c/edit?usp=sharing"",""นครสวรรค์!S157"")"),0)</f>
        <v>0</v>
      </c>
      <c r="U18" s="243">
        <f t="shared" ca="1" si="27"/>
        <v>0</v>
      </c>
      <c r="V18" s="243">
        <f t="shared" ca="1" si="28"/>
        <v>0</v>
      </c>
      <c r="W18" s="97">
        <f ca="1">IFERROR(__xludf.DUMMYFUNCTION("IMPORTRANGE(""https://docs.google.com/spreadsheets/d/1IQAWArduLkta9LpYo4a_ULsyqdta6-6aDDiwpUnQT6c/edit?usp=sharing"",""นครสวรรค์!I167"")"),15)</f>
        <v>15</v>
      </c>
      <c r="X18" s="97">
        <f ca="1">IFERROR(__xludf.DUMMYFUNCTION("IMPORTRANGE(""https://docs.google.com/spreadsheets/d/1IQAWArduLkta9LpYo4a_ULsyqdta6-6aDDiwpUnQT6c/edit?usp=sharing"",""นครสวรรค์!J167"")"),0)</f>
        <v>0</v>
      </c>
      <c r="Y18" s="98">
        <f t="shared" ca="1" si="30"/>
        <v>0</v>
      </c>
    </row>
    <row r="19" spans="1:25" ht="24" customHeight="1" x14ac:dyDescent="0.3">
      <c r="A19" s="89">
        <v>6</v>
      </c>
      <c r="B19" s="90" t="s">
        <v>45</v>
      </c>
      <c r="C19" s="174">
        <f t="shared" ca="1" si="18"/>
        <v>0</v>
      </c>
      <c r="D19" s="175">
        <f t="shared" ca="1" si="31"/>
        <v>0</v>
      </c>
      <c r="E19" s="176">
        <f ca="1">IFERROR(__xludf.DUMMYFUNCTION("IMPORTRANGE(""https://docs.google.com/spreadsheets/d/1-uDff_7J0KD5mKrp0Vvzr7lt3OU09vwQwhkpOPPYv2Y/edit?usp=sharing"",""งบพรบ!CB19"")"),0)</f>
        <v>0</v>
      </c>
      <c r="F19" s="176">
        <f ca="1">IFERROR(__xludf.DUMMYFUNCTION("IMPORTRANGE(""https://docs.google.com/spreadsheets/d/1-uDff_7J0KD5mKrp0Vvzr7lt3OU09vwQwhkpOPPYv2Y/edit?usp=sharing"",""งบพรบ!CC19"")"),0)</f>
        <v>0</v>
      </c>
      <c r="G19" s="176">
        <f ca="1">IFERROR(__xludf.DUMMYFUNCTION("IMPORTRANGE(""https://docs.google.com/spreadsheets/d/1-uDff_7J0KD5mKrp0Vvzr7lt3OU09vwQwhkpOPPYv2Y/edit?usp=sharing"",""งบพรบ!CD19"")"),0)</f>
        <v>0</v>
      </c>
      <c r="H19" s="176">
        <f ca="1">IFERROR(__xludf.DUMMYFUNCTION("IMPORTRANGE(""https://docs.google.com/spreadsheets/d/1-uDff_7J0KD5mKrp0Vvzr7lt3OU09vwQwhkpOPPYv2Y/edit?usp=sharing"",""งบพรบ!CF19"")"),0)</f>
        <v>0</v>
      </c>
      <c r="I19" s="176">
        <f ca="1">IFERROR(__xludf.DUMMYFUNCTION("IMPORTRANGE(""https://docs.google.com/spreadsheets/d/1-uDff_7J0KD5mKrp0Vvzr7lt3OU09vwQwhkpOPPYv2Y/edit?usp=sharing"",""งบพรบ!CG19"")"),0)</f>
        <v>0</v>
      </c>
      <c r="J19" s="176">
        <f t="shared" ca="1" si="20"/>
        <v>0</v>
      </c>
      <c r="K19" s="179">
        <f t="shared" ca="1" si="21"/>
        <v>0</v>
      </c>
      <c r="L19" s="176">
        <f ca="1">IFERROR(__xludf.DUMMYFUNCTION("IMPORTRANGE(""https://docs.google.com/spreadsheets/d/1-uDff_7J0KD5mKrp0Vvzr7lt3OU09vwQwhkpOPPYv2Y/edit?usp=sharing"",""งบพรบ!CH19"")"),0)</f>
        <v>0</v>
      </c>
      <c r="M19" s="87">
        <f t="shared" ca="1" si="22"/>
        <v>0</v>
      </c>
      <c r="N19" s="87">
        <f t="shared" ca="1" si="23"/>
        <v>0</v>
      </c>
      <c r="O19" s="86">
        <f ca="1">IFERROR(__xludf.DUMMYFUNCTION("IMPORTRANGE(""https://docs.google.com/spreadsheets/d/1-uDff_7J0KD5mKrp0Vvzr7lt3OU09vwQwhkpOPPYv2Y/edit?usp=sharing"",""งบพรบ!CI19"")"),0)</f>
        <v>0</v>
      </c>
      <c r="P19" s="86">
        <f t="shared" ca="1" si="24"/>
        <v>0</v>
      </c>
      <c r="Q19" s="87">
        <f t="shared" ca="1" si="25"/>
        <v>0</v>
      </c>
      <c r="R19" s="241">
        <f ca="1">IFERROR(__xludf.DUMMYFUNCTION("IMPORTRANGE(""https://docs.google.com/spreadsheets/d/10s13Sk5xrltsiR-Zkbmk5DwIaDIKO8XlbJAfqyT7Gvg/edit?usp=sharing"",""น่าน!Q157"")"),0)</f>
        <v>0</v>
      </c>
      <c r="S19" s="242">
        <f ca="1">IFERROR(__xludf.DUMMYFUNCTION("IMPORTRANGE(""https://docs.google.com/spreadsheets/d/10s13Sk5xrltsiR-Zkbmk5DwIaDIKO8XlbJAfqyT7Gvg/edit?usp=sharing"",""น่าน!R157"")"),0)</f>
        <v>0</v>
      </c>
      <c r="T19" s="242">
        <f ca="1">IFERROR(__xludf.DUMMYFUNCTION("IMPORTRANGE(""https://docs.google.com/spreadsheets/d/10s13Sk5xrltsiR-Zkbmk5DwIaDIKO8XlbJAfqyT7Gvg/edit?usp=sharing"",""น่าน!S157"")"),0)</f>
        <v>0</v>
      </c>
      <c r="U19" s="243">
        <f t="shared" ca="1" si="27"/>
        <v>0</v>
      </c>
      <c r="V19" s="243">
        <f t="shared" ca="1" si="28"/>
        <v>0</v>
      </c>
      <c r="W19" s="97">
        <f ca="1">IFERROR(__xludf.DUMMYFUNCTION("IMPORTRANGE(""https://docs.google.com/spreadsheets/d/10s13Sk5xrltsiR-Zkbmk5DwIaDIKO8XlbJAfqyT7Gvg/edit?usp=sharing"",""น่าน!I167"")"),0)</f>
        <v>0</v>
      </c>
      <c r="X19" s="97">
        <f ca="1">IFERROR(__xludf.DUMMYFUNCTION("IMPORTRANGE(""https://docs.google.com/spreadsheets/d/10s13Sk5xrltsiR-Zkbmk5DwIaDIKO8XlbJAfqyT7Gvg/edit?usp=sharing"",""น่าน!J167"")"),0)</f>
        <v>0</v>
      </c>
      <c r="Y19" s="98">
        <f t="shared" ca="1" si="30"/>
        <v>0</v>
      </c>
    </row>
    <row r="20" spans="1:25" ht="24" customHeight="1" x14ac:dyDescent="0.3">
      <c r="A20" s="89">
        <v>7</v>
      </c>
      <c r="B20" s="90" t="s">
        <v>46</v>
      </c>
      <c r="C20" s="174">
        <f t="shared" ca="1" si="18"/>
        <v>3000</v>
      </c>
      <c r="D20" s="175">
        <f t="shared" ca="1" si="31"/>
        <v>3000</v>
      </c>
      <c r="E20" s="176">
        <f ca="1">IFERROR(__xludf.DUMMYFUNCTION("IMPORTRANGE(""https://docs.google.com/spreadsheets/d/1-uDff_7J0KD5mKrp0Vvzr7lt3OU09vwQwhkpOPPYv2Y/edit?usp=sharing"",""งบพรบ!CB20"")"),0)</f>
        <v>0</v>
      </c>
      <c r="F20" s="176">
        <f ca="1">IFERROR(__xludf.DUMMYFUNCTION("IMPORTRANGE(""https://docs.google.com/spreadsheets/d/1-uDff_7J0KD5mKrp0Vvzr7lt3OU09vwQwhkpOPPYv2Y/edit?usp=sharing"",""งบพรบ!CC20"")"),3000)</f>
        <v>3000</v>
      </c>
      <c r="G20" s="176">
        <f ca="1">IFERROR(__xludf.DUMMYFUNCTION("IMPORTRANGE(""https://docs.google.com/spreadsheets/d/1-uDff_7J0KD5mKrp0Vvzr7lt3OU09vwQwhkpOPPYv2Y/edit?usp=sharing"",""งบพรบ!CD20"")"),0)</f>
        <v>0</v>
      </c>
      <c r="H20" s="176">
        <f ca="1">IFERROR(__xludf.DUMMYFUNCTION("IMPORTRANGE(""https://docs.google.com/spreadsheets/d/1-uDff_7J0KD5mKrp0Vvzr7lt3OU09vwQwhkpOPPYv2Y/edit?usp=sharing"",""งบพรบ!CF20"")"),0)</f>
        <v>0</v>
      </c>
      <c r="I20" s="176">
        <f ca="1">IFERROR(__xludf.DUMMYFUNCTION("IMPORTRANGE(""https://docs.google.com/spreadsheets/d/1-uDff_7J0KD5mKrp0Vvzr7lt3OU09vwQwhkpOPPYv2Y/edit?usp=sharing"",""งบพรบ!CG20"")"),0)</f>
        <v>0</v>
      </c>
      <c r="J20" s="176">
        <f t="shared" ca="1" si="20"/>
        <v>0</v>
      </c>
      <c r="K20" s="179">
        <f t="shared" ca="1" si="21"/>
        <v>0</v>
      </c>
      <c r="L20" s="176">
        <f ca="1">IFERROR(__xludf.DUMMYFUNCTION("IMPORTRANGE(""https://docs.google.com/spreadsheets/d/1-uDff_7J0KD5mKrp0Vvzr7lt3OU09vwQwhkpOPPYv2Y/edit?usp=sharing"",""งบพรบ!CH20"")"),0)</f>
        <v>0</v>
      </c>
      <c r="M20" s="87">
        <f t="shared" ca="1" si="22"/>
        <v>0</v>
      </c>
      <c r="N20" s="87">
        <f t="shared" ca="1" si="23"/>
        <v>0</v>
      </c>
      <c r="O20" s="86">
        <f ca="1">IFERROR(__xludf.DUMMYFUNCTION("IMPORTRANGE(""https://docs.google.com/spreadsheets/d/1-uDff_7J0KD5mKrp0Vvzr7lt3OU09vwQwhkpOPPYv2Y/edit?usp=sharing"",""งบพรบ!CI20"")"),0)</f>
        <v>0</v>
      </c>
      <c r="P20" s="86">
        <f t="shared" ca="1" si="24"/>
        <v>0</v>
      </c>
      <c r="Q20" s="87">
        <f t="shared" ca="1" si="25"/>
        <v>0</v>
      </c>
      <c r="R20" s="241">
        <f ca="1">IFERROR(__xludf.DUMMYFUNCTION("IMPORTRANGE(""https://docs.google.com/spreadsheets/d/1uu4nAn4Dbi1XREnLKKotUANlKXa7yCgRcgq8HEzQYW8/edit?usp=sharing"",""พะเยา!Q157"")"),0)</f>
        <v>0</v>
      </c>
      <c r="S20" s="242">
        <f ca="1">IFERROR(__xludf.DUMMYFUNCTION("IMPORTRANGE(""https://docs.google.com/spreadsheets/d/1uu4nAn4Dbi1XREnLKKotUANlKXa7yCgRcgq8HEzQYW8/edit?usp=sharing"",""พะเยา!R157"")"),0)</f>
        <v>0</v>
      </c>
      <c r="T20" s="242">
        <f ca="1">IFERROR(__xludf.DUMMYFUNCTION("IMPORTRANGE(""https://docs.google.com/spreadsheets/d/1uu4nAn4Dbi1XREnLKKotUANlKXa7yCgRcgq8HEzQYW8/edit?usp=sharing"",""พะเยา!S157"")"),0)</f>
        <v>0</v>
      </c>
      <c r="U20" s="243">
        <f t="shared" ca="1" si="27"/>
        <v>0</v>
      </c>
      <c r="V20" s="243">
        <f t="shared" ca="1" si="28"/>
        <v>0</v>
      </c>
      <c r="W20" s="97">
        <f ca="1">IFERROR(__xludf.DUMMYFUNCTION("IMPORTRANGE(""https://docs.google.com/spreadsheets/d/1uu4nAn4Dbi1XREnLKKotUANlKXa7yCgRcgq8HEzQYW8/edit?usp=sharing"",""พะเยา!I167"")"),10)</f>
        <v>10</v>
      </c>
      <c r="X20" s="97">
        <f ca="1">IFERROR(__xludf.DUMMYFUNCTION("IMPORTRANGE(""https://docs.google.com/spreadsheets/d/1uu4nAn4Dbi1XREnLKKotUANlKXa7yCgRcgq8HEzQYW8/edit?usp=sharing"",""พะเยา!J167"")"),0)</f>
        <v>0</v>
      </c>
      <c r="Y20" s="98">
        <f t="shared" ca="1" si="30"/>
        <v>0</v>
      </c>
    </row>
    <row r="21" spans="1:25" ht="24" customHeight="1" x14ac:dyDescent="0.3">
      <c r="A21" s="89">
        <v>8</v>
      </c>
      <c r="B21" s="90" t="s">
        <v>47</v>
      </c>
      <c r="C21" s="174">
        <f t="shared" ca="1" si="18"/>
        <v>0</v>
      </c>
      <c r="D21" s="175">
        <f t="shared" ca="1" si="31"/>
        <v>0</v>
      </c>
      <c r="E21" s="176">
        <f ca="1">IFERROR(__xludf.DUMMYFUNCTION("IMPORTRANGE(""https://docs.google.com/spreadsheets/d/1-uDff_7J0KD5mKrp0Vvzr7lt3OU09vwQwhkpOPPYv2Y/edit?usp=sharing"",""งบพรบ!CB21"")"),0)</f>
        <v>0</v>
      </c>
      <c r="F21" s="176">
        <f ca="1">IFERROR(__xludf.DUMMYFUNCTION("IMPORTRANGE(""https://docs.google.com/spreadsheets/d/1-uDff_7J0KD5mKrp0Vvzr7lt3OU09vwQwhkpOPPYv2Y/edit?usp=sharing"",""งบพรบ!CC21"")"),0)</f>
        <v>0</v>
      </c>
      <c r="G21" s="176">
        <f ca="1">IFERROR(__xludf.DUMMYFUNCTION("IMPORTRANGE(""https://docs.google.com/spreadsheets/d/1-uDff_7J0KD5mKrp0Vvzr7lt3OU09vwQwhkpOPPYv2Y/edit?usp=sharing"",""งบพรบ!CD21"")"),0)</f>
        <v>0</v>
      </c>
      <c r="H21" s="176">
        <f ca="1">IFERROR(__xludf.DUMMYFUNCTION("IMPORTRANGE(""https://docs.google.com/spreadsheets/d/1-uDff_7J0KD5mKrp0Vvzr7lt3OU09vwQwhkpOPPYv2Y/edit?usp=sharing"",""งบพรบ!CF21"")"),0)</f>
        <v>0</v>
      </c>
      <c r="I21" s="176">
        <f ca="1">IFERROR(__xludf.DUMMYFUNCTION("IMPORTRANGE(""https://docs.google.com/spreadsheets/d/1-uDff_7J0KD5mKrp0Vvzr7lt3OU09vwQwhkpOPPYv2Y/edit?usp=sharing"",""งบพรบ!CG21"")"),0)</f>
        <v>0</v>
      </c>
      <c r="J21" s="176">
        <f t="shared" ca="1" si="20"/>
        <v>0</v>
      </c>
      <c r="K21" s="179">
        <f t="shared" ca="1" si="21"/>
        <v>0</v>
      </c>
      <c r="L21" s="176">
        <f ca="1">IFERROR(__xludf.DUMMYFUNCTION("IMPORTRANGE(""https://docs.google.com/spreadsheets/d/1-uDff_7J0KD5mKrp0Vvzr7lt3OU09vwQwhkpOPPYv2Y/edit?usp=sharing"",""งบพรบ!CH21"")"),0)</f>
        <v>0</v>
      </c>
      <c r="M21" s="87">
        <f t="shared" ca="1" si="22"/>
        <v>0</v>
      </c>
      <c r="N21" s="87">
        <f t="shared" ca="1" si="23"/>
        <v>0</v>
      </c>
      <c r="O21" s="86">
        <f ca="1">IFERROR(__xludf.DUMMYFUNCTION("IMPORTRANGE(""https://docs.google.com/spreadsheets/d/1-uDff_7J0KD5mKrp0Vvzr7lt3OU09vwQwhkpOPPYv2Y/edit?usp=sharing"",""งบพรบ!CI21"")"),0)</f>
        <v>0</v>
      </c>
      <c r="P21" s="86">
        <f t="shared" ca="1" si="24"/>
        <v>0</v>
      </c>
      <c r="Q21" s="87">
        <f t="shared" ca="1" si="25"/>
        <v>0</v>
      </c>
      <c r="R21" s="241">
        <f ca="1">IFERROR(__xludf.DUMMYFUNCTION("IMPORTRANGE(""https://docs.google.com/spreadsheets/d/1xfJKIQxVOaPDIICqsflNlLu3JacTDk1FP9RH4phX7mI/edit?usp=sharing"",""พิจิตร!Q157"")"),0)</f>
        <v>0</v>
      </c>
      <c r="S21" s="242">
        <f ca="1">IFERROR(__xludf.DUMMYFUNCTION("IMPORTRANGE(""https://docs.google.com/spreadsheets/d/1xfJKIQxVOaPDIICqsflNlLu3JacTDk1FP9RH4phX7mI/edit?usp=sharing"",""พิจิตร!R157"")"),0)</f>
        <v>0</v>
      </c>
      <c r="T21" s="242">
        <f ca="1">IFERROR(__xludf.DUMMYFUNCTION("IMPORTRANGE(""https://docs.google.com/spreadsheets/d/1xfJKIQxVOaPDIICqsflNlLu3JacTDk1FP9RH4phX7mI/edit?usp=sharing"",""พิจิตร!S157"")"),0)</f>
        <v>0</v>
      </c>
      <c r="U21" s="243">
        <f t="shared" ca="1" si="27"/>
        <v>0</v>
      </c>
      <c r="V21" s="243">
        <f t="shared" ca="1" si="28"/>
        <v>0</v>
      </c>
      <c r="W21" s="97">
        <f ca="1">IFERROR(__xludf.DUMMYFUNCTION("IMPORTRANGE(""https://docs.google.com/spreadsheets/d/1xfJKIQxVOaPDIICqsflNlLu3JacTDk1FP9RH4phX7mI/edit?usp=sharing"",""พิจิตร!I167"")"),0)</f>
        <v>0</v>
      </c>
      <c r="X21" s="97">
        <f ca="1">IFERROR(__xludf.DUMMYFUNCTION("IMPORTRANGE(""https://docs.google.com/spreadsheets/d/1xfJKIQxVOaPDIICqsflNlLu3JacTDk1FP9RH4phX7mI/edit?usp=sharing"",""พิจิตร!J167"")"),0)</f>
        <v>0</v>
      </c>
      <c r="Y21" s="98">
        <f t="shared" ca="1" si="30"/>
        <v>0</v>
      </c>
    </row>
    <row r="22" spans="1:25" ht="24" customHeight="1" x14ac:dyDescent="0.3">
      <c r="A22" s="89">
        <v>9</v>
      </c>
      <c r="B22" s="90" t="s">
        <v>48</v>
      </c>
      <c r="C22" s="174">
        <f t="shared" ca="1" si="18"/>
        <v>0</v>
      </c>
      <c r="D22" s="175">
        <f t="shared" ca="1" si="31"/>
        <v>0</v>
      </c>
      <c r="E22" s="176">
        <f ca="1">IFERROR(__xludf.DUMMYFUNCTION("IMPORTRANGE(""https://docs.google.com/spreadsheets/d/1-uDff_7J0KD5mKrp0Vvzr7lt3OU09vwQwhkpOPPYv2Y/edit?usp=sharing"",""งบพรบ!CB22"")"),0)</f>
        <v>0</v>
      </c>
      <c r="F22" s="176">
        <f ca="1">IFERROR(__xludf.DUMMYFUNCTION("IMPORTRANGE(""https://docs.google.com/spreadsheets/d/1-uDff_7J0KD5mKrp0Vvzr7lt3OU09vwQwhkpOPPYv2Y/edit?usp=sharing"",""งบพรบ!CC22"")"),0)</f>
        <v>0</v>
      </c>
      <c r="G22" s="176">
        <f ca="1">IFERROR(__xludf.DUMMYFUNCTION("IMPORTRANGE(""https://docs.google.com/spreadsheets/d/1-uDff_7J0KD5mKrp0Vvzr7lt3OU09vwQwhkpOPPYv2Y/edit?usp=sharing"",""งบพรบ!CD22"")"),0)</f>
        <v>0</v>
      </c>
      <c r="H22" s="176">
        <f ca="1">IFERROR(__xludf.DUMMYFUNCTION("IMPORTRANGE(""https://docs.google.com/spreadsheets/d/1-uDff_7J0KD5mKrp0Vvzr7lt3OU09vwQwhkpOPPYv2Y/edit?usp=sharing"",""งบพรบ!CF22"")"),0)</f>
        <v>0</v>
      </c>
      <c r="I22" s="176">
        <f ca="1">IFERROR(__xludf.DUMMYFUNCTION("IMPORTRANGE(""https://docs.google.com/spreadsheets/d/1-uDff_7J0KD5mKrp0Vvzr7lt3OU09vwQwhkpOPPYv2Y/edit?usp=sharing"",""งบพรบ!CG22"")"),0)</f>
        <v>0</v>
      </c>
      <c r="J22" s="176">
        <f t="shared" ca="1" si="20"/>
        <v>0</v>
      </c>
      <c r="K22" s="179">
        <f t="shared" ca="1" si="21"/>
        <v>0</v>
      </c>
      <c r="L22" s="176">
        <f ca="1">IFERROR(__xludf.DUMMYFUNCTION("IMPORTRANGE(""https://docs.google.com/spreadsheets/d/1-uDff_7J0KD5mKrp0Vvzr7lt3OU09vwQwhkpOPPYv2Y/edit?usp=sharing"",""งบพรบ!CH22"")"),0)</f>
        <v>0</v>
      </c>
      <c r="M22" s="87">
        <f t="shared" ca="1" si="22"/>
        <v>0</v>
      </c>
      <c r="N22" s="87">
        <f t="shared" ca="1" si="23"/>
        <v>0</v>
      </c>
      <c r="O22" s="86">
        <f ca="1">IFERROR(__xludf.DUMMYFUNCTION("IMPORTRANGE(""https://docs.google.com/spreadsheets/d/1-uDff_7J0KD5mKrp0Vvzr7lt3OU09vwQwhkpOPPYv2Y/edit?usp=sharing"",""งบพรบ!CI22"")"),0)</f>
        <v>0</v>
      </c>
      <c r="P22" s="86">
        <f t="shared" ca="1" si="24"/>
        <v>0</v>
      </c>
      <c r="Q22" s="87">
        <f t="shared" ca="1" si="25"/>
        <v>0</v>
      </c>
      <c r="R22" s="241">
        <f ca="1">IFERROR(__xludf.DUMMYFUNCTION("IMPORTRANGE(""https://docs.google.com/spreadsheets/d/1JtRfZkJMHtEhI5RdRHxYUG4FIZHqKDpNyIuN7A1Q0_k/edit?usp=sharing"",""พิษณุโลก!Q157"")"),0)</f>
        <v>0</v>
      </c>
      <c r="S22" s="242">
        <f ca="1">IFERROR(__xludf.DUMMYFUNCTION("IMPORTRANGE(""https://docs.google.com/spreadsheets/d/1JtRfZkJMHtEhI5RdRHxYUG4FIZHqKDpNyIuN7A1Q0_k/edit?usp=sharing"",""พิษณุโลก!R157"")"),0)</f>
        <v>0</v>
      </c>
      <c r="T22" s="242">
        <f ca="1">IFERROR(__xludf.DUMMYFUNCTION("IMPORTRANGE(""https://docs.google.com/spreadsheets/d/1JtRfZkJMHtEhI5RdRHxYUG4FIZHqKDpNyIuN7A1Q0_k/edit?usp=sharing"",""พิษณุโลก!S157"")"),0)</f>
        <v>0</v>
      </c>
      <c r="U22" s="243">
        <f t="shared" ca="1" si="27"/>
        <v>0</v>
      </c>
      <c r="V22" s="243">
        <f t="shared" ca="1" si="28"/>
        <v>0</v>
      </c>
      <c r="W22" s="97">
        <f ca="1">IFERROR(__xludf.DUMMYFUNCTION("IMPORTRANGE(""https://docs.google.com/spreadsheets/d/1JtRfZkJMHtEhI5RdRHxYUG4FIZHqKDpNyIuN7A1Q0_k/edit?usp=sharing"",""พิษณุโลก!I167"")"),0)</f>
        <v>0</v>
      </c>
      <c r="X22" s="97">
        <f ca="1">IFERROR(__xludf.DUMMYFUNCTION("IMPORTRANGE(""https://docs.google.com/spreadsheets/d/1JtRfZkJMHtEhI5RdRHxYUG4FIZHqKDpNyIuN7A1Q0_k/edit?usp=sharing"",""พิษณุโลก!J167"")"),0)</f>
        <v>0</v>
      </c>
      <c r="Y22" s="98">
        <f t="shared" ca="1" si="30"/>
        <v>0</v>
      </c>
    </row>
    <row r="23" spans="1:25" ht="24" customHeight="1" x14ac:dyDescent="0.3">
      <c r="A23" s="89">
        <v>10</v>
      </c>
      <c r="B23" s="90" t="s">
        <v>49</v>
      </c>
      <c r="C23" s="174">
        <f t="shared" ca="1" si="18"/>
        <v>6000</v>
      </c>
      <c r="D23" s="175">
        <f t="shared" ca="1" si="31"/>
        <v>6000</v>
      </c>
      <c r="E23" s="176">
        <f ca="1">IFERROR(__xludf.DUMMYFUNCTION("IMPORTRANGE(""https://docs.google.com/spreadsheets/d/1-uDff_7J0KD5mKrp0Vvzr7lt3OU09vwQwhkpOPPYv2Y/edit?usp=sharing"",""งบพรบ!CB23"")"),0)</f>
        <v>0</v>
      </c>
      <c r="F23" s="176">
        <f ca="1">IFERROR(__xludf.DUMMYFUNCTION("IMPORTRANGE(""https://docs.google.com/spreadsheets/d/1-uDff_7J0KD5mKrp0Vvzr7lt3OU09vwQwhkpOPPYv2Y/edit?usp=sharing"",""งบพรบ!CC23"")"),6000)</f>
        <v>6000</v>
      </c>
      <c r="G23" s="176">
        <f ca="1">IFERROR(__xludf.DUMMYFUNCTION("IMPORTRANGE(""https://docs.google.com/spreadsheets/d/1-uDff_7J0KD5mKrp0Vvzr7lt3OU09vwQwhkpOPPYv2Y/edit?usp=sharing"",""งบพรบ!CD23"")"),0)</f>
        <v>0</v>
      </c>
      <c r="H23" s="176">
        <f ca="1">IFERROR(__xludf.DUMMYFUNCTION("IMPORTRANGE(""https://docs.google.com/spreadsheets/d/1-uDff_7J0KD5mKrp0Vvzr7lt3OU09vwQwhkpOPPYv2Y/edit?usp=sharing"",""งบพรบ!CF23"")"),0)</f>
        <v>0</v>
      </c>
      <c r="I23" s="176">
        <f ca="1">IFERROR(__xludf.DUMMYFUNCTION("IMPORTRANGE(""https://docs.google.com/spreadsheets/d/1-uDff_7J0KD5mKrp0Vvzr7lt3OU09vwQwhkpOPPYv2Y/edit?usp=sharing"",""งบพรบ!CG23"")"),0)</f>
        <v>0</v>
      </c>
      <c r="J23" s="176">
        <f t="shared" ca="1" si="20"/>
        <v>0</v>
      </c>
      <c r="K23" s="179">
        <f t="shared" ca="1" si="21"/>
        <v>0</v>
      </c>
      <c r="L23" s="176">
        <f ca="1">IFERROR(__xludf.DUMMYFUNCTION("IMPORTRANGE(""https://docs.google.com/spreadsheets/d/1-uDff_7J0KD5mKrp0Vvzr7lt3OU09vwQwhkpOPPYv2Y/edit?usp=sharing"",""งบพรบ!CH23"")"),0)</f>
        <v>0</v>
      </c>
      <c r="M23" s="87">
        <f t="shared" ca="1" si="22"/>
        <v>0</v>
      </c>
      <c r="N23" s="87">
        <f t="shared" ca="1" si="23"/>
        <v>0</v>
      </c>
      <c r="O23" s="86">
        <f ca="1">IFERROR(__xludf.DUMMYFUNCTION("IMPORTRANGE(""https://docs.google.com/spreadsheets/d/1-uDff_7J0KD5mKrp0Vvzr7lt3OU09vwQwhkpOPPYv2Y/edit?usp=sharing"",""งบพรบ!CI23"")"),0)</f>
        <v>0</v>
      </c>
      <c r="P23" s="86">
        <f t="shared" ca="1" si="24"/>
        <v>0</v>
      </c>
      <c r="Q23" s="87">
        <f t="shared" ca="1" si="25"/>
        <v>0</v>
      </c>
      <c r="R23" s="241">
        <f ca="1">IFERROR(__xludf.DUMMYFUNCTION("IMPORTRANGE(""https://docs.google.com/spreadsheets/d/1xlcVZWUNn6SuWm0c307h32SiGkd9BaeQWlAktfD3KO8/edit?usp=sharing"",""เพชรบูรณ์!Q157"")"),0)</f>
        <v>0</v>
      </c>
      <c r="S23" s="242">
        <f ca="1">IFERROR(__xludf.DUMMYFUNCTION("IMPORTRANGE(""https://docs.google.com/spreadsheets/d/1xlcVZWUNn6SuWm0c307h32SiGkd9BaeQWlAktfD3KO8/edit?usp=sharing"",""เพชรบูรณ์!R157"")"),0)</f>
        <v>0</v>
      </c>
      <c r="T23" s="242">
        <f ca="1">IFERROR(__xludf.DUMMYFUNCTION("IMPORTRANGE(""https://docs.google.com/spreadsheets/d/1xlcVZWUNn6SuWm0c307h32SiGkd9BaeQWlAktfD3KO8/edit?usp=sharing"",""เพชรบูรณ์!S157"")"),0)</f>
        <v>0</v>
      </c>
      <c r="U23" s="243">
        <f t="shared" ca="1" si="27"/>
        <v>0</v>
      </c>
      <c r="V23" s="243">
        <f t="shared" ca="1" si="28"/>
        <v>0</v>
      </c>
      <c r="W23" s="97">
        <f ca="1">IFERROR(__xludf.DUMMYFUNCTION("IMPORTRANGE(""https://docs.google.com/spreadsheets/d/1xlcVZWUNn6SuWm0c307h32SiGkd9BaeQWlAktfD3KO8/edit?usp=sharing"",""เพชรบูรณ์!I167"")"),20)</f>
        <v>20</v>
      </c>
      <c r="X23" s="97">
        <f ca="1">IFERROR(__xludf.DUMMYFUNCTION("IMPORTRANGE(""https://docs.google.com/spreadsheets/d/1xlcVZWUNn6SuWm0c307h32SiGkd9BaeQWlAktfD3KO8/edit?usp=sharing"",""เพชรบูรณ์!J167"")"),20)</f>
        <v>20</v>
      </c>
      <c r="Y23" s="98">
        <f t="shared" ca="1" si="30"/>
        <v>100</v>
      </c>
    </row>
    <row r="24" spans="1:25" ht="24" customHeight="1" x14ac:dyDescent="0.3">
      <c r="A24" s="89">
        <v>11</v>
      </c>
      <c r="B24" s="90" t="s">
        <v>50</v>
      </c>
      <c r="C24" s="174">
        <f t="shared" ca="1" si="18"/>
        <v>0</v>
      </c>
      <c r="D24" s="175">
        <f t="shared" ca="1" si="31"/>
        <v>0</v>
      </c>
      <c r="E24" s="176">
        <f ca="1">IFERROR(__xludf.DUMMYFUNCTION("IMPORTRANGE(""https://docs.google.com/spreadsheets/d/1-uDff_7J0KD5mKrp0Vvzr7lt3OU09vwQwhkpOPPYv2Y/edit?usp=sharing"",""งบพรบ!CB24"")"),0)</f>
        <v>0</v>
      </c>
      <c r="F24" s="176">
        <f ca="1">IFERROR(__xludf.DUMMYFUNCTION("IMPORTRANGE(""https://docs.google.com/spreadsheets/d/1-uDff_7J0KD5mKrp0Vvzr7lt3OU09vwQwhkpOPPYv2Y/edit?usp=sharing"",""งบพรบ!CC24"")"),0)</f>
        <v>0</v>
      </c>
      <c r="G24" s="176">
        <f ca="1">IFERROR(__xludf.DUMMYFUNCTION("IMPORTRANGE(""https://docs.google.com/spreadsheets/d/1-uDff_7J0KD5mKrp0Vvzr7lt3OU09vwQwhkpOPPYv2Y/edit?usp=sharing"",""งบพรบ!CD24"")"),0)</f>
        <v>0</v>
      </c>
      <c r="H24" s="176">
        <f ca="1">IFERROR(__xludf.DUMMYFUNCTION("IMPORTRANGE(""https://docs.google.com/spreadsheets/d/1-uDff_7J0KD5mKrp0Vvzr7lt3OU09vwQwhkpOPPYv2Y/edit?usp=sharing"",""งบพรบ!CF24"")"),0)</f>
        <v>0</v>
      </c>
      <c r="I24" s="176">
        <f ca="1">IFERROR(__xludf.DUMMYFUNCTION("IMPORTRANGE(""https://docs.google.com/spreadsheets/d/1-uDff_7J0KD5mKrp0Vvzr7lt3OU09vwQwhkpOPPYv2Y/edit?usp=sharing"",""งบพรบ!CG24"")"),0)</f>
        <v>0</v>
      </c>
      <c r="J24" s="176">
        <f t="shared" ca="1" si="20"/>
        <v>0</v>
      </c>
      <c r="K24" s="179">
        <f t="shared" ca="1" si="21"/>
        <v>0</v>
      </c>
      <c r="L24" s="176">
        <f ca="1">IFERROR(__xludf.DUMMYFUNCTION("IMPORTRANGE(""https://docs.google.com/spreadsheets/d/1-uDff_7J0KD5mKrp0Vvzr7lt3OU09vwQwhkpOPPYv2Y/edit?usp=sharing"",""งบพรบ!CH24"")"),0)</f>
        <v>0</v>
      </c>
      <c r="M24" s="87">
        <f t="shared" ca="1" si="22"/>
        <v>0</v>
      </c>
      <c r="N24" s="87">
        <f t="shared" ca="1" si="23"/>
        <v>0</v>
      </c>
      <c r="O24" s="86">
        <f ca="1">IFERROR(__xludf.DUMMYFUNCTION("IMPORTRANGE(""https://docs.google.com/spreadsheets/d/1-uDff_7J0KD5mKrp0Vvzr7lt3OU09vwQwhkpOPPYv2Y/edit?usp=sharing"",""งบพรบ!CI24"")"),0)</f>
        <v>0</v>
      </c>
      <c r="P24" s="86">
        <f t="shared" ca="1" si="24"/>
        <v>0</v>
      </c>
      <c r="Q24" s="87">
        <f t="shared" ca="1" si="25"/>
        <v>0</v>
      </c>
      <c r="R24" s="241">
        <f ca="1">IFERROR(__xludf.DUMMYFUNCTION("IMPORTRANGE(""https://docs.google.com/spreadsheets/d/1lOVebEIsI9qjGXl6EX66luk7wiuP2tBaryw-wKvv4e0/edit?usp=sharing"",""แพร่!Q157"")"),0)</f>
        <v>0</v>
      </c>
      <c r="S24" s="242">
        <f ca="1">IFERROR(__xludf.DUMMYFUNCTION("IMPORTRANGE(""https://docs.google.com/spreadsheets/d/1lOVebEIsI9qjGXl6EX66luk7wiuP2tBaryw-wKvv4e0/edit?usp=sharing"",""แพร่!R157"")"),0)</f>
        <v>0</v>
      </c>
      <c r="T24" s="242">
        <f ca="1">IFERROR(__xludf.DUMMYFUNCTION("IMPORTRANGE(""https://docs.google.com/spreadsheets/d/1lOVebEIsI9qjGXl6EX66luk7wiuP2tBaryw-wKvv4e0/edit?usp=sharing"",""แพร่!S157"")"),0)</f>
        <v>0</v>
      </c>
      <c r="U24" s="243">
        <f t="shared" ca="1" si="27"/>
        <v>0</v>
      </c>
      <c r="V24" s="243">
        <f t="shared" ca="1" si="28"/>
        <v>0</v>
      </c>
      <c r="W24" s="97">
        <f ca="1">IFERROR(__xludf.DUMMYFUNCTION("IMPORTRANGE(""https://docs.google.com/spreadsheets/d/1lOVebEIsI9qjGXl6EX66luk7wiuP2tBaryw-wKvv4e0/edit?usp=sharing"",""แพร่!I167"")"),0)</f>
        <v>0</v>
      </c>
      <c r="X24" s="97">
        <f ca="1">IFERROR(__xludf.DUMMYFUNCTION("IMPORTRANGE(""https://docs.google.com/spreadsheets/d/1lOVebEIsI9qjGXl6EX66luk7wiuP2tBaryw-wKvv4e0/edit?usp=sharing"",""แพร่!J167"")"),0)</f>
        <v>0</v>
      </c>
      <c r="Y24" s="98">
        <f t="shared" ca="1" si="30"/>
        <v>0</v>
      </c>
    </row>
    <row r="25" spans="1:25" ht="24" customHeight="1" x14ac:dyDescent="0.3">
      <c r="A25" s="89">
        <v>12</v>
      </c>
      <c r="B25" s="90" t="s">
        <v>51</v>
      </c>
      <c r="C25" s="174">
        <f t="shared" ca="1" si="18"/>
        <v>3000</v>
      </c>
      <c r="D25" s="175">
        <f t="shared" ca="1" si="31"/>
        <v>3000</v>
      </c>
      <c r="E25" s="176">
        <f ca="1">IFERROR(__xludf.DUMMYFUNCTION("IMPORTRANGE(""https://docs.google.com/spreadsheets/d/1-uDff_7J0KD5mKrp0Vvzr7lt3OU09vwQwhkpOPPYv2Y/edit?usp=sharing"",""งบพรบ!CB25"")"),0)</f>
        <v>0</v>
      </c>
      <c r="F25" s="176">
        <f ca="1">IFERROR(__xludf.DUMMYFUNCTION("IMPORTRANGE(""https://docs.google.com/spreadsheets/d/1-uDff_7J0KD5mKrp0Vvzr7lt3OU09vwQwhkpOPPYv2Y/edit?usp=sharing"",""งบพรบ!CC25"")"),3000)</f>
        <v>3000</v>
      </c>
      <c r="G25" s="176">
        <f ca="1">IFERROR(__xludf.DUMMYFUNCTION("IMPORTRANGE(""https://docs.google.com/spreadsheets/d/1-uDff_7J0KD5mKrp0Vvzr7lt3OU09vwQwhkpOPPYv2Y/edit?usp=sharing"",""งบพรบ!CD25"")"),0)</f>
        <v>0</v>
      </c>
      <c r="H25" s="176">
        <f ca="1">IFERROR(__xludf.DUMMYFUNCTION("IMPORTRANGE(""https://docs.google.com/spreadsheets/d/1-uDff_7J0KD5mKrp0Vvzr7lt3OU09vwQwhkpOPPYv2Y/edit?usp=sharing"",""งบพรบ!CF25"")"),0)</f>
        <v>0</v>
      </c>
      <c r="I25" s="176">
        <f ca="1">IFERROR(__xludf.DUMMYFUNCTION("IMPORTRANGE(""https://docs.google.com/spreadsheets/d/1-uDff_7J0KD5mKrp0Vvzr7lt3OU09vwQwhkpOPPYv2Y/edit?usp=sharing"",""งบพรบ!CG25"")"),0)</f>
        <v>0</v>
      </c>
      <c r="J25" s="176">
        <f t="shared" ca="1" si="20"/>
        <v>0</v>
      </c>
      <c r="K25" s="179">
        <f t="shared" ca="1" si="21"/>
        <v>0</v>
      </c>
      <c r="L25" s="176">
        <f ca="1">IFERROR(__xludf.DUMMYFUNCTION("IMPORTRANGE(""https://docs.google.com/spreadsheets/d/1-uDff_7J0KD5mKrp0Vvzr7lt3OU09vwQwhkpOPPYv2Y/edit?usp=sharing"",""งบพรบ!CH25"")"),0)</f>
        <v>0</v>
      </c>
      <c r="M25" s="87">
        <f t="shared" ca="1" si="22"/>
        <v>0</v>
      </c>
      <c r="N25" s="87">
        <f t="shared" ca="1" si="23"/>
        <v>0</v>
      </c>
      <c r="O25" s="86">
        <f ca="1">IFERROR(__xludf.DUMMYFUNCTION("IMPORTRANGE(""https://docs.google.com/spreadsheets/d/1-uDff_7J0KD5mKrp0Vvzr7lt3OU09vwQwhkpOPPYv2Y/edit?usp=sharing"",""งบพรบ!CI25"")"),0)</f>
        <v>0</v>
      </c>
      <c r="P25" s="86">
        <f t="shared" ca="1" si="24"/>
        <v>0</v>
      </c>
      <c r="Q25" s="87">
        <f t="shared" ca="1" si="25"/>
        <v>0</v>
      </c>
      <c r="R25" s="241">
        <f ca="1">IFERROR(__xludf.DUMMYFUNCTION("IMPORTRANGE(""https://docs.google.com/spreadsheets/d/1dQrvX0vEcN7Gu0fnZ0B5S90AeR19zth4XlExFBeExMY/edit?usp=sharing"",""แม่ฮ่องสอน!Q157"")"),0)</f>
        <v>0</v>
      </c>
      <c r="S25" s="242">
        <f ca="1">IFERROR(__xludf.DUMMYFUNCTION("IMPORTRANGE(""https://docs.google.com/spreadsheets/d/1dQrvX0vEcN7Gu0fnZ0B5S90AeR19zth4XlExFBeExMY/edit?usp=sharing"",""แม่ฮ่องสอน!R157"")"),0)</f>
        <v>0</v>
      </c>
      <c r="T25" s="242">
        <f ca="1">IFERROR(__xludf.DUMMYFUNCTION("IMPORTRANGE(""https://docs.google.com/spreadsheets/d/1dQrvX0vEcN7Gu0fnZ0B5S90AeR19zth4XlExFBeExMY/edit?usp=sharing"",""แม่ฮ่องสอน!S157"")"),0)</f>
        <v>0</v>
      </c>
      <c r="U25" s="243">
        <f t="shared" ca="1" si="27"/>
        <v>0</v>
      </c>
      <c r="V25" s="243">
        <f t="shared" ca="1" si="28"/>
        <v>0</v>
      </c>
      <c r="W25" s="97">
        <f ca="1">IFERROR(__xludf.DUMMYFUNCTION("IMPORTRANGE(""https://docs.google.com/spreadsheets/d/1dQrvX0vEcN7Gu0fnZ0B5S90AeR19zth4XlExFBeExMY/edit?usp=sharing"",""แม่ฮ่องสอน!I167"")"),10)</f>
        <v>10</v>
      </c>
      <c r="X25" s="97">
        <f ca="1">IFERROR(__xludf.DUMMYFUNCTION("IMPORTRANGE(""https://docs.google.com/spreadsheets/d/1dQrvX0vEcN7Gu0fnZ0B5S90AeR19zth4XlExFBeExMY/edit?usp=sharing"",""แม่ฮ่องสอน!J167"")"),0)</f>
        <v>0</v>
      </c>
      <c r="Y25" s="98">
        <f t="shared" ca="1" si="30"/>
        <v>0</v>
      </c>
    </row>
    <row r="26" spans="1:25" ht="24" customHeight="1" x14ac:dyDescent="0.3">
      <c r="A26" s="89">
        <v>13</v>
      </c>
      <c r="B26" s="90" t="s">
        <v>52</v>
      </c>
      <c r="C26" s="174">
        <f t="shared" ca="1" si="18"/>
        <v>0</v>
      </c>
      <c r="D26" s="175">
        <f t="shared" ca="1" si="31"/>
        <v>0</v>
      </c>
      <c r="E26" s="176">
        <f ca="1">IFERROR(__xludf.DUMMYFUNCTION("IMPORTRANGE(""https://docs.google.com/spreadsheets/d/1-uDff_7J0KD5mKrp0Vvzr7lt3OU09vwQwhkpOPPYv2Y/edit?usp=sharing"",""งบพรบ!CB26"")"),0)</f>
        <v>0</v>
      </c>
      <c r="F26" s="176">
        <f ca="1">IFERROR(__xludf.DUMMYFUNCTION("IMPORTRANGE(""https://docs.google.com/spreadsheets/d/1-uDff_7J0KD5mKrp0Vvzr7lt3OU09vwQwhkpOPPYv2Y/edit?usp=sharing"",""งบพรบ!CC26"")"),0)</f>
        <v>0</v>
      </c>
      <c r="G26" s="176">
        <f ca="1">IFERROR(__xludf.DUMMYFUNCTION("IMPORTRANGE(""https://docs.google.com/spreadsheets/d/1-uDff_7J0KD5mKrp0Vvzr7lt3OU09vwQwhkpOPPYv2Y/edit?usp=sharing"",""งบพรบ!CD26"")"),0)</f>
        <v>0</v>
      </c>
      <c r="H26" s="176">
        <f ca="1">IFERROR(__xludf.DUMMYFUNCTION("IMPORTRANGE(""https://docs.google.com/spreadsheets/d/1-uDff_7J0KD5mKrp0Vvzr7lt3OU09vwQwhkpOPPYv2Y/edit?usp=sharing"",""งบพรบ!CF26"")"),0)</f>
        <v>0</v>
      </c>
      <c r="I26" s="176">
        <f ca="1">IFERROR(__xludf.DUMMYFUNCTION("IMPORTRANGE(""https://docs.google.com/spreadsheets/d/1-uDff_7J0KD5mKrp0Vvzr7lt3OU09vwQwhkpOPPYv2Y/edit?usp=sharing"",""งบพรบ!CG26"")"),0)</f>
        <v>0</v>
      </c>
      <c r="J26" s="176">
        <f t="shared" ca="1" si="20"/>
        <v>0</v>
      </c>
      <c r="K26" s="179">
        <f t="shared" ca="1" si="21"/>
        <v>0</v>
      </c>
      <c r="L26" s="176">
        <f ca="1">IFERROR(__xludf.DUMMYFUNCTION("IMPORTRANGE(""https://docs.google.com/spreadsheets/d/1-uDff_7J0KD5mKrp0Vvzr7lt3OU09vwQwhkpOPPYv2Y/edit?usp=sharing"",""งบพรบ!CH26"")"),0)</f>
        <v>0</v>
      </c>
      <c r="M26" s="87">
        <f t="shared" ca="1" si="22"/>
        <v>0</v>
      </c>
      <c r="N26" s="87">
        <f t="shared" ca="1" si="23"/>
        <v>0</v>
      </c>
      <c r="O26" s="86">
        <f ca="1">IFERROR(__xludf.DUMMYFUNCTION("IMPORTRANGE(""https://docs.google.com/spreadsheets/d/1-uDff_7J0KD5mKrp0Vvzr7lt3OU09vwQwhkpOPPYv2Y/edit?usp=sharing"",""งบพรบ!CI26"")"),0)</f>
        <v>0</v>
      </c>
      <c r="P26" s="86">
        <f t="shared" ca="1" si="24"/>
        <v>0</v>
      </c>
      <c r="Q26" s="87">
        <f t="shared" ca="1" si="25"/>
        <v>0</v>
      </c>
      <c r="R26" s="241">
        <f ca="1">IFERROR(__xludf.DUMMYFUNCTION("IMPORTRANGE(""https://docs.google.com/spreadsheets/d/1DY4XTNNwjluuxqdfdn6qvOSlMRrZqUtmYcZR0ttFiG4/edit?usp=sharing"",""ลำปาง!Q157"")"),0)</f>
        <v>0</v>
      </c>
      <c r="S26" s="242">
        <f ca="1">IFERROR(__xludf.DUMMYFUNCTION("IMPORTRANGE(""https://docs.google.com/spreadsheets/d/1DY4XTNNwjluuxqdfdn6qvOSlMRrZqUtmYcZR0ttFiG4/edit?usp=sharing"",""ลำปาง!R157"")"),0)</f>
        <v>0</v>
      </c>
      <c r="T26" s="242">
        <f ca="1">IFERROR(__xludf.DUMMYFUNCTION("IMPORTRANGE(""https://docs.google.com/spreadsheets/d/1DY4XTNNwjluuxqdfdn6qvOSlMRrZqUtmYcZR0ttFiG4/edit?usp=sharing"",""ลำปาง!S157"")"),0)</f>
        <v>0</v>
      </c>
      <c r="U26" s="243">
        <f t="shared" ca="1" si="27"/>
        <v>0</v>
      </c>
      <c r="V26" s="243">
        <f t="shared" ca="1" si="28"/>
        <v>0</v>
      </c>
      <c r="W26" s="97">
        <f ca="1">IFERROR(__xludf.DUMMYFUNCTION("IMPORTRANGE(""https://docs.google.com/spreadsheets/d/1DY4XTNNwjluuxqdfdn6qvOSlMRrZqUtmYcZR0ttFiG4/edit?usp=sharing"",""ลำปาง!I167"")"),0)</f>
        <v>0</v>
      </c>
      <c r="X26" s="97">
        <f ca="1">IFERROR(__xludf.DUMMYFUNCTION("IMPORTRANGE(""https://docs.google.com/spreadsheets/d/1DY4XTNNwjluuxqdfdn6qvOSlMRrZqUtmYcZR0ttFiG4/edit?usp=sharing"",""ลำปาง!J167"")"),0)</f>
        <v>0</v>
      </c>
      <c r="Y26" s="98">
        <f t="shared" ca="1" si="30"/>
        <v>0</v>
      </c>
    </row>
    <row r="27" spans="1:25" ht="24" customHeight="1" x14ac:dyDescent="0.3">
      <c r="A27" s="89">
        <v>14</v>
      </c>
      <c r="B27" s="90" t="s">
        <v>53</v>
      </c>
      <c r="C27" s="174">
        <f t="shared" ca="1" si="18"/>
        <v>3000</v>
      </c>
      <c r="D27" s="175">
        <f t="shared" ca="1" si="31"/>
        <v>3000</v>
      </c>
      <c r="E27" s="176">
        <f ca="1">IFERROR(__xludf.DUMMYFUNCTION("IMPORTRANGE(""https://docs.google.com/spreadsheets/d/1-uDff_7J0KD5mKrp0Vvzr7lt3OU09vwQwhkpOPPYv2Y/edit?usp=sharing"",""งบพรบ!CB27"")"),0)</f>
        <v>0</v>
      </c>
      <c r="F27" s="176">
        <f ca="1">IFERROR(__xludf.DUMMYFUNCTION("IMPORTRANGE(""https://docs.google.com/spreadsheets/d/1-uDff_7J0KD5mKrp0Vvzr7lt3OU09vwQwhkpOPPYv2Y/edit?usp=sharing"",""งบพรบ!CC27"")"),3000)</f>
        <v>3000</v>
      </c>
      <c r="G27" s="176">
        <f ca="1">IFERROR(__xludf.DUMMYFUNCTION("IMPORTRANGE(""https://docs.google.com/spreadsheets/d/1-uDff_7J0KD5mKrp0Vvzr7lt3OU09vwQwhkpOPPYv2Y/edit?usp=sharing"",""งบพรบ!CD27"")"),0)</f>
        <v>0</v>
      </c>
      <c r="H27" s="176">
        <f ca="1">IFERROR(__xludf.DUMMYFUNCTION("IMPORTRANGE(""https://docs.google.com/spreadsheets/d/1-uDff_7J0KD5mKrp0Vvzr7lt3OU09vwQwhkpOPPYv2Y/edit?usp=sharing"",""งบพรบ!CF27"")"),0)</f>
        <v>0</v>
      </c>
      <c r="I27" s="176">
        <f ca="1">IFERROR(__xludf.DUMMYFUNCTION("IMPORTRANGE(""https://docs.google.com/spreadsheets/d/1-uDff_7J0KD5mKrp0Vvzr7lt3OU09vwQwhkpOPPYv2Y/edit?usp=sharing"",""งบพรบ!CG27"")"),0)</f>
        <v>0</v>
      </c>
      <c r="J27" s="176">
        <f t="shared" ca="1" si="20"/>
        <v>0</v>
      </c>
      <c r="K27" s="179">
        <f t="shared" ca="1" si="21"/>
        <v>0</v>
      </c>
      <c r="L27" s="176">
        <f ca="1">IFERROR(__xludf.DUMMYFUNCTION("IMPORTRANGE(""https://docs.google.com/spreadsheets/d/1-uDff_7J0KD5mKrp0Vvzr7lt3OU09vwQwhkpOPPYv2Y/edit?usp=sharing"",""งบพรบ!CH27"")"),0)</f>
        <v>0</v>
      </c>
      <c r="M27" s="87">
        <f t="shared" ca="1" si="22"/>
        <v>0</v>
      </c>
      <c r="N27" s="87">
        <f t="shared" ca="1" si="23"/>
        <v>0</v>
      </c>
      <c r="O27" s="86">
        <f ca="1">IFERROR(__xludf.DUMMYFUNCTION("IMPORTRANGE(""https://docs.google.com/spreadsheets/d/1-uDff_7J0KD5mKrp0Vvzr7lt3OU09vwQwhkpOPPYv2Y/edit?usp=sharing"",""งบพรบ!CI27"")"),0)</f>
        <v>0</v>
      </c>
      <c r="P27" s="86">
        <f t="shared" ca="1" si="24"/>
        <v>0</v>
      </c>
      <c r="Q27" s="87">
        <f t="shared" ca="1" si="25"/>
        <v>0</v>
      </c>
      <c r="R27" s="241">
        <f ca="1">IFERROR(__xludf.DUMMYFUNCTION("IMPORTRANGE(""https://docs.google.com/spreadsheets/d/1ICwG78r0OFT8biBlxnBF8r7she7gNSzOvJ958PWT09c/edit?usp=sharing"",""ลำพูน!Q157"")"),0)</f>
        <v>0</v>
      </c>
      <c r="S27" s="242">
        <f ca="1">IFERROR(__xludf.DUMMYFUNCTION("IMPORTRANGE(""https://docs.google.com/spreadsheets/d/1ICwG78r0OFT8biBlxnBF8r7she7gNSzOvJ958PWT09c/edit?usp=sharing"",""ลำพูน!R157"")"),0)</f>
        <v>0</v>
      </c>
      <c r="T27" s="242">
        <f ca="1">IFERROR(__xludf.DUMMYFUNCTION("IMPORTRANGE(""https://docs.google.com/spreadsheets/d/1ICwG78r0OFT8biBlxnBF8r7she7gNSzOvJ958PWT09c/edit?usp=sharing"",""ลำพูน!S157"")"),0)</f>
        <v>0</v>
      </c>
      <c r="U27" s="243">
        <f t="shared" ca="1" si="27"/>
        <v>0</v>
      </c>
      <c r="V27" s="243">
        <f t="shared" ca="1" si="28"/>
        <v>0</v>
      </c>
      <c r="W27" s="97">
        <f ca="1">IFERROR(__xludf.DUMMYFUNCTION("IMPORTRANGE(""https://docs.google.com/spreadsheets/d/1ICwG78r0OFT8biBlxnBF8r7she7gNSzOvJ958PWT09c/edit?usp=sharing"",""ลำพูน!I167"")"),10)</f>
        <v>10</v>
      </c>
      <c r="X27" s="97">
        <f ca="1">IFERROR(__xludf.DUMMYFUNCTION("IMPORTRANGE(""https://docs.google.com/spreadsheets/d/1ICwG78r0OFT8biBlxnBF8r7she7gNSzOvJ958PWT09c/edit?usp=sharing"",""ลำพูน!J167"")"),0)</f>
        <v>0</v>
      </c>
      <c r="Y27" s="98">
        <f t="shared" ca="1" si="30"/>
        <v>0</v>
      </c>
    </row>
    <row r="28" spans="1:25" ht="24" customHeight="1" x14ac:dyDescent="0.3">
      <c r="A28" s="89">
        <v>15</v>
      </c>
      <c r="B28" s="90" t="s">
        <v>54</v>
      </c>
      <c r="C28" s="174">
        <f t="shared" ca="1" si="18"/>
        <v>6000</v>
      </c>
      <c r="D28" s="175">
        <f t="shared" ca="1" si="31"/>
        <v>6000</v>
      </c>
      <c r="E28" s="176">
        <f ca="1">IFERROR(__xludf.DUMMYFUNCTION("IMPORTRANGE(""https://docs.google.com/spreadsheets/d/1-uDff_7J0KD5mKrp0Vvzr7lt3OU09vwQwhkpOPPYv2Y/edit?usp=sharing"",""งบพรบ!CB28"")"),0)</f>
        <v>0</v>
      </c>
      <c r="F28" s="176">
        <f ca="1">IFERROR(__xludf.DUMMYFUNCTION("IMPORTRANGE(""https://docs.google.com/spreadsheets/d/1-uDff_7J0KD5mKrp0Vvzr7lt3OU09vwQwhkpOPPYv2Y/edit?usp=sharing"",""งบพรบ!CC28"")"),6000)</f>
        <v>6000</v>
      </c>
      <c r="G28" s="176">
        <f ca="1">IFERROR(__xludf.DUMMYFUNCTION("IMPORTRANGE(""https://docs.google.com/spreadsheets/d/1-uDff_7J0KD5mKrp0Vvzr7lt3OU09vwQwhkpOPPYv2Y/edit?usp=sharing"",""งบพรบ!CD28"")"),0)</f>
        <v>0</v>
      </c>
      <c r="H28" s="176">
        <f ca="1">IFERROR(__xludf.DUMMYFUNCTION("IMPORTRANGE(""https://docs.google.com/spreadsheets/d/1-uDff_7J0KD5mKrp0Vvzr7lt3OU09vwQwhkpOPPYv2Y/edit?usp=sharing"",""งบพรบ!CF28"")"),0)</f>
        <v>0</v>
      </c>
      <c r="I28" s="176">
        <f ca="1">IFERROR(__xludf.DUMMYFUNCTION("IMPORTRANGE(""https://docs.google.com/spreadsheets/d/1-uDff_7J0KD5mKrp0Vvzr7lt3OU09vwQwhkpOPPYv2Y/edit?usp=sharing"",""งบพรบ!CG28"")"),0)</f>
        <v>0</v>
      </c>
      <c r="J28" s="176">
        <f t="shared" ca="1" si="20"/>
        <v>0</v>
      </c>
      <c r="K28" s="179">
        <f t="shared" ca="1" si="21"/>
        <v>0</v>
      </c>
      <c r="L28" s="176">
        <f ca="1">IFERROR(__xludf.DUMMYFUNCTION("IMPORTRANGE(""https://docs.google.com/spreadsheets/d/1-uDff_7J0KD5mKrp0Vvzr7lt3OU09vwQwhkpOPPYv2Y/edit?usp=sharing"",""งบพรบ!CH28"")"),0)</f>
        <v>0</v>
      </c>
      <c r="M28" s="87">
        <f t="shared" ca="1" si="22"/>
        <v>0</v>
      </c>
      <c r="N28" s="87">
        <f t="shared" ca="1" si="23"/>
        <v>0</v>
      </c>
      <c r="O28" s="86">
        <f ca="1">IFERROR(__xludf.DUMMYFUNCTION("IMPORTRANGE(""https://docs.google.com/spreadsheets/d/1-uDff_7J0KD5mKrp0Vvzr7lt3OU09vwQwhkpOPPYv2Y/edit?usp=sharing"",""งบพรบ!CI28"")"),0)</f>
        <v>0</v>
      </c>
      <c r="P28" s="86">
        <f t="shared" ca="1" si="24"/>
        <v>0</v>
      </c>
      <c r="Q28" s="87">
        <f t="shared" ca="1" si="25"/>
        <v>0</v>
      </c>
      <c r="R28" s="241">
        <f ca="1">IFERROR(__xludf.DUMMYFUNCTION("IMPORTRANGE(""https://docs.google.com/spreadsheets/d/1B0f2xJpZUC6Z0xXnqKlZtEPzsf6L84eP1r1Q15seqRM/edit?usp=sharing"",""สุโขทัย!Q157"")"),0)</f>
        <v>0</v>
      </c>
      <c r="S28" s="242">
        <f ca="1">IFERROR(__xludf.DUMMYFUNCTION("IMPORTRANGE(""https://docs.google.com/spreadsheets/d/1B0f2xJpZUC6Z0xXnqKlZtEPzsf6L84eP1r1Q15seqRM/edit?usp=sharing"",""สุโขทัย!R157"")"),0)</f>
        <v>0</v>
      </c>
      <c r="T28" s="242">
        <f ca="1">IFERROR(__xludf.DUMMYFUNCTION("IMPORTRANGE(""https://docs.google.com/spreadsheets/d/1B0f2xJpZUC6Z0xXnqKlZtEPzsf6L84eP1r1Q15seqRM/edit?usp=sharing"",""สุโขทัย!S157"")"),0)</f>
        <v>0</v>
      </c>
      <c r="U28" s="243">
        <f t="shared" ca="1" si="27"/>
        <v>0</v>
      </c>
      <c r="V28" s="243">
        <f t="shared" ca="1" si="28"/>
        <v>0</v>
      </c>
      <c r="W28" s="97">
        <f ca="1">IFERROR(__xludf.DUMMYFUNCTION("IMPORTRANGE(""https://docs.google.com/spreadsheets/d/1B0f2xJpZUC6Z0xXnqKlZtEPzsf6L84eP1r1Q15seqRM/edit?usp=sharing"",""สุโขทัย!I167"")"),20)</f>
        <v>20</v>
      </c>
      <c r="X28" s="97">
        <f ca="1">IFERROR(__xludf.DUMMYFUNCTION("IMPORTRANGE(""https://docs.google.com/spreadsheets/d/1B0f2xJpZUC6Z0xXnqKlZtEPzsf6L84eP1r1Q15seqRM/edit?usp=sharing"",""สุโขทัย!J167"")"),0)</f>
        <v>0</v>
      </c>
      <c r="Y28" s="98">
        <f t="shared" ca="1" si="30"/>
        <v>0</v>
      </c>
    </row>
    <row r="29" spans="1:25" ht="24" customHeight="1" x14ac:dyDescent="0.3">
      <c r="A29" s="89">
        <v>16</v>
      </c>
      <c r="B29" s="90" t="s">
        <v>55</v>
      </c>
      <c r="C29" s="174">
        <f t="shared" ca="1" si="18"/>
        <v>0</v>
      </c>
      <c r="D29" s="175">
        <f t="shared" ca="1" si="31"/>
        <v>0</v>
      </c>
      <c r="E29" s="176">
        <f ca="1">IFERROR(__xludf.DUMMYFUNCTION("IMPORTRANGE(""https://docs.google.com/spreadsheets/d/1-uDff_7J0KD5mKrp0Vvzr7lt3OU09vwQwhkpOPPYv2Y/edit?usp=sharing"",""งบพรบ!CB29"")"),0)</f>
        <v>0</v>
      </c>
      <c r="F29" s="176">
        <f ca="1">IFERROR(__xludf.DUMMYFUNCTION("IMPORTRANGE(""https://docs.google.com/spreadsheets/d/1-uDff_7J0KD5mKrp0Vvzr7lt3OU09vwQwhkpOPPYv2Y/edit?usp=sharing"",""งบพรบ!CC29"")"),0)</f>
        <v>0</v>
      </c>
      <c r="G29" s="176">
        <f ca="1">IFERROR(__xludf.DUMMYFUNCTION("IMPORTRANGE(""https://docs.google.com/spreadsheets/d/1-uDff_7J0KD5mKrp0Vvzr7lt3OU09vwQwhkpOPPYv2Y/edit?usp=sharing"",""งบพรบ!CD29"")"),0)</f>
        <v>0</v>
      </c>
      <c r="H29" s="176">
        <f ca="1">IFERROR(__xludf.DUMMYFUNCTION("IMPORTRANGE(""https://docs.google.com/spreadsheets/d/1-uDff_7J0KD5mKrp0Vvzr7lt3OU09vwQwhkpOPPYv2Y/edit?usp=sharing"",""งบพรบ!CF29"")"),0)</f>
        <v>0</v>
      </c>
      <c r="I29" s="176">
        <f ca="1">IFERROR(__xludf.DUMMYFUNCTION("IMPORTRANGE(""https://docs.google.com/spreadsheets/d/1-uDff_7J0KD5mKrp0Vvzr7lt3OU09vwQwhkpOPPYv2Y/edit?usp=sharing"",""งบพรบ!CG29"")"),0)</f>
        <v>0</v>
      </c>
      <c r="J29" s="176">
        <f t="shared" ca="1" si="20"/>
        <v>0</v>
      </c>
      <c r="K29" s="179">
        <f t="shared" ca="1" si="21"/>
        <v>0</v>
      </c>
      <c r="L29" s="176">
        <f ca="1">IFERROR(__xludf.DUMMYFUNCTION("IMPORTRANGE(""https://docs.google.com/spreadsheets/d/1-uDff_7J0KD5mKrp0Vvzr7lt3OU09vwQwhkpOPPYv2Y/edit?usp=sharing"",""งบพรบ!CH29"")"),0)</f>
        <v>0</v>
      </c>
      <c r="M29" s="87">
        <f t="shared" ca="1" si="22"/>
        <v>0</v>
      </c>
      <c r="N29" s="87">
        <f t="shared" ca="1" si="23"/>
        <v>0</v>
      </c>
      <c r="O29" s="86">
        <f ca="1">IFERROR(__xludf.DUMMYFUNCTION("IMPORTRANGE(""https://docs.google.com/spreadsheets/d/1-uDff_7J0KD5mKrp0Vvzr7lt3OU09vwQwhkpOPPYv2Y/edit?usp=sharing"",""งบพรบ!CI29"")"),0)</f>
        <v>0</v>
      </c>
      <c r="P29" s="86">
        <f t="shared" ca="1" si="24"/>
        <v>0</v>
      </c>
      <c r="Q29" s="87">
        <f t="shared" ca="1" si="25"/>
        <v>0</v>
      </c>
      <c r="R29" s="241">
        <f ca="1">IFERROR(__xludf.DUMMYFUNCTION("IMPORTRANGE(""https://docs.google.com/spreadsheets/d/1v0b9pFQCsKUVExMei7AgY2yQkdeNQvtOssygGsXbiKo/edit?usp=sharing"",""อุตรดิตถ์!Q157"")"),0)</f>
        <v>0</v>
      </c>
      <c r="S29" s="242">
        <f ca="1">IFERROR(__xludf.DUMMYFUNCTION("IMPORTRANGE(""https://docs.google.com/spreadsheets/d/1v0b9pFQCsKUVExMei7AgY2yQkdeNQvtOssygGsXbiKo/edit?usp=sharing"",""อุตรดิตถ์!R157"")"),0)</f>
        <v>0</v>
      </c>
      <c r="T29" s="242">
        <f ca="1">IFERROR(__xludf.DUMMYFUNCTION("IMPORTRANGE(""https://docs.google.com/spreadsheets/d/1v0b9pFQCsKUVExMei7AgY2yQkdeNQvtOssygGsXbiKo/edit?usp=sharing"",""อุตรดิตถ์!S157"")"),0)</f>
        <v>0</v>
      </c>
      <c r="U29" s="243">
        <f t="shared" ca="1" si="27"/>
        <v>0</v>
      </c>
      <c r="V29" s="243">
        <f t="shared" ca="1" si="28"/>
        <v>0</v>
      </c>
      <c r="W29" s="97">
        <f ca="1">IFERROR(__xludf.DUMMYFUNCTION("IMPORTRANGE(""https://docs.google.com/spreadsheets/d/1v0b9pFQCsKUVExMei7AgY2yQkdeNQvtOssygGsXbiKo/edit?usp=sharing"",""อุตรดิตถ์!I167"")"),0)</f>
        <v>0</v>
      </c>
      <c r="X29" s="97">
        <f ca="1">IFERROR(__xludf.DUMMYFUNCTION("IMPORTRANGE(""https://docs.google.com/spreadsheets/d/1v0b9pFQCsKUVExMei7AgY2yQkdeNQvtOssygGsXbiKo/edit?usp=sharing"",""อุตรดิตถ์!J167"")"),0)</f>
        <v>0</v>
      </c>
      <c r="Y29" s="98">
        <f t="shared" ca="1" si="30"/>
        <v>0</v>
      </c>
    </row>
    <row r="30" spans="1:25" ht="24" customHeight="1" x14ac:dyDescent="0.3">
      <c r="A30" s="100">
        <v>17</v>
      </c>
      <c r="B30" s="101" t="s">
        <v>56</v>
      </c>
      <c r="C30" s="182">
        <f t="shared" ca="1" si="18"/>
        <v>3000</v>
      </c>
      <c r="D30" s="183">
        <f t="shared" ca="1" si="31"/>
        <v>3000</v>
      </c>
      <c r="E30" s="184">
        <f ca="1">IFERROR(__xludf.DUMMYFUNCTION("IMPORTRANGE(""https://docs.google.com/spreadsheets/d/1-uDff_7J0KD5mKrp0Vvzr7lt3OU09vwQwhkpOPPYv2Y/edit?usp=sharing"",""งบพรบ!CB30"")"),0)</f>
        <v>0</v>
      </c>
      <c r="F30" s="184">
        <f ca="1">IFERROR(__xludf.DUMMYFUNCTION("IMPORTRANGE(""https://docs.google.com/spreadsheets/d/1-uDff_7J0KD5mKrp0Vvzr7lt3OU09vwQwhkpOPPYv2Y/edit?usp=sharing"",""งบพรบ!CC30"")"),3000)</f>
        <v>3000</v>
      </c>
      <c r="G30" s="184">
        <f ca="1">IFERROR(__xludf.DUMMYFUNCTION("IMPORTRANGE(""https://docs.google.com/spreadsheets/d/1-uDff_7J0KD5mKrp0Vvzr7lt3OU09vwQwhkpOPPYv2Y/edit?usp=sharing"",""งบพรบ!CD30"")"),0)</f>
        <v>0</v>
      </c>
      <c r="H30" s="184">
        <f ca="1">IFERROR(__xludf.DUMMYFUNCTION("IMPORTRANGE(""https://docs.google.com/spreadsheets/d/1-uDff_7J0KD5mKrp0Vvzr7lt3OU09vwQwhkpOPPYv2Y/edit?usp=sharing"",""งบพรบ!CF30"")"),0)</f>
        <v>0</v>
      </c>
      <c r="I30" s="184">
        <f ca="1">IFERROR(__xludf.DUMMYFUNCTION("IMPORTRANGE(""https://docs.google.com/spreadsheets/d/1-uDff_7J0KD5mKrp0Vvzr7lt3OU09vwQwhkpOPPYv2Y/edit?usp=sharing"",""งบพรบ!CG30"")"),0)</f>
        <v>0</v>
      </c>
      <c r="J30" s="184">
        <f t="shared" ca="1" si="20"/>
        <v>0</v>
      </c>
      <c r="K30" s="185">
        <f t="shared" ca="1" si="21"/>
        <v>0</v>
      </c>
      <c r="L30" s="184">
        <f ca="1">IFERROR(__xludf.DUMMYFUNCTION("IMPORTRANGE(""https://docs.google.com/spreadsheets/d/1-uDff_7J0KD5mKrp0Vvzr7lt3OU09vwQwhkpOPPYv2Y/edit?usp=sharing"",""งบพรบ!CH30"")"),0)</f>
        <v>0</v>
      </c>
      <c r="M30" s="109">
        <f t="shared" ca="1" si="22"/>
        <v>0</v>
      </c>
      <c r="N30" s="109">
        <f t="shared" ca="1" si="23"/>
        <v>0</v>
      </c>
      <c r="O30" s="108">
        <f ca="1">IFERROR(__xludf.DUMMYFUNCTION("IMPORTRANGE(""https://docs.google.com/spreadsheets/d/1-uDff_7J0KD5mKrp0Vvzr7lt3OU09vwQwhkpOPPYv2Y/edit?usp=sharing"",""งบพรบ!CI30"")"),0)</f>
        <v>0</v>
      </c>
      <c r="P30" s="108">
        <f t="shared" ca="1" si="24"/>
        <v>0</v>
      </c>
      <c r="Q30" s="109">
        <f t="shared" ca="1" si="25"/>
        <v>0</v>
      </c>
      <c r="R30" s="244">
        <f ca="1">IFERROR(__xludf.DUMMYFUNCTION("IMPORTRANGE(""https://docs.google.com/spreadsheets/d/1UsNK1e-WWiCo2PvGqdNfdme4m17_Ezd3J69EeeiQPD0/edit?usp=sharing"",""อุทัยธานี!Q157"")"),0)</f>
        <v>0</v>
      </c>
      <c r="S30" s="245">
        <f ca="1">IFERROR(__xludf.DUMMYFUNCTION("IMPORTRANGE(""https://docs.google.com/spreadsheets/d/1UsNK1e-WWiCo2PvGqdNfdme4m17_Ezd3J69EeeiQPD0/edit?usp=sharing"",""อุทัยธานี!R157"")"),0)</f>
        <v>0</v>
      </c>
      <c r="T30" s="245">
        <f ca="1">IFERROR(__xludf.DUMMYFUNCTION("IMPORTRANGE(""https://docs.google.com/spreadsheets/d/1UsNK1e-WWiCo2PvGqdNfdme4m17_Ezd3J69EeeiQPD0/edit?usp=sharing"",""อุทัยธานี!S157"")"),0)</f>
        <v>0</v>
      </c>
      <c r="U30" s="246">
        <f t="shared" ca="1" si="27"/>
        <v>0</v>
      </c>
      <c r="V30" s="246">
        <f t="shared" ca="1" si="28"/>
        <v>0</v>
      </c>
      <c r="W30" s="110">
        <f ca="1">IFERROR(__xludf.DUMMYFUNCTION("IMPORTRANGE(""https://docs.google.com/spreadsheets/d/1UsNK1e-WWiCo2PvGqdNfdme4m17_Ezd3J69EeeiQPD0/edit?usp=sharing"",""อุทัยธานี!I167"")"),10)</f>
        <v>10</v>
      </c>
      <c r="X30" s="110">
        <f ca="1">IFERROR(__xludf.DUMMYFUNCTION("IMPORTRANGE(""https://docs.google.com/spreadsheets/d/1UsNK1e-WWiCo2PvGqdNfdme4m17_Ezd3J69EeeiQPD0/edit?usp=sharing"",""อุทัยธานี!J167"")"),0)</f>
        <v>0</v>
      </c>
      <c r="Y30" s="111">
        <f t="shared" ca="1" si="30"/>
        <v>0</v>
      </c>
    </row>
    <row r="31" spans="1:25" ht="21" customHeight="1" x14ac:dyDescent="0.3">
      <c r="A31" s="625" t="s">
        <v>57</v>
      </c>
      <c r="B31" s="626"/>
      <c r="C31" s="161">
        <f t="shared" ca="1" si="18"/>
        <v>27000</v>
      </c>
      <c r="D31" s="161">
        <f t="shared" ref="D31:I31" ca="1" si="32">SUM(D32:D51)</f>
        <v>27000</v>
      </c>
      <c r="E31" s="161">
        <f t="shared" ca="1" si="32"/>
        <v>0</v>
      </c>
      <c r="F31" s="161">
        <f t="shared" ca="1" si="32"/>
        <v>27000</v>
      </c>
      <c r="G31" s="161">
        <f t="shared" ca="1" si="32"/>
        <v>0</v>
      </c>
      <c r="H31" s="161">
        <f t="shared" ca="1" si="32"/>
        <v>0</v>
      </c>
      <c r="I31" s="161">
        <f t="shared" ca="1" si="32"/>
        <v>0</v>
      </c>
      <c r="J31" s="161">
        <f t="shared" ca="1" si="20"/>
        <v>0</v>
      </c>
      <c r="K31" s="162">
        <f t="shared" ca="1" si="21"/>
        <v>0</v>
      </c>
      <c r="L31" s="161">
        <f ca="1">SUM(L32:L51)</f>
        <v>0</v>
      </c>
      <c r="M31" s="40">
        <f t="shared" ca="1" si="22"/>
        <v>0</v>
      </c>
      <c r="N31" s="40">
        <f t="shared" ca="1" si="23"/>
        <v>0</v>
      </c>
      <c r="O31" s="39">
        <f ca="1">SUM(O32:O51)</f>
        <v>0</v>
      </c>
      <c r="P31" s="39">
        <f t="shared" ca="1" si="24"/>
        <v>0</v>
      </c>
      <c r="Q31" s="40">
        <f t="shared" ca="1" si="25"/>
        <v>0</v>
      </c>
      <c r="R31" s="232">
        <f t="shared" ref="R31:T31" ca="1" si="33">SUM(R32:R51)</f>
        <v>0</v>
      </c>
      <c r="S31" s="233">
        <f t="shared" ca="1" si="33"/>
        <v>0</v>
      </c>
      <c r="T31" s="233">
        <f t="shared" ca="1" si="33"/>
        <v>0</v>
      </c>
      <c r="U31" s="234">
        <f t="shared" ca="1" si="27"/>
        <v>0</v>
      </c>
      <c r="V31" s="234">
        <f t="shared" ca="1" si="28"/>
        <v>0</v>
      </c>
      <c r="W31" s="71">
        <f t="shared" ref="W31:X31" ca="1" si="34">SUM(W32:W51)</f>
        <v>90</v>
      </c>
      <c r="X31" s="71">
        <f t="shared" ca="1" si="34"/>
        <v>0</v>
      </c>
      <c r="Y31" s="114">
        <f t="shared" ca="1" si="30"/>
        <v>0</v>
      </c>
    </row>
    <row r="32" spans="1:25" ht="21" customHeight="1" x14ac:dyDescent="0.3">
      <c r="A32" s="77">
        <v>1</v>
      </c>
      <c r="B32" s="78" t="s">
        <v>58</v>
      </c>
      <c r="C32" s="174">
        <f t="shared" ca="1" si="18"/>
        <v>3000</v>
      </c>
      <c r="D32" s="175">
        <f t="shared" ref="D32:D51" ca="1" si="35">+E32+F32</f>
        <v>3000</v>
      </c>
      <c r="E32" s="176">
        <f ca="1">IFERROR(__xludf.DUMMYFUNCTION("IMPORTRANGE(""https://docs.google.com/spreadsheets/d/1-uDff_7J0KD5mKrp0Vvzr7lt3OU09vwQwhkpOPPYv2Y/edit?usp=sharing"",""งบพรบ!CB32"")"),0)</f>
        <v>0</v>
      </c>
      <c r="F32" s="176">
        <f ca="1">IFERROR(__xludf.DUMMYFUNCTION("IMPORTRANGE(""https://docs.google.com/spreadsheets/d/1-uDff_7J0KD5mKrp0Vvzr7lt3OU09vwQwhkpOPPYv2Y/edit?usp=sharing"",""งบพรบ!CC32"")"),3000)</f>
        <v>3000</v>
      </c>
      <c r="G32" s="177">
        <f ca="1">IFERROR(__xludf.DUMMYFUNCTION("IMPORTRANGE(""https://docs.google.com/spreadsheets/d/1-uDff_7J0KD5mKrp0Vvzr7lt3OU09vwQwhkpOPPYv2Y/edit?usp=sharing"",""งบพรบ!CD32"")"),0)</f>
        <v>0</v>
      </c>
      <c r="H32" s="177">
        <f ca="1">IFERROR(__xludf.DUMMYFUNCTION("IMPORTRANGE(""https://docs.google.com/spreadsheets/d/1-uDff_7J0KD5mKrp0Vvzr7lt3OU09vwQwhkpOPPYv2Y/edit?usp=sharing"",""งบพรบ!CF32"")"),0)</f>
        <v>0</v>
      </c>
      <c r="I32" s="177">
        <f ca="1">IFERROR(__xludf.DUMMYFUNCTION("IMPORTRANGE(""https://docs.google.com/spreadsheets/d/1-uDff_7J0KD5mKrp0Vvzr7lt3OU09vwQwhkpOPPYv2Y/edit?usp=sharing"",""งบพรบ!CG32"")"),0)</f>
        <v>0</v>
      </c>
      <c r="J32" s="177">
        <f t="shared" ca="1" si="20"/>
        <v>0</v>
      </c>
      <c r="K32" s="178">
        <f t="shared" ca="1" si="21"/>
        <v>0</v>
      </c>
      <c r="L32" s="177">
        <f ca="1">IFERROR(__xludf.DUMMYFUNCTION("IMPORTRANGE(""https://docs.google.com/spreadsheets/d/1-uDff_7J0KD5mKrp0Vvzr7lt3OU09vwQwhkpOPPYv2Y/edit?usp=sharing"",""งบพรบ!CH32"")"),0)</f>
        <v>0</v>
      </c>
      <c r="M32" s="87">
        <f t="shared" ca="1" si="22"/>
        <v>0</v>
      </c>
      <c r="N32" s="87">
        <f t="shared" ca="1" si="23"/>
        <v>0</v>
      </c>
      <c r="O32" s="86">
        <f ca="1">IFERROR(__xludf.DUMMYFUNCTION("IMPORTRANGE(""https://docs.google.com/spreadsheets/d/1-uDff_7J0KD5mKrp0Vvzr7lt3OU09vwQwhkpOPPYv2Y/edit?usp=sharing"",""งบพรบ!CI32"")"),0)</f>
        <v>0</v>
      </c>
      <c r="P32" s="86">
        <f t="shared" ca="1" si="24"/>
        <v>0</v>
      </c>
      <c r="Q32" s="87">
        <f t="shared" ca="1" si="25"/>
        <v>0</v>
      </c>
      <c r="R32" s="241">
        <f ca="1">IFERROR(__xludf.DUMMYFUNCTION("IMPORTRANGE(""https://docs.google.com/spreadsheets/d/1yhBcrRPreicbMKl9Bu_Snb2-OcQAF62RKfhTLhJ2eAA/edit?usp=sharing"",""กาฬสินธุ์!Q157"")"),0)</f>
        <v>0</v>
      </c>
      <c r="S32" s="242">
        <f ca="1">IFERROR(__xludf.DUMMYFUNCTION("IMPORTRANGE(""https://docs.google.com/spreadsheets/d/1yhBcrRPreicbMKl9Bu_Snb2-OcQAF62RKfhTLhJ2eAA/edit?usp=sharing"",""กาฬสินธุ์!R157"")"),0)</f>
        <v>0</v>
      </c>
      <c r="T32" s="242">
        <f ca="1">IFERROR(__xludf.DUMMYFUNCTION("IMPORTRANGE(""https://docs.google.com/spreadsheets/d/1yhBcrRPreicbMKl9Bu_Snb2-OcQAF62RKfhTLhJ2eAA/edit?usp=sharing"",""กาฬสินธุ์!S157"")"),0)</f>
        <v>0</v>
      </c>
      <c r="U32" s="243">
        <f t="shared" ca="1" si="27"/>
        <v>0</v>
      </c>
      <c r="V32" s="243">
        <f t="shared" ca="1" si="28"/>
        <v>0</v>
      </c>
      <c r="W32" s="82">
        <f ca="1">IFERROR(__xludf.DUMMYFUNCTION("IMPORTRANGE(""https://docs.google.com/spreadsheets/d/1yhBcrRPreicbMKl9Bu_Snb2-OcQAF62RKfhTLhJ2eAA/edit?usp=sharing"",""กาฬสินธุ์!I167"")"),10)</f>
        <v>10</v>
      </c>
      <c r="X32" s="82">
        <f ca="1">IFERROR(__xludf.DUMMYFUNCTION("IMPORTRANGE(""https://docs.google.com/spreadsheets/d/1yhBcrRPreicbMKl9Bu_Snb2-OcQAF62RKfhTLhJ2eAA/edit?usp=sharing"",""กาฬสินธุ์!J167"")"),0)</f>
        <v>0</v>
      </c>
      <c r="Y32" s="88">
        <f t="shared" ca="1" si="30"/>
        <v>0</v>
      </c>
    </row>
    <row r="33" spans="1:25" ht="21" customHeight="1" x14ac:dyDescent="0.3">
      <c r="A33" s="89">
        <v>2</v>
      </c>
      <c r="B33" s="90" t="s">
        <v>59</v>
      </c>
      <c r="C33" s="174">
        <f t="shared" ca="1" si="18"/>
        <v>0</v>
      </c>
      <c r="D33" s="175">
        <f t="shared" ca="1" si="35"/>
        <v>0</v>
      </c>
      <c r="E33" s="176">
        <f ca="1">IFERROR(__xludf.DUMMYFUNCTION("IMPORTRANGE(""https://docs.google.com/spreadsheets/d/1-uDff_7J0KD5mKrp0Vvzr7lt3OU09vwQwhkpOPPYv2Y/edit?usp=sharing"",""งบพรบ!CB33"")"),0)</f>
        <v>0</v>
      </c>
      <c r="F33" s="176">
        <f ca="1">IFERROR(__xludf.DUMMYFUNCTION("IMPORTRANGE(""https://docs.google.com/spreadsheets/d/1-uDff_7J0KD5mKrp0Vvzr7lt3OU09vwQwhkpOPPYv2Y/edit?usp=sharing"",""งบพรบ!CC33"")"),0)</f>
        <v>0</v>
      </c>
      <c r="G33" s="176">
        <f ca="1">IFERROR(__xludf.DUMMYFUNCTION("IMPORTRANGE(""https://docs.google.com/spreadsheets/d/1-uDff_7J0KD5mKrp0Vvzr7lt3OU09vwQwhkpOPPYv2Y/edit?usp=sharing"",""งบพรบ!CD33"")"),0)</f>
        <v>0</v>
      </c>
      <c r="H33" s="176">
        <f ca="1">IFERROR(__xludf.DUMMYFUNCTION("IMPORTRANGE(""https://docs.google.com/spreadsheets/d/1-uDff_7J0KD5mKrp0Vvzr7lt3OU09vwQwhkpOPPYv2Y/edit?usp=sharing"",""งบพรบ!CF33"")"),0)</f>
        <v>0</v>
      </c>
      <c r="I33" s="176">
        <f ca="1">IFERROR(__xludf.DUMMYFUNCTION("IMPORTRANGE(""https://docs.google.com/spreadsheets/d/1-uDff_7J0KD5mKrp0Vvzr7lt3OU09vwQwhkpOPPYv2Y/edit?usp=sharing"",""งบพรบ!CG33"")"),0)</f>
        <v>0</v>
      </c>
      <c r="J33" s="176">
        <f t="shared" ca="1" si="20"/>
        <v>0</v>
      </c>
      <c r="K33" s="179">
        <f t="shared" ca="1" si="21"/>
        <v>0</v>
      </c>
      <c r="L33" s="176">
        <f ca="1">IFERROR(__xludf.DUMMYFUNCTION("IMPORTRANGE(""https://docs.google.com/spreadsheets/d/1-uDff_7J0KD5mKrp0Vvzr7lt3OU09vwQwhkpOPPYv2Y/edit?usp=sharing"",""งบพรบ!CH33"")"),0)</f>
        <v>0</v>
      </c>
      <c r="M33" s="87">
        <f t="shared" ca="1" si="22"/>
        <v>0</v>
      </c>
      <c r="N33" s="87">
        <f t="shared" ca="1" si="23"/>
        <v>0</v>
      </c>
      <c r="O33" s="86">
        <f ca="1">IFERROR(__xludf.DUMMYFUNCTION("IMPORTRANGE(""https://docs.google.com/spreadsheets/d/1-uDff_7J0KD5mKrp0Vvzr7lt3OU09vwQwhkpOPPYv2Y/edit?usp=sharing"",""งบพรบ!CI33"")"),0)</f>
        <v>0</v>
      </c>
      <c r="P33" s="86">
        <f t="shared" ca="1" si="24"/>
        <v>0</v>
      </c>
      <c r="Q33" s="87">
        <f t="shared" ca="1" si="25"/>
        <v>0</v>
      </c>
      <c r="R33" s="241">
        <f ca="1">IFERROR(__xludf.DUMMYFUNCTION("IMPORTRANGE(""https://docs.google.com/spreadsheets/d/1aHkj4IaQMThhwWwevcOymEh837vdxeC_PycurhTbGFA/edit?usp=sharing"",""ขอนแก่น!Q157"")"),0)</f>
        <v>0</v>
      </c>
      <c r="S33" s="242">
        <f ca="1">IFERROR(__xludf.DUMMYFUNCTION("IMPORTRANGE(""https://docs.google.com/spreadsheets/d/1aHkj4IaQMThhwWwevcOymEh837vdxeC_PycurhTbGFA/edit?usp=sharing"",""ขอนแก่น!R157"")"),0)</f>
        <v>0</v>
      </c>
      <c r="T33" s="242">
        <f ca="1">IFERROR(__xludf.DUMMYFUNCTION("IMPORTRANGE(""https://docs.google.com/spreadsheets/d/1aHkj4IaQMThhwWwevcOymEh837vdxeC_PycurhTbGFA/edit?usp=sharing"",""ขอนแก่น!S157"")"),0)</f>
        <v>0</v>
      </c>
      <c r="U33" s="243">
        <f t="shared" ca="1" si="27"/>
        <v>0</v>
      </c>
      <c r="V33" s="243">
        <f t="shared" ca="1" si="28"/>
        <v>0</v>
      </c>
      <c r="W33" s="97">
        <f ca="1">IFERROR(__xludf.DUMMYFUNCTION("IMPORTRANGE(""https://docs.google.com/spreadsheets/d/1aHkj4IaQMThhwWwevcOymEh837vdxeC_PycurhTbGFA/edit?usp=sharing"",""ขอนแก่น!I167"")"),0)</f>
        <v>0</v>
      </c>
      <c r="X33" s="97">
        <f ca="1">IFERROR(__xludf.DUMMYFUNCTION("IMPORTRANGE(""https://docs.google.com/spreadsheets/d/1aHkj4IaQMThhwWwevcOymEh837vdxeC_PycurhTbGFA/edit?usp=sharing"",""ขอนแก่น!J167"")"),0)</f>
        <v>0</v>
      </c>
      <c r="Y33" s="98">
        <f t="shared" ca="1" si="30"/>
        <v>0</v>
      </c>
    </row>
    <row r="34" spans="1:25" ht="21" customHeight="1" x14ac:dyDescent="0.3">
      <c r="A34" s="89">
        <v>3</v>
      </c>
      <c r="B34" s="90" t="s">
        <v>60</v>
      </c>
      <c r="C34" s="174">
        <f t="shared" ca="1" si="18"/>
        <v>0</v>
      </c>
      <c r="D34" s="175">
        <f t="shared" ca="1" si="35"/>
        <v>0</v>
      </c>
      <c r="E34" s="176">
        <f ca="1">IFERROR(__xludf.DUMMYFUNCTION("IMPORTRANGE(""https://docs.google.com/spreadsheets/d/1-uDff_7J0KD5mKrp0Vvzr7lt3OU09vwQwhkpOPPYv2Y/edit?usp=sharing"",""งบพรบ!CB34"")"),0)</f>
        <v>0</v>
      </c>
      <c r="F34" s="176">
        <f ca="1">IFERROR(__xludf.DUMMYFUNCTION("IMPORTRANGE(""https://docs.google.com/spreadsheets/d/1-uDff_7J0KD5mKrp0Vvzr7lt3OU09vwQwhkpOPPYv2Y/edit?usp=sharing"",""งบพรบ!CC34"")"),0)</f>
        <v>0</v>
      </c>
      <c r="G34" s="176">
        <f ca="1">IFERROR(__xludf.DUMMYFUNCTION("IMPORTRANGE(""https://docs.google.com/spreadsheets/d/1-uDff_7J0KD5mKrp0Vvzr7lt3OU09vwQwhkpOPPYv2Y/edit?usp=sharing"",""งบพรบ!CD34"")"),0)</f>
        <v>0</v>
      </c>
      <c r="H34" s="176">
        <f ca="1">IFERROR(__xludf.DUMMYFUNCTION("IMPORTRANGE(""https://docs.google.com/spreadsheets/d/1-uDff_7J0KD5mKrp0Vvzr7lt3OU09vwQwhkpOPPYv2Y/edit?usp=sharing"",""งบพรบ!CF34"")"),0)</f>
        <v>0</v>
      </c>
      <c r="I34" s="176">
        <f ca="1">IFERROR(__xludf.DUMMYFUNCTION("IMPORTRANGE(""https://docs.google.com/spreadsheets/d/1-uDff_7J0KD5mKrp0Vvzr7lt3OU09vwQwhkpOPPYv2Y/edit?usp=sharing"",""งบพรบ!CG34"")"),0)</f>
        <v>0</v>
      </c>
      <c r="J34" s="176">
        <f t="shared" ca="1" si="20"/>
        <v>0</v>
      </c>
      <c r="K34" s="179">
        <f t="shared" ca="1" si="21"/>
        <v>0</v>
      </c>
      <c r="L34" s="176">
        <f ca="1">IFERROR(__xludf.DUMMYFUNCTION("IMPORTRANGE(""https://docs.google.com/spreadsheets/d/1-uDff_7J0KD5mKrp0Vvzr7lt3OU09vwQwhkpOPPYv2Y/edit?usp=sharing"",""งบพรบ!CH34"")"),0)</f>
        <v>0</v>
      </c>
      <c r="M34" s="87">
        <f t="shared" ca="1" si="22"/>
        <v>0</v>
      </c>
      <c r="N34" s="87">
        <f t="shared" ca="1" si="23"/>
        <v>0</v>
      </c>
      <c r="O34" s="86">
        <f ca="1">IFERROR(__xludf.DUMMYFUNCTION("IMPORTRANGE(""https://docs.google.com/spreadsheets/d/1-uDff_7J0KD5mKrp0Vvzr7lt3OU09vwQwhkpOPPYv2Y/edit?usp=sharing"",""งบพรบ!CI34"")"),0)</f>
        <v>0</v>
      </c>
      <c r="P34" s="86">
        <f t="shared" ca="1" si="24"/>
        <v>0</v>
      </c>
      <c r="Q34" s="87">
        <f t="shared" ca="1" si="25"/>
        <v>0</v>
      </c>
      <c r="R34" s="241">
        <f ca="1">IFERROR(__xludf.DUMMYFUNCTION("IMPORTRANGE(""https://docs.google.com/spreadsheets/d/1FvTu2DsIWUjP6WCWra38Bkj_oOl_sOMf14r5Fg5srxU/edit?usp=sharing"",""ชัยภูมิ!Q157"")"),0)</f>
        <v>0</v>
      </c>
      <c r="S34" s="242">
        <f ca="1">IFERROR(__xludf.DUMMYFUNCTION("IMPORTRANGE(""https://docs.google.com/spreadsheets/d/1FvTu2DsIWUjP6WCWra38Bkj_oOl_sOMf14r5Fg5srxU/edit?usp=sharing"",""ชัยภูมิ!R157"")"),0)</f>
        <v>0</v>
      </c>
      <c r="T34" s="242">
        <f ca="1">IFERROR(__xludf.DUMMYFUNCTION("IMPORTRANGE(""https://docs.google.com/spreadsheets/d/1FvTu2DsIWUjP6WCWra38Bkj_oOl_sOMf14r5Fg5srxU/edit?usp=sharing"",""ชัยภูมิ!S157"")"),0)</f>
        <v>0</v>
      </c>
      <c r="U34" s="243">
        <f t="shared" ca="1" si="27"/>
        <v>0</v>
      </c>
      <c r="V34" s="243">
        <f t="shared" ca="1" si="28"/>
        <v>0</v>
      </c>
      <c r="W34" s="97">
        <f ca="1">IFERROR(__xludf.DUMMYFUNCTION("IMPORTRANGE(""https://docs.google.com/spreadsheets/d/1FvTu2DsIWUjP6WCWra38Bkj_oOl_sOMf14r5Fg5srxU/edit?usp=sharing"",""ชัยภูมิ!I167"")"),0)</f>
        <v>0</v>
      </c>
      <c r="X34" s="97">
        <f ca="1">IFERROR(__xludf.DUMMYFUNCTION("IMPORTRANGE(""https://docs.google.com/spreadsheets/d/1FvTu2DsIWUjP6WCWra38Bkj_oOl_sOMf14r5Fg5srxU/edit?usp=sharing"",""ชัยภูมิ!J167"")"),0)</f>
        <v>0</v>
      </c>
      <c r="Y34" s="98">
        <f t="shared" ca="1" si="30"/>
        <v>0</v>
      </c>
    </row>
    <row r="35" spans="1:25" ht="21" customHeight="1" x14ac:dyDescent="0.3">
      <c r="A35" s="89">
        <v>4</v>
      </c>
      <c r="B35" s="90" t="s">
        <v>61</v>
      </c>
      <c r="C35" s="174">
        <f t="shared" ca="1" si="18"/>
        <v>0</v>
      </c>
      <c r="D35" s="175">
        <f t="shared" ca="1" si="35"/>
        <v>0</v>
      </c>
      <c r="E35" s="176">
        <f ca="1">IFERROR(__xludf.DUMMYFUNCTION("IMPORTRANGE(""https://docs.google.com/spreadsheets/d/1-uDff_7J0KD5mKrp0Vvzr7lt3OU09vwQwhkpOPPYv2Y/edit?usp=sharing"",""งบพรบ!CB35"")"),0)</f>
        <v>0</v>
      </c>
      <c r="F35" s="176">
        <f ca="1">IFERROR(__xludf.DUMMYFUNCTION("IMPORTRANGE(""https://docs.google.com/spreadsheets/d/1-uDff_7J0KD5mKrp0Vvzr7lt3OU09vwQwhkpOPPYv2Y/edit?usp=sharing"",""งบพรบ!CC35"")"),0)</f>
        <v>0</v>
      </c>
      <c r="G35" s="176">
        <f ca="1">IFERROR(__xludf.DUMMYFUNCTION("IMPORTRANGE(""https://docs.google.com/spreadsheets/d/1-uDff_7J0KD5mKrp0Vvzr7lt3OU09vwQwhkpOPPYv2Y/edit?usp=sharing"",""งบพรบ!CD35"")"),0)</f>
        <v>0</v>
      </c>
      <c r="H35" s="176">
        <f ca="1">IFERROR(__xludf.DUMMYFUNCTION("IMPORTRANGE(""https://docs.google.com/spreadsheets/d/1-uDff_7J0KD5mKrp0Vvzr7lt3OU09vwQwhkpOPPYv2Y/edit?usp=sharing"",""งบพรบ!CF35"")"),0)</f>
        <v>0</v>
      </c>
      <c r="I35" s="176">
        <f ca="1">IFERROR(__xludf.DUMMYFUNCTION("IMPORTRANGE(""https://docs.google.com/spreadsheets/d/1-uDff_7J0KD5mKrp0Vvzr7lt3OU09vwQwhkpOPPYv2Y/edit?usp=sharing"",""งบพรบ!CG35"")"),0)</f>
        <v>0</v>
      </c>
      <c r="J35" s="176">
        <f t="shared" ca="1" si="20"/>
        <v>0</v>
      </c>
      <c r="K35" s="179">
        <f t="shared" ca="1" si="21"/>
        <v>0</v>
      </c>
      <c r="L35" s="176">
        <f ca="1">IFERROR(__xludf.DUMMYFUNCTION("IMPORTRANGE(""https://docs.google.com/spreadsheets/d/1-uDff_7J0KD5mKrp0Vvzr7lt3OU09vwQwhkpOPPYv2Y/edit?usp=sharing"",""งบพรบ!CH35"")"),0)</f>
        <v>0</v>
      </c>
      <c r="M35" s="87">
        <f t="shared" ca="1" si="22"/>
        <v>0</v>
      </c>
      <c r="N35" s="87">
        <f t="shared" ca="1" si="23"/>
        <v>0</v>
      </c>
      <c r="O35" s="86">
        <f ca="1">IFERROR(__xludf.DUMMYFUNCTION("IMPORTRANGE(""https://docs.google.com/spreadsheets/d/1-uDff_7J0KD5mKrp0Vvzr7lt3OU09vwQwhkpOPPYv2Y/edit?usp=sharing"",""งบพรบ!CI35"")"),0)</f>
        <v>0</v>
      </c>
      <c r="P35" s="86">
        <f t="shared" ca="1" si="24"/>
        <v>0</v>
      </c>
      <c r="Q35" s="87">
        <f t="shared" ca="1" si="25"/>
        <v>0</v>
      </c>
      <c r="R35" s="241">
        <f ca="1">IFERROR(__xludf.DUMMYFUNCTION("IMPORTRANGE(""https://docs.google.com/spreadsheets/d/1XVB7oCJ3pr-vBUdflwPQ8Z2LlzhnCvZaaYjAfP-647E/edit?usp=sharing"",""นครพนม!Q157"")"),0)</f>
        <v>0</v>
      </c>
      <c r="S35" s="242">
        <f ca="1">IFERROR(__xludf.DUMMYFUNCTION("IMPORTRANGE(""https://docs.google.com/spreadsheets/d/1XVB7oCJ3pr-vBUdflwPQ8Z2LlzhnCvZaaYjAfP-647E/edit?usp=sharing"",""นครพนม!R157"")"),0)</f>
        <v>0</v>
      </c>
      <c r="T35" s="242">
        <f ca="1">IFERROR(__xludf.DUMMYFUNCTION("IMPORTRANGE(""https://docs.google.com/spreadsheets/d/1XVB7oCJ3pr-vBUdflwPQ8Z2LlzhnCvZaaYjAfP-647E/edit?usp=sharing"",""นครพนม!S157"")"),0)</f>
        <v>0</v>
      </c>
      <c r="U35" s="243">
        <f t="shared" ca="1" si="27"/>
        <v>0</v>
      </c>
      <c r="V35" s="243">
        <f t="shared" ca="1" si="28"/>
        <v>0</v>
      </c>
      <c r="W35" s="97">
        <f ca="1">IFERROR(__xludf.DUMMYFUNCTION("IMPORTRANGE(""https://docs.google.com/spreadsheets/d/1XVB7oCJ3pr-vBUdflwPQ8Z2LlzhnCvZaaYjAfP-647E/edit?usp=sharing"",""นครพนม!I167"")"),0)</f>
        <v>0</v>
      </c>
      <c r="X35" s="97">
        <f ca="1">IFERROR(__xludf.DUMMYFUNCTION("IMPORTRANGE(""https://docs.google.com/spreadsheets/d/1XVB7oCJ3pr-vBUdflwPQ8Z2LlzhnCvZaaYjAfP-647E/edit?usp=sharing"",""นครพนม!J167"")"),0)</f>
        <v>0</v>
      </c>
      <c r="Y35" s="98">
        <f t="shared" ca="1" si="30"/>
        <v>0</v>
      </c>
    </row>
    <row r="36" spans="1:25" ht="21" customHeight="1" x14ac:dyDescent="0.3">
      <c r="A36" s="89">
        <v>5</v>
      </c>
      <c r="B36" s="90" t="s">
        <v>62</v>
      </c>
      <c r="C36" s="174">
        <f t="shared" ca="1" si="18"/>
        <v>3000</v>
      </c>
      <c r="D36" s="175">
        <f t="shared" ca="1" si="35"/>
        <v>3000</v>
      </c>
      <c r="E36" s="176">
        <f ca="1">IFERROR(__xludf.DUMMYFUNCTION("IMPORTRANGE(""https://docs.google.com/spreadsheets/d/1-uDff_7J0KD5mKrp0Vvzr7lt3OU09vwQwhkpOPPYv2Y/edit?usp=sharing"",""งบพรบ!CB36"")"),0)</f>
        <v>0</v>
      </c>
      <c r="F36" s="176">
        <f ca="1">IFERROR(__xludf.DUMMYFUNCTION("IMPORTRANGE(""https://docs.google.com/spreadsheets/d/1-uDff_7J0KD5mKrp0Vvzr7lt3OU09vwQwhkpOPPYv2Y/edit?usp=sharing"",""งบพรบ!CC36"")"),3000)</f>
        <v>3000</v>
      </c>
      <c r="G36" s="176">
        <f ca="1">IFERROR(__xludf.DUMMYFUNCTION("IMPORTRANGE(""https://docs.google.com/spreadsheets/d/1-uDff_7J0KD5mKrp0Vvzr7lt3OU09vwQwhkpOPPYv2Y/edit?usp=sharing"",""งบพรบ!CD36"")"),0)</f>
        <v>0</v>
      </c>
      <c r="H36" s="176">
        <f ca="1">IFERROR(__xludf.DUMMYFUNCTION("IMPORTRANGE(""https://docs.google.com/spreadsheets/d/1-uDff_7J0KD5mKrp0Vvzr7lt3OU09vwQwhkpOPPYv2Y/edit?usp=sharing"",""งบพรบ!CF36"")"),0)</f>
        <v>0</v>
      </c>
      <c r="I36" s="176">
        <f ca="1">IFERROR(__xludf.DUMMYFUNCTION("IMPORTRANGE(""https://docs.google.com/spreadsheets/d/1-uDff_7J0KD5mKrp0Vvzr7lt3OU09vwQwhkpOPPYv2Y/edit?usp=sharing"",""งบพรบ!CG36"")"),0)</f>
        <v>0</v>
      </c>
      <c r="J36" s="176">
        <f t="shared" ca="1" si="20"/>
        <v>0</v>
      </c>
      <c r="K36" s="179">
        <f t="shared" ca="1" si="21"/>
        <v>0</v>
      </c>
      <c r="L36" s="176">
        <f ca="1">IFERROR(__xludf.DUMMYFUNCTION("IMPORTRANGE(""https://docs.google.com/spreadsheets/d/1-uDff_7J0KD5mKrp0Vvzr7lt3OU09vwQwhkpOPPYv2Y/edit?usp=sharing"",""งบพรบ!CH36"")"),0)</f>
        <v>0</v>
      </c>
      <c r="M36" s="87">
        <f t="shared" ca="1" si="22"/>
        <v>0</v>
      </c>
      <c r="N36" s="87">
        <f t="shared" ca="1" si="23"/>
        <v>0</v>
      </c>
      <c r="O36" s="86">
        <f ca="1">IFERROR(__xludf.DUMMYFUNCTION("IMPORTRANGE(""https://docs.google.com/spreadsheets/d/1-uDff_7J0KD5mKrp0Vvzr7lt3OU09vwQwhkpOPPYv2Y/edit?usp=sharing"",""งบพรบ!CI36"")"),0)</f>
        <v>0</v>
      </c>
      <c r="P36" s="86">
        <f t="shared" ca="1" si="24"/>
        <v>0</v>
      </c>
      <c r="Q36" s="87">
        <f t="shared" ca="1" si="25"/>
        <v>0</v>
      </c>
      <c r="R36" s="241">
        <f ca="1">IFERROR(__xludf.DUMMYFUNCTION("IMPORTRANGE(""https://docs.google.com/spreadsheets/d/1Mnpb-8PYAgn85W6KOTD40hc_Xc55CaLfHoGAbrZ8tls/edit?usp=sharing"",""นครราชสีมา!Q157"")"),0)</f>
        <v>0</v>
      </c>
      <c r="S36" s="242">
        <f ca="1">IFERROR(__xludf.DUMMYFUNCTION("IMPORTRANGE(""https://docs.google.com/spreadsheets/d/1Mnpb-8PYAgn85W6KOTD40hc_Xc55CaLfHoGAbrZ8tls/edit?usp=sharing"",""นครราชสีมา!R157"")"),0)</f>
        <v>0</v>
      </c>
      <c r="T36" s="242">
        <f ca="1">IFERROR(__xludf.DUMMYFUNCTION("IMPORTRANGE(""https://docs.google.com/spreadsheets/d/1Mnpb-8PYAgn85W6KOTD40hc_Xc55CaLfHoGAbrZ8tls/edit?usp=sharing"",""นครราชสีมา!S157"")"),0)</f>
        <v>0</v>
      </c>
      <c r="U36" s="243">
        <f t="shared" ca="1" si="27"/>
        <v>0</v>
      </c>
      <c r="V36" s="243">
        <f t="shared" ca="1" si="28"/>
        <v>0</v>
      </c>
      <c r="W36" s="97">
        <f ca="1">IFERROR(__xludf.DUMMYFUNCTION("IMPORTRANGE(""https://docs.google.com/spreadsheets/d/1Mnpb-8PYAgn85W6KOTD40hc_Xc55CaLfHoGAbrZ8tls/edit?usp=sharing"",""นครราชสีมา!I167"")"),10)</f>
        <v>10</v>
      </c>
      <c r="X36" s="97">
        <f ca="1">IFERROR(__xludf.DUMMYFUNCTION("IMPORTRANGE(""https://docs.google.com/spreadsheets/d/1Mnpb-8PYAgn85W6KOTD40hc_Xc55CaLfHoGAbrZ8tls/edit?usp=sharing"",""นครราชสีมา!J167"")"),0)</f>
        <v>0</v>
      </c>
      <c r="Y36" s="98">
        <f t="shared" ca="1" si="30"/>
        <v>0</v>
      </c>
    </row>
    <row r="37" spans="1:25" ht="21" customHeight="1" x14ac:dyDescent="0.3">
      <c r="A37" s="89">
        <v>6</v>
      </c>
      <c r="B37" s="90" t="s">
        <v>63</v>
      </c>
      <c r="C37" s="174">
        <f t="shared" ca="1" si="18"/>
        <v>3000</v>
      </c>
      <c r="D37" s="175">
        <f t="shared" ca="1" si="35"/>
        <v>3000</v>
      </c>
      <c r="E37" s="176">
        <f ca="1">IFERROR(__xludf.DUMMYFUNCTION("IMPORTRANGE(""https://docs.google.com/spreadsheets/d/1-uDff_7J0KD5mKrp0Vvzr7lt3OU09vwQwhkpOPPYv2Y/edit?usp=sharing"",""งบพรบ!CB37"")"),0)</f>
        <v>0</v>
      </c>
      <c r="F37" s="176">
        <f ca="1">IFERROR(__xludf.DUMMYFUNCTION("IMPORTRANGE(""https://docs.google.com/spreadsheets/d/1-uDff_7J0KD5mKrp0Vvzr7lt3OU09vwQwhkpOPPYv2Y/edit?usp=sharing"",""งบพรบ!CC37"")"),3000)</f>
        <v>3000</v>
      </c>
      <c r="G37" s="176">
        <f ca="1">IFERROR(__xludf.DUMMYFUNCTION("IMPORTRANGE(""https://docs.google.com/spreadsheets/d/1-uDff_7J0KD5mKrp0Vvzr7lt3OU09vwQwhkpOPPYv2Y/edit?usp=sharing"",""งบพรบ!CD37"")"),0)</f>
        <v>0</v>
      </c>
      <c r="H37" s="176">
        <f ca="1">IFERROR(__xludf.DUMMYFUNCTION("IMPORTRANGE(""https://docs.google.com/spreadsheets/d/1-uDff_7J0KD5mKrp0Vvzr7lt3OU09vwQwhkpOPPYv2Y/edit?usp=sharing"",""งบพรบ!CF37"")"),0)</f>
        <v>0</v>
      </c>
      <c r="I37" s="176">
        <f ca="1">IFERROR(__xludf.DUMMYFUNCTION("IMPORTRANGE(""https://docs.google.com/spreadsheets/d/1-uDff_7J0KD5mKrp0Vvzr7lt3OU09vwQwhkpOPPYv2Y/edit?usp=sharing"",""งบพรบ!CG37"")"),0)</f>
        <v>0</v>
      </c>
      <c r="J37" s="176">
        <f t="shared" ca="1" si="20"/>
        <v>0</v>
      </c>
      <c r="K37" s="179">
        <f t="shared" ca="1" si="21"/>
        <v>0</v>
      </c>
      <c r="L37" s="176">
        <f ca="1">IFERROR(__xludf.DUMMYFUNCTION("IMPORTRANGE(""https://docs.google.com/spreadsheets/d/1-uDff_7J0KD5mKrp0Vvzr7lt3OU09vwQwhkpOPPYv2Y/edit?usp=sharing"",""งบพรบ!CH37"")"),0)</f>
        <v>0</v>
      </c>
      <c r="M37" s="87">
        <f t="shared" ca="1" si="22"/>
        <v>0</v>
      </c>
      <c r="N37" s="87">
        <f t="shared" ca="1" si="23"/>
        <v>0</v>
      </c>
      <c r="O37" s="86">
        <f ca="1">IFERROR(__xludf.DUMMYFUNCTION("IMPORTRANGE(""https://docs.google.com/spreadsheets/d/1-uDff_7J0KD5mKrp0Vvzr7lt3OU09vwQwhkpOPPYv2Y/edit?usp=sharing"",""งบพรบ!CI37"")"),0)</f>
        <v>0</v>
      </c>
      <c r="P37" s="86">
        <f t="shared" ca="1" si="24"/>
        <v>0</v>
      </c>
      <c r="Q37" s="87">
        <f t="shared" ca="1" si="25"/>
        <v>0</v>
      </c>
      <c r="R37" s="241">
        <f ca="1">IFERROR(__xludf.DUMMYFUNCTION("IMPORTRANGE(""https://docs.google.com/spreadsheets/d/1xoDLGBv9CYbyosIhki0kTq6IpYNj-gpjxfobnaDiut0/edit?usp=sharing"",""บึงกาฬ!Q157"")"),0)</f>
        <v>0</v>
      </c>
      <c r="S37" s="242">
        <f ca="1">IFERROR(__xludf.DUMMYFUNCTION("IMPORTRANGE(""https://docs.google.com/spreadsheets/d/1xoDLGBv9CYbyosIhki0kTq6IpYNj-gpjxfobnaDiut0/edit?usp=sharing"",""บึงกาฬ!R157"")"),0)</f>
        <v>0</v>
      </c>
      <c r="T37" s="242">
        <f ca="1">IFERROR(__xludf.DUMMYFUNCTION("IMPORTRANGE(""https://docs.google.com/spreadsheets/d/1xoDLGBv9CYbyosIhki0kTq6IpYNj-gpjxfobnaDiut0/edit?usp=sharing"",""บึงกาฬ!S157"")"),0)</f>
        <v>0</v>
      </c>
      <c r="U37" s="243">
        <f t="shared" ca="1" si="27"/>
        <v>0</v>
      </c>
      <c r="V37" s="243">
        <f t="shared" ca="1" si="28"/>
        <v>0</v>
      </c>
      <c r="W37" s="97">
        <f ca="1">IFERROR(__xludf.DUMMYFUNCTION("IMPORTRANGE(""https://docs.google.com/spreadsheets/d/1xoDLGBv9CYbyosIhki0kTq6IpYNj-gpjxfobnaDiut0/edit?usp=sharing"",""บึงกาฬ!I167"")"),10)</f>
        <v>10</v>
      </c>
      <c r="X37" s="97">
        <f ca="1">IFERROR(__xludf.DUMMYFUNCTION("IMPORTRANGE(""https://docs.google.com/spreadsheets/d/1xoDLGBv9CYbyosIhki0kTq6IpYNj-gpjxfobnaDiut0/edit?usp=sharing"",""บึงกาฬ!J167"")"),0)</f>
        <v>0</v>
      </c>
      <c r="Y37" s="98">
        <f t="shared" ca="1" si="30"/>
        <v>0</v>
      </c>
    </row>
    <row r="38" spans="1:25" ht="21" customHeight="1" x14ac:dyDescent="0.3">
      <c r="A38" s="89">
        <v>7</v>
      </c>
      <c r="B38" s="90" t="s">
        <v>64</v>
      </c>
      <c r="C38" s="174">
        <f t="shared" ca="1" si="18"/>
        <v>6000</v>
      </c>
      <c r="D38" s="175">
        <f t="shared" ca="1" si="35"/>
        <v>6000</v>
      </c>
      <c r="E38" s="176">
        <f ca="1">IFERROR(__xludf.DUMMYFUNCTION("IMPORTRANGE(""https://docs.google.com/spreadsheets/d/1-uDff_7J0KD5mKrp0Vvzr7lt3OU09vwQwhkpOPPYv2Y/edit?usp=sharing"",""งบพรบ!CB38"")"),0)</f>
        <v>0</v>
      </c>
      <c r="F38" s="176">
        <f ca="1">IFERROR(__xludf.DUMMYFUNCTION("IMPORTRANGE(""https://docs.google.com/spreadsheets/d/1-uDff_7J0KD5mKrp0Vvzr7lt3OU09vwQwhkpOPPYv2Y/edit?usp=sharing"",""งบพรบ!CC38"")"),6000)</f>
        <v>6000</v>
      </c>
      <c r="G38" s="176">
        <f ca="1">IFERROR(__xludf.DUMMYFUNCTION("IMPORTRANGE(""https://docs.google.com/spreadsheets/d/1-uDff_7J0KD5mKrp0Vvzr7lt3OU09vwQwhkpOPPYv2Y/edit?usp=sharing"",""งบพรบ!CD38"")"),0)</f>
        <v>0</v>
      </c>
      <c r="H38" s="176">
        <f ca="1">IFERROR(__xludf.DUMMYFUNCTION("IMPORTRANGE(""https://docs.google.com/spreadsheets/d/1-uDff_7J0KD5mKrp0Vvzr7lt3OU09vwQwhkpOPPYv2Y/edit?usp=sharing"",""งบพรบ!CF38"")"),0)</f>
        <v>0</v>
      </c>
      <c r="I38" s="176">
        <f ca="1">IFERROR(__xludf.DUMMYFUNCTION("IMPORTRANGE(""https://docs.google.com/spreadsheets/d/1-uDff_7J0KD5mKrp0Vvzr7lt3OU09vwQwhkpOPPYv2Y/edit?usp=sharing"",""งบพรบ!CG38"")"),0)</f>
        <v>0</v>
      </c>
      <c r="J38" s="176">
        <f t="shared" ca="1" si="20"/>
        <v>0</v>
      </c>
      <c r="K38" s="179">
        <f t="shared" ca="1" si="21"/>
        <v>0</v>
      </c>
      <c r="L38" s="176">
        <f ca="1">IFERROR(__xludf.DUMMYFUNCTION("IMPORTRANGE(""https://docs.google.com/spreadsheets/d/1-uDff_7J0KD5mKrp0Vvzr7lt3OU09vwQwhkpOPPYv2Y/edit?usp=sharing"",""งบพรบ!CH38"")"),0)</f>
        <v>0</v>
      </c>
      <c r="M38" s="87">
        <f t="shared" ca="1" si="22"/>
        <v>0</v>
      </c>
      <c r="N38" s="87">
        <f t="shared" ca="1" si="23"/>
        <v>0</v>
      </c>
      <c r="O38" s="86">
        <f ca="1">IFERROR(__xludf.DUMMYFUNCTION("IMPORTRANGE(""https://docs.google.com/spreadsheets/d/1-uDff_7J0KD5mKrp0Vvzr7lt3OU09vwQwhkpOPPYv2Y/edit?usp=sharing"",""งบพรบ!CI38"")"),0)</f>
        <v>0</v>
      </c>
      <c r="P38" s="86">
        <f t="shared" ca="1" si="24"/>
        <v>0</v>
      </c>
      <c r="Q38" s="87">
        <f t="shared" ca="1" si="25"/>
        <v>0</v>
      </c>
      <c r="R38" s="241">
        <f ca="1">IFERROR(__xludf.DUMMYFUNCTION("IMPORTRANGE(""https://docs.google.com/spreadsheets/d/1MMPq-JyI6DSgQETxuSiXkesP-P7JHuemnE6QJIa-Nlw/edit?usp=sharing"",""บุรีรัมย์!Q157"")"),0)</f>
        <v>0</v>
      </c>
      <c r="S38" s="242">
        <f ca="1">IFERROR(__xludf.DUMMYFUNCTION("IMPORTRANGE(""https://docs.google.com/spreadsheets/d/1MMPq-JyI6DSgQETxuSiXkesP-P7JHuemnE6QJIa-Nlw/edit?usp=sharing"",""บุรีรัมย์!R157"")"),0)</f>
        <v>0</v>
      </c>
      <c r="T38" s="242">
        <f ca="1">IFERROR(__xludf.DUMMYFUNCTION("IMPORTRANGE(""https://docs.google.com/spreadsheets/d/1MMPq-JyI6DSgQETxuSiXkesP-P7JHuemnE6QJIa-Nlw/edit?usp=sharing"",""บุรีรัมย์!S157"")"),0)</f>
        <v>0</v>
      </c>
      <c r="U38" s="243">
        <f t="shared" ca="1" si="27"/>
        <v>0</v>
      </c>
      <c r="V38" s="243">
        <f t="shared" ca="1" si="28"/>
        <v>0</v>
      </c>
      <c r="W38" s="97">
        <f ca="1">IFERROR(__xludf.DUMMYFUNCTION("IMPORTRANGE(""https://docs.google.com/spreadsheets/d/1MMPq-JyI6DSgQETxuSiXkesP-P7JHuemnE6QJIa-Nlw/edit?usp=sharing"",""บุรีรัมย์!I167"")"),20)</f>
        <v>20</v>
      </c>
      <c r="X38" s="97">
        <f ca="1">IFERROR(__xludf.DUMMYFUNCTION("IMPORTRANGE(""https://docs.google.com/spreadsheets/d/1MMPq-JyI6DSgQETxuSiXkesP-P7JHuemnE6QJIa-Nlw/edit?usp=sharing"",""บุรีรัมย์!J167"")"),0)</f>
        <v>0</v>
      </c>
      <c r="Y38" s="98">
        <f t="shared" ca="1" si="30"/>
        <v>0</v>
      </c>
    </row>
    <row r="39" spans="1:25" ht="21" customHeight="1" x14ac:dyDescent="0.3">
      <c r="A39" s="89">
        <v>8</v>
      </c>
      <c r="B39" s="90" t="s">
        <v>65</v>
      </c>
      <c r="C39" s="174">
        <f t="shared" ca="1" si="18"/>
        <v>0</v>
      </c>
      <c r="D39" s="175">
        <f t="shared" ca="1" si="35"/>
        <v>0</v>
      </c>
      <c r="E39" s="176">
        <f ca="1">IFERROR(__xludf.DUMMYFUNCTION("IMPORTRANGE(""https://docs.google.com/spreadsheets/d/1-uDff_7J0KD5mKrp0Vvzr7lt3OU09vwQwhkpOPPYv2Y/edit?usp=sharing"",""งบพรบ!CB39"")"),0)</f>
        <v>0</v>
      </c>
      <c r="F39" s="176">
        <f ca="1">IFERROR(__xludf.DUMMYFUNCTION("IMPORTRANGE(""https://docs.google.com/spreadsheets/d/1-uDff_7J0KD5mKrp0Vvzr7lt3OU09vwQwhkpOPPYv2Y/edit?usp=sharing"",""งบพรบ!CC39"")"),0)</f>
        <v>0</v>
      </c>
      <c r="G39" s="176">
        <f ca="1">IFERROR(__xludf.DUMMYFUNCTION("IMPORTRANGE(""https://docs.google.com/spreadsheets/d/1-uDff_7J0KD5mKrp0Vvzr7lt3OU09vwQwhkpOPPYv2Y/edit?usp=sharing"",""งบพรบ!CD39"")"),0)</f>
        <v>0</v>
      </c>
      <c r="H39" s="176">
        <f ca="1">IFERROR(__xludf.DUMMYFUNCTION("IMPORTRANGE(""https://docs.google.com/spreadsheets/d/1-uDff_7J0KD5mKrp0Vvzr7lt3OU09vwQwhkpOPPYv2Y/edit?usp=sharing"",""งบพรบ!CF39"")"),0)</f>
        <v>0</v>
      </c>
      <c r="I39" s="176">
        <f ca="1">IFERROR(__xludf.DUMMYFUNCTION("IMPORTRANGE(""https://docs.google.com/spreadsheets/d/1-uDff_7J0KD5mKrp0Vvzr7lt3OU09vwQwhkpOPPYv2Y/edit?usp=sharing"",""งบพรบ!CG39"")"),0)</f>
        <v>0</v>
      </c>
      <c r="J39" s="176">
        <f t="shared" ca="1" si="20"/>
        <v>0</v>
      </c>
      <c r="K39" s="179">
        <f t="shared" ca="1" si="21"/>
        <v>0</v>
      </c>
      <c r="L39" s="176">
        <f ca="1">IFERROR(__xludf.DUMMYFUNCTION("IMPORTRANGE(""https://docs.google.com/spreadsheets/d/1-uDff_7J0KD5mKrp0Vvzr7lt3OU09vwQwhkpOPPYv2Y/edit?usp=sharing"",""งบพรบ!CH39"")"),0)</f>
        <v>0</v>
      </c>
      <c r="M39" s="87">
        <f t="shared" ca="1" si="22"/>
        <v>0</v>
      </c>
      <c r="N39" s="87">
        <f t="shared" ca="1" si="23"/>
        <v>0</v>
      </c>
      <c r="O39" s="86">
        <f ca="1">IFERROR(__xludf.DUMMYFUNCTION("IMPORTRANGE(""https://docs.google.com/spreadsheets/d/1-uDff_7J0KD5mKrp0Vvzr7lt3OU09vwQwhkpOPPYv2Y/edit?usp=sharing"",""งบพรบ!CI39"")"),0)</f>
        <v>0</v>
      </c>
      <c r="P39" s="86">
        <f t="shared" ca="1" si="24"/>
        <v>0</v>
      </c>
      <c r="Q39" s="87">
        <f t="shared" ca="1" si="25"/>
        <v>0</v>
      </c>
      <c r="R39" s="241">
        <f ca="1">IFERROR(__xludf.DUMMYFUNCTION("IMPORTRANGE(""https://docs.google.com/spreadsheets/d/1l6IZ8xUPgMrESzcTYwhA1k_tPjeQjJPTqlm8Gd9eU5g/edit?usp=sharing"",""มหาสารคาม!Q157"")"),0)</f>
        <v>0</v>
      </c>
      <c r="S39" s="242">
        <f ca="1">IFERROR(__xludf.DUMMYFUNCTION("IMPORTRANGE(""https://docs.google.com/spreadsheets/d/1l6IZ8xUPgMrESzcTYwhA1k_tPjeQjJPTqlm8Gd9eU5g/edit?usp=sharing"",""มหาสารคาม!R157"")"),0)</f>
        <v>0</v>
      </c>
      <c r="T39" s="242">
        <f ca="1">IFERROR(__xludf.DUMMYFUNCTION("IMPORTRANGE(""https://docs.google.com/spreadsheets/d/1l6IZ8xUPgMrESzcTYwhA1k_tPjeQjJPTqlm8Gd9eU5g/edit?usp=sharing"",""มหาสารคาม!S157"")"),0)</f>
        <v>0</v>
      </c>
      <c r="U39" s="243">
        <f t="shared" ca="1" si="27"/>
        <v>0</v>
      </c>
      <c r="V39" s="243">
        <f t="shared" ca="1" si="28"/>
        <v>0</v>
      </c>
      <c r="W39" s="97">
        <f ca="1">IFERROR(__xludf.DUMMYFUNCTION("IMPORTRANGE(""https://docs.google.com/spreadsheets/d/1l6IZ8xUPgMrESzcTYwhA1k_tPjeQjJPTqlm8Gd9eU5g/edit?usp=sharing"",""มหาสารคาม!I167"")"),0)</f>
        <v>0</v>
      </c>
      <c r="X39" s="97">
        <f ca="1">IFERROR(__xludf.DUMMYFUNCTION("IMPORTRANGE(""https://docs.google.com/spreadsheets/d/1l6IZ8xUPgMrESzcTYwhA1k_tPjeQjJPTqlm8Gd9eU5g/edit?usp=sharing"",""มหาสารคาม!J167"")"),0)</f>
        <v>0</v>
      </c>
      <c r="Y39" s="98">
        <f t="shared" ca="1" si="30"/>
        <v>0</v>
      </c>
    </row>
    <row r="40" spans="1:25" ht="21" customHeight="1" x14ac:dyDescent="0.3">
      <c r="A40" s="89">
        <v>9</v>
      </c>
      <c r="B40" s="90" t="s">
        <v>66</v>
      </c>
      <c r="C40" s="174">
        <f t="shared" ca="1" si="18"/>
        <v>0</v>
      </c>
      <c r="D40" s="175">
        <f t="shared" ca="1" si="35"/>
        <v>0</v>
      </c>
      <c r="E40" s="176">
        <f ca="1">IFERROR(__xludf.DUMMYFUNCTION("IMPORTRANGE(""https://docs.google.com/spreadsheets/d/1-uDff_7J0KD5mKrp0Vvzr7lt3OU09vwQwhkpOPPYv2Y/edit?usp=sharing"",""งบพรบ!CB40"")"),0)</f>
        <v>0</v>
      </c>
      <c r="F40" s="176">
        <f ca="1">IFERROR(__xludf.DUMMYFUNCTION("IMPORTRANGE(""https://docs.google.com/spreadsheets/d/1-uDff_7J0KD5mKrp0Vvzr7lt3OU09vwQwhkpOPPYv2Y/edit?usp=sharing"",""งบพรบ!CC40"")"),0)</f>
        <v>0</v>
      </c>
      <c r="G40" s="176">
        <f ca="1">IFERROR(__xludf.DUMMYFUNCTION("IMPORTRANGE(""https://docs.google.com/spreadsheets/d/1-uDff_7J0KD5mKrp0Vvzr7lt3OU09vwQwhkpOPPYv2Y/edit?usp=sharing"",""งบพรบ!CD40"")"),0)</f>
        <v>0</v>
      </c>
      <c r="H40" s="176">
        <f ca="1">IFERROR(__xludf.DUMMYFUNCTION("IMPORTRANGE(""https://docs.google.com/spreadsheets/d/1-uDff_7J0KD5mKrp0Vvzr7lt3OU09vwQwhkpOPPYv2Y/edit?usp=sharing"",""งบพรบ!CF40"")"),0)</f>
        <v>0</v>
      </c>
      <c r="I40" s="176">
        <f ca="1">IFERROR(__xludf.DUMMYFUNCTION("IMPORTRANGE(""https://docs.google.com/spreadsheets/d/1-uDff_7J0KD5mKrp0Vvzr7lt3OU09vwQwhkpOPPYv2Y/edit?usp=sharing"",""งบพรบ!CG40"")"),0)</f>
        <v>0</v>
      </c>
      <c r="J40" s="176">
        <f t="shared" ca="1" si="20"/>
        <v>0</v>
      </c>
      <c r="K40" s="179">
        <f t="shared" ca="1" si="21"/>
        <v>0</v>
      </c>
      <c r="L40" s="176">
        <f ca="1">IFERROR(__xludf.DUMMYFUNCTION("IMPORTRANGE(""https://docs.google.com/spreadsheets/d/1-uDff_7J0KD5mKrp0Vvzr7lt3OU09vwQwhkpOPPYv2Y/edit?usp=sharing"",""งบพรบ!CH40"")"),0)</f>
        <v>0</v>
      </c>
      <c r="M40" s="87">
        <f t="shared" ca="1" si="22"/>
        <v>0</v>
      </c>
      <c r="N40" s="87">
        <f t="shared" ca="1" si="23"/>
        <v>0</v>
      </c>
      <c r="O40" s="86">
        <f ca="1">IFERROR(__xludf.DUMMYFUNCTION("IMPORTRANGE(""https://docs.google.com/spreadsheets/d/1-uDff_7J0KD5mKrp0Vvzr7lt3OU09vwQwhkpOPPYv2Y/edit?usp=sharing"",""งบพรบ!CI40"")"),0)</f>
        <v>0</v>
      </c>
      <c r="P40" s="86">
        <f t="shared" ca="1" si="24"/>
        <v>0</v>
      </c>
      <c r="Q40" s="87">
        <f t="shared" ca="1" si="25"/>
        <v>0</v>
      </c>
      <c r="R40" s="241">
        <f ca="1">IFERROR(__xludf.DUMMYFUNCTION("IMPORTRANGE(""https://docs.google.com/spreadsheets/d/1uB74YLqNjWX6FObjekfB2NtSYigTQyR2rq9u4Ub2Sq4/edit?usp=sharing"",""มุกดาหาร!Q157"")"),0)</f>
        <v>0</v>
      </c>
      <c r="S40" s="242">
        <f ca="1">IFERROR(__xludf.DUMMYFUNCTION("IMPORTRANGE(""https://docs.google.com/spreadsheets/d/1uB74YLqNjWX6FObjekfB2NtSYigTQyR2rq9u4Ub2Sq4/edit?usp=sharing"",""มุกดาหาร!R157"")"),0)</f>
        <v>0</v>
      </c>
      <c r="T40" s="242">
        <f ca="1">IFERROR(__xludf.DUMMYFUNCTION("IMPORTRANGE(""https://docs.google.com/spreadsheets/d/1uB74YLqNjWX6FObjekfB2NtSYigTQyR2rq9u4Ub2Sq4/edit?usp=sharing"",""มุกดาหาร!S157"")"),0)</f>
        <v>0</v>
      </c>
      <c r="U40" s="243">
        <f t="shared" ca="1" si="27"/>
        <v>0</v>
      </c>
      <c r="V40" s="243">
        <f t="shared" ca="1" si="28"/>
        <v>0</v>
      </c>
      <c r="W40" s="97">
        <f ca="1">IFERROR(__xludf.DUMMYFUNCTION("IMPORTRANGE(""https://docs.google.com/spreadsheets/d/1uB74YLqNjWX6FObjekfB2NtSYigTQyR2rq9u4Ub2Sq4/edit?usp=sharing"",""มุกดาหาร!I167"")"),0)</f>
        <v>0</v>
      </c>
      <c r="X40" s="97">
        <f ca="1">IFERROR(__xludf.DUMMYFUNCTION("IMPORTRANGE(""https://docs.google.com/spreadsheets/d/1uB74YLqNjWX6FObjekfB2NtSYigTQyR2rq9u4Ub2Sq4/edit?usp=sharing"",""มุกดาหาร!J167"")"),0)</f>
        <v>0</v>
      </c>
      <c r="Y40" s="98">
        <f t="shared" ca="1" si="30"/>
        <v>0</v>
      </c>
    </row>
    <row r="41" spans="1:25" ht="21" customHeight="1" x14ac:dyDescent="0.3">
      <c r="A41" s="89">
        <v>10</v>
      </c>
      <c r="B41" s="90" t="s">
        <v>67</v>
      </c>
      <c r="C41" s="174">
        <f t="shared" ca="1" si="18"/>
        <v>0</v>
      </c>
      <c r="D41" s="175">
        <f t="shared" ca="1" si="35"/>
        <v>0</v>
      </c>
      <c r="E41" s="176">
        <f ca="1">IFERROR(__xludf.DUMMYFUNCTION("IMPORTRANGE(""https://docs.google.com/spreadsheets/d/1-uDff_7J0KD5mKrp0Vvzr7lt3OU09vwQwhkpOPPYv2Y/edit?usp=sharing"",""งบพรบ!CB41"")"),0)</f>
        <v>0</v>
      </c>
      <c r="F41" s="176">
        <f ca="1">IFERROR(__xludf.DUMMYFUNCTION("IMPORTRANGE(""https://docs.google.com/spreadsheets/d/1-uDff_7J0KD5mKrp0Vvzr7lt3OU09vwQwhkpOPPYv2Y/edit?usp=sharing"",""งบพรบ!CC41"")"),0)</f>
        <v>0</v>
      </c>
      <c r="G41" s="176">
        <f ca="1">IFERROR(__xludf.DUMMYFUNCTION("IMPORTRANGE(""https://docs.google.com/spreadsheets/d/1-uDff_7J0KD5mKrp0Vvzr7lt3OU09vwQwhkpOPPYv2Y/edit?usp=sharing"",""งบพรบ!CD41"")"),0)</f>
        <v>0</v>
      </c>
      <c r="H41" s="176">
        <f ca="1">IFERROR(__xludf.DUMMYFUNCTION("IMPORTRANGE(""https://docs.google.com/spreadsheets/d/1-uDff_7J0KD5mKrp0Vvzr7lt3OU09vwQwhkpOPPYv2Y/edit?usp=sharing"",""งบพรบ!CF41"")"),0)</f>
        <v>0</v>
      </c>
      <c r="I41" s="176">
        <f ca="1">IFERROR(__xludf.DUMMYFUNCTION("IMPORTRANGE(""https://docs.google.com/spreadsheets/d/1-uDff_7J0KD5mKrp0Vvzr7lt3OU09vwQwhkpOPPYv2Y/edit?usp=sharing"",""งบพรบ!CG41"")"),0)</f>
        <v>0</v>
      </c>
      <c r="J41" s="176">
        <f t="shared" ca="1" si="20"/>
        <v>0</v>
      </c>
      <c r="K41" s="179">
        <f t="shared" ca="1" si="21"/>
        <v>0</v>
      </c>
      <c r="L41" s="176">
        <f ca="1">IFERROR(__xludf.DUMMYFUNCTION("IMPORTRANGE(""https://docs.google.com/spreadsheets/d/1-uDff_7J0KD5mKrp0Vvzr7lt3OU09vwQwhkpOPPYv2Y/edit?usp=sharing"",""งบพรบ!CH41"")"),0)</f>
        <v>0</v>
      </c>
      <c r="M41" s="87">
        <f t="shared" ca="1" si="22"/>
        <v>0</v>
      </c>
      <c r="N41" s="87">
        <f t="shared" ca="1" si="23"/>
        <v>0</v>
      </c>
      <c r="O41" s="86">
        <f ca="1">IFERROR(__xludf.DUMMYFUNCTION("IMPORTRANGE(""https://docs.google.com/spreadsheets/d/1-uDff_7J0KD5mKrp0Vvzr7lt3OU09vwQwhkpOPPYv2Y/edit?usp=sharing"",""งบพรบ!CI41"")"),0)</f>
        <v>0</v>
      </c>
      <c r="P41" s="86">
        <f t="shared" ca="1" si="24"/>
        <v>0</v>
      </c>
      <c r="Q41" s="87">
        <f t="shared" ca="1" si="25"/>
        <v>0</v>
      </c>
      <c r="R41" s="241">
        <f ca="1">IFERROR(__xludf.DUMMYFUNCTION("IMPORTRANGE(""https://docs.google.com/spreadsheets/d/1NexK3geCPxCTO1fzNF8dPec7yZyUx3OaWkFBC9HsQOo/edit?usp=sharing"",""ยโสธร!Q157"")"),0)</f>
        <v>0</v>
      </c>
      <c r="S41" s="242">
        <f ca="1">IFERROR(__xludf.DUMMYFUNCTION("IMPORTRANGE(""https://docs.google.com/spreadsheets/d/1NexK3geCPxCTO1fzNF8dPec7yZyUx3OaWkFBC9HsQOo/edit?usp=sharing"",""ยโสธร!R157"")"),0)</f>
        <v>0</v>
      </c>
      <c r="T41" s="242">
        <f ca="1">IFERROR(__xludf.DUMMYFUNCTION("IMPORTRANGE(""https://docs.google.com/spreadsheets/d/1NexK3geCPxCTO1fzNF8dPec7yZyUx3OaWkFBC9HsQOo/edit?usp=sharing"",""ยโสธร!S157"")"),0)</f>
        <v>0</v>
      </c>
      <c r="U41" s="243">
        <f t="shared" ca="1" si="27"/>
        <v>0</v>
      </c>
      <c r="V41" s="243">
        <f t="shared" ca="1" si="28"/>
        <v>0</v>
      </c>
      <c r="W41" s="97">
        <f ca="1">IFERROR(__xludf.DUMMYFUNCTION("IMPORTRANGE(""https://docs.google.com/spreadsheets/d/1NexK3geCPxCTO1fzNF8dPec7yZyUx3OaWkFBC9HsQOo/edit?usp=sharing"",""ยโสธร!I167"")"),0)</f>
        <v>0</v>
      </c>
      <c r="X41" s="97">
        <f ca="1">IFERROR(__xludf.DUMMYFUNCTION("IMPORTRANGE(""https://docs.google.com/spreadsheets/d/1NexK3geCPxCTO1fzNF8dPec7yZyUx3OaWkFBC9HsQOo/edit?usp=sharing"",""ยโสธร!J167"")"),0)</f>
        <v>0</v>
      </c>
      <c r="Y41" s="98">
        <f t="shared" ca="1" si="30"/>
        <v>0</v>
      </c>
    </row>
    <row r="42" spans="1:25" ht="21" customHeight="1" x14ac:dyDescent="0.3">
      <c r="A42" s="89">
        <v>11</v>
      </c>
      <c r="B42" s="90" t="s">
        <v>68</v>
      </c>
      <c r="C42" s="174">
        <f t="shared" ca="1" si="18"/>
        <v>4500</v>
      </c>
      <c r="D42" s="175">
        <f t="shared" ca="1" si="35"/>
        <v>4500</v>
      </c>
      <c r="E42" s="176">
        <f ca="1">IFERROR(__xludf.DUMMYFUNCTION("IMPORTRANGE(""https://docs.google.com/spreadsheets/d/1-uDff_7J0KD5mKrp0Vvzr7lt3OU09vwQwhkpOPPYv2Y/edit?usp=sharing"",""งบพรบ!CB42"")"),0)</f>
        <v>0</v>
      </c>
      <c r="F42" s="176">
        <f ca="1">IFERROR(__xludf.DUMMYFUNCTION("IMPORTRANGE(""https://docs.google.com/spreadsheets/d/1-uDff_7J0KD5mKrp0Vvzr7lt3OU09vwQwhkpOPPYv2Y/edit?usp=sharing"",""งบพรบ!CC42"")"),4500)</f>
        <v>4500</v>
      </c>
      <c r="G42" s="176">
        <f ca="1">IFERROR(__xludf.DUMMYFUNCTION("IMPORTRANGE(""https://docs.google.com/spreadsheets/d/1-uDff_7J0KD5mKrp0Vvzr7lt3OU09vwQwhkpOPPYv2Y/edit?usp=sharing"",""งบพรบ!CD42"")"),0)</f>
        <v>0</v>
      </c>
      <c r="H42" s="176">
        <f ca="1">IFERROR(__xludf.DUMMYFUNCTION("IMPORTRANGE(""https://docs.google.com/spreadsheets/d/1-uDff_7J0KD5mKrp0Vvzr7lt3OU09vwQwhkpOPPYv2Y/edit?usp=sharing"",""งบพรบ!CF42"")"),0)</f>
        <v>0</v>
      </c>
      <c r="I42" s="176">
        <f ca="1">IFERROR(__xludf.DUMMYFUNCTION("IMPORTRANGE(""https://docs.google.com/spreadsheets/d/1-uDff_7J0KD5mKrp0Vvzr7lt3OU09vwQwhkpOPPYv2Y/edit?usp=sharing"",""งบพรบ!CG42"")"),0)</f>
        <v>0</v>
      </c>
      <c r="J42" s="176">
        <f t="shared" ca="1" si="20"/>
        <v>0</v>
      </c>
      <c r="K42" s="179">
        <f t="shared" ca="1" si="21"/>
        <v>0</v>
      </c>
      <c r="L42" s="176">
        <f ca="1">IFERROR(__xludf.DUMMYFUNCTION("IMPORTRANGE(""https://docs.google.com/spreadsheets/d/1-uDff_7J0KD5mKrp0Vvzr7lt3OU09vwQwhkpOPPYv2Y/edit?usp=sharing"",""งบพรบ!CH42"")"),0)</f>
        <v>0</v>
      </c>
      <c r="M42" s="87">
        <f t="shared" ca="1" si="22"/>
        <v>0</v>
      </c>
      <c r="N42" s="87">
        <f t="shared" ca="1" si="23"/>
        <v>0</v>
      </c>
      <c r="O42" s="86">
        <f ca="1">IFERROR(__xludf.DUMMYFUNCTION("IMPORTRANGE(""https://docs.google.com/spreadsheets/d/1-uDff_7J0KD5mKrp0Vvzr7lt3OU09vwQwhkpOPPYv2Y/edit?usp=sharing"",""งบพรบ!CI42"")"),0)</f>
        <v>0</v>
      </c>
      <c r="P42" s="86">
        <f t="shared" ca="1" si="24"/>
        <v>0</v>
      </c>
      <c r="Q42" s="87">
        <f t="shared" ca="1" si="25"/>
        <v>0</v>
      </c>
      <c r="R42" s="241">
        <f ca="1">IFERROR(__xludf.DUMMYFUNCTION("IMPORTRANGE(""https://docs.google.com/spreadsheets/d/1v_cJrbBlyqmnHPReHk44g9NrMRdENNlSy_E_c5M9fIg/edit?usp=sharing"",""ร้อยเอ็ด!Q157"")"),0)</f>
        <v>0</v>
      </c>
      <c r="S42" s="242">
        <f ca="1">IFERROR(__xludf.DUMMYFUNCTION("IMPORTRANGE(""https://docs.google.com/spreadsheets/d/1v_cJrbBlyqmnHPReHk44g9NrMRdENNlSy_E_c5M9fIg/edit?usp=sharing"",""ร้อยเอ็ด!R157"")"),0)</f>
        <v>0</v>
      </c>
      <c r="T42" s="242">
        <f ca="1">IFERROR(__xludf.DUMMYFUNCTION("IMPORTRANGE(""https://docs.google.com/spreadsheets/d/1v_cJrbBlyqmnHPReHk44g9NrMRdENNlSy_E_c5M9fIg/edit?usp=sharing"",""ร้อยเอ็ด!S157"")"),0)</f>
        <v>0</v>
      </c>
      <c r="U42" s="243">
        <f t="shared" ca="1" si="27"/>
        <v>0</v>
      </c>
      <c r="V42" s="243">
        <f t="shared" ca="1" si="28"/>
        <v>0</v>
      </c>
      <c r="W42" s="97">
        <f ca="1">IFERROR(__xludf.DUMMYFUNCTION("IMPORTRANGE(""https://docs.google.com/spreadsheets/d/1v_cJrbBlyqmnHPReHk44g9NrMRdENNlSy_E_c5M9fIg/edit?usp=sharing"",""ร้อยเอ็ด!I167"")"),15)</f>
        <v>15</v>
      </c>
      <c r="X42" s="97">
        <f ca="1">IFERROR(__xludf.DUMMYFUNCTION("IMPORTRANGE(""https://docs.google.com/spreadsheets/d/1v_cJrbBlyqmnHPReHk44g9NrMRdENNlSy_E_c5M9fIg/edit?usp=sharing"",""ร้อยเอ็ด!J167"")"),0)</f>
        <v>0</v>
      </c>
      <c r="Y42" s="98">
        <f t="shared" ca="1" si="30"/>
        <v>0</v>
      </c>
    </row>
    <row r="43" spans="1:25" ht="21" customHeight="1" x14ac:dyDescent="0.3">
      <c r="A43" s="89">
        <v>12</v>
      </c>
      <c r="B43" s="90" t="s">
        <v>69</v>
      </c>
      <c r="C43" s="174">
        <f t="shared" ca="1" si="18"/>
        <v>0</v>
      </c>
      <c r="D43" s="175">
        <f t="shared" ca="1" si="35"/>
        <v>0</v>
      </c>
      <c r="E43" s="176">
        <f ca="1">IFERROR(__xludf.DUMMYFUNCTION("IMPORTRANGE(""https://docs.google.com/spreadsheets/d/1-uDff_7J0KD5mKrp0Vvzr7lt3OU09vwQwhkpOPPYv2Y/edit?usp=sharing"",""งบพรบ!CB43"")"),0)</f>
        <v>0</v>
      </c>
      <c r="F43" s="176">
        <f ca="1">IFERROR(__xludf.DUMMYFUNCTION("IMPORTRANGE(""https://docs.google.com/spreadsheets/d/1-uDff_7J0KD5mKrp0Vvzr7lt3OU09vwQwhkpOPPYv2Y/edit?usp=sharing"",""งบพรบ!CC43"")"),0)</f>
        <v>0</v>
      </c>
      <c r="G43" s="176">
        <f ca="1">IFERROR(__xludf.DUMMYFUNCTION("IMPORTRANGE(""https://docs.google.com/spreadsheets/d/1-uDff_7J0KD5mKrp0Vvzr7lt3OU09vwQwhkpOPPYv2Y/edit?usp=sharing"",""งบพรบ!CD43"")"),0)</f>
        <v>0</v>
      </c>
      <c r="H43" s="176">
        <f ca="1">IFERROR(__xludf.DUMMYFUNCTION("IMPORTRANGE(""https://docs.google.com/spreadsheets/d/1-uDff_7J0KD5mKrp0Vvzr7lt3OU09vwQwhkpOPPYv2Y/edit?usp=sharing"",""งบพรบ!CF43"")"),0)</f>
        <v>0</v>
      </c>
      <c r="I43" s="176">
        <f ca="1">IFERROR(__xludf.DUMMYFUNCTION("IMPORTRANGE(""https://docs.google.com/spreadsheets/d/1-uDff_7J0KD5mKrp0Vvzr7lt3OU09vwQwhkpOPPYv2Y/edit?usp=sharing"",""งบพรบ!CG43"")"),0)</f>
        <v>0</v>
      </c>
      <c r="J43" s="176">
        <f t="shared" ca="1" si="20"/>
        <v>0</v>
      </c>
      <c r="K43" s="179">
        <f t="shared" ca="1" si="21"/>
        <v>0</v>
      </c>
      <c r="L43" s="176">
        <f ca="1">IFERROR(__xludf.DUMMYFUNCTION("IMPORTRANGE(""https://docs.google.com/spreadsheets/d/1-uDff_7J0KD5mKrp0Vvzr7lt3OU09vwQwhkpOPPYv2Y/edit?usp=sharing"",""งบพรบ!CH43"")"),0)</f>
        <v>0</v>
      </c>
      <c r="M43" s="87">
        <f t="shared" ca="1" si="22"/>
        <v>0</v>
      </c>
      <c r="N43" s="87">
        <f t="shared" ca="1" si="23"/>
        <v>0</v>
      </c>
      <c r="O43" s="86">
        <f ca="1">IFERROR(__xludf.DUMMYFUNCTION("IMPORTRANGE(""https://docs.google.com/spreadsheets/d/1-uDff_7J0KD5mKrp0Vvzr7lt3OU09vwQwhkpOPPYv2Y/edit?usp=sharing"",""งบพรบ!CI43"")"),0)</f>
        <v>0</v>
      </c>
      <c r="P43" s="86">
        <f t="shared" ca="1" si="24"/>
        <v>0</v>
      </c>
      <c r="Q43" s="87">
        <f t="shared" ca="1" si="25"/>
        <v>0</v>
      </c>
      <c r="R43" s="241">
        <f ca="1">IFERROR(__xludf.DUMMYFUNCTION("IMPORTRANGE(""https://docs.google.com/spreadsheets/d/1Ul4RCpCX66NxYADU1QpwAPjOmBzW64SsT11s1wzXw_c/edit?usp=sharing"",""เลย!Q157"")"),0)</f>
        <v>0</v>
      </c>
      <c r="S43" s="242">
        <f ca="1">IFERROR(__xludf.DUMMYFUNCTION("IMPORTRANGE(""https://docs.google.com/spreadsheets/d/1Ul4RCpCX66NxYADU1QpwAPjOmBzW64SsT11s1wzXw_c/edit?usp=sharing"",""เลย!R157"")"),0)</f>
        <v>0</v>
      </c>
      <c r="T43" s="242">
        <f ca="1">IFERROR(__xludf.DUMMYFUNCTION("IMPORTRANGE(""https://docs.google.com/spreadsheets/d/1Ul4RCpCX66NxYADU1QpwAPjOmBzW64SsT11s1wzXw_c/edit?usp=sharing"",""เลย!S157"")"),0)</f>
        <v>0</v>
      </c>
      <c r="U43" s="243">
        <f t="shared" ca="1" si="27"/>
        <v>0</v>
      </c>
      <c r="V43" s="243">
        <f t="shared" ca="1" si="28"/>
        <v>0</v>
      </c>
      <c r="W43" s="97">
        <f ca="1">IFERROR(__xludf.DUMMYFUNCTION("IMPORTRANGE(""https://docs.google.com/spreadsheets/d/1Ul4RCpCX66NxYADU1QpwAPjOmBzW64SsT11s1wzXw_c/edit?usp=sharing"",""เลย!I167"")"),0)</f>
        <v>0</v>
      </c>
      <c r="X43" s="97">
        <f ca="1">IFERROR(__xludf.DUMMYFUNCTION("IMPORTRANGE(""https://docs.google.com/spreadsheets/d/1Ul4RCpCX66NxYADU1QpwAPjOmBzW64SsT11s1wzXw_c/edit?usp=sharing"",""เลย!J167"")"),0)</f>
        <v>0</v>
      </c>
      <c r="Y43" s="98">
        <f t="shared" ca="1" si="30"/>
        <v>0</v>
      </c>
    </row>
    <row r="44" spans="1:25" ht="21" customHeight="1" x14ac:dyDescent="0.3">
      <c r="A44" s="89">
        <v>13</v>
      </c>
      <c r="B44" s="90" t="s">
        <v>70</v>
      </c>
      <c r="C44" s="174">
        <f t="shared" ca="1" si="18"/>
        <v>0</v>
      </c>
      <c r="D44" s="175">
        <f t="shared" ca="1" si="35"/>
        <v>0</v>
      </c>
      <c r="E44" s="176">
        <f ca="1">IFERROR(__xludf.DUMMYFUNCTION("IMPORTRANGE(""https://docs.google.com/spreadsheets/d/1-uDff_7J0KD5mKrp0Vvzr7lt3OU09vwQwhkpOPPYv2Y/edit?usp=sharing"",""งบพรบ!CB44"")"),0)</f>
        <v>0</v>
      </c>
      <c r="F44" s="176">
        <f ca="1">IFERROR(__xludf.DUMMYFUNCTION("IMPORTRANGE(""https://docs.google.com/spreadsheets/d/1-uDff_7J0KD5mKrp0Vvzr7lt3OU09vwQwhkpOPPYv2Y/edit?usp=sharing"",""งบพรบ!CC44"")"),0)</f>
        <v>0</v>
      </c>
      <c r="G44" s="176">
        <f ca="1">IFERROR(__xludf.DUMMYFUNCTION("IMPORTRANGE(""https://docs.google.com/spreadsheets/d/1-uDff_7J0KD5mKrp0Vvzr7lt3OU09vwQwhkpOPPYv2Y/edit?usp=sharing"",""งบพรบ!CD44"")"),0)</f>
        <v>0</v>
      </c>
      <c r="H44" s="176">
        <f ca="1">IFERROR(__xludf.DUMMYFUNCTION("IMPORTRANGE(""https://docs.google.com/spreadsheets/d/1-uDff_7J0KD5mKrp0Vvzr7lt3OU09vwQwhkpOPPYv2Y/edit?usp=sharing"",""งบพรบ!CF44"")"),0)</f>
        <v>0</v>
      </c>
      <c r="I44" s="176">
        <f ca="1">IFERROR(__xludf.DUMMYFUNCTION("IMPORTRANGE(""https://docs.google.com/spreadsheets/d/1-uDff_7J0KD5mKrp0Vvzr7lt3OU09vwQwhkpOPPYv2Y/edit?usp=sharing"",""งบพรบ!CG44"")"),0)</f>
        <v>0</v>
      </c>
      <c r="J44" s="176">
        <f t="shared" ca="1" si="20"/>
        <v>0</v>
      </c>
      <c r="K44" s="179">
        <f t="shared" ca="1" si="21"/>
        <v>0</v>
      </c>
      <c r="L44" s="176">
        <f ca="1">IFERROR(__xludf.DUMMYFUNCTION("IMPORTRANGE(""https://docs.google.com/spreadsheets/d/1-uDff_7J0KD5mKrp0Vvzr7lt3OU09vwQwhkpOPPYv2Y/edit?usp=sharing"",""งบพรบ!CH44"")"),0)</f>
        <v>0</v>
      </c>
      <c r="M44" s="87">
        <f t="shared" ca="1" si="22"/>
        <v>0</v>
      </c>
      <c r="N44" s="87">
        <f t="shared" ca="1" si="23"/>
        <v>0</v>
      </c>
      <c r="O44" s="86">
        <f ca="1">IFERROR(__xludf.DUMMYFUNCTION("IMPORTRANGE(""https://docs.google.com/spreadsheets/d/1-uDff_7J0KD5mKrp0Vvzr7lt3OU09vwQwhkpOPPYv2Y/edit?usp=sharing"",""งบพรบ!CI44"")"),0)</f>
        <v>0</v>
      </c>
      <c r="P44" s="86">
        <f t="shared" ca="1" si="24"/>
        <v>0</v>
      </c>
      <c r="Q44" s="87">
        <f t="shared" ca="1" si="25"/>
        <v>0</v>
      </c>
      <c r="R44" s="241">
        <f ca="1">IFERROR(__xludf.DUMMYFUNCTION("IMPORTRANGE(""https://docs.google.com/spreadsheets/d/1bRrNKwbHDVktQG10isr5vbWRtt5spIZPpkOSWgbT5ug/edit?usp=sharing"",""ศรีสะเกษ!Q157"")"),0)</f>
        <v>0</v>
      </c>
      <c r="S44" s="242">
        <f ca="1">IFERROR(__xludf.DUMMYFUNCTION("IMPORTRANGE(""https://docs.google.com/spreadsheets/d/1bRrNKwbHDVktQG10isr5vbWRtt5spIZPpkOSWgbT5ug/edit?usp=sharing"",""ศรีสะเกษ!R157"")"),0)</f>
        <v>0</v>
      </c>
      <c r="T44" s="242">
        <f ca="1">IFERROR(__xludf.DUMMYFUNCTION("IMPORTRANGE(""https://docs.google.com/spreadsheets/d/1bRrNKwbHDVktQG10isr5vbWRtt5spIZPpkOSWgbT5ug/edit?usp=sharing"",""ศรีสะเกษ!S157"")"),0)</f>
        <v>0</v>
      </c>
      <c r="U44" s="243">
        <f t="shared" ca="1" si="27"/>
        <v>0</v>
      </c>
      <c r="V44" s="243">
        <f t="shared" ca="1" si="28"/>
        <v>0</v>
      </c>
      <c r="W44" s="97">
        <f ca="1">IFERROR(__xludf.DUMMYFUNCTION("IMPORTRANGE(""https://docs.google.com/spreadsheets/d/1bRrNKwbHDVktQG10isr5vbWRtt5spIZPpkOSWgbT5ug/edit?usp=sharing"",""ศรีสะเกษ!I167"")"),0)</f>
        <v>0</v>
      </c>
      <c r="X44" s="97">
        <f ca="1">IFERROR(__xludf.DUMMYFUNCTION("IMPORTRANGE(""https://docs.google.com/spreadsheets/d/1bRrNKwbHDVktQG10isr5vbWRtt5spIZPpkOSWgbT5ug/edit?usp=sharing"",""ศรีสะเกษ!J167"")"),0)</f>
        <v>0</v>
      </c>
      <c r="Y44" s="98">
        <f t="shared" ca="1" si="30"/>
        <v>0</v>
      </c>
    </row>
    <row r="45" spans="1:25" ht="21" customHeight="1" x14ac:dyDescent="0.3">
      <c r="A45" s="89">
        <v>14</v>
      </c>
      <c r="B45" s="90" t="s">
        <v>71</v>
      </c>
      <c r="C45" s="174">
        <f t="shared" ca="1" si="18"/>
        <v>3000</v>
      </c>
      <c r="D45" s="175">
        <f t="shared" ca="1" si="35"/>
        <v>3000</v>
      </c>
      <c r="E45" s="176">
        <f ca="1">IFERROR(__xludf.DUMMYFUNCTION("IMPORTRANGE(""https://docs.google.com/spreadsheets/d/1-uDff_7J0KD5mKrp0Vvzr7lt3OU09vwQwhkpOPPYv2Y/edit?usp=sharing"",""งบพรบ!CB45"")"),0)</f>
        <v>0</v>
      </c>
      <c r="F45" s="176">
        <f ca="1">IFERROR(__xludf.DUMMYFUNCTION("IMPORTRANGE(""https://docs.google.com/spreadsheets/d/1-uDff_7J0KD5mKrp0Vvzr7lt3OU09vwQwhkpOPPYv2Y/edit?usp=sharing"",""งบพรบ!CC45"")"),3000)</f>
        <v>3000</v>
      </c>
      <c r="G45" s="176">
        <f ca="1">IFERROR(__xludf.DUMMYFUNCTION("IMPORTRANGE(""https://docs.google.com/spreadsheets/d/1-uDff_7J0KD5mKrp0Vvzr7lt3OU09vwQwhkpOPPYv2Y/edit?usp=sharing"",""งบพรบ!CD45"")"),0)</f>
        <v>0</v>
      </c>
      <c r="H45" s="176">
        <f ca="1">IFERROR(__xludf.DUMMYFUNCTION("IMPORTRANGE(""https://docs.google.com/spreadsheets/d/1-uDff_7J0KD5mKrp0Vvzr7lt3OU09vwQwhkpOPPYv2Y/edit?usp=sharing"",""งบพรบ!CF45"")"),0)</f>
        <v>0</v>
      </c>
      <c r="I45" s="176">
        <f ca="1">IFERROR(__xludf.DUMMYFUNCTION("IMPORTRANGE(""https://docs.google.com/spreadsheets/d/1-uDff_7J0KD5mKrp0Vvzr7lt3OU09vwQwhkpOPPYv2Y/edit?usp=sharing"",""งบพรบ!CG45"")"),0)</f>
        <v>0</v>
      </c>
      <c r="J45" s="176">
        <f t="shared" ca="1" si="20"/>
        <v>0</v>
      </c>
      <c r="K45" s="179">
        <f t="shared" ca="1" si="21"/>
        <v>0</v>
      </c>
      <c r="L45" s="176">
        <f ca="1">IFERROR(__xludf.DUMMYFUNCTION("IMPORTRANGE(""https://docs.google.com/spreadsheets/d/1-uDff_7J0KD5mKrp0Vvzr7lt3OU09vwQwhkpOPPYv2Y/edit?usp=sharing"",""งบพรบ!CH45"")"),0)</f>
        <v>0</v>
      </c>
      <c r="M45" s="87">
        <f t="shared" ca="1" si="22"/>
        <v>0</v>
      </c>
      <c r="N45" s="87">
        <f t="shared" ca="1" si="23"/>
        <v>0</v>
      </c>
      <c r="O45" s="86">
        <f ca="1">IFERROR(__xludf.DUMMYFUNCTION("IMPORTRANGE(""https://docs.google.com/spreadsheets/d/1-uDff_7J0KD5mKrp0Vvzr7lt3OU09vwQwhkpOPPYv2Y/edit?usp=sharing"",""งบพรบ!CI45"")"),0)</f>
        <v>0</v>
      </c>
      <c r="P45" s="86">
        <f t="shared" ca="1" si="24"/>
        <v>0</v>
      </c>
      <c r="Q45" s="87">
        <f t="shared" ca="1" si="25"/>
        <v>0</v>
      </c>
      <c r="R45" s="241">
        <f ca="1">IFERROR(__xludf.DUMMYFUNCTION("IMPORTRANGE(""https://docs.google.com/spreadsheets/d/17P34_Ow5kFBfdQD0qspb2UuPX5zpi6WMrQzslghyvrI/edit?usp=sharing"",""สกลนคร!Q157"")"),0)</f>
        <v>0</v>
      </c>
      <c r="S45" s="242">
        <f ca="1">IFERROR(__xludf.DUMMYFUNCTION("IMPORTRANGE(""https://docs.google.com/spreadsheets/d/17P34_Ow5kFBfdQD0qspb2UuPX5zpi6WMrQzslghyvrI/edit?usp=sharing"",""สกลนคร!R157"")"),0)</f>
        <v>0</v>
      </c>
      <c r="T45" s="242">
        <f ca="1">IFERROR(__xludf.DUMMYFUNCTION("IMPORTRANGE(""https://docs.google.com/spreadsheets/d/17P34_Ow5kFBfdQD0qspb2UuPX5zpi6WMrQzslghyvrI/edit?usp=sharing"",""สกลนคร!S157"")"),0)</f>
        <v>0</v>
      </c>
      <c r="U45" s="243">
        <f t="shared" ca="1" si="27"/>
        <v>0</v>
      </c>
      <c r="V45" s="243">
        <f t="shared" ca="1" si="28"/>
        <v>0</v>
      </c>
      <c r="W45" s="97">
        <f ca="1">IFERROR(__xludf.DUMMYFUNCTION("IMPORTRANGE(""https://docs.google.com/spreadsheets/d/17P34_Ow5kFBfdQD0qspb2UuPX5zpi6WMrQzslghyvrI/edit?usp=sharing"",""สกลนคร!I167"")"),10)</f>
        <v>10</v>
      </c>
      <c r="X45" s="97">
        <f ca="1">IFERROR(__xludf.DUMMYFUNCTION("IMPORTRANGE(""https://docs.google.com/spreadsheets/d/17P34_Ow5kFBfdQD0qspb2UuPX5zpi6WMrQzslghyvrI/edit?usp=sharing"",""สกลนคร!J167"")"),0)</f>
        <v>0</v>
      </c>
      <c r="Y45" s="98">
        <f t="shared" ca="1" si="30"/>
        <v>0</v>
      </c>
    </row>
    <row r="46" spans="1:25" ht="21" customHeight="1" x14ac:dyDescent="0.3">
      <c r="A46" s="89">
        <v>15</v>
      </c>
      <c r="B46" s="90" t="s">
        <v>72</v>
      </c>
      <c r="C46" s="174">
        <f t="shared" ca="1" si="18"/>
        <v>0</v>
      </c>
      <c r="D46" s="175">
        <f t="shared" ca="1" si="35"/>
        <v>0</v>
      </c>
      <c r="E46" s="176">
        <f ca="1">IFERROR(__xludf.DUMMYFUNCTION("IMPORTRANGE(""https://docs.google.com/spreadsheets/d/1-uDff_7J0KD5mKrp0Vvzr7lt3OU09vwQwhkpOPPYv2Y/edit?usp=sharing"",""งบพรบ!CB46"")"),0)</f>
        <v>0</v>
      </c>
      <c r="F46" s="176">
        <f ca="1">IFERROR(__xludf.DUMMYFUNCTION("IMPORTRANGE(""https://docs.google.com/spreadsheets/d/1-uDff_7J0KD5mKrp0Vvzr7lt3OU09vwQwhkpOPPYv2Y/edit?usp=sharing"",""งบพรบ!CC46"")"),0)</f>
        <v>0</v>
      </c>
      <c r="G46" s="176">
        <f ca="1">IFERROR(__xludf.DUMMYFUNCTION("IMPORTRANGE(""https://docs.google.com/spreadsheets/d/1-uDff_7J0KD5mKrp0Vvzr7lt3OU09vwQwhkpOPPYv2Y/edit?usp=sharing"",""งบพรบ!CD46"")"),0)</f>
        <v>0</v>
      </c>
      <c r="H46" s="176">
        <f ca="1">IFERROR(__xludf.DUMMYFUNCTION("IMPORTRANGE(""https://docs.google.com/spreadsheets/d/1-uDff_7J0KD5mKrp0Vvzr7lt3OU09vwQwhkpOPPYv2Y/edit?usp=sharing"",""งบพรบ!CF46"")"),0)</f>
        <v>0</v>
      </c>
      <c r="I46" s="176">
        <f ca="1">IFERROR(__xludf.DUMMYFUNCTION("IMPORTRANGE(""https://docs.google.com/spreadsheets/d/1-uDff_7J0KD5mKrp0Vvzr7lt3OU09vwQwhkpOPPYv2Y/edit?usp=sharing"",""งบพรบ!CG46"")"),0)</f>
        <v>0</v>
      </c>
      <c r="J46" s="176">
        <f t="shared" ca="1" si="20"/>
        <v>0</v>
      </c>
      <c r="K46" s="179">
        <f t="shared" ca="1" si="21"/>
        <v>0</v>
      </c>
      <c r="L46" s="176">
        <f ca="1">IFERROR(__xludf.DUMMYFUNCTION("IMPORTRANGE(""https://docs.google.com/spreadsheets/d/1-uDff_7J0KD5mKrp0Vvzr7lt3OU09vwQwhkpOPPYv2Y/edit?usp=sharing"",""งบพรบ!CH46"")"),0)</f>
        <v>0</v>
      </c>
      <c r="M46" s="87">
        <f t="shared" ca="1" si="22"/>
        <v>0</v>
      </c>
      <c r="N46" s="87">
        <f t="shared" ca="1" si="23"/>
        <v>0</v>
      </c>
      <c r="O46" s="86">
        <f ca="1">IFERROR(__xludf.DUMMYFUNCTION("IMPORTRANGE(""https://docs.google.com/spreadsheets/d/1-uDff_7J0KD5mKrp0Vvzr7lt3OU09vwQwhkpOPPYv2Y/edit?usp=sharing"",""งบพรบ!CI46"")"),0)</f>
        <v>0</v>
      </c>
      <c r="P46" s="86">
        <f t="shared" ca="1" si="24"/>
        <v>0</v>
      </c>
      <c r="Q46" s="87">
        <f t="shared" ca="1" si="25"/>
        <v>0</v>
      </c>
      <c r="R46" s="241">
        <f ca="1">IFERROR(__xludf.DUMMYFUNCTION("IMPORTRANGE(""https://docs.google.com/spreadsheets/d/1yswqbM3-AEpThF3ZSUa1AcmHnmRTF1vlJ1CZGcJ8YuU/edit?usp=sharing"",""สุรินทร์!Q157"")"),0)</f>
        <v>0</v>
      </c>
      <c r="S46" s="242">
        <f ca="1">IFERROR(__xludf.DUMMYFUNCTION("IMPORTRANGE(""https://docs.google.com/spreadsheets/d/1yswqbM3-AEpThF3ZSUa1AcmHnmRTF1vlJ1CZGcJ8YuU/edit?usp=sharing"",""สุรินทร์!R157"")"),0)</f>
        <v>0</v>
      </c>
      <c r="T46" s="242">
        <f ca="1">IFERROR(__xludf.DUMMYFUNCTION("IMPORTRANGE(""https://docs.google.com/spreadsheets/d/1yswqbM3-AEpThF3ZSUa1AcmHnmRTF1vlJ1CZGcJ8YuU/edit?usp=sharing"",""สุรินทร์!S157"")"),0)</f>
        <v>0</v>
      </c>
      <c r="U46" s="243">
        <f t="shared" ca="1" si="27"/>
        <v>0</v>
      </c>
      <c r="V46" s="243">
        <f t="shared" ca="1" si="28"/>
        <v>0</v>
      </c>
      <c r="W46" s="97">
        <f ca="1">IFERROR(__xludf.DUMMYFUNCTION("IMPORTRANGE(""https://docs.google.com/spreadsheets/d/1yswqbM3-AEpThF3ZSUa1AcmHnmRTF1vlJ1CZGcJ8YuU/edit?usp=sharing"",""สุรินทร์!I167"")"),0)</f>
        <v>0</v>
      </c>
      <c r="X46" s="97">
        <f ca="1">IFERROR(__xludf.DUMMYFUNCTION("IMPORTRANGE(""https://docs.google.com/spreadsheets/d/1yswqbM3-AEpThF3ZSUa1AcmHnmRTF1vlJ1CZGcJ8YuU/edit?usp=sharing"",""สุรินทร์!J167"")"),0)</f>
        <v>0</v>
      </c>
      <c r="Y46" s="98">
        <f t="shared" ca="1" si="30"/>
        <v>0</v>
      </c>
    </row>
    <row r="47" spans="1:25" ht="21" customHeight="1" x14ac:dyDescent="0.3">
      <c r="A47" s="89">
        <v>16</v>
      </c>
      <c r="B47" s="90" t="s">
        <v>73</v>
      </c>
      <c r="C47" s="174">
        <f t="shared" ca="1" si="18"/>
        <v>0</v>
      </c>
      <c r="D47" s="175">
        <f t="shared" ca="1" si="35"/>
        <v>0</v>
      </c>
      <c r="E47" s="176">
        <f ca="1">IFERROR(__xludf.DUMMYFUNCTION("IMPORTRANGE(""https://docs.google.com/spreadsheets/d/1-uDff_7J0KD5mKrp0Vvzr7lt3OU09vwQwhkpOPPYv2Y/edit?usp=sharing"",""งบพรบ!CB47"")"),0)</f>
        <v>0</v>
      </c>
      <c r="F47" s="176">
        <f ca="1">IFERROR(__xludf.DUMMYFUNCTION("IMPORTRANGE(""https://docs.google.com/spreadsheets/d/1-uDff_7J0KD5mKrp0Vvzr7lt3OU09vwQwhkpOPPYv2Y/edit?usp=sharing"",""งบพรบ!CC47"")"),0)</f>
        <v>0</v>
      </c>
      <c r="G47" s="176">
        <f ca="1">IFERROR(__xludf.DUMMYFUNCTION("IMPORTRANGE(""https://docs.google.com/spreadsheets/d/1-uDff_7J0KD5mKrp0Vvzr7lt3OU09vwQwhkpOPPYv2Y/edit?usp=sharing"",""งบพรบ!CD47"")"),0)</f>
        <v>0</v>
      </c>
      <c r="H47" s="176">
        <f ca="1">IFERROR(__xludf.DUMMYFUNCTION("IMPORTRANGE(""https://docs.google.com/spreadsheets/d/1-uDff_7J0KD5mKrp0Vvzr7lt3OU09vwQwhkpOPPYv2Y/edit?usp=sharing"",""งบพรบ!CF47"")"),0)</f>
        <v>0</v>
      </c>
      <c r="I47" s="176">
        <f ca="1">IFERROR(__xludf.DUMMYFUNCTION("IMPORTRANGE(""https://docs.google.com/spreadsheets/d/1-uDff_7J0KD5mKrp0Vvzr7lt3OU09vwQwhkpOPPYv2Y/edit?usp=sharing"",""งบพรบ!CG47"")"),0)</f>
        <v>0</v>
      </c>
      <c r="J47" s="176">
        <f t="shared" ca="1" si="20"/>
        <v>0</v>
      </c>
      <c r="K47" s="179">
        <f t="shared" ca="1" si="21"/>
        <v>0</v>
      </c>
      <c r="L47" s="176">
        <f ca="1">IFERROR(__xludf.DUMMYFUNCTION("IMPORTRANGE(""https://docs.google.com/spreadsheets/d/1-uDff_7J0KD5mKrp0Vvzr7lt3OU09vwQwhkpOPPYv2Y/edit?usp=sharing"",""งบพรบ!CH47"")"),0)</f>
        <v>0</v>
      </c>
      <c r="M47" s="87">
        <f t="shared" ca="1" si="22"/>
        <v>0</v>
      </c>
      <c r="N47" s="87">
        <f t="shared" ca="1" si="23"/>
        <v>0</v>
      </c>
      <c r="O47" s="86">
        <f ca="1">IFERROR(__xludf.DUMMYFUNCTION("IMPORTRANGE(""https://docs.google.com/spreadsheets/d/1-uDff_7J0KD5mKrp0Vvzr7lt3OU09vwQwhkpOPPYv2Y/edit?usp=sharing"",""งบพรบ!CI47"")"),0)</f>
        <v>0</v>
      </c>
      <c r="P47" s="86">
        <f t="shared" ca="1" si="24"/>
        <v>0</v>
      </c>
      <c r="Q47" s="87">
        <f t="shared" ca="1" si="25"/>
        <v>0</v>
      </c>
      <c r="R47" s="241">
        <f ca="1">IFERROR(__xludf.DUMMYFUNCTION("IMPORTRANGE(""https://docs.google.com/spreadsheets/d/13JHU_EFbsQOUQ0JSQ3dWy1VTRosIWcDq6Nc99z2qzdc/edit?usp=sharing"",""หนองคาย!Q157"")"),0)</f>
        <v>0</v>
      </c>
      <c r="S47" s="242">
        <f ca="1">IFERROR(__xludf.DUMMYFUNCTION("IMPORTRANGE(""https://docs.google.com/spreadsheets/d/13JHU_EFbsQOUQ0JSQ3dWy1VTRosIWcDq6Nc99z2qzdc/edit?usp=sharing"",""หนองคาย!R157"")"),0)</f>
        <v>0</v>
      </c>
      <c r="T47" s="242">
        <f ca="1">IFERROR(__xludf.DUMMYFUNCTION("IMPORTRANGE(""https://docs.google.com/spreadsheets/d/13JHU_EFbsQOUQ0JSQ3dWy1VTRosIWcDq6Nc99z2qzdc/edit?usp=sharing"",""หนองคาย!S157"")"),0)</f>
        <v>0</v>
      </c>
      <c r="U47" s="243">
        <f t="shared" ca="1" si="27"/>
        <v>0</v>
      </c>
      <c r="V47" s="243">
        <f t="shared" ca="1" si="28"/>
        <v>0</v>
      </c>
      <c r="W47" s="97">
        <f ca="1">IFERROR(__xludf.DUMMYFUNCTION("IMPORTRANGE(""https://docs.google.com/spreadsheets/d/13JHU_EFbsQOUQ0JSQ3dWy1VTRosIWcDq6Nc99z2qzdc/edit?usp=sharing"",""หนองคาย!I167"")"),0)</f>
        <v>0</v>
      </c>
      <c r="X47" s="97">
        <f ca="1">IFERROR(__xludf.DUMMYFUNCTION("IMPORTRANGE(""https://docs.google.com/spreadsheets/d/13JHU_EFbsQOUQ0JSQ3dWy1VTRosIWcDq6Nc99z2qzdc/edit?usp=sharing"",""หนองคาย!J167"")"),0)</f>
        <v>0</v>
      </c>
      <c r="Y47" s="98">
        <f t="shared" ca="1" si="30"/>
        <v>0</v>
      </c>
    </row>
    <row r="48" spans="1:25" ht="21" customHeight="1" x14ac:dyDescent="0.3">
      <c r="A48" s="89">
        <v>17</v>
      </c>
      <c r="B48" s="90" t="s">
        <v>74</v>
      </c>
      <c r="C48" s="174">
        <f t="shared" ca="1" si="18"/>
        <v>0</v>
      </c>
      <c r="D48" s="175">
        <f t="shared" ca="1" si="35"/>
        <v>0</v>
      </c>
      <c r="E48" s="176">
        <f ca="1">IFERROR(__xludf.DUMMYFUNCTION("IMPORTRANGE(""https://docs.google.com/spreadsheets/d/1-uDff_7J0KD5mKrp0Vvzr7lt3OU09vwQwhkpOPPYv2Y/edit?usp=sharing"",""งบพรบ!CB48"")"),0)</f>
        <v>0</v>
      </c>
      <c r="F48" s="176">
        <f ca="1">IFERROR(__xludf.DUMMYFUNCTION("IMPORTRANGE(""https://docs.google.com/spreadsheets/d/1-uDff_7J0KD5mKrp0Vvzr7lt3OU09vwQwhkpOPPYv2Y/edit?usp=sharing"",""งบพรบ!CC48"")"),0)</f>
        <v>0</v>
      </c>
      <c r="G48" s="176">
        <f ca="1">IFERROR(__xludf.DUMMYFUNCTION("IMPORTRANGE(""https://docs.google.com/spreadsheets/d/1-uDff_7J0KD5mKrp0Vvzr7lt3OU09vwQwhkpOPPYv2Y/edit?usp=sharing"",""งบพรบ!CD48"")"),0)</f>
        <v>0</v>
      </c>
      <c r="H48" s="176">
        <f ca="1">IFERROR(__xludf.DUMMYFUNCTION("IMPORTRANGE(""https://docs.google.com/spreadsheets/d/1-uDff_7J0KD5mKrp0Vvzr7lt3OU09vwQwhkpOPPYv2Y/edit?usp=sharing"",""งบพรบ!CF48"")"),0)</f>
        <v>0</v>
      </c>
      <c r="I48" s="176">
        <f ca="1">IFERROR(__xludf.DUMMYFUNCTION("IMPORTRANGE(""https://docs.google.com/spreadsheets/d/1-uDff_7J0KD5mKrp0Vvzr7lt3OU09vwQwhkpOPPYv2Y/edit?usp=sharing"",""งบพรบ!CG48"")"),0)</f>
        <v>0</v>
      </c>
      <c r="J48" s="176">
        <f t="shared" ca="1" si="20"/>
        <v>0</v>
      </c>
      <c r="K48" s="179">
        <f t="shared" ca="1" si="21"/>
        <v>0</v>
      </c>
      <c r="L48" s="176">
        <f ca="1">IFERROR(__xludf.DUMMYFUNCTION("IMPORTRANGE(""https://docs.google.com/spreadsheets/d/1-uDff_7J0KD5mKrp0Vvzr7lt3OU09vwQwhkpOPPYv2Y/edit?usp=sharing"",""งบพรบ!CH48"")"),0)</f>
        <v>0</v>
      </c>
      <c r="M48" s="87">
        <f t="shared" ca="1" si="22"/>
        <v>0</v>
      </c>
      <c r="N48" s="87">
        <f t="shared" ca="1" si="23"/>
        <v>0</v>
      </c>
      <c r="O48" s="86">
        <f ca="1">IFERROR(__xludf.DUMMYFUNCTION("IMPORTRANGE(""https://docs.google.com/spreadsheets/d/1-uDff_7J0KD5mKrp0Vvzr7lt3OU09vwQwhkpOPPYv2Y/edit?usp=sharing"",""งบพรบ!CI48"")"),0)</f>
        <v>0</v>
      </c>
      <c r="P48" s="86">
        <f t="shared" ca="1" si="24"/>
        <v>0</v>
      </c>
      <c r="Q48" s="87">
        <f t="shared" ca="1" si="25"/>
        <v>0</v>
      </c>
      <c r="R48" s="241">
        <f ca="1">IFERROR(__xludf.DUMMYFUNCTION("IMPORTRANGE(""https://docs.google.com/spreadsheets/d/1Hx73zIEgVdDZZaYSTc46Dqv64atFhpr3GelxLbaIN8A/edit?usp=sharing"",""หนองบัวลำภู!Q157"")"),0)</f>
        <v>0</v>
      </c>
      <c r="S48" s="242">
        <f ca="1">IFERROR(__xludf.DUMMYFUNCTION("IMPORTRANGE(""https://docs.google.com/spreadsheets/d/1Hx73zIEgVdDZZaYSTc46Dqv64atFhpr3GelxLbaIN8A/edit?usp=sharing"",""หนองบัวลำภู!R157"")"),0)</f>
        <v>0</v>
      </c>
      <c r="T48" s="242">
        <f ca="1">IFERROR(__xludf.DUMMYFUNCTION("IMPORTRANGE(""https://docs.google.com/spreadsheets/d/1Hx73zIEgVdDZZaYSTc46Dqv64atFhpr3GelxLbaIN8A/edit?usp=sharing"",""หนองบัวลำภู!S157"")"),0)</f>
        <v>0</v>
      </c>
      <c r="U48" s="243">
        <f t="shared" ca="1" si="27"/>
        <v>0</v>
      </c>
      <c r="V48" s="243">
        <f t="shared" ca="1" si="28"/>
        <v>0</v>
      </c>
      <c r="W48" s="97">
        <f ca="1">IFERROR(__xludf.DUMMYFUNCTION("IMPORTRANGE(""https://docs.google.com/spreadsheets/d/1Hx73zIEgVdDZZaYSTc46Dqv64atFhpr3GelxLbaIN8A/edit?usp=sharing"",""หนองบัวลำภู!I167"")"),0)</f>
        <v>0</v>
      </c>
      <c r="X48" s="97">
        <f ca="1">IFERROR(__xludf.DUMMYFUNCTION("IMPORTRANGE(""https://docs.google.com/spreadsheets/d/1Hx73zIEgVdDZZaYSTc46Dqv64atFhpr3GelxLbaIN8A/edit?usp=sharing"",""หนองบัวลำภู!J167"")"),0)</f>
        <v>0</v>
      </c>
      <c r="Y48" s="98">
        <f t="shared" ca="1" si="30"/>
        <v>0</v>
      </c>
    </row>
    <row r="49" spans="1:25" ht="21" customHeight="1" x14ac:dyDescent="0.3">
      <c r="A49" s="89">
        <v>18</v>
      </c>
      <c r="B49" s="90" t="s">
        <v>75</v>
      </c>
      <c r="C49" s="174">
        <f t="shared" ca="1" si="18"/>
        <v>0</v>
      </c>
      <c r="D49" s="175">
        <f t="shared" ca="1" si="35"/>
        <v>0</v>
      </c>
      <c r="E49" s="176">
        <f ca="1">IFERROR(__xludf.DUMMYFUNCTION("IMPORTRANGE(""https://docs.google.com/spreadsheets/d/1-uDff_7J0KD5mKrp0Vvzr7lt3OU09vwQwhkpOPPYv2Y/edit?usp=sharing"",""งบพรบ!CB49"")"),0)</f>
        <v>0</v>
      </c>
      <c r="F49" s="176">
        <f ca="1">IFERROR(__xludf.DUMMYFUNCTION("IMPORTRANGE(""https://docs.google.com/spreadsheets/d/1-uDff_7J0KD5mKrp0Vvzr7lt3OU09vwQwhkpOPPYv2Y/edit?usp=sharing"",""งบพรบ!CC49"")"),0)</f>
        <v>0</v>
      </c>
      <c r="G49" s="176">
        <f ca="1">IFERROR(__xludf.DUMMYFUNCTION("IMPORTRANGE(""https://docs.google.com/spreadsheets/d/1-uDff_7J0KD5mKrp0Vvzr7lt3OU09vwQwhkpOPPYv2Y/edit?usp=sharing"",""งบพรบ!CD49"")"),0)</f>
        <v>0</v>
      </c>
      <c r="H49" s="176">
        <f ca="1">IFERROR(__xludf.DUMMYFUNCTION("IMPORTRANGE(""https://docs.google.com/spreadsheets/d/1-uDff_7J0KD5mKrp0Vvzr7lt3OU09vwQwhkpOPPYv2Y/edit?usp=sharing"",""งบพรบ!CF49"")"),0)</f>
        <v>0</v>
      </c>
      <c r="I49" s="176">
        <f ca="1">IFERROR(__xludf.DUMMYFUNCTION("IMPORTRANGE(""https://docs.google.com/spreadsheets/d/1-uDff_7J0KD5mKrp0Vvzr7lt3OU09vwQwhkpOPPYv2Y/edit?usp=sharing"",""งบพรบ!CG49"")"),0)</f>
        <v>0</v>
      </c>
      <c r="J49" s="176">
        <f t="shared" ca="1" si="20"/>
        <v>0</v>
      </c>
      <c r="K49" s="179">
        <f t="shared" ca="1" si="21"/>
        <v>0</v>
      </c>
      <c r="L49" s="176">
        <f ca="1">IFERROR(__xludf.DUMMYFUNCTION("IMPORTRANGE(""https://docs.google.com/spreadsheets/d/1-uDff_7J0KD5mKrp0Vvzr7lt3OU09vwQwhkpOPPYv2Y/edit?usp=sharing"",""งบพรบ!CH49"")"),0)</f>
        <v>0</v>
      </c>
      <c r="M49" s="87">
        <f t="shared" ca="1" si="22"/>
        <v>0</v>
      </c>
      <c r="N49" s="87">
        <f t="shared" ca="1" si="23"/>
        <v>0</v>
      </c>
      <c r="O49" s="86">
        <f ca="1">IFERROR(__xludf.DUMMYFUNCTION("IMPORTRANGE(""https://docs.google.com/spreadsheets/d/1-uDff_7J0KD5mKrp0Vvzr7lt3OU09vwQwhkpOPPYv2Y/edit?usp=sharing"",""งบพรบ!CI49"")"),0)</f>
        <v>0</v>
      </c>
      <c r="P49" s="86">
        <f t="shared" ca="1" si="24"/>
        <v>0</v>
      </c>
      <c r="Q49" s="87">
        <f t="shared" ca="1" si="25"/>
        <v>0</v>
      </c>
      <c r="R49" s="241">
        <f ca="1">IFERROR(__xludf.DUMMYFUNCTION("IMPORTRANGE(""https://docs.google.com/spreadsheets/d/1lFxr3ctmjFN90yc-xV6jrQ9Ty8BKYVBWnAZ15wcNIJc/edit?usp=sharing"",""อำนาจเจริญ!Q157"")"),0)</f>
        <v>0</v>
      </c>
      <c r="S49" s="242">
        <f ca="1">IFERROR(__xludf.DUMMYFUNCTION("IMPORTRANGE(""https://docs.google.com/spreadsheets/d/1lFxr3ctmjFN90yc-xV6jrQ9Ty8BKYVBWnAZ15wcNIJc/edit?usp=sharing"",""อำนาจเจริญ!R157"")"),0)</f>
        <v>0</v>
      </c>
      <c r="T49" s="242">
        <f ca="1">IFERROR(__xludf.DUMMYFUNCTION("IMPORTRANGE(""https://docs.google.com/spreadsheets/d/1lFxr3ctmjFN90yc-xV6jrQ9Ty8BKYVBWnAZ15wcNIJc/edit?usp=sharing"",""อำนาจเจริญ!S157"")"),0)</f>
        <v>0</v>
      </c>
      <c r="U49" s="243">
        <f t="shared" ca="1" si="27"/>
        <v>0</v>
      </c>
      <c r="V49" s="243">
        <f t="shared" ca="1" si="28"/>
        <v>0</v>
      </c>
      <c r="W49" s="97">
        <f ca="1">IFERROR(__xludf.DUMMYFUNCTION("IMPORTRANGE(""https://docs.google.com/spreadsheets/d/1lFxr3ctmjFN90yc-xV6jrQ9Ty8BKYVBWnAZ15wcNIJc/edit?usp=sharing"",""อำนาจเจริญ!I167"")"),0)</f>
        <v>0</v>
      </c>
      <c r="X49" s="97">
        <f ca="1">IFERROR(__xludf.DUMMYFUNCTION("IMPORTRANGE(""https://docs.google.com/spreadsheets/d/1lFxr3ctmjFN90yc-xV6jrQ9Ty8BKYVBWnAZ15wcNIJc/edit?usp=sharing"",""อำนาจเจริญ!J167"")"),0)</f>
        <v>0</v>
      </c>
      <c r="Y49" s="98">
        <f t="shared" ca="1" si="30"/>
        <v>0</v>
      </c>
    </row>
    <row r="50" spans="1:25" ht="21" customHeight="1" x14ac:dyDescent="0.3">
      <c r="A50" s="89">
        <v>19</v>
      </c>
      <c r="B50" s="90" t="s">
        <v>76</v>
      </c>
      <c r="C50" s="174">
        <f t="shared" ca="1" si="18"/>
        <v>4500</v>
      </c>
      <c r="D50" s="175">
        <f t="shared" ca="1" si="35"/>
        <v>4500</v>
      </c>
      <c r="E50" s="176">
        <f ca="1">IFERROR(__xludf.DUMMYFUNCTION("IMPORTRANGE(""https://docs.google.com/spreadsheets/d/1-uDff_7J0KD5mKrp0Vvzr7lt3OU09vwQwhkpOPPYv2Y/edit?usp=sharing"",""งบพรบ!CB50"")"),0)</f>
        <v>0</v>
      </c>
      <c r="F50" s="176">
        <f ca="1">IFERROR(__xludf.DUMMYFUNCTION("IMPORTRANGE(""https://docs.google.com/spreadsheets/d/1-uDff_7J0KD5mKrp0Vvzr7lt3OU09vwQwhkpOPPYv2Y/edit?usp=sharing"",""งบพรบ!CC50"")"),4500)</f>
        <v>4500</v>
      </c>
      <c r="G50" s="176">
        <f ca="1">IFERROR(__xludf.DUMMYFUNCTION("IMPORTRANGE(""https://docs.google.com/spreadsheets/d/1-uDff_7J0KD5mKrp0Vvzr7lt3OU09vwQwhkpOPPYv2Y/edit?usp=sharing"",""งบพรบ!CD50"")"),0)</f>
        <v>0</v>
      </c>
      <c r="H50" s="176">
        <f ca="1">IFERROR(__xludf.DUMMYFUNCTION("IMPORTRANGE(""https://docs.google.com/spreadsheets/d/1-uDff_7J0KD5mKrp0Vvzr7lt3OU09vwQwhkpOPPYv2Y/edit?usp=sharing"",""งบพรบ!CF50"")"),0)</f>
        <v>0</v>
      </c>
      <c r="I50" s="176">
        <f ca="1">IFERROR(__xludf.DUMMYFUNCTION("IMPORTRANGE(""https://docs.google.com/spreadsheets/d/1-uDff_7J0KD5mKrp0Vvzr7lt3OU09vwQwhkpOPPYv2Y/edit?usp=sharing"",""งบพรบ!CG50"")"),0)</f>
        <v>0</v>
      </c>
      <c r="J50" s="176">
        <f t="shared" ca="1" si="20"/>
        <v>0</v>
      </c>
      <c r="K50" s="179">
        <f t="shared" ca="1" si="21"/>
        <v>0</v>
      </c>
      <c r="L50" s="176">
        <f ca="1">IFERROR(__xludf.DUMMYFUNCTION("IMPORTRANGE(""https://docs.google.com/spreadsheets/d/1-uDff_7J0KD5mKrp0Vvzr7lt3OU09vwQwhkpOPPYv2Y/edit?usp=sharing"",""งบพรบ!CH50"")"),0)</f>
        <v>0</v>
      </c>
      <c r="M50" s="87">
        <f t="shared" ca="1" si="22"/>
        <v>0</v>
      </c>
      <c r="N50" s="87">
        <f t="shared" ca="1" si="23"/>
        <v>0</v>
      </c>
      <c r="O50" s="86">
        <f ca="1">IFERROR(__xludf.DUMMYFUNCTION("IMPORTRANGE(""https://docs.google.com/spreadsheets/d/1-uDff_7J0KD5mKrp0Vvzr7lt3OU09vwQwhkpOPPYv2Y/edit?usp=sharing"",""งบพรบ!CI50"")"),0)</f>
        <v>0</v>
      </c>
      <c r="P50" s="86">
        <f t="shared" ca="1" si="24"/>
        <v>0</v>
      </c>
      <c r="Q50" s="87">
        <f t="shared" ca="1" si="25"/>
        <v>0</v>
      </c>
      <c r="R50" s="241">
        <f ca="1">IFERROR(__xludf.DUMMYFUNCTION("IMPORTRANGE(""https://docs.google.com/spreadsheets/d/1gF7RJpRnL-1oyjyeWxs5SFWEH7y8ahOZsQlyp2A2e-A/edit?usp=sharing"",""อุดรธานี!Q157"")"),0)</f>
        <v>0</v>
      </c>
      <c r="S50" s="242">
        <f ca="1">IFERROR(__xludf.DUMMYFUNCTION("IMPORTRANGE(""https://docs.google.com/spreadsheets/d/1gF7RJpRnL-1oyjyeWxs5SFWEH7y8ahOZsQlyp2A2e-A/edit?usp=sharing"",""อุดรธานี!R157"")"),0)</f>
        <v>0</v>
      </c>
      <c r="T50" s="242">
        <f ca="1">IFERROR(__xludf.DUMMYFUNCTION("IMPORTRANGE(""https://docs.google.com/spreadsheets/d/1gF7RJpRnL-1oyjyeWxs5SFWEH7y8ahOZsQlyp2A2e-A/edit?usp=sharing"",""อุดรธานี!S157"")"),0)</f>
        <v>0</v>
      </c>
      <c r="U50" s="243">
        <f t="shared" ca="1" si="27"/>
        <v>0</v>
      </c>
      <c r="V50" s="243">
        <f t="shared" ca="1" si="28"/>
        <v>0</v>
      </c>
      <c r="W50" s="97">
        <f ca="1">IFERROR(__xludf.DUMMYFUNCTION("IMPORTRANGE(""https://docs.google.com/spreadsheets/d/1gF7RJpRnL-1oyjyeWxs5SFWEH7y8ahOZsQlyp2A2e-A/edit?usp=sharing"",""อุดรธานี!I167"")"),15)</f>
        <v>15</v>
      </c>
      <c r="X50" s="97">
        <f ca="1">IFERROR(__xludf.DUMMYFUNCTION("IMPORTRANGE(""https://docs.google.com/spreadsheets/d/1gF7RJpRnL-1oyjyeWxs5SFWEH7y8ahOZsQlyp2A2e-A/edit?usp=sharing"",""อุดรธานี!J167"")"),0)</f>
        <v>0</v>
      </c>
      <c r="Y50" s="98">
        <f t="shared" ca="1" si="30"/>
        <v>0</v>
      </c>
    </row>
    <row r="51" spans="1:25" ht="21" customHeight="1" x14ac:dyDescent="0.3">
      <c r="A51" s="100">
        <v>20</v>
      </c>
      <c r="B51" s="101" t="s">
        <v>77</v>
      </c>
      <c r="C51" s="189">
        <f t="shared" ca="1" si="18"/>
        <v>0</v>
      </c>
      <c r="D51" s="190">
        <f t="shared" ca="1" si="35"/>
        <v>0</v>
      </c>
      <c r="E51" s="191">
        <f ca="1">IFERROR(__xludf.DUMMYFUNCTION("IMPORTRANGE(""https://docs.google.com/spreadsheets/d/1-uDff_7J0KD5mKrp0Vvzr7lt3OU09vwQwhkpOPPYv2Y/edit?usp=sharing"",""งบพรบ!CB51"")"),0)</f>
        <v>0</v>
      </c>
      <c r="F51" s="191">
        <f ca="1">IFERROR(__xludf.DUMMYFUNCTION("IMPORTRANGE(""https://docs.google.com/spreadsheets/d/1-uDff_7J0KD5mKrp0Vvzr7lt3OU09vwQwhkpOPPYv2Y/edit?usp=sharing"",""งบพรบ!CC51"")"),0)</f>
        <v>0</v>
      </c>
      <c r="G51" s="191">
        <f ca="1">IFERROR(__xludf.DUMMYFUNCTION("IMPORTRANGE(""https://docs.google.com/spreadsheets/d/1-uDff_7J0KD5mKrp0Vvzr7lt3OU09vwQwhkpOPPYv2Y/edit?usp=sharing"",""งบพรบ!CD51"")"),0)</f>
        <v>0</v>
      </c>
      <c r="H51" s="191">
        <f ca="1">IFERROR(__xludf.DUMMYFUNCTION("IMPORTRANGE(""https://docs.google.com/spreadsheets/d/1-uDff_7J0KD5mKrp0Vvzr7lt3OU09vwQwhkpOPPYv2Y/edit?usp=sharing"",""งบพรบ!CF51"")"),0)</f>
        <v>0</v>
      </c>
      <c r="I51" s="191">
        <f ca="1">IFERROR(__xludf.DUMMYFUNCTION("IMPORTRANGE(""https://docs.google.com/spreadsheets/d/1-uDff_7J0KD5mKrp0Vvzr7lt3OU09vwQwhkpOPPYv2Y/edit?usp=sharing"",""งบพรบ!CG51"")"),0)</f>
        <v>0</v>
      </c>
      <c r="J51" s="191">
        <f t="shared" ca="1" si="20"/>
        <v>0</v>
      </c>
      <c r="K51" s="192">
        <f t="shared" ca="1" si="21"/>
        <v>0</v>
      </c>
      <c r="L51" s="191">
        <f ca="1">IFERROR(__xludf.DUMMYFUNCTION("IMPORTRANGE(""https://docs.google.com/spreadsheets/d/1-uDff_7J0KD5mKrp0Vvzr7lt3OU09vwQwhkpOPPYv2Y/edit?usp=sharing"",""งบพรบ!CH51"")"),0)</f>
        <v>0</v>
      </c>
      <c r="M51" s="118">
        <f t="shared" ca="1" si="22"/>
        <v>0</v>
      </c>
      <c r="N51" s="118">
        <f t="shared" ca="1" si="23"/>
        <v>0</v>
      </c>
      <c r="O51" s="117">
        <f ca="1">IFERROR(__xludf.DUMMYFUNCTION("IMPORTRANGE(""https://docs.google.com/spreadsheets/d/1-uDff_7J0KD5mKrp0Vvzr7lt3OU09vwQwhkpOPPYv2Y/edit?usp=sharing"",""งบพรบ!CI51"")"),0)</f>
        <v>0</v>
      </c>
      <c r="P51" s="117">
        <f t="shared" ca="1" si="24"/>
        <v>0</v>
      </c>
      <c r="Q51" s="118">
        <f t="shared" ca="1" si="25"/>
        <v>0</v>
      </c>
      <c r="R51" s="244">
        <f ca="1">IFERROR(__xludf.DUMMYFUNCTION("IMPORTRANGE(""https://docs.google.com/spreadsheets/d/1kfLP0j3INXRa8bTDpcEmoWewMBV61jlFlfzczfjWIgc/edit?usp=sharing"",""อุบลราชธานี!Q157"")"),0)</f>
        <v>0</v>
      </c>
      <c r="S51" s="245">
        <f ca="1">IFERROR(__xludf.DUMMYFUNCTION("IMPORTRANGE(""https://docs.google.com/spreadsheets/d/1kfLP0j3INXRa8bTDpcEmoWewMBV61jlFlfzczfjWIgc/edit?usp=sharing"",""อุบลราชธานี!R157"")"),0)</f>
        <v>0</v>
      </c>
      <c r="T51" s="245">
        <f ca="1">IFERROR(__xludf.DUMMYFUNCTION("IMPORTRANGE(""https://docs.google.com/spreadsheets/d/1kfLP0j3INXRa8bTDpcEmoWewMBV61jlFlfzczfjWIgc/edit?usp=sharing"",""อุบลราชธานี!S157"")"),0)</f>
        <v>0</v>
      </c>
      <c r="U51" s="246">
        <f t="shared" ca="1" si="27"/>
        <v>0</v>
      </c>
      <c r="V51" s="246">
        <f t="shared" ca="1" si="28"/>
        <v>0</v>
      </c>
      <c r="W51" s="110">
        <f ca="1">IFERROR(__xludf.DUMMYFUNCTION("IMPORTRANGE(""https://docs.google.com/spreadsheets/d/1kfLP0j3INXRa8bTDpcEmoWewMBV61jlFlfzczfjWIgc/edit?usp=sharing"",""อุบลราชธานี!I167"")"),0)</f>
        <v>0</v>
      </c>
      <c r="X51" s="110">
        <f ca="1">IFERROR(__xludf.DUMMYFUNCTION("IMPORTRANGE(""https://docs.google.com/spreadsheets/d/1kfLP0j3INXRa8bTDpcEmoWewMBV61jlFlfzczfjWIgc/edit?usp=sharing"",""อุบลราชธานี!J167"")"),0)</f>
        <v>0</v>
      </c>
      <c r="Y51" s="111">
        <f t="shared" ca="1" si="30"/>
        <v>0</v>
      </c>
    </row>
    <row r="52" spans="1:25" ht="21" customHeight="1" x14ac:dyDescent="0.3">
      <c r="A52" s="650" t="s">
        <v>78</v>
      </c>
      <c r="B52" s="583"/>
      <c r="C52" s="194">
        <f t="shared" ca="1" si="18"/>
        <v>31500</v>
      </c>
      <c r="D52" s="194">
        <f t="shared" ref="D52:I52" ca="1" si="36">SUM(D53:D73)</f>
        <v>31500</v>
      </c>
      <c r="E52" s="194">
        <f t="shared" ca="1" si="36"/>
        <v>0</v>
      </c>
      <c r="F52" s="194">
        <f t="shared" ca="1" si="36"/>
        <v>31500</v>
      </c>
      <c r="G52" s="194">
        <f t="shared" ca="1" si="36"/>
        <v>0</v>
      </c>
      <c r="H52" s="194">
        <f t="shared" ca="1" si="36"/>
        <v>0</v>
      </c>
      <c r="I52" s="194">
        <f t="shared" ca="1" si="36"/>
        <v>0</v>
      </c>
      <c r="J52" s="194">
        <f t="shared" ca="1" si="20"/>
        <v>0</v>
      </c>
      <c r="K52" s="195">
        <f t="shared" ca="1" si="21"/>
        <v>0</v>
      </c>
      <c r="L52" s="194">
        <f ca="1">SUM(L53:L73)</f>
        <v>0</v>
      </c>
      <c r="M52" s="120">
        <f t="shared" ca="1" si="22"/>
        <v>0</v>
      </c>
      <c r="N52" s="120">
        <f t="shared" ca="1" si="23"/>
        <v>0</v>
      </c>
      <c r="O52" s="119">
        <f ca="1">SUM(O53:O73)</f>
        <v>0</v>
      </c>
      <c r="P52" s="119">
        <f t="shared" ca="1" si="24"/>
        <v>0</v>
      </c>
      <c r="Q52" s="120">
        <f t="shared" ca="1" si="25"/>
        <v>0</v>
      </c>
      <c r="R52" s="232">
        <f t="shared" ref="R52:T52" ca="1" si="37">SUM(R53:R73)</f>
        <v>0</v>
      </c>
      <c r="S52" s="233">
        <f t="shared" ca="1" si="37"/>
        <v>0</v>
      </c>
      <c r="T52" s="233">
        <f t="shared" ca="1" si="37"/>
        <v>0</v>
      </c>
      <c r="U52" s="234">
        <f t="shared" ca="1" si="27"/>
        <v>0</v>
      </c>
      <c r="V52" s="234">
        <f t="shared" ca="1" si="28"/>
        <v>0</v>
      </c>
      <c r="W52" s="71">
        <f t="shared" ref="W52:X52" ca="1" si="38">SUM(W53:W73)</f>
        <v>105</v>
      </c>
      <c r="X52" s="71">
        <f t="shared" ca="1" si="38"/>
        <v>0</v>
      </c>
      <c r="Y52" s="114">
        <f t="shared" ca="1" si="30"/>
        <v>0</v>
      </c>
    </row>
    <row r="53" spans="1:25" ht="21" customHeight="1" x14ac:dyDescent="0.3">
      <c r="A53" s="77">
        <v>1</v>
      </c>
      <c r="B53" s="78" t="s">
        <v>79</v>
      </c>
      <c r="C53" s="174">
        <f t="shared" ca="1" si="18"/>
        <v>3000</v>
      </c>
      <c r="D53" s="175">
        <f t="shared" ref="D53:D73" ca="1" si="39">+E53+F53</f>
        <v>3000</v>
      </c>
      <c r="E53" s="176">
        <f ca="1">IFERROR(__xludf.DUMMYFUNCTION("IMPORTRANGE(""https://docs.google.com/spreadsheets/d/1-uDff_7J0KD5mKrp0Vvzr7lt3OU09vwQwhkpOPPYv2Y/edit?usp=sharing"",""งบพรบ!CB53"")"),0)</f>
        <v>0</v>
      </c>
      <c r="F53" s="176">
        <f ca="1">IFERROR(__xludf.DUMMYFUNCTION("IMPORTRANGE(""https://docs.google.com/spreadsheets/d/1-uDff_7J0KD5mKrp0Vvzr7lt3OU09vwQwhkpOPPYv2Y/edit?usp=sharing"",""งบพรบ!CC53"")"),3000)</f>
        <v>3000</v>
      </c>
      <c r="G53" s="177">
        <f ca="1">IFERROR(__xludf.DUMMYFUNCTION("IMPORTRANGE(""https://docs.google.com/spreadsheets/d/1-uDff_7J0KD5mKrp0Vvzr7lt3OU09vwQwhkpOPPYv2Y/edit?usp=sharing"",""งบพรบ!CD53"")"),0)</f>
        <v>0</v>
      </c>
      <c r="H53" s="177">
        <f ca="1">IFERROR(__xludf.DUMMYFUNCTION("IMPORTRANGE(""https://docs.google.com/spreadsheets/d/1-uDff_7J0KD5mKrp0Vvzr7lt3OU09vwQwhkpOPPYv2Y/edit?usp=sharing"",""งบพรบ!CF53"")"),0)</f>
        <v>0</v>
      </c>
      <c r="I53" s="177">
        <f ca="1">IFERROR(__xludf.DUMMYFUNCTION("IMPORTRANGE(""https://docs.google.com/spreadsheets/d/1-uDff_7J0KD5mKrp0Vvzr7lt3OU09vwQwhkpOPPYv2Y/edit?usp=sharing"",""งบพรบ!CG53"")"),0)</f>
        <v>0</v>
      </c>
      <c r="J53" s="177">
        <f t="shared" ca="1" si="20"/>
        <v>0</v>
      </c>
      <c r="K53" s="178">
        <f t="shared" ca="1" si="21"/>
        <v>0</v>
      </c>
      <c r="L53" s="177">
        <f ca="1">IFERROR(__xludf.DUMMYFUNCTION("IMPORTRANGE(""https://docs.google.com/spreadsheets/d/1-uDff_7J0KD5mKrp0Vvzr7lt3OU09vwQwhkpOPPYv2Y/edit?usp=sharing"",""งบพรบ!CH53"")"),0)</f>
        <v>0</v>
      </c>
      <c r="M53" s="87">
        <f t="shared" ca="1" si="22"/>
        <v>0</v>
      </c>
      <c r="N53" s="87">
        <f t="shared" ca="1" si="23"/>
        <v>0</v>
      </c>
      <c r="O53" s="86">
        <f ca="1">IFERROR(__xludf.DUMMYFUNCTION("IMPORTRANGE(""https://docs.google.com/spreadsheets/d/1-uDff_7J0KD5mKrp0Vvzr7lt3OU09vwQwhkpOPPYv2Y/edit?usp=sharing"",""งบพรบ!CI53"")"),0)</f>
        <v>0</v>
      </c>
      <c r="P53" s="86">
        <f t="shared" ca="1" si="24"/>
        <v>0</v>
      </c>
      <c r="Q53" s="87">
        <f t="shared" ca="1" si="25"/>
        <v>0</v>
      </c>
      <c r="R53" s="241">
        <f ca="1">IFERROR(__xludf.DUMMYFUNCTION("IMPORTRANGE(""https://docs.google.com/spreadsheets/d/13wPX838HrBrQMCywv1BsuMkt4PEKTChp52zj44s2izQ/edit?usp=sharing"",""กาญจนบุรี!Q157"")"),0)</f>
        <v>0</v>
      </c>
      <c r="S53" s="242">
        <f ca="1">IFERROR(__xludf.DUMMYFUNCTION("IMPORTRANGE(""https://docs.google.com/spreadsheets/d/13wPX838HrBrQMCywv1BsuMkt4PEKTChp52zj44s2izQ/edit?usp=sharing"",""กาญจนบุรี!R157"")"),0)</f>
        <v>0</v>
      </c>
      <c r="T53" s="242">
        <f ca="1">IFERROR(__xludf.DUMMYFUNCTION("IMPORTRANGE(""https://docs.google.com/spreadsheets/d/13wPX838HrBrQMCywv1BsuMkt4PEKTChp52zj44s2izQ/edit?usp=sharing"",""กาญจนบุรี!S157"")"),0)</f>
        <v>0</v>
      </c>
      <c r="U53" s="243">
        <f t="shared" ca="1" si="27"/>
        <v>0</v>
      </c>
      <c r="V53" s="243">
        <f t="shared" ca="1" si="28"/>
        <v>0</v>
      </c>
      <c r="W53" s="82">
        <f ca="1">IFERROR(__xludf.DUMMYFUNCTION("IMPORTRANGE(""https://docs.google.com/spreadsheets/d/13wPX838HrBrQMCywv1BsuMkt4PEKTChp52zj44s2izQ/edit?usp=sharing"",""กาญจนบุรี!I167"")"),10)</f>
        <v>10</v>
      </c>
      <c r="X53" s="82">
        <f ca="1">IFERROR(__xludf.DUMMYFUNCTION("IMPORTRANGE(""https://docs.google.com/spreadsheets/d/13wPX838HrBrQMCywv1BsuMkt4PEKTChp52zj44s2izQ/edit?usp=sharing"",""กาญจนบุรี!J167"")"),0)</f>
        <v>0</v>
      </c>
      <c r="Y53" s="88">
        <f t="shared" ca="1" si="30"/>
        <v>0</v>
      </c>
    </row>
    <row r="54" spans="1:25" ht="21" customHeight="1" x14ac:dyDescent="0.3">
      <c r="A54" s="89">
        <v>2</v>
      </c>
      <c r="B54" s="90" t="s">
        <v>80</v>
      </c>
      <c r="C54" s="174">
        <f t="shared" ca="1" si="18"/>
        <v>0</v>
      </c>
      <c r="D54" s="175">
        <f t="shared" ca="1" si="39"/>
        <v>0</v>
      </c>
      <c r="E54" s="176">
        <f ca="1">IFERROR(__xludf.DUMMYFUNCTION("IMPORTRANGE(""https://docs.google.com/spreadsheets/d/1-uDff_7J0KD5mKrp0Vvzr7lt3OU09vwQwhkpOPPYv2Y/edit?usp=sharing"",""งบพรบ!CB54"")"),0)</f>
        <v>0</v>
      </c>
      <c r="F54" s="176">
        <f ca="1">IFERROR(__xludf.DUMMYFUNCTION("IMPORTRANGE(""https://docs.google.com/spreadsheets/d/1-uDff_7J0KD5mKrp0Vvzr7lt3OU09vwQwhkpOPPYv2Y/edit?usp=sharing"",""งบพรบ!CC54"")"),0)</f>
        <v>0</v>
      </c>
      <c r="G54" s="176">
        <f ca="1">IFERROR(__xludf.DUMMYFUNCTION("IMPORTRANGE(""https://docs.google.com/spreadsheets/d/1-uDff_7J0KD5mKrp0Vvzr7lt3OU09vwQwhkpOPPYv2Y/edit?usp=sharing"",""งบพรบ!CD54"")"),0)</f>
        <v>0</v>
      </c>
      <c r="H54" s="176">
        <f ca="1">IFERROR(__xludf.DUMMYFUNCTION("IMPORTRANGE(""https://docs.google.com/spreadsheets/d/1-uDff_7J0KD5mKrp0Vvzr7lt3OU09vwQwhkpOPPYv2Y/edit?usp=sharing"",""งบพรบ!CF54"")"),0)</f>
        <v>0</v>
      </c>
      <c r="I54" s="176">
        <f ca="1">IFERROR(__xludf.DUMMYFUNCTION("IMPORTRANGE(""https://docs.google.com/spreadsheets/d/1-uDff_7J0KD5mKrp0Vvzr7lt3OU09vwQwhkpOPPYv2Y/edit?usp=sharing"",""งบพรบ!CG54"")"),0)</f>
        <v>0</v>
      </c>
      <c r="J54" s="176">
        <f t="shared" ca="1" si="20"/>
        <v>0</v>
      </c>
      <c r="K54" s="179">
        <f t="shared" ca="1" si="21"/>
        <v>0</v>
      </c>
      <c r="L54" s="176">
        <f ca="1">IFERROR(__xludf.DUMMYFUNCTION("IMPORTRANGE(""https://docs.google.com/spreadsheets/d/1-uDff_7J0KD5mKrp0Vvzr7lt3OU09vwQwhkpOPPYv2Y/edit?usp=sharing"",""งบพรบ!CH54"")"),0)</f>
        <v>0</v>
      </c>
      <c r="M54" s="87">
        <f t="shared" ca="1" si="22"/>
        <v>0</v>
      </c>
      <c r="N54" s="87">
        <f t="shared" ca="1" si="23"/>
        <v>0</v>
      </c>
      <c r="O54" s="86">
        <f ca="1">IFERROR(__xludf.DUMMYFUNCTION("IMPORTRANGE(""https://docs.google.com/spreadsheets/d/1-uDff_7J0KD5mKrp0Vvzr7lt3OU09vwQwhkpOPPYv2Y/edit?usp=sharing"",""งบพรบ!CI54"")"),0)</f>
        <v>0</v>
      </c>
      <c r="P54" s="86">
        <f t="shared" ca="1" si="24"/>
        <v>0</v>
      </c>
      <c r="Q54" s="87">
        <f t="shared" ca="1" si="25"/>
        <v>0</v>
      </c>
      <c r="R54" s="241">
        <f ca="1">IFERROR(__xludf.DUMMYFUNCTION("IMPORTRANGE(""https://docs.google.com/spreadsheets/d/1ddFKvqj1W1NEiWytbGlB1zMx_ykJDVtmfEQ-6-lIUBA/edit?usp=sharing"",""จันทบุรี!Q157"")"),0)</f>
        <v>0</v>
      </c>
      <c r="S54" s="242">
        <f ca="1">IFERROR(__xludf.DUMMYFUNCTION("IMPORTRANGE(""https://docs.google.com/spreadsheets/d/1ddFKvqj1W1NEiWytbGlB1zMx_ykJDVtmfEQ-6-lIUBA/edit?usp=sharing"",""จันทบุรี!R157"")"),0)</f>
        <v>0</v>
      </c>
      <c r="T54" s="242">
        <f ca="1">IFERROR(__xludf.DUMMYFUNCTION("IMPORTRANGE(""https://docs.google.com/spreadsheets/d/1ddFKvqj1W1NEiWytbGlB1zMx_ykJDVtmfEQ-6-lIUBA/edit?usp=sharing"",""จันทบุรี!S157"")"),0)</f>
        <v>0</v>
      </c>
      <c r="U54" s="243">
        <f t="shared" ca="1" si="27"/>
        <v>0</v>
      </c>
      <c r="V54" s="243">
        <f t="shared" ca="1" si="28"/>
        <v>0</v>
      </c>
      <c r="W54" s="97">
        <f ca="1">IFERROR(__xludf.DUMMYFUNCTION("IMPORTRANGE(""https://docs.google.com/spreadsheets/d/1ddFKvqj1W1NEiWytbGlB1zMx_ykJDVtmfEQ-6-lIUBA/edit?usp=sharing"",""จันทบุรี!I167"")"),0)</f>
        <v>0</v>
      </c>
      <c r="X54" s="97">
        <f ca="1">IFERROR(__xludf.DUMMYFUNCTION("IMPORTRANGE(""https://docs.google.com/spreadsheets/d/1ddFKvqj1W1NEiWytbGlB1zMx_ykJDVtmfEQ-6-lIUBA/edit?usp=sharing"",""จันทบุรี!J167"")"),0)</f>
        <v>0</v>
      </c>
      <c r="Y54" s="98">
        <f t="shared" ca="1" si="30"/>
        <v>0</v>
      </c>
    </row>
    <row r="55" spans="1:25" ht="21" customHeight="1" x14ac:dyDescent="0.3">
      <c r="A55" s="89">
        <v>3</v>
      </c>
      <c r="B55" s="90" t="s">
        <v>81</v>
      </c>
      <c r="C55" s="174">
        <f t="shared" ca="1" si="18"/>
        <v>3000</v>
      </c>
      <c r="D55" s="175">
        <f t="shared" ca="1" si="39"/>
        <v>3000</v>
      </c>
      <c r="E55" s="176">
        <f ca="1">IFERROR(__xludf.DUMMYFUNCTION("IMPORTRANGE(""https://docs.google.com/spreadsheets/d/1-uDff_7J0KD5mKrp0Vvzr7lt3OU09vwQwhkpOPPYv2Y/edit?usp=sharing"",""งบพรบ!CB55"")"),0)</f>
        <v>0</v>
      </c>
      <c r="F55" s="176">
        <f ca="1">IFERROR(__xludf.DUMMYFUNCTION("IMPORTRANGE(""https://docs.google.com/spreadsheets/d/1-uDff_7J0KD5mKrp0Vvzr7lt3OU09vwQwhkpOPPYv2Y/edit?usp=sharing"",""งบพรบ!CC55"")"),3000)</f>
        <v>3000</v>
      </c>
      <c r="G55" s="176">
        <f ca="1">IFERROR(__xludf.DUMMYFUNCTION("IMPORTRANGE(""https://docs.google.com/spreadsheets/d/1-uDff_7J0KD5mKrp0Vvzr7lt3OU09vwQwhkpOPPYv2Y/edit?usp=sharing"",""งบพรบ!CD55"")"),0)</f>
        <v>0</v>
      </c>
      <c r="H55" s="176">
        <f ca="1">IFERROR(__xludf.DUMMYFUNCTION("IMPORTRANGE(""https://docs.google.com/spreadsheets/d/1-uDff_7J0KD5mKrp0Vvzr7lt3OU09vwQwhkpOPPYv2Y/edit?usp=sharing"",""งบพรบ!CF55"")"),0)</f>
        <v>0</v>
      </c>
      <c r="I55" s="176">
        <f ca="1">IFERROR(__xludf.DUMMYFUNCTION("IMPORTRANGE(""https://docs.google.com/spreadsheets/d/1-uDff_7J0KD5mKrp0Vvzr7lt3OU09vwQwhkpOPPYv2Y/edit?usp=sharing"",""งบพรบ!CG55"")"),0)</f>
        <v>0</v>
      </c>
      <c r="J55" s="176">
        <f t="shared" ca="1" si="20"/>
        <v>0</v>
      </c>
      <c r="K55" s="179">
        <f t="shared" ca="1" si="21"/>
        <v>0</v>
      </c>
      <c r="L55" s="176">
        <f ca="1">IFERROR(__xludf.DUMMYFUNCTION("IMPORTRANGE(""https://docs.google.com/spreadsheets/d/1-uDff_7J0KD5mKrp0Vvzr7lt3OU09vwQwhkpOPPYv2Y/edit?usp=sharing"",""งบพรบ!CH55"")"),0)</f>
        <v>0</v>
      </c>
      <c r="M55" s="87">
        <f t="shared" ca="1" si="22"/>
        <v>0</v>
      </c>
      <c r="N55" s="87">
        <f t="shared" ca="1" si="23"/>
        <v>0</v>
      </c>
      <c r="O55" s="86">
        <f ca="1">IFERROR(__xludf.DUMMYFUNCTION("IMPORTRANGE(""https://docs.google.com/spreadsheets/d/1-uDff_7J0KD5mKrp0Vvzr7lt3OU09vwQwhkpOPPYv2Y/edit?usp=sharing"",""งบพรบ!CI55"")"),0)</f>
        <v>0</v>
      </c>
      <c r="P55" s="86">
        <f t="shared" ca="1" si="24"/>
        <v>0</v>
      </c>
      <c r="Q55" s="87">
        <f t="shared" ca="1" si="25"/>
        <v>0</v>
      </c>
      <c r="R55" s="241">
        <f ca="1">IFERROR(__xludf.DUMMYFUNCTION("IMPORTRANGE(""https://docs.google.com/spreadsheets/d/1T1PQvRODqOBZk8BRht_U031fIS1beLA0Ub2CEytj2q0/edit?usp=sharing"",""ฉะเชิงเทรา!Q157"")"),0)</f>
        <v>0</v>
      </c>
      <c r="S55" s="242">
        <f ca="1">IFERROR(__xludf.DUMMYFUNCTION("IMPORTRANGE(""https://docs.google.com/spreadsheets/d/1T1PQvRODqOBZk8BRht_U031fIS1beLA0Ub2CEytj2q0/edit?usp=sharing"",""ฉะเชิงเทรา!R157"")"),0)</f>
        <v>0</v>
      </c>
      <c r="T55" s="242">
        <f ca="1">IFERROR(__xludf.DUMMYFUNCTION("IMPORTRANGE(""https://docs.google.com/spreadsheets/d/1T1PQvRODqOBZk8BRht_U031fIS1beLA0Ub2CEytj2q0/edit?usp=sharing"",""ฉะเชิงเทรา!S157"")"),0)</f>
        <v>0</v>
      </c>
      <c r="U55" s="243">
        <f t="shared" ca="1" si="27"/>
        <v>0</v>
      </c>
      <c r="V55" s="243">
        <f t="shared" ca="1" si="28"/>
        <v>0</v>
      </c>
      <c r="W55" s="97">
        <f ca="1">IFERROR(__xludf.DUMMYFUNCTION("IMPORTRANGE(""https://docs.google.com/spreadsheets/d/1T1PQvRODqOBZk8BRht_U031fIS1beLA0Ub2CEytj2q0/edit?usp=sharing"",""ฉะเชิงเทรา!I167"")"),10)</f>
        <v>10</v>
      </c>
      <c r="X55" s="97">
        <f ca="1">IFERROR(__xludf.DUMMYFUNCTION("IMPORTRANGE(""https://docs.google.com/spreadsheets/d/1T1PQvRODqOBZk8BRht_U031fIS1beLA0Ub2CEytj2q0/edit?usp=sharing"",""ฉะเชิงเทรา!J167"")"),0)</f>
        <v>0</v>
      </c>
      <c r="Y55" s="98">
        <f t="shared" ca="1" si="30"/>
        <v>0</v>
      </c>
    </row>
    <row r="56" spans="1:25" ht="21" customHeight="1" x14ac:dyDescent="0.3">
      <c r="A56" s="89">
        <v>4</v>
      </c>
      <c r="B56" s="90" t="s">
        <v>82</v>
      </c>
      <c r="C56" s="174">
        <f t="shared" ca="1" si="18"/>
        <v>0</v>
      </c>
      <c r="D56" s="175">
        <f t="shared" ca="1" si="39"/>
        <v>0</v>
      </c>
      <c r="E56" s="176">
        <f ca="1">IFERROR(__xludf.DUMMYFUNCTION("IMPORTRANGE(""https://docs.google.com/spreadsheets/d/1-uDff_7J0KD5mKrp0Vvzr7lt3OU09vwQwhkpOPPYv2Y/edit?usp=sharing"",""งบพรบ!CB56"")"),0)</f>
        <v>0</v>
      </c>
      <c r="F56" s="176">
        <f ca="1">IFERROR(__xludf.DUMMYFUNCTION("IMPORTRANGE(""https://docs.google.com/spreadsheets/d/1-uDff_7J0KD5mKrp0Vvzr7lt3OU09vwQwhkpOPPYv2Y/edit?usp=sharing"",""งบพรบ!CC56"")"),0)</f>
        <v>0</v>
      </c>
      <c r="G56" s="176">
        <f ca="1">IFERROR(__xludf.DUMMYFUNCTION("IMPORTRANGE(""https://docs.google.com/spreadsheets/d/1-uDff_7J0KD5mKrp0Vvzr7lt3OU09vwQwhkpOPPYv2Y/edit?usp=sharing"",""งบพรบ!CD56"")"),0)</f>
        <v>0</v>
      </c>
      <c r="H56" s="176">
        <f ca="1">IFERROR(__xludf.DUMMYFUNCTION("IMPORTRANGE(""https://docs.google.com/spreadsheets/d/1-uDff_7J0KD5mKrp0Vvzr7lt3OU09vwQwhkpOPPYv2Y/edit?usp=sharing"",""งบพรบ!CF56"")"),0)</f>
        <v>0</v>
      </c>
      <c r="I56" s="176">
        <f ca="1">IFERROR(__xludf.DUMMYFUNCTION("IMPORTRANGE(""https://docs.google.com/spreadsheets/d/1-uDff_7J0KD5mKrp0Vvzr7lt3OU09vwQwhkpOPPYv2Y/edit?usp=sharing"",""งบพรบ!CG56"")"),0)</f>
        <v>0</v>
      </c>
      <c r="J56" s="176">
        <f t="shared" ca="1" si="20"/>
        <v>0</v>
      </c>
      <c r="K56" s="179">
        <f t="shared" ca="1" si="21"/>
        <v>0</v>
      </c>
      <c r="L56" s="176">
        <f ca="1">IFERROR(__xludf.DUMMYFUNCTION("IMPORTRANGE(""https://docs.google.com/spreadsheets/d/1-uDff_7J0KD5mKrp0Vvzr7lt3OU09vwQwhkpOPPYv2Y/edit?usp=sharing"",""งบพรบ!CH56"")"),0)</f>
        <v>0</v>
      </c>
      <c r="M56" s="87">
        <f t="shared" ca="1" si="22"/>
        <v>0</v>
      </c>
      <c r="N56" s="87">
        <f t="shared" ca="1" si="23"/>
        <v>0</v>
      </c>
      <c r="O56" s="86">
        <f ca="1">IFERROR(__xludf.DUMMYFUNCTION("IMPORTRANGE(""https://docs.google.com/spreadsheets/d/1-uDff_7J0KD5mKrp0Vvzr7lt3OU09vwQwhkpOPPYv2Y/edit?usp=sharing"",""งบพรบ!CI56"")"),0)</f>
        <v>0</v>
      </c>
      <c r="P56" s="86">
        <f t="shared" ca="1" si="24"/>
        <v>0</v>
      </c>
      <c r="Q56" s="87">
        <f t="shared" ca="1" si="25"/>
        <v>0</v>
      </c>
      <c r="R56" s="241">
        <f ca="1">IFERROR(__xludf.DUMMYFUNCTION("IMPORTRANGE(""https://docs.google.com/spreadsheets/d/11tr1B-Bhyr79v2bkwVh5h_fR-PStkgjlZtkrZpYurG0/edit?usp=sharing"",""ชลบุรี!Q157"")"),0)</f>
        <v>0</v>
      </c>
      <c r="S56" s="242">
        <f ca="1">IFERROR(__xludf.DUMMYFUNCTION("IMPORTRANGE(""https://docs.google.com/spreadsheets/d/11tr1B-Bhyr79v2bkwVh5h_fR-PStkgjlZtkrZpYurG0/edit?usp=sharing"",""ชลบุรี!R157"")"),0)</f>
        <v>0</v>
      </c>
      <c r="T56" s="242">
        <f ca="1">IFERROR(__xludf.DUMMYFUNCTION("IMPORTRANGE(""https://docs.google.com/spreadsheets/d/11tr1B-Bhyr79v2bkwVh5h_fR-PStkgjlZtkrZpYurG0/edit?usp=sharing"",""ชลบุรี!S157"")"),0)</f>
        <v>0</v>
      </c>
      <c r="U56" s="243">
        <f t="shared" ca="1" si="27"/>
        <v>0</v>
      </c>
      <c r="V56" s="243">
        <f t="shared" ca="1" si="28"/>
        <v>0</v>
      </c>
      <c r="W56" s="97">
        <f ca="1">IFERROR(__xludf.DUMMYFUNCTION("IMPORTRANGE(""https://docs.google.com/spreadsheets/d/11tr1B-Bhyr79v2bkwVh5h_fR-PStkgjlZtkrZpYurG0/edit?usp=sharing"",""ชลบุรี!I167"")"),0)</f>
        <v>0</v>
      </c>
      <c r="X56" s="97">
        <f ca="1">IFERROR(__xludf.DUMMYFUNCTION("IMPORTRANGE(""https://docs.google.com/spreadsheets/d/11tr1B-Bhyr79v2bkwVh5h_fR-PStkgjlZtkrZpYurG0/edit?usp=sharing"",""ชลบุรี!J167"")"),0)</f>
        <v>0</v>
      </c>
      <c r="Y56" s="98">
        <f t="shared" ca="1" si="30"/>
        <v>0</v>
      </c>
    </row>
    <row r="57" spans="1:25" ht="21" customHeight="1" x14ac:dyDescent="0.3">
      <c r="A57" s="89">
        <v>5</v>
      </c>
      <c r="B57" s="90" t="s">
        <v>83</v>
      </c>
      <c r="C57" s="174">
        <f t="shared" ca="1" si="18"/>
        <v>3000</v>
      </c>
      <c r="D57" s="175">
        <f t="shared" ca="1" si="39"/>
        <v>3000</v>
      </c>
      <c r="E57" s="176">
        <f ca="1">IFERROR(__xludf.DUMMYFUNCTION("IMPORTRANGE(""https://docs.google.com/spreadsheets/d/1-uDff_7J0KD5mKrp0Vvzr7lt3OU09vwQwhkpOPPYv2Y/edit?usp=sharing"",""งบพรบ!CB57"")"),0)</f>
        <v>0</v>
      </c>
      <c r="F57" s="176">
        <f ca="1">IFERROR(__xludf.DUMMYFUNCTION("IMPORTRANGE(""https://docs.google.com/spreadsheets/d/1-uDff_7J0KD5mKrp0Vvzr7lt3OU09vwQwhkpOPPYv2Y/edit?usp=sharing"",""งบพรบ!CC57"")"),3000)</f>
        <v>3000</v>
      </c>
      <c r="G57" s="176">
        <f ca="1">IFERROR(__xludf.DUMMYFUNCTION("IMPORTRANGE(""https://docs.google.com/spreadsheets/d/1-uDff_7J0KD5mKrp0Vvzr7lt3OU09vwQwhkpOPPYv2Y/edit?usp=sharing"",""งบพรบ!CD57"")"),0)</f>
        <v>0</v>
      </c>
      <c r="H57" s="176">
        <f ca="1">IFERROR(__xludf.DUMMYFUNCTION("IMPORTRANGE(""https://docs.google.com/spreadsheets/d/1-uDff_7J0KD5mKrp0Vvzr7lt3OU09vwQwhkpOPPYv2Y/edit?usp=sharing"",""งบพรบ!CF57"")"),0)</f>
        <v>0</v>
      </c>
      <c r="I57" s="176">
        <f ca="1">IFERROR(__xludf.DUMMYFUNCTION("IMPORTRANGE(""https://docs.google.com/spreadsheets/d/1-uDff_7J0KD5mKrp0Vvzr7lt3OU09vwQwhkpOPPYv2Y/edit?usp=sharing"",""งบพรบ!CG57"")"),0)</f>
        <v>0</v>
      </c>
      <c r="J57" s="176">
        <f t="shared" ca="1" si="20"/>
        <v>0</v>
      </c>
      <c r="K57" s="179">
        <f t="shared" ca="1" si="21"/>
        <v>0</v>
      </c>
      <c r="L57" s="176">
        <f ca="1">IFERROR(__xludf.DUMMYFUNCTION("IMPORTRANGE(""https://docs.google.com/spreadsheets/d/1-uDff_7J0KD5mKrp0Vvzr7lt3OU09vwQwhkpOPPYv2Y/edit?usp=sharing"",""งบพรบ!CH57"")"),0)</f>
        <v>0</v>
      </c>
      <c r="M57" s="87">
        <f t="shared" ca="1" si="22"/>
        <v>0</v>
      </c>
      <c r="N57" s="87">
        <f t="shared" ca="1" si="23"/>
        <v>0</v>
      </c>
      <c r="O57" s="86">
        <f ca="1">IFERROR(__xludf.DUMMYFUNCTION("IMPORTRANGE(""https://docs.google.com/spreadsheets/d/1-uDff_7J0KD5mKrp0Vvzr7lt3OU09vwQwhkpOPPYv2Y/edit?usp=sharing"",""งบพรบ!CI57"")"),0)</f>
        <v>0</v>
      </c>
      <c r="P57" s="86">
        <f t="shared" ca="1" si="24"/>
        <v>0</v>
      </c>
      <c r="Q57" s="87">
        <f t="shared" ca="1" si="25"/>
        <v>0</v>
      </c>
      <c r="R57" s="241">
        <f ca="1">IFERROR(__xludf.DUMMYFUNCTION("IMPORTRANGE(""https://docs.google.com/spreadsheets/d/1hh-FVnSX0vozXhGluamEcS54Dw9_zqW0N7qJUWgJ0Sw/edit?usp=sharing"",""ชัยนาท!Q157"")"),0)</f>
        <v>0</v>
      </c>
      <c r="S57" s="242">
        <f ca="1">IFERROR(__xludf.DUMMYFUNCTION("IMPORTRANGE(""https://docs.google.com/spreadsheets/d/1hh-FVnSX0vozXhGluamEcS54Dw9_zqW0N7qJUWgJ0Sw/edit?usp=sharing"",""ชัยนาท!R157"")"),0)</f>
        <v>0</v>
      </c>
      <c r="T57" s="242">
        <f ca="1">IFERROR(__xludf.DUMMYFUNCTION("IMPORTRANGE(""https://docs.google.com/spreadsheets/d/1hh-FVnSX0vozXhGluamEcS54Dw9_zqW0N7qJUWgJ0Sw/edit?usp=sharing"",""ชัยนาท!S157"")"),0)</f>
        <v>0</v>
      </c>
      <c r="U57" s="243">
        <f t="shared" ca="1" si="27"/>
        <v>0</v>
      </c>
      <c r="V57" s="243">
        <f t="shared" ca="1" si="28"/>
        <v>0</v>
      </c>
      <c r="W57" s="97">
        <f ca="1">IFERROR(__xludf.DUMMYFUNCTION("IMPORTRANGE(""https://docs.google.com/spreadsheets/d/1hh-FVnSX0vozXhGluamEcS54Dw9_zqW0N7qJUWgJ0Sw/edit?usp=sharing"",""ชัยนาท!I167"")"),10)</f>
        <v>10</v>
      </c>
      <c r="X57" s="97">
        <f ca="1">IFERROR(__xludf.DUMMYFUNCTION("IMPORTRANGE(""https://docs.google.com/spreadsheets/d/1hh-FVnSX0vozXhGluamEcS54Dw9_zqW0N7qJUWgJ0Sw/edit?usp=sharing"",""ชัยนาท!J167"")"),0)</f>
        <v>0</v>
      </c>
      <c r="Y57" s="98">
        <f t="shared" ca="1" si="30"/>
        <v>0</v>
      </c>
    </row>
    <row r="58" spans="1:25" ht="21" customHeight="1" x14ac:dyDescent="0.3">
      <c r="A58" s="89">
        <v>6</v>
      </c>
      <c r="B58" s="90" t="s">
        <v>84</v>
      </c>
      <c r="C58" s="174">
        <f t="shared" ca="1" si="18"/>
        <v>0</v>
      </c>
      <c r="D58" s="175">
        <f t="shared" ca="1" si="39"/>
        <v>0</v>
      </c>
      <c r="E58" s="176">
        <f ca="1">IFERROR(__xludf.DUMMYFUNCTION("IMPORTRANGE(""https://docs.google.com/spreadsheets/d/1-uDff_7J0KD5mKrp0Vvzr7lt3OU09vwQwhkpOPPYv2Y/edit?usp=sharing"",""งบพรบ!CB58"")"),0)</f>
        <v>0</v>
      </c>
      <c r="F58" s="176">
        <f ca="1">IFERROR(__xludf.DUMMYFUNCTION("IMPORTRANGE(""https://docs.google.com/spreadsheets/d/1-uDff_7J0KD5mKrp0Vvzr7lt3OU09vwQwhkpOPPYv2Y/edit?usp=sharing"",""งบพรบ!CC58"")"),0)</f>
        <v>0</v>
      </c>
      <c r="G58" s="176">
        <f ca="1">IFERROR(__xludf.DUMMYFUNCTION("IMPORTRANGE(""https://docs.google.com/spreadsheets/d/1-uDff_7J0KD5mKrp0Vvzr7lt3OU09vwQwhkpOPPYv2Y/edit?usp=sharing"",""งบพรบ!CD58"")"),0)</f>
        <v>0</v>
      </c>
      <c r="H58" s="176">
        <f ca="1">IFERROR(__xludf.DUMMYFUNCTION("IMPORTRANGE(""https://docs.google.com/spreadsheets/d/1-uDff_7J0KD5mKrp0Vvzr7lt3OU09vwQwhkpOPPYv2Y/edit?usp=sharing"",""งบพรบ!CF58"")"),0)</f>
        <v>0</v>
      </c>
      <c r="I58" s="176">
        <f ca="1">IFERROR(__xludf.DUMMYFUNCTION("IMPORTRANGE(""https://docs.google.com/spreadsheets/d/1-uDff_7J0KD5mKrp0Vvzr7lt3OU09vwQwhkpOPPYv2Y/edit?usp=sharing"",""งบพรบ!CG58"")"),0)</f>
        <v>0</v>
      </c>
      <c r="J58" s="176">
        <f t="shared" ca="1" si="20"/>
        <v>0</v>
      </c>
      <c r="K58" s="179">
        <f t="shared" ca="1" si="21"/>
        <v>0</v>
      </c>
      <c r="L58" s="176">
        <f ca="1">IFERROR(__xludf.DUMMYFUNCTION("IMPORTRANGE(""https://docs.google.com/spreadsheets/d/1-uDff_7J0KD5mKrp0Vvzr7lt3OU09vwQwhkpOPPYv2Y/edit?usp=sharing"",""งบพรบ!CH58"")"),0)</f>
        <v>0</v>
      </c>
      <c r="M58" s="87">
        <f t="shared" ca="1" si="22"/>
        <v>0</v>
      </c>
      <c r="N58" s="87">
        <f t="shared" ca="1" si="23"/>
        <v>0</v>
      </c>
      <c r="O58" s="86">
        <f ca="1">IFERROR(__xludf.DUMMYFUNCTION("IMPORTRANGE(""https://docs.google.com/spreadsheets/d/1-uDff_7J0KD5mKrp0Vvzr7lt3OU09vwQwhkpOPPYv2Y/edit?usp=sharing"",""งบพรบ!CI58"")"),0)</f>
        <v>0</v>
      </c>
      <c r="P58" s="86">
        <f t="shared" ca="1" si="24"/>
        <v>0</v>
      </c>
      <c r="Q58" s="87">
        <f t="shared" ca="1" si="25"/>
        <v>0</v>
      </c>
      <c r="R58" s="241">
        <f ca="1">IFERROR(__xludf.DUMMYFUNCTION("IMPORTRANGE(""https://docs.google.com/spreadsheets/d/1jkqa6GXxSacMcY1eN8AHjMNJ_7dDXMJVRLDlaFSOdPM/edit?usp=sharing"",""ตราด!Q157"")"),0)</f>
        <v>0</v>
      </c>
      <c r="S58" s="242">
        <f ca="1">IFERROR(__xludf.DUMMYFUNCTION("IMPORTRANGE(""https://docs.google.com/spreadsheets/d/1jkqa6GXxSacMcY1eN8AHjMNJ_7dDXMJVRLDlaFSOdPM/edit?usp=sharing"",""ตราด!R157"")"),0)</f>
        <v>0</v>
      </c>
      <c r="T58" s="242">
        <f ca="1">IFERROR(__xludf.DUMMYFUNCTION("IMPORTRANGE(""https://docs.google.com/spreadsheets/d/1jkqa6GXxSacMcY1eN8AHjMNJ_7dDXMJVRLDlaFSOdPM/edit?usp=sharing"",""ตราด!S157"")"),0)</f>
        <v>0</v>
      </c>
      <c r="U58" s="243">
        <f t="shared" ca="1" si="27"/>
        <v>0</v>
      </c>
      <c r="V58" s="243">
        <f t="shared" ca="1" si="28"/>
        <v>0</v>
      </c>
      <c r="W58" s="97">
        <f ca="1">IFERROR(__xludf.DUMMYFUNCTION("IMPORTRANGE(""https://docs.google.com/spreadsheets/d/1jkqa6GXxSacMcY1eN8AHjMNJ_7dDXMJVRLDlaFSOdPM/edit?usp=sharing"",""ตราด!I167"")"),0)</f>
        <v>0</v>
      </c>
      <c r="X58" s="97">
        <f ca="1">IFERROR(__xludf.DUMMYFUNCTION("IMPORTRANGE(""https://docs.google.com/spreadsheets/d/1jkqa6GXxSacMcY1eN8AHjMNJ_7dDXMJVRLDlaFSOdPM/edit?usp=sharing"",""ตราด!J167"")"),0)</f>
        <v>0</v>
      </c>
      <c r="Y58" s="98">
        <f t="shared" ca="1" si="30"/>
        <v>0</v>
      </c>
    </row>
    <row r="59" spans="1:25" ht="21" customHeight="1" x14ac:dyDescent="0.3">
      <c r="A59" s="89">
        <v>7</v>
      </c>
      <c r="B59" s="90" t="s">
        <v>85</v>
      </c>
      <c r="C59" s="174">
        <f t="shared" ca="1" si="18"/>
        <v>0</v>
      </c>
      <c r="D59" s="175">
        <f t="shared" ca="1" si="39"/>
        <v>0</v>
      </c>
      <c r="E59" s="176">
        <f ca="1">IFERROR(__xludf.DUMMYFUNCTION("IMPORTRANGE(""https://docs.google.com/spreadsheets/d/1-uDff_7J0KD5mKrp0Vvzr7lt3OU09vwQwhkpOPPYv2Y/edit?usp=sharing"",""งบพรบ!CB59"")"),0)</f>
        <v>0</v>
      </c>
      <c r="F59" s="176">
        <f ca="1">IFERROR(__xludf.DUMMYFUNCTION("IMPORTRANGE(""https://docs.google.com/spreadsheets/d/1-uDff_7J0KD5mKrp0Vvzr7lt3OU09vwQwhkpOPPYv2Y/edit?usp=sharing"",""งบพรบ!CC59"")"),0)</f>
        <v>0</v>
      </c>
      <c r="G59" s="176">
        <f ca="1">IFERROR(__xludf.DUMMYFUNCTION("IMPORTRANGE(""https://docs.google.com/spreadsheets/d/1-uDff_7J0KD5mKrp0Vvzr7lt3OU09vwQwhkpOPPYv2Y/edit?usp=sharing"",""งบพรบ!CD59"")"),0)</f>
        <v>0</v>
      </c>
      <c r="H59" s="176">
        <f ca="1">IFERROR(__xludf.DUMMYFUNCTION("IMPORTRANGE(""https://docs.google.com/spreadsheets/d/1-uDff_7J0KD5mKrp0Vvzr7lt3OU09vwQwhkpOPPYv2Y/edit?usp=sharing"",""งบพรบ!CF59"")"),0)</f>
        <v>0</v>
      </c>
      <c r="I59" s="176">
        <f ca="1">IFERROR(__xludf.DUMMYFUNCTION("IMPORTRANGE(""https://docs.google.com/spreadsheets/d/1-uDff_7J0KD5mKrp0Vvzr7lt3OU09vwQwhkpOPPYv2Y/edit?usp=sharing"",""งบพรบ!CG59"")"),0)</f>
        <v>0</v>
      </c>
      <c r="J59" s="176">
        <f t="shared" ca="1" si="20"/>
        <v>0</v>
      </c>
      <c r="K59" s="179">
        <f t="shared" ca="1" si="21"/>
        <v>0</v>
      </c>
      <c r="L59" s="176">
        <f ca="1">IFERROR(__xludf.DUMMYFUNCTION("IMPORTRANGE(""https://docs.google.com/spreadsheets/d/1-uDff_7J0KD5mKrp0Vvzr7lt3OU09vwQwhkpOPPYv2Y/edit?usp=sharing"",""งบพรบ!CH59"")"),0)</f>
        <v>0</v>
      </c>
      <c r="M59" s="87">
        <f t="shared" ca="1" si="22"/>
        <v>0</v>
      </c>
      <c r="N59" s="87">
        <f t="shared" ca="1" si="23"/>
        <v>0</v>
      </c>
      <c r="O59" s="86">
        <f ca="1">IFERROR(__xludf.DUMMYFUNCTION("IMPORTRANGE(""https://docs.google.com/spreadsheets/d/1-uDff_7J0KD5mKrp0Vvzr7lt3OU09vwQwhkpOPPYv2Y/edit?usp=sharing"",""งบพรบ!CI59"")"),0)</f>
        <v>0</v>
      </c>
      <c r="P59" s="86">
        <f t="shared" ca="1" si="24"/>
        <v>0</v>
      </c>
      <c r="Q59" s="87">
        <f t="shared" ca="1" si="25"/>
        <v>0</v>
      </c>
      <c r="R59" s="241">
        <f ca="1">IFERROR(__xludf.DUMMYFUNCTION("IMPORTRANGE(""https://docs.google.com/spreadsheets/d/18hSgUJ3VwClqi_qtULmmW3cLr0oe3OKaSYoKzdpTsYQ/edit?usp=sharing"",""นครนายก!Q157"")"),0)</f>
        <v>0</v>
      </c>
      <c r="S59" s="242">
        <f ca="1">IFERROR(__xludf.DUMMYFUNCTION("IMPORTRANGE(""https://docs.google.com/spreadsheets/d/18hSgUJ3VwClqi_qtULmmW3cLr0oe3OKaSYoKzdpTsYQ/edit?usp=sharing"",""นครนายก!R157"")"),0)</f>
        <v>0</v>
      </c>
      <c r="T59" s="242">
        <f ca="1">IFERROR(__xludf.DUMMYFUNCTION("IMPORTRANGE(""https://docs.google.com/spreadsheets/d/18hSgUJ3VwClqi_qtULmmW3cLr0oe3OKaSYoKzdpTsYQ/edit?usp=sharing"",""นครนายก!S157"")"),0)</f>
        <v>0</v>
      </c>
      <c r="U59" s="243">
        <f t="shared" ca="1" si="27"/>
        <v>0</v>
      </c>
      <c r="V59" s="243">
        <f t="shared" ca="1" si="28"/>
        <v>0</v>
      </c>
      <c r="W59" s="97">
        <f ca="1">IFERROR(__xludf.DUMMYFUNCTION("IMPORTRANGE(""https://docs.google.com/spreadsheets/d/18hSgUJ3VwClqi_qtULmmW3cLr0oe3OKaSYoKzdpTsYQ/edit?usp=sharing"",""นครนายก!I167"")"),0)</f>
        <v>0</v>
      </c>
      <c r="X59" s="97">
        <f ca="1">IFERROR(__xludf.DUMMYFUNCTION("IMPORTRANGE(""https://docs.google.com/spreadsheets/d/18hSgUJ3VwClqi_qtULmmW3cLr0oe3OKaSYoKzdpTsYQ/edit?usp=sharing"",""นครนายก!J167"")"),0)</f>
        <v>0</v>
      </c>
      <c r="Y59" s="98">
        <f t="shared" ca="1" si="30"/>
        <v>0</v>
      </c>
    </row>
    <row r="60" spans="1:25" ht="21" customHeight="1" x14ac:dyDescent="0.3">
      <c r="A60" s="89">
        <v>8</v>
      </c>
      <c r="B60" s="90" t="s">
        <v>86</v>
      </c>
      <c r="C60" s="174">
        <f t="shared" ca="1" si="18"/>
        <v>0</v>
      </c>
      <c r="D60" s="175">
        <f t="shared" ca="1" si="39"/>
        <v>0</v>
      </c>
      <c r="E60" s="176">
        <f ca="1">IFERROR(__xludf.DUMMYFUNCTION("IMPORTRANGE(""https://docs.google.com/spreadsheets/d/1-uDff_7J0KD5mKrp0Vvzr7lt3OU09vwQwhkpOPPYv2Y/edit?usp=sharing"",""งบพรบ!CB60"")"),0)</f>
        <v>0</v>
      </c>
      <c r="F60" s="176">
        <f ca="1">IFERROR(__xludf.DUMMYFUNCTION("IMPORTRANGE(""https://docs.google.com/spreadsheets/d/1-uDff_7J0KD5mKrp0Vvzr7lt3OU09vwQwhkpOPPYv2Y/edit?usp=sharing"",""งบพรบ!CC60"")"),0)</f>
        <v>0</v>
      </c>
      <c r="G60" s="176">
        <f ca="1">IFERROR(__xludf.DUMMYFUNCTION("IMPORTRANGE(""https://docs.google.com/spreadsheets/d/1-uDff_7J0KD5mKrp0Vvzr7lt3OU09vwQwhkpOPPYv2Y/edit?usp=sharing"",""งบพรบ!CD60"")"),0)</f>
        <v>0</v>
      </c>
      <c r="H60" s="176">
        <f ca="1">IFERROR(__xludf.DUMMYFUNCTION("IMPORTRANGE(""https://docs.google.com/spreadsheets/d/1-uDff_7J0KD5mKrp0Vvzr7lt3OU09vwQwhkpOPPYv2Y/edit?usp=sharing"",""งบพรบ!CF60"")"),0)</f>
        <v>0</v>
      </c>
      <c r="I60" s="176">
        <f ca="1">IFERROR(__xludf.DUMMYFUNCTION("IMPORTRANGE(""https://docs.google.com/spreadsheets/d/1-uDff_7J0KD5mKrp0Vvzr7lt3OU09vwQwhkpOPPYv2Y/edit?usp=sharing"",""งบพรบ!CG60"")"),0)</f>
        <v>0</v>
      </c>
      <c r="J60" s="176">
        <f t="shared" ca="1" si="20"/>
        <v>0</v>
      </c>
      <c r="K60" s="179">
        <f t="shared" ca="1" si="21"/>
        <v>0</v>
      </c>
      <c r="L60" s="176">
        <f ca="1">IFERROR(__xludf.DUMMYFUNCTION("IMPORTRANGE(""https://docs.google.com/spreadsheets/d/1-uDff_7J0KD5mKrp0Vvzr7lt3OU09vwQwhkpOPPYv2Y/edit?usp=sharing"",""งบพรบ!CH60"")"),0)</f>
        <v>0</v>
      </c>
      <c r="M60" s="87">
        <f t="shared" ca="1" si="22"/>
        <v>0</v>
      </c>
      <c r="N60" s="87">
        <f t="shared" ca="1" si="23"/>
        <v>0</v>
      </c>
      <c r="O60" s="86">
        <f ca="1">IFERROR(__xludf.DUMMYFUNCTION("IMPORTRANGE(""https://docs.google.com/spreadsheets/d/1-uDff_7J0KD5mKrp0Vvzr7lt3OU09vwQwhkpOPPYv2Y/edit?usp=sharing"",""งบพรบ!CI60"")"),0)</f>
        <v>0</v>
      </c>
      <c r="P60" s="86">
        <f t="shared" ca="1" si="24"/>
        <v>0</v>
      </c>
      <c r="Q60" s="87">
        <f t="shared" ca="1" si="25"/>
        <v>0</v>
      </c>
      <c r="R60" s="241">
        <f ca="1">IFERROR(__xludf.DUMMYFUNCTION("IMPORTRANGE(""https://docs.google.com/spreadsheets/d/1YTZo6WM2dQ6Ix6FSdnL5P7uVnVKu40sxZu975tgG10E/edit?usp=sharing"",""นครปฐม!Q157"")"),0)</f>
        <v>0</v>
      </c>
      <c r="S60" s="242">
        <f ca="1">IFERROR(__xludf.DUMMYFUNCTION("IMPORTRANGE(""https://docs.google.com/spreadsheets/d/1YTZo6WM2dQ6Ix6FSdnL5P7uVnVKu40sxZu975tgG10E/edit?usp=sharing"",""นครปฐม!R157"")"),0)</f>
        <v>0</v>
      </c>
      <c r="T60" s="242">
        <f ca="1">IFERROR(__xludf.DUMMYFUNCTION("IMPORTRANGE(""https://docs.google.com/spreadsheets/d/1YTZo6WM2dQ6Ix6FSdnL5P7uVnVKu40sxZu975tgG10E/edit?usp=sharing"",""นครปฐม!S157"")"),0)</f>
        <v>0</v>
      </c>
      <c r="U60" s="243">
        <f t="shared" ca="1" si="27"/>
        <v>0</v>
      </c>
      <c r="V60" s="243">
        <f t="shared" ca="1" si="28"/>
        <v>0</v>
      </c>
      <c r="W60" s="97">
        <f ca="1">IFERROR(__xludf.DUMMYFUNCTION("IMPORTRANGE(""https://docs.google.com/spreadsheets/d/1YTZo6WM2dQ6Ix6FSdnL5P7uVnVKu40sxZu975tgG10E/edit?usp=sharing"",""นครปฐม!I167"")"),0)</f>
        <v>0</v>
      </c>
      <c r="X60" s="97">
        <f ca="1">IFERROR(__xludf.DUMMYFUNCTION("IMPORTRANGE(""https://docs.google.com/spreadsheets/d/1YTZo6WM2dQ6Ix6FSdnL5P7uVnVKu40sxZu975tgG10E/edit?usp=sharing"",""นครปฐม!J167"")"),0)</f>
        <v>0</v>
      </c>
      <c r="Y60" s="98">
        <f t="shared" ca="1" si="30"/>
        <v>0</v>
      </c>
    </row>
    <row r="61" spans="1:25" ht="21" customHeight="1" x14ac:dyDescent="0.3">
      <c r="A61" s="89">
        <v>9</v>
      </c>
      <c r="B61" s="90" t="s">
        <v>87</v>
      </c>
      <c r="C61" s="174">
        <f t="shared" ca="1" si="18"/>
        <v>0</v>
      </c>
      <c r="D61" s="175">
        <f t="shared" ca="1" si="39"/>
        <v>0</v>
      </c>
      <c r="E61" s="176">
        <f ca="1">IFERROR(__xludf.DUMMYFUNCTION("IMPORTRANGE(""https://docs.google.com/spreadsheets/d/1-uDff_7J0KD5mKrp0Vvzr7lt3OU09vwQwhkpOPPYv2Y/edit?usp=sharing"",""งบพรบ!CB61"")"),0)</f>
        <v>0</v>
      </c>
      <c r="F61" s="176">
        <f ca="1">IFERROR(__xludf.DUMMYFUNCTION("IMPORTRANGE(""https://docs.google.com/spreadsheets/d/1-uDff_7J0KD5mKrp0Vvzr7lt3OU09vwQwhkpOPPYv2Y/edit?usp=sharing"",""งบพรบ!CC61"")"),0)</f>
        <v>0</v>
      </c>
      <c r="G61" s="176">
        <f ca="1">IFERROR(__xludf.DUMMYFUNCTION("IMPORTRANGE(""https://docs.google.com/spreadsheets/d/1-uDff_7J0KD5mKrp0Vvzr7lt3OU09vwQwhkpOPPYv2Y/edit?usp=sharing"",""งบพรบ!CD61"")"),0)</f>
        <v>0</v>
      </c>
      <c r="H61" s="176">
        <f ca="1">IFERROR(__xludf.DUMMYFUNCTION("IMPORTRANGE(""https://docs.google.com/spreadsheets/d/1-uDff_7J0KD5mKrp0Vvzr7lt3OU09vwQwhkpOPPYv2Y/edit?usp=sharing"",""งบพรบ!CF61"")"),0)</f>
        <v>0</v>
      </c>
      <c r="I61" s="176">
        <f ca="1">IFERROR(__xludf.DUMMYFUNCTION("IMPORTRANGE(""https://docs.google.com/spreadsheets/d/1-uDff_7J0KD5mKrp0Vvzr7lt3OU09vwQwhkpOPPYv2Y/edit?usp=sharing"",""งบพรบ!CG61"")"),0)</f>
        <v>0</v>
      </c>
      <c r="J61" s="176">
        <f t="shared" ca="1" si="20"/>
        <v>0</v>
      </c>
      <c r="K61" s="179">
        <f t="shared" ca="1" si="21"/>
        <v>0</v>
      </c>
      <c r="L61" s="176">
        <f ca="1">IFERROR(__xludf.DUMMYFUNCTION("IMPORTRANGE(""https://docs.google.com/spreadsheets/d/1-uDff_7J0KD5mKrp0Vvzr7lt3OU09vwQwhkpOPPYv2Y/edit?usp=sharing"",""งบพรบ!CH61"")"),0)</f>
        <v>0</v>
      </c>
      <c r="M61" s="87">
        <f t="shared" ca="1" si="22"/>
        <v>0</v>
      </c>
      <c r="N61" s="87">
        <f t="shared" ca="1" si="23"/>
        <v>0</v>
      </c>
      <c r="O61" s="86">
        <f ca="1">IFERROR(__xludf.DUMMYFUNCTION("IMPORTRANGE(""https://docs.google.com/spreadsheets/d/1-uDff_7J0KD5mKrp0Vvzr7lt3OU09vwQwhkpOPPYv2Y/edit?usp=sharing"",""งบพรบ!CI61"")"),0)</f>
        <v>0</v>
      </c>
      <c r="P61" s="86">
        <f t="shared" ca="1" si="24"/>
        <v>0</v>
      </c>
      <c r="Q61" s="87">
        <f t="shared" ca="1" si="25"/>
        <v>0</v>
      </c>
      <c r="R61" s="241">
        <f ca="1">IFERROR(__xludf.DUMMYFUNCTION("IMPORTRANGE(""https://docs.google.com/spreadsheets/d/1OYoGg4WDg5RIzwGeB10padOxJF9E_Vljuvvct_M7RDo/edit?usp=sharing"",""ปทุมธานี!Q157"")"),0)</f>
        <v>0</v>
      </c>
      <c r="S61" s="242">
        <f ca="1">IFERROR(__xludf.DUMMYFUNCTION("IMPORTRANGE(""https://docs.google.com/spreadsheets/d/1OYoGg4WDg5RIzwGeB10padOxJF9E_Vljuvvct_M7RDo/edit?usp=sharing"",""ปทุมธานี!R157"")"),0)</f>
        <v>0</v>
      </c>
      <c r="T61" s="242">
        <f ca="1">IFERROR(__xludf.DUMMYFUNCTION("IMPORTRANGE(""https://docs.google.com/spreadsheets/d/1OYoGg4WDg5RIzwGeB10padOxJF9E_Vljuvvct_M7RDo/edit?usp=sharing"",""ปทุมธานี!S157"")"),0)</f>
        <v>0</v>
      </c>
      <c r="U61" s="243">
        <f t="shared" ca="1" si="27"/>
        <v>0</v>
      </c>
      <c r="V61" s="243">
        <f t="shared" ca="1" si="28"/>
        <v>0</v>
      </c>
      <c r="W61" s="97">
        <f ca="1">IFERROR(__xludf.DUMMYFUNCTION("IMPORTRANGE(""https://docs.google.com/spreadsheets/d/1OYoGg4WDg5RIzwGeB10padOxJF9E_Vljuvvct_M7RDo/edit?usp=sharing"",""ปทุมธานี!I167"")"),0)</f>
        <v>0</v>
      </c>
      <c r="X61" s="97">
        <f ca="1">IFERROR(__xludf.DUMMYFUNCTION("IMPORTRANGE(""https://docs.google.com/spreadsheets/d/1OYoGg4WDg5RIzwGeB10padOxJF9E_Vljuvvct_M7RDo/edit?usp=sharing"",""ปทุมธานี!J167"")"),0)</f>
        <v>0</v>
      </c>
      <c r="Y61" s="98">
        <f t="shared" ca="1" si="30"/>
        <v>0</v>
      </c>
    </row>
    <row r="62" spans="1:25" ht="21" customHeight="1" x14ac:dyDescent="0.3">
      <c r="A62" s="89">
        <v>10</v>
      </c>
      <c r="B62" s="90" t="s">
        <v>88</v>
      </c>
      <c r="C62" s="174">
        <f t="shared" ca="1" si="18"/>
        <v>3000</v>
      </c>
      <c r="D62" s="175">
        <f t="shared" ca="1" si="39"/>
        <v>3000</v>
      </c>
      <c r="E62" s="176">
        <f ca="1">IFERROR(__xludf.DUMMYFUNCTION("IMPORTRANGE(""https://docs.google.com/spreadsheets/d/1-uDff_7J0KD5mKrp0Vvzr7lt3OU09vwQwhkpOPPYv2Y/edit?usp=sharing"",""งบพรบ!CB62"")"),0)</f>
        <v>0</v>
      </c>
      <c r="F62" s="176">
        <f ca="1">IFERROR(__xludf.DUMMYFUNCTION("IMPORTRANGE(""https://docs.google.com/spreadsheets/d/1-uDff_7J0KD5mKrp0Vvzr7lt3OU09vwQwhkpOPPYv2Y/edit?usp=sharing"",""งบพรบ!CC62"")"),3000)</f>
        <v>3000</v>
      </c>
      <c r="G62" s="176">
        <f ca="1">IFERROR(__xludf.DUMMYFUNCTION("IMPORTRANGE(""https://docs.google.com/spreadsheets/d/1-uDff_7J0KD5mKrp0Vvzr7lt3OU09vwQwhkpOPPYv2Y/edit?usp=sharing"",""งบพรบ!CD62"")"),0)</f>
        <v>0</v>
      </c>
      <c r="H62" s="176">
        <f ca="1">IFERROR(__xludf.DUMMYFUNCTION("IMPORTRANGE(""https://docs.google.com/spreadsheets/d/1-uDff_7J0KD5mKrp0Vvzr7lt3OU09vwQwhkpOPPYv2Y/edit?usp=sharing"",""งบพรบ!CF62"")"),0)</f>
        <v>0</v>
      </c>
      <c r="I62" s="176">
        <f ca="1">IFERROR(__xludf.DUMMYFUNCTION("IMPORTRANGE(""https://docs.google.com/spreadsheets/d/1-uDff_7J0KD5mKrp0Vvzr7lt3OU09vwQwhkpOPPYv2Y/edit?usp=sharing"",""งบพรบ!CG62"")"),0)</f>
        <v>0</v>
      </c>
      <c r="J62" s="176">
        <f t="shared" ca="1" si="20"/>
        <v>0</v>
      </c>
      <c r="K62" s="179">
        <f t="shared" ca="1" si="21"/>
        <v>0</v>
      </c>
      <c r="L62" s="176">
        <f ca="1">IFERROR(__xludf.DUMMYFUNCTION("IMPORTRANGE(""https://docs.google.com/spreadsheets/d/1-uDff_7J0KD5mKrp0Vvzr7lt3OU09vwQwhkpOPPYv2Y/edit?usp=sharing"",""งบพรบ!CH62"")"),0)</f>
        <v>0</v>
      </c>
      <c r="M62" s="87">
        <f t="shared" ca="1" si="22"/>
        <v>0</v>
      </c>
      <c r="N62" s="87">
        <f t="shared" ca="1" si="23"/>
        <v>0</v>
      </c>
      <c r="O62" s="86">
        <f ca="1">IFERROR(__xludf.DUMMYFUNCTION("IMPORTRANGE(""https://docs.google.com/spreadsheets/d/1-uDff_7J0KD5mKrp0Vvzr7lt3OU09vwQwhkpOPPYv2Y/edit?usp=sharing"",""งบพรบ!CI62"")"),0)</f>
        <v>0</v>
      </c>
      <c r="P62" s="86">
        <f t="shared" ca="1" si="24"/>
        <v>0</v>
      </c>
      <c r="Q62" s="87">
        <f t="shared" ca="1" si="25"/>
        <v>0</v>
      </c>
      <c r="R62" s="241">
        <f ca="1">IFERROR(__xludf.DUMMYFUNCTION("IMPORTRANGE(""https://docs.google.com/spreadsheets/d/1GbCIE4D4wk9FUozzqk7SxfDMxDVBwVmI5zcaVUSzKAc/edit?usp=sharing"",""ประจวบคีรีขันธ์!Q157"")"),0)</f>
        <v>0</v>
      </c>
      <c r="S62" s="242">
        <f ca="1">IFERROR(__xludf.DUMMYFUNCTION("IMPORTRANGE(""https://docs.google.com/spreadsheets/d/1GbCIE4D4wk9FUozzqk7SxfDMxDVBwVmI5zcaVUSzKAc/edit?usp=sharing"",""ประจวบคีรีขันธ์!R157"")"),0)</f>
        <v>0</v>
      </c>
      <c r="T62" s="242">
        <f ca="1">IFERROR(__xludf.DUMMYFUNCTION("IMPORTRANGE(""https://docs.google.com/spreadsheets/d/1GbCIE4D4wk9FUozzqk7SxfDMxDVBwVmI5zcaVUSzKAc/edit?usp=sharing"",""ประจวบคีรีขันธ์!S157"")"),0)</f>
        <v>0</v>
      </c>
      <c r="U62" s="243">
        <f t="shared" ca="1" si="27"/>
        <v>0</v>
      </c>
      <c r="V62" s="243">
        <f t="shared" ca="1" si="28"/>
        <v>0</v>
      </c>
      <c r="W62" s="97">
        <f ca="1">IFERROR(__xludf.DUMMYFUNCTION("IMPORTRANGE(""https://docs.google.com/spreadsheets/d/1GbCIE4D4wk9FUozzqk7SxfDMxDVBwVmI5zcaVUSzKAc/edit?usp=sharing"",""ประจวบคีรีขันธ์!I167"")"),10)</f>
        <v>10</v>
      </c>
      <c r="X62" s="97">
        <f ca="1">IFERROR(__xludf.DUMMYFUNCTION("IMPORTRANGE(""https://docs.google.com/spreadsheets/d/1GbCIE4D4wk9FUozzqk7SxfDMxDVBwVmI5zcaVUSzKAc/edit?usp=sharing"",""ประจวบคีรีขันธ์!J167"")"),0)</f>
        <v>0</v>
      </c>
      <c r="Y62" s="98">
        <f t="shared" ca="1" si="30"/>
        <v>0</v>
      </c>
    </row>
    <row r="63" spans="1:25" ht="21" customHeight="1" x14ac:dyDescent="0.3">
      <c r="A63" s="89">
        <v>11</v>
      </c>
      <c r="B63" s="90" t="s">
        <v>89</v>
      </c>
      <c r="C63" s="174">
        <f t="shared" ca="1" si="18"/>
        <v>0</v>
      </c>
      <c r="D63" s="175">
        <f t="shared" ca="1" si="39"/>
        <v>0</v>
      </c>
      <c r="E63" s="176">
        <f ca="1">IFERROR(__xludf.DUMMYFUNCTION("IMPORTRANGE(""https://docs.google.com/spreadsheets/d/1-uDff_7J0KD5mKrp0Vvzr7lt3OU09vwQwhkpOPPYv2Y/edit?usp=sharing"",""งบพรบ!CB63"")"),0)</f>
        <v>0</v>
      </c>
      <c r="F63" s="176">
        <f ca="1">IFERROR(__xludf.DUMMYFUNCTION("IMPORTRANGE(""https://docs.google.com/spreadsheets/d/1-uDff_7J0KD5mKrp0Vvzr7lt3OU09vwQwhkpOPPYv2Y/edit?usp=sharing"",""งบพรบ!CC63"")"),0)</f>
        <v>0</v>
      </c>
      <c r="G63" s="176">
        <f ca="1">IFERROR(__xludf.DUMMYFUNCTION("IMPORTRANGE(""https://docs.google.com/spreadsheets/d/1-uDff_7J0KD5mKrp0Vvzr7lt3OU09vwQwhkpOPPYv2Y/edit?usp=sharing"",""งบพรบ!CD63"")"),0)</f>
        <v>0</v>
      </c>
      <c r="H63" s="176">
        <f ca="1">IFERROR(__xludf.DUMMYFUNCTION("IMPORTRANGE(""https://docs.google.com/spreadsheets/d/1-uDff_7J0KD5mKrp0Vvzr7lt3OU09vwQwhkpOPPYv2Y/edit?usp=sharing"",""งบพรบ!CF63"")"),0)</f>
        <v>0</v>
      </c>
      <c r="I63" s="176">
        <f ca="1">IFERROR(__xludf.DUMMYFUNCTION("IMPORTRANGE(""https://docs.google.com/spreadsheets/d/1-uDff_7J0KD5mKrp0Vvzr7lt3OU09vwQwhkpOPPYv2Y/edit?usp=sharing"",""งบพรบ!CG63"")"),0)</f>
        <v>0</v>
      </c>
      <c r="J63" s="176">
        <f t="shared" ca="1" si="20"/>
        <v>0</v>
      </c>
      <c r="K63" s="179">
        <f t="shared" ca="1" si="21"/>
        <v>0</v>
      </c>
      <c r="L63" s="176">
        <f ca="1">IFERROR(__xludf.DUMMYFUNCTION("IMPORTRANGE(""https://docs.google.com/spreadsheets/d/1-uDff_7J0KD5mKrp0Vvzr7lt3OU09vwQwhkpOPPYv2Y/edit?usp=sharing"",""งบพรบ!CH63"")"),0)</f>
        <v>0</v>
      </c>
      <c r="M63" s="87">
        <f t="shared" ca="1" si="22"/>
        <v>0</v>
      </c>
      <c r="N63" s="87">
        <f t="shared" ca="1" si="23"/>
        <v>0</v>
      </c>
      <c r="O63" s="86">
        <f ca="1">IFERROR(__xludf.DUMMYFUNCTION("IMPORTRANGE(""https://docs.google.com/spreadsheets/d/1-uDff_7J0KD5mKrp0Vvzr7lt3OU09vwQwhkpOPPYv2Y/edit?usp=sharing"",""งบพรบ!CI63"")"),0)</f>
        <v>0</v>
      </c>
      <c r="P63" s="86">
        <f t="shared" ca="1" si="24"/>
        <v>0</v>
      </c>
      <c r="Q63" s="87">
        <f t="shared" ca="1" si="25"/>
        <v>0</v>
      </c>
      <c r="R63" s="241">
        <f ca="1">IFERROR(__xludf.DUMMYFUNCTION("IMPORTRANGE(""https://docs.google.com/spreadsheets/d/1vVf6wykvW_lAyu7Yo9L4hUTqHqIeP_qcVuxCtosJEbg/edit?usp=sharing"",""ปราจีนบุรี!Q157"")"),0)</f>
        <v>0</v>
      </c>
      <c r="S63" s="242">
        <f ca="1">IFERROR(__xludf.DUMMYFUNCTION("IMPORTRANGE(""https://docs.google.com/spreadsheets/d/1vVf6wykvW_lAyu7Yo9L4hUTqHqIeP_qcVuxCtosJEbg/edit?usp=sharing"",""ปราจีนบุรี!R157"")"),0)</f>
        <v>0</v>
      </c>
      <c r="T63" s="242">
        <f ca="1">IFERROR(__xludf.DUMMYFUNCTION("IMPORTRANGE(""https://docs.google.com/spreadsheets/d/1vVf6wykvW_lAyu7Yo9L4hUTqHqIeP_qcVuxCtosJEbg/edit?usp=sharing"",""ปราจีนบุรี!S157"")"),0)</f>
        <v>0</v>
      </c>
      <c r="U63" s="243">
        <f t="shared" ca="1" si="27"/>
        <v>0</v>
      </c>
      <c r="V63" s="243">
        <f t="shared" ca="1" si="28"/>
        <v>0</v>
      </c>
      <c r="W63" s="97">
        <f ca="1">IFERROR(__xludf.DUMMYFUNCTION("IMPORTRANGE(""https://docs.google.com/spreadsheets/d/1vVf6wykvW_lAyu7Yo9L4hUTqHqIeP_qcVuxCtosJEbg/edit?usp=sharing"",""ปราจีนบุรี!I167"")"),0)</f>
        <v>0</v>
      </c>
      <c r="X63" s="97">
        <f ca="1">IFERROR(__xludf.DUMMYFUNCTION("IMPORTRANGE(""https://docs.google.com/spreadsheets/d/1vVf6wykvW_lAyu7Yo9L4hUTqHqIeP_qcVuxCtosJEbg/edit?usp=sharing"",""ปราจีนบุรี!J167"")"),0)</f>
        <v>0</v>
      </c>
      <c r="Y63" s="98">
        <f t="shared" ca="1" si="30"/>
        <v>0</v>
      </c>
    </row>
    <row r="64" spans="1:25" ht="21" customHeight="1" x14ac:dyDescent="0.3">
      <c r="A64" s="89">
        <v>12</v>
      </c>
      <c r="B64" s="90" t="s">
        <v>90</v>
      </c>
      <c r="C64" s="174">
        <f t="shared" ca="1" si="18"/>
        <v>3000</v>
      </c>
      <c r="D64" s="175">
        <f t="shared" ca="1" si="39"/>
        <v>3000</v>
      </c>
      <c r="E64" s="176">
        <f ca="1">IFERROR(__xludf.DUMMYFUNCTION("IMPORTRANGE(""https://docs.google.com/spreadsheets/d/1-uDff_7J0KD5mKrp0Vvzr7lt3OU09vwQwhkpOPPYv2Y/edit?usp=sharing"",""งบพรบ!CB64"")"),0)</f>
        <v>0</v>
      </c>
      <c r="F64" s="176">
        <f ca="1">IFERROR(__xludf.DUMMYFUNCTION("IMPORTRANGE(""https://docs.google.com/spreadsheets/d/1-uDff_7J0KD5mKrp0Vvzr7lt3OU09vwQwhkpOPPYv2Y/edit?usp=sharing"",""งบพรบ!CC64"")"),3000)</f>
        <v>3000</v>
      </c>
      <c r="G64" s="176">
        <f ca="1">IFERROR(__xludf.DUMMYFUNCTION("IMPORTRANGE(""https://docs.google.com/spreadsheets/d/1-uDff_7J0KD5mKrp0Vvzr7lt3OU09vwQwhkpOPPYv2Y/edit?usp=sharing"",""งบพรบ!CD64"")"),0)</f>
        <v>0</v>
      </c>
      <c r="H64" s="176">
        <f ca="1">IFERROR(__xludf.DUMMYFUNCTION("IMPORTRANGE(""https://docs.google.com/spreadsheets/d/1-uDff_7J0KD5mKrp0Vvzr7lt3OU09vwQwhkpOPPYv2Y/edit?usp=sharing"",""งบพรบ!CF64"")"),0)</f>
        <v>0</v>
      </c>
      <c r="I64" s="176">
        <f ca="1">IFERROR(__xludf.DUMMYFUNCTION("IMPORTRANGE(""https://docs.google.com/spreadsheets/d/1-uDff_7J0KD5mKrp0Vvzr7lt3OU09vwQwhkpOPPYv2Y/edit?usp=sharing"",""งบพรบ!CG64"")"),0)</f>
        <v>0</v>
      </c>
      <c r="J64" s="176">
        <f t="shared" ca="1" si="20"/>
        <v>0</v>
      </c>
      <c r="K64" s="179">
        <f t="shared" ca="1" si="21"/>
        <v>0</v>
      </c>
      <c r="L64" s="176">
        <f ca="1">IFERROR(__xludf.DUMMYFUNCTION("IMPORTRANGE(""https://docs.google.com/spreadsheets/d/1-uDff_7J0KD5mKrp0Vvzr7lt3OU09vwQwhkpOPPYv2Y/edit?usp=sharing"",""งบพรบ!CH64"")"),0)</f>
        <v>0</v>
      </c>
      <c r="M64" s="87">
        <f t="shared" ca="1" si="22"/>
        <v>0</v>
      </c>
      <c r="N64" s="87">
        <f t="shared" ca="1" si="23"/>
        <v>0</v>
      </c>
      <c r="O64" s="86">
        <f ca="1">IFERROR(__xludf.DUMMYFUNCTION("IMPORTRANGE(""https://docs.google.com/spreadsheets/d/1-uDff_7J0KD5mKrp0Vvzr7lt3OU09vwQwhkpOPPYv2Y/edit?usp=sharing"",""งบพรบ!CI64"")"),0)</f>
        <v>0</v>
      </c>
      <c r="P64" s="86">
        <f t="shared" ca="1" si="24"/>
        <v>0</v>
      </c>
      <c r="Q64" s="87">
        <f t="shared" ca="1" si="25"/>
        <v>0</v>
      </c>
      <c r="R64" s="241">
        <f ca="1">IFERROR(__xludf.DUMMYFUNCTION("IMPORTRANGE(""https://docs.google.com/spreadsheets/d/1BIDqLLg5jk3v59G8NlR8rk5xfQDKne0sAvZHSj7TI6I/edit?usp=sharing"",""พระนครศรีอยุธยา!Q157"")"),0)</f>
        <v>0</v>
      </c>
      <c r="S64" s="242">
        <f ca="1">IFERROR(__xludf.DUMMYFUNCTION("IMPORTRANGE(""https://docs.google.com/spreadsheets/d/1BIDqLLg5jk3v59G8NlR8rk5xfQDKne0sAvZHSj7TI6I/edit?usp=sharing"",""พระนครศรีอยุธยา!R157"")"),0)</f>
        <v>0</v>
      </c>
      <c r="T64" s="242">
        <f ca="1">IFERROR(__xludf.DUMMYFUNCTION("IMPORTRANGE(""https://docs.google.com/spreadsheets/d/1BIDqLLg5jk3v59G8NlR8rk5xfQDKne0sAvZHSj7TI6I/edit?usp=sharing"",""พระนครศรีอยุธยา!S157"")"),0)</f>
        <v>0</v>
      </c>
      <c r="U64" s="243">
        <f t="shared" ca="1" si="27"/>
        <v>0</v>
      </c>
      <c r="V64" s="243">
        <f t="shared" ca="1" si="28"/>
        <v>0</v>
      </c>
      <c r="W64" s="97">
        <f ca="1">IFERROR(__xludf.DUMMYFUNCTION("IMPORTRANGE(""https://docs.google.com/spreadsheets/d/1BIDqLLg5jk3v59G8NlR8rk5xfQDKne0sAvZHSj7TI6I/edit?usp=sharing"",""พระนครศรีอยุธยา!I167"")"),10)</f>
        <v>10</v>
      </c>
      <c r="X64" s="97">
        <f ca="1">IFERROR(__xludf.DUMMYFUNCTION("IMPORTRANGE(""https://docs.google.com/spreadsheets/d/1BIDqLLg5jk3v59G8NlR8rk5xfQDKne0sAvZHSj7TI6I/edit?usp=sharing"",""พระนครศรีอยุธยา!J167"")"),0)</f>
        <v>0</v>
      </c>
      <c r="Y64" s="98">
        <f t="shared" ca="1" si="30"/>
        <v>0</v>
      </c>
    </row>
    <row r="65" spans="1:25" ht="21" customHeight="1" x14ac:dyDescent="0.3">
      <c r="A65" s="89">
        <v>13</v>
      </c>
      <c r="B65" s="90" t="s">
        <v>91</v>
      </c>
      <c r="C65" s="174">
        <f t="shared" ca="1" si="18"/>
        <v>3000</v>
      </c>
      <c r="D65" s="175">
        <f t="shared" ca="1" si="39"/>
        <v>3000</v>
      </c>
      <c r="E65" s="176">
        <f ca="1">IFERROR(__xludf.DUMMYFUNCTION("IMPORTRANGE(""https://docs.google.com/spreadsheets/d/1-uDff_7J0KD5mKrp0Vvzr7lt3OU09vwQwhkpOPPYv2Y/edit?usp=sharing"",""งบพรบ!CB65"")"),0)</f>
        <v>0</v>
      </c>
      <c r="F65" s="176">
        <f ca="1">IFERROR(__xludf.DUMMYFUNCTION("IMPORTRANGE(""https://docs.google.com/spreadsheets/d/1-uDff_7J0KD5mKrp0Vvzr7lt3OU09vwQwhkpOPPYv2Y/edit?usp=sharing"",""งบพรบ!CC65"")"),3000)</f>
        <v>3000</v>
      </c>
      <c r="G65" s="176">
        <f ca="1">IFERROR(__xludf.DUMMYFUNCTION("IMPORTRANGE(""https://docs.google.com/spreadsheets/d/1-uDff_7J0KD5mKrp0Vvzr7lt3OU09vwQwhkpOPPYv2Y/edit?usp=sharing"",""งบพรบ!CD65"")"),0)</f>
        <v>0</v>
      </c>
      <c r="H65" s="176">
        <f ca="1">IFERROR(__xludf.DUMMYFUNCTION("IMPORTRANGE(""https://docs.google.com/spreadsheets/d/1-uDff_7J0KD5mKrp0Vvzr7lt3OU09vwQwhkpOPPYv2Y/edit?usp=sharing"",""งบพรบ!CF65"")"),0)</f>
        <v>0</v>
      </c>
      <c r="I65" s="176">
        <f ca="1">IFERROR(__xludf.DUMMYFUNCTION("IMPORTRANGE(""https://docs.google.com/spreadsheets/d/1-uDff_7J0KD5mKrp0Vvzr7lt3OU09vwQwhkpOPPYv2Y/edit?usp=sharing"",""งบพรบ!CG65"")"),0)</f>
        <v>0</v>
      </c>
      <c r="J65" s="176">
        <f t="shared" ca="1" si="20"/>
        <v>0</v>
      </c>
      <c r="K65" s="179">
        <f t="shared" ca="1" si="21"/>
        <v>0</v>
      </c>
      <c r="L65" s="176">
        <f ca="1">IFERROR(__xludf.DUMMYFUNCTION("IMPORTRANGE(""https://docs.google.com/spreadsheets/d/1-uDff_7J0KD5mKrp0Vvzr7lt3OU09vwQwhkpOPPYv2Y/edit?usp=sharing"",""งบพรบ!CH65"")"),0)</f>
        <v>0</v>
      </c>
      <c r="M65" s="87">
        <f t="shared" ca="1" si="22"/>
        <v>0</v>
      </c>
      <c r="N65" s="87">
        <f t="shared" ca="1" si="23"/>
        <v>0</v>
      </c>
      <c r="O65" s="86">
        <f ca="1">IFERROR(__xludf.DUMMYFUNCTION("IMPORTRANGE(""https://docs.google.com/spreadsheets/d/1-uDff_7J0KD5mKrp0Vvzr7lt3OU09vwQwhkpOPPYv2Y/edit?usp=sharing"",""งบพรบ!CI65"")"),0)</f>
        <v>0</v>
      </c>
      <c r="P65" s="86">
        <f t="shared" ca="1" si="24"/>
        <v>0</v>
      </c>
      <c r="Q65" s="87">
        <f t="shared" ca="1" si="25"/>
        <v>0</v>
      </c>
      <c r="R65" s="241">
        <f ca="1">IFERROR(__xludf.DUMMYFUNCTION("IMPORTRANGE(""https://docs.google.com/spreadsheets/d/1YXvxf8Yu6_rV4hTBrwMqAcAnv6DfhUxh5emyM3CJp_w/edit?usp=sharing"",""เพชรบุรี!Q157"")"),0)</f>
        <v>0</v>
      </c>
      <c r="S65" s="242">
        <f ca="1">IFERROR(__xludf.DUMMYFUNCTION("IMPORTRANGE(""https://docs.google.com/spreadsheets/d/1YXvxf8Yu6_rV4hTBrwMqAcAnv6DfhUxh5emyM3CJp_w/edit?usp=sharing"",""เพชรบุรี!R157"")"),0)</f>
        <v>0</v>
      </c>
      <c r="T65" s="242">
        <f ca="1">IFERROR(__xludf.DUMMYFUNCTION("IMPORTRANGE(""https://docs.google.com/spreadsheets/d/1YXvxf8Yu6_rV4hTBrwMqAcAnv6DfhUxh5emyM3CJp_w/edit?usp=sharing"",""เพชรบุรี!S157"")"),0)</f>
        <v>0</v>
      </c>
      <c r="U65" s="243">
        <f t="shared" ca="1" si="27"/>
        <v>0</v>
      </c>
      <c r="V65" s="243">
        <f t="shared" ca="1" si="28"/>
        <v>0</v>
      </c>
      <c r="W65" s="97">
        <f ca="1">IFERROR(__xludf.DUMMYFUNCTION("IMPORTRANGE(""https://docs.google.com/spreadsheets/d/1YXvxf8Yu6_rV4hTBrwMqAcAnv6DfhUxh5emyM3CJp_w/edit?usp=sharing"",""เพชรบุรี!I167"")"),10)</f>
        <v>10</v>
      </c>
      <c r="X65" s="97">
        <f ca="1">IFERROR(__xludf.DUMMYFUNCTION("IMPORTRANGE(""https://docs.google.com/spreadsheets/d/1YXvxf8Yu6_rV4hTBrwMqAcAnv6DfhUxh5emyM3CJp_w/edit?usp=sharing"",""เพชรบุรี!J167"")"),0)</f>
        <v>0</v>
      </c>
      <c r="Y65" s="98">
        <f t="shared" ca="1" si="30"/>
        <v>0</v>
      </c>
    </row>
    <row r="66" spans="1:25" ht="21" customHeight="1" x14ac:dyDescent="0.3">
      <c r="A66" s="89">
        <v>14</v>
      </c>
      <c r="B66" s="90" t="s">
        <v>92</v>
      </c>
      <c r="C66" s="174">
        <f t="shared" ca="1" si="18"/>
        <v>0</v>
      </c>
      <c r="D66" s="175">
        <f t="shared" ca="1" si="39"/>
        <v>0</v>
      </c>
      <c r="E66" s="176">
        <f ca="1">IFERROR(__xludf.DUMMYFUNCTION("IMPORTRANGE(""https://docs.google.com/spreadsheets/d/1-uDff_7J0KD5mKrp0Vvzr7lt3OU09vwQwhkpOPPYv2Y/edit?usp=sharing"",""งบพรบ!CB66"")"),0)</f>
        <v>0</v>
      </c>
      <c r="F66" s="176">
        <f ca="1">IFERROR(__xludf.DUMMYFUNCTION("IMPORTRANGE(""https://docs.google.com/spreadsheets/d/1-uDff_7J0KD5mKrp0Vvzr7lt3OU09vwQwhkpOPPYv2Y/edit?usp=sharing"",""งบพรบ!CC66"")"),0)</f>
        <v>0</v>
      </c>
      <c r="G66" s="176">
        <f ca="1">IFERROR(__xludf.DUMMYFUNCTION("IMPORTRANGE(""https://docs.google.com/spreadsheets/d/1-uDff_7J0KD5mKrp0Vvzr7lt3OU09vwQwhkpOPPYv2Y/edit?usp=sharing"",""งบพรบ!CD66"")"),0)</f>
        <v>0</v>
      </c>
      <c r="H66" s="176">
        <f ca="1">IFERROR(__xludf.DUMMYFUNCTION("IMPORTRANGE(""https://docs.google.com/spreadsheets/d/1-uDff_7J0KD5mKrp0Vvzr7lt3OU09vwQwhkpOPPYv2Y/edit?usp=sharing"",""งบพรบ!CF66"")"),0)</f>
        <v>0</v>
      </c>
      <c r="I66" s="176">
        <f ca="1">IFERROR(__xludf.DUMMYFUNCTION("IMPORTRANGE(""https://docs.google.com/spreadsheets/d/1-uDff_7J0KD5mKrp0Vvzr7lt3OU09vwQwhkpOPPYv2Y/edit?usp=sharing"",""งบพรบ!CG66"")"),0)</f>
        <v>0</v>
      </c>
      <c r="J66" s="176">
        <f t="shared" ca="1" si="20"/>
        <v>0</v>
      </c>
      <c r="K66" s="179">
        <f t="shared" ca="1" si="21"/>
        <v>0</v>
      </c>
      <c r="L66" s="176">
        <f ca="1">IFERROR(__xludf.DUMMYFUNCTION("IMPORTRANGE(""https://docs.google.com/spreadsheets/d/1-uDff_7J0KD5mKrp0Vvzr7lt3OU09vwQwhkpOPPYv2Y/edit?usp=sharing"",""งบพรบ!CH66"")"),0)</f>
        <v>0</v>
      </c>
      <c r="M66" s="87">
        <f t="shared" ca="1" si="22"/>
        <v>0</v>
      </c>
      <c r="N66" s="87">
        <f t="shared" ca="1" si="23"/>
        <v>0</v>
      </c>
      <c r="O66" s="86">
        <f ca="1">IFERROR(__xludf.DUMMYFUNCTION("IMPORTRANGE(""https://docs.google.com/spreadsheets/d/1-uDff_7J0KD5mKrp0Vvzr7lt3OU09vwQwhkpOPPYv2Y/edit?usp=sharing"",""งบพรบ!CI66"")"),0)</f>
        <v>0</v>
      </c>
      <c r="P66" s="86">
        <f t="shared" ca="1" si="24"/>
        <v>0</v>
      </c>
      <c r="Q66" s="87">
        <f t="shared" ca="1" si="25"/>
        <v>0</v>
      </c>
      <c r="R66" s="241">
        <f ca="1">IFERROR(__xludf.DUMMYFUNCTION("IMPORTRANGE(""https://docs.google.com/spreadsheets/d/19KBlQQs7uwvsao6t2n-KvW3Ax8J8uRRfZPq1zPbXgKc/edit?usp=sharing"",""ระยอง!Q157"")"),0)</f>
        <v>0</v>
      </c>
      <c r="S66" s="242">
        <f ca="1">IFERROR(__xludf.DUMMYFUNCTION("IMPORTRANGE(""https://docs.google.com/spreadsheets/d/19KBlQQs7uwvsao6t2n-KvW3Ax8J8uRRfZPq1zPbXgKc/edit?usp=sharing"",""ระยอง!R157"")"),0)</f>
        <v>0</v>
      </c>
      <c r="T66" s="242">
        <f ca="1">IFERROR(__xludf.DUMMYFUNCTION("IMPORTRANGE(""https://docs.google.com/spreadsheets/d/19KBlQQs7uwvsao6t2n-KvW3Ax8J8uRRfZPq1zPbXgKc/edit?usp=sharing"",""ระยอง!S157"")"),0)</f>
        <v>0</v>
      </c>
      <c r="U66" s="243">
        <f t="shared" ca="1" si="27"/>
        <v>0</v>
      </c>
      <c r="V66" s="243">
        <f t="shared" ca="1" si="28"/>
        <v>0</v>
      </c>
      <c r="W66" s="97">
        <f ca="1">IFERROR(__xludf.DUMMYFUNCTION("IMPORTRANGE(""https://docs.google.com/spreadsheets/d/19KBlQQs7uwvsao6t2n-KvW3Ax8J8uRRfZPq1zPbXgKc/edit?usp=sharing"",""ระยอง!I167"")"),0)</f>
        <v>0</v>
      </c>
      <c r="X66" s="97">
        <f ca="1">IFERROR(__xludf.DUMMYFUNCTION("IMPORTRANGE(""https://docs.google.com/spreadsheets/d/19KBlQQs7uwvsao6t2n-KvW3Ax8J8uRRfZPq1zPbXgKc/edit?usp=sharing"",""ระยอง!J167"")"),0)</f>
        <v>0</v>
      </c>
      <c r="Y66" s="98">
        <f t="shared" ca="1" si="30"/>
        <v>0</v>
      </c>
    </row>
    <row r="67" spans="1:25" ht="21" customHeight="1" x14ac:dyDescent="0.3">
      <c r="A67" s="89">
        <v>15</v>
      </c>
      <c r="B67" s="90" t="s">
        <v>93</v>
      </c>
      <c r="C67" s="174">
        <f t="shared" ca="1" si="18"/>
        <v>3000</v>
      </c>
      <c r="D67" s="175">
        <f t="shared" ca="1" si="39"/>
        <v>3000</v>
      </c>
      <c r="E67" s="176">
        <f ca="1">IFERROR(__xludf.DUMMYFUNCTION("IMPORTRANGE(""https://docs.google.com/spreadsheets/d/1-uDff_7J0KD5mKrp0Vvzr7lt3OU09vwQwhkpOPPYv2Y/edit?usp=sharing"",""งบพรบ!CB67"")"),0)</f>
        <v>0</v>
      </c>
      <c r="F67" s="176">
        <f ca="1">IFERROR(__xludf.DUMMYFUNCTION("IMPORTRANGE(""https://docs.google.com/spreadsheets/d/1-uDff_7J0KD5mKrp0Vvzr7lt3OU09vwQwhkpOPPYv2Y/edit?usp=sharing"",""งบพรบ!CC67"")"),3000)</f>
        <v>3000</v>
      </c>
      <c r="G67" s="176">
        <f ca="1">IFERROR(__xludf.DUMMYFUNCTION("IMPORTRANGE(""https://docs.google.com/spreadsheets/d/1-uDff_7J0KD5mKrp0Vvzr7lt3OU09vwQwhkpOPPYv2Y/edit?usp=sharing"",""งบพรบ!CD67"")"),0)</f>
        <v>0</v>
      </c>
      <c r="H67" s="176">
        <f ca="1">IFERROR(__xludf.DUMMYFUNCTION("IMPORTRANGE(""https://docs.google.com/spreadsheets/d/1-uDff_7J0KD5mKrp0Vvzr7lt3OU09vwQwhkpOPPYv2Y/edit?usp=sharing"",""งบพรบ!CF67"")"),0)</f>
        <v>0</v>
      </c>
      <c r="I67" s="176">
        <f ca="1">IFERROR(__xludf.DUMMYFUNCTION("IMPORTRANGE(""https://docs.google.com/spreadsheets/d/1-uDff_7J0KD5mKrp0Vvzr7lt3OU09vwQwhkpOPPYv2Y/edit?usp=sharing"",""งบพรบ!CG67"")"),0)</f>
        <v>0</v>
      </c>
      <c r="J67" s="176">
        <f t="shared" ca="1" si="20"/>
        <v>0</v>
      </c>
      <c r="K67" s="179">
        <f t="shared" ca="1" si="21"/>
        <v>0</v>
      </c>
      <c r="L67" s="176">
        <f ca="1">IFERROR(__xludf.DUMMYFUNCTION("IMPORTRANGE(""https://docs.google.com/spreadsheets/d/1-uDff_7J0KD5mKrp0Vvzr7lt3OU09vwQwhkpOPPYv2Y/edit?usp=sharing"",""งบพรบ!CH67"")"),0)</f>
        <v>0</v>
      </c>
      <c r="M67" s="87">
        <f t="shared" ca="1" si="22"/>
        <v>0</v>
      </c>
      <c r="N67" s="87">
        <f t="shared" ca="1" si="23"/>
        <v>0</v>
      </c>
      <c r="O67" s="86">
        <f ca="1">IFERROR(__xludf.DUMMYFUNCTION("IMPORTRANGE(""https://docs.google.com/spreadsheets/d/1-uDff_7J0KD5mKrp0Vvzr7lt3OU09vwQwhkpOPPYv2Y/edit?usp=sharing"",""งบพรบ!CI67"")"),0)</f>
        <v>0</v>
      </c>
      <c r="P67" s="86">
        <f t="shared" ca="1" si="24"/>
        <v>0</v>
      </c>
      <c r="Q67" s="87">
        <f t="shared" ca="1" si="25"/>
        <v>0</v>
      </c>
      <c r="R67" s="241">
        <f ca="1">IFERROR(__xludf.DUMMYFUNCTION("IMPORTRANGE(""https://docs.google.com/spreadsheets/d/1jQ6P4QcrGM89YfqcC_PxOHGCMq5ezhucwJd8ci-NHng/edit?usp=sharing"",""ราชบุรี!Q157"")"),0)</f>
        <v>0</v>
      </c>
      <c r="S67" s="242">
        <f ca="1">IFERROR(__xludf.DUMMYFUNCTION("IMPORTRANGE(""https://docs.google.com/spreadsheets/d/1jQ6P4QcrGM89YfqcC_PxOHGCMq5ezhucwJd8ci-NHng/edit?usp=sharing"",""ราชบุรี!R157"")"),0)</f>
        <v>0</v>
      </c>
      <c r="T67" s="242">
        <f ca="1">IFERROR(__xludf.DUMMYFUNCTION("IMPORTRANGE(""https://docs.google.com/spreadsheets/d/1jQ6P4QcrGM89YfqcC_PxOHGCMq5ezhucwJd8ci-NHng/edit?usp=sharing"",""ราชบุรี!S157"")"),0)</f>
        <v>0</v>
      </c>
      <c r="U67" s="243">
        <f t="shared" ca="1" si="27"/>
        <v>0</v>
      </c>
      <c r="V67" s="243">
        <f t="shared" ca="1" si="28"/>
        <v>0</v>
      </c>
      <c r="W67" s="97">
        <f ca="1">IFERROR(__xludf.DUMMYFUNCTION("IMPORTRANGE(""https://docs.google.com/spreadsheets/d/1jQ6P4QcrGM89YfqcC_PxOHGCMq5ezhucwJd8ci-NHng/edit?usp=sharing"",""ราชบุรี!I167"")"),10)</f>
        <v>10</v>
      </c>
      <c r="X67" s="97">
        <f ca="1">IFERROR(__xludf.DUMMYFUNCTION("IMPORTRANGE(""https://docs.google.com/spreadsheets/d/1jQ6P4QcrGM89YfqcC_PxOHGCMq5ezhucwJd8ci-NHng/edit?usp=sharing"",""ราชบุรี!J167"")"),0)</f>
        <v>0</v>
      </c>
      <c r="Y67" s="98">
        <f t="shared" ca="1" si="30"/>
        <v>0</v>
      </c>
    </row>
    <row r="68" spans="1:25" ht="24" customHeight="1" x14ac:dyDescent="0.3">
      <c r="A68" s="89">
        <v>16</v>
      </c>
      <c r="B68" s="90" t="s">
        <v>94</v>
      </c>
      <c r="C68" s="174">
        <f t="shared" ca="1" si="18"/>
        <v>3000</v>
      </c>
      <c r="D68" s="175">
        <f t="shared" ca="1" si="39"/>
        <v>3000</v>
      </c>
      <c r="E68" s="176">
        <f ca="1">IFERROR(__xludf.DUMMYFUNCTION("IMPORTRANGE(""https://docs.google.com/spreadsheets/d/1-uDff_7J0KD5mKrp0Vvzr7lt3OU09vwQwhkpOPPYv2Y/edit?usp=sharing"",""งบพรบ!CB68"")"),0)</f>
        <v>0</v>
      </c>
      <c r="F68" s="176">
        <f ca="1">IFERROR(__xludf.DUMMYFUNCTION("IMPORTRANGE(""https://docs.google.com/spreadsheets/d/1-uDff_7J0KD5mKrp0Vvzr7lt3OU09vwQwhkpOPPYv2Y/edit?usp=sharing"",""งบพรบ!CC68"")"),3000)</f>
        <v>3000</v>
      </c>
      <c r="G68" s="176">
        <f ca="1">IFERROR(__xludf.DUMMYFUNCTION("IMPORTRANGE(""https://docs.google.com/spreadsheets/d/1-uDff_7J0KD5mKrp0Vvzr7lt3OU09vwQwhkpOPPYv2Y/edit?usp=sharing"",""งบพรบ!CD68"")"),0)</f>
        <v>0</v>
      </c>
      <c r="H68" s="176">
        <f ca="1">IFERROR(__xludf.DUMMYFUNCTION("IMPORTRANGE(""https://docs.google.com/spreadsheets/d/1-uDff_7J0KD5mKrp0Vvzr7lt3OU09vwQwhkpOPPYv2Y/edit?usp=sharing"",""งบพรบ!CF68"")"),0)</f>
        <v>0</v>
      </c>
      <c r="I68" s="176">
        <f ca="1">IFERROR(__xludf.DUMMYFUNCTION("IMPORTRANGE(""https://docs.google.com/spreadsheets/d/1-uDff_7J0KD5mKrp0Vvzr7lt3OU09vwQwhkpOPPYv2Y/edit?usp=sharing"",""งบพรบ!CG68"")"),0)</f>
        <v>0</v>
      </c>
      <c r="J68" s="176">
        <f t="shared" ca="1" si="20"/>
        <v>0</v>
      </c>
      <c r="K68" s="179">
        <f t="shared" ca="1" si="21"/>
        <v>0</v>
      </c>
      <c r="L68" s="176">
        <f ca="1">IFERROR(__xludf.DUMMYFUNCTION("IMPORTRANGE(""https://docs.google.com/spreadsheets/d/1-uDff_7J0KD5mKrp0Vvzr7lt3OU09vwQwhkpOPPYv2Y/edit?usp=sharing"",""งบพรบ!CH68"")"),0)</f>
        <v>0</v>
      </c>
      <c r="M68" s="87">
        <f t="shared" ca="1" si="22"/>
        <v>0</v>
      </c>
      <c r="N68" s="87">
        <f t="shared" ca="1" si="23"/>
        <v>0</v>
      </c>
      <c r="O68" s="86">
        <f ca="1">IFERROR(__xludf.DUMMYFUNCTION("IMPORTRANGE(""https://docs.google.com/spreadsheets/d/1-uDff_7J0KD5mKrp0Vvzr7lt3OU09vwQwhkpOPPYv2Y/edit?usp=sharing"",""งบพรบ!CI68"")"),0)</f>
        <v>0</v>
      </c>
      <c r="P68" s="86">
        <f t="shared" ca="1" si="24"/>
        <v>0</v>
      </c>
      <c r="Q68" s="87">
        <f t="shared" ca="1" si="25"/>
        <v>0</v>
      </c>
      <c r="R68" s="241">
        <f ca="1">IFERROR(__xludf.DUMMYFUNCTION("IMPORTRANGE(""https://docs.google.com/spreadsheets/d/1lufeA2cfFqM-elVq2hznhDzC6Pr7wkJ9ZG_sYNGCMCU/edit?usp=sharing"",""ลพบุรี!Q157"")"),0)</f>
        <v>0</v>
      </c>
      <c r="S68" s="242">
        <f ca="1">IFERROR(__xludf.DUMMYFUNCTION("IMPORTRANGE(""https://docs.google.com/spreadsheets/d/1lufeA2cfFqM-elVq2hznhDzC6Pr7wkJ9ZG_sYNGCMCU/edit?usp=sharing"",""ลพบุรี!R157"")"),0)</f>
        <v>0</v>
      </c>
      <c r="T68" s="242">
        <f ca="1">IFERROR(__xludf.DUMMYFUNCTION("IMPORTRANGE(""https://docs.google.com/spreadsheets/d/1lufeA2cfFqM-elVq2hznhDzC6Pr7wkJ9ZG_sYNGCMCU/edit?usp=sharing"",""ลพบุรี!S157"")"),0)</f>
        <v>0</v>
      </c>
      <c r="U68" s="243">
        <f t="shared" ca="1" si="27"/>
        <v>0</v>
      </c>
      <c r="V68" s="243">
        <f t="shared" ca="1" si="28"/>
        <v>0</v>
      </c>
      <c r="W68" s="97">
        <f ca="1">IFERROR(__xludf.DUMMYFUNCTION("IMPORTRANGE(""https://docs.google.com/spreadsheets/d/1lufeA2cfFqM-elVq2hznhDzC6Pr7wkJ9ZG_sYNGCMCU/edit?usp=sharing"",""ลพบุรี!I167"")"),10)</f>
        <v>10</v>
      </c>
      <c r="X68" s="97">
        <f ca="1">IFERROR(__xludf.DUMMYFUNCTION("IMPORTRANGE(""https://docs.google.com/spreadsheets/d/1lufeA2cfFqM-elVq2hznhDzC6Pr7wkJ9ZG_sYNGCMCU/edit?usp=sharing"",""ลพบุรี!J167"")"),0)</f>
        <v>0</v>
      </c>
      <c r="Y68" s="98">
        <f t="shared" ca="1" si="30"/>
        <v>0</v>
      </c>
    </row>
    <row r="69" spans="1:25" ht="21" customHeight="1" x14ac:dyDescent="0.3">
      <c r="A69" s="89">
        <v>17</v>
      </c>
      <c r="B69" s="90" t="s">
        <v>95</v>
      </c>
      <c r="C69" s="174">
        <f t="shared" ca="1" si="18"/>
        <v>0</v>
      </c>
      <c r="D69" s="175">
        <f t="shared" ca="1" si="39"/>
        <v>0</v>
      </c>
      <c r="E69" s="176">
        <f ca="1">IFERROR(__xludf.DUMMYFUNCTION("IMPORTRANGE(""https://docs.google.com/spreadsheets/d/1-uDff_7J0KD5mKrp0Vvzr7lt3OU09vwQwhkpOPPYv2Y/edit?usp=sharing"",""งบพรบ!CB69"")"),0)</f>
        <v>0</v>
      </c>
      <c r="F69" s="176">
        <f ca="1">IFERROR(__xludf.DUMMYFUNCTION("IMPORTRANGE(""https://docs.google.com/spreadsheets/d/1-uDff_7J0KD5mKrp0Vvzr7lt3OU09vwQwhkpOPPYv2Y/edit?usp=sharing"",""งบพรบ!CC69"")"),0)</f>
        <v>0</v>
      </c>
      <c r="G69" s="176">
        <f ca="1">IFERROR(__xludf.DUMMYFUNCTION("IMPORTRANGE(""https://docs.google.com/spreadsheets/d/1-uDff_7J0KD5mKrp0Vvzr7lt3OU09vwQwhkpOPPYv2Y/edit?usp=sharing"",""งบพรบ!CD69"")"),0)</f>
        <v>0</v>
      </c>
      <c r="H69" s="176">
        <f ca="1">IFERROR(__xludf.DUMMYFUNCTION("IMPORTRANGE(""https://docs.google.com/spreadsheets/d/1-uDff_7J0KD5mKrp0Vvzr7lt3OU09vwQwhkpOPPYv2Y/edit?usp=sharing"",""งบพรบ!CF69"")"),0)</f>
        <v>0</v>
      </c>
      <c r="I69" s="176">
        <f ca="1">IFERROR(__xludf.DUMMYFUNCTION("IMPORTRANGE(""https://docs.google.com/spreadsheets/d/1-uDff_7J0KD5mKrp0Vvzr7lt3OU09vwQwhkpOPPYv2Y/edit?usp=sharing"",""งบพรบ!CG69"")"),0)</f>
        <v>0</v>
      </c>
      <c r="J69" s="176">
        <f t="shared" ca="1" si="20"/>
        <v>0</v>
      </c>
      <c r="K69" s="179">
        <f t="shared" ca="1" si="21"/>
        <v>0</v>
      </c>
      <c r="L69" s="176">
        <f ca="1">IFERROR(__xludf.DUMMYFUNCTION("IMPORTRANGE(""https://docs.google.com/spreadsheets/d/1-uDff_7J0KD5mKrp0Vvzr7lt3OU09vwQwhkpOPPYv2Y/edit?usp=sharing"",""งบพรบ!CH69"")"),0)</f>
        <v>0</v>
      </c>
      <c r="M69" s="87">
        <f t="shared" ca="1" si="22"/>
        <v>0</v>
      </c>
      <c r="N69" s="87">
        <f t="shared" ca="1" si="23"/>
        <v>0</v>
      </c>
      <c r="O69" s="86">
        <f ca="1">IFERROR(__xludf.DUMMYFUNCTION("IMPORTRANGE(""https://docs.google.com/spreadsheets/d/1-uDff_7J0KD5mKrp0Vvzr7lt3OU09vwQwhkpOPPYv2Y/edit?usp=sharing"",""งบพรบ!CI69"")"),0)</f>
        <v>0</v>
      </c>
      <c r="P69" s="86">
        <f t="shared" ca="1" si="24"/>
        <v>0</v>
      </c>
      <c r="Q69" s="87">
        <f t="shared" ca="1" si="25"/>
        <v>0</v>
      </c>
      <c r="R69" s="241">
        <f ca="1">IFERROR(__xludf.DUMMYFUNCTION("IMPORTRANGE(""https://docs.google.com/spreadsheets/d/10oOiF7loTyfsTkbd4MpaIm0HQ9SwB7IYHdIUvt-U1Uc/edit?usp=sharing"",""สระแก้ว!Q157"")"),0)</f>
        <v>0</v>
      </c>
      <c r="S69" s="242">
        <f ca="1">IFERROR(__xludf.DUMMYFUNCTION("IMPORTRANGE(""https://docs.google.com/spreadsheets/d/10oOiF7loTyfsTkbd4MpaIm0HQ9SwB7IYHdIUvt-U1Uc/edit?usp=sharing"",""สระแก้ว!R157"")"),0)</f>
        <v>0</v>
      </c>
      <c r="T69" s="242">
        <f ca="1">IFERROR(__xludf.DUMMYFUNCTION("IMPORTRANGE(""https://docs.google.com/spreadsheets/d/10oOiF7loTyfsTkbd4MpaIm0HQ9SwB7IYHdIUvt-U1Uc/edit?usp=sharing"",""สระแก้ว!S157"")"),0)</f>
        <v>0</v>
      </c>
      <c r="U69" s="243">
        <f t="shared" ca="1" si="27"/>
        <v>0</v>
      </c>
      <c r="V69" s="243">
        <f t="shared" ca="1" si="28"/>
        <v>0</v>
      </c>
      <c r="W69" s="97">
        <f ca="1">IFERROR(__xludf.DUMMYFUNCTION("IMPORTRANGE(""https://docs.google.com/spreadsheets/d/10oOiF7loTyfsTkbd4MpaIm0HQ9SwB7IYHdIUvt-U1Uc/edit?usp=sharing"",""สระแก้ว!I167"")"),0)</f>
        <v>0</v>
      </c>
      <c r="X69" s="97">
        <f ca="1">IFERROR(__xludf.DUMMYFUNCTION("IMPORTRANGE(""https://docs.google.com/spreadsheets/d/10oOiF7loTyfsTkbd4MpaIm0HQ9SwB7IYHdIUvt-U1Uc/edit?usp=sharing"",""สระแก้ว!J167"")"),0)</f>
        <v>0</v>
      </c>
      <c r="Y69" s="98">
        <f t="shared" ca="1" si="30"/>
        <v>0</v>
      </c>
    </row>
    <row r="70" spans="1:25" ht="21" customHeight="1" x14ac:dyDescent="0.3">
      <c r="A70" s="89">
        <v>18</v>
      </c>
      <c r="B70" s="90" t="s">
        <v>96</v>
      </c>
      <c r="C70" s="174">
        <f t="shared" ca="1" si="18"/>
        <v>4500</v>
      </c>
      <c r="D70" s="175">
        <f t="shared" ca="1" si="39"/>
        <v>4500</v>
      </c>
      <c r="E70" s="176">
        <f ca="1">IFERROR(__xludf.DUMMYFUNCTION("IMPORTRANGE(""https://docs.google.com/spreadsheets/d/1-uDff_7J0KD5mKrp0Vvzr7lt3OU09vwQwhkpOPPYv2Y/edit?usp=sharing"",""งบพรบ!CB70"")"),0)</f>
        <v>0</v>
      </c>
      <c r="F70" s="176">
        <f ca="1">IFERROR(__xludf.DUMMYFUNCTION("IMPORTRANGE(""https://docs.google.com/spreadsheets/d/1-uDff_7J0KD5mKrp0Vvzr7lt3OU09vwQwhkpOPPYv2Y/edit?usp=sharing"",""งบพรบ!CC70"")"),4500)</f>
        <v>4500</v>
      </c>
      <c r="G70" s="176">
        <f ca="1">IFERROR(__xludf.DUMMYFUNCTION("IMPORTRANGE(""https://docs.google.com/spreadsheets/d/1-uDff_7J0KD5mKrp0Vvzr7lt3OU09vwQwhkpOPPYv2Y/edit?usp=sharing"",""งบพรบ!CD70"")"),0)</f>
        <v>0</v>
      </c>
      <c r="H70" s="176">
        <f ca="1">IFERROR(__xludf.DUMMYFUNCTION("IMPORTRANGE(""https://docs.google.com/spreadsheets/d/1-uDff_7J0KD5mKrp0Vvzr7lt3OU09vwQwhkpOPPYv2Y/edit?usp=sharing"",""งบพรบ!CF70"")"),0)</f>
        <v>0</v>
      </c>
      <c r="I70" s="176">
        <f ca="1">IFERROR(__xludf.DUMMYFUNCTION("IMPORTRANGE(""https://docs.google.com/spreadsheets/d/1-uDff_7J0KD5mKrp0Vvzr7lt3OU09vwQwhkpOPPYv2Y/edit?usp=sharing"",""งบพรบ!CG70"")"),0)</f>
        <v>0</v>
      </c>
      <c r="J70" s="176">
        <f t="shared" ca="1" si="20"/>
        <v>0</v>
      </c>
      <c r="K70" s="179">
        <f t="shared" ca="1" si="21"/>
        <v>0</v>
      </c>
      <c r="L70" s="176">
        <f ca="1">IFERROR(__xludf.DUMMYFUNCTION("IMPORTRANGE(""https://docs.google.com/spreadsheets/d/1-uDff_7J0KD5mKrp0Vvzr7lt3OU09vwQwhkpOPPYv2Y/edit?usp=sharing"",""งบพรบ!CH70"")"),0)</f>
        <v>0</v>
      </c>
      <c r="M70" s="87">
        <f t="shared" ca="1" si="22"/>
        <v>0</v>
      </c>
      <c r="N70" s="87">
        <f t="shared" ca="1" si="23"/>
        <v>0</v>
      </c>
      <c r="O70" s="86">
        <f ca="1">IFERROR(__xludf.DUMMYFUNCTION("IMPORTRANGE(""https://docs.google.com/spreadsheets/d/1-uDff_7J0KD5mKrp0Vvzr7lt3OU09vwQwhkpOPPYv2Y/edit?usp=sharing"",""งบพรบ!CI70"")"),0)</f>
        <v>0</v>
      </c>
      <c r="P70" s="86">
        <f t="shared" ca="1" si="24"/>
        <v>0</v>
      </c>
      <c r="Q70" s="87">
        <f t="shared" ca="1" si="25"/>
        <v>0</v>
      </c>
      <c r="R70" s="241">
        <f ca="1">IFERROR(__xludf.DUMMYFUNCTION("IMPORTRANGE(""https://docs.google.com/spreadsheets/d/1xmPlrr1QbdSIKvl1dWUl9K4PjAfSL9oeMr_37QVzcxc/edit?usp=sharing"",""สระบุรี!Q157"")"),0)</f>
        <v>0</v>
      </c>
      <c r="S70" s="242">
        <f ca="1">IFERROR(__xludf.DUMMYFUNCTION("IMPORTRANGE(""https://docs.google.com/spreadsheets/d/1xmPlrr1QbdSIKvl1dWUl9K4PjAfSL9oeMr_37QVzcxc/edit?usp=sharing"",""สระบุรี!R157"")"),0)</f>
        <v>0</v>
      </c>
      <c r="T70" s="242">
        <f ca="1">IFERROR(__xludf.DUMMYFUNCTION("IMPORTRANGE(""https://docs.google.com/spreadsheets/d/1xmPlrr1QbdSIKvl1dWUl9K4PjAfSL9oeMr_37QVzcxc/edit?usp=sharing"",""สระบุรี!S157"")"),0)</f>
        <v>0</v>
      </c>
      <c r="U70" s="243">
        <f t="shared" ca="1" si="27"/>
        <v>0</v>
      </c>
      <c r="V70" s="243">
        <f t="shared" ca="1" si="28"/>
        <v>0</v>
      </c>
      <c r="W70" s="97">
        <f ca="1">IFERROR(__xludf.DUMMYFUNCTION("IMPORTRANGE(""https://docs.google.com/spreadsheets/d/1xmPlrr1QbdSIKvl1dWUl9K4PjAfSL9oeMr_37QVzcxc/edit?usp=sharing"",""สระบุรี!I167"")"),15)</f>
        <v>15</v>
      </c>
      <c r="X70" s="97">
        <f ca="1">IFERROR(__xludf.DUMMYFUNCTION("IMPORTRANGE(""https://docs.google.com/spreadsheets/d/1xmPlrr1QbdSIKvl1dWUl9K4PjAfSL9oeMr_37QVzcxc/edit?usp=sharing"",""สระบุรี!J167"")"),0)</f>
        <v>0</v>
      </c>
      <c r="Y70" s="98">
        <f t="shared" ca="1" si="30"/>
        <v>0</v>
      </c>
    </row>
    <row r="71" spans="1:25" ht="21" customHeight="1" x14ac:dyDescent="0.3">
      <c r="A71" s="89">
        <v>19</v>
      </c>
      <c r="B71" s="90" t="s">
        <v>97</v>
      </c>
      <c r="C71" s="174">
        <f t="shared" ca="1" si="18"/>
        <v>0</v>
      </c>
      <c r="D71" s="175">
        <f t="shared" ca="1" si="39"/>
        <v>0</v>
      </c>
      <c r="E71" s="176">
        <f ca="1">IFERROR(__xludf.DUMMYFUNCTION("IMPORTRANGE(""https://docs.google.com/spreadsheets/d/1-uDff_7J0KD5mKrp0Vvzr7lt3OU09vwQwhkpOPPYv2Y/edit?usp=sharing"",""งบพรบ!CB71"")"),0)</f>
        <v>0</v>
      </c>
      <c r="F71" s="176">
        <f ca="1">IFERROR(__xludf.DUMMYFUNCTION("IMPORTRANGE(""https://docs.google.com/spreadsheets/d/1-uDff_7J0KD5mKrp0Vvzr7lt3OU09vwQwhkpOPPYv2Y/edit?usp=sharing"",""งบพรบ!CC71"")"),0)</f>
        <v>0</v>
      </c>
      <c r="G71" s="176">
        <f ca="1">IFERROR(__xludf.DUMMYFUNCTION("IMPORTRANGE(""https://docs.google.com/spreadsheets/d/1-uDff_7J0KD5mKrp0Vvzr7lt3OU09vwQwhkpOPPYv2Y/edit?usp=sharing"",""งบพรบ!CD71"")"),0)</f>
        <v>0</v>
      </c>
      <c r="H71" s="176">
        <f ca="1">IFERROR(__xludf.DUMMYFUNCTION("IMPORTRANGE(""https://docs.google.com/spreadsheets/d/1-uDff_7J0KD5mKrp0Vvzr7lt3OU09vwQwhkpOPPYv2Y/edit?usp=sharing"",""งบพรบ!CF71"")"),0)</f>
        <v>0</v>
      </c>
      <c r="I71" s="176">
        <f ca="1">IFERROR(__xludf.DUMMYFUNCTION("IMPORTRANGE(""https://docs.google.com/spreadsheets/d/1-uDff_7J0KD5mKrp0Vvzr7lt3OU09vwQwhkpOPPYv2Y/edit?usp=sharing"",""งบพรบ!CG71"")"),0)</f>
        <v>0</v>
      </c>
      <c r="J71" s="176">
        <f t="shared" ca="1" si="20"/>
        <v>0</v>
      </c>
      <c r="K71" s="179">
        <f t="shared" ca="1" si="21"/>
        <v>0</v>
      </c>
      <c r="L71" s="176">
        <f ca="1">IFERROR(__xludf.DUMMYFUNCTION("IMPORTRANGE(""https://docs.google.com/spreadsheets/d/1-uDff_7J0KD5mKrp0Vvzr7lt3OU09vwQwhkpOPPYv2Y/edit?usp=sharing"",""งบพรบ!CH71"")"),0)</f>
        <v>0</v>
      </c>
      <c r="M71" s="87">
        <f t="shared" ca="1" si="22"/>
        <v>0</v>
      </c>
      <c r="N71" s="87">
        <f t="shared" ca="1" si="23"/>
        <v>0</v>
      </c>
      <c r="O71" s="86">
        <f ca="1">IFERROR(__xludf.DUMMYFUNCTION("IMPORTRANGE(""https://docs.google.com/spreadsheets/d/1-uDff_7J0KD5mKrp0Vvzr7lt3OU09vwQwhkpOPPYv2Y/edit?usp=sharing"",""งบพรบ!CI71"")"),0)</f>
        <v>0</v>
      </c>
      <c r="P71" s="86">
        <f t="shared" ca="1" si="24"/>
        <v>0</v>
      </c>
      <c r="Q71" s="87">
        <f t="shared" ca="1" si="25"/>
        <v>0</v>
      </c>
      <c r="R71" s="241">
        <f ca="1">IFERROR(__xludf.DUMMYFUNCTION("IMPORTRANGE(""https://docs.google.com/spreadsheets/d/1j51vR6CYVGhABJpv6tkstgok82RLpXieLzW1yOY5rHw/edit?usp=sharing"",""สิงห์บุรี!Q157"")"),0)</f>
        <v>0</v>
      </c>
      <c r="S71" s="242">
        <f ca="1">IFERROR(__xludf.DUMMYFUNCTION("IMPORTRANGE(""https://docs.google.com/spreadsheets/d/1j51vR6CYVGhABJpv6tkstgok82RLpXieLzW1yOY5rHw/edit?usp=sharing"",""สิงห์บุรี!R157"")"),0)</f>
        <v>0</v>
      </c>
      <c r="T71" s="242">
        <f ca="1">IFERROR(__xludf.DUMMYFUNCTION("IMPORTRANGE(""https://docs.google.com/spreadsheets/d/1j51vR6CYVGhABJpv6tkstgok82RLpXieLzW1yOY5rHw/edit?usp=sharing"",""สิงห์บุรี!S157"")"),0)</f>
        <v>0</v>
      </c>
      <c r="U71" s="243">
        <f t="shared" ca="1" si="27"/>
        <v>0</v>
      </c>
      <c r="V71" s="243">
        <f t="shared" ca="1" si="28"/>
        <v>0</v>
      </c>
      <c r="W71" s="97">
        <f ca="1">IFERROR(__xludf.DUMMYFUNCTION("IMPORTRANGE(""https://docs.google.com/spreadsheets/d/1j51vR6CYVGhABJpv6tkstgok82RLpXieLzW1yOY5rHw/edit?usp=sharing"",""สิงห์บุรี!I167"")"),0)</f>
        <v>0</v>
      </c>
      <c r="X71" s="97">
        <f ca="1">IFERROR(__xludf.DUMMYFUNCTION("IMPORTRANGE(""https://docs.google.com/spreadsheets/d/1j51vR6CYVGhABJpv6tkstgok82RLpXieLzW1yOY5rHw/edit?usp=sharing"",""สิงห์บุรี!J167"")"),0)</f>
        <v>0</v>
      </c>
      <c r="Y71" s="98">
        <f t="shared" ca="1" si="30"/>
        <v>0</v>
      </c>
    </row>
    <row r="72" spans="1:25" ht="21" customHeight="1" x14ac:dyDescent="0.3">
      <c r="A72" s="89">
        <v>20</v>
      </c>
      <c r="B72" s="90" t="s">
        <v>98</v>
      </c>
      <c r="C72" s="174">
        <f t="shared" ca="1" si="18"/>
        <v>3000</v>
      </c>
      <c r="D72" s="175">
        <f t="shared" ca="1" si="39"/>
        <v>3000</v>
      </c>
      <c r="E72" s="176">
        <f ca="1">IFERROR(__xludf.DUMMYFUNCTION("IMPORTRANGE(""https://docs.google.com/spreadsheets/d/1-uDff_7J0KD5mKrp0Vvzr7lt3OU09vwQwhkpOPPYv2Y/edit?usp=sharing"",""งบพรบ!CB72"")"),0)</f>
        <v>0</v>
      </c>
      <c r="F72" s="176">
        <f ca="1">IFERROR(__xludf.DUMMYFUNCTION("IMPORTRANGE(""https://docs.google.com/spreadsheets/d/1-uDff_7J0KD5mKrp0Vvzr7lt3OU09vwQwhkpOPPYv2Y/edit?usp=sharing"",""งบพรบ!CC72"")"),3000)</f>
        <v>3000</v>
      </c>
      <c r="G72" s="176">
        <f ca="1">IFERROR(__xludf.DUMMYFUNCTION("IMPORTRANGE(""https://docs.google.com/spreadsheets/d/1-uDff_7J0KD5mKrp0Vvzr7lt3OU09vwQwhkpOPPYv2Y/edit?usp=sharing"",""งบพรบ!CD72"")"),0)</f>
        <v>0</v>
      </c>
      <c r="H72" s="176">
        <f ca="1">IFERROR(__xludf.DUMMYFUNCTION("IMPORTRANGE(""https://docs.google.com/spreadsheets/d/1-uDff_7J0KD5mKrp0Vvzr7lt3OU09vwQwhkpOPPYv2Y/edit?usp=sharing"",""งบพรบ!CF72"")"),0)</f>
        <v>0</v>
      </c>
      <c r="I72" s="176">
        <f ca="1">IFERROR(__xludf.DUMMYFUNCTION("IMPORTRANGE(""https://docs.google.com/spreadsheets/d/1-uDff_7J0KD5mKrp0Vvzr7lt3OU09vwQwhkpOPPYv2Y/edit?usp=sharing"",""งบพรบ!CG72"")"),0)</f>
        <v>0</v>
      </c>
      <c r="J72" s="176">
        <f t="shared" ca="1" si="20"/>
        <v>0</v>
      </c>
      <c r="K72" s="179">
        <f t="shared" ca="1" si="21"/>
        <v>0</v>
      </c>
      <c r="L72" s="176">
        <f ca="1">IFERROR(__xludf.DUMMYFUNCTION("IMPORTRANGE(""https://docs.google.com/spreadsheets/d/1-uDff_7J0KD5mKrp0Vvzr7lt3OU09vwQwhkpOPPYv2Y/edit?usp=sharing"",""งบพรบ!CH72"")"),0)</f>
        <v>0</v>
      </c>
      <c r="M72" s="87">
        <f t="shared" ca="1" si="22"/>
        <v>0</v>
      </c>
      <c r="N72" s="87">
        <f t="shared" ca="1" si="23"/>
        <v>0</v>
      </c>
      <c r="O72" s="86">
        <f ca="1">IFERROR(__xludf.DUMMYFUNCTION("IMPORTRANGE(""https://docs.google.com/spreadsheets/d/1-uDff_7J0KD5mKrp0Vvzr7lt3OU09vwQwhkpOPPYv2Y/edit?usp=sharing"",""งบพรบ!CI72"")"),0)</f>
        <v>0</v>
      </c>
      <c r="P72" s="86">
        <f t="shared" ca="1" si="24"/>
        <v>0</v>
      </c>
      <c r="Q72" s="87">
        <f t="shared" ca="1" si="25"/>
        <v>0</v>
      </c>
      <c r="R72" s="241">
        <f ca="1">IFERROR(__xludf.DUMMYFUNCTION("IMPORTRANGE(""https://docs.google.com/spreadsheets/d/1H1EalTWKUSzO4Z1-1CwzoDUaVffgrThEBe2sl74kKG0/edit?usp=sharing"",""สุพรรณบุรี!Q157"")"),0)</f>
        <v>0</v>
      </c>
      <c r="S72" s="242">
        <f ca="1">IFERROR(__xludf.DUMMYFUNCTION("IMPORTRANGE(""https://docs.google.com/spreadsheets/d/1H1EalTWKUSzO4Z1-1CwzoDUaVffgrThEBe2sl74kKG0/edit?usp=sharing"",""สุพรรณบุรี!R157"")"),0)</f>
        <v>0</v>
      </c>
      <c r="T72" s="242">
        <f ca="1">IFERROR(__xludf.DUMMYFUNCTION("IMPORTRANGE(""https://docs.google.com/spreadsheets/d/1H1EalTWKUSzO4Z1-1CwzoDUaVffgrThEBe2sl74kKG0/edit?usp=sharing"",""สุพรรณบุรี!S157"")"),0)</f>
        <v>0</v>
      </c>
      <c r="U72" s="243">
        <f t="shared" ca="1" si="27"/>
        <v>0</v>
      </c>
      <c r="V72" s="243">
        <f t="shared" ca="1" si="28"/>
        <v>0</v>
      </c>
      <c r="W72" s="97">
        <f ca="1">IFERROR(__xludf.DUMMYFUNCTION("IMPORTRANGE(""https://docs.google.com/spreadsheets/d/1H1EalTWKUSzO4Z1-1CwzoDUaVffgrThEBe2sl74kKG0/edit?usp=sharing"",""สุพรรณบุรี!I167"")"),10)</f>
        <v>10</v>
      </c>
      <c r="X72" s="97">
        <f ca="1">IFERROR(__xludf.DUMMYFUNCTION("IMPORTRANGE(""https://docs.google.com/spreadsheets/d/1H1EalTWKUSzO4Z1-1CwzoDUaVffgrThEBe2sl74kKG0/edit?usp=sharing"",""สุพรรณบุรี!J167"")"),0)</f>
        <v>0</v>
      </c>
      <c r="Y72" s="98">
        <f t="shared" ca="1" si="30"/>
        <v>0</v>
      </c>
    </row>
    <row r="73" spans="1:25" ht="21" customHeight="1" x14ac:dyDescent="0.3">
      <c r="A73" s="100">
        <v>21</v>
      </c>
      <c r="B73" s="101" t="s">
        <v>99</v>
      </c>
      <c r="C73" s="182">
        <f t="shared" ca="1" si="18"/>
        <v>0</v>
      </c>
      <c r="D73" s="183">
        <f t="shared" ca="1" si="39"/>
        <v>0</v>
      </c>
      <c r="E73" s="184">
        <f ca="1">IFERROR(__xludf.DUMMYFUNCTION("IMPORTRANGE(""https://docs.google.com/spreadsheets/d/1-uDff_7J0KD5mKrp0Vvzr7lt3OU09vwQwhkpOPPYv2Y/edit?usp=sharing"",""งบพรบ!CB73"")"),0)</f>
        <v>0</v>
      </c>
      <c r="F73" s="184">
        <f ca="1">IFERROR(__xludf.DUMMYFUNCTION("IMPORTRANGE(""https://docs.google.com/spreadsheets/d/1-uDff_7J0KD5mKrp0Vvzr7lt3OU09vwQwhkpOPPYv2Y/edit?usp=sharing"",""งบพรบ!CC73"")"),0)</f>
        <v>0</v>
      </c>
      <c r="G73" s="184">
        <f ca="1">IFERROR(__xludf.DUMMYFUNCTION("IMPORTRANGE(""https://docs.google.com/spreadsheets/d/1-uDff_7J0KD5mKrp0Vvzr7lt3OU09vwQwhkpOPPYv2Y/edit?usp=sharing"",""งบพรบ!CD73"")"),0)</f>
        <v>0</v>
      </c>
      <c r="H73" s="184">
        <f ca="1">IFERROR(__xludf.DUMMYFUNCTION("IMPORTRANGE(""https://docs.google.com/spreadsheets/d/1-uDff_7J0KD5mKrp0Vvzr7lt3OU09vwQwhkpOPPYv2Y/edit?usp=sharing"",""งบพรบ!CF73"")"),0)</f>
        <v>0</v>
      </c>
      <c r="I73" s="184">
        <f ca="1">IFERROR(__xludf.DUMMYFUNCTION("IMPORTRANGE(""https://docs.google.com/spreadsheets/d/1-uDff_7J0KD5mKrp0Vvzr7lt3OU09vwQwhkpOPPYv2Y/edit?usp=sharing"",""งบพรบ!CG73"")"),0)</f>
        <v>0</v>
      </c>
      <c r="J73" s="184">
        <f t="shared" ca="1" si="20"/>
        <v>0</v>
      </c>
      <c r="K73" s="185">
        <f t="shared" ca="1" si="21"/>
        <v>0</v>
      </c>
      <c r="L73" s="184">
        <f ca="1">IFERROR(__xludf.DUMMYFUNCTION("IMPORTRANGE(""https://docs.google.com/spreadsheets/d/1-uDff_7J0KD5mKrp0Vvzr7lt3OU09vwQwhkpOPPYv2Y/edit?usp=sharing"",""งบพรบ!CH73"")"),0)</f>
        <v>0</v>
      </c>
      <c r="M73" s="109">
        <f t="shared" ca="1" si="22"/>
        <v>0</v>
      </c>
      <c r="N73" s="109">
        <f t="shared" ca="1" si="23"/>
        <v>0</v>
      </c>
      <c r="O73" s="108">
        <f ca="1">IFERROR(__xludf.DUMMYFUNCTION("IMPORTRANGE(""https://docs.google.com/spreadsheets/d/1-uDff_7J0KD5mKrp0Vvzr7lt3OU09vwQwhkpOPPYv2Y/edit?usp=sharing"",""งบพรบ!CI73"")"),0)</f>
        <v>0</v>
      </c>
      <c r="P73" s="108">
        <f t="shared" ca="1" si="24"/>
        <v>0</v>
      </c>
      <c r="Q73" s="109">
        <f t="shared" ca="1" si="25"/>
        <v>0</v>
      </c>
      <c r="R73" s="244">
        <f ca="1">IFERROR(__xludf.DUMMYFUNCTION("IMPORTRANGE(""https://docs.google.com/spreadsheets/d/1BmIruG_sIrJLYao_Pdr7zVArWsfoBt2692TMi6x_854/edit?usp=sharing"",""อ่างทอง!Q157"")"),0)</f>
        <v>0</v>
      </c>
      <c r="S73" s="245">
        <f ca="1">IFERROR(__xludf.DUMMYFUNCTION("IMPORTRANGE(""https://docs.google.com/spreadsheets/d/1BmIruG_sIrJLYao_Pdr7zVArWsfoBt2692TMi6x_854/edit?usp=sharing"",""อ่างทอง!R157"")"),0)</f>
        <v>0</v>
      </c>
      <c r="T73" s="245">
        <f ca="1">IFERROR(__xludf.DUMMYFUNCTION("IMPORTRANGE(""https://docs.google.com/spreadsheets/d/1BmIruG_sIrJLYao_Pdr7zVArWsfoBt2692TMi6x_854/edit?usp=sharing"",""อ่างทอง!S157"")"),0)</f>
        <v>0</v>
      </c>
      <c r="U73" s="246">
        <f t="shared" ca="1" si="27"/>
        <v>0</v>
      </c>
      <c r="V73" s="246">
        <f t="shared" ca="1" si="28"/>
        <v>0</v>
      </c>
      <c r="W73" s="110">
        <f ca="1">IFERROR(__xludf.DUMMYFUNCTION("IMPORTRANGE(""https://docs.google.com/spreadsheets/d/1BmIruG_sIrJLYao_Pdr7zVArWsfoBt2692TMi6x_854/edit?usp=sharing"",""อ่างทอง!I167"")"),0)</f>
        <v>0</v>
      </c>
      <c r="X73" s="110">
        <f ca="1">IFERROR(__xludf.DUMMYFUNCTION("IMPORTRANGE(""https://docs.google.com/spreadsheets/d/1BmIruG_sIrJLYao_Pdr7zVArWsfoBt2692TMi6x_854/edit?usp=sharing"",""อ่างทอง!J167"")"),0)</f>
        <v>0</v>
      </c>
      <c r="Y73" s="111">
        <f t="shared" ca="1" si="30"/>
        <v>0</v>
      </c>
    </row>
    <row r="74" spans="1:25" ht="21" customHeight="1" x14ac:dyDescent="0.3">
      <c r="A74" s="624" t="s">
        <v>100</v>
      </c>
      <c r="B74" s="604"/>
      <c r="C74" s="161">
        <f t="shared" ca="1" si="18"/>
        <v>6000</v>
      </c>
      <c r="D74" s="161">
        <f t="shared" ref="D74:I74" ca="1" si="40">SUM(D75:D88)</f>
        <v>6000</v>
      </c>
      <c r="E74" s="161">
        <f t="shared" ca="1" si="40"/>
        <v>0</v>
      </c>
      <c r="F74" s="161">
        <f t="shared" ca="1" si="40"/>
        <v>6000</v>
      </c>
      <c r="G74" s="161">
        <f t="shared" ca="1" si="40"/>
        <v>0</v>
      </c>
      <c r="H74" s="161">
        <f t="shared" ca="1" si="40"/>
        <v>0</v>
      </c>
      <c r="I74" s="161">
        <f t="shared" ca="1" si="40"/>
        <v>0</v>
      </c>
      <c r="J74" s="161">
        <f t="shared" ca="1" si="20"/>
        <v>0</v>
      </c>
      <c r="K74" s="162">
        <f t="shared" ca="1" si="21"/>
        <v>0</v>
      </c>
      <c r="L74" s="161">
        <f ca="1">SUM(L75:L88)</f>
        <v>0</v>
      </c>
      <c r="M74" s="40">
        <f t="shared" ca="1" si="22"/>
        <v>0</v>
      </c>
      <c r="N74" s="40">
        <f t="shared" ca="1" si="23"/>
        <v>0</v>
      </c>
      <c r="O74" s="39">
        <f ca="1">SUM(O75:O88)</f>
        <v>0</v>
      </c>
      <c r="P74" s="39">
        <f t="shared" ca="1" si="24"/>
        <v>0</v>
      </c>
      <c r="Q74" s="40">
        <f t="shared" ca="1" si="25"/>
        <v>0</v>
      </c>
      <c r="R74" s="232">
        <f t="shared" ref="R74:T74" ca="1" si="41">SUM(R75:R88)</f>
        <v>0</v>
      </c>
      <c r="S74" s="233">
        <f t="shared" ca="1" si="41"/>
        <v>0</v>
      </c>
      <c r="T74" s="233">
        <f t="shared" ca="1" si="41"/>
        <v>0</v>
      </c>
      <c r="U74" s="234">
        <f t="shared" ca="1" si="27"/>
        <v>0</v>
      </c>
      <c r="V74" s="234">
        <f t="shared" ca="1" si="28"/>
        <v>0</v>
      </c>
      <c r="W74" s="71">
        <f t="shared" ref="W74:X74" ca="1" si="42">SUM(W75:W88)</f>
        <v>20</v>
      </c>
      <c r="X74" s="71">
        <f t="shared" ca="1" si="42"/>
        <v>0</v>
      </c>
      <c r="Y74" s="114">
        <f t="shared" ca="1" si="30"/>
        <v>0</v>
      </c>
    </row>
    <row r="75" spans="1:25" ht="21" customHeight="1" x14ac:dyDescent="0.3">
      <c r="A75" s="77">
        <v>1</v>
      </c>
      <c r="B75" s="78" t="s">
        <v>101</v>
      </c>
      <c r="C75" s="174">
        <f t="shared" ca="1" si="18"/>
        <v>0</v>
      </c>
      <c r="D75" s="175">
        <f t="shared" ref="D75:D88" ca="1" si="43">+E75+F75</f>
        <v>0</v>
      </c>
      <c r="E75" s="176">
        <f ca="1">IFERROR(__xludf.DUMMYFUNCTION("IMPORTRANGE(""https://docs.google.com/spreadsheets/d/1-uDff_7J0KD5mKrp0Vvzr7lt3OU09vwQwhkpOPPYv2Y/edit?usp=sharing"",""งบพรบ!CB75"")"),0)</f>
        <v>0</v>
      </c>
      <c r="F75" s="176">
        <f ca="1">IFERROR(__xludf.DUMMYFUNCTION("IMPORTRANGE(""https://docs.google.com/spreadsheets/d/1-uDff_7J0KD5mKrp0Vvzr7lt3OU09vwQwhkpOPPYv2Y/edit?usp=sharing"",""งบพรบ!CC75"")"),0)</f>
        <v>0</v>
      </c>
      <c r="G75" s="176">
        <f ca="1">IFERROR(__xludf.DUMMYFUNCTION("IMPORTRANGE(""https://docs.google.com/spreadsheets/d/1-uDff_7J0KD5mKrp0Vvzr7lt3OU09vwQwhkpOPPYv2Y/edit?usp=sharing"",""งบพรบ!CD75"")"),0)</f>
        <v>0</v>
      </c>
      <c r="H75" s="176">
        <f ca="1">IFERROR(__xludf.DUMMYFUNCTION("IMPORTRANGE(""https://docs.google.com/spreadsheets/d/1-uDff_7J0KD5mKrp0Vvzr7lt3OU09vwQwhkpOPPYv2Y/edit?usp=sharing"",""งบพรบ!CF75"")"),0)</f>
        <v>0</v>
      </c>
      <c r="I75" s="176">
        <f ca="1">IFERROR(__xludf.DUMMYFUNCTION("IMPORTRANGE(""https://docs.google.com/spreadsheets/d/1-uDff_7J0KD5mKrp0Vvzr7lt3OU09vwQwhkpOPPYv2Y/edit?usp=sharing"",""งบพรบ!CG75"")"),0)</f>
        <v>0</v>
      </c>
      <c r="J75" s="176">
        <f t="shared" ca="1" si="20"/>
        <v>0</v>
      </c>
      <c r="K75" s="179">
        <f t="shared" ca="1" si="21"/>
        <v>0</v>
      </c>
      <c r="L75" s="176">
        <f ca="1">IFERROR(__xludf.DUMMYFUNCTION("IMPORTRANGE(""https://docs.google.com/spreadsheets/d/1-uDff_7J0KD5mKrp0Vvzr7lt3OU09vwQwhkpOPPYv2Y/edit?usp=sharing"",""งบพรบ!CH75"")"),0)</f>
        <v>0</v>
      </c>
      <c r="M75" s="87">
        <f t="shared" ca="1" si="22"/>
        <v>0</v>
      </c>
      <c r="N75" s="87">
        <f t="shared" ca="1" si="23"/>
        <v>0</v>
      </c>
      <c r="O75" s="86">
        <f ca="1">IFERROR(__xludf.DUMMYFUNCTION("IMPORTRANGE(""https://docs.google.com/spreadsheets/d/1-uDff_7J0KD5mKrp0Vvzr7lt3OU09vwQwhkpOPPYv2Y/edit?usp=sharing"",""งบพรบ!CI75"")"),0)</f>
        <v>0</v>
      </c>
      <c r="P75" s="86">
        <f t="shared" ca="1" si="24"/>
        <v>0</v>
      </c>
      <c r="Q75" s="87">
        <f t="shared" ca="1" si="25"/>
        <v>0</v>
      </c>
      <c r="R75" s="241">
        <f ca="1">IFERROR(__xludf.DUMMYFUNCTION("IMPORTRANGE(""https://docs.google.com/spreadsheets/d/1kKUcYdkIfrgTSj8iHHHB2MD2FAtwyyocFgqGQn6ADyI/edit?usp=sharing"",""กระบี่!Q157"")"),0)</f>
        <v>0</v>
      </c>
      <c r="S75" s="242">
        <f ca="1">IFERROR(__xludf.DUMMYFUNCTION("IMPORTRANGE(""https://docs.google.com/spreadsheets/d/1kKUcYdkIfrgTSj8iHHHB2MD2FAtwyyocFgqGQn6ADyI/edit?usp=sharing"",""กระบี่!R157"")"),0)</f>
        <v>0</v>
      </c>
      <c r="T75" s="242">
        <f ca="1">IFERROR(__xludf.DUMMYFUNCTION("IMPORTRANGE(""https://docs.google.com/spreadsheets/d/1kKUcYdkIfrgTSj8iHHHB2MD2FAtwyyocFgqGQn6ADyI/edit?usp=sharing"",""กระบี่!S157"")"),0)</f>
        <v>0</v>
      </c>
      <c r="U75" s="243">
        <f t="shared" ca="1" si="27"/>
        <v>0</v>
      </c>
      <c r="V75" s="243">
        <f t="shared" ca="1" si="28"/>
        <v>0</v>
      </c>
      <c r="W75" s="82">
        <f ca="1">IFERROR(__xludf.DUMMYFUNCTION("IMPORTRANGE(""https://docs.google.com/spreadsheets/d/1kKUcYdkIfrgTSj8iHHHB2MD2FAtwyyocFgqGQn6ADyI/edit?usp=sharing"",""กระบี่!I167"")"),0)</f>
        <v>0</v>
      </c>
      <c r="X75" s="82">
        <f ca="1">IFERROR(__xludf.DUMMYFUNCTION("IMPORTRANGE(""https://docs.google.com/spreadsheets/d/1kKUcYdkIfrgTSj8iHHHB2MD2FAtwyyocFgqGQn6ADyI/edit?usp=sharing"",""กระบี่!J167"")"),0)</f>
        <v>0</v>
      </c>
      <c r="Y75" s="88">
        <f t="shared" ca="1" si="30"/>
        <v>0</v>
      </c>
    </row>
    <row r="76" spans="1:25" ht="21" customHeight="1" x14ac:dyDescent="0.3">
      <c r="A76" s="89">
        <v>2</v>
      </c>
      <c r="B76" s="90" t="s">
        <v>102</v>
      </c>
      <c r="C76" s="174">
        <f t="shared" ca="1" si="18"/>
        <v>3000</v>
      </c>
      <c r="D76" s="175">
        <f t="shared" ca="1" si="43"/>
        <v>3000</v>
      </c>
      <c r="E76" s="176">
        <f ca="1">IFERROR(__xludf.DUMMYFUNCTION("IMPORTRANGE(""https://docs.google.com/spreadsheets/d/1-uDff_7J0KD5mKrp0Vvzr7lt3OU09vwQwhkpOPPYv2Y/edit?usp=sharing"",""งบพรบ!CB76"")"),0)</f>
        <v>0</v>
      </c>
      <c r="F76" s="176">
        <f ca="1">IFERROR(__xludf.DUMMYFUNCTION("IMPORTRANGE(""https://docs.google.com/spreadsheets/d/1-uDff_7J0KD5mKrp0Vvzr7lt3OU09vwQwhkpOPPYv2Y/edit?usp=sharing"",""งบพรบ!CC76"")"),3000)</f>
        <v>3000</v>
      </c>
      <c r="G76" s="176">
        <f ca="1">IFERROR(__xludf.DUMMYFUNCTION("IMPORTRANGE(""https://docs.google.com/spreadsheets/d/1-uDff_7J0KD5mKrp0Vvzr7lt3OU09vwQwhkpOPPYv2Y/edit?usp=sharing"",""งบพรบ!CD76"")"),0)</f>
        <v>0</v>
      </c>
      <c r="H76" s="176">
        <f ca="1">IFERROR(__xludf.DUMMYFUNCTION("IMPORTRANGE(""https://docs.google.com/spreadsheets/d/1-uDff_7J0KD5mKrp0Vvzr7lt3OU09vwQwhkpOPPYv2Y/edit?usp=sharing"",""งบพรบ!CF76"")"),0)</f>
        <v>0</v>
      </c>
      <c r="I76" s="176">
        <f ca="1">IFERROR(__xludf.DUMMYFUNCTION("IMPORTRANGE(""https://docs.google.com/spreadsheets/d/1-uDff_7J0KD5mKrp0Vvzr7lt3OU09vwQwhkpOPPYv2Y/edit?usp=sharing"",""งบพรบ!CG76"")"),0)</f>
        <v>0</v>
      </c>
      <c r="J76" s="176">
        <f t="shared" ca="1" si="20"/>
        <v>0</v>
      </c>
      <c r="K76" s="179">
        <f t="shared" ca="1" si="21"/>
        <v>0</v>
      </c>
      <c r="L76" s="176">
        <f ca="1">IFERROR(__xludf.DUMMYFUNCTION("IMPORTRANGE(""https://docs.google.com/spreadsheets/d/1-uDff_7J0KD5mKrp0Vvzr7lt3OU09vwQwhkpOPPYv2Y/edit?usp=sharing"",""งบพรบ!CH76"")"),0)</f>
        <v>0</v>
      </c>
      <c r="M76" s="87">
        <f t="shared" ca="1" si="22"/>
        <v>0</v>
      </c>
      <c r="N76" s="87">
        <f t="shared" ca="1" si="23"/>
        <v>0</v>
      </c>
      <c r="O76" s="86">
        <f ca="1">IFERROR(__xludf.DUMMYFUNCTION("IMPORTRANGE(""https://docs.google.com/spreadsheets/d/1-uDff_7J0KD5mKrp0Vvzr7lt3OU09vwQwhkpOPPYv2Y/edit?usp=sharing"",""งบพรบ!CI76"")"),0)</f>
        <v>0</v>
      </c>
      <c r="P76" s="86">
        <f t="shared" ca="1" si="24"/>
        <v>0</v>
      </c>
      <c r="Q76" s="87">
        <f t="shared" ca="1" si="25"/>
        <v>0</v>
      </c>
      <c r="R76" s="241">
        <f ca="1">IFERROR(__xludf.DUMMYFUNCTION("IMPORTRANGE(""https://docs.google.com/spreadsheets/d/1GwtLaSlNZkLk7iDqcyZz22giiy40b_usZZBXYciEN1U/edit?usp=sharing"",""ชุมพร!Q157"")"),0)</f>
        <v>0</v>
      </c>
      <c r="S76" s="242">
        <f ca="1">IFERROR(__xludf.DUMMYFUNCTION("IMPORTRANGE(""https://docs.google.com/spreadsheets/d/1GwtLaSlNZkLk7iDqcyZz22giiy40b_usZZBXYciEN1U/edit?usp=sharing"",""ชุมพร!R157"")"),0)</f>
        <v>0</v>
      </c>
      <c r="T76" s="242">
        <f ca="1">IFERROR(__xludf.DUMMYFUNCTION("IMPORTRANGE(""https://docs.google.com/spreadsheets/d/1GwtLaSlNZkLk7iDqcyZz22giiy40b_usZZBXYciEN1U/edit?usp=sharing"",""ชุมพร!S157"")"),0)</f>
        <v>0</v>
      </c>
      <c r="U76" s="243">
        <f t="shared" ca="1" si="27"/>
        <v>0</v>
      </c>
      <c r="V76" s="243">
        <f t="shared" ca="1" si="28"/>
        <v>0</v>
      </c>
      <c r="W76" s="97">
        <f ca="1">IFERROR(__xludf.DUMMYFUNCTION("IMPORTRANGE(""https://docs.google.com/spreadsheets/d/1GwtLaSlNZkLk7iDqcyZz22giiy40b_usZZBXYciEN1U/edit?usp=sharing"",""ชุมพร!I167"")"),10)</f>
        <v>10</v>
      </c>
      <c r="X76" s="97">
        <f ca="1">IFERROR(__xludf.DUMMYFUNCTION("IMPORTRANGE(""https://docs.google.com/spreadsheets/d/1GwtLaSlNZkLk7iDqcyZz22giiy40b_usZZBXYciEN1U/edit?usp=sharing"",""ชุมพร!J167"")"),0)</f>
        <v>0</v>
      </c>
      <c r="Y76" s="98">
        <f t="shared" ca="1" si="30"/>
        <v>0</v>
      </c>
    </row>
    <row r="77" spans="1:25" ht="21" customHeight="1" x14ac:dyDescent="0.3">
      <c r="A77" s="89">
        <v>3</v>
      </c>
      <c r="B77" s="90" t="s">
        <v>103</v>
      </c>
      <c r="C77" s="174">
        <f t="shared" ca="1" si="18"/>
        <v>0</v>
      </c>
      <c r="D77" s="175">
        <f t="shared" ca="1" si="43"/>
        <v>0</v>
      </c>
      <c r="E77" s="176">
        <f ca="1">IFERROR(__xludf.DUMMYFUNCTION("IMPORTRANGE(""https://docs.google.com/spreadsheets/d/1-uDff_7J0KD5mKrp0Vvzr7lt3OU09vwQwhkpOPPYv2Y/edit?usp=sharing"",""งบพรบ!CB77"")"),0)</f>
        <v>0</v>
      </c>
      <c r="F77" s="176">
        <f ca="1">IFERROR(__xludf.DUMMYFUNCTION("IMPORTRANGE(""https://docs.google.com/spreadsheets/d/1-uDff_7J0KD5mKrp0Vvzr7lt3OU09vwQwhkpOPPYv2Y/edit?usp=sharing"",""งบพรบ!CC77"")"),0)</f>
        <v>0</v>
      </c>
      <c r="G77" s="176">
        <f ca="1">IFERROR(__xludf.DUMMYFUNCTION("IMPORTRANGE(""https://docs.google.com/spreadsheets/d/1-uDff_7J0KD5mKrp0Vvzr7lt3OU09vwQwhkpOPPYv2Y/edit?usp=sharing"",""งบพรบ!CD77"")"),0)</f>
        <v>0</v>
      </c>
      <c r="H77" s="176">
        <f ca="1">IFERROR(__xludf.DUMMYFUNCTION("IMPORTRANGE(""https://docs.google.com/spreadsheets/d/1-uDff_7J0KD5mKrp0Vvzr7lt3OU09vwQwhkpOPPYv2Y/edit?usp=sharing"",""งบพรบ!CF77"")"),0)</f>
        <v>0</v>
      </c>
      <c r="I77" s="176">
        <f ca="1">IFERROR(__xludf.DUMMYFUNCTION("IMPORTRANGE(""https://docs.google.com/spreadsheets/d/1-uDff_7J0KD5mKrp0Vvzr7lt3OU09vwQwhkpOPPYv2Y/edit?usp=sharing"",""งบพรบ!CG77"")"),0)</f>
        <v>0</v>
      </c>
      <c r="J77" s="176">
        <f t="shared" ca="1" si="20"/>
        <v>0</v>
      </c>
      <c r="K77" s="179">
        <f t="shared" ca="1" si="21"/>
        <v>0</v>
      </c>
      <c r="L77" s="176">
        <f ca="1">IFERROR(__xludf.DUMMYFUNCTION("IMPORTRANGE(""https://docs.google.com/spreadsheets/d/1-uDff_7J0KD5mKrp0Vvzr7lt3OU09vwQwhkpOPPYv2Y/edit?usp=sharing"",""งบพรบ!CH77"")"),0)</f>
        <v>0</v>
      </c>
      <c r="M77" s="87">
        <f t="shared" ca="1" si="22"/>
        <v>0</v>
      </c>
      <c r="N77" s="87">
        <f t="shared" ca="1" si="23"/>
        <v>0</v>
      </c>
      <c r="O77" s="86">
        <f ca="1">IFERROR(__xludf.DUMMYFUNCTION("IMPORTRANGE(""https://docs.google.com/spreadsheets/d/1-uDff_7J0KD5mKrp0Vvzr7lt3OU09vwQwhkpOPPYv2Y/edit?usp=sharing"",""งบพรบ!CI77"")"),0)</f>
        <v>0</v>
      </c>
      <c r="P77" s="86">
        <f t="shared" ca="1" si="24"/>
        <v>0</v>
      </c>
      <c r="Q77" s="87">
        <f t="shared" ca="1" si="25"/>
        <v>0</v>
      </c>
      <c r="R77" s="241">
        <f ca="1">IFERROR(__xludf.DUMMYFUNCTION("IMPORTRANGE(""https://docs.google.com/spreadsheets/d/16pAz3pOhQEZBhvFNMa5KGgZS6iKWpsKX0pg6tQmwFpo/edit?usp=sharing"",""ตรัง!Q157"")"),0)</f>
        <v>0</v>
      </c>
      <c r="S77" s="242">
        <f ca="1">IFERROR(__xludf.DUMMYFUNCTION("IMPORTRANGE(""https://docs.google.com/spreadsheets/d/16pAz3pOhQEZBhvFNMa5KGgZS6iKWpsKX0pg6tQmwFpo/edit?usp=sharing"",""ตรัง!R157"")"),0)</f>
        <v>0</v>
      </c>
      <c r="T77" s="242">
        <f ca="1">IFERROR(__xludf.DUMMYFUNCTION("IMPORTRANGE(""https://docs.google.com/spreadsheets/d/16pAz3pOhQEZBhvFNMa5KGgZS6iKWpsKX0pg6tQmwFpo/edit?usp=sharing"",""ตรัง!S157"")"),0)</f>
        <v>0</v>
      </c>
      <c r="U77" s="243">
        <f t="shared" ca="1" si="27"/>
        <v>0</v>
      </c>
      <c r="V77" s="243">
        <f t="shared" ca="1" si="28"/>
        <v>0</v>
      </c>
      <c r="W77" s="97">
        <f ca="1">IFERROR(__xludf.DUMMYFUNCTION("IMPORTRANGE(""https://docs.google.com/spreadsheets/d/16pAz3pOhQEZBhvFNMa5KGgZS6iKWpsKX0pg6tQmwFpo/edit?usp=sharing"",""ตรัง!I167"")"),0)</f>
        <v>0</v>
      </c>
      <c r="X77" s="97">
        <f ca="1">IFERROR(__xludf.DUMMYFUNCTION("IMPORTRANGE(""https://docs.google.com/spreadsheets/d/16pAz3pOhQEZBhvFNMa5KGgZS6iKWpsKX0pg6tQmwFpo/edit?usp=sharing"",""ตรัง!J167"")"),0)</f>
        <v>0</v>
      </c>
      <c r="Y77" s="98">
        <f t="shared" ca="1" si="30"/>
        <v>0</v>
      </c>
    </row>
    <row r="78" spans="1:25" ht="21" customHeight="1" x14ac:dyDescent="0.3">
      <c r="A78" s="89">
        <v>4</v>
      </c>
      <c r="B78" s="90" t="s">
        <v>104</v>
      </c>
      <c r="C78" s="174">
        <f t="shared" ca="1" si="18"/>
        <v>0</v>
      </c>
      <c r="D78" s="175">
        <f t="shared" ca="1" si="43"/>
        <v>0</v>
      </c>
      <c r="E78" s="176">
        <f ca="1">IFERROR(__xludf.DUMMYFUNCTION("IMPORTRANGE(""https://docs.google.com/spreadsheets/d/1-uDff_7J0KD5mKrp0Vvzr7lt3OU09vwQwhkpOPPYv2Y/edit?usp=sharing"",""งบพรบ!CB78"")"),0)</f>
        <v>0</v>
      </c>
      <c r="F78" s="176">
        <f ca="1">IFERROR(__xludf.DUMMYFUNCTION("IMPORTRANGE(""https://docs.google.com/spreadsheets/d/1-uDff_7J0KD5mKrp0Vvzr7lt3OU09vwQwhkpOPPYv2Y/edit?usp=sharing"",""งบพรบ!CC78"")"),0)</f>
        <v>0</v>
      </c>
      <c r="G78" s="176">
        <f ca="1">IFERROR(__xludf.DUMMYFUNCTION("IMPORTRANGE(""https://docs.google.com/spreadsheets/d/1-uDff_7J0KD5mKrp0Vvzr7lt3OU09vwQwhkpOPPYv2Y/edit?usp=sharing"",""งบพรบ!CD78"")"),0)</f>
        <v>0</v>
      </c>
      <c r="H78" s="176">
        <f ca="1">IFERROR(__xludf.DUMMYFUNCTION("IMPORTRANGE(""https://docs.google.com/spreadsheets/d/1-uDff_7J0KD5mKrp0Vvzr7lt3OU09vwQwhkpOPPYv2Y/edit?usp=sharing"",""งบพรบ!CF78"")"),0)</f>
        <v>0</v>
      </c>
      <c r="I78" s="176">
        <f ca="1">IFERROR(__xludf.DUMMYFUNCTION("IMPORTRANGE(""https://docs.google.com/spreadsheets/d/1-uDff_7J0KD5mKrp0Vvzr7lt3OU09vwQwhkpOPPYv2Y/edit?usp=sharing"",""งบพรบ!CG78"")"),0)</f>
        <v>0</v>
      </c>
      <c r="J78" s="176">
        <f t="shared" ca="1" si="20"/>
        <v>0</v>
      </c>
      <c r="K78" s="179">
        <f t="shared" ca="1" si="21"/>
        <v>0</v>
      </c>
      <c r="L78" s="176">
        <f ca="1">IFERROR(__xludf.DUMMYFUNCTION("IMPORTRANGE(""https://docs.google.com/spreadsheets/d/1-uDff_7J0KD5mKrp0Vvzr7lt3OU09vwQwhkpOPPYv2Y/edit?usp=sharing"",""งบพรบ!CH78"")"),0)</f>
        <v>0</v>
      </c>
      <c r="M78" s="87">
        <f t="shared" ca="1" si="22"/>
        <v>0</v>
      </c>
      <c r="N78" s="87">
        <f t="shared" ca="1" si="23"/>
        <v>0</v>
      </c>
      <c r="O78" s="86">
        <f ca="1">IFERROR(__xludf.DUMMYFUNCTION("IMPORTRANGE(""https://docs.google.com/spreadsheets/d/1-uDff_7J0KD5mKrp0Vvzr7lt3OU09vwQwhkpOPPYv2Y/edit?usp=sharing"",""งบพรบ!CI78"")"),0)</f>
        <v>0</v>
      </c>
      <c r="P78" s="86">
        <f t="shared" ca="1" si="24"/>
        <v>0</v>
      </c>
      <c r="Q78" s="87">
        <f t="shared" ca="1" si="25"/>
        <v>0</v>
      </c>
      <c r="R78" s="241">
        <f ca="1">IFERROR(__xludf.DUMMYFUNCTION("IMPORTRANGE(""https://docs.google.com/spreadsheets/d/1Dj4jcHCTV9JXKCaMoheSXS52JE63kDKyG7bPXnFogHk/edit?usp=sharing"",""นครศรีธรรมราช!Q157"")"),0)</f>
        <v>0</v>
      </c>
      <c r="S78" s="242">
        <f ca="1">IFERROR(__xludf.DUMMYFUNCTION("IMPORTRANGE(""https://docs.google.com/spreadsheets/d/1Dj4jcHCTV9JXKCaMoheSXS52JE63kDKyG7bPXnFogHk/edit?usp=sharing"",""นครศรีธรรมราช!R157"")"),0)</f>
        <v>0</v>
      </c>
      <c r="T78" s="242">
        <f ca="1">IFERROR(__xludf.DUMMYFUNCTION("IMPORTRANGE(""https://docs.google.com/spreadsheets/d/1Dj4jcHCTV9JXKCaMoheSXS52JE63kDKyG7bPXnFogHk/edit?usp=sharing"",""นครศรีธรรมราช!S157"")"),0)</f>
        <v>0</v>
      </c>
      <c r="U78" s="243">
        <f t="shared" ca="1" si="27"/>
        <v>0</v>
      </c>
      <c r="V78" s="243">
        <f t="shared" ca="1" si="28"/>
        <v>0</v>
      </c>
      <c r="W78" s="97">
        <f ca="1">IFERROR(__xludf.DUMMYFUNCTION("IMPORTRANGE(""https://docs.google.com/spreadsheets/d/1Dj4jcHCTV9JXKCaMoheSXS52JE63kDKyG7bPXnFogHk/edit?usp=sharing"",""นครศรีธรรมราช!I167"")"),0)</f>
        <v>0</v>
      </c>
      <c r="X78" s="97">
        <f ca="1">IFERROR(__xludf.DUMMYFUNCTION("IMPORTRANGE(""https://docs.google.com/spreadsheets/d/1Dj4jcHCTV9JXKCaMoheSXS52JE63kDKyG7bPXnFogHk/edit?usp=sharing"",""นครศรีธรรมราช!J167"")"),0)</f>
        <v>0</v>
      </c>
      <c r="Y78" s="98">
        <f t="shared" ca="1" si="30"/>
        <v>0</v>
      </c>
    </row>
    <row r="79" spans="1:25" ht="21" customHeight="1" x14ac:dyDescent="0.3">
      <c r="A79" s="89">
        <v>5</v>
      </c>
      <c r="B79" s="90" t="s">
        <v>105</v>
      </c>
      <c r="C79" s="174">
        <f t="shared" ca="1" si="18"/>
        <v>0</v>
      </c>
      <c r="D79" s="175">
        <f t="shared" ca="1" si="43"/>
        <v>0</v>
      </c>
      <c r="E79" s="176">
        <f ca="1">IFERROR(__xludf.DUMMYFUNCTION("IMPORTRANGE(""https://docs.google.com/spreadsheets/d/1-uDff_7J0KD5mKrp0Vvzr7lt3OU09vwQwhkpOPPYv2Y/edit?usp=sharing"",""งบพรบ!CB79"")"),0)</f>
        <v>0</v>
      </c>
      <c r="F79" s="176">
        <f ca="1">IFERROR(__xludf.DUMMYFUNCTION("IMPORTRANGE(""https://docs.google.com/spreadsheets/d/1-uDff_7J0KD5mKrp0Vvzr7lt3OU09vwQwhkpOPPYv2Y/edit?usp=sharing"",""งบพรบ!CC79"")"),0)</f>
        <v>0</v>
      </c>
      <c r="G79" s="176">
        <f ca="1">IFERROR(__xludf.DUMMYFUNCTION("IMPORTRANGE(""https://docs.google.com/spreadsheets/d/1-uDff_7J0KD5mKrp0Vvzr7lt3OU09vwQwhkpOPPYv2Y/edit?usp=sharing"",""งบพรบ!CD79"")"),0)</f>
        <v>0</v>
      </c>
      <c r="H79" s="176">
        <f ca="1">IFERROR(__xludf.DUMMYFUNCTION("IMPORTRANGE(""https://docs.google.com/spreadsheets/d/1-uDff_7J0KD5mKrp0Vvzr7lt3OU09vwQwhkpOPPYv2Y/edit?usp=sharing"",""งบพรบ!CF79"")"),0)</f>
        <v>0</v>
      </c>
      <c r="I79" s="176">
        <f ca="1">IFERROR(__xludf.DUMMYFUNCTION("IMPORTRANGE(""https://docs.google.com/spreadsheets/d/1-uDff_7J0KD5mKrp0Vvzr7lt3OU09vwQwhkpOPPYv2Y/edit?usp=sharing"",""งบพรบ!CG79"")"),0)</f>
        <v>0</v>
      </c>
      <c r="J79" s="176">
        <f t="shared" ca="1" si="20"/>
        <v>0</v>
      </c>
      <c r="K79" s="179">
        <f t="shared" ca="1" si="21"/>
        <v>0</v>
      </c>
      <c r="L79" s="176">
        <f ca="1">IFERROR(__xludf.DUMMYFUNCTION("IMPORTRANGE(""https://docs.google.com/spreadsheets/d/1-uDff_7J0KD5mKrp0Vvzr7lt3OU09vwQwhkpOPPYv2Y/edit?usp=sharing"",""งบพรบ!CH79"")"),0)</f>
        <v>0</v>
      </c>
      <c r="M79" s="87">
        <f t="shared" ca="1" si="22"/>
        <v>0</v>
      </c>
      <c r="N79" s="87">
        <f t="shared" ca="1" si="23"/>
        <v>0</v>
      </c>
      <c r="O79" s="86">
        <f ca="1">IFERROR(__xludf.DUMMYFUNCTION("IMPORTRANGE(""https://docs.google.com/spreadsheets/d/1-uDff_7J0KD5mKrp0Vvzr7lt3OU09vwQwhkpOPPYv2Y/edit?usp=sharing"",""งบพรบ!CI79"")"),0)</f>
        <v>0</v>
      </c>
      <c r="P79" s="86">
        <f t="shared" ca="1" si="24"/>
        <v>0</v>
      </c>
      <c r="Q79" s="87">
        <f t="shared" ca="1" si="25"/>
        <v>0</v>
      </c>
      <c r="R79" s="241">
        <f ca="1">IFERROR(__xludf.DUMMYFUNCTION("IMPORTRANGE(""https://docs.google.com/spreadsheets/d/1iodCdmuK2GR3jzUwk8tpccY2JHQQA-87DLOtJP-ooyU/edit?usp=sharing"",""นราธิวาส!Q157"")"),0)</f>
        <v>0</v>
      </c>
      <c r="S79" s="242">
        <f ca="1">IFERROR(__xludf.DUMMYFUNCTION("IMPORTRANGE(""https://docs.google.com/spreadsheets/d/1iodCdmuK2GR3jzUwk8tpccY2JHQQA-87DLOtJP-ooyU/edit?usp=sharing"",""นราธิวาส!R157"")"),0)</f>
        <v>0</v>
      </c>
      <c r="T79" s="242">
        <f ca="1">IFERROR(__xludf.DUMMYFUNCTION("IMPORTRANGE(""https://docs.google.com/spreadsheets/d/1iodCdmuK2GR3jzUwk8tpccY2JHQQA-87DLOtJP-ooyU/edit?usp=sharing"",""นราธิวาส!S157"")"),0)</f>
        <v>0</v>
      </c>
      <c r="U79" s="243">
        <f t="shared" ca="1" si="27"/>
        <v>0</v>
      </c>
      <c r="V79" s="243">
        <f t="shared" ca="1" si="28"/>
        <v>0</v>
      </c>
      <c r="W79" s="97">
        <f ca="1">IFERROR(__xludf.DUMMYFUNCTION("IMPORTRANGE(""https://docs.google.com/spreadsheets/d/1iodCdmuK2GR3jzUwk8tpccY2JHQQA-87DLOtJP-ooyU/edit?usp=sharing"",""นราธิวาส!I167"")"),0)</f>
        <v>0</v>
      </c>
      <c r="X79" s="97">
        <f ca="1">IFERROR(__xludf.DUMMYFUNCTION("IMPORTRANGE(""https://docs.google.com/spreadsheets/d/1iodCdmuK2GR3jzUwk8tpccY2JHQQA-87DLOtJP-ooyU/edit?usp=sharing"",""นราธิวาส!J167"")"),0)</f>
        <v>0</v>
      </c>
      <c r="Y79" s="98">
        <f t="shared" ca="1" si="30"/>
        <v>0</v>
      </c>
    </row>
    <row r="80" spans="1:25" ht="21" customHeight="1" x14ac:dyDescent="0.3">
      <c r="A80" s="89">
        <v>6</v>
      </c>
      <c r="B80" s="90" t="s">
        <v>106</v>
      </c>
      <c r="C80" s="174">
        <f t="shared" ca="1" si="18"/>
        <v>0</v>
      </c>
      <c r="D80" s="175">
        <f t="shared" ca="1" si="43"/>
        <v>0</v>
      </c>
      <c r="E80" s="176">
        <f ca="1">IFERROR(__xludf.DUMMYFUNCTION("IMPORTRANGE(""https://docs.google.com/spreadsheets/d/1-uDff_7J0KD5mKrp0Vvzr7lt3OU09vwQwhkpOPPYv2Y/edit?usp=sharing"",""งบพรบ!CB80"")"),0)</f>
        <v>0</v>
      </c>
      <c r="F80" s="176">
        <f ca="1">IFERROR(__xludf.DUMMYFUNCTION("IMPORTRANGE(""https://docs.google.com/spreadsheets/d/1-uDff_7J0KD5mKrp0Vvzr7lt3OU09vwQwhkpOPPYv2Y/edit?usp=sharing"",""งบพรบ!CC80"")"),0)</f>
        <v>0</v>
      </c>
      <c r="G80" s="176">
        <f ca="1">IFERROR(__xludf.DUMMYFUNCTION("IMPORTRANGE(""https://docs.google.com/spreadsheets/d/1-uDff_7J0KD5mKrp0Vvzr7lt3OU09vwQwhkpOPPYv2Y/edit?usp=sharing"",""งบพรบ!CD80"")"),0)</f>
        <v>0</v>
      </c>
      <c r="H80" s="176">
        <f ca="1">IFERROR(__xludf.DUMMYFUNCTION("IMPORTRANGE(""https://docs.google.com/spreadsheets/d/1-uDff_7J0KD5mKrp0Vvzr7lt3OU09vwQwhkpOPPYv2Y/edit?usp=sharing"",""งบพรบ!CF80"")"),0)</f>
        <v>0</v>
      </c>
      <c r="I80" s="176">
        <f ca="1">IFERROR(__xludf.DUMMYFUNCTION("IMPORTRANGE(""https://docs.google.com/spreadsheets/d/1-uDff_7J0KD5mKrp0Vvzr7lt3OU09vwQwhkpOPPYv2Y/edit?usp=sharing"",""งบพรบ!CG80"")"),0)</f>
        <v>0</v>
      </c>
      <c r="J80" s="176">
        <f t="shared" ca="1" si="20"/>
        <v>0</v>
      </c>
      <c r="K80" s="179">
        <f t="shared" ca="1" si="21"/>
        <v>0</v>
      </c>
      <c r="L80" s="176">
        <f ca="1">IFERROR(__xludf.DUMMYFUNCTION("IMPORTRANGE(""https://docs.google.com/spreadsheets/d/1-uDff_7J0KD5mKrp0Vvzr7lt3OU09vwQwhkpOPPYv2Y/edit?usp=sharing"",""งบพรบ!CH80"")"),0)</f>
        <v>0</v>
      </c>
      <c r="M80" s="87">
        <f t="shared" ca="1" si="22"/>
        <v>0</v>
      </c>
      <c r="N80" s="87">
        <f t="shared" ca="1" si="23"/>
        <v>0</v>
      </c>
      <c r="O80" s="86">
        <f ca="1">IFERROR(__xludf.DUMMYFUNCTION("IMPORTRANGE(""https://docs.google.com/spreadsheets/d/1-uDff_7J0KD5mKrp0Vvzr7lt3OU09vwQwhkpOPPYv2Y/edit?usp=sharing"",""งบพรบ!CI80"")"),0)</f>
        <v>0</v>
      </c>
      <c r="P80" s="86">
        <f t="shared" ca="1" si="24"/>
        <v>0</v>
      </c>
      <c r="Q80" s="87">
        <f t="shared" ca="1" si="25"/>
        <v>0</v>
      </c>
      <c r="R80" s="241">
        <f ca="1">IFERROR(__xludf.DUMMYFUNCTION("IMPORTRANGE(""https://docs.google.com/spreadsheets/d/1SDNX3JhDdYRuIOsj0Wh2M-Qa_eaXl0NbWmhAOTbfQAs/edit?usp=sharing"",""ปัตตานี!Q157"")"),0)</f>
        <v>0</v>
      </c>
      <c r="S80" s="242">
        <f ca="1">IFERROR(__xludf.DUMMYFUNCTION("IMPORTRANGE(""https://docs.google.com/spreadsheets/d/1SDNX3JhDdYRuIOsj0Wh2M-Qa_eaXl0NbWmhAOTbfQAs/edit?usp=sharing"",""ปัตตานี!R157"")"),0)</f>
        <v>0</v>
      </c>
      <c r="T80" s="242">
        <f ca="1">IFERROR(__xludf.DUMMYFUNCTION("IMPORTRANGE(""https://docs.google.com/spreadsheets/d/1SDNX3JhDdYRuIOsj0Wh2M-Qa_eaXl0NbWmhAOTbfQAs/edit?usp=sharing"",""ปัตตานี!S157"")"),0)</f>
        <v>0</v>
      </c>
      <c r="U80" s="243">
        <f t="shared" ca="1" si="27"/>
        <v>0</v>
      </c>
      <c r="V80" s="243">
        <f t="shared" ca="1" si="28"/>
        <v>0</v>
      </c>
      <c r="W80" s="97">
        <f ca="1">IFERROR(__xludf.DUMMYFUNCTION("IMPORTRANGE(""https://docs.google.com/spreadsheets/d/1SDNX3JhDdYRuIOsj0Wh2M-Qa_eaXl0NbWmhAOTbfQAs/edit?usp=sharing"",""ปัตตานี!I167"")"),0)</f>
        <v>0</v>
      </c>
      <c r="X80" s="97">
        <f ca="1">IFERROR(__xludf.DUMMYFUNCTION("IMPORTRANGE(""https://docs.google.com/spreadsheets/d/1SDNX3JhDdYRuIOsj0Wh2M-Qa_eaXl0NbWmhAOTbfQAs/edit?usp=sharing"",""ปัตตานี!J167"")"),0)</f>
        <v>0</v>
      </c>
      <c r="Y80" s="98">
        <f t="shared" ca="1" si="30"/>
        <v>0</v>
      </c>
    </row>
    <row r="81" spans="1:25" ht="21" customHeight="1" x14ac:dyDescent="0.3">
      <c r="A81" s="89">
        <v>7</v>
      </c>
      <c r="B81" s="90" t="s">
        <v>107</v>
      </c>
      <c r="C81" s="174">
        <f t="shared" ca="1" si="18"/>
        <v>0</v>
      </c>
      <c r="D81" s="175">
        <f t="shared" ca="1" si="43"/>
        <v>0</v>
      </c>
      <c r="E81" s="176">
        <f ca="1">IFERROR(__xludf.DUMMYFUNCTION("IMPORTRANGE(""https://docs.google.com/spreadsheets/d/1-uDff_7J0KD5mKrp0Vvzr7lt3OU09vwQwhkpOPPYv2Y/edit?usp=sharing"",""งบพรบ!CB81"")"),0)</f>
        <v>0</v>
      </c>
      <c r="F81" s="176">
        <f ca="1">IFERROR(__xludf.DUMMYFUNCTION("IMPORTRANGE(""https://docs.google.com/spreadsheets/d/1-uDff_7J0KD5mKrp0Vvzr7lt3OU09vwQwhkpOPPYv2Y/edit?usp=sharing"",""งบพรบ!CC81"")"),0)</f>
        <v>0</v>
      </c>
      <c r="G81" s="176">
        <f ca="1">IFERROR(__xludf.DUMMYFUNCTION("IMPORTRANGE(""https://docs.google.com/spreadsheets/d/1-uDff_7J0KD5mKrp0Vvzr7lt3OU09vwQwhkpOPPYv2Y/edit?usp=sharing"",""งบพรบ!CD81"")"),0)</f>
        <v>0</v>
      </c>
      <c r="H81" s="176">
        <f ca="1">IFERROR(__xludf.DUMMYFUNCTION("IMPORTRANGE(""https://docs.google.com/spreadsheets/d/1-uDff_7J0KD5mKrp0Vvzr7lt3OU09vwQwhkpOPPYv2Y/edit?usp=sharing"",""งบพรบ!CF81"")"),0)</f>
        <v>0</v>
      </c>
      <c r="I81" s="176">
        <f ca="1">IFERROR(__xludf.DUMMYFUNCTION("IMPORTRANGE(""https://docs.google.com/spreadsheets/d/1-uDff_7J0KD5mKrp0Vvzr7lt3OU09vwQwhkpOPPYv2Y/edit?usp=sharing"",""งบพรบ!CG81"")"),0)</f>
        <v>0</v>
      </c>
      <c r="J81" s="176">
        <f t="shared" ca="1" si="20"/>
        <v>0</v>
      </c>
      <c r="K81" s="179">
        <f t="shared" ca="1" si="21"/>
        <v>0</v>
      </c>
      <c r="L81" s="176">
        <f ca="1">IFERROR(__xludf.DUMMYFUNCTION("IMPORTRANGE(""https://docs.google.com/spreadsheets/d/1-uDff_7J0KD5mKrp0Vvzr7lt3OU09vwQwhkpOPPYv2Y/edit?usp=sharing"",""งบพรบ!CH81"")"),0)</f>
        <v>0</v>
      </c>
      <c r="M81" s="87">
        <f t="shared" ca="1" si="22"/>
        <v>0</v>
      </c>
      <c r="N81" s="87">
        <f t="shared" ca="1" si="23"/>
        <v>0</v>
      </c>
      <c r="O81" s="86">
        <f ca="1">IFERROR(__xludf.DUMMYFUNCTION("IMPORTRANGE(""https://docs.google.com/spreadsheets/d/1-uDff_7J0KD5mKrp0Vvzr7lt3OU09vwQwhkpOPPYv2Y/edit?usp=sharing"",""งบพรบ!CI81"")"),0)</f>
        <v>0</v>
      </c>
      <c r="P81" s="86">
        <f t="shared" ca="1" si="24"/>
        <v>0</v>
      </c>
      <c r="Q81" s="87">
        <f t="shared" ca="1" si="25"/>
        <v>0</v>
      </c>
      <c r="R81" s="241">
        <f ca="1">IFERROR(__xludf.DUMMYFUNCTION("IMPORTRANGE(""https://docs.google.com/spreadsheets/d/16JDLGguT8s5DsGCND1KcwHP_AWR_zDMTqLHPLJUKhaU/edit?usp=sharing"",""พังงา!Q157"")"),0)</f>
        <v>0</v>
      </c>
      <c r="S81" s="242">
        <f ca="1">IFERROR(__xludf.DUMMYFUNCTION("IMPORTRANGE(""https://docs.google.com/spreadsheets/d/16JDLGguT8s5DsGCND1KcwHP_AWR_zDMTqLHPLJUKhaU/edit?usp=sharing"",""พังงา!R157"")"),0)</f>
        <v>0</v>
      </c>
      <c r="T81" s="242">
        <f ca="1">IFERROR(__xludf.DUMMYFUNCTION("IMPORTRANGE(""https://docs.google.com/spreadsheets/d/16JDLGguT8s5DsGCND1KcwHP_AWR_zDMTqLHPLJUKhaU/edit?usp=sharing"",""พังงา!S157"")"),0)</f>
        <v>0</v>
      </c>
      <c r="U81" s="243">
        <f t="shared" ca="1" si="27"/>
        <v>0</v>
      </c>
      <c r="V81" s="243">
        <f t="shared" ca="1" si="28"/>
        <v>0</v>
      </c>
      <c r="W81" s="97">
        <f ca="1">IFERROR(__xludf.DUMMYFUNCTION("IMPORTRANGE(""https://docs.google.com/spreadsheets/d/16JDLGguT8s5DsGCND1KcwHP_AWR_zDMTqLHPLJUKhaU/edit?usp=sharing"",""พังงา!I167"")"),0)</f>
        <v>0</v>
      </c>
      <c r="X81" s="97">
        <f ca="1">IFERROR(__xludf.DUMMYFUNCTION("IMPORTRANGE(""https://docs.google.com/spreadsheets/d/16JDLGguT8s5DsGCND1KcwHP_AWR_zDMTqLHPLJUKhaU/edit?usp=sharing"",""พังงา!J167"")"),0)</f>
        <v>0</v>
      </c>
      <c r="Y81" s="98">
        <f t="shared" ca="1" si="30"/>
        <v>0</v>
      </c>
    </row>
    <row r="82" spans="1:25" ht="21" customHeight="1" x14ac:dyDescent="0.3">
      <c r="A82" s="89">
        <v>8</v>
      </c>
      <c r="B82" s="90" t="s">
        <v>108</v>
      </c>
      <c r="C82" s="174">
        <f t="shared" ca="1" si="18"/>
        <v>0</v>
      </c>
      <c r="D82" s="175">
        <f t="shared" ca="1" si="43"/>
        <v>0</v>
      </c>
      <c r="E82" s="176">
        <f ca="1">IFERROR(__xludf.DUMMYFUNCTION("IMPORTRANGE(""https://docs.google.com/spreadsheets/d/1-uDff_7J0KD5mKrp0Vvzr7lt3OU09vwQwhkpOPPYv2Y/edit?usp=sharing"",""งบพรบ!CB82"")"),0)</f>
        <v>0</v>
      </c>
      <c r="F82" s="176">
        <f ca="1">IFERROR(__xludf.DUMMYFUNCTION("IMPORTRANGE(""https://docs.google.com/spreadsheets/d/1-uDff_7J0KD5mKrp0Vvzr7lt3OU09vwQwhkpOPPYv2Y/edit?usp=sharing"",""งบพรบ!CC82"")"),0)</f>
        <v>0</v>
      </c>
      <c r="G82" s="176">
        <f ca="1">IFERROR(__xludf.DUMMYFUNCTION("IMPORTRANGE(""https://docs.google.com/spreadsheets/d/1-uDff_7J0KD5mKrp0Vvzr7lt3OU09vwQwhkpOPPYv2Y/edit?usp=sharing"",""งบพรบ!CD82"")"),0)</f>
        <v>0</v>
      </c>
      <c r="H82" s="176">
        <f ca="1">IFERROR(__xludf.DUMMYFUNCTION("IMPORTRANGE(""https://docs.google.com/spreadsheets/d/1-uDff_7J0KD5mKrp0Vvzr7lt3OU09vwQwhkpOPPYv2Y/edit?usp=sharing"",""งบพรบ!CF82"")"),0)</f>
        <v>0</v>
      </c>
      <c r="I82" s="176">
        <f ca="1">IFERROR(__xludf.DUMMYFUNCTION("IMPORTRANGE(""https://docs.google.com/spreadsheets/d/1-uDff_7J0KD5mKrp0Vvzr7lt3OU09vwQwhkpOPPYv2Y/edit?usp=sharing"",""งบพรบ!CG82"")"),0)</f>
        <v>0</v>
      </c>
      <c r="J82" s="176">
        <f t="shared" ca="1" si="20"/>
        <v>0</v>
      </c>
      <c r="K82" s="179">
        <f t="shared" ca="1" si="21"/>
        <v>0</v>
      </c>
      <c r="L82" s="176">
        <f ca="1">IFERROR(__xludf.DUMMYFUNCTION("IMPORTRANGE(""https://docs.google.com/spreadsheets/d/1-uDff_7J0KD5mKrp0Vvzr7lt3OU09vwQwhkpOPPYv2Y/edit?usp=sharing"",""งบพรบ!CH82"")"),0)</f>
        <v>0</v>
      </c>
      <c r="M82" s="87">
        <f t="shared" ca="1" si="22"/>
        <v>0</v>
      </c>
      <c r="N82" s="87">
        <f t="shared" ca="1" si="23"/>
        <v>0</v>
      </c>
      <c r="O82" s="86">
        <f ca="1">IFERROR(__xludf.DUMMYFUNCTION("IMPORTRANGE(""https://docs.google.com/spreadsheets/d/1-uDff_7J0KD5mKrp0Vvzr7lt3OU09vwQwhkpOPPYv2Y/edit?usp=sharing"",""งบพรบ!CI82"")"),0)</f>
        <v>0</v>
      </c>
      <c r="P82" s="86">
        <f t="shared" ca="1" si="24"/>
        <v>0</v>
      </c>
      <c r="Q82" s="87">
        <f t="shared" ca="1" si="25"/>
        <v>0</v>
      </c>
      <c r="R82" s="241">
        <f ca="1">IFERROR(__xludf.DUMMYFUNCTION("IMPORTRANGE(""https://docs.google.com/spreadsheets/d/17ht0gPKzzT3PObBL1XJkeRmntBXI7wGjpLV7QorqlTk/edit?usp=sharing"",""พัทลุง!Q157"")"),0)</f>
        <v>0</v>
      </c>
      <c r="S82" s="242">
        <f ca="1">IFERROR(__xludf.DUMMYFUNCTION("IMPORTRANGE(""https://docs.google.com/spreadsheets/d/17ht0gPKzzT3PObBL1XJkeRmntBXI7wGjpLV7QorqlTk/edit?usp=sharing"",""พัทลุง!R157"")"),0)</f>
        <v>0</v>
      </c>
      <c r="T82" s="242">
        <f ca="1">IFERROR(__xludf.DUMMYFUNCTION("IMPORTRANGE(""https://docs.google.com/spreadsheets/d/17ht0gPKzzT3PObBL1XJkeRmntBXI7wGjpLV7QorqlTk/edit?usp=sharing"",""พัทลุง!S157"")"),0)</f>
        <v>0</v>
      </c>
      <c r="U82" s="243">
        <f t="shared" ca="1" si="27"/>
        <v>0</v>
      </c>
      <c r="V82" s="243">
        <f t="shared" ca="1" si="28"/>
        <v>0</v>
      </c>
      <c r="W82" s="97">
        <f ca="1">IFERROR(__xludf.DUMMYFUNCTION("IMPORTRANGE(""https://docs.google.com/spreadsheets/d/17ht0gPKzzT3PObBL1XJkeRmntBXI7wGjpLV7QorqlTk/edit?usp=sharing"",""พัทลุง!I167"")"),0)</f>
        <v>0</v>
      </c>
      <c r="X82" s="97">
        <f ca="1">IFERROR(__xludf.DUMMYFUNCTION("IMPORTRANGE(""https://docs.google.com/spreadsheets/d/17ht0gPKzzT3PObBL1XJkeRmntBXI7wGjpLV7QorqlTk/edit?usp=sharing"",""พัทลุง!J167"")"),0)</f>
        <v>0</v>
      </c>
      <c r="Y82" s="98">
        <f t="shared" ca="1" si="30"/>
        <v>0</v>
      </c>
    </row>
    <row r="83" spans="1:25" ht="21" customHeight="1" x14ac:dyDescent="0.3">
      <c r="A83" s="89">
        <v>9</v>
      </c>
      <c r="B83" s="90" t="s">
        <v>109</v>
      </c>
      <c r="C83" s="174">
        <f t="shared" ca="1" si="18"/>
        <v>0</v>
      </c>
      <c r="D83" s="175">
        <f t="shared" ca="1" si="43"/>
        <v>0</v>
      </c>
      <c r="E83" s="176">
        <f ca="1">IFERROR(__xludf.DUMMYFUNCTION("IMPORTRANGE(""https://docs.google.com/spreadsheets/d/1-uDff_7J0KD5mKrp0Vvzr7lt3OU09vwQwhkpOPPYv2Y/edit?usp=sharing"",""งบพรบ!CB83"")"),0)</f>
        <v>0</v>
      </c>
      <c r="F83" s="176">
        <f ca="1">IFERROR(__xludf.DUMMYFUNCTION("IMPORTRANGE(""https://docs.google.com/spreadsheets/d/1-uDff_7J0KD5mKrp0Vvzr7lt3OU09vwQwhkpOPPYv2Y/edit?usp=sharing"",""งบพรบ!CC83"")"),0)</f>
        <v>0</v>
      </c>
      <c r="G83" s="176">
        <f ca="1">IFERROR(__xludf.DUMMYFUNCTION("IMPORTRANGE(""https://docs.google.com/spreadsheets/d/1-uDff_7J0KD5mKrp0Vvzr7lt3OU09vwQwhkpOPPYv2Y/edit?usp=sharing"",""งบพรบ!CD83"")"),0)</f>
        <v>0</v>
      </c>
      <c r="H83" s="176">
        <f ca="1">IFERROR(__xludf.DUMMYFUNCTION("IMPORTRANGE(""https://docs.google.com/spreadsheets/d/1-uDff_7J0KD5mKrp0Vvzr7lt3OU09vwQwhkpOPPYv2Y/edit?usp=sharing"",""งบพรบ!CF83"")"),0)</f>
        <v>0</v>
      </c>
      <c r="I83" s="176">
        <f ca="1">IFERROR(__xludf.DUMMYFUNCTION("IMPORTRANGE(""https://docs.google.com/spreadsheets/d/1-uDff_7J0KD5mKrp0Vvzr7lt3OU09vwQwhkpOPPYv2Y/edit?usp=sharing"",""งบพรบ!CG83"")"),0)</f>
        <v>0</v>
      </c>
      <c r="J83" s="176">
        <f t="shared" ca="1" si="20"/>
        <v>0</v>
      </c>
      <c r="K83" s="179">
        <f t="shared" ca="1" si="21"/>
        <v>0</v>
      </c>
      <c r="L83" s="176">
        <f ca="1">IFERROR(__xludf.DUMMYFUNCTION("IMPORTRANGE(""https://docs.google.com/spreadsheets/d/1-uDff_7J0KD5mKrp0Vvzr7lt3OU09vwQwhkpOPPYv2Y/edit?usp=sharing"",""งบพรบ!CH83"")"),0)</f>
        <v>0</v>
      </c>
      <c r="M83" s="87">
        <f t="shared" ca="1" si="22"/>
        <v>0</v>
      </c>
      <c r="N83" s="87">
        <f t="shared" ca="1" si="23"/>
        <v>0</v>
      </c>
      <c r="O83" s="86">
        <f ca="1">IFERROR(__xludf.DUMMYFUNCTION("IMPORTRANGE(""https://docs.google.com/spreadsheets/d/1-uDff_7J0KD5mKrp0Vvzr7lt3OU09vwQwhkpOPPYv2Y/edit?usp=sharing"",""งบพรบ!CI83"")"),0)</f>
        <v>0</v>
      </c>
      <c r="P83" s="86">
        <f t="shared" ca="1" si="24"/>
        <v>0</v>
      </c>
      <c r="Q83" s="87">
        <f t="shared" ca="1" si="25"/>
        <v>0</v>
      </c>
      <c r="R83" s="241">
        <f ca="1">IFERROR(__xludf.DUMMYFUNCTION("IMPORTRANGE(""https://docs.google.com/spreadsheets/d/1rd4qoM1q_hsgaolqNGfrim9gbsoLxQsda4-vOz5x_BM/edit?usp=sharing"",""ภูเก็ต!Q157"")"),0)</f>
        <v>0</v>
      </c>
      <c r="S83" s="242">
        <f ca="1">IFERROR(__xludf.DUMMYFUNCTION("IMPORTRANGE(""https://docs.google.com/spreadsheets/d/1rd4qoM1q_hsgaolqNGfrim9gbsoLxQsda4-vOz5x_BM/edit?usp=sharing"",""ภูเก็ต!R157"")"),0)</f>
        <v>0</v>
      </c>
      <c r="T83" s="242">
        <f ca="1">IFERROR(__xludf.DUMMYFUNCTION("IMPORTRANGE(""https://docs.google.com/spreadsheets/d/1rd4qoM1q_hsgaolqNGfrim9gbsoLxQsda4-vOz5x_BM/edit?usp=sharing"",""ภูเก็ต!S157"")"),0)</f>
        <v>0</v>
      </c>
      <c r="U83" s="243">
        <f t="shared" ca="1" si="27"/>
        <v>0</v>
      </c>
      <c r="V83" s="243">
        <f t="shared" ca="1" si="28"/>
        <v>0</v>
      </c>
      <c r="W83" s="97">
        <f ca="1">IFERROR(__xludf.DUMMYFUNCTION("IMPORTRANGE(""https://docs.google.com/spreadsheets/d/1rd4qoM1q_hsgaolqNGfrim9gbsoLxQsda4-vOz5x_BM/edit?usp=sharing"",""ภูเก็ต!I167"")"),0)</f>
        <v>0</v>
      </c>
      <c r="X83" s="97">
        <f ca="1">IFERROR(__xludf.DUMMYFUNCTION("IMPORTRANGE(""https://docs.google.com/spreadsheets/d/1rd4qoM1q_hsgaolqNGfrim9gbsoLxQsda4-vOz5x_BM/edit?usp=sharing"",""ภูเก็ต!J167"")"),0)</f>
        <v>0</v>
      </c>
      <c r="Y83" s="98">
        <f t="shared" ca="1" si="30"/>
        <v>0</v>
      </c>
    </row>
    <row r="84" spans="1:25" ht="21" customHeight="1" x14ac:dyDescent="0.3">
      <c r="A84" s="89">
        <v>10</v>
      </c>
      <c r="B84" s="90" t="s">
        <v>110</v>
      </c>
      <c r="C84" s="174">
        <f t="shared" ca="1" si="18"/>
        <v>0</v>
      </c>
      <c r="D84" s="175">
        <f t="shared" ca="1" si="43"/>
        <v>0</v>
      </c>
      <c r="E84" s="176">
        <f ca="1">IFERROR(__xludf.DUMMYFUNCTION("IMPORTRANGE(""https://docs.google.com/spreadsheets/d/1-uDff_7J0KD5mKrp0Vvzr7lt3OU09vwQwhkpOPPYv2Y/edit?usp=sharing"",""งบพรบ!CB84"")"),0)</f>
        <v>0</v>
      </c>
      <c r="F84" s="176">
        <f ca="1">IFERROR(__xludf.DUMMYFUNCTION("IMPORTRANGE(""https://docs.google.com/spreadsheets/d/1-uDff_7J0KD5mKrp0Vvzr7lt3OU09vwQwhkpOPPYv2Y/edit?usp=sharing"",""งบพรบ!CC84"")"),0)</f>
        <v>0</v>
      </c>
      <c r="G84" s="176">
        <f ca="1">IFERROR(__xludf.DUMMYFUNCTION("IMPORTRANGE(""https://docs.google.com/spreadsheets/d/1-uDff_7J0KD5mKrp0Vvzr7lt3OU09vwQwhkpOPPYv2Y/edit?usp=sharing"",""งบพรบ!CD84"")"),0)</f>
        <v>0</v>
      </c>
      <c r="H84" s="176">
        <f ca="1">IFERROR(__xludf.DUMMYFUNCTION("IMPORTRANGE(""https://docs.google.com/spreadsheets/d/1-uDff_7J0KD5mKrp0Vvzr7lt3OU09vwQwhkpOPPYv2Y/edit?usp=sharing"",""งบพรบ!CF84"")"),0)</f>
        <v>0</v>
      </c>
      <c r="I84" s="176">
        <f ca="1">IFERROR(__xludf.DUMMYFUNCTION("IMPORTRANGE(""https://docs.google.com/spreadsheets/d/1-uDff_7J0KD5mKrp0Vvzr7lt3OU09vwQwhkpOPPYv2Y/edit?usp=sharing"",""งบพรบ!CG84"")"),0)</f>
        <v>0</v>
      </c>
      <c r="J84" s="176">
        <f t="shared" ca="1" si="20"/>
        <v>0</v>
      </c>
      <c r="K84" s="179">
        <f t="shared" ca="1" si="21"/>
        <v>0</v>
      </c>
      <c r="L84" s="176">
        <f ca="1">IFERROR(__xludf.DUMMYFUNCTION("IMPORTRANGE(""https://docs.google.com/spreadsheets/d/1-uDff_7J0KD5mKrp0Vvzr7lt3OU09vwQwhkpOPPYv2Y/edit?usp=sharing"",""งบพรบ!CH84"")"),0)</f>
        <v>0</v>
      </c>
      <c r="M84" s="87">
        <f t="shared" ca="1" si="22"/>
        <v>0</v>
      </c>
      <c r="N84" s="87">
        <f t="shared" ca="1" si="23"/>
        <v>0</v>
      </c>
      <c r="O84" s="86">
        <f ca="1">IFERROR(__xludf.DUMMYFUNCTION("IMPORTRANGE(""https://docs.google.com/spreadsheets/d/1-uDff_7J0KD5mKrp0Vvzr7lt3OU09vwQwhkpOPPYv2Y/edit?usp=sharing"",""งบพรบ!CI84"")"),0)</f>
        <v>0</v>
      </c>
      <c r="P84" s="86">
        <f t="shared" ca="1" si="24"/>
        <v>0</v>
      </c>
      <c r="Q84" s="87">
        <f t="shared" ca="1" si="25"/>
        <v>0</v>
      </c>
      <c r="R84" s="241">
        <f ca="1">IFERROR(__xludf.DUMMYFUNCTION("IMPORTRANGE(""https://docs.google.com/spreadsheets/d/1woKwKjgoLssDvPcPeVyezB5izizAn4X1JDrys69n6xI/edit?usp=sharing"",""ยะลา!Q157"")"),0)</f>
        <v>0</v>
      </c>
      <c r="S84" s="242">
        <f ca="1">IFERROR(__xludf.DUMMYFUNCTION("IMPORTRANGE(""https://docs.google.com/spreadsheets/d/1woKwKjgoLssDvPcPeVyezB5izizAn4X1JDrys69n6xI/edit?usp=sharing"",""ยะลา!R157"")"),0)</f>
        <v>0</v>
      </c>
      <c r="T84" s="242">
        <f ca="1">IFERROR(__xludf.DUMMYFUNCTION("IMPORTRANGE(""https://docs.google.com/spreadsheets/d/1woKwKjgoLssDvPcPeVyezB5izizAn4X1JDrys69n6xI/edit?usp=sharing"",""ยะลา!S157"")"),0)</f>
        <v>0</v>
      </c>
      <c r="U84" s="243">
        <f t="shared" ca="1" si="27"/>
        <v>0</v>
      </c>
      <c r="V84" s="243">
        <f t="shared" ca="1" si="28"/>
        <v>0</v>
      </c>
      <c r="W84" s="97">
        <f ca="1">IFERROR(__xludf.DUMMYFUNCTION("IMPORTRANGE(""https://docs.google.com/spreadsheets/d/1woKwKjgoLssDvPcPeVyezB5izizAn4X1JDrys69n6xI/edit?usp=sharing"",""ยะลา!I167"")"),0)</f>
        <v>0</v>
      </c>
      <c r="X84" s="97">
        <f ca="1">IFERROR(__xludf.DUMMYFUNCTION("IMPORTRANGE(""https://docs.google.com/spreadsheets/d/1woKwKjgoLssDvPcPeVyezB5izizAn4X1JDrys69n6xI/edit?usp=sharing"",""ยะลา!J167"")"),0)</f>
        <v>0</v>
      </c>
      <c r="Y84" s="98">
        <f t="shared" ca="1" si="30"/>
        <v>0</v>
      </c>
    </row>
    <row r="85" spans="1:25" ht="21" customHeight="1" x14ac:dyDescent="0.3">
      <c r="A85" s="89">
        <v>11</v>
      </c>
      <c r="B85" s="90" t="s">
        <v>111</v>
      </c>
      <c r="C85" s="174">
        <f t="shared" ca="1" si="18"/>
        <v>0</v>
      </c>
      <c r="D85" s="175">
        <f t="shared" ca="1" si="43"/>
        <v>0</v>
      </c>
      <c r="E85" s="176">
        <f ca="1">IFERROR(__xludf.DUMMYFUNCTION("IMPORTRANGE(""https://docs.google.com/spreadsheets/d/1-uDff_7J0KD5mKrp0Vvzr7lt3OU09vwQwhkpOPPYv2Y/edit?usp=sharing"",""งบพรบ!CB85"")"),0)</f>
        <v>0</v>
      </c>
      <c r="F85" s="176">
        <f ca="1">IFERROR(__xludf.DUMMYFUNCTION("IMPORTRANGE(""https://docs.google.com/spreadsheets/d/1-uDff_7J0KD5mKrp0Vvzr7lt3OU09vwQwhkpOPPYv2Y/edit?usp=sharing"",""งบพรบ!CC85"")"),0)</f>
        <v>0</v>
      </c>
      <c r="G85" s="176">
        <f ca="1">IFERROR(__xludf.DUMMYFUNCTION("IMPORTRANGE(""https://docs.google.com/spreadsheets/d/1-uDff_7J0KD5mKrp0Vvzr7lt3OU09vwQwhkpOPPYv2Y/edit?usp=sharing"",""งบพรบ!CD85"")"),0)</f>
        <v>0</v>
      </c>
      <c r="H85" s="176">
        <f ca="1">IFERROR(__xludf.DUMMYFUNCTION("IMPORTRANGE(""https://docs.google.com/spreadsheets/d/1-uDff_7J0KD5mKrp0Vvzr7lt3OU09vwQwhkpOPPYv2Y/edit?usp=sharing"",""งบพรบ!CF85"")"),0)</f>
        <v>0</v>
      </c>
      <c r="I85" s="176">
        <f ca="1">IFERROR(__xludf.DUMMYFUNCTION("IMPORTRANGE(""https://docs.google.com/spreadsheets/d/1-uDff_7J0KD5mKrp0Vvzr7lt3OU09vwQwhkpOPPYv2Y/edit?usp=sharing"",""งบพรบ!CG85"")"),0)</f>
        <v>0</v>
      </c>
      <c r="J85" s="176">
        <f t="shared" ca="1" si="20"/>
        <v>0</v>
      </c>
      <c r="K85" s="179">
        <f t="shared" ca="1" si="21"/>
        <v>0</v>
      </c>
      <c r="L85" s="176">
        <f ca="1">IFERROR(__xludf.DUMMYFUNCTION("IMPORTRANGE(""https://docs.google.com/spreadsheets/d/1-uDff_7J0KD5mKrp0Vvzr7lt3OU09vwQwhkpOPPYv2Y/edit?usp=sharing"",""งบพรบ!CH85"")"),0)</f>
        <v>0</v>
      </c>
      <c r="M85" s="87">
        <f t="shared" ca="1" si="22"/>
        <v>0</v>
      </c>
      <c r="N85" s="87">
        <f t="shared" ca="1" si="23"/>
        <v>0</v>
      </c>
      <c r="O85" s="86">
        <f ca="1">IFERROR(__xludf.DUMMYFUNCTION("IMPORTRANGE(""https://docs.google.com/spreadsheets/d/1-uDff_7J0KD5mKrp0Vvzr7lt3OU09vwQwhkpOPPYv2Y/edit?usp=sharing"",""งบพรบ!CI85"")"),0)</f>
        <v>0</v>
      </c>
      <c r="P85" s="86">
        <f t="shared" ca="1" si="24"/>
        <v>0</v>
      </c>
      <c r="Q85" s="87">
        <f t="shared" ca="1" si="25"/>
        <v>0</v>
      </c>
      <c r="R85" s="241">
        <f ca="1">IFERROR(__xludf.DUMMYFUNCTION("IMPORTRANGE(""https://docs.google.com/spreadsheets/d/1qfrKjzMhm2HJfxQ-qVlJlJQ25Hne1d0khsySbZyGtPA/edit?usp=sharing"",""ระนอง!Q157"")"),0)</f>
        <v>0</v>
      </c>
      <c r="S85" s="242">
        <f ca="1">IFERROR(__xludf.DUMMYFUNCTION("IMPORTRANGE(""https://docs.google.com/spreadsheets/d/1qfrKjzMhm2HJfxQ-qVlJlJQ25Hne1d0khsySbZyGtPA/edit?usp=sharing"",""ระนอง!R157"")"),0)</f>
        <v>0</v>
      </c>
      <c r="T85" s="242">
        <f ca="1">IFERROR(__xludf.DUMMYFUNCTION("IMPORTRANGE(""https://docs.google.com/spreadsheets/d/1qfrKjzMhm2HJfxQ-qVlJlJQ25Hne1d0khsySbZyGtPA/edit?usp=sharing"",""ระนอง!S157"")"),0)</f>
        <v>0</v>
      </c>
      <c r="U85" s="243">
        <f t="shared" ca="1" si="27"/>
        <v>0</v>
      </c>
      <c r="V85" s="243">
        <f t="shared" ca="1" si="28"/>
        <v>0</v>
      </c>
      <c r="W85" s="97">
        <f ca="1">IFERROR(__xludf.DUMMYFUNCTION("IMPORTRANGE(""https://docs.google.com/spreadsheets/d/1qfrKjzMhm2HJfxQ-qVlJlJQ25Hne1d0khsySbZyGtPA/edit?usp=sharing"",""ระนอง!I167"")"),0)</f>
        <v>0</v>
      </c>
      <c r="X85" s="97">
        <f ca="1">IFERROR(__xludf.DUMMYFUNCTION("IMPORTRANGE(""https://docs.google.com/spreadsheets/d/1qfrKjzMhm2HJfxQ-qVlJlJQ25Hne1d0khsySbZyGtPA/edit?usp=sharing"",""ระนอง!J167"")"),0)</f>
        <v>0</v>
      </c>
      <c r="Y85" s="98">
        <f t="shared" ca="1" si="30"/>
        <v>0</v>
      </c>
    </row>
    <row r="86" spans="1:25" ht="24" customHeight="1" x14ac:dyDescent="0.3">
      <c r="A86" s="89">
        <v>12</v>
      </c>
      <c r="B86" s="90" t="s">
        <v>112</v>
      </c>
      <c r="C86" s="174">
        <f t="shared" ca="1" si="18"/>
        <v>0</v>
      </c>
      <c r="D86" s="175">
        <f t="shared" ca="1" si="43"/>
        <v>0</v>
      </c>
      <c r="E86" s="176">
        <f ca="1">IFERROR(__xludf.DUMMYFUNCTION("IMPORTRANGE(""https://docs.google.com/spreadsheets/d/1-uDff_7J0KD5mKrp0Vvzr7lt3OU09vwQwhkpOPPYv2Y/edit?usp=sharing"",""งบพรบ!CB86"")"),0)</f>
        <v>0</v>
      </c>
      <c r="F86" s="176">
        <f ca="1">IFERROR(__xludf.DUMMYFUNCTION("IMPORTRANGE(""https://docs.google.com/spreadsheets/d/1-uDff_7J0KD5mKrp0Vvzr7lt3OU09vwQwhkpOPPYv2Y/edit?usp=sharing"",""งบพรบ!CC86"")"),0)</f>
        <v>0</v>
      </c>
      <c r="G86" s="176">
        <f ca="1">IFERROR(__xludf.DUMMYFUNCTION("IMPORTRANGE(""https://docs.google.com/spreadsheets/d/1-uDff_7J0KD5mKrp0Vvzr7lt3OU09vwQwhkpOPPYv2Y/edit?usp=sharing"",""งบพรบ!CD86"")"),0)</f>
        <v>0</v>
      </c>
      <c r="H86" s="176">
        <f ca="1">IFERROR(__xludf.DUMMYFUNCTION("IMPORTRANGE(""https://docs.google.com/spreadsheets/d/1-uDff_7J0KD5mKrp0Vvzr7lt3OU09vwQwhkpOPPYv2Y/edit?usp=sharing"",""งบพรบ!CF86"")"),0)</f>
        <v>0</v>
      </c>
      <c r="I86" s="176">
        <f ca="1">IFERROR(__xludf.DUMMYFUNCTION("IMPORTRANGE(""https://docs.google.com/spreadsheets/d/1-uDff_7J0KD5mKrp0Vvzr7lt3OU09vwQwhkpOPPYv2Y/edit?usp=sharing"",""งบพรบ!CG86"")"),0)</f>
        <v>0</v>
      </c>
      <c r="J86" s="176">
        <f t="shared" ca="1" si="20"/>
        <v>0</v>
      </c>
      <c r="K86" s="179">
        <f t="shared" ca="1" si="21"/>
        <v>0</v>
      </c>
      <c r="L86" s="176">
        <f ca="1">IFERROR(__xludf.DUMMYFUNCTION("IMPORTRANGE(""https://docs.google.com/spreadsheets/d/1-uDff_7J0KD5mKrp0Vvzr7lt3OU09vwQwhkpOPPYv2Y/edit?usp=sharing"",""งบพรบ!CH86"")"),0)</f>
        <v>0</v>
      </c>
      <c r="M86" s="87">
        <f t="shared" ca="1" si="22"/>
        <v>0</v>
      </c>
      <c r="N86" s="87">
        <f t="shared" ca="1" si="23"/>
        <v>0</v>
      </c>
      <c r="O86" s="86">
        <f ca="1">IFERROR(__xludf.DUMMYFUNCTION("IMPORTRANGE(""https://docs.google.com/spreadsheets/d/1-uDff_7J0KD5mKrp0Vvzr7lt3OU09vwQwhkpOPPYv2Y/edit?usp=sharing"",""งบพรบ!CI86"")"),0)</f>
        <v>0</v>
      </c>
      <c r="P86" s="86">
        <f t="shared" ca="1" si="24"/>
        <v>0</v>
      </c>
      <c r="Q86" s="87">
        <f t="shared" ca="1" si="25"/>
        <v>0</v>
      </c>
      <c r="R86" s="241">
        <f ca="1">IFERROR(__xludf.DUMMYFUNCTION("IMPORTRANGE(""https://docs.google.com/spreadsheets/d/1IbSCnFOKpZsnFogBHJnL_isstZVaOMnFiIN0fGTPZZw/edit?usp=sharing"",""สงขลา!Q157"")"),0)</f>
        <v>0</v>
      </c>
      <c r="S86" s="242">
        <f ca="1">IFERROR(__xludf.DUMMYFUNCTION("IMPORTRANGE(""https://docs.google.com/spreadsheets/d/1IbSCnFOKpZsnFogBHJnL_isstZVaOMnFiIN0fGTPZZw/edit?usp=sharing"",""สงขลา!R157"")"),0)</f>
        <v>0</v>
      </c>
      <c r="T86" s="242">
        <f ca="1">IFERROR(__xludf.DUMMYFUNCTION("IMPORTRANGE(""https://docs.google.com/spreadsheets/d/1IbSCnFOKpZsnFogBHJnL_isstZVaOMnFiIN0fGTPZZw/edit?usp=sharing"",""สงขลา!S157"")"),0)</f>
        <v>0</v>
      </c>
      <c r="U86" s="243">
        <f t="shared" ca="1" si="27"/>
        <v>0</v>
      </c>
      <c r="V86" s="243">
        <f t="shared" ca="1" si="28"/>
        <v>0</v>
      </c>
      <c r="W86" s="97">
        <f ca="1">IFERROR(__xludf.DUMMYFUNCTION("IMPORTRANGE(""https://docs.google.com/spreadsheets/d/1IbSCnFOKpZsnFogBHJnL_isstZVaOMnFiIN0fGTPZZw/edit?usp=sharing"",""สงขลา!I167"")"),0)</f>
        <v>0</v>
      </c>
      <c r="X86" s="97">
        <f ca="1">IFERROR(__xludf.DUMMYFUNCTION("IMPORTRANGE(""https://docs.google.com/spreadsheets/d/1IbSCnFOKpZsnFogBHJnL_isstZVaOMnFiIN0fGTPZZw/edit?usp=sharing"",""สงขลา!J167"")"),0)</f>
        <v>0</v>
      </c>
      <c r="Y86" s="98">
        <f t="shared" ca="1" si="30"/>
        <v>0</v>
      </c>
    </row>
    <row r="87" spans="1:25" ht="24" customHeight="1" x14ac:dyDescent="0.3">
      <c r="A87" s="89">
        <v>13</v>
      </c>
      <c r="B87" s="90" t="s">
        <v>113</v>
      </c>
      <c r="C87" s="174">
        <f t="shared" ca="1" si="18"/>
        <v>0</v>
      </c>
      <c r="D87" s="175">
        <f t="shared" ca="1" si="43"/>
        <v>0</v>
      </c>
      <c r="E87" s="176">
        <f ca="1">IFERROR(__xludf.DUMMYFUNCTION("IMPORTRANGE(""https://docs.google.com/spreadsheets/d/1-uDff_7J0KD5mKrp0Vvzr7lt3OU09vwQwhkpOPPYv2Y/edit?usp=sharing"",""งบพรบ!CB87"")"),0)</f>
        <v>0</v>
      </c>
      <c r="F87" s="176">
        <f ca="1">IFERROR(__xludf.DUMMYFUNCTION("IMPORTRANGE(""https://docs.google.com/spreadsheets/d/1-uDff_7J0KD5mKrp0Vvzr7lt3OU09vwQwhkpOPPYv2Y/edit?usp=sharing"",""งบพรบ!CC87"")"),0)</f>
        <v>0</v>
      </c>
      <c r="G87" s="176">
        <f ca="1">IFERROR(__xludf.DUMMYFUNCTION("IMPORTRANGE(""https://docs.google.com/spreadsheets/d/1-uDff_7J0KD5mKrp0Vvzr7lt3OU09vwQwhkpOPPYv2Y/edit?usp=sharing"",""งบพรบ!CD87"")"),0)</f>
        <v>0</v>
      </c>
      <c r="H87" s="176">
        <f ca="1">IFERROR(__xludf.DUMMYFUNCTION("IMPORTRANGE(""https://docs.google.com/spreadsheets/d/1-uDff_7J0KD5mKrp0Vvzr7lt3OU09vwQwhkpOPPYv2Y/edit?usp=sharing"",""งบพรบ!CF87"")"),0)</f>
        <v>0</v>
      </c>
      <c r="I87" s="176">
        <f ca="1">IFERROR(__xludf.DUMMYFUNCTION("IMPORTRANGE(""https://docs.google.com/spreadsheets/d/1-uDff_7J0KD5mKrp0Vvzr7lt3OU09vwQwhkpOPPYv2Y/edit?usp=sharing"",""งบพรบ!CG87"")"),0)</f>
        <v>0</v>
      </c>
      <c r="J87" s="176">
        <f t="shared" ca="1" si="20"/>
        <v>0</v>
      </c>
      <c r="K87" s="179">
        <f t="shared" ca="1" si="21"/>
        <v>0</v>
      </c>
      <c r="L87" s="176">
        <f ca="1">IFERROR(__xludf.DUMMYFUNCTION("IMPORTRANGE(""https://docs.google.com/spreadsheets/d/1-uDff_7J0KD5mKrp0Vvzr7lt3OU09vwQwhkpOPPYv2Y/edit?usp=sharing"",""งบพรบ!CH87"")"),0)</f>
        <v>0</v>
      </c>
      <c r="M87" s="87">
        <f t="shared" ca="1" si="22"/>
        <v>0</v>
      </c>
      <c r="N87" s="87">
        <f t="shared" ca="1" si="23"/>
        <v>0</v>
      </c>
      <c r="O87" s="86">
        <f ca="1">IFERROR(__xludf.DUMMYFUNCTION("IMPORTRANGE(""https://docs.google.com/spreadsheets/d/1-uDff_7J0KD5mKrp0Vvzr7lt3OU09vwQwhkpOPPYv2Y/edit?usp=sharing"",""งบพรบ!CI87"")"),0)</f>
        <v>0</v>
      </c>
      <c r="P87" s="86">
        <f t="shared" ca="1" si="24"/>
        <v>0</v>
      </c>
      <c r="Q87" s="87">
        <f t="shared" ca="1" si="25"/>
        <v>0</v>
      </c>
      <c r="R87" s="241">
        <f ca="1">IFERROR(__xludf.DUMMYFUNCTION("IMPORTRANGE(""https://docs.google.com/spreadsheets/d/1q9nWasZJ-K8bFGvbE9n0qSRuKGA4Toe3Y89cKCiVtCU/edit?usp=sharing"",""สตูล!Q157"")"),0)</f>
        <v>0</v>
      </c>
      <c r="S87" s="242">
        <f ca="1">IFERROR(__xludf.DUMMYFUNCTION("IMPORTRANGE(""https://docs.google.com/spreadsheets/d/1q9nWasZJ-K8bFGvbE9n0qSRuKGA4Toe3Y89cKCiVtCU/edit?usp=sharing"",""สตูล!R157"")"),0)</f>
        <v>0</v>
      </c>
      <c r="T87" s="242">
        <f ca="1">IFERROR(__xludf.DUMMYFUNCTION("IMPORTRANGE(""https://docs.google.com/spreadsheets/d/1q9nWasZJ-K8bFGvbE9n0qSRuKGA4Toe3Y89cKCiVtCU/edit?usp=sharing"",""สตูล!S157"")"),0)</f>
        <v>0</v>
      </c>
      <c r="U87" s="243">
        <f t="shared" ca="1" si="27"/>
        <v>0</v>
      </c>
      <c r="V87" s="243">
        <f t="shared" ca="1" si="28"/>
        <v>0</v>
      </c>
      <c r="W87" s="97">
        <f ca="1">IFERROR(__xludf.DUMMYFUNCTION("IMPORTRANGE(""https://docs.google.com/spreadsheets/d/1q9nWasZJ-K8bFGvbE9n0qSRuKGA4Toe3Y89cKCiVtCU/edit?usp=sharing"",""สตูล!I167"")"),0)</f>
        <v>0</v>
      </c>
      <c r="X87" s="97">
        <f ca="1">IFERROR(__xludf.DUMMYFUNCTION("IMPORTRANGE(""https://docs.google.com/spreadsheets/d/1q9nWasZJ-K8bFGvbE9n0qSRuKGA4Toe3Y89cKCiVtCU/edit?usp=sharing"",""สตูล!J167"")"),0)</f>
        <v>0</v>
      </c>
      <c r="Y87" s="98">
        <f t="shared" ca="1" si="30"/>
        <v>0</v>
      </c>
    </row>
    <row r="88" spans="1:25" ht="24" customHeight="1" x14ac:dyDescent="0.3">
      <c r="A88" s="100">
        <v>14</v>
      </c>
      <c r="B88" s="101" t="s">
        <v>114</v>
      </c>
      <c r="C88" s="182">
        <f t="shared" ca="1" si="18"/>
        <v>3000</v>
      </c>
      <c r="D88" s="183">
        <f t="shared" ca="1" si="43"/>
        <v>3000</v>
      </c>
      <c r="E88" s="184">
        <f ca="1">IFERROR(__xludf.DUMMYFUNCTION("IMPORTRANGE(""https://docs.google.com/spreadsheets/d/1-uDff_7J0KD5mKrp0Vvzr7lt3OU09vwQwhkpOPPYv2Y/edit?usp=sharing"",""งบพรบ!CB88"")"),0)</f>
        <v>0</v>
      </c>
      <c r="F88" s="184">
        <f ca="1">IFERROR(__xludf.DUMMYFUNCTION("IMPORTRANGE(""https://docs.google.com/spreadsheets/d/1-uDff_7J0KD5mKrp0Vvzr7lt3OU09vwQwhkpOPPYv2Y/edit?usp=sharing"",""งบพรบ!CC88"")"),3000)</f>
        <v>3000</v>
      </c>
      <c r="G88" s="184">
        <f ca="1">IFERROR(__xludf.DUMMYFUNCTION("IMPORTRANGE(""https://docs.google.com/spreadsheets/d/1-uDff_7J0KD5mKrp0Vvzr7lt3OU09vwQwhkpOPPYv2Y/edit?usp=sharing"",""งบพรบ!CD88"")"),0)</f>
        <v>0</v>
      </c>
      <c r="H88" s="184">
        <f ca="1">IFERROR(__xludf.DUMMYFUNCTION("IMPORTRANGE(""https://docs.google.com/spreadsheets/d/1-uDff_7J0KD5mKrp0Vvzr7lt3OU09vwQwhkpOPPYv2Y/edit?usp=sharing"",""งบพรบ!CF88"")"),0)</f>
        <v>0</v>
      </c>
      <c r="I88" s="184">
        <f ca="1">IFERROR(__xludf.DUMMYFUNCTION("IMPORTRANGE(""https://docs.google.com/spreadsheets/d/1-uDff_7J0KD5mKrp0Vvzr7lt3OU09vwQwhkpOPPYv2Y/edit?usp=sharing"",""งบพรบ!CG88"")"),0)</f>
        <v>0</v>
      </c>
      <c r="J88" s="184">
        <f t="shared" ca="1" si="20"/>
        <v>0</v>
      </c>
      <c r="K88" s="185">
        <f t="shared" ca="1" si="21"/>
        <v>0</v>
      </c>
      <c r="L88" s="184">
        <f ca="1">IFERROR(__xludf.DUMMYFUNCTION("IMPORTRANGE(""https://docs.google.com/spreadsheets/d/1-uDff_7J0KD5mKrp0Vvzr7lt3OU09vwQwhkpOPPYv2Y/edit?usp=sharing"",""งบพรบ!CH88"")"),0)</f>
        <v>0</v>
      </c>
      <c r="M88" s="109">
        <f t="shared" ca="1" si="22"/>
        <v>0</v>
      </c>
      <c r="N88" s="109">
        <f t="shared" ca="1" si="23"/>
        <v>0</v>
      </c>
      <c r="O88" s="108">
        <f ca="1">IFERROR(__xludf.DUMMYFUNCTION("IMPORTRANGE(""https://docs.google.com/spreadsheets/d/1-uDff_7J0KD5mKrp0Vvzr7lt3OU09vwQwhkpOPPYv2Y/edit?usp=sharing"",""งบพรบ!CI88"")"),0)</f>
        <v>0</v>
      </c>
      <c r="P88" s="108">
        <f t="shared" ca="1" si="24"/>
        <v>0</v>
      </c>
      <c r="Q88" s="109">
        <f t="shared" ca="1" si="25"/>
        <v>0</v>
      </c>
      <c r="R88" s="244">
        <f ca="1">IFERROR(__xludf.DUMMYFUNCTION("IMPORTRANGE(""https://docs.google.com/spreadsheets/d/18T20gbkS_WBjdscyTOV05cvq_JqvqQ17C81mpxf7Ncs/edit?usp=sharing"",""สุราษฎร์ธานี!Q157"")"),0)</f>
        <v>0</v>
      </c>
      <c r="S88" s="245">
        <f ca="1">IFERROR(__xludf.DUMMYFUNCTION("IMPORTRANGE(""https://docs.google.com/spreadsheets/d/18T20gbkS_WBjdscyTOV05cvq_JqvqQ17C81mpxf7Ncs/edit?usp=sharing"",""สุราษฎร์ธานี!R157"")"),0)</f>
        <v>0</v>
      </c>
      <c r="T88" s="245">
        <f ca="1">IFERROR(__xludf.DUMMYFUNCTION("IMPORTRANGE(""https://docs.google.com/spreadsheets/d/18T20gbkS_WBjdscyTOV05cvq_JqvqQ17C81mpxf7Ncs/edit?usp=sharing"",""สุราษฎร์ธานี!S157"")"),0)</f>
        <v>0</v>
      </c>
      <c r="U88" s="246">
        <f t="shared" ca="1" si="27"/>
        <v>0</v>
      </c>
      <c r="V88" s="246">
        <f t="shared" ca="1" si="28"/>
        <v>0</v>
      </c>
      <c r="W88" s="110">
        <f ca="1">IFERROR(__xludf.DUMMYFUNCTION("IMPORTRANGE(""https://docs.google.com/spreadsheets/d/18T20gbkS_WBjdscyTOV05cvq_JqvqQ17C81mpxf7Ncs/edit?usp=sharing"",""สุราษฎร์ธานี!I167"")"),10)</f>
        <v>10</v>
      </c>
      <c r="X88" s="110">
        <f ca="1">IFERROR(__xludf.DUMMYFUNCTION("IMPORTRANGE(""https://docs.google.com/spreadsheets/d/18T20gbkS_WBjdscyTOV05cvq_JqvqQ17C81mpxf7Ncs/edit?usp=sharing"",""สุราษฎร์ธานี!J167"")"),0)</f>
        <v>0</v>
      </c>
      <c r="Y88" s="111">
        <f t="shared" ca="1" si="30"/>
        <v>0</v>
      </c>
    </row>
    <row r="89" spans="1:25" ht="21" hidden="1" customHeight="1" x14ac:dyDescent="0.3">
      <c r="A89" s="632" t="s">
        <v>115</v>
      </c>
      <c r="B89" s="633"/>
      <c r="C89" s="46">
        <f t="shared" ref="C89:T89" ca="1" si="44">SUM(C90:C106)</f>
        <v>3309600</v>
      </c>
      <c r="D89" s="45">
        <f t="shared" ca="1" si="44"/>
        <v>3309600</v>
      </c>
      <c r="E89" s="45">
        <f t="shared" ca="1" si="44"/>
        <v>1533900</v>
      </c>
      <c r="F89" s="45">
        <f t="shared" ca="1" si="44"/>
        <v>1775700</v>
      </c>
      <c r="G89" s="45">
        <f t="shared" ca="1" si="44"/>
        <v>0</v>
      </c>
      <c r="H89" s="45">
        <f t="shared" ca="1" si="44"/>
        <v>3408600</v>
      </c>
      <c r="I89" s="45">
        <f t="shared" ca="1" si="44"/>
        <v>0</v>
      </c>
      <c r="J89" s="45">
        <f t="shared" ca="1" si="44"/>
        <v>360192.83</v>
      </c>
      <c r="K89" s="47">
        <f t="shared" ca="1" si="44"/>
        <v>17.653915110522963</v>
      </c>
      <c r="L89" s="45">
        <f t="shared" ca="1" si="44"/>
        <v>360192.83</v>
      </c>
      <c r="M89" s="47">
        <f t="shared" ca="1" si="44"/>
        <v>17.653915110522963</v>
      </c>
      <c r="N89" s="47">
        <f t="shared" ca="1" si="44"/>
        <v>16.836948067124759</v>
      </c>
      <c r="O89" s="45">
        <f t="shared" ca="1" si="44"/>
        <v>0</v>
      </c>
      <c r="P89" s="45">
        <f t="shared" ca="1" si="44"/>
        <v>0</v>
      </c>
      <c r="Q89" s="45">
        <f t="shared" ca="1" si="44"/>
        <v>0</v>
      </c>
      <c r="R89" s="247">
        <f t="shared" si="44"/>
        <v>0</v>
      </c>
      <c r="S89" s="164">
        <f t="shared" si="44"/>
        <v>0</v>
      </c>
      <c r="T89" s="164">
        <f t="shared" si="44"/>
        <v>0</v>
      </c>
      <c r="U89" s="164">
        <f t="shared" si="27"/>
        <v>0</v>
      </c>
      <c r="V89" s="164">
        <f t="shared" si="28"/>
        <v>0</v>
      </c>
      <c r="W89" s="45"/>
      <c r="X89" s="45"/>
      <c r="Y89" s="48"/>
    </row>
    <row r="90" spans="1:25" ht="24" hidden="1" customHeight="1" x14ac:dyDescent="0.3">
      <c r="A90" s="197"/>
      <c r="B90" s="125" t="s">
        <v>116</v>
      </c>
      <c r="C90" s="198">
        <f t="shared" ref="C90:C106" ca="1" si="45">D90+G90</f>
        <v>0</v>
      </c>
      <c r="D90" s="199">
        <f t="shared" ref="D90:D106" ca="1" si="46">+E90+F90</f>
        <v>0</v>
      </c>
      <c r="E90" s="81">
        <f ca="1">IFERROR(__xludf.DUMMYFUNCTION("IMPORTRANGE(""https://docs.google.com/spreadsheets/d/1-uDff_7J0KD5mKrp0Vvzr7lt3OU09vwQwhkpOPPYv2Y/edit?usp=sharing"",""งบพรบ!CB90"")"),0)</f>
        <v>0</v>
      </c>
      <c r="F90" s="81">
        <f ca="1">IFERROR(__xludf.DUMMYFUNCTION("IMPORTRANGE(""https://docs.google.com/spreadsheets/d/1-uDff_7J0KD5mKrp0Vvzr7lt3OU09vwQwhkpOPPYv2Y/edit?usp=sharing"",""งบพรบ!CC90"")"),0)</f>
        <v>0</v>
      </c>
      <c r="G90" s="81">
        <f ca="1">IFERROR(__xludf.DUMMYFUNCTION("IMPORTRANGE(""https://docs.google.com/spreadsheets/d/1-uDff_7J0KD5mKrp0Vvzr7lt3OU09vwQwhkpOPPYv2Y/edit?usp=sharing"",""งบพรบ!CD90"")"),0)</f>
        <v>0</v>
      </c>
      <c r="H90" s="81">
        <f ca="1">IFERROR(__xludf.DUMMYFUNCTION("IMPORTRANGE(""https://docs.google.com/spreadsheets/d/1-uDff_7J0KD5mKrp0Vvzr7lt3OU09vwQwhkpOPPYv2Y/edit?usp=sharing"",""งบพรบ!CF90"")"),0)</f>
        <v>0</v>
      </c>
      <c r="I90" s="81">
        <f ca="1">IFERROR(__xludf.DUMMYFUNCTION("IMPORTRANGE(""https://docs.google.com/spreadsheets/d/1-uDff_7J0KD5mKrp0Vvzr7lt3OU09vwQwhkpOPPYv2Y/edit?usp=sharing"",""งบพรบ!CG90"")"),0)</f>
        <v>0</v>
      </c>
      <c r="J90" s="81">
        <f t="shared" ref="J90:J106" ca="1" si="47">L90+O90</f>
        <v>0</v>
      </c>
      <c r="K90" s="126">
        <f t="shared" ref="K90:K106" ca="1" si="48">IF(C90&gt;0,J90*100/C90,0)</f>
        <v>0</v>
      </c>
      <c r="L90" s="81">
        <f ca="1">IFERROR(__xludf.DUMMYFUNCTION("IMPORTRANGE(""https://docs.google.com/spreadsheets/d/1-uDff_7J0KD5mKrp0Vvzr7lt3OU09vwQwhkpOPPYv2Y/edit?usp=sharing"",""งบพรบ!CH90"")"),0)</f>
        <v>0</v>
      </c>
      <c r="M90" s="84">
        <f t="shared" ref="M90:M106" ca="1" si="49">IF(D90&gt;0,L90*100/D90,0)</f>
        <v>0</v>
      </c>
      <c r="N90" s="84">
        <f t="shared" ref="N90:N106" ca="1" si="50">IF(H90&gt;0,L90*100/H90,0)</f>
        <v>0</v>
      </c>
      <c r="O90" s="85">
        <f ca="1">IFERROR(__xludf.DUMMYFUNCTION("IMPORTRANGE(""https://docs.google.com/spreadsheets/d/1-uDff_7J0KD5mKrp0Vvzr7lt3OU09vwQwhkpOPPYv2Y/edit?usp=sharing"",""งบพรบ!CI90"")"),0)</f>
        <v>0</v>
      </c>
      <c r="P90" s="85">
        <f t="shared" ref="P90:P106" ca="1" si="51">IF(G90&gt;0,O90*100/G90,0)</f>
        <v>0</v>
      </c>
      <c r="Q90" s="84">
        <f t="shared" ref="Q90:Q106" ca="1" si="52">IF(I90&gt;0,O90*100/I90,0)</f>
        <v>0</v>
      </c>
      <c r="R90" s="248">
        <v>0</v>
      </c>
      <c r="S90" s="86">
        <v>0</v>
      </c>
      <c r="T90" s="86">
        <v>0</v>
      </c>
      <c r="U90" s="87">
        <f t="shared" si="27"/>
        <v>0</v>
      </c>
      <c r="V90" s="87">
        <f t="shared" si="28"/>
        <v>0</v>
      </c>
      <c r="W90" s="81"/>
      <c r="X90" s="81"/>
      <c r="Y90" s="84"/>
    </row>
    <row r="91" spans="1:25" ht="24" hidden="1" customHeight="1" x14ac:dyDescent="0.3">
      <c r="A91" s="201"/>
      <c r="B91" s="129" t="s">
        <v>117</v>
      </c>
      <c r="C91" s="202">
        <f t="shared" ca="1" si="45"/>
        <v>0</v>
      </c>
      <c r="D91" s="203">
        <f t="shared" ca="1" si="46"/>
        <v>0</v>
      </c>
      <c r="E91" s="93">
        <f ca="1">IFERROR(__xludf.DUMMYFUNCTION("IMPORTRANGE(""https://docs.google.com/spreadsheets/d/1-uDff_7J0KD5mKrp0Vvzr7lt3OU09vwQwhkpOPPYv2Y/edit?usp=sharing"",""งบพรบ!CB91"")"),0)</f>
        <v>0</v>
      </c>
      <c r="F91" s="93">
        <f ca="1">IFERROR(__xludf.DUMMYFUNCTION("IMPORTRANGE(""https://docs.google.com/spreadsheets/d/1-uDff_7J0KD5mKrp0Vvzr7lt3OU09vwQwhkpOPPYv2Y/edit?usp=sharing"",""งบพรบ!CC91"")"),0)</f>
        <v>0</v>
      </c>
      <c r="G91" s="93">
        <f ca="1">IFERROR(__xludf.DUMMYFUNCTION("IMPORTRANGE(""https://docs.google.com/spreadsheets/d/1-uDff_7J0KD5mKrp0Vvzr7lt3OU09vwQwhkpOPPYv2Y/edit?usp=sharing"",""งบพรบ!CD91"")"),0)</f>
        <v>0</v>
      </c>
      <c r="H91" s="93">
        <f ca="1">IFERROR(__xludf.DUMMYFUNCTION("IMPORTRANGE(""https://docs.google.com/spreadsheets/d/1-uDff_7J0KD5mKrp0Vvzr7lt3OU09vwQwhkpOPPYv2Y/edit?usp=sharing"",""งบพรบ!CF91"")"),0)</f>
        <v>0</v>
      </c>
      <c r="I91" s="93">
        <f ca="1">IFERROR(__xludf.DUMMYFUNCTION("IMPORTRANGE(""https://docs.google.com/spreadsheets/d/1-uDff_7J0KD5mKrp0Vvzr7lt3OU09vwQwhkpOPPYv2Y/edit?usp=sharing"",""งบพรบ!CG91"")"),0)</f>
        <v>0</v>
      </c>
      <c r="J91" s="93">
        <f t="shared" ca="1" si="47"/>
        <v>0</v>
      </c>
      <c r="K91" s="94">
        <f t="shared" ca="1" si="48"/>
        <v>0</v>
      </c>
      <c r="L91" s="93">
        <f ca="1">IFERROR(__xludf.DUMMYFUNCTION("IMPORTRANGE(""https://docs.google.com/spreadsheets/d/1-uDff_7J0KD5mKrp0Vvzr7lt3OU09vwQwhkpOPPYv2Y/edit?usp=sharing"",""งบพรบ!CH91"")"),0)</f>
        <v>0</v>
      </c>
      <c r="M91" s="95">
        <f t="shared" ca="1" si="49"/>
        <v>0</v>
      </c>
      <c r="N91" s="95">
        <f t="shared" ca="1" si="50"/>
        <v>0</v>
      </c>
      <c r="O91" s="96">
        <f ca="1">IFERROR(__xludf.DUMMYFUNCTION("IMPORTRANGE(""https://docs.google.com/spreadsheets/d/1-uDff_7J0KD5mKrp0Vvzr7lt3OU09vwQwhkpOPPYv2Y/edit?usp=sharing"",""งบพรบ!CI91"")"),0)</f>
        <v>0</v>
      </c>
      <c r="P91" s="96">
        <f t="shared" ca="1" si="51"/>
        <v>0</v>
      </c>
      <c r="Q91" s="95">
        <f t="shared" ca="1" si="52"/>
        <v>0</v>
      </c>
      <c r="R91" s="248">
        <v>0</v>
      </c>
      <c r="S91" s="86">
        <v>0</v>
      </c>
      <c r="T91" s="86">
        <v>0</v>
      </c>
      <c r="U91" s="87">
        <f t="shared" si="27"/>
        <v>0</v>
      </c>
      <c r="V91" s="87">
        <f t="shared" si="28"/>
        <v>0</v>
      </c>
      <c r="W91" s="93"/>
      <c r="X91" s="93"/>
      <c r="Y91" s="95"/>
    </row>
    <row r="92" spans="1:25" ht="24" hidden="1" customHeight="1" x14ac:dyDescent="0.3">
      <c r="A92" s="201"/>
      <c r="B92" s="129" t="s">
        <v>118</v>
      </c>
      <c r="C92" s="202">
        <f t="shared" ca="1" si="45"/>
        <v>0</v>
      </c>
      <c r="D92" s="203">
        <f t="shared" ca="1" si="46"/>
        <v>0</v>
      </c>
      <c r="E92" s="93">
        <f ca="1">IFERROR(__xludf.DUMMYFUNCTION("IMPORTRANGE(""https://docs.google.com/spreadsheets/d/1-uDff_7J0KD5mKrp0Vvzr7lt3OU09vwQwhkpOPPYv2Y/edit?usp=sharing"",""งบพรบ!CB92"")"),0)</f>
        <v>0</v>
      </c>
      <c r="F92" s="93">
        <f ca="1">IFERROR(__xludf.DUMMYFUNCTION("IMPORTRANGE(""https://docs.google.com/spreadsheets/d/1-uDff_7J0KD5mKrp0Vvzr7lt3OU09vwQwhkpOPPYv2Y/edit?usp=sharing"",""งบพรบ!CC92"")"),0)</f>
        <v>0</v>
      </c>
      <c r="G92" s="93">
        <f ca="1">IFERROR(__xludf.DUMMYFUNCTION("IMPORTRANGE(""https://docs.google.com/spreadsheets/d/1-uDff_7J0KD5mKrp0Vvzr7lt3OU09vwQwhkpOPPYv2Y/edit?usp=sharing"",""งบพรบ!CD92"")"),0)</f>
        <v>0</v>
      </c>
      <c r="H92" s="93">
        <f ca="1">IFERROR(__xludf.DUMMYFUNCTION("IMPORTRANGE(""https://docs.google.com/spreadsheets/d/1-uDff_7J0KD5mKrp0Vvzr7lt3OU09vwQwhkpOPPYv2Y/edit?usp=sharing"",""งบพรบ!CF92"")"),0)</f>
        <v>0</v>
      </c>
      <c r="I92" s="93">
        <f ca="1">IFERROR(__xludf.DUMMYFUNCTION("IMPORTRANGE(""https://docs.google.com/spreadsheets/d/1-uDff_7J0KD5mKrp0Vvzr7lt3OU09vwQwhkpOPPYv2Y/edit?usp=sharing"",""งบพรบ!CG92"")"),0)</f>
        <v>0</v>
      </c>
      <c r="J92" s="93">
        <f t="shared" ca="1" si="47"/>
        <v>0</v>
      </c>
      <c r="K92" s="94">
        <f t="shared" ca="1" si="48"/>
        <v>0</v>
      </c>
      <c r="L92" s="93">
        <f ca="1">IFERROR(__xludf.DUMMYFUNCTION("IMPORTRANGE(""https://docs.google.com/spreadsheets/d/1-uDff_7J0KD5mKrp0Vvzr7lt3OU09vwQwhkpOPPYv2Y/edit?usp=sharing"",""งบพรบ!CH92"")"),0)</f>
        <v>0</v>
      </c>
      <c r="M92" s="95">
        <f t="shared" ca="1" si="49"/>
        <v>0</v>
      </c>
      <c r="N92" s="95">
        <f t="shared" ca="1" si="50"/>
        <v>0</v>
      </c>
      <c r="O92" s="96">
        <f ca="1">IFERROR(__xludf.DUMMYFUNCTION("IMPORTRANGE(""https://docs.google.com/spreadsheets/d/1-uDff_7J0KD5mKrp0Vvzr7lt3OU09vwQwhkpOPPYv2Y/edit?usp=sharing"",""งบพรบ!CI92"")"),0)</f>
        <v>0</v>
      </c>
      <c r="P92" s="96">
        <f t="shared" ca="1" si="51"/>
        <v>0</v>
      </c>
      <c r="Q92" s="95">
        <f t="shared" ca="1" si="52"/>
        <v>0</v>
      </c>
      <c r="R92" s="248">
        <v>0</v>
      </c>
      <c r="S92" s="86">
        <v>0</v>
      </c>
      <c r="T92" s="86">
        <v>0</v>
      </c>
      <c r="U92" s="87">
        <f t="shared" si="27"/>
        <v>0</v>
      </c>
      <c r="V92" s="87">
        <f t="shared" si="28"/>
        <v>0</v>
      </c>
      <c r="W92" s="93"/>
      <c r="X92" s="93"/>
      <c r="Y92" s="95"/>
    </row>
    <row r="93" spans="1:25" ht="24" hidden="1" customHeight="1" x14ac:dyDescent="0.3">
      <c r="A93" s="201"/>
      <c r="B93" s="129" t="s">
        <v>119</v>
      </c>
      <c r="C93" s="202">
        <f t="shared" ca="1" si="45"/>
        <v>0</v>
      </c>
      <c r="D93" s="203">
        <f t="shared" ca="1" si="46"/>
        <v>0</v>
      </c>
      <c r="E93" s="93">
        <f ca="1">IFERROR(__xludf.DUMMYFUNCTION("IMPORTRANGE(""https://docs.google.com/spreadsheets/d/1-uDff_7J0KD5mKrp0Vvzr7lt3OU09vwQwhkpOPPYv2Y/edit?usp=sharing"",""งบพรบ!CB93"")"),0)</f>
        <v>0</v>
      </c>
      <c r="F93" s="93">
        <f ca="1">IFERROR(__xludf.DUMMYFUNCTION("IMPORTRANGE(""https://docs.google.com/spreadsheets/d/1-uDff_7J0KD5mKrp0Vvzr7lt3OU09vwQwhkpOPPYv2Y/edit?usp=sharing"",""งบพรบ!CC93"")"),0)</f>
        <v>0</v>
      </c>
      <c r="G93" s="93">
        <f ca="1">IFERROR(__xludf.DUMMYFUNCTION("IMPORTRANGE(""https://docs.google.com/spreadsheets/d/1-uDff_7J0KD5mKrp0Vvzr7lt3OU09vwQwhkpOPPYv2Y/edit?usp=sharing"",""งบพรบ!CD93"")"),0)</f>
        <v>0</v>
      </c>
      <c r="H93" s="93">
        <f ca="1">IFERROR(__xludf.DUMMYFUNCTION("IMPORTRANGE(""https://docs.google.com/spreadsheets/d/1-uDff_7J0KD5mKrp0Vvzr7lt3OU09vwQwhkpOPPYv2Y/edit?usp=sharing"",""งบพรบ!CF93"")"),500000)</f>
        <v>500000</v>
      </c>
      <c r="I93" s="93">
        <f ca="1">IFERROR(__xludf.DUMMYFUNCTION("IMPORTRANGE(""https://docs.google.com/spreadsheets/d/1-uDff_7J0KD5mKrp0Vvzr7lt3OU09vwQwhkpOPPYv2Y/edit?usp=sharing"",""งบพรบ!CG93"")"),0)</f>
        <v>0</v>
      </c>
      <c r="J93" s="93">
        <f t="shared" ca="1" si="47"/>
        <v>0</v>
      </c>
      <c r="K93" s="94">
        <f t="shared" ca="1" si="48"/>
        <v>0</v>
      </c>
      <c r="L93" s="93">
        <f ca="1">IFERROR(__xludf.DUMMYFUNCTION("IMPORTRANGE(""https://docs.google.com/spreadsheets/d/1-uDff_7J0KD5mKrp0Vvzr7lt3OU09vwQwhkpOPPYv2Y/edit?usp=sharing"",""งบพรบ!CH93"")"),0)</f>
        <v>0</v>
      </c>
      <c r="M93" s="95">
        <f t="shared" ca="1" si="49"/>
        <v>0</v>
      </c>
      <c r="N93" s="95">
        <f t="shared" ca="1" si="50"/>
        <v>0</v>
      </c>
      <c r="O93" s="96">
        <f ca="1">IFERROR(__xludf.DUMMYFUNCTION("IMPORTRANGE(""https://docs.google.com/spreadsheets/d/1-uDff_7J0KD5mKrp0Vvzr7lt3OU09vwQwhkpOPPYv2Y/edit?usp=sharing"",""งบพรบ!CI93"")"),0)</f>
        <v>0</v>
      </c>
      <c r="P93" s="96">
        <f t="shared" ca="1" si="51"/>
        <v>0</v>
      </c>
      <c r="Q93" s="95">
        <f t="shared" ca="1" si="52"/>
        <v>0</v>
      </c>
      <c r="R93" s="248">
        <v>0</v>
      </c>
      <c r="S93" s="86">
        <v>0</v>
      </c>
      <c r="T93" s="86">
        <v>0</v>
      </c>
      <c r="U93" s="87">
        <f t="shared" si="27"/>
        <v>0</v>
      </c>
      <c r="V93" s="87">
        <f t="shared" si="28"/>
        <v>0</v>
      </c>
      <c r="W93" s="93"/>
      <c r="X93" s="93"/>
      <c r="Y93" s="95"/>
    </row>
    <row r="94" spans="1:25" ht="24" hidden="1" customHeight="1" x14ac:dyDescent="0.3">
      <c r="A94" s="201"/>
      <c r="B94" s="129" t="s">
        <v>120</v>
      </c>
      <c r="C94" s="202">
        <f t="shared" ca="1" si="45"/>
        <v>0</v>
      </c>
      <c r="D94" s="203">
        <f t="shared" ca="1" si="46"/>
        <v>0</v>
      </c>
      <c r="E94" s="93">
        <f ca="1">IFERROR(__xludf.DUMMYFUNCTION("IMPORTRANGE(""https://docs.google.com/spreadsheets/d/1-uDff_7J0KD5mKrp0Vvzr7lt3OU09vwQwhkpOPPYv2Y/edit?usp=sharing"",""งบพรบ!CB94"")"),0)</f>
        <v>0</v>
      </c>
      <c r="F94" s="93">
        <f ca="1">IFERROR(__xludf.DUMMYFUNCTION("IMPORTRANGE(""https://docs.google.com/spreadsheets/d/1-uDff_7J0KD5mKrp0Vvzr7lt3OU09vwQwhkpOPPYv2Y/edit?usp=sharing"",""งบพรบ!CC94"")"),0)</f>
        <v>0</v>
      </c>
      <c r="G94" s="93">
        <f ca="1">IFERROR(__xludf.DUMMYFUNCTION("IMPORTRANGE(""https://docs.google.com/spreadsheets/d/1-uDff_7J0KD5mKrp0Vvzr7lt3OU09vwQwhkpOPPYv2Y/edit?usp=sharing"",""งบพรบ!CD94"")"),0)</f>
        <v>0</v>
      </c>
      <c r="H94" s="93">
        <f ca="1">IFERROR(__xludf.DUMMYFUNCTION("IMPORTRANGE(""https://docs.google.com/spreadsheets/d/1-uDff_7J0KD5mKrp0Vvzr7lt3OU09vwQwhkpOPPYv2Y/edit?usp=sharing"",""งบพรบ!CF94"")"),0)</f>
        <v>0</v>
      </c>
      <c r="I94" s="93">
        <f ca="1">IFERROR(__xludf.DUMMYFUNCTION("IMPORTRANGE(""https://docs.google.com/spreadsheets/d/1-uDff_7J0KD5mKrp0Vvzr7lt3OU09vwQwhkpOPPYv2Y/edit?usp=sharing"",""งบพรบ!CG94"")"),0)</f>
        <v>0</v>
      </c>
      <c r="J94" s="93">
        <f t="shared" ca="1" si="47"/>
        <v>0</v>
      </c>
      <c r="K94" s="94">
        <f t="shared" ca="1" si="48"/>
        <v>0</v>
      </c>
      <c r="L94" s="93">
        <f ca="1">IFERROR(__xludf.DUMMYFUNCTION("IMPORTRANGE(""https://docs.google.com/spreadsheets/d/1-uDff_7J0KD5mKrp0Vvzr7lt3OU09vwQwhkpOPPYv2Y/edit?usp=sharing"",""งบพรบ!CH94"")"),0)</f>
        <v>0</v>
      </c>
      <c r="M94" s="95">
        <f t="shared" ca="1" si="49"/>
        <v>0</v>
      </c>
      <c r="N94" s="95">
        <f t="shared" ca="1" si="50"/>
        <v>0</v>
      </c>
      <c r="O94" s="96">
        <f ca="1">IFERROR(__xludf.DUMMYFUNCTION("IMPORTRANGE(""https://docs.google.com/spreadsheets/d/1-uDff_7J0KD5mKrp0Vvzr7lt3OU09vwQwhkpOPPYv2Y/edit?usp=sharing"",""งบพรบ!CI94"")"),0)</f>
        <v>0</v>
      </c>
      <c r="P94" s="96">
        <f t="shared" ca="1" si="51"/>
        <v>0</v>
      </c>
      <c r="Q94" s="95">
        <f t="shared" ca="1" si="52"/>
        <v>0</v>
      </c>
      <c r="R94" s="248">
        <v>0</v>
      </c>
      <c r="S94" s="86">
        <v>0</v>
      </c>
      <c r="T94" s="86">
        <v>0</v>
      </c>
      <c r="U94" s="87">
        <f t="shared" si="27"/>
        <v>0</v>
      </c>
      <c r="V94" s="87">
        <f t="shared" si="28"/>
        <v>0</v>
      </c>
      <c r="W94" s="93"/>
      <c r="X94" s="93"/>
      <c r="Y94" s="95"/>
    </row>
    <row r="95" spans="1:25" ht="24" hidden="1" customHeight="1" x14ac:dyDescent="0.3">
      <c r="A95" s="201"/>
      <c r="B95" s="129" t="s">
        <v>121</v>
      </c>
      <c r="C95" s="202">
        <f t="shared" ca="1" si="45"/>
        <v>82100</v>
      </c>
      <c r="D95" s="203">
        <f t="shared" ca="1" si="46"/>
        <v>82100</v>
      </c>
      <c r="E95" s="93">
        <f ca="1">IFERROR(__xludf.DUMMYFUNCTION("IMPORTRANGE(""https://docs.google.com/spreadsheets/d/1-uDff_7J0KD5mKrp0Vvzr7lt3OU09vwQwhkpOPPYv2Y/edit?usp=sharing"",""งบพรบ!CB95"")"),82100)</f>
        <v>82100</v>
      </c>
      <c r="F95" s="93">
        <f ca="1">IFERROR(__xludf.DUMMYFUNCTION("IMPORTRANGE(""https://docs.google.com/spreadsheets/d/1-uDff_7J0KD5mKrp0Vvzr7lt3OU09vwQwhkpOPPYv2Y/edit?usp=sharing"",""งบพรบ!CC95"")"),0)</f>
        <v>0</v>
      </c>
      <c r="G95" s="93">
        <f ca="1">IFERROR(__xludf.DUMMYFUNCTION("IMPORTRANGE(""https://docs.google.com/spreadsheets/d/1-uDff_7J0KD5mKrp0Vvzr7lt3OU09vwQwhkpOPPYv2Y/edit?usp=sharing"",""งบพรบ!CD95"")"),0)</f>
        <v>0</v>
      </c>
      <c r="H95" s="93">
        <f ca="1">IFERROR(__xludf.DUMMYFUNCTION("IMPORTRANGE(""https://docs.google.com/spreadsheets/d/1-uDff_7J0KD5mKrp0Vvzr7lt3OU09vwQwhkpOPPYv2Y/edit?usp=sharing"",""งบพรบ!CF95"")"),82100)</f>
        <v>82100</v>
      </c>
      <c r="I95" s="93">
        <f ca="1">IFERROR(__xludf.DUMMYFUNCTION("IMPORTRANGE(""https://docs.google.com/spreadsheets/d/1-uDff_7J0KD5mKrp0Vvzr7lt3OU09vwQwhkpOPPYv2Y/edit?usp=sharing"",""งบพรบ!CG95"")"),0)</f>
        <v>0</v>
      </c>
      <c r="J95" s="93">
        <f t="shared" ca="1" si="47"/>
        <v>0</v>
      </c>
      <c r="K95" s="94">
        <f t="shared" ca="1" si="48"/>
        <v>0</v>
      </c>
      <c r="L95" s="93">
        <f ca="1">IFERROR(__xludf.DUMMYFUNCTION("IMPORTRANGE(""https://docs.google.com/spreadsheets/d/1-uDff_7J0KD5mKrp0Vvzr7lt3OU09vwQwhkpOPPYv2Y/edit?usp=sharing"",""งบพรบ!CH95"")"),0)</f>
        <v>0</v>
      </c>
      <c r="M95" s="95">
        <f t="shared" ca="1" si="49"/>
        <v>0</v>
      </c>
      <c r="N95" s="95">
        <f t="shared" ca="1" si="50"/>
        <v>0</v>
      </c>
      <c r="O95" s="96">
        <f ca="1">IFERROR(__xludf.DUMMYFUNCTION("IMPORTRANGE(""https://docs.google.com/spreadsheets/d/1-uDff_7J0KD5mKrp0Vvzr7lt3OU09vwQwhkpOPPYv2Y/edit?usp=sharing"",""งบพรบ!CI95"")"),0)</f>
        <v>0</v>
      </c>
      <c r="P95" s="96">
        <f t="shared" ca="1" si="51"/>
        <v>0</v>
      </c>
      <c r="Q95" s="95">
        <f t="shared" ca="1" si="52"/>
        <v>0</v>
      </c>
      <c r="R95" s="248">
        <v>0</v>
      </c>
      <c r="S95" s="86">
        <v>0</v>
      </c>
      <c r="T95" s="86">
        <v>0</v>
      </c>
      <c r="U95" s="87">
        <f t="shared" si="27"/>
        <v>0</v>
      </c>
      <c r="V95" s="87">
        <f t="shared" si="28"/>
        <v>0</v>
      </c>
      <c r="W95" s="93"/>
      <c r="X95" s="93"/>
      <c r="Y95" s="95"/>
    </row>
    <row r="96" spans="1:25" ht="24" hidden="1" customHeight="1" x14ac:dyDescent="0.3">
      <c r="A96" s="201"/>
      <c r="B96" s="129" t="s">
        <v>122</v>
      </c>
      <c r="C96" s="202">
        <f t="shared" ca="1" si="45"/>
        <v>0</v>
      </c>
      <c r="D96" s="203">
        <f t="shared" ca="1" si="46"/>
        <v>0</v>
      </c>
      <c r="E96" s="93">
        <f ca="1">IFERROR(__xludf.DUMMYFUNCTION("IMPORTRANGE(""https://docs.google.com/spreadsheets/d/1-uDff_7J0KD5mKrp0Vvzr7lt3OU09vwQwhkpOPPYv2Y/edit?usp=sharing"",""งบพรบ!CB96"")"),0)</f>
        <v>0</v>
      </c>
      <c r="F96" s="93">
        <f ca="1">IFERROR(__xludf.DUMMYFUNCTION("IMPORTRANGE(""https://docs.google.com/spreadsheets/d/1-uDff_7J0KD5mKrp0Vvzr7lt3OU09vwQwhkpOPPYv2Y/edit?usp=sharing"",""งบพรบ!CC96"")"),0)</f>
        <v>0</v>
      </c>
      <c r="G96" s="93">
        <f ca="1">IFERROR(__xludf.DUMMYFUNCTION("IMPORTRANGE(""https://docs.google.com/spreadsheets/d/1-uDff_7J0KD5mKrp0Vvzr7lt3OU09vwQwhkpOPPYv2Y/edit?usp=sharing"",""งบพรบ!CD96"")"),0)</f>
        <v>0</v>
      </c>
      <c r="H96" s="93">
        <f ca="1">IFERROR(__xludf.DUMMYFUNCTION("IMPORTRANGE(""https://docs.google.com/spreadsheets/d/1-uDff_7J0KD5mKrp0Vvzr7lt3OU09vwQwhkpOPPYv2Y/edit?usp=sharing"",""งบพรบ!CF96"")"),0)</f>
        <v>0</v>
      </c>
      <c r="I96" s="93">
        <f ca="1">IFERROR(__xludf.DUMMYFUNCTION("IMPORTRANGE(""https://docs.google.com/spreadsheets/d/1-uDff_7J0KD5mKrp0Vvzr7lt3OU09vwQwhkpOPPYv2Y/edit?usp=sharing"",""งบพรบ!CG96"")"),0)</f>
        <v>0</v>
      </c>
      <c r="J96" s="93">
        <f t="shared" ca="1" si="47"/>
        <v>0</v>
      </c>
      <c r="K96" s="94">
        <f t="shared" ca="1" si="48"/>
        <v>0</v>
      </c>
      <c r="L96" s="93">
        <f ca="1">IFERROR(__xludf.DUMMYFUNCTION("IMPORTRANGE(""https://docs.google.com/spreadsheets/d/1-uDff_7J0KD5mKrp0Vvzr7lt3OU09vwQwhkpOPPYv2Y/edit?usp=sharing"",""งบพรบ!CH96"")"),0)</f>
        <v>0</v>
      </c>
      <c r="M96" s="95">
        <f t="shared" ca="1" si="49"/>
        <v>0</v>
      </c>
      <c r="N96" s="95">
        <f t="shared" ca="1" si="50"/>
        <v>0</v>
      </c>
      <c r="O96" s="96">
        <f ca="1">IFERROR(__xludf.DUMMYFUNCTION("IMPORTRANGE(""https://docs.google.com/spreadsheets/d/1-uDff_7J0KD5mKrp0Vvzr7lt3OU09vwQwhkpOPPYv2Y/edit?usp=sharing"",""งบพรบ!CI96"")"),0)</f>
        <v>0</v>
      </c>
      <c r="P96" s="96">
        <f t="shared" ca="1" si="51"/>
        <v>0</v>
      </c>
      <c r="Q96" s="95">
        <f t="shared" ca="1" si="52"/>
        <v>0</v>
      </c>
      <c r="R96" s="248">
        <v>0</v>
      </c>
      <c r="S96" s="86">
        <v>0</v>
      </c>
      <c r="T96" s="86">
        <v>0</v>
      </c>
      <c r="U96" s="87">
        <f t="shared" si="27"/>
        <v>0</v>
      </c>
      <c r="V96" s="87">
        <f t="shared" si="28"/>
        <v>0</v>
      </c>
      <c r="W96" s="93"/>
      <c r="X96" s="93"/>
      <c r="Y96" s="95"/>
    </row>
    <row r="97" spans="1:25" ht="24" hidden="1" customHeight="1" x14ac:dyDescent="0.3">
      <c r="A97" s="201"/>
      <c r="B97" s="129" t="s">
        <v>123</v>
      </c>
      <c r="C97" s="202">
        <f t="shared" ca="1" si="45"/>
        <v>0</v>
      </c>
      <c r="D97" s="203">
        <f t="shared" ca="1" si="46"/>
        <v>0</v>
      </c>
      <c r="E97" s="93">
        <f ca="1">IFERROR(__xludf.DUMMYFUNCTION("IMPORTRANGE(""https://docs.google.com/spreadsheets/d/1-uDff_7J0KD5mKrp0Vvzr7lt3OU09vwQwhkpOPPYv2Y/edit?usp=sharing"",""งบพรบ!CB97"")"),0)</f>
        <v>0</v>
      </c>
      <c r="F97" s="93">
        <f ca="1">IFERROR(__xludf.DUMMYFUNCTION("IMPORTRANGE(""https://docs.google.com/spreadsheets/d/1-uDff_7J0KD5mKrp0Vvzr7lt3OU09vwQwhkpOPPYv2Y/edit?usp=sharing"",""งบพรบ!CC97"")"),0)</f>
        <v>0</v>
      </c>
      <c r="G97" s="93">
        <f ca="1">IFERROR(__xludf.DUMMYFUNCTION("IMPORTRANGE(""https://docs.google.com/spreadsheets/d/1-uDff_7J0KD5mKrp0Vvzr7lt3OU09vwQwhkpOPPYv2Y/edit?usp=sharing"",""งบพรบ!CD97"")"),0)</f>
        <v>0</v>
      </c>
      <c r="H97" s="93">
        <f ca="1">IFERROR(__xludf.DUMMYFUNCTION("IMPORTRANGE(""https://docs.google.com/spreadsheets/d/1-uDff_7J0KD5mKrp0Vvzr7lt3OU09vwQwhkpOPPYv2Y/edit?usp=sharing"",""งบพรบ!CF97"")"),0)</f>
        <v>0</v>
      </c>
      <c r="I97" s="93">
        <f ca="1">IFERROR(__xludf.DUMMYFUNCTION("IMPORTRANGE(""https://docs.google.com/spreadsheets/d/1-uDff_7J0KD5mKrp0Vvzr7lt3OU09vwQwhkpOPPYv2Y/edit?usp=sharing"",""งบพรบ!CG97"")"),0)</f>
        <v>0</v>
      </c>
      <c r="J97" s="93">
        <f t="shared" ca="1" si="47"/>
        <v>0</v>
      </c>
      <c r="K97" s="94">
        <f t="shared" ca="1" si="48"/>
        <v>0</v>
      </c>
      <c r="L97" s="93">
        <f ca="1">IFERROR(__xludf.DUMMYFUNCTION("IMPORTRANGE(""https://docs.google.com/spreadsheets/d/1-uDff_7J0KD5mKrp0Vvzr7lt3OU09vwQwhkpOPPYv2Y/edit?usp=sharing"",""งบพรบ!CH97"")"),0)</f>
        <v>0</v>
      </c>
      <c r="M97" s="95">
        <f t="shared" ca="1" si="49"/>
        <v>0</v>
      </c>
      <c r="N97" s="95">
        <f t="shared" ca="1" si="50"/>
        <v>0</v>
      </c>
      <c r="O97" s="96">
        <f ca="1">IFERROR(__xludf.DUMMYFUNCTION("IMPORTRANGE(""https://docs.google.com/spreadsheets/d/1-uDff_7J0KD5mKrp0Vvzr7lt3OU09vwQwhkpOPPYv2Y/edit?usp=sharing"",""งบพรบ!CI97"")"),0)</f>
        <v>0</v>
      </c>
      <c r="P97" s="96">
        <f t="shared" ca="1" si="51"/>
        <v>0</v>
      </c>
      <c r="Q97" s="95">
        <f t="shared" ca="1" si="52"/>
        <v>0</v>
      </c>
      <c r="R97" s="248">
        <v>0</v>
      </c>
      <c r="S97" s="86">
        <v>0</v>
      </c>
      <c r="T97" s="86">
        <v>0</v>
      </c>
      <c r="U97" s="87">
        <f t="shared" si="27"/>
        <v>0</v>
      </c>
      <c r="V97" s="87">
        <f t="shared" si="28"/>
        <v>0</v>
      </c>
      <c r="W97" s="93"/>
      <c r="X97" s="93"/>
      <c r="Y97" s="95"/>
    </row>
    <row r="98" spans="1:25" ht="24" hidden="1" customHeight="1" x14ac:dyDescent="0.3">
      <c r="A98" s="201"/>
      <c r="B98" s="129" t="s">
        <v>124</v>
      </c>
      <c r="C98" s="202">
        <f t="shared" ca="1" si="45"/>
        <v>0</v>
      </c>
      <c r="D98" s="203">
        <f t="shared" ca="1" si="46"/>
        <v>0</v>
      </c>
      <c r="E98" s="93">
        <f ca="1">IFERROR(__xludf.DUMMYFUNCTION("IMPORTRANGE(""https://docs.google.com/spreadsheets/d/1-uDff_7J0KD5mKrp0Vvzr7lt3OU09vwQwhkpOPPYv2Y/edit?usp=sharing"",""งบพรบ!CB98"")"),0)</f>
        <v>0</v>
      </c>
      <c r="F98" s="93">
        <f ca="1">IFERROR(__xludf.DUMMYFUNCTION("IMPORTRANGE(""https://docs.google.com/spreadsheets/d/1-uDff_7J0KD5mKrp0Vvzr7lt3OU09vwQwhkpOPPYv2Y/edit?usp=sharing"",""งบพรบ!CC98"")"),0)</f>
        <v>0</v>
      </c>
      <c r="G98" s="93">
        <f ca="1">IFERROR(__xludf.DUMMYFUNCTION("IMPORTRANGE(""https://docs.google.com/spreadsheets/d/1-uDff_7J0KD5mKrp0Vvzr7lt3OU09vwQwhkpOPPYv2Y/edit?usp=sharing"",""งบพรบ!CD98"")"),0)</f>
        <v>0</v>
      </c>
      <c r="H98" s="93">
        <f ca="1">IFERROR(__xludf.DUMMYFUNCTION("IMPORTRANGE(""https://docs.google.com/spreadsheets/d/1-uDff_7J0KD5mKrp0Vvzr7lt3OU09vwQwhkpOPPYv2Y/edit?usp=sharing"",""งบพรบ!CF98"")"),0)</f>
        <v>0</v>
      </c>
      <c r="I98" s="93">
        <f ca="1">IFERROR(__xludf.DUMMYFUNCTION("IMPORTRANGE(""https://docs.google.com/spreadsheets/d/1-uDff_7J0KD5mKrp0Vvzr7lt3OU09vwQwhkpOPPYv2Y/edit?usp=sharing"",""งบพรบ!CG98"")"),0)</f>
        <v>0</v>
      </c>
      <c r="J98" s="93">
        <f t="shared" ca="1" si="47"/>
        <v>0</v>
      </c>
      <c r="K98" s="94">
        <f t="shared" ca="1" si="48"/>
        <v>0</v>
      </c>
      <c r="L98" s="93">
        <f ca="1">IFERROR(__xludf.DUMMYFUNCTION("IMPORTRANGE(""https://docs.google.com/spreadsheets/d/1-uDff_7J0KD5mKrp0Vvzr7lt3OU09vwQwhkpOPPYv2Y/edit?usp=sharing"",""งบพรบ!CH98"")"),0)</f>
        <v>0</v>
      </c>
      <c r="M98" s="95">
        <f t="shared" ca="1" si="49"/>
        <v>0</v>
      </c>
      <c r="N98" s="95">
        <f t="shared" ca="1" si="50"/>
        <v>0</v>
      </c>
      <c r="O98" s="96">
        <f ca="1">IFERROR(__xludf.DUMMYFUNCTION("IMPORTRANGE(""https://docs.google.com/spreadsheets/d/1-uDff_7J0KD5mKrp0Vvzr7lt3OU09vwQwhkpOPPYv2Y/edit?usp=sharing"",""งบพรบ!CI98"")"),0)</f>
        <v>0</v>
      </c>
      <c r="P98" s="96">
        <f t="shared" ca="1" si="51"/>
        <v>0</v>
      </c>
      <c r="Q98" s="95">
        <f t="shared" ca="1" si="52"/>
        <v>0</v>
      </c>
      <c r="R98" s="248">
        <v>0</v>
      </c>
      <c r="S98" s="86">
        <v>0</v>
      </c>
      <c r="T98" s="86">
        <v>0</v>
      </c>
      <c r="U98" s="87">
        <f t="shared" si="27"/>
        <v>0</v>
      </c>
      <c r="V98" s="87">
        <f t="shared" si="28"/>
        <v>0</v>
      </c>
      <c r="W98" s="93"/>
      <c r="X98" s="93"/>
      <c r="Y98" s="95"/>
    </row>
    <row r="99" spans="1:25" ht="24" hidden="1" customHeight="1" x14ac:dyDescent="0.3">
      <c r="A99" s="201"/>
      <c r="B99" s="129" t="s">
        <v>125</v>
      </c>
      <c r="C99" s="202">
        <f t="shared" ca="1" si="45"/>
        <v>0</v>
      </c>
      <c r="D99" s="203">
        <f t="shared" ca="1" si="46"/>
        <v>0</v>
      </c>
      <c r="E99" s="93">
        <f ca="1">IFERROR(__xludf.DUMMYFUNCTION("IMPORTRANGE(""https://docs.google.com/spreadsheets/d/1-uDff_7J0KD5mKrp0Vvzr7lt3OU09vwQwhkpOPPYv2Y/edit?usp=sharing"",""งบพรบ!CB99"")"),0)</f>
        <v>0</v>
      </c>
      <c r="F99" s="93">
        <f ca="1">IFERROR(__xludf.DUMMYFUNCTION("IMPORTRANGE(""https://docs.google.com/spreadsheets/d/1-uDff_7J0KD5mKrp0Vvzr7lt3OU09vwQwhkpOPPYv2Y/edit?usp=sharing"",""งบพรบ!CC99"")"),0)</f>
        <v>0</v>
      </c>
      <c r="G99" s="93">
        <f ca="1">IFERROR(__xludf.DUMMYFUNCTION("IMPORTRANGE(""https://docs.google.com/spreadsheets/d/1-uDff_7J0KD5mKrp0Vvzr7lt3OU09vwQwhkpOPPYv2Y/edit?usp=sharing"",""งบพรบ!CD99"")"),0)</f>
        <v>0</v>
      </c>
      <c r="H99" s="93">
        <f ca="1">IFERROR(__xludf.DUMMYFUNCTION("IMPORTRANGE(""https://docs.google.com/spreadsheets/d/1-uDff_7J0KD5mKrp0Vvzr7lt3OU09vwQwhkpOPPYv2Y/edit?usp=sharing"",""งบพรบ!CF99"")"),0)</f>
        <v>0</v>
      </c>
      <c r="I99" s="93">
        <f ca="1">IFERROR(__xludf.DUMMYFUNCTION("IMPORTRANGE(""https://docs.google.com/spreadsheets/d/1-uDff_7J0KD5mKrp0Vvzr7lt3OU09vwQwhkpOPPYv2Y/edit?usp=sharing"",""งบพรบ!CG99"")"),0)</f>
        <v>0</v>
      </c>
      <c r="J99" s="93">
        <f t="shared" ca="1" si="47"/>
        <v>0</v>
      </c>
      <c r="K99" s="94">
        <f t="shared" ca="1" si="48"/>
        <v>0</v>
      </c>
      <c r="L99" s="93">
        <f ca="1">IFERROR(__xludf.DUMMYFUNCTION("IMPORTRANGE(""https://docs.google.com/spreadsheets/d/1-uDff_7J0KD5mKrp0Vvzr7lt3OU09vwQwhkpOPPYv2Y/edit?usp=sharing"",""งบพรบ!CH99"")"),0)</f>
        <v>0</v>
      </c>
      <c r="M99" s="95">
        <f t="shared" ca="1" si="49"/>
        <v>0</v>
      </c>
      <c r="N99" s="95">
        <f t="shared" ca="1" si="50"/>
        <v>0</v>
      </c>
      <c r="O99" s="96">
        <f ca="1">IFERROR(__xludf.DUMMYFUNCTION("IMPORTRANGE(""https://docs.google.com/spreadsheets/d/1-uDff_7J0KD5mKrp0Vvzr7lt3OU09vwQwhkpOPPYv2Y/edit?usp=sharing"",""งบพรบ!CI99"")"),0)</f>
        <v>0</v>
      </c>
      <c r="P99" s="96">
        <f t="shared" ca="1" si="51"/>
        <v>0</v>
      </c>
      <c r="Q99" s="95">
        <f t="shared" ca="1" si="52"/>
        <v>0</v>
      </c>
      <c r="R99" s="248">
        <v>0</v>
      </c>
      <c r="S99" s="86">
        <v>0</v>
      </c>
      <c r="T99" s="86">
        <v>0</v>
      </c>
      <c r="U99" s="87">
        <f t="shared" si="27"/>
        <v>0</v>
      </c>
      <c r="V99" s="87">
        <f t="shared" si="28"/>
        <v>0</v>
      </c>
      <c r="W99" s="93"/>
      <c r="X99" s="93"/>
      <c r="Y99" s="95"/>
    </row>
    <row r="100" spans="1:25" ht="24" hidden="1" customHeight="1" x14ac:dyDescent="0.3">
      <c r="A100" s="201"/>
      <c r="B100" s="129" t="s">
        <v>126</v>
      </c>
      <c r="C100" s="202">
        <f t="shared" ca="1" si="45"/>
        <v>0</v>
      </c>
      <c r="D100" s="203">
        <f t="shared" ca="1" si="46"/>
        <v>0</v>
      </c>
      <c r="E100" s="93">
        <f ca="1">IFERROR(__xludf.DUMMYFUNCTION("IMPORTRANGE(""https://docs.google.com/spreadsheets/d/1-uDff_7J0KD5mKrp0Vvzr7lt3OU09vwQwhkpOPPYv2Y/edit?usp=sharing"",""งบพรบ!CB100"")"),0)</f>
        <v>0</v>
      </c>
      <c r="F100" s="93">
        <f ca="1">IFERROR(__xludf.DUMMYFUNCTION("IMPORTRANGE(""https://docs.google.com/spreadsheets/d/1-uDff_7J0KD5mKrp0Vvzr7lt3OU09vwQwhkpOPPYv2Y/edit?usp=sharing"",""งบพรบ!CC100"")"),0)</f>
        <v>0</v>
      </c>
      <c r="G100" s="93">
        <f ca="1">IFERROR(__xludf.DUMMYFUNCTION("IMPORTRANGE(""https://docs.google.com/spreadsheets/d/1-uDff_7J0KD5mKrp0Vvzr7lt3OU09vwQwhkpOPPYv2Y/edit?usp=sharing"",""งบพรบ!CD100"")"),0)</f>
        <v>0</v>
      </c>
      <c r="H100" s="93">
        <f ca="1">IFERROR(__xludf.DUMMYFUNCTION("IMPORTRANGE(""https://docs.google.com/spreadsheets/d/1-uDff_7J0KD5mKrp0Vvzr7lt3OU09vwQwhkpOPPYv2Y/edit?usp=sharing"",""งบพรบ!CF100"")"),0)</f>
        <v>0</v>
      </c>
      <c r="I100" s="93">
        <f ca="1">IFERROR(__xludf.DUMMYFUNCTION("IMPORTRANGE(""https://docs.google.com/spreadsheets/d/1-uDff_7J0KD5mKrp0Vvzr7lt3OU09vwQwhkpOPPYv2Y/edit?usp=sharing"",""งบพรบ!CG100"")"),0)</f>
        <v>0</v>
      </c>
      <c r="J100" s="93">
        <f t="shared" ca="1" si="47"/>
        <v>0</v>
      </c>
      <c r="K100" s="94">
        <f t="shared" ca="1" si="48"/>
        <v>0</v>
      </c>
      <c r="L100" s="93">
        <f ca="1">IFERROR(__xludf.DUMMYFUNCTION("IMPORTRANGE(""https://docs.google.com/spreadsheets/d/1-uDff_7J0KD5mKrp0Vvzr7lt3OU09vwQwhkpOPPYv2Y/edit?usp=sharing"",""งบพรบ!CH100"")"),0)</f>
        <v>0</v>
      </c>
      <c r="M100" s="95">
        <f t="shared" ca="1" si="49"/>
        <v>0</v>
      </c>
      <c r="N100" s="95">
        <f t="shared" ca="1" si="50"/>
        <v>0</v>
      </c>
      <c r="O100" s="96">
        <f ca="1">IFERROR(__xludf.DUMMYFUNCTION("IMPORTRANGE(""https://docs.google.com/spreadsheets/d/1-uDff_7J0KD5mKrp0Vvzr7lt3OU09vwQwhkpOPPYv2Y/edit?usp=sharing"",""งบพรบ!CI100"")"),0)</f>
        <v>0</v>
      </c>
      <c r="P100" s="96">
        <f t="shared" ca="1" si="51"/>
        <v>0</v>
      </c>
      <c r="Q100" s="95">
        <f t="shared" ca="1" si="52"/>
        <v>0</v>
      </c>
      <c r="R100" s="248">
        <v>0</v>
      </c>
      <c r="S100" s="86">
        <v>0</v>
      </c>
      <c r="T100" s="86">
        <v>0</v>
      </c>
      <c r="U100" s="87">
        <f t="shared" si="27"/>
        <v>0</v>
      </c>
      <c r="V100" s="87">
        <f t="shared" si="28"/>
        <v>0</v>
      </c>
      <c r="W100" s="93"/>
      <c r="X100" s="93"/>
      <c r="Y100" s="95"/>
    </row>
    <row r="101" spans="1:25" ht="24" hidden="1" customHeight="1" x14ac:dyDescent="0.3">
      <c r="A101" s="201"/>
      <c r="B101" s="129" t="s">
        <v>127</v>
      </c>
      <c r="C101" s="202">
        <f t="shared" ca="1" si="45"/>
        <v>2040300</v>
      </c>
      <c r="D101" s="203">
        <f t="shared" ca="1" si="46"/>
        <v>2040300</v>
      </c>
      <c r="E101" s="93">
        <f ca="1">IFERROR(__xludf.DUMMYFUNCTION("IMPORTRANGE(""https://docs.google.com/spreadsheets/d/1-uDff_7J0KD5mKrp0Vvzr7lt3OU09vwQwhkpOPPYv2Y/edit?usp=sharing"",""งบพรบ!CB101"")"),264600)</f>
        <v>264600</v>
      </c>
      <c r="F101" s="93">
        <f ca="1">IFERROR(__xludf.DUMMYFUNCTION("IMPORTRANGE(""https://docs.google.com/spreadsheets/d/1-uDff_7J0KD5mKrp0Vvzr7lt3OU09vwQwhkpOPPYv2Y/edit?usp=sharing"",""งบพรบ!CC101"")"),1775700)</f>
        <v>1775700</v>
      </c>
      <c r="G101" s="93">
        <f ca="1">IFERROR(__xludf.DUMMYFUNCTION("IMPORTRANGE(""https://docs.google.com/spreadsheets/d/1-uDff_7J0KD5mKrp0Vvzr7lt3OU09vwQwhkpOPPYv2Y/edit?usp=sharing"",""งบพรบ!CD101"")"),0)</f>
        <v>0</v>
      </c>
      <c r="H101" s="93">
        <f ca="1">IFERROR(__xludf.DUMMYFUNCTION("IMPORTRANGE(""https://docs.google.com/spreadsheets/d/1-uDff_7J0KD5mKrp0Vvzr7lt3OU09vwQwhkpOPPYv2Y/edit?usp=sharing"",""งบพรบ!CF101"")"),2139300)</f>
        <v>2139300</v>
      </c>
      <c r="I101" s="93">
        <f ca="1">IFERROR(__xludf.DUMMYFUNCTION("IMPORTRANGE(""https://docs.google.com/spreadsheets/d/1-uDff_7J0KD5mKrp0Vvzr7lt3OU09vwQwhkpOPPYv2Y/edit?usp=sharing"",""งบพรบ!CG101"")"),0)</f>
        <v>0</v>
      </c>
      <c r="J101" s="93">
        <f t="shared" ca="1" si="47"/>
        <v>360192.83</v>
      </c>
      <c r="K101" s="94">
        <f t="shared" ca="1" si="48"/>
        <v>17.653915110522963</v>
      </c>
      <c r="L101" s="93">
        <f ca="1">IFERROR(__xludf.DUMMYFUNCTION("IMPORTRANGE(""https://docs.google.com/spreadsheets/d/1-uDff_7J0KD5mKrp0Vvzr7lt3OU09vwQwhkpOPPYv2Y/edit?usp=sharing"",""งบพรบ!CH101"")"),360192.83)</f>
        <v>360192.83</v>
      </c>
      <c r="M101" s="95">
        <f t="shared" ca="1" si="49"/>
        <v>17.653915110522963</v>
      </c>
      <c r="N101" s="95">
        <f t="shared" ca="1" si="50"/>
        <v>16.836948067124759</v>
      </c>
      <c r="O101" s="96">
        <f ca="1">IFERROR(__xludf.DUMMYFUNCTION("IMPORTRANGE(""https://docs.google.com/spreadsheets/d/1-uDff_7J0KD5mKrp0Vvzr7lt3OU09vwQwhkpOPPYv2Y/edit?usp=sharing"",""งบพรบ!CI101"")"),0)</f>
        <v>0</v>
      </c>
      <c r="P101" s="96">
        <f t="shared" ca="1" si="51"/>
        <v>0</v>
      </c>
      <c r="Q101" s="95">
        <f t="shared" ca="1" si="52"/>
        <v>0</v>
      </c>
      <c r="R101" s="248">
        <v>0</v>
      </c>
      <c r="S101" s="86">
        <v>0</v>
      </c>
      <c r="T101" s="86">
        <v>0</v>
      </c>
      <c r="U101" s="87">
        <f t="shared" si="27"/>
        <v>0</v>
      </c>
      <c r="V101" s="87">
        <f t="shared" si="28"/>
        <v>0</v>
      </c>
      <c r="W101" s="93"/>
      <c r="X101" s="93"/>
      <c r="Y101" s="95"/>
    </row>
    <row r="102" spans="1:25" ht="24" hidden="1" customHeight="1" x14ac:dyDescent="0.3">
      <c r="A102" s="201"/>
      <c r="B102" s="129" t="s">
        <v>128</v>
      </c>
      <c r="C102" s="202">
        <f t="shared" ca="1" si="45"/>
        <v>0</v>
      </c>
      <c r="D102" s="203">
        <f t="shared" ca="1" si="46"/>
        <v>0</v>
      </c>
      <c r="E102" s="93">
        <f ca="1">IFERROR(__xludf.DUMMYFUNCTION("IMPORTRANGE(""https://docs.google.com/spreadsheets/d/1-uDff_7J0KD5mKrp0Vvzr7lt3OU09vwQwhkpOPPYv2Y/edit?usp=sharing"",""งบพรบ!CB102"")"),0)</f>
        <v>0</v>
      </c>
      <c r="F102" s="93">
        <f ca="1">IFERROR(__xludf.DUMMYFUNCTION("IMPORTRANGE(""https://docs.google.com/spreadsheets/d/1-uDff_7J0KD5mKrp0Vvzr7lt3OU09vwQwhkpOPPYv2Y/edit?usp=sharing"",""งบพรบ!CC102"")"),0)</f>
        <v>0</v>
      </c>
      <c r="G102" s="93">
        <f ca="1">IFERROR(__xludf.DUMMYFUNCTION("IMPORTRANGE(""https://docs.google.com/spreadsheets/d/1-uDff_7J0KD5mKrp0Vvzr7lt3OU09vwQwhkpOPPYv2Y/edit?usp=sharing"",""งบพรบ!CD102"")"),0)</f>
        <v>0</v>
      </c>
      <c r="H102" s="93">
        <f ca="1">IFERROR(__xludf.DUMMYFUNCTION("IMPORTRANGE(""https://docs.google.com/spreadsheets/d/1-uDff_7J0KD5mKrp0Vvzr7lt3OU09vwQwhkpOPPYv2Y/edit?usp=sharing"",""งบพรบ!CF102"")"),0)</f>
        <v>0</v>
      </c>
      <c r="I102" s="93">
        <f ca="1">IFERROR(__xludf.DUMMYFUNCTION("IMPORTRANGE(""https://docs.google.com/spreadsheets/d/1-uDff_7J0KD5mKrp0Vvzr7lt3OU09vwQwhkpOPPYv2Y/edit?usp=sharing"",""งบพรบ!CG102"")"),0)</f>
        <v>0</v>
      </c>
      <c r="J102" s="93">
        <f t="shared" ca="1" si="47"/>
        <v>0</v>
      </c>
      <c r="K102" s="94">
        <f t="shared" ca="1" si="48"/>
        <v>0</v>
      </c>
      <c r="L102" s="93">
        <f ca="1">IFERROR(__xludf.DUMMYFUNCTION("IMPORTRANGE(""https://docs.google.com/spreadsheets/d/1-uDff_7J0KD5mKrp0Vvzr7lt3OU09vwQwhkpOPPYv2Y/edit?usp=sharing"",""งบพรบ!CH102"")"),0)</f>
        <v>0</v>
      </c>
      <c r="M102" s="95">
        <f t="shared" ca="1" si="49"/>
        <v>0</v>
      </c>
      <c r="N102" s="95">
        <f t="shared" ca="1" si="50"/>
        <v>0</v>
      </c>
      <c r="O102" s="96">
        <f ca="1">IFERROR(__xludf.DUMMYFUNCTION("IMPORTRANGE(""https://docs.google.com/spreadsheets/d/1-uDff_7J0KD5mKrp0Vvzr7lt3OU09vwQwhkpOPPYv2Y/edit?usp=sharing"",""งบพรบ!CI102"")"),0)</f>
        <v>0</v>
      </c>
      <c r="P102" s="96">
        <f t="shared" ca="1" si="51"/>
        <v>0</v>
      </c>
      <c r="Q102" s="95">
        <f t="shared" ca="1" si="52"/>
        <v>0</v>
      </c>
      <c r="R102" s="248">
        <v>0</v>
      </c>
      <c r="S102" s="86">
        <v>0</v>
      </c>
      <c r="T102" s="86">
        <v>0</v>
      </c>
      <c r="U102" s="87">
        <f t="shared" si="27"/>
        <v>0</v>
      </c>
      <c r="V102" s="87">
        <f t="shared" si="28"/>
        <v>0</v>
      </c>
      <c r="W102" s="93"/>
      <c r="X102" s="93"/>
      <c r="Y102" s="95"/>
    </row>
    <row r="103" spans="1:25" ht="24" hidden="1" customHeight="1" x14ac:dyDescent="0.3">
      <c r="A103" s="201"/>
      <c r="B103" s="129" t="s">
        <v>129</v>
      </c>
      <c r="C103" s="202">
        <f t="shared" ca="1" si="45"/>
        <v>0</v>
      </c>
      <c r="D103" s="203">
        <f t="shared" ca="1" si="46"/>
        <v>0</v>
      </c>
      <c r="E103" s="93">
        <f ca="1">IFERROR(__xludf.DUMMYFUNCTION("IMPORTRANGE(""https://docs.google.com/spreadsheets/d/1-uDff_7J0KD5mKrp0Vvzr7lt3OU09vwQwhkpOPPYv2Y/edit?usp=sharing"",""งบพรบ!CB103"")"),0)</f>
        <v>0</v>
      </c>
      <c r="F103" s="93">
        <f ca="1">IFERROR(__xludf.DUMMYFUNCTION("IMPORTRANGE(""https://docs.google.com/spreadsheets/d/1-uDff_7J0KD5mKrp0Vvzr7lt3OU09vwQwhkpOPPYv2Y/edit?usp=sharing"",""งบพรบ!CC103"")"),0)</f>
        <v>0</v>
      </c>
      <c r="G103" s="93">
        <f ca="1">IFERROR(__xludf.DUMMYFUNCTION("IMPORTRANGE(""https://docs.google.com/spreadsheets/d/1-uDff_7J0KD5mKrp0Vvzr7lt3OU09vwQwhkpOPPYv2Y/edit?usp=sharing"",""งบพรบ!CD103"")"),0)</f>
        <v>0</v>
      </c>
      <c r="H103" s="93">
        <f ca="1">IFERROR(__xludf.DUMMYFUNCTION("IMPORTRANGE(""https://docs.google.com/spreadsheets/d/1-uDff_7J0KD5mKrp0Vvzr7lt3OU09vwQwhkpOPPYv2Y/edit?usp=sharing"",""งบพรบ!CF103"")"),0)</f>
        <v>0</v>
      </c>
      <c r="I103" s="93">
        <f ca="1">IFERROR(__xludf.DUMMYFUNCTION("IMPORTRANGE(""https://docs.google.com/spreadsheets/d/1-uDff_7J0KD5mKrp0Vvzr7lt3OU09vwQwhkpOPPYv2Y/edit?usp=sharing"",""งบพรบ!CG103"")"),0)</f>
        <v>0</v>
      </c>
      <c r="J103" s="93">
        <f t="shared" ca="1" si="47"/>
        <v>0</v>
      </c>
      <c r="K103" s="94">
        <f t="shared" ca="1" si="48"/>
        <v>0</v>
      </c>
      <c r="L103" s="93">
        <f ca="1">IFERROR(__xludf.DUMMYFUNCTION("IMPORTRANGE(""https://docs.google.com/spreadsheets/d/1-uDff_7J0KD5mKrp0Vvzr7lt3OU09vwQwhkpOPPYv2Y/edit?usp=sharing"",""งบพรบ!CH103"")"),0)</f>
        <v>0</v>
      </c>
      <c r="M103" s="95">
        <f t="shared" ca="1" si="49"/>
        <v>0</v>
      </c>
      <c r="N103" s="95">
        <f t="shared" ca="1" si="50"/>
        <v>0</v>
      </c>
      <c r="O103" s="96">
        <f ca="1">IFERROR(__xludf.DUMMYFUNCTION("IMPORTRANGE(""https://docs.google.com/spreadsheets/d/1-uDff_7J0KD5mKrp0Vvzr7lt3OU09vwQwhkpOPPYv2Y/edit?usp=sharing"",""งบพรบ!CI103"")"),0)</f>
        <v>0</v>
      </c>
      <c r="P103" s="96">
        <f t="shared" ca="1" si="51"/>
        <v>0</v>
      </c>
      <c r="Q103" s="95">
        <f t="shared" ca="1" si="52"/>
        <v>0</v>
      </c>
      <c r="R103" s="248">
        <v>0</v>
      </c>
      <c r="S103" s="86">
        <v>0</v>
      </c>
      <c r="T103" s="86">
        <v>0</v>
      </c>
      <c r="U103" s="87">
        <f t="shared" si="27"/>
        <v>0</v>
      </c>
      <c r="V103" s="87">
        <f t="shared" si="28"/>
        <v>0</v>
      </c>
      <c r="W103" s="249"/>
      <c r="X103" s="249"/>
      <c r="Y103" s="132"/>
    </row>
    <row r="104" spans="1:25" ht="21" hidden="1" customHeight="1" x14ac:dyDescent="0.3">
      <c r="A104" s="201"/>
      <c r="B104" s="129" t="s">
        <v>130</v>
      </c>
      <c r="C104" s="202">
        <f t="shared" ca="1" si="45"/>
        <v>1187200</v>
      </c>
      <c r="D104" s="203">
        <f t="shared" ca="1" si="46"/>
        <v>1187200</v>
      </c>
      <c r="E104" s="93">
        <f ca="1">IFERROR(__xludf.DUMMYFUNCTION("IMPORTRANGE(""https://docs.google.com/spreadsheets/d/1-uDff_7J0KD5mKrp0Vvzr7lt3OU09vwQwhkpOPPYv2Y/edit?usp=sharing"",""งบพรบ!CB104"")"),1187200)</f>
        <v>1187200</v>
      </c>
      <c r="F104" s="93">
        <f ca="1">IFERROR(__xludf.DUMMYFUNCTION("IMPORTRANGE(""https://docs.google.com/spreadsheets/d/1-uDff_7J0KD5mKrp0Vvzr7lt3OU09vwQwhkpOPPYv2Y/edit?usp=sharing"",""งบพรบ!CC104"")"),0)</f>
        <v>0</v>
      </c>
      <c r="G104" s="93">
        <f ca="1">IFERROR(__xludf.DUMMYFUNCTION("IMPORTRANGE(""https://docs.google.com/spreadsheets/d/1-uDff_7J0KD5mKrp0Vvzr7lt3OU09vwQwhkpOPPYv2Y/edit?usp=sharing"",""งบพรบ!CD104"")"),0)</f>
        <v>0</v>
      </c>
      <c r="H104" s="93">
        <f ca="1">IFERROR(__xludf.DUMMYFUNCTION("IMPORTRANGE(""https://docs.google.com/spreadsheets/d/1-uDff_7J0KD5mKrp0Vvzr7lt3OU09vwQwhkpOPPYv2Y/edit?usp=sharing"",""งบพรบ!CF104"")"),687200)</f>
        <v>687200</v>
      </c>
      <c r="I104" s="93">
        <f ca="1">IFERROR(__xludf.DUMMYFUNCTION("IMPORTRANGE(""https://docs.google.com/spreadsheets/d/1-uDff_7J0KD5mKrp0Vvzr7lt3OU09vwQwhkpOPPYv2Y/edit?usp=sharing"",""งบพรบ!CG104"")"),0)</f>
        <v>0</v>
      </c>
      <c r="J104" s="93">
        <f t="shared" ca="1" si="47"/>
        <v>0</v>
      </c>
      <c r="K104" s="94">
        <f t="shared" ca="1" si="48"/>
        <v>0</v>
      </c>
      <c r="L104" s="93">
        <f ca="1">IFERROR(__xludf.DUMMYFUNCTION("IMPORTRANGE(""https://docs.google.com/spreadsheets/d/1-uDff_7J0KD5mKrp0Vvzr7lt3OU09vwQwhkpOPPYv2Y/edit?usp=sharing"",""งบพรบ!CH104"")"),0)</f>
        <v>0</v>
      </c>
      <c r="M104" s="95">
        <f t="shared" ca="1" si="49"/>
        <v>0</v>
      </c>
      <c r="N104" s="95">
        <f t="shared" ca="1" si="50"/>
        <v>0</v>
      </c>
      <c r="O104" s="96">
        <f ca="1">IFERROR(__xludf.DUMMYFUNCTION("IMPORTRANGE(""https://docs.google.com/spreadsheets/d/1-uDff_7J0KD5mKrp0Vvzr7lt3OU09vwQwhkpOPPYv2Y/edit?usp=sharing"",""งบพรบ!CI104"")"),0)</f>
        <v>0</v>
      </c>
      <c r="P104" s="96">
        <f t="shared" ca="1" si="51"/>
        <v>0</v>
      </c>
      <c r="Q104" s="95">
        <f t="shared" ca="1" si="52"/>
        <v>0</v>
      </c>
      <c r="R104" s="248">
        <v>0</v>
      </c>
      <c r="S104" s="86">
        <v>0</v>
      </c>
      <c r="T104" s="86">
        <v>0</v>
      </c>
      <c r="U104" s="87">
        <f t="shared" si="27"/>
        <v>0</v>
      </c>
      <c r="V104" s="87">
        <f t="shared" si="28"/>
        <v>0</v>
      </c>
      <c r="W104" s="93"/>
      <c r="X104" s="93"/>
      <c r="Y104" s="95"/>
    </row>
    <row r="105" spans="1:25" ht="24" hidden="1" customHeight="1" x14ac:dyDescent="0.3">
      <c r="A105" s="201"/>
      <c r="B105" s="133" t="s">
        <v>131</v>
      </c>
      <c r="C105" s="202">
        <f t="shared" ca="1" si="45"/>
        <v>0</v>
      </c>
      <c r="D105" s="203">
        <f t="shared" ca="1" si="46"/>
        <v>0</v>
      </c>
      <c r="E105" s="93">
        <f ca="1">IFERROR(__xludf.DUMMYFUNCTION("IMPORTRANGE(""https://docs.google.com/spreadsheets/d/1-uDff_7J0KD5mKrp0Vvzr7lt3OU09vwQwhkpOPPYv2Y/edit?usp=sharing"",""งบพรบ!CB105"")"),0)</f>
        <v>0</v>
      </c>
      <c r="F105" s="93">
        <f ca="1">IFERROR(__xludf.DUMMYFUNCTION("IMPORTRANGE(""https://docs.google.com/spreadsheets/d/1-uDff_7J0KD5mKrp0Vvzr7lt3OU09vwQwhkpOPPYv2Y/edit?usp=sharing"",""งบพรบ!CC105"")"),0)</f>
        <v>0</v>
      </c>
      <c r="G105" s="93">
        <f ca="1">IFERROR(__xludf.DUMMYFUNCTION("IMPORTRANGE(""https://docs.google.com/spreadsheets/d/1-uDff_7J0KD5mKrp0Vvzr7lt3OU09vwQwhkpOPPYv2Y/edit?usp=sharing"",""งบพรบ!CD105"")"),0)</f>
        <v>0</v>
      </c>
      <c r="H105" s="93">
        <f ca="1">IFERROR(__xludf.DUMMYFUNCTION("IMPORTRANGE(""https://docs.google.com/spreadsheets/d/1-uDff_7J0KD5mKrp0Vvzr7lt3OU09vwQwhkpOPPYv2Y/edit?usp=sharing"",""งบพรบ!CF105"")"),0)</f>
        <v>0</v>
      </c>
      <c r="I105" s="93">
        <f ca="1">IFERROR(__xludf.DUMMYFUNCTION("IMPORTRANGE(""https://docs.google.com/spreadsheets/d/1-uDff_7J0KD5mKrp0Vvzr7lt3OU09vwQwhkpOPPYv2Y/edit?usp=sharing"",""งบพรบ!CG105"")"),0)</f>
        <v>0</v>
      </c>
      <c r="J105" s="93">
        <f t="shared" ca="1" si="47"/>
        <v>0</v>
      </c>
      <c r="K105" s="94">
        <f t="shared" ca="1" si="48"/>
        <v>0</v>
      </c>
      <c r="L105" s="93">
        <f ca="1">IFERROR(__xludf.DUMMYFUNCTION("IMPORTRANGE(""https://docs.google.com/spreadsheets/d/1-uDff_7J0KD5mKrp0Vvzr7lt3OU09vwQwhkpOPPYv2Y/edit?usp=sharing"",""งบพรบ!CH105"")"),0)</f>
        <v>0</v>
      </c>
      <c r="M105" s="95">
        <f t="shared" ca="1" si="49"/>
        <v>0</v>
      </c>
      <c r="N105" s="95">
        <f t="shared" ca="1" si="50"/>
        <v>0</v>
      </c>
      <c r="O105" s="96">
        <f ca="1">IFERROR(__xludf.DUMMYFUNCTION("IMPORTRANGE(""https://docs.google.com/spreadsheets/d/1-uDff_7J0KD5mKrp0Vvzr7lt3OU09vwQwhkpOPPYv2Y/edit?usp=sharing"",""งบพรบ!CI105"")"),0)</f>
        <v>0</v>
      </c>
      <c r="P105" s="96">
        <f t="shared" ca="1" si="51"/>
        <v>0</v>
      </c>
      <c r="Q105" s="95">
        <f t="shared" ca="1" si="52"/>
        <v>0</v>
      </c>
      <c r="R105" s="248">
        <v>0</v>
      </c>
      <c r="S105" s="86">
        <v>0</v>
      </c>
      <c r="T105" s="86">
        <v>0</v>
      </c>
      <c r="U105" s="87">
        <f t="shared" si="27"/>
        <v>0</v>
      </c>
      <c r="V105" s="87">
        <f t="shared" si="28"/>
        <v>0</v>
      </c>
      <c r="W105" s="122"/>
      <c r="X105" s="122"/>
      <c r="Y105" s="122"/>
    </row>
    <row r="106" spans="1:25" ht="24" hidden="1" customHeight="1" x14ac:dyDescent="0.3">
      <c r="A106" s="205"/>
      <c r="B106" s="137" t="s">
        <v>132</v>
      </c>
      <c r="C106" s="206">
        <f t="shared" ca="1" si="45"/>
        <v>0</v>
      </c>
      <c r="D106" s="207">
        <f t="shared" ca="1" si="46"/>
        <v>0</v>
      </c>
      <c r="E106" s="104">
        <f ca="1">IFERROR(__xludf.DUMMYFUNCTION("IMPORTRANGE(""https://docs.google.com/spreadsheets/d/1-uDff_7J0KD5mKrp0Vvzr7lt3OU09vwQwhkpOPPYv2Y/edit?usp=sharing"",""งบพรบ!CB106"")"),0)</f>
        <v>0</v>
      </c>
      <c r="F106" s="104">
        <f ca="1">IFERROR(__xludf.DUMMYFUNCTION("IMPORTRANGE(""https://docs.google.com/spreadsheets/d/1-uDff_7J0KD5mKrp0Vvzr7lt3OU09vwQwhkpOPPYv2Y/edit?usp=sharing"",""งบพรบ!CC106"")"),0)</f>
        <v>0</v>
      </c>
      <c r="G106" s="104">
        <f ca="1">IFERROR(__xludf.DUMMYFUNCTION("IMPORTRANGE(""https://docs.google.com/spreadsheets/d/1-uDff_7J0KD5mKrp0Vvzr7lt3OU09vwQwhkpOPPYv2Y/edit?usp=sharing"",""งบพรบ!CD106"")"),0)</f>
        <v>0</v>
      </c>
      <c r="H106" s="104">
        <f ca="1">IFERROR(__xludf.DUMMYFUNCTION("IMPORTRANGE(""https://docs.google.com/spreadsheets/d/1-uDff_7J0KD5mKrp0Vvzr7lt3OU09vwQwhkpOPPYv2Y/edit?usp=sharing"",""งบพรบ!CF106"")"),0)</f>
        <v>0</v>
      </c>
      <c r="I106" s="104">
        <f ca="1">IFERROR(__xludf.DUMMYFUNCTION("IMPORTRANGE(""https://docs.google.com/spreadsheets/d/1-uDff_7J0KD5mKrp0Vvzr7lt3OU09vwQwhkpOPPYv2Y/edit?usp=sharing"",""งบพรบ!CG106"")"),0)</f>
        <v>0</v>
      </c>
      <c r="J106" s="104">
        <f t="shared" ca="1" si="47"/>
        <v>0</v>
      </c>
      <c r="K106" s="105">
        <f t="shared" ca="1" si="48"/>
        <v>0</v>
      </c>
      <c r="L106" s="104">
        <f ca="1">IFERROR(__xludf.DUMMYFUNCTION("IMPORTRANGE(""https://docs.google.com/spreadsheets/d/1-uDff_7J0KD5mKrp0Vvzr7lt3OU09vwQwhkpOPPYv2Y/edit?usp=sharing"",""งบพรบ!CH106"")"),0)</f>
        <v>0</v>
      </c>
      <c r="M106" s="106">
        <f t="shared" ca="1" si="49"/>
        <v>0</v>
      </c>
      <c r="N106" s="106">
        <f t="shared" ca="1" si="50"/>
        <v>0</v>
      </c>
      <c r="O106" s="107">
        <f ca="1">IFERROR(__xludf.DUMMYFUNCTION("IMPORTRANGE(""https://docs.google.com/spreadsheets/d/1-uDff_7J0KD5mKrp0Vvzr7lt3OU09vwQwhkpOPPYv2Y/edit?usp=sharing"",""งบพรบ!CI106"")"),0)</f>
        <v>0</v>
      </c>
      <c r="P106" s="107">
        <f t="shared" ca="1" si="51"/>
        <v>0</v>
      </c>
      <c r="Q106" s="106">
        <f t="shared" ca="1" si="52"/>
        <v>0</v>
      </c>
      <c r="R106" s="250">
        <v>0</v>
      </c>
      <c r="S106" s="108">
        <v>0</v>
      </c>
      <c r="T106" s="108">
        <v>0</v>
      </c>
      <c r="U106" s="109">
        <f t="shared" si="27"/>
        <v>0</v>
      </c>
      <c r="V106" s="109">
        <f t="shared" si="28"/>
        <v>0</v>
      </c>
      <c r="W106" s="104"/>
      <c r="X106" s="104"/>
      <c r="Y106" s="104"/>
    </row>
  </sheetData>
  <mergeCells count="28">
    <mergeCell ref="A2:B6"/>
    <mergeCell ref="C2:Y2"/>
    <mergeCell ref="C3:Q3"/>
    <mergeCell ref="W3:Y4"/>
    <mergeCell ref="C4:G4"/>
    <mergeCell ref="J4:Q4"/>
    <mergeCell ref="G5:G6"/>
    <mergeCell ref="X5:Y5"/>
    <mergeCell ref="R3:V3"/>
    <mergeCell ref="R4:R6"/>
    <mergeCell ref="S4:S6"/>
    <mergeCell ref="T4:T6"/>
    <mergeCell ref="U4:U6"/>
    <mergeCell ref="V4:V6"/>
    <mergeCell ref="A52:B52"/>
    <mergeCell ref="A74:B74"/>
    <mergeCell ref="A89:B89"/>
    <mergeCell ref="E5:E6"/>
    <mergeCell ref="F5:F6"/>
    <mergeCell ref="C5:C6"/>
    <mergeCell ref="D5:D6"/>
    <mergeCell ref="A7:B7"/>
    <mergeCell ref="A13:B13"/>
    <mergeCell ref="A31:B31"/>
    <mergeCell ref="H4:I4"/>
    <mergeCell ref="J5:K5"/>
    <mergeCell ref="L5:N5"/>
    <mergeCell ref="O5:Q5"/>
  </mergeCells>
  <printOptions horizontalCentered="1"/>
  <pageMargins left="0.23622047244094491" right="0.23622047244094491" top="0.55118110236220474" bottom="0.55118110236220474" header="0" footer="0"/>
  <pageSetup paperSize="9" scale="42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  <outlinePr summaryBelow="0" summaryRight="0"/>
    <pageSetUpPr fitToPage="1"/>
  </sheetPr>
  <dimension ref="A1:AB106"/>
  <sheetViews>
    <sheetView view="pageBreakPreview" zoomScale="60" zoomScaleNormal="55" workbookViewId="0">
      <pane xSplit="2" ySplit="7" topLeftCell="E8" activePane="bottomRight" state="frozen"/>
      <selection activeCell="A13" sqref="A13:B13"/>
      <selection pane="topRight" activeCell="A13" sqref="A13:B13"/>
      <selection pane="bottomLeft" activeCell="A13" sqref="A13:B13"/>
      <selection pane="bottomRight" activeCell="K15" sqref="K15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18.7109375" bestFit="1" customWidth="1"/>
    <col min="4" max="4" width="18" bestFit="1" customWidth="1"/>
    <col min="5" max="5" width="16.85546875" bestFit="1" customWidth="1"/>
    <col min="6" max="6" width="16.5703125" bestFit="1" customWidth="1"/>
    <col min="7" max="7" width="13.85546875" customWidth="1"/>
    <col min="8" max="8" width="20.140625" bestFit="1" customWidth="1"/>
    <col min="9" max="9" width="13.85546875" customWidth="1"/>
    <col min="10" max="10" width="16.5703125" bestFit="1" customWidth="1"/>
    <col min="11" max="11" width="15" bestFit="1" customWidth="1"/>
    <col min="12" max="12" width="16.5703125" bestFit="1" customWidth="1"/>
    <col min="13" max="13" width="18.28515625" bestFit="1" customWidth="1"/>
    <col min="14" max="14" width="15.140625" customWidth="1"/>
    <col min="15" max="15" width="7.85546875" bestFit="1" customWidth="1"/>
    <col min="16" max="16" width="11.28515625" customWidth="1"/>
    <col min="17" max="17" width="10.42578125" bestFit="1" customWidth="1"/>
    <col min="18" max="18" width="15.140625" customWidth="1"/>
    <col min="19" max="19" width="11" bestFit="1" customWidth="1"/>
    <col min="20" max="20" width="12.42578125" bestFit="1" customWidth="1"/>
    <col min="21" max="21" width="10.7109375" bestFit="1" customWidth="1"/>
    <col min="22" max="22" width="12" bestFit="1" customWidth="1"/>
    <col min="23" max="23" width="11.42578125" customWidth="1"/>
    <col min="24" max="24" width="7.5703125" customWidth="1"/>
    <col min="25" max="25" width="10.140625" customWidth="1"/>
    <col min="26" max="26" width="11.42578125" customWidth="1"/>
    <col min="27" max="27" width="7.5703125" customWidth="1"/>
    <col min="28" max="28" width="10.85546875" bestFit="1" customWidth="1"/>
  </cols>
  <sheetData>
    <row r="1" spans="1:28" ht="24" customHeight="1" x14ac:dyDescent="0.3">
      <c r="A1" s="1" t="s">
        <v>0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251"/>
      <c r="N1" s="251"/>
      <c r="O1" s="252"/>
      <c r="P1" s="252"/>
      <c r="Q1" s="252"/>
      <c r="R1" s="252"/>
      <c r="S1" s="252"/>
      <c r="T1" s="252"/>
      <c r="U1" s="252"/>
      <c r="V1" s="252"/>
      <c r="W1" s="139"/>
      <c r="X1" s="139"/>
      <c r="Y1" s="251"/>
      <c r="Z1" s="139"/>
      <c r="AA1" s="139"/>
      <c r="AB1" s="251"/>
    </row>
    <row r="2" spans="1:28" ht="24" customHeight="1" x14ac:dyDescent="0.2">
      <c r="A2" s="655" t="s">
        <v>1</v>
      </c>
      <c r="B2" s="619"/>
      <c r="C2" s="642" t="s">
        <v>151</v>
      </c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3"/>
    </row>
    <row r="3" spans="1:28" ht="30" customHeight="1" x14ac:dyDescent="0.2">
      <c r="A3" s="618"/>
      <c r="B3" s="619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653" t="s">
        <v>4</v>
      </c>
      <c r="S3" s="598"/>
      <c r="T3" s="598"/>
      <c r="U3" s="598"/>
      <c r="V3" s="598"/>
      <c r="W3" s="656" t="s">
        <v>152</v>
      </c>
      <c r="X3" s="657"/>
      <c r="Y3" s="590"/>
      <c r="Z3" s="656" t="s">
        <v>153</v>
      </c>
      <c r="AA3" s="657"/>
      <c r="AB3" s="590"/>
    </row>
    <row r="4" spans="1:28" ht="60" customHeight="1" x14ac:dyDescent="0.3">
      <c r="A4" s="618"/>
      <c r="B4" s="619"/>
      <c r="C4" s="645" t="s">
        <v>7</v>
      </c>
      <c r="D4" s="592"/>
      <c r="E4" s="592"/>
      <c r="F4" s="592"/>
      <c r="G4" s="593"/>
      <c r="H4" s="646" t="s">
        <v>8</v>
      </c>
      <c r="I4" s="593"/>
      <c r="J4" s="644" t="s">
        <v>9</v>
      </c>
      <c r="K4" s="592"/>
      <c r="L4" s="592"/>
      <c r="M4" s="592"/>
      <c r="N4" s="592"/>
      <c r="O4" s="592"/>
      <c r="P4" s="592"/>
      <c r="Q4" s="593"/>
      <c r="R4" s="760" t="s">
        <v>10</v>
      </c>
      <c r="S4" s="761" t="s">
        <v>11</v>
      </c>
      <c r="T4" s="762" t="s">
        <v>12</v>
      </c>
      <c r="U4" s="763" t="s">
        <v>13</v>
      </c>
      <c r="V4" s="763" t="s">
        <v>14</v>
      </c>
      <c r="W4" s="592"/>
      <c r="X4" s="592"/>
      <c r="Y4" s="593"/>
      <c r="Z4" s="592"/>
      <c r="AA4" s="592"/>
      <c r="AB4" s="593"/>
    </row>
    <row r="5" spans="1:28" ht="24" customHeight="1" x14ac:dyDescent="0.3">
      <c r="A5" s="618"/>
      <c r="B5" s="619"/>
      <c r="C5" s="733" t="s">
        <v>19</v>
      </c>
      <c r="D5" s="734" t="s">
        <v>20</v>
      </c>
      <c r="E5" s="735" t="s">
        <v>21</v>
      </c>
      <c r="F5" s="736" t="s">
        <v>22</v>
      </c>
      <c r="G5" s="737" t="s">
        <v>23</v>
      </c>
      <c r="H5" s="253" t="s">
        <v>24</v>
      </c>
      <c r="I5" s="253" t="s">
        <v>25</v>
      </c>
      <c r="J5" s="630" t="s">
        <v>26</v>
      </c>
      <c r="K5" s="593"/>
      <c r="L5" s="630" t="s">
        <v>24</v>
      </c>
      <c r="M5" s="592"/>
      <c r="N5" s="593"/>
      <c r="O5" s="631" t="s">
        <v>25</v>
      </c>
      <c r="P5" s="592"/>
      <c r="Q5" s="593"/>
      <c r="R5" s="764"/>
      <c r="S5" s="765"/>
      <c r="T5" s="765"/>
      <c r="U5" s="766"/>
      <c r="V5" s="766"/>
      <c r="W5" s="254" t="s">
        <v>27</v>
      </c>
      <c r="X5" s="654" t="s">
        <v>28</v>
      </c>
      <c r="Y5" s="593"/>
      <c r="Z5" s="254" t="s">
        <v>27</v>
      </c>
      <c r="AA5" s="654" t="s">
        <v>28</v>
      </c>
      <c r="AB5" s="593"/>
    </row>
    <row r="6" spans="1:28" ht="46.5" customHeight="1" x14ac:dyDescent="0.3">
      <c r="A6" s="620"/>
      <c r="B6" s="621"/>
      <c r="C6" s="738"/>
      <c r="D6" s="738"/>
      <c r="E6" s="738"/>
      <c r="F6" s="738"/>
      <c r="G6" s="738"/>
      <c r="H6" s="255"/>
      <c r="I6" s="255"/>
      <c r="J6" s="770" t="s">
        <v>29</v>
      </c>
      <c r="K6" s="771" t="s">
        <v>30</v>
      </c>
      <c r="L6" s="770" t="s">
        <v>29</v>
      </c>
      <c r="M6" s="772" t="s">
        <v>31</v>
      </c>
      <c r="N6" s="772" t="s">
        <v>32</v>
      </c>
      <c r="O6" s="773" t="s">
        <v>29</v>
      </c>
      <c r="P6" s="772" t="s">
        <v>31</v>
      </c>
      <c r="Q6" s="772" t="s">
        <v>32</v>
      </c>
      <c r="R6" s="767"/>
      <c r="S6" s="768"/>
      <c r="T6" s="768"/>
      <c r="U6" s="769"/>
      <c r="V6" s="769"/>
      <c r="W6" s="256" t="s">
        <v>34</v>
      </c>
      <c r="X6" s="257" t="s">
        <v>34</v>
      </c>
      <c r="Y6" s="258" t="s">
        <v>30</v>
      </c>
      <c r="Z6" s="256" t="s">
        <v>34</v>
      </c>
      <c r="AA6" s="257" t="s">
        <v>34</v>
      </c>
      <c r="AB6" s="258" t="s">
        <v>30</v>
      </c>
    </row>
    <row r="7" spans="1:28" ht="24" customHeight="1" x14ac:dyDescent="0.3">
      <c r="A7" s="651" t="s">
        <v>289</v>
      </c>
      <c r="B7" s="629"/>
      <c r="C7" s="150">
        <f t="shared" ref="C7:C9" ca="1" si="0">D7+G7</f>
        <v>15015300</v>
      </c>
      <c r="D7" s="151">
        <f t="shared" ref="D7:E7" ca="1" si="1">D8+D9+D12</f>
        <v>15015300</v>
      </c>
      <c r="E7" s="152">
        <f t="shared" ca="1" si="1"/>
        <v>6756900</v>
      </c>
      <c r="F7" s="153">
        <f ca="1">F8+F9</f>
        <v>8258400</v>
      </c>
      <c r="G7" s="154">
        <f t="shared" ref="G7:I7" ca="1" si="2">G8+G9+G12</f>
        <v>0</v>
      </c>
      <c r="H7" s="228">
        <f t="shared" ca="1" si="2"/>
        <v>15015300</v>
      </c>
      <c r="I7" s="228">
        <f t="shared" ca="1" si="2"/>
        <v>0</v>
      </c>
      <c r="J7" s="156">
        <f t="shared" ref="J7:J9" ca="1" si="3">L7+O7</f>
        <v>8038898.0499999998</v>
      </c>
      <c r="K7" s="157">
        <f t="shared" ref="K7:K9" ca="1" si="4">IF(C7&gt;0,J7*100/C7,0)</f>
        <v>53.538044860908542</v>
      </c>
      <c r="L7" s="156">
        <f ca="1">L8+L9+L12</f>
        <v>8038898.0499999998</v>
      </c>
      <c r="M7" s="27">
        <f t="shared" ref="M7:M9" ca="1" si="5">IF(D7&gt;0,L7*100/D7,0)</f>
        <v>53.538044860908542</v>
      </c>
      <c r="N7" s="27">
        <f t="shared" ref="N7:N9" ca="1" si="6">IF(H7&gt;0,L7*100/H7,0)</f>
        <v>53.538044860908542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29">
        <f t="shared" ref="R7:T7" ca="1" si="9">R8+R9</f>
        <v>0</v>
      </c>
      <c r="S7" s="230">
        <f t="shared" ca="1" si="9"/>
        <v>0</v>
      </c>
      <c r="T7" s="230">
        <f t="shared" ca="1" si="9"/>
        <v>0</v>
      </c>
      <c r="U7" s="231">
        <f t="shared" ref="U7:U9" ca="1" si="10">IF(R7&gt;0,T7*100/R7,0)</f>
        <v>0</v>
      </c>
      <c r="V7" s="231">
        <f t="shared" ref="V7:V9" ca="1" si="11">IF(S7&gt;0,T7*100/S7,0)</f>
        <v>0</v>
      </c>
      <c r="W7" s="28">
        <f t="shared" ref="W7:X7" ca="1" si="12">W8</f>
        <v>470</v>
      </c>
      <c r="X7" s="29">
        <f t="shared" ca="1" si="12"/>
        <v>252</v>
      </c>
      <c r="Y7" s="30">
        <f t="shared" ref="Y7:Y9" ca="1" si="13">IF(W7&gt;0,X7*100/W7,0)</f>
        <v>53.617021276595743</v>
      </c>
      <c r="Z7" s="259">
        <f t="shared" ref="Z7:AA7" si="14">Z8+Z9</f>
        <v>70</v>
      </c>
      <c r="AA7" s="260">
        <f t="shared" ca="1" si="14"/>
        <v>35</v>
      </c>
      <c r="AB7" s="261">
        <f t="shared" ref="AB7:AB9" ca="1" si="15">IF(Z7&gt;0,AA7*100/Z7,0)</f>
        <v>50</v>
      </c>
    </row>
    <row r="8" spans="1:28" ht="28.5" customHeight="1" x14ac:dyDescent="0.3">
      <c r="A8" s="31" t="s">
        <v>37</v>
      </c>
      <c r="B8" s="32"/>
      <c r="C8" s="161">
        <f t="shared" ca="1" si="0"/>
        <v>1313900</v>
      </c>
      <c r="D8" s="161">
        <f t="shared" ref="D8:I8" ca="1" si="16">+D13+D31+D52+D74</f>
        <v>1313900</v>
      </c>
      <c r="E8" s="161">
        <f t="shared" ca="1" si="16"/>
        <v>0</v>
      </c>
      <c r="F8" s="161">
        <f t="shared" ca="1" si="16"/>
        <v>1313900</v>
      </c>
      <c r="G8" s="161">
        <f t="shared" ca="1" si="16"/>
        <v>0</v>
      </c>
      <c r="H8" s="161">
        <f t="shared" ca="1" si="16"/>
        <v>2505900</v>
      </c>
      <c r="I8" s="161">
        <f t="shared" ca="1" si="16"/>
        <v>0</v>
      </c>
      <c r="J8" s="161">
        <f t="shared" ca="1" si="3"/>
        <v>2036861.05</v>
      </c>
      <c r="K8" s="162">
        <f t="shared" ca="1" si="4"/>
        <v>155.02405434203516</v>
      </c>
      <c r="L8" s="161">
        <f ca="1">+L13+L31+L52+L74</f>
        <v>2036861.05</v>
      </c>
      <c r="M8" s="40">
        <f t="shared" ca="1" si="5"/>
        <v>155.02405434203516</v>
      </c>
      <c r="N8" s="40">
        <f t="shared" ca="1" si="6"/>
        <v>81.282615028532661</v>
      </c>
      <c r="O8" s="39">
        <f ca="1">+O13+O31+O52+O74</f>
        <v>0</v>
      </c>
      <c r="P8" s="39">
        <f t="shared" ca="1" si="7"/>
        <v>0</v>
      </c>
      <c r="Q8" s="40">
        <f t="shared" ca="1" si="8"/>
        <v>0</v>
      </c>
      <c r="R8" s="232">
        <f t="shared" ref="R8:T8" ca="1" si="17">+R13+R31+R52+R74</f>
        <v>0</v>
      </c>
      <c r="S8" s="233">
        <f t="shared" ca="1" si="17"/>
        <v>0</v>
      </c>
      <c r="T8" s="233">
        <f t="shared" ca="1" si="17"/>
        <v>0</v>
      </c>
      <c r="U8" s="234">
        <f t="shared" ca="1" si="10"/>
        <v>0</v>
      </c>
      <c r="V8" s="234">
        <f t="shared" ca="1" si="11"/>
        <v>0</v>
      </c>
      <c r="W8" s="35">
        <f t="shared" ref="W8:X8" ca="1" si="18">+W13+W31+W52+W74</f>
        <v>470</v>
      </c>
      <c r="X8" s="35">
        <f t="shared" ca="1" si="18"/>
        <v>252</v>
      </c>
      <c r="Y8" s="37">
        <f t="shared" ca="1" si="13"/>
        <v>53.617021276595743</v>
      </c>
      <c r="Z8" s="262">
        <f t="shared" ref="Z8:AA8" si="19">+Z13+Z31+Z52+Z74</f>
        <v>0</v>
      </c>
      <c r="AA8" s="262">
        <f t="shared" si="19"/>
        <v>0</v>
      </c>
      <c r="AB8" s="234">
        <f t="shared" si="15"/>
        <v>0</v>
      </c>
    </row>
    <row r="9" spans="1:28" ht="28.5" customHeight="1" x14ac:dyDescent="0.3">
      <c r="A9" s="43" t="s">
        <v>38</v>
      </c>
      <c r="B9" s="44"/>
      <c r="C9" s="164">
        <f t="shared" ca="1" si="0"/>
        <v>13701400</v>
      </c>
      <c r="D9" s="164">
        <f t="shared" ref="D9:I9" ca="1" si="20">+D89</f>
        <v>13701400</v>
      </c>
      <c r="E9" s="164">
        <f t="shared" ca="1" si="20"/>
        <v>6756900</v>
      </c>
      <c r="F9" s="164">
        <f t="shared" ca="1" si="20"/>
        <v>6944500</v>
      </c>
      <c r="G9" s="164">
        <f t="shared" ca="1" si="20"/>
        <v>0</v>
      </c>
      <c r="H9" s="164">
        <f t="shared" ca="1" si="20"/>
        <v>12509400</v>
      </c>
      <c r="I9" s="164">
        <f t="shared" ca="1" si="20"/>
        <v>0</v>
      </c>
      <c r="J9" s="164">
        <f t="shared" ca="1" si="3"/>
        <v>6002037</v>
      </c>
      <c r="K9" s="165">
        <f t="shared" ca="1" si="4"/>
        <v>43.806012524267594</v>
      </c>
      <c r="L9" s="164">
        <f ca="1">+L89</f>
        <v>6002037</v>
      </c>
      <c r="M9" s="51">
        <f t="shared" ca="1" si="5"/>
        <v>43.806012524267594</v>
      </c>
      <c r="N9" s="51">
        <f t="shared" ca="1" si="6"/>
        <v>47.980214878411438</v>
      </c>
      <c r="O9" s="50">
        <f ca="1">+O89</f>
        <v>0</v>
      </c>
      <c r="P9" s="50">
        <f t="shared" ca="1" si="7"/>
        <v>0</v>
      </c>
      <c r="Q9" s="51">
        <f t="shared" ca="1" si="8"/>
        <v>0</v>
      </c>
      <c r="R9" s="235">
        <f ca="1">IFERROR(__xludf.DUMMYFUNCTION("IMPORTRANGE(""https://docs.google.com/spreadsheets/d/1ItG2mGa2ceCfYo0BwxsXqNm01IGEUdYcSSLTEv9YCik/edit?usp=sharing"",""เบิกจ่ายกองทุน!BE11"")"),0)</f>
        <v>0</v>
      </c>
      <c r="S9" s="236">
        <f ca="1">IFERROR(__xludf.DUMMYFUNCTION("IMPORTRANGE(""https://docs.google.com/spreadsheets/d/1ItG2mGa2ceCfYo0BwxsXqNm01IGEUdYcSSLTEv9YCik/edit?usp=sharing"",""เบิกจ่ายกองทุน!BF11"")"),0)</f>
        <v>0</v>
      </c>
      <c r="T9" s="236">
        <f ca="1">IFERROR(__xludf.DUMMYFUNCTION("IMPORTRANGE(""https://docs.google.com/spreadsheets/d/1ItG2mGa2ceCfYo0BwxsXqNm01IGEUdYcSSLTEv9YCik/edit?usp=sharing"",""เบิกจ่ายกองทุน!BG11"")"),0)</f>
        <v>0</v>
      </c>
      <c r="U9" s="237">
        <f t="shared" ca="1" si="10"/>
        <v>0</v>
      </c>
      <c r="V9" s="237">
        <f t="shared" ca="1" si="11"/>
        <v>0</v>
      </c>
      <c r="W9" s="209">
        <v>0</v>
      </c>
      <c r="X9" s="209">
        <v>0</v>
      </c>
      <c r="Y9" s="48">
        <f t="shared" si="13"/>
        <v>0</v>
      </c>
      <c r="Z9" s="263">
        <v>70</v>
      </c>
      <c r="AA9" s="263">
        <f ca="1">IFERROR(__xludf.DUMMYFUNCTION("IMPORTRANGE(""https://docs.google.com/spreadsheets/d/1W-HhGofCdyidljablT5AVQ143BAUWsE-bKbHVeok6Og/edit?usp=sharing"",""ทั้งประเทศ!J184"")"),35)</f>
        <v>35</v>
      </c>
      <c r="AB9" s="237">
        <f t="shared" ca="1" si="15"/>
        <v>50</v>
      </c>
    </row>
    <row r="10" spans="1:28" ht="28.5" hidden="1" customHeight="1" x14ac:dyDescent="0.3">
      <c r="A10" s="54"/>
      <c r="B10" s="55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238"/>
      <c r="S10" s="239"/>
      <c r="T10" s="239"/>
      <c r="U10" s="240"/>
      <c r="V10" s="240"/>
      <c r="W10" s="56"/>
      <c r="X10" s="56"/>
      <c r="Y10" s="59"/>
      <c r="Z10" s="264"/>
      <c r="AA10" s="264"/>
      <c r="AB10" s="265"/>
    </row>
    <row r="11" spans="1:28" ht="28.5" hidden="1" customHeight="1" x14ac:dyDescent="0.3">
      <c r="A11" s="65"/>
      <c r="B11" s="55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238"/>
      <c r="S11" s="239"/>
      <c r="T11" s="239"/>
      <c r="U11" s="240"/>
      <c r="V11" s="240"/>
      <c r="W11" s="56"/>
      <c r="X11" s="56"/>
      <c r="Y11" s="59"/>
      <c r="Z11" s="264"/>
      <c r="AA11" s="264"/>
      <c r="AB11" s="265"/>
    </row>
    <row r="12" spans="1:28" ht="28.5" hidden="1" customHeight="1" x14ac:dyDescent="0.3">
      <c r="A12" s="54"/>
      <c r="B12" s="55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238"/>
      <c r="S12" s="239"/>
      <c r="T12" s="239"/>
      <c r="U12" s="240"/>
      <c r="V12" s="240"/>
      <c r="W12" s="67"/>
      <c r="X12" s="67"/>
      <c r="Y12" s="69"/>
      <c r="Z12" s="266"/>
      <c r="AA12" s="266"/>
      <c r="AB12" s="265"/>
    </row>
    <row r="13" spans="1:28" ht="28.5" customHeight="1" x14ac:dyDescent="0.3">
      <c r="A13" s="624" t="s">
        <v>39</v>
      </c>
      <c r="B13" s="583"/>
      <c r="C13" s="161">
        <f t="shared" ref="C13:C88" ca="1" si="21">D13+G13</f>
        <v>333030</v>
      </c>
      <c r="D13" s="161">
        <f t="shared" ref="D13:I13" ca="1" si="22">SUM(D14:D30)</f>
        <v>333030</v>
      </c>
      <c r="E13" s="161">
        <f t="shared" ca="1" si="22"/>
        <v>0</v>
      </c>
      <c r="F13" s="161">
        <f t="shared" ca="1" si="22"/>
        <v>333030</v>
      </c>
      <c r="G13" s="161">
        <f t="shared" ca="1" si="22"/>
        <v>0</v>
      </c>
      <c r="H13" s="161">
        <f t="shared" ca="1" si="22"/>
        <v>1525030</v>
      </c>
      <c r="I13" s="161">
        <f t="shared" ca="1" si="22"/>
        <v>0</v>
      </c>
      <c r="J13" s="161">
        <f t="shared" ref="J13:J88" ca="1" si="23">L13+O13</f>
        <v>1280901.05</v>
      </c>
      <c r="K13" s="162">
        <f t="shared" ref="K13:K88" ca="1" si="24">IF(C13&gt;0,J13*100/C13,0)</f>
        <v>384.62031949073656</v>
      </c>
      <c r="L13" s="161">
        <f ca="1">SUM(L14:L30)</f>
        <v>1280901.05</v>
      </c>
      <c r="M13" s="40">
        <f t="shared" ref="M13:M88" ca="1" si="25">IF(D13&gt;0,L13*100/D13,0)</f>
        <v>384.62031949073656</v>
      </c>
      <c r="N13" s="40">
        <f t="shared" ref="N13:N88" ca="1" si="26">IF(H13&gt;0,L13*100/H13,0)</f>
        <v>83.991859176540785</v>
      </c>
      <c r="O13" s="39">
        <f ca="1">SUM(O14:O30)</f>
        <v>0</v>
      </c>
      <c r="P13" s="39">
        <f t="shared" ref="P13:P88" ca="1" si="27">IF(G13&gt;0,O13*100/G13,0)</f>
        <v>0</v>
      </c>
      <c r="Q13" s="40">
        <f t="shared" ref="Q13:Q88" ca="1" si="28">IF(I13&gt;0,O13*100/I13,0)</f>
        <v>0</v>
      </c>
      <c r="R13" s="232">
        <f t="shared" ref="R13:T13" ca="1" si="29">SUM(R14:R30)</f>
        <v>0</v>
      </c>
      <c r="S13" s="233">
        <f t="shared" ca="1" si="29"/>
        <v>0</v>
      </c>
      <c r="T13" s="233">
        <f t="shared" ca="1" si="29"/>
        <v>0</v>
      </c>
      <c r="U13" s="234">
        <f t="shared" ref="U13:U106" ca="1" si="30">IF(R13&gt;0,T13*100/R13,0)</f>
        <v>0</v>
      </c>
      <c r="V13" s="234">
        <f t="shared" ref="V13:V106" ca="1" si="31">IF(S13&gt;0,T13*100/S13,0)</f>
        <v>0</v>
      </c>
      <c r="W13" s="73">
        <f t="shared" ref="W13:X13" ca="1" si="32">SUM(W14:W30)</f>
        <v>119</v>
      </c>
      <c r="X13" s="73">
        <f t="shared" ca="1" si="32"/>
        <v>42</v>
      </c>
      <c r="Y13" s="75">
        <f t="shared" ref="Y13:Y88" ca="1" si="33">IF(W13&gt;0,X13*100/W13,0)</f>
        <v>35.294117647058826</v>
      </c>
      <c r="Z13" s="267">
        <v>0</v>
      </c>
      <c r="AA13" s="267">
        <v>0</v>
      </c>
      <c r="AB13" s="268">
        <v>0</v>
      </c>
    </row>
    <row r="14" spans="1:28" ht="24" customHeight="1" x14ac:dyDescent="0.3">
      <c r="A14" s="77">
        <v>1</v>
      </c>
      <c r="B14" s="78" t="s">
        <v>40</v>
      </c>
      <c r="C14" s="174">
        <f t="shared" ca="1" si="21"/>
        <v>19590</v>
      </c>
      <c r="D14" s="175">
        <f t="shared" ref="D14:D30" ca="1" si="34">+E14+F14</f>
        <v>19590</v>
      </c>
      <c r="E14" s="176">
        <f ca="1">IFERROR(__xludf.DUMMYFUNCTION("IMPORTRANGE(""https://docs.google.com/spreadsheets/d/1-uDff_7J0KD5mKrp0Vvzr7lt3OU09vwQwhkpOPPYv2Y/edit?usp=sharing"",""งบพรบ!CL14"")"),0)</f>
        <v>0</v>
      </c>
      <c r="F14" s="176">
        <f ca="1">IFERROR(__xludf.DUMMYFUNCTION("IMPORTRANGE(""https://docs.google.com/spreadsheets/d/1-uDff_7J0KD5mKrp0Vvzr7lt3OU09vwQwhkpOPPYv2Y/edit?usp=sharing"",""งบพรบ!CM14"")"),19590)</f>
        <v>19590</v>
      </c>
      <c r="G14" s="177">
        <f ca="1">IFERROR(__xludf.DUMMYFUNCTION("IMPORTRANGE(""https://docs.google.com/spreadsheets/d/1-uDff_7J0KD5mKrp0Vvzr7lt3OU09vwQwhkpOPPYv2Y/edit?usp=sharing"",""งบพรบ!CN14"")"),0)</f>
        <v>0</v>
      </c>
      <c r="H14" s="177">
        <f ca="1">IFERROR(__xludf.DUMMYFUNCTION("IMPORTRANGE(""https://docs.google.com/spreadsheets/d/1-uDff_7J0KD5mKrp0Vvzr7lt3OU09vwQwhkpOPPYv2Y/edit?usp=sharing"",""งบพรบ!CP14"")"),19590)</f>
        <v>19590</v>
      </c>
      <c r="I14" s="177">
        <f ca="1">IFERROR(__xludf.DUMMYFUNCTION("IMPORTRANGE(""https://docs.google.com/spreadsheets/d/1-uDff_7J0KD5mKrp0Vvzr7lt3OU09vwQwhkpOPPYv2Y/edit?usp=sharing"",""งบพรบ!CQ14"")"),0)</f>
        <v>0</v>
      </c>
      <c r="J14" s="177">
        <f t="shared" ca="1" si="23"/>
        <v>0</v>
      </c>
      <c r="K14" s="178">
        <f t="shared" ca="1" si="24"/>
        <v>0</v>
      </c>
      <c r="L14" s="177">
        <f ca="1">IFERROR(__xludf.DUMMYFUNCTION("IMPORTRANGE(""https://docs.google.com/spreadsheets/d/1-uDff_7J0KD5mKrp0Vvzr7lt3OU09vwQwhkpOPPYv2Y/edit?usp=sharing"",""งบพรบ!CR14"")"),0)</f>
        <v>0</v>
      </c>
      <c r="M14" s="87">
        <f t="shared" ca="1" si="25"/>
        <v>0</v>
      </c>
      <c r="N14" s="87">
        <f t="shared" ca="1" si="26"/>
        <v>0</v>
      </c>
      <c r="O14" s="86">
        <f ca="1">IFERROR(__xludf.DUMMYFUNCTION("IMPORTRANGE(""https://docs.google.com/spreadsheets/d/1-uDff_7J0KD5mKrp0Vvzr7lt3OU09vwQwhkpOPPYv2Y/edit?usp=sharing"",""งบพรบ!CS14"")"),0)</f>
        <v>0</v>
      </c>
      <c r="P14" s="86">
        <f t="shared" ca="1" si="27"/>
        <v>0</v>
      </c>
      <c r="Q14" s="87">
        <f t="shared" ca="1" si="28"/>
        <v>0</v>
      </c>
      <c r="R14" s="241">
        <f ca="1">IFERROR(__xludf.DUMMYFUNCTION("IMPORTRANGE(""https://docs.google.com/spreadsheets/d/1jTcq05yEiRwXcBMLjiodW9e4biSGYWAHcDj22rKWQ3s/edit?usp=sharing"",""กำแพงเพชร!Q173"")"),0)</f>
        <v>0</v>
      </c>
      <c r="S14" s="242">
        <f ca="1">IFERROR(__xludf.DUMMYFUNCTION("IMPORTRANGE(""https://docs.google.com/spreadsheets/d/1jTcq05yEiRwXcBMLjiodW9e4biSGYWAHcDj22rKWQ3s/edit?usp=sharing"",""กำแพงเพชร!R173"")"),0)</f>
        <v>0</v>
      </c>
      <c r="T14" s="242">
        <f ca="1">IFERROR(__xludf.DUMMYFUNCTION("IMPORTRANGE(""https://docs.google.com/spreadsheets/d/1jTcq05yEiRwXcBMLjiodW9e4biSGYWAHcDj22rKWQ3s/edit?usp=sharing"",""กำแพงเพชร!S173"")"),0)</f>
        <v>0</v>
      </c>
      <c r="U14" s="243">
        <f t="shared" ca="1" si="30"/>
        <v>0</v>
      </c>
      <c r="V14" s="243">
        <f t="shared" ca="1" si="31"/>
        <v>0</v>
      </c>
      <c r="W14" s="82">
        <f ca="1">IFERROR(__xludf.DUMMYFUNCTION("IMPORTRANGE(""https://docs.google.com/spreadsheets/d/1jTcq05yEiRwXcBMLjiodW9e4biSGYWAHcDj22rKWQ3s/edit?usp=sharing"",""กำแพงเพชร!I183"")"),7)</f>
        <v>7</v>
      </c>
      <c r="X14" s="82">
        <f ca="1">IFERROR(__xludf.DUMMYFUNCTION("IMPORTRANGE(""https://docs.google.com/spreadsheets/d/1jTcq05yEiRwXcBMLjiodW9e4biSGYWAHcDj22rKWQ3s/edit?usp=sharing"",""กำแพงเพชร!J183"")"),0)</f>
        <v>0</v>
      </c>
      <c r="Y14" s="88">
        <f t="shared" ca="1" si="33"/>
        <v>0</v>
      </c>
      <c r="Z14" s="269">
        <v>0</v>
      </c>
      <c r="AA14" s="269">
        <v>0</v>
      </c>
      <c r="AB14" s="270">
        <v>0</v>
      </c>
    </row>
    <row r="15" spans="1:28" ht="24" customHeight="1" x14ac:dyDescent="0.3">
      <c r="A15" s="89">
        <v>2</v>
      </c>
      <c r="B15" s="90" t="s">
        <v>41</v>
      </c>
      <c r="C15" s="174">
        <f t="shared" ca="1" si="21"/>
        <v>19590</v>
      </c>
      <c r="D15" s="175">
        <f t="shared" ca="1" si="34"/>
        <v>19590</v>
      </c>
      <c r="E15" s="176">
        <f ca="1">IFERROR(__xludf.DUMMYFUNCTION("IMPORTRANGE(""https://docs.google.com/spreadsheets/d/1-uDff_7J0KD5mKrp0Vvzr7lt3OU09vwQwhkpOPPYv2Y/edit?usp=sharing"",""งบพรบ!CL15"")"),0)</f>
        <v>0</v>
      </c>
      <c r="F15" s="176">
        <f ca="1">IFERROR(__xludf.DUMMYFUNCTION("IMPORTRANGE(""https://docs.google.com/spreadsheets/d/1-uDff_7J0KD5mKrp0Vvzr7lt3OU09vwQwhkpOPPYv2Y/edit?usp=sharing"",""งบพรบ!CM15"")"),19590)</f>
        <v>19590</v>
      </c>
      <c r="G15" s="176">
        <f ca="1">IFERROR(__xludf.DUMMYFUNCTION("IMPORTRANGE(""https://docs.google.com/spreadsheets/d/1-uDff_7J0KD5mKrp0Vvzr7lt3OU09vwQwhkpOPPYv2Y/edit?usp=sharing"",""งบพรบ!CN15"")"),0)</f>
        <v>0</v>
      </c>
      <c r="H15" s="176">
        <f ca="1">IFERROR(__xludf.DUMMYFUNCTION("IMPORTRANGE(""https://docs.google.com/spreadsheets/d/1-uDff_7J0KD5mKrp0Vvzr7lt3OU09vwQwhkpOPPYv2Y/edit?usp=sharing"",""งบพรบ!CP15"")"),94790)</f>
        <v>94790</v>
      </c>
      <c r="I15" s="176">
        <f ca="1">IFERROR(__xludf.DUMMYFUNCTION("IMPORTRANGE(""https://docs.google.com/spreadsheets/d/1-uDff_7J0KD5mKrp0Vvzr7lt3OU09vwQwhkpOPPYv2Y/edit?usp=sharing"",""งบพรบ!CQ15"")"),0)</f>
        <v>0</v>
      </c>
      <c r="J15" s="176">
        <f t="shared" ca="1" si="23"/>
        <v>90340</v>
      </c>
      <c r="K15" s="179">
        <f t="shared" ca="1" si="24"/>
        <v>461.15364982133741</v>
      </c>
      <c r="L15" s="176">
        <f ca="1">IFERROR(__xludf.DUMMYFUNCTION("IMPORTRANGE(""https://docs.google.com/spreadsheets/d/1-uDff_7J0KD5mKrp0Vvzr7lt3OU09vwQwhkpOPPYv2Y/edit?usp=sharing"",""งบพรบ!CR15"")"),90340)</f>
        <v>90340</v>
      </c>
      <c r="M15" s="87">
        <f t="shared" ca="1" si="25"/>
        <v>461.15364982133741</v>
      </c>
      <c r="N15" s="87">
        <f t="shared" ca="1" si="26"/>
        <v>95.30541196328727</v>
      </c>
      <c r="O15" s="86">
        <f ca="1">IFERROR(__xludf.DUMMYFUNCTION("IMPORTRANGE(""https://docs.google.com/spreadsheets/d/1-uDff_7J0KD5mKrp0Vvzr7lt3OU09vwQwhkpOPPYv2Y/edit?usp=sharing"",""งบพรบ!CS15"")"),0)</f>
        <v>0</v>
      </c>
      <c r="P15" s="86">
        <f t="shared" ca="1" si="27"/>
        <v>0</v>
      </c>
      <c r="Q15" s="87">
        <f t="shared" ca="1" si="28"/>
        <v>0</v>
      </c>
      <c r="R15" s="241">
        <f ca="1">IFERROR(__xludf.DUMMYFUNCTION("IMPORTRANGE(""https://docs.google.com/spreadsheets/d/1KS0zmDSZPk8KnTAbGN-Xk6MtX1YRZD0ldgdt20K4CRk/edit?usp=sharing"",""เชียงราย!Q173"")"),0)</f>
        <v>0</v>
      </c>
      <c r="S15" s="242">
        <f ca="1">IFERROR(__xludf.DUMMYFUNCTION("IMPORTRANGE(""https://docs.google.com/spreadsheets/d/1KS0zmDSZPk8KnTAbGN-Xk6MtX1YRZD0ldgdt20K4CRk/edit?usp=sharing"",""เชียงราย!R173"")"),0)</f>
        <v>0</v>
      </c>
      <c r="T15" s="242">
        <f ca="1">IFERROR(__xludf.DUMMYFUNCTION("IMPORTRANGE(""https://docs.google.com/spreadsheets/d/1KS0zmDSZPk8KnTAbGN-Xk6MtX1YRZD0ldgdt20K4CRk/edit?usp=sharing"",""เชียงราย!S173"")"),0)</f>
        <v>0</v>
      </c>
      <c r="U15" s="243">
        <f t="shared" ca="1" si="30"/>
        <v>0</v>
      </c>
      <c r="V15" s="243">
        <f t="shared" ca="1" si="31"/>
        <v>0</v>
      </c>
      <c r="W15" s="97">
        <f ca="1">IFERROR(__xludf.DUMMYFUNCTION("IMPORTRANGE(""https://docs.google.com/spreadsheets/d/1KS0zmDSZPk8KnTAbGN-Xk6MtX1YRZD0ldgdt20K4CRk/edit?usp=sharing"",""เชียงราย!I183"")"),7)</f>
        <v>7</v>
      </c>
      <c r="X15" s="97">
        <f ca="1">IFERROR(__xludf.DUMMYFUNCTION("IMPORTRANGE(""https://docs.google.com/spreadsheets/d/1KS0zmDSZPk8KnTAbGN-Xk6MtX1YRZD0ldgdt20K4CRk/edit?usp=sharing"",""เชียงราย!J183"")"),7)</f>
        <v>7</v>
      </c>
      <c r="Y15" s="98">
        <f t="shared" ca="1" si="33"/>
        <v>100</v>
      </c>
      <c r="Z15" s="269">
        <v>0</v>
      </c>
      <c r="AA15" s="269">
        <v>0</v>
      </c>
      <c r="AB15" s="270">
        <v>0</v>
      </c>
    </row>
    <row r="16" spans="1:28" ht="24" customHeight="1" x14ac:dyDescent="0.3">
      <c r="A16" s="89">
        <v>3</v>
      </c>
      <c r="B16" s="90" t="s">
        <v>42</v>
      </c>
      <c r="C16" s="174">
        <f t="shared" ca="1" si="21"/>
        <v>19590</v>
      </c>
      <c r="D16" s="175">
        <f t="shared" ca="1" si="34"/>
        <v>19590</v>
      </c>
      <c r="E16" s="176">
        <f ca="1">IFERROR(__xludf.DUMMYFUNCTION("IMPORTRANGE(""https://docs.google.com/spreadsheets/d/1-uDff_7J0KD5mKrp0Vvzr7lt3OU09vwQwhkpOPPYv2Y/edit?usp=sharing"",""งบพรบ!CL16"")"),0)</f>
        <v>0</v>
      </c>
      <c r="F16" s="176">
        <f ca="1">IFERROR(__xludf.DUMMYFUNCTION("IMPORTRANGE(""https://docs.google.com/spreadsheets/d/1-uDff_7J0KD5mKrp0Vvzr7lt3OU09vwQwhkpOPPYv2Y/edit?usp=sharing"",""งบพรบ!CM16"")"),19590)</f>
        <v>19590</v>
      </c>
      <c r="G16" s="176">
        <f ca="1">IFERROR(__xludf.DUMMYFUNCTION("IMPORTRANGE(""https://docs.google.com/spreadsheets/d/1-uDff_7J0KD5mKrp0Vvzr7lt3OU09vwQwhkpOPPYv2Y/edit?usp=sharing"",""งบพรบ!CN16"")"),0)</f>
        <v>0</v>
      </c>
      <c r="H16" s="176">
        <f ca="1">IFERROR(__xludf.DUMMYFUNCTION("IMPORTRANGE(""https://docs.google.com/spreadsheets/d/1-uDff_7J0KD5mKrp0Vvzr7lt3OU09vwQwhkpOPPYv2Y/edit?usp=sharing"",""งบพรบ!CP16"")"),149630)</f>
        <v>149630</v>
      </c>
      <c r="I16" s="176">
        <f ca="1">IFERROR(__xludf.DUMMYFUNCTION("IMPORTRANGE(""https://docs.google.com/spreadsheets/d/1-uDff_7J0KD5mKrp0Vvzr7lt3OU09vwQwhkpOPPYv2Y/edit?usp=sharing"",""งบพรบ!CQ16"")"),0)</f>
        <v>0</v>
      </c>
      <c r="J16" s="176">
        <f t="shared" ca="1" si="23"/>
        <v>147475</v>
      </c>
      <c r="K16" s="179">
        <f t="shared" ca="1" si="24"/>
        <v>752.80755487493616</v>
      </c>
      <c r="L16" s="176">
        <f ca="1">IFERROR(__xludf.DUMMYFUNCTION("IMPORTRANGE(""https://docs.google.com/spreadsheets/d/1-uDff_7J0KD5mKrp0Vvzr7lt3OU09vwQwhkpOPPYv2Y/edit?usp=sharing"",""งบพรบ!CR16"")"),147475)</f>
        <v>147475</v>
      </c>
      <c r="M16" s="87">
        <f t="shared" ca="1" si="25"/>
        <v>752.80755487493616</v>
      </c>
      <c r="N16" s="87">
        <f t="shared" ca="1" si="26"/>
        <v>98.559780792621794</v>
      </c>
      <c r="O16" s="86">
        <f ca="1">IFERROR(__xludf.DUMMYFUNCTION("IMPORTRANGE(""https://docs.google.com/spreadsheets/d/1-uDff_7J0KD5mKrp0Vvzr7lt3OU09vwQwhkpOPPYv2Y/edit?usp=sharing"",""งบพรบ!CS16"")"),0)</f>
        <v>0</v>
      </c>
      <c r="P16" s="86">
        <f t="shared" ca="1" si="27"/>
        <v>0</v>
      </c>
      <c r="Q16" s="87">
        <f t="shared" ca="1" si="28"/>
        <v>0</v>
      </c>
      <c r="R16" s="241">
        <f ca="1">IFERROR(__xludf.DUMMYFUNCTION("IMPORTRANGE(""https://docs.google.com/spreadsheets/d/1rEDxBtusbi64tE0zunoIbsTVV16HeL0oJ6trHQeQ7K8/edit?usp=sharing"",""เชียงใหม่!Q173"")"),0)</f>
        <v>0</v>
      </c>
      <c r="S16" s="242">
        <f ca="1">IFERROR(__xludf.DUMMYFUNCTION("IMPORTRANGE(""https://docs.google.com/spreadsheets/d/1rEDxBtusbi64tE0zunoIbsTVV16HeL0oJ6trHQeQ7K8/edit?usp=sharing"",""เชียงใหม่!R173"")"),0)</f>
        <v>0</v>
      </c>
      <c r="T16" s="242">
        <f ca="1">IFERROR(__xludf.DUMMYFUNCTION("IMPORTRANGE(""https://docs.google.com/spreadsheets/d/1rEDxBtusbi64tE0zunoIbsTVV16HeL0oJ6trHQeQ7K8/edit?usp=sharing"",""เชียงใหม่!S173"")"),0)</f>
        <v>0</v>
      </c>
      <c r="U16" s="243">
        <f t="shared" ca="1" si="30"/>
        <v>0</v>
      </c>
      <c r="V16" s="243">
        <f t="shared" ca="1" si="31"/>
        <v>0</v>
      </c>
      <c r="W16" s="97">
        <f ca="1">IFERROR(__xludf.DUMMYFUNCTION("IMPORTRANGE(""https://docs.google.com/spreadsheets/d/1rEDxBtusbi64tE0zunoIbsTVV16HeL0oJ6trHQeQ7K8/edit?usp=sharing"",""เชียงใหม่!I183"")"),7)</f>
        <v>7</v>
      </c>
      <c r="X16" s="97">
        <f ca="1">IFERROR(__xludf.DUMMYFUNCTION("IMPORTRANGE(""https://docs.google.com/spreadsheets/d/1rEDxBtusbi64tE0zunoIbsTVV16HeL0oJ6trHQeQ7K8/edit?usp=sharing"",""เชียงใหม่!J183"")"),7)</f>
        <v>7</v>
      </c>
      <c r="Y16" s="98">
        <f t="shared" ca="1" si="33"/>
        <v>100</v>
      </c>
      <c r="Z16" s="269">
        <v>0</v>
      </c>
      <c r="AA16" s="269">
        <v>0</v>
      </c>
      <c r="AB16" s="270">
        <v>0</v>
      </c>
    </row>
    <row r="17" spans="1:28" ht="24" customHeight="1" x14ac:dyDescent="0.3">
      <c r="A17" s="89">
        <v>4</v>
      </c>
      <c r="B17" s="90" t="s">
        <v>43</v>
      </c>
      <c r="C17" s="174">
        <f t="shared" ca="1" si="21"/>
        <v>19590</v>
      </c>
      <c r="D17" s="175">
        <f t="shared" ca="1" si="34"/>
        <v>19590</v>
      </c>
      <c r="E17" s="176">
        <f ca="1">IFERROR(__xludf.DUMMYFUNCTION("IMPORTRANGE(""https://docs.google.com/spreadsheets/d/1-uDff_7J0KD5mKrp0Vvzr7lt3OU09vwQwhkpOPPYv2Y/edit?usp=sharing"",""งบพรบ!CL17"")"),0)</f>
        <v>0</v>
      </c>
      <c r="F17" s="176">
        <f ca="1">IFERROR(__xludf.DUMMYFUNCTION("IMPORTRANGE(""https://docs.google.com/spreadsheets/d/1-uDff_7J0KD5mKrp0Vvzr7lt3OU09vwQwhkpOPPYv2Y/edit?usp=sharing"",""งบพรบ!CM17"")"),19590)</f>
        <v>19590</v>
      </c>
      <c r="G17" s="176">
        <f ca="1">IFERROR(__xludf.DUMMYFUNCTION("IMPORTRANGE(""https://docs.google.com/spreadsheets/d/1-uDff_7J0KD5mKrp0Vvzr7lt3OU09vwQwhkpOPPYv2Y/edit?usp=sharing"",""งบพรบ!CN17"")"),0)</f>
        <v>0</v>
      </c>
      <c r="H17" s="176">
        <f ca="1">IFERROR(__xludf.DUMMYFUNCTION("IMPORTRANGE(""https://docs.google.com/spreadsheets/d/1-uDff_7J0KD5mKrp0Vvzr7lt3OU09vwQwhkpOPPYv2Y/edit?usp=sharing"",""งบพรบ!CP17"")"),19590)</f>
        <v>19590</v>
      </c>
      <c r="I17" s="176">
        <f ca="1">IFERROR(__xludf.DUMMYFUNCTION("IMPORTRANGE(""https://docs.google.com/spreadsheets/d/1-uDff_7J0KD5mKrp0Vvzr7lt3OU09vwQwhkpOPPYv2Y/edit?usp=sharing"",""งบพรบ!CQ17"")"),0)</f>
        <v>0</v>
      </c>
      <c r="J17" s="176">
        <f t="shared" ca="1" si="23"/>
        <v>19590</v>
      </c>
      <c r="K17" s="179">
        <f t="shared" ca="1" si="24"/>
        <v>100</v>
      </c>
      <c r="L17" s="176">
        <f ca="1">IFERROR(__xludf.DUMMYFUNCTION("IMPORTRANGE(""https://docs.google.com/spreadsheets/d/1-uDff_7J0KD5mKrp0Vvzr7lt3OU09vwQwhkpOPPYv2Y/edit?usp=sharing"",""งบพรบ!CR17"")"),19590)</f>
        <v>19590</v>
      </c>
      <c r="M17" s="87">
        <f t="shared" ca="1" si="25"/>
        <v>100</v>
      </c>
      <c r="N17" s="87">
        <f t="shared" ca="1" si="26"/>
        <v>100</v>
      </c>
      <c r="O17" s="86">
        <f ca="1">IFERROR(__xludf.DUMMYFUNCTION("IMPORTRANGE(""https://docs.google.com/spreadsheets/d/1-uDff_7J0KD5mKrp0Vvzr7lt3OU09vwQwhkpOPPYv2Y/edit?usp=sharing"",""งบพรบ!CS17"")"),0)</f>
        <v>0</v>
      </c>
      <c r="P17" s="86">
        <f t="shared" ca="1" si="27"/>
        <v>0</v>
      </c>
      <c r="Q17" s="87">
        <f t="shared" ca="1" si="28"/>
        <v>0</v>
      </c>
      <c r="R17" s="241">
        <f ca="1">IFERROR(__xludf.DUMMYFUNCTION("IMPORTRANGE(""https://docs.google.com/spreadsheets/d/1W6MnUbDkMi6xHnHko_XkFDO9kkuL6Wqyc-6OCDFjW9I/edit?usp=sharing"",""ตาก!Q173"")"),0)</f>
        <v>0</v>
      </c>
      <c r="S17" s="242">
        <f ca="1">IFERROR(__xludf.DUMMYFUNCTION("IMPORTRANGE(""https://docs.google.com/spreadsheets/d/1W6MnUbDkMi6xHnHko_XkFDO9kkuL6Wqyc-6OCDFjW9I/edit?usp=sharing"",""ตาก!R173"")"),0)</f>
        <v>0</v>
      </c>
      <c r="T17" s="242">
        <f ca="1">IFERROR(__xludf.DUMMYFUNCTION("IMPORTRANGE(""https://docs.google.com/spreadsheets/d/1W6MnUbDkMi6xHnHko_XkFDO9kkuL6Wqyc-6OCDFjW9I/edit?usp=sharing"",""ตาก!S173"")"),0)</f>
        <v>0</v>
      </c>
      <c r="U17" s="243">
        <f t="shared" ca="1" si="30"/>
        <v>0</v>
      </c>
      <c r="V17" s="243">
        <f t="shared" ca="1" si="31"/>
        <v>0</v>
      </c>
      <c r="W17" s="97">
        <f ca="1">IFERROR(__xludf.DUMMYFUNCTION("IMPORTRANGE(""https://docs.google.com/spreadsheets/d/1W6MnUbDkMi6xHnHko_XkFDO9kkuL6Wqyc-6OCDFjW9I/edit?usp=sharing"",""ตาก!I183"")"),7)</f>
        <v>7</v>
      </c>
      <c r="X17" s="97">
        <f ca="1">IFERROR(__xludf.DUMMYFUNCTION("IMPORTRANGE(""https://docs.google.com/spreadsheets/d/1W6MnUbDkMi6xHnHko_XkFDO9kkuL6Wqyc-6OCDFjW9I/edit?usp=sharing"",""ตาก!J183"")"),7)</f>
        <v>7</v>
      </c>
      <c r="Y17" s="98">
        <f t="shared" ca="1" si="33"/>
        <v>100</v>
      </c>
      <c r="Z17" s="269">
        <v>0</v>
      </c>
      <c r="AA17" s="269">
        <v>0</v>
      </c>
      <c r="AB17" s="270">
        <v>0</v>
      </c>
    </row>
    <row r="18" spans="1:28" ht="24" customHeight="1" x14ac:dyDescent="0.3">
      <c r="A18" s="89">
        <v>5</v>
      </c>
      <c r="B18" s="90" t="s">
        <v>44</v>
      </c>
      <c r="C18" s="174">
        <f t="shared" ca="1" si="21"/>
        <v>19590</v>
      </c>
      <c r="D18" s="175">
        <f t="shared" ca="1" si="34"/>
        <v>19590</v>
      </c>
      <c r="E18" s="176">
        <f ca="1">IFERROR(__xludf.DUMMYFUNCTION("IMPORTRANGE(""https://docs.google.com/spreadsheets/d/1-uDff_7J0KD5mKrp0Vvzr7lt3OU09vwQwhkpOPPYv2Y/edit?usp=sharing"",""งบพรบ!CL18"")"),0)</f>
        <v>0</v>
      </c>
      <c r="F18" s="176">
        <f ca="1">IFERROR(__xludf.DUMMYFUNCTION("IMPORTRANGE(""https://docs.google.com/spreadsheets/d/1-uDff_7J0KD5mKrp0Vvzr7lt3OU09vwQwhkpOPPYv2Y/edit?usp=sharing"",""งบพรบ!CM18"")"),19590)</f>
        <v>19590</v>
      </c>
      <c r="G18" s="176">
        <f ca="1">IFERROR(__xludf.DUMMYFUNCTION("IMPORTRANGE(""https://docs.google.com/spreadsheets/d/1-uDff_7J0KD5mKrp0Vvzr7lt3OU09vwQwhkpOPPYv2Y/edit?usp=sharing"",""งบพรบ!CN18"")"),0)</f>
        <v>0</v>
      </c>
      <c r="H18" s="176">
        <f ca="1">IFERROR(__xludf.DUMMYFUNCTION("IMPORTRANGE(""https://docs.google.com/spreadsheets/d/1-uDff_7J0KD5mKrp0Vvzr7lt3OU09vwQwhkpOPPYv2Y/edit?usp=sharing"",""งบพรบ!CP18"")"),19590)</f>
        <v>19590</v>
      </c>
      <c r="I18" s="176">
        <f ca="1">IFERROR(__xludf.DUMMYFUNCTION("IMPORTRANGE(""https://docs.google.com/spreadsheets/d/1-uDff_7J0KD5mKrp0Vvzr7lt3OU09vwQwhkpOPPYv2Y/edit?usp=sharing"",""งบพรบ!CQ18"")"),0)</f>
        <v>0</v>
      </c>
      <c r="J18" s="176">
        <f t="shared" ca="1" si="23"/>
        <v>19590</v>
      </c>
      <c r="K18" s="179">
        <f t="shared" ca="1" si="24"/>
        <v>100</v>
      </c>
      <c r="L18" s="176">
        <f ca="1">IFERROR(__xludf.DUMMYFUNCTION("IMPORTRANGE(""https://docs.google.com/spreadsheets/d/1-uDff_7J0KD5mKrp0Vvzr7lt3OU09vwQwhkpOPPYv2Y/edit?usp=sharing"",""งบพรบ!CR18"")"),19590)</f>
        <v>19590</v>
      </c>
      <c r="M18" s="87">
        <f t="shared" ca="1" si="25"/>
        <v>100</v>
      </c>
      <c r="N18" s="87">
        <f t="shared" ca="1" si="26"/>
        <v>100</v>
      </c>
      <c r="O18" s="86">
        <f ca="1">IFERROR(__xludf.DUMMYFUNCTION("IMPORTRANGE(""https://docs.google.com/spreadsheets/d/1-uDff_7J0KD5mKrp0Vvzr7lt3OU09vwQwhkpOPPYv2Y/edit?usp=sharing"",""งบพรบ!CS18"")"),0)</f>
        <v>0</v>
      </c>
      <c r="P18" s="86">
        <f t="shared" ca="1" si="27"/>
        <v>0</v>
      </c>
      <c r="Q18" s="87">
        <f t="shared" ca="1" si="28"/>
        <v>0</v>
      </c>
      <c r="R18" s="241">
        <f ca="1">IFERROR(__xludf.DUMMYFUNCTION("IMPORTRANGE(""https://docs.google.com/spreadsheets/d/1IQAWArduLkta9LpYo4a_ULsyqdta6-6aDDiwpUnQT6c/edit?usp=sharing"",""นครสวรรค์!Q173"")"),0)</f>
        <v>0</v>
      </c>
      <c r="S18" s="242">
        <f ca="1">IFERROR(__xludf.DUMMYFUNCTION("IMPORTRANGE(""https://docs.google.com/spreadsheets/d/1IQAWArduLkta9LpYo4a_ULsyqdta6-6aDDiwpUnQT6c/edit?usp=sharing"",""นครสวรรค์!R173"")"),0)</f>
        <v>0</v>
      </c>
      <c r="T18" s="242">
        <f ca="1">IFERROR(__xludf.DUMMYFUNCTION("IMPORTRANGE(""https://docs.google.com/spreadsheets/d/1IQAWArduLkta9LpYo4a_ULsyqdta6-6aDDiwpUnQT6c/edit?usp=sharing"",""นครสวรรค์!S173"")"),0)</f>
        <v>0</v>
      </c>
      <c r="U18" s="243">
        <f t="shared" ca="1" si="30"/>
        <v>0</v>
      </c>
      <c r="V18" s="243">
        <f t="shared" ca="1" si="31"/>
        <v>0</v>
      </c>
      <c r="W18" s="97">
        <f ca="1">IFERROR(__xludf.DUMMYFUNCTION("IMPORTRANGE(""https://docs.google.com/spreadsheets/d/1IQAWArduLkta9LpYo4a_ULsyqdta6-6aDDiwpUnQT6c/edit?usp=sharing"",""นครสวรรค์!I183"")"),7)</f>
        <v>7</v>
      </c>
      <c r="X18" s="97">
        <f ca="1">IFERROR(__xludf.DUMMYFUNCTION("IMPORTRANGE(""https://docs.google.com/spreadsheets/d/1IQAWArduLkta9LpYo4a_ULsyqdta6-6aDDiwpUnQT6c/edit?usp=sharing"",""นครสวรรค์!J183"")"),0)</f>
        <v>0</v>
      </c>
      <c r="Y18" s="98">
        <f t="shared" ca="1" si="33"/>
        <v>0</v>
      </c>
      <c r="Z18" s="269">
        <v>0</v>
      </c>
      <c r="AA18" s="269">
        <v>0</v>
      </c>
      <c r="AB18" s="270">
        <v>0</v>
      </c>
    </row>
    <row r="19" spans="1:28" ht="24" customHeight="1" x14ac:dyDescent="0.3">
      <c r="A19" s="89">
        <v>6</v>
      </c>
      <c r="B19" s="90" t="s">
        <v>45</v>
      </c>
      <c r="C19" s="174">
        <f t="shared" ca="1" si="21"/>
        <v>19590</v>
      </c>
      <c r="D19" s="175">
        <f t="shared" ca="1" si="34"/>
        <v>19590</v>
      </c>
      <c r="E19" s="176">
        <f ca="1">IFERROR(__xludf.DUMMYFUNCTION("IMPORTRANGE(""https://docs.google.com/spreadsheets/d/1-uDff_7J0KD5mKrp0Vvzr7lt3OU09vwQwhkpOPPYv2Y/edit?usp=sharing"",""งบพรบ!CL19"")"),0)</f>
        <v>0</v>
      </c>
      <c r="F19" s="176">
        <f ca="1">IFERROR(__xludf.DUMMYFUNCTION("IMPORTRANGE(""https://docs.google.com/spreadsheets/d/1-uDff_7J0KD5mKrp0Vvzr7lt3OU09vwQwhkpOPPYv2Y/edit?usp=sharing"",""งบพรบ!CM19"")"),19590)</f>
        <v>19590</v>
      </c>
      <c r="G19" s="176">
        <f ca="1">IFERROR(__xludf.DUMMYFUNCTION("IMPORTRANGE(""https://docs.google.com/spreadsheets/d/1-uDff_7J0KD5mKrp0Vvzr7lt3OU09vwQwhkpOPPYv2Y/edit?usp=sharing"",""งบพรบ!CN19"")"),0)</f>
        <v>0</v>
      </c>
      <c r="H19" s="176">
        <f ca="1">IFERROR(__xludf.DUMMYFUNCTION("IMPORTRANGE(""https://docs.google.com/spreadsheets/d/1-uDff_7J0KD5mKrp0Vvzr7lt3OU09vwQwhkpOPPYv2Y/edit?usp=sharing"",""งบพรบ!CP19"")"),207985)</f>
        <v>207985</v>
      </c>
      <c r="I19" s="176">
        <f ca="1">IFERROR(__xludf.DUMMYFUNCTION("IMPORTRANGE(""https://docs.google.com/spreadsheets/d/1-uDff_7J0KD5mKrp0Vvzr7lt3OU09vwQwhkpOPPYv2Y/edit?usp=sharing"",""งบพรบ!CQ19"")"),0)</f>
        <v>0</v>
      </c>
      <c r="J19" s="176">
        <f t="shared" ca="1" si="23"/>
        <v>185345</v>
      </c>
      <c r="K19" s="179">
        <f t="shared" ca="1" si="24"/>
        <v>946.12046962736088</v>
      </c>
      <c r="L19" s="176">
        <f ca="1">IFERROR(__xludf.DUMMYFUNCTION("IMPORTRANGE(""https://docs.google.com/spreadsheets/d/1-uDff_7J0KD5mKrp0Vvzr7lt3OU09vwQwhkpOPPYv2Y/edit?usp=sharing"",""งบพรบ!CR19"")"),185345)</f>
        <v>185345</v>
      </c>
      <c r="M19" s="87">
        <f t="shared" ca="1" si="25"/>
        <v>946.12046962736088</v>
      </c>
      <c r="N19" s="87">
        <f t="shared" ca="1" si="26"/>
        <v>89.114599610548836</v>
      </c>
      <c r="O19" s="86">
        <f ca="1">IFERROR(__xludf.DUMMYFUNCTION("IMPORTRANGE(""https://docs.google.com/spreadsheets/d/1-uDff_7J0KD5mKrp0Vvzr7lt3OU09vwQwhkpOPPYv2Y/edit?usp=sharing"",""งบพรบ!CS19"")"),0)</f>
        <v>0</v>
      </c>
      <c r="P19" s="86">
        <f t="shared" ca="1" si="27"/>
        <v>0</v>
      </c>
      <c r="Q19" s="87">
        <f t="shared" ca="1" si="28"/>
        <v>0</v>
      </c>
      <c r="R19" s="241">
        <f ca="1">IFERROR(__xludf.DUMMYFUNCTION("IMPORTRANGE(""https://docs.google.com/spreadsheets/d/10s13Sk5xrltsiR-Zkbmk5DwIaDIKO8XlbJAfqyT7Gvg/edit?usp=sharing"",""น่าน!Q173"")"),0)</f>
        <v>0</v>
      </c>
      <c r="S19" s="242">
        <f ca="1">IFERROR(__xludf.DUMMYFUNCTION("IMPORTRANGE(""https://docs.google.com/spreadsheets/d/10s13Sk5xrltsiR-Zkbmk5DwIaDIKO8XlbJAfqyT7Gvg/edit?usp=sharing"",""น่าน!R173"")"),0)</f>
        <v>0</v>
      </c>
      <c r="T19" s="242">
        <f ca="1">IFERROR(__xludf.DUMMYFUNCTION("IMPORTRANGE(""https://docs.google.com/spreadsheets/d/10s13Sk5xrltsiR-Zkbmk5DwIaDIKO8XlbJAfqyT7Gvg/edit?usp=sharing"",""น่าน!S173"")"),0)</f>
        <v>0</v>
      </c>
      <c r="U19" s="243">
        <f t="shared" ca="1" si="30"/>
        <v>0</v>
      </c>
      <c r="V19" s="243">
        <f t="shared" ca="1" si="31"/>
        <v>0</v>
      </c>
      <c r="W19" s="97">
        <f ca="1">IFERROR(__xludf.DUMMYFUNCTION("IMPORTRANGE(""https://docs.google.com/spreadsheets/d/10s13Sk5xrltsiR-Zkbmk5DwIaDIKO8XlbJAfqyT7Gvg/edit?usp=sharing"",""น่าน!I183"")"),7)</f>
        <v>7</v>
      </c>
      <c r="X19" s="97">
        <f ca="1">IFERROR(__xludf.DUMMYFUNCTION("IMPORTRANGE(""https://docs.google.com/spreadsheets/d/10s13Sk5xrltsiR-Zkbmk5DwIaDIKO8XlbJAfqyT7Gvg/edit?usp=sharing"",""น่าน!J183"")"),0)</f>
        <v>0</v>
      </c>
      <c r="Y19" s="98">
        <f t="shared" ca="1" si="33"/>
        <v>0</v>
      </c>
      <c r="Z19" s="269">
        <v>0</v>
      </c>
      <c r="AA19" s="269">
        <v>0</v>
      </c>
      <c r="AB19" s="270">
        <v>0</v>
      </c>
    </row>
    <row r="20" spans="1:28" ht="24" customHeight="1" x14ac:dyDescent="0.3">
      <c r="A20" s="89">
        <v>7</v>
      </c>
      <c r="B20" s="90" t="s">
        <v>46</v>
      </c>
      <c r="C20" s="174">
        <f t="shared" ca="1" si="21"/>
        <v>19590</v>
      </c>
      <c r="D20" s="175">
        <f t="shared" ca="1" si="34"/>
        <v>19590</v>
      </c>
      <c r="E20" s="176">
        <f ca="1">IFERROR(__xludf.DUMMYFUNCTION("IMPORTRANGE(""https://docs.google.com/spreadsheets/d/1-uDff_7J0KD5mKrp0Vvzr7lt3OU09vwQwhkpOPPYv2Y/edit?usp=sharing"",""งบพรบ!CL20"")"),0)</f>
        <v>0</v>
      </c>
      <c r="F20" s="176">
        <f ca="1">IFERROR(__xludf.DUMMYFUNCTION("IMPORTRANGE(""https://docs.google.com/spreadsheets/d/1-uDff_7J0KD5mKrp0Vvzr7lt3OU09vwQwhkpOPPYv2Y/edit?usp=sharing"",""งบพรบ!CM20"")"),19590)</f>
        <v>19590</v>
      </c>
      <c r="G20" s="176">
        <f ca="1">IFERROR(__xludf.DUMMYFUNCTION("IMPORTRANGE(""https://docs.google.com/spreadsheets/d/1-uDff_7J0KD5mKrp0Vvzr7lt3OU09vwQwhkpOPPYv2Y/edit?usp=sharing"",""งบพรบ!CN20"")"),0)</f>
        <v>0</v>
      </c>
      <c r="H20" s="176">
        <f ca="1">IFERROR(__xludf.DUMMYFUNCTION("IMPORTRANGE(""https://docs.google.com/spreadsheets/d/1-uDff_7J0KD5mKrp0Vvzr7lt3OU09vwQwhkpOPPYv2Y/edit?usp=sharing"",""งบพรบ!CP20"")"),69590)</f>
        <v>69590</v>
      </c>
      <c r="I20" s="176">
        <f ca="1">IFERROR(__xludf.DUMMYFUNCTION("IMPORTRANGE(""https://docs.google.com/spreadsheets/d/1-uDff_7J0KD5mKrp0Vvzr7lt3OU09vwQwhkpOPPYv2Y/edit?usp=sharing"",""งบพรบ!CQ20"")"),0)</f>
        <v>0</v>
      </c>
      <c r="J20" s="176">
        <f t="shared" ca="1" si="23"/>
        <v>27380</v>
      </c>
      <c r="K20" s="179">
        <f t="shared" ca="1" si="24"/>
        <v>139.76518631955079</v>
      </c>
      <c r="L20" s="176">
        <f ca="1">IFERROR(__xludf.DUMMYFUNCTION("IMPORTRANGE(""https://docs.google.com/spreadsheets/d/1-uDff_7J0KD5mKrp0Vvzr7lt3OU09vwQwhkpOPPYv2Y/edit?usp=sharing"",""งบพรบ!CR20"")"),27380)</f>
        <v>27380</v>
      </c>
      <c r="M20" s="87">
        <f t="shared" ca="1" si="25"/>
        <v>139.76518631955079</v>
      </c>
      <c r="N20" s="87">
        <f t="shared" ca="1" si="26"/>
        <v>39.34473343871246</v>
      </c>
      <c r="O20" s="86">
        <f ca="1">IFERROR(__xludf.DUMMYFUNCTION("IMPORTRANGE(""https://docs.google.com/spreadsheets/d/1-uDff_7J0KD5mKrp0Vvzr7lt3OU09vwQwhkpOPPYv2Y/edit?usp=sharing"",""งบพรบ!CS20"")"),0)</f>
        <v>0</v>
      </c>
      <c r="P20" s="86">
        <f t="shared" ca="1" si="27"/>
        <v>0</v>
      </c>
      <c r="Q20" s="87">
        <f t="shared" ca="1" si="28"/>
        <v>0</v>
      </c>
      <c r="R20" s="241">
        <f ca="1">IFERROR(__xludf.DUMMYFUNCTION("IMPORTRANGE(""https://docs.google.com/spreadsheets/d/1uu4nAn4Dbi1XREnLKKotUANlKXa7yCgRcgq8HEzQYW8/edit?usp=sharing"",""พะเยา!Q173"")"),0)</f>
        <v>0</v>
      </c>
      <c r="S20" s="242">
        <f ca="1">IFERROR(__xludf.DUMMYFUNCTION("IMPORTRANGE(""https://docs.google.com/spreadsheets/d/1uu4nAn4Dbi1XREnLKKotUANlKXa7yCgRcgq8HEzQYW8/edit?usp=sharing"",""พะเยา!R173"")"),0)</f>
        <v>0</v>
      </c>
      <c r="T20" s="242">
        <f ca="1">IFERROR(__xludf.DUMMYFUNCTION("IMPORTRANGE(""https://docs.google.com/spreadsheets/d/1uu4nAn4Dbi1XREnLKKotUANlKXa7yCgRcgq8HEzQYW8/edit?usp=sharing"",""พะเยา!S173"")"),0)</f>
        <v>0</v>
      </c>
      <c r="U20" s="243">
        <f t="shared" ca="1" si="30"/>
        <v>0</v>
      </c>
      <c r="V20" s="243">
        <f t="shared" ca="1" si="31"/>
        <v>0</v>
      </c>
      <c r="W20" s="97">
        <f ca="1">IFERROR(__xludf.DUMMYFUNCTION("IMPORTRANGE(""https://docs.google.com/spreadsheets/d/1uu4nAn4Dbi1XREnLKKotUANlKXa7yCgRcgq8HEzQYW8/edit?usp=sharing"",""พะเยา!I183"")"),7)</f>
        <v>7</v>
      </c>
      <c r="X20" s="97">
        <f ca="1">IFERROR(__xludf.DUMMYFUNCTION("IMPORTRANGE(""https://docs.google.com/spreadsheets/d/1uu4nAn4Dbi1XREnLKKotUANlKXa7yCgRcgq8HEzQYW8/edit?usp=sharing"",""พะเยา!J183"")"),7)</f>
        <v>7</v>
      </c>
      <c r="Y20" s="98">
        <f t="shared" ca="1" si="33"/>
        <v>100</v>
      </c>
      <c r="Z20" s="269">
        <v>0</v>
      </c>
      <c r="AA20" s="269">
        <v>0</v>
      </c>
      <c r="AB20" s="270">
        <v>0</v>
      </c>
    </row>
    <row r="21" spans="1:28" ht="24" customHeight="1" x14ac:dyDescent="0.3">
      <c r="A21" s="89">
        <v>8</v>
      </c>
      <c r="B21" s="90" t="s">
        <v>47</v>
      </c>
      <c r="C21" s="174">
        <f t="shared" ca="1" si="21"/>
        <v>19590</v>
      </c>
      <c r="D21" s="175">
        <f t="shared" ca="1" si="34"/>
        <v>19590</v>
      </c>
      <c r="E21" s="176">
        <f ca="1">IFERROR(__xludf.DUMMYFUNCTION("IMPORTRANGE(""https://docs.google.com/spreadsheets/d/1-uDff_7J0KD5mKrp0Vvzr7lt3OU09vwQwhkpOPPYv2Y/edit?usp=sharing"",""งบพรบ!CL21"")"),0)</f>
        <v>0</v>
      </c>
      <c r="F21" s="176">
        <f ca="1">IFERROR(__xludf.DUMMYFUNCTION("IMPORTRANGE(""https://docs.google.com/spreadsheets/d/1-uDff_7J0KD5mKrp0Vvzr7lt3OU09vwQwhkpOPPYv2Y/edit?usp=sharing"",""งบพรบ!CM21"")"),19590)</f>
        <v>19590</v>
      </c>
      <c r="G21" s="176">
        <f ca="1">IFERROR(__xludf.DUMMYFUNCTION("IMPORTRANGE(""https://docs.google.com/spreadsheets/d/1-uDff_7J0KD5mKrp0Vvzr7lt3OU09vwQwhkpOPPYv2Y/edit?usp=sharing"",""งบพรบ!CN21"")"),0)</f>
        <v>0</v>
      </c>
      <c r="H21" s="176">
        <f ca="1">IFERROR(__xludf.DUMMYFUNCTION("IMPORTRANGE(""https://docs.google.com/spreadsheets/d/1-uDff_7J0KD5mKrp0Vvzr7lt3OU09vwQwhkpOPPYv2Y/edit?usp=sharing"",""งบพรบ!CP21"")"),128065)</f>
        <v>128065</v>
      </c>
      <c r="I21" s="176">
        <f ca="1">IFERROR(__xludf.DUMMYFUNCTION("IMPORTRANGE(""https://docs.google.com/spreadsheets/d/1-uDff_7J0KD5mKrp0Vvzr7lt3OU09vwQwhkpOPPYv2Y/edit?usp=sharing"",""งบพรบ!CQ21"")"),0)</f>
        <v>0</v>
      </c>
      <c r="J21" s="176">
        <f t="shared" ca="1" si="23"/>
        <v>106870</v>
      </c>
      <c r="K21" s="179">
        <f t="shared" ca="1" si="24"/>
        <v>545.53343542623793</v>
      </c>
      <c r="L21" s="176">
        <f ca="1">IFERROR(__xludf.DUMMYFUNCTION("IMPORTRANGE(""https://docs.google.com/spreadsheets/d/1-uDff_7J0KD5mKrp0Vvzr7lt3OU09vwQwhkpOPPYv2Y/edit?usp=sharing"",""งบพรบ!CR21"")"),106870)</f>
        <v>106870</v>
      </c>
      <c r="M21" s="87">
        <f t="shared" ca="1" si="25"/>
        <v>545.53343542623793</v>
      </c>
      <c r="N21" s="87">
        <f t="shared" ca="1" si="26"/>
        <v>83.449810643032833</v>
      </c>
      <c r="O21" s="86">
        <f ca="1">IFERROR(__xludf.DUMMYFUNCTION("IMPORTRANGE(""https://docs.google.com/spreadsheets/d/1-uDff_7J0KD5mKrp0Vvzr7lt3OU09vwQwhkpOPPYv2Y/edit?usp=sharing"",""งบพรบ!CS21"")"),0)</f>
        <v>0</v>
      </c>
      <c r="P21" s="86">
        <f t="shared" ca="1" si="27"/>
        <v>0</v>
      </c>
      <c r="Q21" s="87">
        <f t="shared" ca="1" si="28"/>
        <v>0</v>
      </c>
      <c r="R21" s="241">
        <f ca="1">IFERROR(__xludf.DUMMYFUNCTION("IMPORTRANGE(""https://docs.google.com/spreadsheets/d/1xfJKIQxVOaPDIICqsflNlLu3JacTDk1FP9RH4phX7mI/edit?usp=sharing"",""พิจิตร!Q173"")"),0)</f>
        <v>0</v>
      </c>
      <c r="S21" s="242">
        <f ca="1">IFERROR(__xludf.DUMMYFUNCTION("IMPORTRANGE(""https://docs.google.com/spreadsheets/d/1xfJKIQxVOaPDIICqsflNlLu3JacTDk1FP9RH4phX7mI/edit?usp=sharing"",""พิจิตร!R173"")"),0)</f>
        <v>0</v>
      </c>
      <c r="T21" s="242">
        <f ca="1">IFERROR(__xludf.DUMMYFUNCTION("IMPORTRANGE(""https://docs.google.com/spreadsheets/d/1xfJKIQxVOaPDIICqsflNlLu3JacTDk1FP9RH4phX7mI/edit?usp=sharing"",""พิจิตร!S173"")"),0)</f>
        <v>0</v>
      </c>
      <c r="U21" s="243">
        <f t="shared" ca="1" si="30"/>
        <v>0</v>
      </c>
      <c r="V21" s="243">
        <f t="shared" ca="1" si="31"/>
        <v>0</v>
      </c>
      <c r="W21" s="97">
        <f ca="1">IFERROR(__xludf.DUMMYFUNCTION("IMPORTRANGE(""https://docs.google.com/spreadsheets/d/1xfJKIQxVOaPDIICqsflNlLu3JacTDk1FP9RH4phX7mI/edit?usp=sharing"",""พิจิตร!I183"")"),7)</f>
        <v>7</v>
      </c>
      <c r="X21" s="97">
        <f ca="1">IFERROR(__xludf.DUMMYFUNCTION("IMPORTRANGE(""https://docs.google.com/spreadsheets/d/1xfJKIQxVOaPDIICqsflNlLu3JacTDk1FP9RH4phX7mI/edit?usp=sharing"",""พิจิตร!J183"")"),0)</f>
        <v>0</v>
      </c>
      <c r="Y21" s="98">
        <f t="shared" ca="1" si="33"/>
        <v>0</v>
      </c>
      <c r="Z21" s="269">
        <v>0</v>
      </c>
      <c r="AA21" s="269">
        <v>0</v>
      </c>
      <c r="AB21" s="270">
        <v>0</v>
      </c>
    </row>
    <row r="22" spans="1:28" ht="24" customHeight="1" x14ac:dyDescent="0.3">
      <c r="A22" s="89">
        <v>9</v>
      </c>
      <c r="B22" s="90" t="s">
        <v>48</v>
      </c>
      <c r="C22" s="174">
        <f t="shared" ca="1" si="21"/>
        <v>19590</v>
      </c>
      <c r="D22" s="175">
        <f t="shared" ca="1" si="34"/>
        <v>19590</v>
      </c>
      <c r="E22" s="176">
        <f ca="1">IFERROR(__xludf.DUMMYFUNCTION("IMPORTRANGE(""https://docs.google.com/spreadsheets/d/1-uDff_7J0KD5mKrp0Vvzr7lt3OU09vwQwhkpOPPYv2Y/edit?usp=sharing"",""งบพรบ!CL22"")"),0)</f>
        <v>0</v>
      </c>
      <c r="F22" s="176">
        <f ca="1">IFERROR(__xludf.DUMMYFUNCTION("IMPORTRANGE(""https://docs.google.com/spreadsheets/d/1-uDff_7J0KD5mKrp0Vvzr7lt3OU09vwQwhkpOPPYv2Y/edit?usp=sharing"",""งบพรบ!CM22"")"),19590)</f>
        <v>19590</v>
      </c>
      <c r="G22" s="176">
        <f ca="1">IFERROR(__xludf.DUMMYFUNCTION("IMPORTRANGE(""https://docs.google.com/spreadsheets/d/1-uDff_7J0KD5mKrp0Vvzr7lt3OU09vwQwhkpOPPYv2Y/edit?usp=sharing"",""งบพรบ!CN22"")"),0)</f>
        <v>0</v>
      </c>
      <c r="H22" s="176">
        <f ca="1">IFERROR(__xludf.DUMMYFUNCTION("IMPORTRANGE(""https://docs.google.com/spreadsheets/d/1-uDff_7J0KD5mKrp0Vvzr7lt3OU09vwQwhkpOPPYv2Y/edit?usp=sharing"",""งบพรบ!CP22"")"),19590)</f>
        <v>19590</v>
      </c>
      <c r="I22" s="176">
        <f ca="1">IFERROR(__xludf.DUMMYFUNCTION("IMPORTRANGE(""https://docs.google.com/spreadsheets/d/1-uDff_7J0KD5mKrp0Vvzr7lt3OU09vwQwhkpOPPYv2Y/edit?usp=sharing"",""งบพรบ!CQ22"")"),0)</f>
        <v>0</v>
      </c>
      <c r="J22" s="176">
        <f t="shared" ca="1" si="23"/>
        <v>0</v>
      </c>
      <c r="K22" s="179">
        <f t="shared" ca="1" si="24"/>
        <v>0</v>
      </c>
      <c r="L22" s="176">
        <f ca="1">IFERROR(__xludf.DUMMYFUNCTION("IMPORTRANGE(""https://docs.google.com/spreadsheets/d/1-uDff_7J0KD5mKrp0Vvzr7lt3OU09vwQwhkpOPPYv2Y/edit?usp=sharing"",""งบพรบ!CR22"")"),0)</f>
        <v>0</v>
      </c>
      <c r="M22" s="87">
        <f t="shared" ca="1" si="25"/>
        <v>0</v>
      </c>
      <c r="N22" s="87">
        <f t="shared" ca="1" si="26"/>
        <v>0</v>
      </c>
      <c r="O22" s="86">
        <f ca="1">IFERROR(__xludf.DUMMYFUNCTION("IMPORTRANGE(""https://docs.google.com/spreadsheets/d/1-uDff_7J0KD5mKrp0Vvzr7lt3OU09vwQwhkpOPPYv2Y/edit?usp=sharing"",""งบพรบ!CS22"")"),0)</f>
        <v>0</v>
      </c>
      <c r="P22" s="86">
        <f t="shared" ca="1" si="27"/>
        <v>0</v>
      </c>
      <c r="Q22" s="87">
        <f t="shared" ca="1" si="28"/>
        <v>0</v>
      </c>
      <c r="R22" s="241">
        <f ca="1">IFERROR(__xludf.DUMMYFUNCTION("IMPORTRANGE(""https://docs.google.com/spreadsheets/d/1JtRfZkJMHtEhI5RdRHxYUG4FIZHqKDpNyIuN7A1Q0_k/edit?usp=sharing"",""พิษณุโลก!Q173"")"),0)</f>
        <v>0</v>
      </c>
      <c r="S22" s="242">
        <f ca="1">IFERROR(__xludf.DUMMYFUNCTION("IMPORTRANGE(""https://docs.google.com/spreadsheets/d/1JtRfZkJMHtEhI5RdRHxYUG4FIZHqKDpNyIuN7A1Q0_k/edit?usp=sharing"",""พิษณุโลก!R173"")"),0)</f>
        <v>0</v>
      </c>
      <c r="T22" s="242">
        <f ca="1">IFERROR(__xludf.DUMMYFUNCTION("IMPORTRANGE(""https://docs.google.com/spreadsheets/d/1JtRfZkJMHtEhI5RdRHxYUG4FIZHqKDpNyIuN7A1Q0_k/edit?usp=sharing"",""พิษณุโลก!S173"")"),0)</f>
        <v>0</v>
      </c>
      <c r="U22" s="243">
        <f t="shared" ca="1" si="30"/>
        <v>0</v>
      </c>
      <c r="V22" s="243">
        <f t="shared" ca="1" si="31"/>
        <v>0</v>
      </c>
      <c r="W22" s="97">
        <f ca="1">IFERROR(__xludf.DUMMYFUNCTION("IMPORTRANGE(""https://docs.google.com/spreadsheets/d/1JtRfZkJMHtEhI5RdRHxYUG4FIZHqKDpNyIuN7A1Q0_k/edit?usp=sharing"",""พิษณุโลก!I183"")"),7)</f>
        <v>7</v>
      </c>
      <c r="X22" s="97">
        <f ca="1">IFERROR(__xludf.DUMMYFUNCTION("IMPORTRANGE(""https://docs.google.com/spreadsheets/d/1JtRfZkJMHtEhI5RdRHxYUG4FIZHqKDpNyIuN7A1Q0_k/edit?usp=sharing"",""พิษณุโลก!J183"")"),0)</f>
        <v>0</v>
      </c>
      <c r="Y22" s="98">
        <f t="shared" ca="1" si="33"/>
        <v>0</v>
      </c>
      <c r="Z22" s="269">
        <v>0</v>
      </c>
      <c r="AA22" s="269">
        <v>0</v>
      </c>
      <c r="AB22" s="270">
        <v>0</v>
      </c>
    </row>
    <row r="23" spans="1:28" ht="24" customHeight="1" x14ac:dyDescent="0.3">
      <c r="A23" s="89">
        <v>10</v>
      </c>
      <c r="B23" s="90" t="s">
        <v>49</v>
      </c>
      <c r="C23" s="174">
        <f t="shared" ca="1" si="21"/>
        <v>19590</v>
      </c>
      <c r="D23" s="175">
        <f t="shared" ca="1" si="34"/>
        <v>19590</v>
      </c>
      <c r="E23" s="176">
        <f ca="1">IFERROR(__xludf.DUMMYFUNCTION("IMPORTRANGE(""https://docs.google.com/spreadsheets/d/1-uDff_7J0KD5mKrp0Vvzr7lt3OU09vwQwhkpOPPYv2Y/edit?usp=sharing"",""งบพรบ!CL23"")"),0)</f>
        <v>0</v>
      </c>
      <c r="F23" s="176">
        <f ca="1">IFERROR(__xludf.DUMMYFUNCTION("IMPORTRANGE(""https://docs.google.com/spreadsheets/d/1-uDff_7J0KD5mKrp0Vvzr7lt3OU09vwQwhkpOPPYv2Y/edit?usp=sharing"",""งบพรบ!CM23"")"),19590)</f>
        <v>19590</v>
      </c>
      <c r="G23" s="176">
        <f ca="1">IFERROR(__xludf.DUMMYFUNCTION("IMPORTRANGE(""https://docs.google.com/spreadsheets/d/1-uDff_7J0KD5mKrp0Vvzr7lt3OU09vwQwhkpOPPYv2Y/edit?usp=sharing"",""งบพรบ!CN23"")"),0)</f>
        <v>0</v>
      </c>
      <c r="H23" s="176">
        <f ca="1">IFERROR(__xludf.DUMMYFUNCTION("IMPORTRANGE(""https://docs.google.com/spreadsheets/d/1-uDff_7J0KD5mKrp0Vvzr7lt3OU09vwQwhkpOPPYv2Y/edit?usp=sharing"",""งบพรบ!CP23"")"),111890)</f>
        <v>111890</v>
      </c>
      <c r="I23" s="176">
        <f ca="1">IFERROR(__xludf.DUMMYFUNCTION("IMPORTRANGE(""https://docs.google.com/spreadsheets/d/1-uDff_7J0KD5mKrp0Vvzr7lt3OU09vwQwhkpOPPYv2Y/edit?usp=sharing"",""งบพรบ!CQ23"")"),0)</f>
        <v>0</v>
      </c>
      <c r="J23" s="176">
        <f t="shared" ca="1" si="23"/>
        <v>92360</v>
      </c>
      <c r="K23" s="179">
        <f t="shared" ca="1" si="24"/>
        <v>471.46503318019398</v>
      </c>
      <c r="L23" s="176">
        <f ca="1">IFERROR(__xludf.DUMMYFUNCTION("IMPORTRANGE(""https://docs.google.com/spreadsheets/d/1-uDff_7J0KD5mKrp0Vvzr7lt3OU09vwQwhkpOPPYv2Y/edit?usp=sharing"",""งบพรบ!CR23"")"),92360)</f>
        <v>92360</v>
      </c>
      <c r="M23" s="87">
        <f t="shared" ca="1" si="25"/>
        <v>471.46503318019398</v>
      </c>
      <c r="N23" s="87">
        <f t="shared" ca="1" si="26"/>
        <v>82.545357047099827</v>
      </c>
      <c r="O23" s="86">
        <f ca="1">IFERROR(__xludf.DUMMYFUNCTION("IMPORTRANGE(""https://docs.google.com/spreadsheets/d/1-uDff_7J0KD5mKrp0Vvzr7lt3OU09vwQwhkpOPPYv2Y/edit?usp=sharing"",""งบพรบ!CS23"")"),0)</f>
        <v>0</v>
      </c>
      <c r="P23" s="86">
        <f t="shared" ca="1" si="27"/>
        <v>0</v>
      </c>
      <c r="Q23" s="87">
        <f t="shared" ca="1" si="28"/>
        <v>0</v>
      </c>
      <c r="R23" s="241">
        <f ca="1">IFERROR(__xludf.DUMMYFUNCTION("IMPORTRANGE(""https://docs.google.com/spreadsheets/d/1xlcVZWUNn6SuWm0c307h32SiGkd9BaeQWlAktfD3KO8/edit?usp=sharing"",""เพชรบูรณ์!Q173"")"),0)</f>
        <v>0</v>
      </c>
      <c r="S23" s="242">
        <f ca="1">IFERROR(__xludf.DUMMYFUNCTION("IMPORTRANGE(""https://docs.google.com/spreadsheets/d/1xlcVZWUNn6SuWm0c307h32SiGkd9BaeQWlAktfD3KO8/edit?usp=sharing"",""เพชรบูรณ์!R173"")"),0)</f>
        <v>0</v>
      </c>
      <c r="T23" s="242">
        <f ca="1">IFERROR(__xludf.DUMMYFUNCTION("IMPORTRANGE(""https://docs.google.com/spreadsheets/d/1xlcVZWUNn6SuWm0c307h32SiGkd9BaeQWlAktfD3KO8/edit?usp=sharing"",""เพชรบูรณ์!S173"")"),0)</f>
        <v>0</v>
      </c>
      <c r="U23" s="243">
        <f t="shared" ca="1" si="30"/>
        <v>0</v>
      </c>
      <c r="V23" s="243">
        <f t="shared" ca="1" si="31"/>
        <v>0</v>
      </c>
      <c r="W23" s="97">
        <f ca="1">IFERROR(__xludf.DUMMYFUNCTION("IMPORTRANGE(""https://docs.google.com/spreadsheets/d/1xlcVZWUNn6SuWm0c307h32SiGkd9BaeQWlAktfD3KO8/edit?usp=sharing"",""เพชรบูรณ์!I183"")"),7)</f>
        <v>7</v>
      </c>
      <c r="X23" s="97">
        <f ca="1">IFERROR(__xludf.DUMMYFUNCTION("IMPORTRANGE(""https://docs.google.com/spreadsheets/d/1xlcVZWUNn6SuWm0c307h32SiGkd9BaeQWlAktfD3KO8/edit?usp=sharing"",""เพชรบูรณ์!J183"")"),0)</f>
        <v>0</v>
      </c>
      <c r="Y23" s="98">
        <f t="shared" ca="1" si="33"/>
        <v>0</v>
      </c>
      <c r="Z23" s="269">
        <v>0</v>
      </c>
      <c r="AA23" s="269">
        <v>0</v>
      </c>
      <c r="AB23" s="270">
        <v>0</v>
      </c>
    </row>
    <row r="24" spans="1:28" ht="24" customHeight="1" x14ac:dyDescent="0.3">
      <c r="A24" s="89">
        <v>11</v>
      </c>
      <c r="B24" s="90" t="s">
        <v>50</v>
      </c>
      <c r="C24" s="174">
        <f t="shared" ca="1" si="21"/>
        <v>19590</v>
      </c>
      <c r="D24" s="175">
        <f t="shared" ca="1" si="34"/>
        <v>19590</v>
      </c>
      <c r="E24" s="176">
        <f ca="1">IFERROR(__xludf.DUMMYFUNCTION("IMPORTRANGE(""https://docs.google.com/spreadsheets/d/1-uDff_7J0KD5mKrp0Vvzr7lt3OU09vwQwhkpOPPYv2Y/edit?usp=sharing"",""งบพรบ!CL24"")"),0)</f>
        <v>0</v>
      </c>
      <c r="F24" s="176">
        <f ca="1">IFERROR(__xludf.DUMMYFUNCTION("IMPORTRANGE(""https://docs.google.com/spreadsheets/d/1-uDff_7J0KD5mKrp0Vvzr7lt3OU09vwQwhkpOPPYv2Y/edit?usp=sharing"",""งบพรบ!CM24"")"),19590)</f>
        <v>19590</v>
      </c>
      <c r="G24" s="176">
        <f ca="1">IFERROR(__xludf.DUMMYFUNCTION("IMPORTRANGE(""https://docs.google.com/spreadsheets/d/1-uDff_7J0KD5mKrp0Vvzr7lt3OU09vwQwhkpOPPYv2Y/edit?usp=sharing"",""งบพรบ!CN24"")"),0)</f>
        <v>0</v>
      </c>
      <c r="H24" s="176">
        <f ca="1">IFERROR(__xludf.DUMMYFUNCTION("IMPORTRANGE(""https://docs.google.com/spreadsheets/d/1-uDff_7J0KD5mKrp0Vvzr7lt3OU09vwQwhkpOPPYv2Y/edit?usp=sharing"",""งบพรบ!CP24"")"),112290)</f>
        <v>112290</v>
      </c>
      <c r="I24" s="176">
        <f ca="1">IFERROR(__xludf.DUMMYFUNCTION("IMPORTRANGE(""https://docs.google.com/spreadsheets/d/1-uDff_7J0KD5mKrp0Vvzr7lt3OU09vwQwhkpOPPYv2Y/edit?usp=sharing"",""งบพรบ!CQ24"")"),0)</f>
        <v>0</v>
      </c>
      <c r="J24" s="176">
        <f t="shared" ca="1" si="23"/>
        <v>92280</v>
      </c>
      <c r="K24" s="179">
        <f t="shared" ca="1" si="24"/>
        <v>471.05666156202142</v>
      </c>
      <c r="L24" s="176">
        <f ca="1">IFERROR(__xludf.DUMMYFUNCTION("IMPORTRANGE(""https://docs.google.com/spreadsheets/d/1-uDff_7J0KD5mKrp0Vvzr7lt3OU09vwQwhkpOPPYv2Y/edit?usp=sharing"",""งบพรบ!CR24"")"),92280)</f>
        <v>92280</v>
      </c>
      <c r="M24" s="87">
        <f t="shared" ca="1" si="25"/>
        <v>471.05666156202142</v>
      </c>
      <c r="N24" s="87">
        <f t="shared" ca="1" si="26"/>
        <v>82.180069462997594</v>
      </c>
      <c r="O24" s="86">
        <f ca="1">IFERROR(__xludf.DUMMYFUNCTION("IMPORTRANGE(""https://docs.google.com/spreadsheets/d/1-uDff_7J0KD5mKrp0Vvzr7lt3OU09vwQwhkpOPPYv2Y/edit?usp=sharing"",""งบพรบ!CS24"")"),0)</f>
        <v>0</v>
      </c>
      <c r="P24" s="86">
        <f t="shared" ca="1" si="27"/>
        <v>0</v>
      </c>
      <c r="Q24" s="87">
        <f t="shared" ca="1" si="28"/>
        <v>0</v>
      </c>
      <c r="R24" s="241">
        <f ca="1">IFERROR(__xludf.DUMMYFUNCTION("IMPORTRANGE(""https://docs.google.com/spreadsheets/d/1lOVebEIsI9qjGXl6EX66luk7wiuP2tBaryw-wKvv4e0/edit?usp=sharing"",""แพร่!Q173"")"),0)</f>
        <v>0</v>
      </c>
      <c r="S24" s="242">
        <f ca="1">IFERROR(__xludf.DUMMYFUNCTION("IMPORTRANGE(""https://docs.google.com/spreadsheets/d/1lOVebEIsI9qjGXl6EX66luk7wiuP2tBaryw-wKvv4e0/edit?usp=sharing"",""แพร่!R173"")"),0)</f>
        <v>0</v>
      </c>
      <c r="T24" s="242">
        <f ca="1">IFERROR(__xludf.DUMMYFUNCTION("IMPORTRANGE(""https://docs.google.com/spreadsheets/d/1lOVebEIsI9qjGXl6EX66luk7wiuP2tBaryw-wKvv4e0/edit?usp=sharing"",""แพร่!S173"")"),0)</f>
        <v>0</v>
      </c>
      <c r="U24" s="243">
        <f t="shared" ca="1" si="30"/>
        <v>0</v>
      </c>
      <c r="V24" s="243">
        <f t="shared" ca="1" si="31"/>
        <v>0</v>
      </c>
      <c r="W24" s="97">
        <f ca="1">IFERROR(__xludf.DUMMYFUNCTION("IMPORTRANGE(""https://docs.google.com/spreadsheets/d/1lOVebEIsI9qjGXl6EX66luk7wiuP2tBaryw-wKvv4e0/edit?usp=sharing"",""แพร่!I183"")"),7)</f>
        <v>7</v>
      </c>
      <c r="X24" s="97">
        <f ca="1">IFERROR(__xludf.DUMMYFUNCTION("IMPORTRANGE(""https://docs.google.com/spreadsheets/d/1lOVebEIsI9qjGXl6EX66luk7wiuP2tBaryw-wKvv4e0/edit?usp=sharing"",""แพร่!J183"")"),0)</f>
        <v>0</v>
      </c>
      <c r="Y24" s="98">
        <f t="shared" ca="1" si="33"/>
        <v>0</v>
      </c>
      <c r="Z24" s="269">
        <v>0</v>
      </c>
      <c r="AA24" s="269">
        <v>0</v>
      </c>
      <c r="AB24" s="270">
        <v>0</v>
      </c>
    </row>
    <row r="25" spans="1:28" ht="24" customHeight="1" x14ac:dyDescent="0.3">
      <c r="A25" s="89">
        <v>12</v>
      </c>
      <c r="B25" s="90" t="s">
        <v>51</v>
      </c>
      <c r="C25" s="174">
        <f t="shared" ca="1" si="21"/>
        <v>19590</v>
      </c>
      <c r="D25" s="175">
        <f t="shared" ca="1" si="34"/>
        <v>19590</v>
      </c>
      <c r="E25" s="176">
        <f ca="1">IFERROR(__xludf.DUMMYFUNCTION("IMPORTRANGE(""https://docs.google.com/spreadsheets/d/1-uDff_7J0KD5mKrp0Vvzr7lt3OU09vwQwhkpOPPYv2Y/edit?usp=sharing"",""งบพรบ!CL25"")"),0)</f>
        <v>0</v>
      </c>
      <c r="F25" s="176">
        <f ca="1">IFERROR(__xludf.DUMMYFUNCTION("IMPORTRANGE(""https://docs.google.com/spreadsheets/d/1-uDff_7J0KD5mKrp0Vvzr7lt3OU09vwQwhkpOPPYv2Y/edit?usp=sharing"",""งบพรบ!CM25"")"),19590)</f>
        <v>19590</v>
      </c>
      <c r="G25" s="176">
        <f ca="1">IFERROR(__xludf.DUMMYFUNCTION("IMPORTRANGE(""https://docs.google.com/spreadsheets/d/1-uDff_7J0KD5mKrp0Vvzr7lt3OU09vwQwhkpOPPYv2Y/edit?usp=sharing"",""งบพรบ!CN25"")"),0)</f>
        <v>0</v>
      </c>
      <c r="H25" s="176">
        <f ca="1">IFERROR(__xludf.DUMMYFUNCTION("IMPORTRANGE(""https://docs.google.com/spreadsheets/d/1-uDff_7J0KD5mKrp0Vvzr7lt3OU09vwQwhkpOPPYv2Y/edit?usp=sharing"",""งบพรบ!CP25"")"),19590)</f>
        <v>19590</v>
      </c>
      <c r="I25" s="176">
        <f ca="1">IFERROR(__xludf.DUMMYFUNCTION("IMPORTRANGE(""https://docs.google.com/spreadsheets/d/1-uDff_7J0KD5mKrp0Vvzr7lt3OU09vwQwhkpOPPYv2Y/edit?usp=sharing"",""งบพรบ!CQ25"")"),0)</f>
        <v>0</v>
      </c>
      <c r="J25" s="176">
        <f t="shared" ca="1" si="23"/>
        <v>17810</v>
      </c>
      <c r="K25" s="179">
        <f t="shared" ca="1" si="24"/>
        <v>90.913731495661054</v>
      </c>
      <c r="L25" s="176">
        <f ca="1">IFERROR(__xludf.DUMMYFUNCTION("IMPORTRANGE(""https://docs.google.com/spreadsheets/d/1-uDff_7J0KD5mKrp0Vvzr7lt3OU09vwQwhkpOPPYv2Y/edit?usp=sharing"",""งบพรบ!CR25"")"),17810)</f>
        <v>17810</v>
      </c>
      <c r="M25" s="87">
        <f t="shared" ca="1" si="25"/>
        <v>90.913731495661054</v>
      </c>
      <c r="N25" s="87">
        <f t="shared" ca="1" si="26"/>
        <v>90.913731495661054</v>
      </c>
      <c r="O25" s="86">
        <f ca="1">IFERROR(__xludf.DUMMYFUNCTION("IMPORTRANGE(""https://docs.google.com/spreadsheets/d/1-uDff_7J0KD5mKrp0Vvzr7lt3OU09vwQwhkpOPPYv2Y/edit?usp=sharing"",""งบพรบ!CS25"")"),0)</f>
        <v>0</v>
      </c>
      <c r="P25" s="86">
        <f t="shared" ca="1" si="27"/>
        <v>0</v>
      </c>
      <c r="Q25" s="87">
        <f t="shared" ca="1" si="28"/>
        <v>0</v>
      </c>
      <c r="R25" s="241">
        <f ca="1">IFERROR(__xludf.DUMMYFUNCTION("IMPORTRANGE(""https://docs.google.com/spreadsheets/d/1dQrvX0vEcN7Gu0fnZ0B5S90AeR19zth4XlExFBeExMY/edit?usp=sharing"",""แม่ฮ่องสอน!Q173"")"),0)</f>
        <v>0</v>
      </c>
      <c r="S25" s="242">
        <f ca="1">IFERROR(__xludf.DUMMYFUNCTION("IMPORTRANGE(""https://docs.google.com/spreadsheets/d/1dQrvX0vEcN7Gu0fnZ0B5S90AeR19zth4XlExFBeExMY/edit?usp=sharing"",""แม่ฮ่องสอน!R173"")"),0)</f>
        <v>0</v>
      </c>
      <c r="T25" s="242">
        <f ca="1">IFERROR(__xludf.DUMMYFUNCTION("IMPORTRANGE(""https://docs.google.com/spreadsheets/d/1dQrvX0vEcN7Gu0fnZ0B5S90AeR19zth4XlExFBeExMY/edit?usp=sharing"",""แม่ฮ่องสอน!S173"")"),0)</f>
        <v>0</v>
      </c>
      <c r="U25" s="243">
        <f t="shared" ca="1" si="30"/>
        <v>0</v>
      </c>
      <c r="V25" s="243">
        <f t="shared" ca="1" si="31"/>
        <v>0</v>
      </c>
      <c r="W25" s="97">
        <f ca="1">IFERROR(__xludf.DUMMYFUNCTION("IMPORTRANGE(""https://docs.google.com/spreadsheets/d/1dQrvX0vEcN7Gu0fnZ0B5S90AeR19zth4XlExFBeExMY/edit?usp=sharing"",""แม่ฮ่องสอน!I183"")"),7)</f>
        <v>7</v>
      </c>
      <c r="X25" s="97">
        <f ca="1">IFERROR(__xludf.DUMMYFUNCTION("IMPORTRANGE(""https://docs.google.com/spreadsheets/d/1dQrvX0vEcN7Gu0fnZ0B5S90AeR19zth4XlExFBeExMY/edit?usp=sharing"",""แม่ฮ่องสอน!J183"")"),7)</f>
        <v>7</v>
      </c>
      <c r="Y25" s="98">
        <f t="shared" ca="1" si="33"/>
        <v>100</v>
      </c>
      <c r="Z25" s="269">
        <v>0</v>
      </c>
      <c r="AA25" s="269">
        <v>0</v>
      </c>
      <c r="AB25" s="270">
        <v>0</v>
      </c>
    </row>
    <row r="26" spans="1:28" ht="24" customHeight="1" x14ac:dyDescent="0.3">
      <c r="A26" s="89">
        <v>13</v>
      </c>
      <c r="B26" s="90" t="s">
        <v>52</v>
      </c>
      <c r="C26" s="174">
        <f t="shared" ca="1" si="21"/>
        <v>19590</v>
      </c>
      <c r="D26" s="175">
        <f t="shared" ca="1" si="34"/>
        <v>19590</v>
      </c>
      <c r="E26" s="176">
        <f ca="1">IFERROR(__xludf.DUMMYFUNCTION("IMPORTRANGE(""https://docs.google.com/spreadsheets/d/1-uDff_7J0KD5mKrp0Vvzr7lt3OU09vwQwhkpOPPYv2Y/edit?usp=sharing"",""งบพรบ!CL26"")"),0)</f>
        <v>0</v>
      </c>
      <c r="F26" s="176">
        <f ca="1">IFERROR(__xludf.DUMMYFUNCTION("IMPORTRANGE(""https://docs.google.com/spreadsheets/d/1-uDff_7J0KD5mKrp0Vvzr7lt3OU09vwQwhkpOPPYv2Y/edit?usp=sharing"",""งบพรบ!CM26"")"),19590)</f>
        <v>19590</v>
      </c>
      <c r="G26" s="176">
        <f ca="1">IFERROR(__xludf.DUMMYFUNCTION("IMPORTRANGE(""https://docs.google.com/spreadsheets/d/1-uDff_7J0KD5mKrp0Vvzr7lt3OU09vwQwhkpOPPYv2Y/edit?usp=sharing"",""งบพรบ!CN26"")"),0)</f>
        <v>0</v>
      </c>
      <c r="H26" s="176">
        <f ca="1">IFERROR(__xludf.DUMMYFUNCTION("IMPORTRANGE(""https://docs.google.com/spreadsheets/d/1-uDff_7J0KD5mKrp0Vvzr7lt3OU09vwQwhkpOPPYv2Y/edit?usp=sharing"",""งบพรบ!CP26"")"),126810)</f>
        <v>126810</v>
      </c>
      <c r="I26" s="176">
        <f ca="1">IFERROR(__xludf.DUMMYFUNCTION("IMPORTRANGE(""https://docs.google.com/spreadsheets/d/1-uDff_7J0KD5mKrp0Vvzr7lt3OU09vwQwhkpOPPYv2Y/edit?usp=sharing"",""งบพรบ!CQ26"")"),0)</f>
        <v>0</v>
      </c>
      <c r="J26" s="176">
        <f t="shared" ca="1" si="23"/>
        <v>95530</v>
      </c>
      <c r="K26" s="179">
        <f t="shared" ca="1" si="24"/>
        <v>487.64675855028077</v>
      </c>
      <c r="L26" s="176">
        <f ca="1">IFERROR(__xludf.DUMMYFUNCTION("IMPORTRANGE(""https://docs.google.com/spreadsheets/d/1-uDff_7J0KD5mKrp0Vvzr7lt3OU09vwQwhkpOPPYv2Y/edit?usp=sharing"",""งบพรบ!CR26"")"),95530)</f>
        <v>95530</v>
      </c>
      <c r="M26" s="87">
        <f t="shared" ca="1" si="25"/>
        <v>487.64675855028077</v>
      </c>
      <c r="N26" s="87">
        <f t="shared" ca="1" si="26"/>
        <v>75.333175617064896</v>
      </c>
      <c r="O26" s="86">
        <f ca="1">IFERROR(__xludf.DUMMYFUNCTION("IMPORTRANGE(""https://docs.google.com/spreadsheets/d/1-uDff_7J0KD5mKrp0Vvzr7lt3OU09vwQwhkpOPPYv2Y/edit?usp=sharing"",""งบพรบ!CS26"")"),0)</f>
        <v>0</v>
      </c>
      <c r="P26" s="86">
        <f t="shared" ca="1" si="27"/>
        <v>0</v>
      </c>
      <c r="Q26" s="87">
        <f t="shared" ca="1" si="28"/>
        <v>0</v>
      </c>
      <c r="R26" s="241">
        <f ca="1">IFERROR(__xludf.DUMMYFUNCTION("IMPORTRANGE(""https://docs.google.com/spreadsheets/d/1DY4XTNNwjluuxqdfdn6qvOSlMRrZqUtmYcZR0ttFiG4/edit?usp=sharing"",""ลำปาง!Q173"")"),0)</f>
        <v>0</v>
      </c>
      <c r="S26" s="242">
        <f ca="1">IFERROR(__xludf.DUMMYFUNCTION("IMPORTRANGE(""https://docs.google.com/spreadsheets/d/1DY4XTNNwjluuxqdfdn6qvOSlMRrZqUtmYcZR0ttFiG4/edit?usp=sharing"",""ลำปาง!R173"")"),0)</f>
        <v>0</v>
      </c>
      <c r="T26" s="242">
        <f ca="1">IFERROR(__xludf.DUMMYFUNCTION("IMPORTRANGE(""https://docs.google.com/spreadsheets/d/1DY4XTNNwjluuxqdfdn6qvOSlMRrZqUtmYcZR0ttFiG4/edit?usp=sharing"",""ลำปาง!S173"")"),0)</f>
        <v>0</v>
      </c>
      <c r="U26" s="243">
        <f t="shared" ca="1" si="30"/>
        <v>0</v>
      </c>
      <c r="V26" s="243">
        <f t="shared" ca="1" si="31"/>
        <v>0</v>
      </c>
      <c r="W26" s="97">
        <f ca="1">IFERROR(__xludf.DUMMYFUNCTION("IMPORTRANGE(""https://docs.google.com/spreadsheets/d/1DY4XTNNwjluuxqdfdn6qvOSlMRrZqUtmYcZR0ttFiG4/edit?usp=sharing"",""ลำปาง!I183"")"),7)</f>
        <v>7</v>
      </c>
      <c r="X26" s="97">
        <f ca="1">IFERROR(__xludf.DUMMYFUNCTION("IMPORTRANGE(""https://docs.google.com/spreadsheets/d/1DY4XTNNwjluuxqdfdn6qvOSlMRrZqUtmYcZR0ttFiG4/edit?usp=sharing"",""ลำปาง!J183"")"),0)</f>
        <v>0</v>
      </c>
      <c r="Y26" s="98">
        <f t="shared" ca="1" si="33"/>
        <v>0</v>
      </c>
      <c r="Z26" s="269">
        <v>0</v>
      </c>
      <c r="AA26" s="269">
        <v>0</v>
      </c>
      <c r="AB26" s="270">
        <v>0</v>
      </c>
    </row>
    <row r="27" spans="1:28" ht="24" customHeight="1" x14ac:dyDescent="0.3">
      <c r="A27" s="89">
        <v>14</v>
      </c>
      <c r="B27" s="90" t="s">
        <v>53</v>
      </c>
      <c r="C27" s="174">
        <f t="shared" ca="1" si="21"/>
        <v>19590</v>
      </c>
      <c r="D27" s="175">
        <f t="shared" ca="1" si="34"/>
        <v>19590</v>
      </c>
      <c r="E27" s="176">
        <f ca="1">IFERROR(__xludf.DUMMYFUNCTION("IMPORTRANGE(""https://docs.google.com/spreadsheets/d/1-uDff_7J0KD5mKrp0Vvzr7lt3OU09vwQwhkpOPPYv2Y/edit?usp=sharing"",""งบพรบ!CL27"")"),0)</f>
        <v>0</v>
      </c>
      <c r="F27" s="176">
        <f ca="1">IFERROR(__xludf.DUMMYFUNCTION("IMPORTRANGE(""https://docs.google.com/spreadsheets/d/1-uDff_7J0KD5mKrp0Vvzr7lt3OU09vwQwhkpOPPYv2Y/edit?usp=sharing"",""งบพรบ!CM27"")"),19590)</f>
        <v>19590</v>
      </c>
      <c r="G27" s="176">
        <f ca="1">IFERROR(__xludf.DUMMYFUNCTION("IMPORTRANGE(""https://docs.google.com/spreadsheets/d/1-uDff_7J0KD5mKrp0Vvzr7lt3OU09vwQwhkpOPPYv2Y/edit?usp=sharing"",""งบพรบ!CN27"")"),0)</f>
        <v>0</v>
      </c>
      <c r="H27" s="176">
        <f ca="1">IFERROR(__xludf.DUMMYFUNCTION("IMPORTRANGE(""https://docs.google.com/spreadsheets/d/1-uDff_7J0KD5mKrp0Vvzr7lt3OU09vwQwhkpOPPYv2Y/edit?usp=sharing"",""งบพรบ!CP27"")"),114550)</f>
        <v>114550</v>
      </c>
      <c r="I27" s="176">
        <f ca="1">IFERROR(__xludf.DUMMYFUNCTION("IMPORTRANGE(""https://docs.google.com/spreadsheets/d/1-uDff_7J0KD5mKrp0Vvzr7lt3OU09vwQwhkpOPPYv2Y/edit?usp=sharing"",""งบพรบ!CQ27"")"),0)</f>
        <v>0</v>
      </c>
      <c r="J27" s="176">
        <f t="shared" ca="1" si="23"/>
        <v>94960</v>
      </c>
      <c r="K27" s="179">
        <f t="shared" ca="1" si="24"/>
        <v>484.73711077080145</v>
      </c>
      <c r="L27" s="176">
        <f ca="1">IFERROR(__xludf.DUMMYFUNCTION("IMPORTRANGE(""https://docs.google.com/spreadsheets/d/1-uDff_7J0KD5mKrp0Vvzr7lt3OU09vwQwhkpOPPYv2Y/edit?usp=sharing"",""งบพรบ!CR27"")"),94960)</f>
        <v>94960</v>
      </c>
      <c r="M27" s="87">
        <f t="shared" ca="1" si="25"/>
        <v>484.73711077080145</v>
      </c>
      <c r="N27" s="87">
        <f t="shared" ca="1" si="26"/>
        <v>82.898297686599733</v>
      </c>
      <c r="O27" s="86">
        <f ca="1">IFERROR(__xludf.DUMMYFUNCTION("IMPORTRANGE(""https://docs.google.com/spreadsheets/d/1-uDff_7J0KD5mKrp0Vvzr7lt3OU09vwQwhkpOPPYv2Y/edit?usp=sharing"",""งบพรบ!CS27"")"),0)</f>
        <v>0</v>
      </c>
      <c r="P27" s="86">
        <f t="shared" ca="1" si="27"/>
        <v>0</v>
      </c>
      <c r="Q27" s="87">
        <f t="shared" ca="1" si="28"/>
        <v>0</v>
      </c>
      <c r="R27" s="241">
        <f ca="1">IFERROR(__xludf.DUMMYFUNCTION("IMPORTRANGE(""https://docs.google.com/spreadsheets/d/1ICwG78r0OFT8biBlxnBF8r7she7gNSzOvJ958PWT09c/edit?usp=sharing"",""ลำพูน!Q173"")"),0)</f>
        <v>0</v>
      </c>
      <c r="S27" s="242">
        <f ca="1">IFERROR(__xludf.DUMMYFUNCTION("IMPORTRANGE(""https://docs.google.com/spreadsheets/d/1ICwG78r0OFT8biBlxnBF8r7she7gNSzOvJ958PWT09c/edit?usp=sharing"",""ลำพูน!R173"")"),0)</f>
        <v>0</v>
      </c>
      <c r="T27" s="242">
        <f ca="1">IFERROR(__xludf.DUMMYFUNCTION("IMPORTRANGE(""https://docs.google.com/spreadsheets/d/1ICwG78r0OFT8biBlxnBF8r7she7gNSzOvJ958PWT09c/edit?usp=sharing"",""ลำพูน!S173"")"),0)</f>
        <v>0</v>
      </c>
      <c r="U27" s="243">
        <f t="shared" ca="1" si="30"/>
        <v>0</v>
      </c>
      <c r="V27" s="243">
        <f t="shared" ca="1" si="31"/>
        <v>0</v>
      </c>
      <c r="W27" s="97">
        <f ca="1">IFERROR(__xludf.DUMMYFUNCTION("IMPORTRANGE(""https://docs.google.com/spreadsheets/d/1ICwG78r0OFT8biBlxnBF8r7she7gNSzOvJ958PWT09c/edit?usp=sharing"",""ลำพูน!I183"")"),7)</f>
        <v>7</v>
      </c>
      <c r="X27" s="97">
        <f ca="1">IFERROR(__xludf.DUMMYFUNCTION("IMPORTRANGE(""https://docs.google.com/spreadsheets/d/1ICwG78r0OFT8biBlxnBF8r7she7gNSzOvJ958PWT09c/edit?usp=sharing"",""ลำพูน!J183"")"),0)</f>
        <v>0</v>
      </c>
      <c r="Y27" s="98">
        <f t="shared" ca="1" si="33"/>
        <v>0</v>
      </c>
      <c r="Z27" s="269">
        <v>0</v>
      </c>
      <c r="AA27" s="269">
        <v>0</v>
      </c>
      <c r="AB27" s="270">
        <v>0</v>
      </c>
    </row>
    <row r="28" spans="1:28" ht="24" customHeight="1" x14ac:dyDescent="0.3">
      <c r="A28" s="89">
        <v>15</v>
      </c>
      <c r="B28" s="90" t="s">
        <v>54</v>
      </c>
      <c r="C28" s="174">
        <f t="shared" ca="1" si="21"/>
        <v>19590</v>
      </c>
      <c r="D28" s="175">
        <f t="shared" ca="1" si="34"/>
        <v>19590</v>
      </c>
      <c r="E28" s="176">
        <f ca="1">IFERROR(__xludf.DUMMYFUNCTION("IMPORTRANGE(""https://docs.google.com/spreadsheets/d/1-uDff_7J0KD5mKrp0Vvzr7lt3OU09vwQwhkpOPPYv2Y/edit?usp=sharing"",""งบพรบ!CL28"")"),0)</f>
        <v>0</v>
      </c>
      <c r="F28" s="176">
        <f ca="1">IFERROR(__xludf.DUMMYFUNCTION("IMPORTRANGE(""https://docs.google.com/spreadsheets/d/1-uDff_7J0KD5mKrp0Vvzr7lt3OU09vwQwhkpOPPYv2Y/edit?usp=sharing"",""งบพรบ!CM28"")"),19590)</f>
        <v>19590</v>
      </c>
      <c r="G28" s="176">
        <f ca="1">IFERROR(__xludf.DUMMYFUNCTION("IMPORTRANGE(""https://docs.google.com/spreadsheets/d/1-uDff_7J0KD5mKrp0Vvzr7lt3OU09vwQwhkpOPPYv2Y/edit?usp=sharing"",""งบพรบ!CN28"")"),0)</f>
        <v>0</v>
      </c>
      <c r="H28" s="176">
        <f ca="1">IFERROR(__xludf.DUMMYFUNCTION("IMPORTRANGE(""https://docs.google.com/spreadsheets/d/1-uDff_7J0KD5mKrp0Vvzr7lt3OU09vwQwhkpOPPYv2Y/edit?usp=sharing"",""งบพรบ!CP28"")"),221430)</f>
        <v>221430</v>
      </c>
      <c r="I28" s="176">
        <f ca="1">IFERROR(__xludf.DUMMYFUNCTION("IMPORTRANGE(""https://docs.google.com/spreadsheets/d/1-uDff_7J0KD5mKrp0Vvzr7lt3OU09vwQwhkpOPPYv2Y/edit?usp=sharing"",""งบพรบ!CQ28"")"),0)</f>
        <v>0</v>
      </c>
      <c r="J28" s="176">
        <f t="shared" ca="1" si="23"/>
        <v>201840</v>
      </c>
      <c r="K28" s="179">
        <f t="shared" ca="1" si="24"/>
        <v>1030.3215926493108</v>
      </c>
      <c r="L28" s="176">
        <f ca="1">IFERROR(__xludf.DUMMYFUNCTION("IMPORTRANGE(""https://docs.google.com/spreadsheets/d/1-uDff_7J0KD5mKrp0Vvzr7lt3OU09vwQwhkpOPPYv2Y/edit?usp=sharing"",""งบพรบ!CR28"")"),201840)</f>
        <v>201840</v>
      </c>
      <c r="M28" s="87">
        <f t="shared" ca="1" si="25"/>
        <v>1030.3215926493108</v>
      </c>
      <c r="N28" s="87">
        <f t="shared" ca="1" si="26"/>
        <v>91.152960303481919</v>
      </c>
      <c r="O28" s="86">
        <f ca="1">IFERROR(__xludf.DUMMYFUNCTION("IMPORTRANGE(""https://docs.google.com/spreadsheets/d/1-uDff_7J0KD5mKrp0Vvzr7lt3OU09vwQwhkpOPPYv2Y/edit?usp=sharing"",""งบพรบ!CS28"")"),0)</f>
        <v>0</v>
      </c>
      <c r="P28" s="86">
        <f t="shared" ca="1" si="27"/>
        <v>0</v>
      </c>
      <c r="Q28" s="87">
        <f t="shared" ca="1" si="28"/>
        <v>0</v>
      </c>
      <c r="R28" s="241">
        <f ca="1">IFERROR(__xludf.DUMMYFUNCTION("IMPORTRANGE(""https://docs.google.com/spreadsheets/d/1B0f2xJpZUC6Z0xXnqKlZtEPzsf6L84eP1r1Q15seqRM/edit?usp=sharing"",""สุโขทัย!Q173"")"),0)</f>
        <v>0</v>
      </c>
      <c r="S28" s="242">
        <f ca="1">IFERROR(__xludf.DUMMYFUNCTION("IMPORTRANGE(""https://docs.google.com/spreadsheets/d/1B0f2xJpZUC6Z0xXnqKlZtEPzsf6L84eP1r1Q15seqRM/edit?usp=sharing"",""สุโขทัย!R173"")"),0)</f>
        <v>0</v>
      </c>
      <c r="T28" s="242">
        <f ca="1">IFERROR(__xludf.DUMMYFUNCTION("IMPORTRANGE(""https://docs.google.com/spreadsheets/d/1B0f2xJpZUC6Z0xXnqKlZtEPzsf6L84eP1r1Q15seqRM/edit?usp=sharing"",""สุโขทัย!S173"")"),0)</f>
        <v>0</v>
      </c>
      <c r="U28" s="243">
        <f t="shared" ca="1" si="30"/>
        <v>0</v>
      </c>
      <c r="V28" s="243">
        <f t="shared" ca="1" si="31"/>
        <v>0</v>
      </c>
      <c r="W28" s="97">
        <f ca="1">IFERROR(__xludf.DUMMYFUNCTION("IMPORTRANGE(""https://docs.google.com/spreadsheets/d/1B0f2xJpZUC6Z0xXnqKlZtEPzsf6L84eP1r1Q15seqRM/edit?usp=sharing"",""สุโขทัย!I183"")"),7)</f>
        <v>7</v>
      </c>
      <c r="X28" s="97">
        <f ca="1">IFERROR(__xludf.DUMMYFUNCTION("IMPORTRANGE(""https://docs.google.com/spreadsheets/d/1B0f2xJpZUC6Z0xXnqKlZtEPzsf6L84eP1r1Q15seqRM/edit?usp=sharing"",""สุโขทัย!J183"")"),0)</f>
        <v>0</v>
      </c>
      <c r="Y28" s="98">
        <f t="shared" ca="1" si="33"/>
        <v>0</v>
      </c>
      <c r="Z28" s="269">
        <v>0</v>
      </c>
      <c r="AA28" s="269">
        <v>0</v>
      </c>
      <c r="AB28" s="270">
        <v>0</v>
      </c>
    </row>
    <row r="29" spans="1:28" ht="24" customHeight="1" x14ac:dyDescent="0.3">
      <c r="A29" s="89">
        <v>16</v>
      </c>
      <c r="B29" s="90" t="s">
        <v>55</v>
      </c>
      <c r="C29" s="174">
        <f t="shared" ca="1" si="21"/>
        <v>19590</v>
      </c>
      <c r="D29" s="175">
        <f t="shared" ca="1" si="34"/>
        <v>19590</v>
      </c>
      <c r="E29" s="176">
        <f ca="1">IFERROR(__xludf.DUMMYFUNCTION("IMPORTRANGE(""https://docs.google.com/spreadsheets/d/1-uDff_7J0KD5mKrp0Vvzr7lt3OU09vwQwhkpOPPYv2Y/edit?usp=sharing"",""งบพรบ!CL29"")"),0)</f>
        <v>0</v>
      </c>
      <c r="F29" s="176">
        <f ca="1">IFERROR(__xludf.DUMMYFUNCTION("IMPORTRANGE(""https://docs.google.com/spreadsheets/d/1-uDff_7J0KD5mKrp0Vvzr7lt3OU09vwQwhkpOPPYv2Y/edit?usp=sharing"",""งบพรบ!CM29"")"),19590)</f>
        <v>19590</v>
      </c>
      <c r="G29" s="176">
        <f ca="1">IFERROR(__xludf.DUMMYFUNCTION("IMPORTRANGE(""https://docs.google.com/spreadsheets/d/1-uDff_7J0KD5mKrp0Vvzr7lt3OU09vwQwhkpOPPYv2Y/edit?usp=sharing"",""งบพรบ!CN29"")"),0)</f>
        <v>0</v>
      </c>
      <c r="H29" s="176">
        <f ca="1">IFERROR(__xludf.DUMMYFUNCTION("IMPORTRANGE(""https://docs.google.com/spreadsheets/d/1-uDff_7J0KD5mKrp0Vvzr7lt3OU09vwQwhkpOPPYv2Y/edit?usp=sharing"",""งบพรบ!CP29"")"),70460)</f>
        <v>70460</v>
      </c>
      <c r="I29" s="176">
        <f ca="1">IFERROR(__xludf.DUMMYFUNCTION("IMPORTRANGE(""https://docs.google.com/spreadsheets/d/1-uDff_7J0KD5mKrp0Vvzr7lt3OU09vwQwhkpOPPYv2Y/edit?usp=sharing"",""งบพรบ!CQ29"")"),0)</f>
        <v>0</v>
      </c>
      <c r="J29" s="176">
        <f t="shared" ca="1" si="23"/>
        <v>70246.05</v>
      </c>
      <c r="K29" s="179">
        <f t="shared" ca="1" si="24"/>
        <v>358.58116385911177</v>
      </c>
      <c r="L29" s="176">
        <f ca="1">IFERROR(__xludf.DUMMYFUNCTION("IMPORTRANGE(""https://docs.google.com/spreadsheets/d/1-uDff_7J0KD5mKrp0Vvzr7lt3OU09vwQwhkpOPPYv2Y/edit?usp=sharing"",""งบพรบ!CR29"")"),70246.05)</f>
        <v>70246.05</v>
      </c>
      <c r="M29" s="87">
        <f t="shared" ca="1" si="25"/>
        <v>358.58116385911177</v>
      </c>
      <c r="N29" s="87">
        <f t="shared" ca="1" si="26"/>
        <v>99.696352540448487</v>
      </c>
      <c r="O29" s="86">
        <f ca="1">IFERROR(__xludf.DUMMYFUNCTION("IMPORTRANGE(""https://docs.google.com/spreadsheets/d/1-uDff_7J0KD5mKrp0Vvzr7lt3OU09vwQwhkpOPPYv2Y/edit?usp=sharing"",""งบพรบ!CS29"")"),0)</f>
        <v>0</v>
      </c>
      <c r="P29" s="86">
        <f t="shared" ca="1" si="27"/>
        <v>0</v>
      </c>
      <c r="Q29" s="87">
        <f t="shared" ca="1" si="28"/>
        <v>0</v>
      </c>
      <c r="R29" s="241">
        <f ca="1">IFERROR(__xludf.DUMMYFUNCTION("IMPORTRANGE(""https://docs.google.com/spreadsheets/d/1v0b9pFQCsKUVExMei7AgY2yQkdeNQvtOssygGsXbiKo/edit?usp=sharing"",""อุตรดิตถ์!Q173"")"),0)</f>
        <v>0</v>
      </c>
      <c r="S29" s="242">
        <f ca="1">IFERROR(__xludf.DUMMYFUNCTION("IMPORTRANGE(""https://docs.google.com/spreadsheets/d/1v0b9pFQCsKUVExMei7AgY2yQkdeNQvtOssygGsXbiKo/edit?usp=sharing"",""อุตรดิตถ์!R173"")"),0)</f>
        <v>0</v>
      </c>
      <c r="T29" s="242">
        <f ca="1">IFERROR(__xludf.DUMMYFUNCTION("IMPORTRANGE(""https://docs.google.com/spreadsheets/d/1v0b9pFQCsKUVExMei7AgY2yQkdeNQvtOssygGsXbiKo/edit?usp=sharing"",""อุตรดิตถ์!S173"")"),0)</f>
        <v>0</v>
      </c>
      <c r="U29" s="243">
        <f t="shared" ca="1" si="30"/>
        <v>0</v>
      </c>
      <c r="V29" s="243">
        <f t="shared" ca="1" si="31"/>
        <v>0</v>
      </c>
      <c r="W29" s="97">
        <f ca="1">IFERROR(__xludf.DUMMYFUNCTION("IMPORTRANGE(""https://docs.google.com/spreadsheets/d/1v0b9pFQCsKUVExMei7AgY2yQkdeNQvtOssygGsXbiKo/edit?usp=sharing"",""อุตรดิตถ์!I183"")"),7)</f>
        <v>7</v>
      </c>
      <c r="X29" s="97">
        <f ca="1">IFERROR(__xludf.DUMMYFUNCTION("IMPORTRANGE(""https://docs.google.com/spreadsheets/d/1v0b9pFQCsKUVExMei7AgY2yQkdeNQvtOssygGsXbiKo/edit?usp=sharing"",""อุตรดิตถ์!J183"")"),0)</f>
        <v>0</v>
      </c>
      <c r="Y29" s="98">
        <f t="shared" ca="1" si="33"/>
        <v>0</v>
      </c>
      <c r="Z29" s="269">
        <v>0</v>
      </c>
      <c r="AA29" s="269">
        <v>0</v>
      </c>
      <c r="AB29" s="270">
        <v>0</v>
      </c>
    </row>
    <row r="30" spans="1:28" ht="24" customHeight="1" x14ac:dyDescent="0.3">
      <c r="A30" s="100">
        <v>17</v>
      </c>
      <c r="B30" s="101" t="s">
        <v>56</v>
      </c>
      <c r="C30" s="182">
        <f t="shared" ca="1" si="21"/>
        <v>19590</v>
      </c>
      <c r="D30" s="183">
        <f t="shared" ca="1" si="34"/>
        <v>19590</v>
      </c>
      <c r="E30" s="184">
        <f ca="1">IFERROR(__xludf.DUMMYFUNCTION("IMPORTRANGE(""https://docs.google.com/spreadsheets/d/1-uDff_7J0KD5mKrp0Vvzr7lt3OU09vwQwhkpOPPYv2Y/edit?usp=sharing"",""งบพรบ!CL30"")"),0)</f>
        <v>0</v>
      </c>
      <c r="F30" s="184">
        <f ca="1">IFERROR(__xludf.DUMMYFUNCTION("IMPORTRANGE(""https://docs.google.com/spreadsheets/d/1-uDff_7J0KD5mKrp0Vvzr7lt3OU09vwQwhkpOPPYv2Y/edit?usp=sharing"",""งบพรบ!CM30"")"),19590)</f>
        <v>19590</v>
      </c>
      <c r="G30" s="184">
        <f ca="1">IFERROR(__xludf.DUMMYFUNCTION("IMPORTRANGE(""https://docs.google.com/spreadsheets/d/1-uDff_7J0KD5mKrp0Vvzr7lt3OU09vwQwhkpOPPYv2Y/edit?usp=sharing"",""งบพรบ!CN30"")"),0)</f>
        <v>0</v>
      </c>
      <c r="H30" s="184">
        <f ca="1">IFERROR(__xludf.DUMMYFUNCTION("IMPORTRANGE(""https://docs.google.com/spreadsheets/d/1-uDff_7J0KD5mKrp0Vvzr7lt3OU09vwQwhkpOPPYv2Y/edit?usp=sharing"",""งบพรบ!CP30"")"),19590)</f>
        <v>19590</v>
      </c>
      <c r="I30" s="184">
        <f ca="1">IFERROR(__xludf.DUMMYFUNCTION("IMPORTRANGE(""https://docs.google.com/spreadsheets/d/1-uDff_7J0KD5mKrp0Vvzr7lt3OU09vwQwhkpOPPYv2Y/edit?usp=sharing"",""งบพรบ!CQ30"")"),0)</f>
        <v>0</v>
      </c>
      <c r="J30" s="184">
        <f t="shared" ca="1" si="23"/>
        <v>19285</v>
      </c>
      <c r="K30" s="185">
        <f t="shared" ca="1" si="24"/>
        <v>98.443083205717201</v>
      </c>
      <c r="L30" s="184">
        <f ca="1">IFERROR(__xludf.DUMMYFUNCTION("IMPORTRANGE(""https://docs.google.com/spreadsheets/d/1-uDff_7J0KD5mKrp0Vvzr7lt3OU09vwQwhkpOPPYv2Y/edit?usp=sharing"",""งบพรบ!CR30"")"),19285)</f>
        <v>19285</v>
      </c>
      <c r="M30" s="109">
        <f t="shared" ca="1" si="25"/>
        <v>98.443083205717201</v>
      </c>
      <c r="N30" s="109">
        <f t="shared" ca="1" si="26"/>
        <v>98.443083205717201</v>
      </c>
      <c r="O30" s="108">
        <f ca="1">IFERROR(__xludf.DUMMYFUNCTION("IMPORTRANGE(""https://docs.google.com/spreadsheets/d/1-uDff_7J0KD5mKrp0Vvzr7lt3OU09vwQwhkpOPPYv2Y/edit?usp=sharing"",""งบพรบ!CS30"")"),0)</f>
        <v>0</v>
      </c>
      <c r="P30" s="108">
        <f t="shared" ca="1" si="27"/>
        <v>0</v>
      </c>
      <c r="Q30" s="109">
        <f t="shared" ca="1" si="28"/>
        <v>0</v>
      </c>
      <c r="R30" s="244">
        <f ca="1">IFERROR(__xludf.DUMMYFUNCTION("IMPORTRANGE(""https://docs.google.com/spreadsheets/d/1UsNK1e-WWiCo2PvGqdNfdme4m17_Ezd3J69EeeiQPD0/edit?usp=sharing"",""อุทัยธานี!Q173"")"),0)</f>
        <v>0</v>
      </c>
      <c r="S30" s="245">
        <f ca="1">IFERROR(__xludf.DUMMYFUNCTION("IMPORTRANGE(""https://docs.google.com/spreadsheets/d/1UsNK1e-WWiCo2PvGqdNfdme4m17_Ezd3J69EeeiQPD0/edit?usp=sharing"",""อุทัยธานี!R173"")"),0)</f>
        <v>0</v>
      </c>
      <c r="T30" s="245">
        <f ca="1">IFERROR(__xludf.DUMMYFUNCTION("IMPORTRANGE(""https://docs.google.com/spreadsheets/d/1UsNK1e-WWiCo2PvGqdNfdme4m17_Ezd3J69EeeiQPD0/edit?usp=sharing"",""อุทัยธานี!S173"")"),0)</f>
        <v>0</v>
      </c>
      <c r="U30" s="246">
        <f t="shared" ca="1" si="30"/>
        <v>0</v>
      </c>
      <c r="V30" s="246">
        <f t="shared" ca="1" si="31"/>
        <v>0</v>
      </c>
      <c r="W30" s="110">
        <f ca="1">IFERROR(__xludf.DUMMYFUNCTION("IMPORTRANGE(""https://docs.google.com/spreadsheets/d/1UsNK1e-WWiCo2PvGqdNfdme4m17_Ezd3J69EeeiQPD0/edit?usp=sharing"",""อุทัยธานี!I183"")"),7)</f>
        <v>7</v>
      </c>
      <c r="X30" s="110">
        <f ca="1">IFERROR(__xludf.DUMMYFUNCTION("IMPORTRANGE(""https://docs.google.com/spreadsheets/d/1UsNK1e-WWiCo2PvGqdNfdme4m17_Ezd3J69EeeiQPD0/edit?usp=sharing"",""อุทัยธานี!J183"")"),7)</f>
        <v>7</v>
      </c>
      <c r="Y30" s="111">
        <f t="shared" ca="1" si="33"/>
        <v>100</v>
      </c>
      <c r="Z30" s="271">
        <v>0</v>
      </c>
      <c r="AA30" s="271">
        <v>0</v>
      </c>
      <c r="AB30" s="272">
        <v>0</v>
      </c>
    </row>
    <row r="31" spans="1:28" ht="21" customHeight="1" x14ac:dyDescent="0.3">
      <c r="A31" s="625" t="s">
        <v>57</v>
      </c>
      <c r="B31" s="626"/>
      <c r="C31" s="161">
        <f t="shared" ca="1" si="21"/>
        <v>393170</v>
      </c>
      <c r="D31" s="161">
        <f t="shared" ref="D31:I31" ca="1" si="35">SUM(D32:D51)</f>
        <v>393170</v>
      </c>
      <c r="E31" s="161">
        <f t="shared" ca="1" si="35"/>
        <v>0</v>
      </c>
      <c r="F31" s="161">
        <f t="shared" ca="1" si="35"/>
        <v>393170</v>
      </c>
      <c r="G31" s="161">
        <f t="shared" ca="1" si="35"/>
        <v>0</v>
      </c>
      <c r="H31" s="161">
        <f t="shared" ca="1" si="35"/>
        <v>393170</v>
      </c>
      <c r="I31" s="161">
        <f t="shared" ca="1" si="35"/>
        <v>0</v>
      </c>
      <c r="J31" s="161">
        <f t="shared" ca="1" si="23"/>
        <v>288911</v>
      </c>
      <c r="K31" s="162">
        <f t="shared" ca="1" si="24"/>
        <v>73.482463056693035</v>
      </c>
      <c r="L31" s="161">
        <f ca="1">SUM(L32:L51)</f>
        <v>288911</v>
      </c>
      <c r="M31" s="40">
        <f t="shared" ca="1" si="25"/>
        <v>73.482463056693035</v>
      </c>
      <c r="N31" s="40">
        <f t="shared" ca="1" si="26"/>
        <v>73.482463056693035</v>
      </c>
      <c r="O31" s="39">
        <f ca="1">SUM(O32:O51)</f>
        <v>0</v>
      </c>
      <c r="P31" s="39">
        <f t="shared" ca="1" si="27"/>
        <v>0</v>
      </c>
      <c r="Q31" s="40">
        <f t="shared" ca="1" si="28"/>
        <v>0</v>
      </c>
      <c r="R31" s="232">
        <f t="shared" ref="R31:T31" ca="1" si="36">SUM(R32:R51)</f>
        <v>0</v>
      </c>
      <c r="S31" s="233">
        <f t="shared" ca="1" si="36"/>
        <v>0</v>
      </c>
      <c r="T31" s="233">
        <f t="shared" ca="1" si="36"/>
        <v>0</v>
      </c>
      <c r="U31" s="234">
        <f t="shared" ca="1" si="30"/>
        <v>0</v>
      </c>
      <c r="V31" s="234">
        <f t="shared" ca="1" si="31"/>
        <v>0</v>
      </c>
      <c r="W31" s="71">
        <f t="shared" ref="W31:X31" ca="1" si="37">SUM(W32:W51)</f>
        <v>141</v>
      </c>
      <c r="X31" s="71">
        <f t="shared" ca="1" si="37"/>
        <v>70</v>
      </c>
      <c r="Y31" s="114">
        <f t="shared" ca="1" si="33"/>
        <v>49.645390070921984</v>
      </c>
      <c r="Z31" s="267">
        <v>0</v>
      </c>
      <c r="AA31" s="267">
        <v>0</v>
      </c>
      <c r="AB31" s="268">
        <v>0</v>
      </c>
    </row>
    <row r="32" spans="1:28" ht="21" customHeight="1" x14ac:dyDescent="0.3">
      <c r="A32" s="77">
        <v>1</v>
      </c>
      <c r="B32" s="78" t="s">
        <v>58</v>
      </c>
      <c r="C32" s="174">
        <f t="shared" ca="1" si="21"/>
        <v>19590</v>
      </c>
      <c r="D32" s="175">
        <f t="shared" ref="D32:D51" ca="1" si="38">+E32+F32</f>
        <v>19590</v>
      </c>
      <c r="E32" s="176">
        <f ca="1">IFERROR(__xludf.DUMMYFUNCTION("IMPORTRANGE(""https://docs.google.com/spreadsheets/d/1-uDff_7J0KD5mKrp0Vvzr7lt3OU09vwQwhkpOPPYv2Y/edit?usp=sharing"",""งบพรบ!CL32"")"),0)</f>
        <v>0</v>
      </c>
      <c r="F32" s="176">
        <f ca="1">IFERROR(__xludf.DUMMYFUNCTION("IMPORTRANGE(""https://docs.google.com/spreadsheets/d/1-uDff_7J0KD5mKrp0Vvzr7lt3OU09vwQwhkpOPPYv2Y/edit?usp=sharing"",""งบพรบ!CM32"")"),19590)</f>
        <v>19590</v>
      </c>
      <c r="G32" s="177">
        <f ca="1">IFERROR(__xludf.DUMMYFUNCTION("IMPORTRANGE(""https://docs.google.com/spreadsheets/d/1-uDff_7J0KD5mKrp0Vvzr7lt3OU09vwQwhkpOPPYv2Y/edit?usp=sharing"",""งบพรบ!CN32"")"),0)</f>
        <v>0</v>
      </c>
      <c r="H32" s="177">
        <f ca="1">IFERROR(__xludf.DUMMYFUNCTION("IMPORTRANGE(""https://docs.google.com/spreadsheets/d/1-uDff_7J0KD5mKrp0Vvzr7lt3OU09vwQwhkpOPPYv2Y/edit?usp=sharing"",""งบพรบ!CP32"")"),19590)</f>
        <v>19590</v>
      </c>
      <c r="I32" s="177">
        <f ca="1">IFERROR(__xludf.DUMMYFUNCTION("IMPORTRANGE(""https://docs.google.com/spreadsheets/d/1-uDff_7J0KD5mKrp0Vvzr7lt3OU09vwQwhkpOPPYv2Y/edit?usp=sharing"",""งบพรบ!CQ32"")"),0)</f>
        <v>0</v>
      </c>
      <c r="J32" s="177">
        <f t="shared" ca="1" si="23"/>
        <v>19590</v>
      </c>
      <c r="K32" s="178">
        <f t="shared" ca="1" si="24"/>
        <v>100</v>
      </c>
      <c r="L32" s="177">
        <f ca="1">IFERROR(__xludf.DUMMYFUNCTION("IMPORTRANGE(""https://docs.google.com/spreadsheets/d/1-uDff_7J0KD5mKrp0Vvzr7lt3OU09vwQwhkpOPPYv2Y/edit?usp=sharing"",""งบพรบ!CR32"")"),19590)</f>
        <v>19590</v>
      </c>
      <c r="M32" s="87">
        <f t="shared" ca="1" si="25"/>
        <v>100</v>
      </c>
      <c r="N32" s="87">
        <f t="shared" ca="1" si="26"/>
        <v>100</v>
      </c>
      <c r="O32" s="86">
        <f ca="1">IFERROR(__xludf.DUMMYFUNCTION("IMPORTRANGE(""https://docs.google.com/spreadsheets/d/1-uDff_7J0KD5mKrp0Vvzr7lt3OU09vwQwhkpOPPYv2Y/edit?usp=sharing"",""งบพรบ!CS32"")"),0)</f>
        <v>0</v>
      </c>
      <c r="P32" s="86">
        <f t="shared" ca="1" si="27"/>
        <v>0</v>
      </c>
      <c r="Q32" s="87">
        <f t="shared" ca="1" si="28"/>
        <v>0</v>
      </c>
      <c r="R32" s="241">
        <f ca="1">IFERROR(__xludf.DUMMYFUNCTION("IMPORTRANGE(""https://docs.google.com/spreadsheets/d/1yhBcrRPreicbMKl9Bu_Snb2-OcQAF62RKfhTLhJ2eAA/edit?usp=sharing"",""กาฬสินธุ์!Q173"")"),0)</f>
        <v>0</v>
      </c>
      <c r="S32" s="242">
        <f ca="1">IFERROR(__xludf.DUMMYFUNCTION("IMPORTRANGE(""https://docs.google.com/spreadsheets/d/1yhBcrRPreicbMKl9Bu_Snb2-OcQAF62RKfhTLhJ2eAA/edit?usp=sharing"",""กาฬสินธุ์!R173"")"),0)</f>
        <v>0</v>
      </c>
      <c r="T32" s="242">
        <f ca="1">IFERROR(__xludf.DUMMYFUNCTION("IMPORTRANGE(""https://docs.google.com/spreadsheets/d/1yhBcrRPreicbMKl9Bu_Snb2-OcQAF62RKfhTLhJ2eAA/edit?usp=sharing"",""กาฬสินธุ์!S173"")"),0)</f>
        <v>0</v>
      </c>
      <c r="U32" s="243">
        <f t="shared" ca="1" si="30"/>
        <v>0</v>
      </c>
      <c r="V32" s="243">
        <f t="shared" ca="1" si="31"/>
        <v>0</v>
      </c>
      <c r="W32" s="82">
        <f ca="1">IFERROR(__xludf.DUMMYFUNCTION("IMPORTRANGE(""https://docs.google.com/spreadsheets/d/1yhBcrRPreicbMKl9Bu_Snb2-OcQAF62RKfhTLhJ2eAA/edit?usp=sharing"",""กาฬสินธุ์!I183"")"),7)</f>
        <v>7</v>
      </c>
      <c r="X32" s="82">
        <f ca="1">IFERROR(__xludf.DUMMYFUNCTION("IMPORTRANGE(""https://docs.google.com/spreadsheets/d/1yhBcrRPreicbMKl9Bu_Snb2-OcQAF62RKfhTLhJ2eAA/edit?usp=sharing"",""กาฬสินธุ์!J183"")"),7)</f>
        <v>7</v>
      </c>
      <c r="Y32" s="88">
        <f t="shared" ca="1" si="33"/>
        <v>100</v>
      </c>
      <c r="Z32" s="269">
        <v>0</v>
      </c>
      <c r="AA32" s="269">
        <v>0</v>
      </c>
      <c r="AB32" s="270">
        <v>0</v>
      </c>
    </row>
    <row r="33" spans="1:28" ht="21" customHeight="1" x14ac:dyDescent="0.3">
      <c r="A33" s="89">
        <v>2</v>
      </c>
      <c r="B33" s="90" t="s">
        <v>59</v>
      </c>
      <c r="C33" s="174">
        <f t="shared" ca="1" si="21"/>
        <v>19590</v>
      </c>
      <c r="D33" s="175">
        <f t="shared" ca="1" si="38"/>
        <v>19590</v>
      </c>
      <c r="E33" s="176">
        <f ca="1">IFERROR(__xludf.DUMMYFUNCTION("IMPORTRANGE(""https://docs.google.com/spreadsheets/d/1-uDff_7J0KD5mKrp0Vvzr7lt3OU09vwQwhkpOPPYv2Y/edit?usp=sharing"",""งบพรบ!CL33"")"),0)</f>
        <v>0</v>
      </c>
      <c r="F33" s="176">
        <f ca="1">IFERROR(__xludf.DUMMYFUNCTION("IMPORTRANGE(""https://docs.google.com/spreadsheets/d/1-uDff_7J0KD5mKrp0Vvzr7lt3OU09vwQwhkpOPPYv2Y/edit?usp=sharing"",""งบพรบ!CM33"")"),19590)</f>
        <v>19590</v>
      </c>
      <c r="G33" s="176">
        <f ca="1">IFERROR(__xludf.DUMMYFUNCTION("IMPORTRANGE(""https://docs.google.com/spreadsheets/d/1-uDff_7J0KD5mKrp0Vvzr7lt3OU09vwQwhkpOPPYv2Y/edit?usp=sharing"",""งบพรบ!CN33"")"),0)</f>
        <v>0</v>
      </c>
      <c r="H33" s="176">
        <f ca="1">IFERROR(__xludf.DUMMYFUNCTION("IMPORTRANGE(""https://docs.google.com/spreadsheets/d/1-uDff_7J0KD5mKrp0Vvzr7lt3OU09vwQwhkpOPPYv2Y/edit?usp=sharing"",""งบพรบ!CP33"")"),19590)</f>
        <v>19590</v>
      </c>
      <c r="I33" s="176">
        <f ca="1">IFERROR(__xludf.DUMMYFUNCTION("IMPORTRANGE(""https://docs.google.com/spreadsheets/d/1-uDff_7J0KD5mKrp0Vvzr7lt3OU09vwQwhkpOPPYv2Y/edit?usp=sharing"",""งบพรบ!CQ33"")"),0)</f>
        <v>0</v>
      </c>
      <c r="J33" s="176">
        <f t="shared" ca="1" si="23"/>
        <v>16300</v>
      </c>
      <c r="K33" s="179">
        <f t="shared" ca="1" si="24"/>
        <v>83.205717202654412</v>
      </c>
      <c r="L33" s="176">
        <f ca="1">IFERROR(__xludf.DUMMYFUNCTION("IMPORTRANGE(""https://docs.google.com/spreadsheets/d/1-uDff_7J0KD5mKrp0Vvzr7lt3OU09vwQwhkpOPPYv2Y/edit?usp=sharing"",""งบพรบ!CR33"")"),16300)</f>
        <v>16300</v>
      </c>
      <c r="M33" s="87">
        <f t="shared" ca="1" si="25"/>
        <v>83.205717202654412</v>
      </c>
      <c r="N33" s="87">
        <f t="shared" ca="1" si="26"/>
        <v>83.205717202654412</v>
      </c>
      <c r="O33" s="86">
        <f ca="1">IFERROR(__xludf.DUMMYFUNCTION("IMPORTRANGE(""https://docs.google.com/spreadsheets/d/1-uDff_7J0KD5mKrp0Vvzr7lt3OU09vwQwhkpOPPYv2Y/edit?usp=sharing"",""งบพรบ!CS33"")"),0)</f>
        <v>0</v>
      </c>
      <c r="P33" s="86">
        <f t="shared" ca="1" si="27"/>
        <v>0</v>
      </c>
      <c r="Q33" s="87">
        <f t="shared" ca="1" si="28"/>
        <v>0</v>
      </c>
      <c r="R33" s="241">
        <f ca="1">IFERROR(__xludf.DUMMYFUNCTION("IMPORTRANGE(""https://docs.google.com/spreadsheets/d/1aHkj4IaQMThhwWwevcOymEh837vdxeC_PycurhTbGFA/edit?usp=sharing"",""ขอนแก่น!Q173"")"),0)</f>
        <v>0</v>
      </c>
      <c r="S33" s="242">
        <f ca="1">IFERROR(__xludf.DUMMYFUNCTION("IMPORTRANGE(""https://docs.google.com/spreadsheets/d/1aHkj4IaQMThhwWwevcOymEh837vdxeC_PycurhTbGFA/edit?usp=sharing"",""ขอนแก่น!R173"")"),0)</f>
        <v>0</v>
      </c>
      <c r="T33" s="242">
        <f ca="1">IFERROR(__xludf.DUMMYFUNCTION("IMPORTRANGE(""https://docs.google.com/spreadsheets/d/1aHkj4IaQMThhwWwevcOymEh837vdxeC_PycurhTbGFA/edit?usp=sharing"",""ขอนแก่น!S173"")"),0)</f>
        <v>0</v>
      </c>
      <c r="U33" s="243">
        <f t="shared" ca="1" si="30"/>
        <v>0</v>
      </c>
      <c r="V33" s="243">
        <f t="shared" ca="1" si="31"/>
        <v>0</v>
      </c>
      <c r="W33" s="97">
        <f ca="1">IFERROR(__xludf.DUMMYFUNCTION("IMPORTRANGE(""https://docs.google.com/spreadsheets/d/1aHkj4IaQMThhwWwevcOymEh837vdxeC_PycurhTbGFA/edit?usp=sharing"",""ขอนแก่น!I183"")"),7)</f>
        <v>7</v>
      </c>
      <c r="X33" s="97">
        <f ca="1">IFERROR(__xludf.DUMMYFUNCTION("IMPORTRANGE(""https://docs.google.com/spreadsheets/d/1aHkj4IaQMThhwWwevcOymEh837vdxeC_PycurhTbGFA/edit?usp=sharing"",""ขอนแก่น!J183"")"),7)</f>
        <v>7</v>
      </c>
      <c r="Y33" s="98">
        <f t="shared" ca="1" si="33"/>
        <v>100</v>
      </c>
      <c r="Z33" s="269">
        <v>0</v>
      </c>
      <c r="AA33" s="269">
        <v>0</v>
      </c>
      <c r="AB33" s="270">
        <v>0</v>
      </c>
    </row>
    <row r="34" spans="1:28" ht="21" customHeight="1" x14ac:dyDescent="0.3">
      <c r="A34" s="89">
        <v>3</v>
      </c>
      <c r="B34" s="90" t="s">
        <v>60</v>
      </c>
      <c r="C34" s="174">
        <f t="shared" ca="1" si="21"/>
        <v>19590</v>
      </c>
      <c r="D34" s="175">
        <f t="shared" ca="1" si="38"/>
        <v>19590</v>
      </c>
      <c r="E34" s="176">
        <f ca="1">IFERROR(__xludf.DUMMYFUNCTION("IMPORTRANGE(""https://docs.google.com/spreadsheets/d/1-uDff_7J0KD5mKrp0Vvzr7lt3OU09vwQwhkpOPPYv2Y/edit?usp=sharing"",""งบพรบ!CL34"")"),0)</f>
        <v>0</v>
      </c>
      <c r="F34" s="176">
        <f ca="1">IFERROR(__xludf.DUMMYFUNCTION("IMPORTRANGE(""https://docs.google.com/spreadsheets/d/1-uDff_7J0KD5mKrp0Vvzr7lt3OU09vwQwhkpOPPYv2Y/edit?usp=sharing"",""งบพรบ!CM34"")"),19590)</f>
        <v>19590</v>
      </c>
      <c r="G34" s="176">
        <f ca="1">IFERROR(__xludf.DUMMYFUNCTION("IMPORTRANGE(""https://docs.google.com/spreadsheets/d/1-uDff_7J0KD5mKrp0Vvzr7lt3OU09vwQwhkpOPPYv2Y/edit?usp=sharing"",""งบพรบ!CN34"")"),0)</f>
        <v>0</v>
      </c>
      <c r="H34" s="176">
        <f ca="1">IFERROR(__xludf.DUMMYFUNCTION("IMPORTRANGE(""https://docs.google.com/spreadsheets/d/1-uDff_7J0KD5mKrp0Vvzr7lt3OU09vwQwhkpOPPYv2Y/edit?usp=sharing"",""งบพรบ!CP34"")"),19590)</f>
        <v>19590</v>
      </c>
      <c r="I34" s="176">
        <f ca="1">IFERROR(__xludf.DUMMYFUNCTION("IMPORTRANGE(""https://docs.google.com/spreadsheets/d/1-uDff_7J0KD5mKrp0Vvzr7lt3OU09vwQwhkpOPPYv2Y/edit?usp=sharing"",""งบพรบ!CQ34"")"),0)</f>
        <v>0</v>
      </c>
      <c r="J34" s="176">
        <f t="shared" ca="1" si="23"/>
        <v>8810</v>
      </c>
      <c r="K34" s="179">
        <f t="shared" ca="1" si="24"/>
        <v>44.971924451250636</v>
      </c>
      <c r="L34" s="176">
        <f ca="1">IFERROR(__xludf.DUMMYFUNCTION("IMPORTRANGE(""https://docs.google.com/spreadsheets/d/1-uDff_7J0KD5mKrp0Vvzr7lt3OU09vwQwhkpOPPYv2Y/edit?usp=sharing"",""งบพรบ!CR34"")"),8810)</f>
        <v>8810</v>
      </c>
      <c r="M34" s="87">
        <f t="shared" ca="1" si="25"/>
        <v>44.971924451250636</v>
      </c>
      <c r="N34" s="87">
        <f t="shared" ca="1" si="26"/>
        <v>44.971924451250636</v>
      </c>
      <c r="O34" s="86">
        <f ca="1">IFERROR(__xludf.DUMMYFUNCTION("IMPORTRANGE(""https://docs.google.com/spreadsheets/d/1-uDff_7J0KD5mKrp0Vvzr7lt3OU09vwQwhkpOPPYv2Y/edit?usp=sharing"",""งบพรบ!CS34"")"),0)</f>
        <v>0</v>
      </c>
      <c r="P34" s="86">
        <f t="shared" ca="1" si="27"/>
        <v>0</v>
      </c>
      <c r="Q34" s="87">
        <f t="shared" ca="1" si="28"/>
        <v>0</v>
      </c>
      <c r="R34" s="241">
        <f ca="1">IFERROR(__xludf.DUMMYFUNCTION("IMPORTRANGE(""https://docs.google.com/spreadsheets/d/1FvTu2DsIWUjP6WCWra38Bkj_oOl_sOMf14r5Fg5srxU/edit?usp=sharing"",""ชัยภูมิ!Q173"")"),0)</f>
        <v>0</v>
      </c>
      <c r="S34" s="242">
        <f ca="1">IFERROR(__xludf.DUMMYFUNCTION("IMPORTRANGE(""https://docs.google.com/spreadsheets/d/1FvTu2DsIWUjP6WCWra38Bkj_oOl_sOMf14r5Fg5srxU/edit?usp=sharing"",""ชัยภูมิ!R173"")"),0)</f>
        <v>0</v>
      </c>
      <c r="T34" s="242">
        <f ca="1">IFERROR(__xludf.DUMMYFUNCTION("IMPORTRANGE(""https://docs.google.com/spreadsheets/d/1FvTu2DsIWUjP6WCWra38Bkj_oOl_sOMf14r5Fg5srxU/edit?usp=sharing"",""ชัยภูมิ!S173"")"),0)</f>
        <v>0</v>
      </c>
      <c r="U34" s="243">
        <f t="shared" ca="1" si="30"/>
        <v>0</v>
      </c>
      <c r="V34" s="243">
        <f t="shared" ca="1" si="31"/>
        <v>0</v>
      </c>
      <c r="W34" s="97">
        <f ca="1">IFERROR(__xludf.DUMMYFUNCTION("IMPORTRANGE(""https://docs.google.com/spreadsheets/d/1FvTu2DsIWUjP6WCWra38Bkj_oOl_sOMf14r5Fg5srxU/edit?usp=sharing"",""ชัยภูมิ!I183"")"),7)</f>
        <v>7</v>
      </c>
      <c r="X34" s="97">
        <f ca="1">IFERROR(__xludf.DUMMYFUNCTION("IMPORTRANGE(""https://docs.google.com/spreadsheets/d/1FvTu2DsIWUjP6WCWra38Bkj_oOl_sOMf14r5Fg5srxU/edit?usp=sharing"",""ชัยภูมิ!J183"")"),0)</f>
        <v>0</v>
      </c>
      <c r="Y34" s="98">
        <f t="shared" ca="1" si="33"/>
        <v>0</v>
      </c>
      <c r="Z34" s="269">
        <v>0</v>
      </c>
      <c r="AA34" s="269">
        <v>0</v>
      </c>
      <c r="AB34" s="270">
        <v>0</v>
      </c>
    </row>
    <row r="35" spans="1:28" ht="21" customHeight="1" x14ac:dyDescent="0.3">
      <c r="A35" s="89">
        <v>4</v>
      </c>
      <c r="B35" s="90" t="s">
        <v>61</v>
      </c>
      <c r="C35" s="174">
        <f t="shared" ca="1" si="21"/>
        <v>19590</v>
      </c>
      <c r="D35" s="175">
        <f t="shared" ca="1" si="38"/>
        <v>19590</v>
      </c>
      <c r="E35" s="176">
        <f ca="1">IFERROR(__xludf.DUMMYFUNCTION("IMPORTRANGE(""https://docs.google.com/spreadsheets/d/1-uDff_7J0KD5mKrp0Vvzr7lt3OU09vwQwhkpOPPYv2Y/edit?usp=sharing"",""งบพรบ!CL35"")"),0)</f>
        <v>0</v>
      </c>
      <c r="F35" s="176">
        <f ca="1">IFERROR(__xludf.DUMMYFUNCTION("IMPORTRANGE(""https://docs.google.com/spreadsheets/d/1-uDff_7J0KD5mKrp0Vvzr7lt3OU09vwQwhkpOPPYv2Y/edit?usp=sharing"",""งบพรบ!CM35"")"),19590)</f>
        <v>19590</v>
      </c>
      <c r="G35" s="176">
        <f ca="1">IFERROR(__xludf.DUMMYFUNCTION("IMPORTRANGE(""https://docs.google.com/spreadsheets/d/1-uDff_7J0KD5mKrp0Vvzr7lt3OU09vwQwhkpOPPYv2Y/edit?usp=sharing"",""งบพรบ!CN35"")"),0)</f>
        <v>0</v>
      </c>
      <c r="H35" s="176">
        <f ca="1">IFERROR(__xludf.DUMMYFUNCTION("IMPORTRANGE(""https://docs.google.com/spreadsheets/d/1-uDff_7J0KD5mKrp0Vvzr7lt3OU09vwQwhkpOPPYv2Y/edit?usp=sharing"",""งบพรบ!CP35"")"),19590)</f>
        <v>19590</v>
      </c>
      <c r="I35" s="176">
        <f ca="1">IFERROR(__xludf.DUMMYFUNCTION("IMPORTRANGE(""https://docs.google.com/spreadsheets/d/1-uDff_7J0KD5mKrp0Vvzr7lt3OU09vwQwhkpOPPYv2Y/edit?usp=sharing"",""งบพรบ!CQ35"")"),0)</f>
        <v>0</v>
      </c>
      <c r="J35" s="176">
        <f t="shared" ca="1" si="23"/>
        <v>19590</v>
      </c>
      <c r="K35" s="179">
        <f t="shared" ca="1" si="24"/>
        <v>100</v>
      </c>
      <c r="L35" s="176">
        <f ca="1">IFERROR(__xludf.DUMMYFUNCTION("IMPORTRANGE(""https://docs.google.com/spreadsheets/d/1-uDff_7J0KD5mKrp0Vvzr7lt3OU09vwQwhkpOPPYv2Y/edit?usp=sharing"",""งบพรบ!CR35"")"),19590)</f>
        <v>19590</v>
      </c>
      <c r="M35" s="87">
        <f t="shared" ca="1" si="25"/>
        <v>100</v>
      </c>
      <c r="N35" s="87">
        <f t="shared" ca="1" si="26"/>
        <v>100</v>
      </c>
      <c r="O35" s="86">
        <f ca="1">IFERROR(__xludf.DUMMYFUNCTION("IMPORTRANGE(""https://docs.google.com/spreadsheets/d/1-uDff_7J0KD5mKrp0Vvzr7lt3OU09vwQwhkpOPPYv2Y/edit?usp=sharing"",""งบพรบ!CS35"")"),0)</f>
        <v>0</v>
      </c>
      <c r="P35" s="86">
        <f t="shared" ca="1" si="27"/>
        <v>0</v>
      </c>
      <c r="Q35" s="87">
        <f t="shared" ca="1" si="28"/>
        <v>0</v>
      </c>
      <c r="R35" s="241">
        <f ca="1">IFERROR(__xludf.DUMMYFUNCTION("IMPORTRANGE(""https://docs.google.com/spreadsheets/d/1XVB7oCJ3pr-vBUdflwPQ8Z2LlzhnCvZaaYjAfP-647E/edit?usp=sharing"",""นครพนม!Q173"")"),0)</f>
        <v>0</v>
      </c>
      <c r="S35" s="242">
        <f ca="1">IFERROR(__xludf.DUMMYFUNCTION("IMPORTRANGE(""https://docs.google.com/spreadsheets/d/1XVB7oCJ3pr-vBUdflwPQ8Z2LlzhnCvZaaYjAfP-647E/edit?usp=sharing"",""นครพนม!R173"")"),0)</f>
        <v>0</v>
      </c>
      <c r="T35" s="242">
        <f ca="1">IFERROR(__xludf.DUMMYFUNCTION("IMPORTRANGE(""https://docs.google.com/spreadsheets/d/1XVB7oCJ3pr-vBUdflwPQ8Z2LlzhnCvZaaYjAfP-647E/edit?usp=sharing"",""นครพนม!S173"")"),0)</f>
        <v>0</v>
      </c>
      <c r="U35" s="243">
        <f t="shared" ca="1" si="30"/>
        <v>0</v>
      </c>
      <c r="V35" s="243">
        <f t="shared" ca="1" si="31"/>
        <v>0</v>
      </c>
      <c r="W35" s="97">
        <f ca="1">IFERROR(__xludf.DUMMYFUNCTION("IMPORTRANGE(""https://docs.google.com/spreadsheets/d/1XVB7oCJ3pr-vBUdflwPQ8Z2LlzhnCvZaaYjAfP-647E/edit?usp=sharing"",""นครพนม!I183"")"),7)</f>
        <v>7</v>
      </c>
      <c r="X35" s="97">
        <f ca="1">IFERROR(__xludf.DUMMYFUNCTION("IMPORTRANGE(""https://docs.google.com/spreadsheets/d/1XVB7oCJ3pr-vBUdflwPQ8Z2LlzhnCvZaaYjAfP-647E/edit?usp=sharing"",""นครพนม!J183"")"),7)</f>
        <v>7</v>
      </c>
      <c r="Y35" s="98">
        <f t="shared" ca="1" si="33"/>
        <v>100</v>
      </c>
      <c r="Z35" s="269">
        <v>0</v>
      </c>
      <c r="AA35" s="269">
        <v>0</v>
      </c>
      <c r="AB35" s="270">
        <v>0</v>
      </c>
    </row>
    <row r="36" spans="1:28" ht="21" customHeight="1" x14ac:dyDescent="0.3">
      <c r="A36" s="89">
        <v>5</v>
      </c>
      <c r="B36" s="90" t="s">
        <v>62</v>
      </c>
      <c r="C36" s="174">
        <f t="shared" ca="1" si="21"/>
        <v>20960</v>
      </c>
      <c r="D36" s="175">
        <f t="shared" ca="1" si="38"/>
        <v>20960</v>
      </c>
      <c r="E36" s="176">
        <f ca="1">IFERROR(__xludf.DUMMYFUNCTION("IMPORTRANGE(""https://docs.google.com/spreadsheets/d/1-uDff_7J0KD5mKrp0Vvzr7lt3OU09vwQwhkpOPPYv2Y/edit?usp=sharing"",""งบพรบ!CL36"")"),0)</f>
        <v>0</v>
      </c>
      <c r="F36" s="176">
        <f ca="1">IFERROR(__xludf.DUMMYFUNCTION("IMPORTRANGE(""https://docs.google.com/spreadsheets/d/1-uDff_7J0KD5mKrp0Vvzr7lt3OU09vwQwhkpOPPYv2Y/edit?usp=sharing"",""งบพรบ!CM36"")"),20960)</f>
        <v>20960</v>
      </c>
      <c r="G36" s="176">
        <f ca="1">IFERROR(__xludf.DUMMYFUNCTION("IMPORTRANGE(""https://docs.google.com/spreadsheets/d/1-uDff_7J0KD5mKrp0Vvzr7lt3OU09vwQwhkpOPPYv2Y/edit?usp=sharing"",""งบพรบ!CN36"")"),0)</f>
        <v>0</v>
      </c>
      <c r="H36" s="176">
        <f ca="1">IFERROR(__xludf.DUMMYFUNCTION("IMPORTRANGE(""https://docs.google.com/spreadsheets/d/1-uDff_7J0KD5mKrp0Vvzr7lt3OU09vwQwhkpOPPYv2Y/edit?usp=sharing"",""งบพรบ!CP36"")"),20960)</f>
        <v>20960</v>
      </c>
      <c r="I36" s="176">
        <f ca="1">IFERROR(__xludf.DUMMYFUNCTION("IMPORTRANGE(""https://docs.google.com/spreadsheets/d/1-uDff_7J0KD5mKrp0Vvzr7lt3OU09vwQwhkpOPPYv2Y/edit?usp=sharing"",""งบพรบ!CQ36"")"),0)</f>
        <v>0</v>
      </c>
      <c r="J36" s="176">
        <f t="shared" ca="1" si="23"/>
        <v>20960</v>
      </c>
      <c r="K36" s="179">
        <f t="shared" ca="1" si="24"/>
        <v>100</v>
      </c>
      <c r="L36" s="176">
        <f ca="1">IFERROR(__xludf.DUMMYFUNCTION("IMPORTRANGE(""https://docs.google.com/spreadsheets/d/1-uDff_7J0KD5mKrp0Vvzr7lt3OU09vwQwhkpOPPYv2Y/edit?usp=sharing"",""งบพรบ!CR36"")"),20960)</f>
        <v>20960</v>
      </c>
      <c r="M36" s="87">
        <f t="shared" ca="1" si="25"/>
        <v>100</v>
      </c>
      <c r="N36" s="87">
        <f t="shared" ca="1" si="26"/>
        <v>100</v>
      </c>
      <c r="O36" s="86">
        <f ca="1">IFERROR(__xludf.DUMMYFUNCTION("IMPORTRANGE(""https://docs.google.com/spreadsheets/d/1-uDff_7J0KD5mKrp0Vvzr7lt3OU09vwQwhkpOPPYv2Y/edit?usp=sharing"",""งบพรบ!CS36"")"),0)</f>
        <v>0</v>
      </c>
      <c r="P36" s="86">
        <f t="shared" ca="1" si="27"/>
        <v>0</v>
      </c>
      <c r="Q36" s="87">
        <f t="shared" ca="1" si="28"/>
        <v>0</v>
      </c>
      <c r="R36" s="241">
        <f ca="1">IFERROR(__xludf.DUMMYFUNCTION("IMPORTRANGE(""https://docs.google.com/spreadsheets/d/1Mnpb-8PYAgn85W6KOTD40hc_Xc55CaLfHoGAbrZ8tls/edit?usp=sharing"",""นครราชสีมา!Q173"")"),0)</f>
        <v>0</v>
      </c>
      <c r="S36" s="242">
        <f ca="1">IFERROR(__xludf.DUMMYFUNCTION("IMPORTRANGE(""https://docs.google.com/spreadsheets/d/1Mnpb-8PYAgn85W6KOTD40hc_Xc55CaLfHoGAbrZ8tls/edit?usp=sharing"",""นครราชสีมา!R173"")"),0)</f>
        <v>0</v>
      </c>
      <c r="T36" s="242">
        <f ca="1">IFERROR(__xludf.DUMMYFUNCTION("IMPORTRANGE(""https://docs.google.com/spreadsheets/d/1Mnpb-8PYAgn85W6KOTD40hc_Xc55CaLfHoGAbrZ8tls/edit?usp=sharing"",""นครราชสีมา!S173"")"),0)</f>
        <v>0</v>
      </c>
      <c r="U36" s="243">
        <f t="shared" ca="1" si="30"/>
        <v>0</v>
      </c>
      <c r="V36" s="243">
        <f t="shared" ca="1" si="31"/>
        <v>0</v>
      </c>
      <c r="W36" s="97">
        <f ca="1">IFERROR(__xludf.DUMMYFUNCTION("IMPORTRANGE(""https://docs.google.com/spreadsheets/d/1Mnpb-8PYAgn85W6KOTD40hc_Xc55CaLfHoGAbrZ8tls/edit?usp=sharing"",""นครราชสีมา!I183"")"),8)</f>
        <v>8</v>
      </c>
      <c r="X36" s="97">
        <f ca="1">IFERROR(__xludf.DUMMYFUNCTION("IMPORTRANGE(""https://docs.google.com/spreadsheets/d/1Mnpb-8PYAgn85W6KOTD40hc_Xc55CaLfHoGAbrZ8tls/edit?usp=sharing"",""นครราชสีมา!J183"")"),0)</f>
        <v>0</v>
      </c>
      <c r="Y36" s="98">
        <f t="shared" ca="1" si="33"/>
        <v>0</v>
      </c>
      <c r="Z36" s="269">
        <v>0</v>
      </c>
      <c r="AA36" s="269">
        <v>0</v>
      </c>
      <c r="AB36" s="270">
        <v>0</v>
      </c>
    </row>
    <row r="37" spans="1:28" ht="21" customHeight="1" x14ac:dyDescent="0.3">
      <c r="A37" s="89">
        <v>6</v>
      </c>
      <c r="B37" s="90" t="s">
        <v>63</v>
      </c>
      <c r="C37" s="174">
        <f t="shared" ca="1" si="21"/>
        <v>19590</v>
      </c>
      <c r="D37" s="175">
        <f t="shared" ca="1" si="38"/>
        <v>19590</v>
      </c>
      <c r="E37" s="176">
        <f ca="1">IFERROR(__xludf.DUMMYFUNCTION("IMPORTRANGE(""https://docs.google.com/spreadsheets/d/1-uDff_7J0KD5mKrp0Vvzr7lt3OU09vwQwhkpOPPYv2Y/edit?usp=sharing"",""งบพรบ!CL37"")"),0)</f>
        <v>0</v>
      </c>
      <c r="F37" s="176">
        <f ca="1">IFERROR(__xludf.DUMMYFUNCTION("IMPORTRANGE(""https://docs.google.com/spreadsheets/d/1-uDff_7J0KD5mKrp0Vvzr7lt3OU09vwQwhkpOPPYv2Y/edit?usp=sharing"",""งบพรบ!CM37"")"),19590)</f>
        <v>19590</v>
      </c>
      <c r="G37" s="176">
        <f ca="1">IFERROR(__xludf.DUMMYFUNCTION("IMPORTRANGE(""https://docs.google.com/spreadsheets/d/1-uDff_7J0KD5mKrp0Vvzr7lt3OU09vwQwhkpOPPYv2Y/edit?usp=sharing"",""งบพรบ!CN37"")"),0)</f>
        <v>0</v>
      </c>
      <c r="H37" s="176">
        <f ca="1">IFERROR(__xludf.DUMMYFUNCTION("IMPORTRANGE(""https://docs.google.com/spreadsheets/d/1-uDff_7J0KD5mKrp0Vvzr7lt3OU09vwQwhkpOPPYv2Y/edit?usp=sharing"",""งบพรบ!CP37"")"),19590)</f>
        <v>19590</v>
      </c>
      <c r="I37" s="176">
        <f ca="1">IFERROR(__xludf.DUMMYFUNCTION("IMPORTRANGE(""https://docs.google.com/spreadsheets/d/1-uDff_7J0KD5mKrp0Vvzr7lt3OU09vwQwhkpOPPYv2Y/edit?usp=sharing"",""งบพรบ!CQ37"")"),0)</f>
        <v>0</v>
      </c>
      <c r="J37" s="176">
        <f t="shared" ca="1" si="23"/>
        <v>16475</v>
      </c>
      <c r="K37" s="179">
        <f t="shared" ca="1" si="24"/>
        <v>84.099030117406841</v>
      </c>
      <c r="L37" s="176">
        <f ca="1">IFERROR(__xludf.DUMMYFUNCTION("IMPORTRANGE(""https://docs.google.com/spreadsheets/d/1-uDff_7J0KD5mKrp0Vvzr7lt3OU09vwQwhkpOPPYv2Y/edit?usp=sharing"",""งบพรบ!CR37"")"),16475)</f>
        <v>16475</v>
      </c>
      <c r="M37" s="87">
        <f t="shared" ca="1" si="25"/>
        <v>84.099030117406841</v>
      </c>
      <c r="N37" s="87">
        <f t="shared" ca="1" si="26"/>
        <v>84.099030117406841</v>
      </c>
      <c r="O37" s="86">
        <f ca="1">IFERROR(__xludf.DUMMYFUNCTION("IMPORTRANGE(""https://docs.google.com/spreadsheets/d/1-uDff_7J0KD5mKrp0Vvzr7lt3OU09vwQwhkpOPPYv2Y/edit?usp=sharing"",""งบพรบ!CS37"")"),0)</f>
        <v>0</v>
      </c>
      <c r="P37" s="86">
        <f t="shared" ca="1" si="27"/>
        <v>0</v>
      </c>
      <c r="Q37" s="87">
        <f t="shared" ca="1" si="28"/>
        <v>0</v>
      </c>
      <c r="R37" s="241">
        <f ca="1">IFERROR(__xludf.DUMMYFUNCTION("IMPORTRANGE(""https://docs.google.com/spreadsheets/d/1xoDLGBv9CYbyosIhki0kTq6IpYNj-gpjxfobnaDiut0/edit?usp=sharing"",""บึงกาฬ!Q173"")"),0)</f>
        <v>0</v>
      </c>
      <c r="S37" s="242">
        <f ca="1">IFERROR(__xludf.DUMMYFUNCTION("IMPORTRANGE(""https://docs.google.com/spreadsheets/d/1xoDLGBv9CYbyosIhki0kTq6IpYNj-gpjxfobnaDiut0/edit?usp=sharing"",""บึงกาฬ!R173"")"),0)</f>
        <v>0</v>
      </c>
      <c r="T37" s="242">
        <f ca="1">IFERROR(__xludf.DUMMYFUNCTION("IMPORTRANGE(""https://docs.google.com/spreadsheets/d/1xoDLGBv9CYbyosIhki0kTq6IpYNj-gpjxfobnaDiut0/edit?usp=sharing"",""บึงกาฬ!S173"")"),0)</f>
        <v>0</v>
      </c>
      <c r="U37" s="243">
        <f t="shared" ca="1" si="30"/>
        <v>0</v>
      </c>
      <c r="V37" s="243">
        <f t="shared" ca="1" si="31"/>
        <v>0</v>
      </c>
      <c r="W37" s="97">
        <f ca="1">IFERROR(__xludf.DUMMYFUNCTION("IMPORTRANGE(""https://docs.google.com/spreadsheets/d/1xoDLGBv9CYbyosIhki0kTq6IpYNj-gpjxfobnaDiut0/edit?usp=sharing"",""บึงกาฬ!I183"")"),7)</f>
        <v>7</v>
      </c>
      <c r="X37" s="97">
        <f ca="1">IFERROR(__xludf.DUMMYFUNCTION("IMPORTRANGE(""https://docs.google.com/spreadsheets/d/1xoDLGBv9CYbyosIhki0kTq6IpYNj-gpjxfobnaDiut0/edit?usp=sharing"",""บึงกาฬ!J183"")"),0)</f>
        <v>0</v>
      </c>
      <c r="Y37" s="98">
        <f t="shared" ca="1" si="33"/>
        <v>0</v>
      </c>
      <c r="Z37" s="269">
        <v>0</v>
      </c>
      <c r="AA37" s="269">
        <v>0</v>
      </c>
      <c r="AB37" s="270">
        <v>0</v>
      </c>
    </row>
    <row r="38" spans="1:28" ht="21" customHeight="1" x14ac:dyDescent="0.3">
      <c r="A38" s="89">
        <v>7</v>
      </c>
      <c r="B38" s="90" t="s">
        <v>64</v>
      </c>
      <c r="C38" s="174">
        <f t="shared" ca="1" si="21"/>
        <v>19590</v>
      </c>
      <c r="D38" s="175">
        <f t="shared" ca="1" si="38"/>
        <v>19590</v>
      </c>
      <c r="E38" s="176">
        <f ca="1">IFERROR(__xludf.DUMMYFUNCTION("IMPORTRANGE(""https://docs.google.com/spreadsheets/d/1-uDff_7J0KD5mKrp0Vvzr7lt3OU09vwQwhkpOPPYv2Y/edit?usp=sharing"",""งบพรบ!CL38"")"),0)</f>
        <v>0</v>
      </c>
      <c r="F38" s="176">
        <f ca="1">IFERROR(__xludf.DUMMYFUNCTION("IMPORTRANGE(""https://docs.google.com/spreadsheets/d/1-uDff_7J0KD5mKrp0Vvzr7lt3OU09vwQwhkpOPPYv2Y/edit?usp=sharing"",""งบพรบ!CM38"")"),19590)</f>
        <v>19590</v>
      </c>
      <c r="G38" s="176">
        <f ca="1">IFERROR(__xludf.DUMMYFUNCTION("IMPORTRANGE(""https://docs.google.com/spreadsheets/d/1-uDff_7J0KD5mKrp0Vvzr7lt3OU09vwQwhkpOPPYv2Y/edit?usp=sharing"",""งบพรบ!CN38"")"),0)</f>
        <v>0</v>
      </c>
      <c r="H38" s="176">
        <f ca="1">IFERROR(__xludf.DUMMYFUNCTION("IMPORTRANGE(""https://docs.google.com/spreadsheets/d/1-uDff_7J0KD5mKrp0Vvzr7lt3OU09vwQwhkpOPPYv2Y/edit?usp=sharing"",""งบพรบ!CP38"")"),19590)</f>
        <v>19590</v>
      </c>
      <c r="I38" s="176">
        <f ca="1">IFERROR(__xludf.DUMMYFUNCTION("IMPORTRANGE(""https://docs.google.com/spreadsheets/d/1-uDff_7J0KD5mKrp0Vvzr7lt3OU09vwQwhkpOPPYv2Y/edit?usp=sharing"",""งบพรบ!CQ38"")"),0)</f>
        <v>0</v>
      </c>
      <c r="J38" s="176">
        <f t="shared" ca="1" si="23"/>
        <v>0</v>
      </c>
      <c r="K38" s="179">
        <f t="shared" ca="1" si="24"/>
        <v>0</v>
      </c>
      <c r="L38" s="176">
        <f ca="1">IFERROR(__xludf.DUMMYFUNCTION("IMPORTRANGE(""https://docs.google.com/spreadsheets/d/1-uDff_7J0KD5mKrp0Vvzr7lt3OU09vwQwhkpOPPYv2Y/edit?usp=sharing"",""งบพรบ!CR38"")"),0)</f>
        <v>0</v>
      </c>
      <c r="M38" s="87">
        <f t="shared" ca="1" si="25"/>
        <v>0</v>
      </c>
      <c r="N38" s="87">
        <f t="shared" ca="1" si="26"/>
        <v>0</v>
      </c>
      <c r="O38" s="86">
        <f ca="1">IFERROR(__xludf.DUMMYFUNCTION("IMPORTRANGE(""https://docs.google.com/spreadsheets/d/1-uDff_7J0KD5mKrp0Vvzr7lt3OU09vwQwhkpOPPYv2Y/edit?usp=sharing"",""งบพรบ!CS38"")"),0)</f>
        <v>0</v>
      </c>
      <c r="P38" s="86">
        <f t="shared" ca="1" si="27"/>
        <v>0</v>
      </c>
      <c r="Q38" s="87">
        <f t="shared" ca="1" si="28"/>
        <v>0</v>
      </c>
      <c r="R38" s="241">
        <f ca="1">IFERROR(__xludf.DUMMYFUNCTION("IMPORTRANGE(""https://docs.google.com/spreadsheets/d/1MMPq-JyI6DSgQETxuSiXkesP-P7JHuemnE6QJIa-Nlw/edit?usp=sharing"",""บุรีรัมย์!Q173"")"),0)</f>
        <v>0</v>
      </c>
      <c r="S38" s="242">
        <f ca="1">IFERROR(__xludf.DUMMYFUNCTION("IMPORTRANGE(""https://docs.google.com/spreadsheets/d/1MMPq-JyI6DSgQETxuSiXkesP-P7JHuemnE6QJIa-Nlw/edit?usp=sharing"",""บุรีรัมย์!R173"")"),0)</f>
        <v>0</v>
      </c>
      <c r="T38" s="242">
        <f ca="1">IFERROR(__xludf.DUMMYFUNCTION("IMPORTRANGE(""https://docs.google.com/spreadsheets/d/1MMPq-JyI6DSgQETxuSiXkesP-P7JHuemnE6QJIa-Nlw/edit?usp=sharing"",""บุรีรัมย์!S173"")"),0)</f>
        <v>0</v>
      </c>
      <c r="U38" s="243">
        <f t="shared" ca="1" si="30"/>
        <v>0</v>
      </c>
      <c r="V38" s="243">
        <f t="shared" ca="1" si="31"/>
        <v>0</v>
      </c>
      <c r="W38" s="97">
        <f ca="1">IFERROR(__xludf.DUMMYFUNCTION("IMPORTRANGE(""https://docs.google.com/spreadsheets/d/1MMPq-JyI6DSgQETxuSiXkesP-P7JHuemnE6QJIa-Nlw/edit?usp=sharing"",""บุรีรัมย์!I183"")"),7)</f>
        <v>7</v>
      </c>
      <c r="X38" s="97">
        <f ca="1">IFERROR(__xludf.DUMMYFUNCTION("IMPORTRANGE(""https://docs.google.com/spreadsheets/d/1MMPq-JyI6DSgQETxuSiXkesP-P7JHuemnE6QJIa-Nlw/edit?usp=sharing"",""บุรีรัมย์!J183"")"),7)</f>
        <v>7</v>
      </c>
      <c r="Y38" s="98">
        <f t="shared" ca="1" si="33"/>
        <v>100</v>
      </c>
      <c r="Z38" s="269">
        <v>0</v>
      </c>
      <c r="AA38" s="269">
        <v>0</v>
      </c>
      <c r="AB38" s="270">
        <v>0</v>
      </c>
    </row>
    <row r="39" spans="1:28" ht="21" customHeight="1" x14ac:dyDescent="0.3">
      <c r="A39" s="89">
        <v>8</v>
      </c>
      <c r="B39" s="90" t="s">
        <v>65</v>
      </c>
      <c r="C39" s="174">
        <f t="shared" ca="1" si="21"/>
        <v>19590</v>
      </c>
      <c r="D39" s="175">
        <f t="shared" ca="1" si="38"/>
        <v>19590</v>
      </c>
      <c r="E39" s="176">
        <f ca="1">IFERROR(__xludf.DUMMYFUNCTION("IMPORTRANGE(""https://docs.google.com/spreadsheets/d/1-uDff_7J0KD5mKrp0Vvzr7lt3OU09vwQwhkpOPPYv2Y/edit?usp=sharing"",""งบพรบ!CL39"")"),0)</f>
        <v>0</v>
      </c>
      <c r="F39" s="176">
        <f ca="1">IFERROR(__xludf.DUMMYFUNCTION("IMPORTRANGE(""https://docs.google.com/spreadsheets/d/1-uDff_7J0KD5mKrp0Vvzr7lt3OU09vwQwhkpOPPYv2Y/edit?usp=sharing"",""งบพรบ!CM39"")"),19590)</f>
        <v>19590</v>
      </c>
      <c r="G39" s="176">
        <f ca="1">IFERROR(__xludf.DUMMYFUNCTION("IMPORTRANGE(""https://docs.google.com/spreadsheets/d/1-uDff_7J0KD5mKrp0Vvzr7lt3OU09vwQwhkpOPPYv2Y/edit?usp=sharing"",""งบพรบ!CN39"")"),0)</f>
        <v>0</v>
      </c>
      <c r="H39" s="176">
        <f ca="1">IFERROR(__xludf.DUMMYFUNCTION("IMPORTRANGE(""https://docs.google.com/spreadsheets/d/1-uDff_7J0KD5mKrp0Vvzr7lt3OU09vwQwhkpOPPYv2Y/edit?usp=sharing"",""งบพรบ!CP39"")"),19590)</f>
        <v>19590</v>
      </c>
      <c r="I39" s="176">
        <f ca="1">IFERROR(__xludf.DUMMYFUNCTION("IMPORTRANGE(""https://docs.google.com/spreadsheets/d/1-uDff_7J0KD5mKrp0Vvzr7lt3OU09vwQwhkpOPPYv2Y/edit?usp=sharing"",""งบพรบ!CQ39"")"),0)</f>
        <v>0</v>
      </c>
      <c r="J39" s="176">
        <f t="shared" ca="1" si="23"/>
        <v>0</v>
      </c>
      <c r="K39" s="179">
        <f t="shared" ca="1" si="24"/>
        <v>0</v>
      </c>
      <c r="L39" s="176">
        <f ca="1">IFERROR(__xludf.DUMMYFUNCTION("IMPORTRANGE(""https://docs.google.com/spreadsheets/d/1-uDff_7J0KD5mKrp0Vvzr7lt3OU09vwQwhkpOPPYv2Y/edit?usp=sharing"",""งบพรบ!CR39"")"),0)</f>
        <v>0</v>
      </c>
      <c r="M39" s="87">
        <f t="shared" ca="1" si="25"/>
        <v>0</v>
      </c>
      <c r="N39" s="87">
        <f t="shared" ca="1" si="26"/>
        <v>0</v>
      </c>
      <c r="O39" s="86">
        <f ca="1">IFERROR(__xludf.DUMMYFUNCTION("IMPORTRANGE(""https://docs.google.com/spreadsheets/d/1-uDff_7J0KD5mKrp0Vvzr7lt3OU09vwQwhkpOPPYv2Y/edit?usp=sharing"",""งบพรบ!CS39"")"),0)</f>
        <v>0</v>
      </c>
      <c r="P39" s="86">
        <f t="shared" ca="1" si="27"/>
        <v>0</v>
      </c>
      <c r="Q39" s="87">
        <f t="shared" ca="1" si="28"/>
        <v>0</v>
      </c>
      <c r="R39" s="241">
        <f ca="1">IFERROR(__xludf.DUMMYFUNCTION("IMPORTRANGE(""https://docs.google.com/spreadsheets/d/1l6IZ8xUPgMrESzcTYwhA1k_tPjeQjJPTqlm8Gd9eU5g/edit?usp=sharing"",""มหาสารคาม!Q173"")"),0)</f>
        <v>0</v>
      </c>
      <c r="S39" s="242">
        <f ca="1">IFERROR(__xludf.DUMMYFUNCTION("IMPORTRANGE(""https://docs.google.com/spreadsheets/d/1l6IZ8xUPgMrESzcTYwhA1k_tPjeQjJPTqlm8Gd9eU5g/edit?usp=sharing"",""มหาสารคาม!R173"")"),0)</f>
        <v>0</v>
      </c>
      <c r="T39" s="242">
        <f ca="1">IFERROR(__xludf.DUMMYFUNCTION("IMPORTRANGE(""https://docs.google.com/spreadsheets/d/1l6IZ8xUPgMrESzcTYwhA1k_tPjeQjJPTqlm8Gd9eU5g/edit?usp=sharing"",""มหาสารคาม!S173"")"),0)</f>
        <v>0</v>
      </c>
      <c r="U39" s="243">
        <f t="shared" ca="1" si="30"/>
        <v>0</v>
      </c>
      <c r="V39" s="243">
        <f t="shared" ca="1" si="31"/>
        <v>0</v>
      </c>
      <c r="W39" s="97">
        <f ca="1">IFERROR(__xludf.DUMMYFUNCTION("IMPORTRANGE(""https://docs.google.com/spreadsheets/d/1l6IZ8xUPgMrESzcTYwhA1k_tPjeQjJPTqlm8Gd9eU5g/edit?usp=sharing"",""มหาสารคาม!I183"")"),7)</f>
        <v>7</v>
      </c>
      <c r="X39" s="97">
        <f ca="1">IFERROR(__xludf.DUMMYFUNCTION("IMPORTRANGE(""https://docs.google.com/spreadsheets/d/1l6IZ8xUPgMrESzcTYwhA1k_tPjeQjJPTqlm8Gd9eU5g/edit?usp=sharing"",""มหาสารคาม!J183"")"),0)</f>
        <v>0</v>
      </c>
      <c r="Y39" s="98">
        <f t="shared" ca="1" si="33"/>
        <v>0</v>
      </c>
      <c r="Z39" s="269">
        <v>0</v>
      </c>
      <c r="AA39" s="269">
        <v>0</v>
      </c>
      <c r="AB39" s="270">
        <v>0</v>
      </c>
    </row>
    <row r="40" spans="1:28" ht="21" customHeight="1" x14ac:dyDescent="0.3">
      <c r="A40" s="89">
        <v>9</v>
      </c>
      <c r="B40" s="90" t="s">
        <v>66</v>
      </c>
      <c r="C40" s="174">
        <f t="shared" ca="1" si="21"/>
        <v>19590</v>
      </c>
      <c r="D40" s="175">
        <f t="shared" ca="1" si="38"/>
        <v>19590</v>
      </c>
      <c r="E40" s="176">
        <f ca="1">IFERROR(__xludf.DUMMYFUNCTION("IMPORTRANGE(""https://docs.google.com/spreadsheets/d/1-uDff_7J0KD5mKrp0Vvzr7lt3OU09vwQwhkpOPPYv2Y/edit?usp=sharing"",""งบพรบ!CL40"")"),0)</f>
        <v>0</v>
      </c>
      <c r="F40" s="176">
        <f ca="1">IFERROR(__xludf.DUMMYFUNCTION("IMPORTRANGE(""https://docs.google.com/spreadsheets/d/1-uDff_7J0KD5mKrp0Vvzr7lt3OU09vwQwhkpOPPYv2Y/edit?usp=sharing"",""งบพรบ!CM40"")"),19590)</f>
        <v>19590</v>
      </c>
      <c r="G40" s="176">
        <f ca="1">IFERROR(__xludf.DUMMYFUNCTION("IMPORTRANGE(""https://docs.google.com/spreadsheets/d/1-uDff_7J0KD5mKrp0Vvzr7lt3OU09vwQwhkpOPPYv2Y/edit?usp=sharing"",""งบพรบ!CN40"")"),0)</f>
        <v>0</v>
      </c>
      <c r="H40" s="176">
        <f ca="1">IFERROR(__xludf.DUMMYFUNCTION("IMPORTRANGE(""https://docs.google.com/spreadsheets/d/1-uDff_7J0KD5mKrp0Vvzr7lt3OU09vwQwhkpOPPYv2Y/edit?usp=sharing"",""งบพรบ!CP40"")"),19590)</f>
        <v>19590</v>
      </c>
      <c r="I40" s="176">
        <f ca="1">IFERROR(__xludf.DUMMYFUNCTION("IMPORTRANGE(""https://docs.google.com/spreadsheets/d/1-uDff_7J0KD5mKrp0Vvzr7lt3OU09vwQwhkpOPPYv2Y/edit?usp=sharing"",""งบพรบ!CQ40"")"),0)</f>
        <v>0</v>
      </c>
      <c r="J40" s="176">
        <f t="shared" ca="1" si="23"/>
        <v>19590</v>
      </c>
      <c r="K40" s="179">
        <f t="shared" ca="1" si="24"/>
        <v>100</v>
      </c>
      <c r="L40" s="176">
        <f ca="1">IFERROR(__xludf.DUMMYFUNCTION("IMPORTRANGE(""https://docs.google.com/spreadsheets/d/1-uDff_7J0KD5mKrp0Vvzr7lt3OU09vwQwhkpOPPYv2Y/edit?usp=sharing"",""งบพรบ!CR40"")"),19590)</f>
        <v>19590</v>
      </c>
      <c r="M40" s="87">
        <f t="shared" ca="1" si="25"/>
        <v>100</v>
      </c>
      <c r="N40" s="87">
        <f t="shared" ca="1" si="26"/>
        <v>100</v>
      </c>
      <c r="O40" s="86">
        <f ca="1">IFERROR(__xludf.DUMMYFUNCTION("IMPORTRANGE(""https://docs.google.com/spreadsheets/d/1-uDff_7J0KD5mKrp0Vvzr7lt3OU09vwQwhkpOPPYv2Y/edit?usp=sharing"",""งบพรบ!CS40"")"),0)</f>
        <v>0</v>
      </c>
      <c r="P40" s="86">
        <f t="shared" ca="1" si="27"/>
        <v>0</v>
      </c>
      <c r="Q40" s="87">
        <f t="shared" ca="1" si="28"/>
        <v>0</v>
      </c>
      <c r="R40" s="241">
        <f ca="1">IFERROR(__xludf.DUMMYFUNCTION("IMPORTRANGE(""https://docs.google.com/spreadsheets/d/1uB74YLqNjWX6FObjekfB2NtSYigTQyR2rq9u4Ub2Sq4/edit?usp=sharing"",""มุกดาหาร!Q173"")"),0)</f>
        <v>0</v>
      </c>
      <c r="S40" s="242">
        <f ca="1">IFERROR(__xludf.DUMMYFUNCTION("IMPORTRANGE(""https://docs.google.com/spreadsheets/d/1uB74YLqNjWX6FObjekfB2NtSYigTQyR2rq9u4Ub2Sq4/edit?usp=sharing"",""มุกดาหาร!R173"")"),0)</f>
        <v>0</v>
      </c>
      <c r="T40" s="242">
        <f ca="1">IFERROR(__xludf.DUMMYFUNCTION("IMPORTRANGE(""https://docs.google.com/spreadsheets/d/1uB74YLqNjWX6FObjekfB2NtSYigTQyR2rq9u4Ub2Sq4/edit?usp=sharing"",""มุกดาหาร!S173"")"),0)</f>
        <v>0</v>
      </c>
      <c r="U40" s="243">
        <f t="shared" ca="1" si="30"/>
        <v>0</v>
      </c>
      <c r="V40" s="243">
        <f t="shared" ca="1" si="31"/>
        <v>0</v>
      </c>
      <c r="W40" s="97">
        <f ca="1">IFERROR(__xludf.DUMMYFUNCTION("IMPORTRANGE(""https://docs.google.com/spreadsheets/d/1uB74YLqNjWX6FObjekfB2NtSYigTQyR2rq9u4Ub2Sq4/edit?usp=sharing"",""มุกดาหาร!I183"")"),7)</f>
        <v>7</v>
      </c>
      <c r="X40" s="97">
        <f ca="1">IFERROR(__xludf.DUMMYFUNCTION("IMPORTRANGE(""https://docs.google.com/spreadsheets/d/1uB74YLqNjWX6FObjekfB2NtSYigTQyR2rq9u4Ub2Sq4/edit?usp=sharing"",""มุกดาหาร!J183"")"),7)</f>
        <v>7</v>
      </c>
      <c r="Y40" s="98">
        <f t="shared" ca="1" si="33"/>
        <v>100</v>
      </c>
      <c r="Z40" s="269">
        <v>0</v>
      </c>
      <c r="AA40" s="269">
        <v>0</v>
      </c>
      <c r="AB40" s="270">
        <v>0</v>
      </c>
    </row>
    <row r="41" spans="1:28" ht="21" customHeight="1" x14ac:dyDescent="0.3">
      <c r="A41" s="89">
        <v>10</v>
      </c>
      <c r="B41" s="90" t="s">
        <v>67</v>
      </c>
      <c r="C41" s="174">
        <f t="shared" ca="1" si="21"/>
        <v>19590</v>
      </c>
      <c r="D41" s="175">
        <f t="shared" ca="1" si="38"/>
        <v>19590</v>
      </c>
      <c r="E41" s="176">
        <f ca="1">IFERROR(__xludf.DUMMYFUNCTION("IMPORTRANGE(""https://docs.google.com/spreadsheets/d/1-uDff_7J0KD5mKrp0Vvzr7lt3OU09vwQwhkpOPPYv2Y/edit?usp=sharing"",""งบพรบ!CL41"")"),0)</f>
        <v>0</v>
      </c>
      <c r="F41" s="176">
        <f ca="1">IFERROR(__xludf.DUMMYFUNCTION("IMPORTRANGE(""https://docs.google.com/spreadsheets/d/1-uDff_7J0KD5mKrp0Vvzr7lt3OU09vwQwhkpOPPYv2Y/edit?usp=sharing"",""งบพรบ!CM41"")"),19590)</f>
        <v>19590</v>
      </c>
      <c r="G41" s="176">
        <f ca="1">IFERROR(__xludf.DUMMYFUNCTION("IMPORTRANGE(""https://docs.google.com/spreadsheets/d/1-uDff_7J0KD5mKrp0Vvzr7lt3OU09vwQwhkpOPPYv2Y/edit?usp=sharing"",""งบพรบ!CN41"")"),0)</f>
        <v>0</v>
      </c>
      <c r="H41" s="176">
        <f ca="1">IFERROR(__xludf.DUMMYFUNCTION("IMPORTRANGE(""https://docs.google.com/spreadsheets/d/1-uDff_7J0KD5mKrp0Vvzr7lt3OU09vwQwhkpOPPYv2Y/edit?usp=sharing"",""งบพรบ!CP41"")"),19590)</f>
        <v>19590</v>
      </c>
      <c r="I41" s="176">
        <f ca="1">IFERROR(__xludf.DUMMYFUNCTION("IMPORTRANGE(""https://docs.google.com/spreadsheets/d/1-uDff_7J0KD5mKrp0Vvzr7lt3OU09vwQwhkpOPPYv2Y/edit?usp=sharing"",""งบพรบ!CQ41"")"),0)</f>
        <v>0</v>
      </c>
      <c r="J41" s="176">
        <f t="shared" ca="1" si="23"/>
        <v>0</v>
      </c>
      <c r="K41" s="179">
        <f t="shared" ca="1" si="24"/>
        <v>0</v>
      </c>
      <c r="L41" s="176">
        <f ca="1">IFERROR(__xludf.DUMMYFUNCTION("IMPORTRANGE(""https://docs.google.com/spreadsheets/d/1-uDff_7J0KD5mKrp0Vvzr7lt3OU09vwQwhkpOPPYv2Y/edit?usp=sharing"",""งบพรบ!CR41"")"),0)</f>
        <v>0</v>
      </c>
      <c r="M41" s="87">
        <f t="shared" ca="1" si="25"/>
        <v>0</v>
      </c>
      <c r="N41" s="87">
        <f t="shared" ca="1" si="26"/>
        <v>0</v>
      </c>
      <c r="O41" s="86">
        <f ca="1">IFERROR(__xludf.DUMMYFUNCTION("IMPORTRANGE(""https://docs.google.com/spreadsheets/d/1-uDff_7J0KD5mKrp0Vvzr7lt3OU09vwQwhkpOPPYv2Y/edit?usp=sharing"",""งบพรบ!CS41"")"),0)</f>
        <v>0</v>
      </c>
      <c r="P41" s="86">
        <f t="shared" ca="1" si="27"/>
        <v>0</v>
      </c>
      <c r="Q41" s="87">
        <f t="shared" ca="1" si="28"/>
        <v>0</v>
      </c>
      <c r="R41" s="241">
        <f ca="1">IFERROR(__xludf.DUMMYFUNCTION("IMPORTRANGE(""https://docs.google.com/spreadsheets/d/1NexK3geCPxCTO1fzNF8dPec7yZyUx3OaWkFBC9HsQOo/edit?usp=sharing"",""ยโสธร!Q173"")"),0)</f>
        <v>0</v>
      </c>
      <c r="S41" s="242">
        <f ca="1">IFERROR(__xludf.DUMMYFUNCTION("IMPORTRANGE(""https://docs.google.com/spreadsheets/d/1NexK3geCPxCTO1fzNF8dPec7yZyUx3OaWkFBC9HsQOo/edit?usp=sharing"",""ยโสธร!R173"")"),0)</f>
        <v>0</v>
      </c>
      <c r="T41" s="242">
        <f ca="1">IFERROR(__xludf.DUMMYFUNCTION("IMPORTRANGE(""https://docs.google.com/spreadsheets/d/1NexK3geCPxCTO1fzNF8dPec7yZyUx3OaWkFBC9HsQOo/edit?usp=sharing"",""ยโสธร!S173"")"),0)</f>
        <v>0</v>
      </c>
      <c r="U41" s="243">
        <f t="shared" ca="1" si="30"/>
        <v>0</v>
      </c>
      <c r="V41" s="243">
        <f t="shared" ca="1" si="31"/>
        <v>0</v>
      </c>
      <c r="W41" s="97">
        <f ca="1">IFERROR(__xludf.DUMMYFUNCTION("IMPORTRANGE(""https://docs.google.com/spreadsheets/d/1NexK3geCPxCTO1fzNF8dPec7yZyUx3OaWkFBC9HsQOo/edit?usp=sharing"",""ยโสธร!I183"")"),7)</f>
        <v>7</v>
      </c>
      <c r="X41" s="97">
        <f ca="1">IFERROR(__xludf.DUMMYFUNCTION("IMPORTRANGE(""https://docs.google.com/spreadsheets/d/1NexK3geCPxCTO1fzNF8dPec7yZyUx3OaWkFBC9HsQOo/edit?usp=sharing"",""ยโสธร!J183"")"),0)</f>
        <v>0</v>
      </c>
      <c r="Y41" s="98">
        <f t="shared" ca="1" si="33"/>
        <v>0</v>
      </c>
      <c r="Z41" s="269">
        <v>0</v>
      </c>
      <c r="AA41" s="269">
        <v>0</v>
      </c>
      <c r="AB41" s="270">
        <v>0</v>
      </c>
    </row>
    <row r="42" spans="1:28" ht="21" customHeight="1" x14ac:dyDescent="0.3">
      <c r="A42" s="89">
        <v>11</v>
      </c>
      <c r="B42" s="90" t="s">
        <v>68</v>
      </c>
      <c r="C42" s="174">
        <f t="shared" ca="1" si="21"/>
        <v>19590</v>
      </c>
      <c r="D42" s="175">
        <f t="shared" ca="1" si="38"/>
        <v>19590</v>
      </c>
      <c r="E42" s="176">
        <f ca="1">IFERROR(__xludf.DUMMYFUNCTION("IMPORTRANGE(""https://docs.google.com/spreadsheets/d/1-uDff_7J0KD5mKrp0Vvzr7lt3OU09vwQwhkpOPPYv2Y/edit?usp=sharing"",""งบพรบ!CL42"")"),0)</f>
        <v>0</v>
      </c>
      <c r="F42" s="176">
        <f ca="1">IFERROR(__xludf.DUMMYFUNCTION("IMPORTRANGE(""https://docs.google.com/spreadsheets/d/1-uDff_7J0KD5mKrp0Vvzr7lt3OU09vwQwhkpOPPYv2Y/edit?usp=sharing"",""งบพรบ!CM42"")"),19590)</f>
        <v>19590</v>
      </c>
      <c r="G42" s="176">
        <f ca="1">IFERROR(__xludf.DUMMYFUNCTION("IMPORTRANGE(""https://docs.google.com/spreadsheets/d/1-uDff_7J0KD5mKrp0Vvzr7lt3OU09vwQwhkpOPPYv2Y/edit?usp=sharing"",""งบพรบ!CN42"")"),0)</f>
        <v>0</v>
      </c>
      <c r="H42" s="176">
        <f ca="1">IFERROR(__xludf.DUMMYFUNCTION("IMPORTRANGE(""https://docs.google.com/spreadsheets/d/1-uDff_7J0KD5mKrp0Vvzr7lt3OU09vwQwhkpOPPYv2Y/edit?usp=sharing"",""งบพรบ!CP42"")"),19590)</f>
        <v>19590</v>
      </c>
      <c r="I42" s="176">
        <f ca="1">IFERROR(__xludf.DUMMYFUNCTION("IMPORTRANGE(""https://docs.google.com/spreadsheets/d/1-uDff_7J0KD5mKrp0Vvzr7lt3OU09vwQwhkpOPPYv2Y/edit?usp=sharing"",""งบพรบ!CQ42"")"),0)</f>
        <v>0</v>
      </c>
      <c r="J42" s="176">
        <f t="shared" ca="1" si="23"/>
        <v>19590</v>
      </c>
      <c r="K42" s="179">
        <f t="shared" ca="1" si="24"/>
        <v>100</v>
      </c>
      <c r="L42" s="176">
        <f ca="1">IFERROR(__xludf.DUMMYFUNCTION("IMPORTRANGE(""https://docs.google.com/spreadsheets/d/1-uDff_7J0KD5mKrp0Vvzr7lt3OU09vwQwhkpOPPYv2Y/edit?usp=sharing"",""งบพรบ!CR42"")"),19590)</f>
        <v>19590</v>
      </c>
      <c r="M42" s="87">
        <f t="shared" ca="1" si="25"/>
        <v>100</v>
      </c>
      <c r="N42" s="87">
        <f t="shared" ca="1" si="26"/>
        <v>100</v>
      </c>
      <c r="O42" s="86">
        <f ca="1">IFERROR(__xludf.DUMMYFUNCTION("IMPORTRANGE(""https://docs.google.com/spreadsheets/d/1-uDff_7J0KD5mKrp0Vvzr7lt3OU09vwQwhkpOPPYv2Y/edit?usp=sharing"",""งบพรบ!CS42"")"),0)</f>
        <v>0</v>
      </c>
      <c r="P42" s="86">
        <f t="shared" ca="1" si="27"/>
        <v>0</v>
      </c>
      <c r="Q42" s="87">
        <f t="shared" ca="1" si="28"/>
        <v>0</v>
      </c>
      <c r="R42" s="241">
        <f ca="1">IFERROR(__xludf.DUMMYFUNCTION("IMPORTRANGE(""https://docs.google.com/spreadsheets/d/1v_cJrbBlyqmnHPReHk44g9NrMRdENNlSy_E_c5M9fIg/edit?usp=sharing"",""ร้อยเอ็ด!Q173"")"),0)</f>
        <v>0</v>
      </c>
      <c r="S42" s="242">
        <f ca="1">IFERROR(__xludf.DUMMYFUNCTION("IMPORTRANGE(""https://docs.google.com/spreadsheets/d/1v_cJrbBlyqmnHPReHk44g9NrMRdENNlSy_E_c5M9fIg/edit?usp=sharing"",""ร้อยเอ็ด!R173"")"),0)</f>
        <v>0</v>
      </c>
      <c r="T42" s="242">
        <f ca="1">IFERROR(__xludf.DUMMYFUNCTION("IMPORTRANGE(""https://docs.google.com/spreadsheets/d/1v_cJrbBlyqmnHPReHk44g9NrMRdENNlSy_E_c5M9fIg/edit?usp=sharing"",""ร้อยเอ็ด!S173"")"),0)</f>
        <v>0</v>
      </c>
      <c r="U42" s="243">
        <f t="shared" ca="1" si="30"/>
        <v>0</v>
      </c>
      <c r="V42" s="243">
        <f t="shared" ca="1" si="31"/>
        <v>0</v>
      </c>
      <c r="W42" s="97">
        <f ca="1">IFERROR(__xludf.DUMMYFUNCTION("IMPORTRANGE(""https://docs.google.com/spreadsheets/d/1v_cJrbBlyqmnHPReHk44g9NrMRdENNlSy_E_c5M9fIg/edit?usp=sharing"",""ร้อยเอ็ด!I183"")"),7)</f>
        <v>7</v>
      </c>
      <c r="X42" s="97">
        <f ca="1">IFERROR(__xludf.DUMMYFUNCTION("IMPORTRANGE(""https://docs.google.com/spreadsheets/d/1v_cJrbBlyqmnHPReHk44g9NrMRdENNlSy_E_c5M9fIg/edit?usp=sharing"",""ร้อยเอ็ด!J183"")"),0)</f>
        <v>0</v>
      </c>
      <c r="Y42" s="98">
        <f t="shared" ca="1" si="33"/>
        <v>0</v>
      </c>
      <c r="Z42" s="269">
        <v>0</v>
      </c>
      <c r="AA42" s="269">
        <v>0</v>
      </c>
      <c r="AB42" s="270">
        <v>0</v>
      </c>
    </row>
    <row r="43" spans="1:28" ht="21" customHeight="1" x14ac:dyDescent="0.3">
      <c r="A43" s="89">
        <v>12</v>
      </c>
      <c r="B43" s="90" t="s">
        <v>69</v>
      </c>
      <c r="C43" s="174">
        <f t="shared" ca="1" si="21"/>
        <v>19590</v>
      </c>
      <c r="D43" s="175">
        <f t="shared" ca="1" si="38"/>
        <v>19590</v>
      </c>
      <c r="E43" s="176">
        <f ca="1">IFERROR(__xludf.DUMMYFUNCTION("IMPORTRANGE(""https://docs.google.com/spreadsheets/d/1-uDff_7J0KD5mKrp0Vvzr7lt3OU09vwQwhkpOPPYv2Y/edit?usp=sharing"",""งบพรบ!CL43"")"),0)</f>
        <v>0</v>
      </c>
      <c r="F43" s="176">
        <f ca="1">IFERROR(__xludf.DUMMYFUNCTION("IMPORTRANGE(""https://docs.google.com/spreadsheets/d/1-uDff_7J0KD5mKrp0Vvzr7lt3OU09vwQwhkpOPPYv2Y/edit?usp=sharing"",""งบพรบ!CM43"")"),19590)</f>
        <v>19590</v>
      </c>
      <c r="G43" s="176">
        <f ca="1">IFERROR(__xludf.DUMMYFUNCTION("IMPORTRANGE(""https://docs.google.com/spreadsheets/d/1-uDff_7J0KD5mKrp0Vvzr7lt3OU09vwQwhkpOPPYv2Y/edit?usp=sharing"",""งบพรบ!CN43"")"),0)</f>
        <v>0</v>
      </c>
      <c r="H43" s="176">
        <f ca="1">IFERROR(__xludf.DUMMYFUNCTION("IMPORTRANGE(""https://docs.google.com/spreadsheets/d/1-uDff_7J0KD5mKrp0Vvzr7lt3OU09vwQwhkpOPPYv2Y/edit?usp=sharing"",""งบพรบ!CP43"")"),19590)</f>
        <v>19590</v>
      </c>
      <c r="I43" s="176">
        <f ca="1">IFERROR(__xludf.DUMMYFUNCTION("IMPORTRANGE(""https://docs.google.com/spreadsheets/d/1-uDff_7J0KD5mKrp0Vvzr7lt3OU09vwQwhkpOPPYv2Y/edit?usp=sharing"",""งบพรบ!CQ43"")"),0)</f>
        <v>0</v>
      </c>
      <c r="J43" s="176">
        <f t="shared" ca="1" si="23"/>
        <v>18550</v>
      </c>
      <c r="K43" s="179">
        <f t="shared" ca="1" si="24"/>
        <v>94.691168963757022</v>
      </c>
      <c r="L43" s="176">
        <f ca="1">IFERROR(__xludf.DUMMYFUNCTION("IMPORTRANGE(""https://docs.google.com/spreadsheets/d/1-uDff_7J0KD5mKrp0Vvzr7lt3OU09vwQwhkpOPPYv2Y/edit?usp=sharing"",""งบพรบ!CR43"")"),18550)</f>
        <v>18550</v>
      </c>
      <c r="M43" s="87">
        <f t="shared" ca="1" si="25"/>
        <v>94.691168963757022</v>
      </c>
      <c r="N43" s="87">
        <f t="shared" ca="1" si="26"/>
        <v>94.691168963757022</v>
      </c>
      <c r="O43" s="86">
        <f ca="1">IFERROR(__xludf.DUMMYFUNCTION("IMPORTRANGE(""https://docs.google.com/spreadsheets/d/1-uDff_7J0KD5mKrp0Vvzr7lt3OU09vwQwhkpOPPYv2Y/edit?usp=sharing"",""งบพรบ!CS43"")"),0)</f>
        <v>0</v>
      </c>
      <c r="P43" s="86">
        <f t="shared" ca="1" si="27"/>
        <v>0</v>
      </c>
      <c r="Q43" s="87">
        <f t="shared" ca="1" si="28"/>
        <v>0</v>
      </c>
      <c r="R43" s="241">
        <f ca="1">IFERROR(__xludf.DUMMYFUNCTION("IMPORTRANGE(""https://docs.google.com/spreadsheets/d/1Ul4RCpCX66NxYADU1QpwAPjOmBzW64SsT11s1wzXw_c/edit?usp=sharing"",""เลย!Q173"")"),0)</f>
        <v>0</v>
      </c>
      <c r="S43" s="242">
        <f ca="1">IFERROR(__xludf.DUMMYFUNCTION("IMPORTRANGE(""https://docs.google.com/spreadsheets/d/1Ul4RCpCX66NxYADU1QpwAPjOmBzW64SsT11s1wzXw_c/edit?usp=sharing"",""เลย!R173"")"),0)</f>
        <v>0</v>
      </c>
      <c r="T43" s="242">
        <f ca="1">IFERROR(__xludf.DUMMYFUNCTION("IMPORTRANGE(""https://docs.google.com/spreadsheets/d/1Ul4RCpCX66NxYADU1QpwAPjOmBzW64SsT11s1wzXw_c/edit?usp=sharing"",""เลย!S173"")"),0)</f>
        <v>0</v>
      </c>
      <c r="U43" s="243">
        <f t="shared" ca="1" si="30"/>
        <v>0</v>
      </c>
      <c r="V43" s="243">
        <f t="shared" ca="1" si="31"/>
        <v>0</v>
      </c>
      <c r="W43" s="97">
        <f ca="1">IFERROR(__xludf.DUMMYFUNCTION("IMPORTRANGE(""https://docs.google.com/spreadsheets/d/1Ul4RCpCX66NxYADU1QpwAPjOmBzW64SsT11s1wzXw_c/edit?usp=sharing"",""เลย!I183"")"),7)</f>
        <v>7</v>
      </c>
      <c r="X43" s="97">
        <f ca="1">IFERROR(__xludf.DUMMYFUNCTION("IMPORTRANGE(""https://docs.google.com/spreadsheets/d/1Ul4RCpCX66NxYADU1QpwAPjOmBzW64SsT11s1wzXw_c/edit?usp=sharing"",""เลย!J183"")"),7)</f>
        <v>7</v>
      </c>
      <c r="Y43" s="98">
        <f t="shared" ca="1" si="33"/>
        <v>100</v>
      </c>
      <c r="Z43" s="269">
        <v>0</v>
      </c>
      <c r="AA43" s="269">
        <v>0</v>
      </c>
      <c r="AB43" s="270">
        <v>0</v>
      </c>
    </row>
    <row r="44" spans="1:28" ht="21" customHeight="1" x14ac:dyDescent="0.3">
      <c r="A44" s="89">
        <v>13</v>
      </c>
      <c r="B44" s="90" t="s">
        <v>70</v>
      </c>
      <c r="C44" s="174">
        <f t="shared" ca="1" si="21"/>
        <v>19590</v>
      </c>
      <c r="D44" s="175">
        <f t="shared" ca="1" si="38"/>
        <v>19590</v>
      </c>
      <c r="E44" s="176">
        <f ca="1">IFERROR(__xludf.DUMMYFUNCTION("IMPORTRANGE(""https://docs.google.com/spreadsheets/d/1-uDff_7J0KD5mKrp0Vvzr7lt3OU09vwQwhkpOPPYv2Y/edit?usp=sharing"",""งบพรบ!CL44"")"),0)</f>
        <v>0</v>
      </c>
      <c r="F44" s="176">
        <f ca="1">IFERROR(__xludf.DUMMYFUNCTION("IMPORTRANGE(""https://docs.google.com/spreadsheets/d/1-uDff_7J0KD5mKrp0Vvzr7lt3OU09vwQwhkpOPPYv2Y/edit?usp=sharing"",""งบพรบ!CM44"")"),19590)</f>
        <v>19590</v>
      </c>
      <c r="G44" s="176">
        <f ca="1">IFERROR(__xludf.DUMMYFUNCTION("IMPORTRANGE(""https://docs.google.com/spreadsheets/d/1-uDff_7J0KD5mKrp0Vvzr7lt3OU09vwQwhkpOPPYv2Y/edit?usp=sharing"",""งบพรบ!CN44"")"),0)</f>
        <v>0</v>
      </c>
      <c r="H44" s="176">
        <f ca="1">IFERROR(__xludf.DUMMYFUNCTION("IMPORTRANGE(""https://docs.google.com/spreadsheets/d/1-uDff_7J0KD5mKrp0Vvzr7lt3OU09vwQwhkpOPPYv2Y/edit?usp=sharing"",""งบพรบ!CP44"")"),19590)</f>
        <v>19590</v>
      </c>
      <c r="I44" s="176">
        <f ca="1">IFERROR(__xludf.DUMMYFUNCTION("IMPORTRANGE(""https://docs.google.com/spreadsheets/d/1-uDff_7J0KD5mKrp0Vvzr7lt3OU09vwQwhkpOPPYv2Y/edit?usp=sharing"",""งบพรบ!CQ44"")"),0)</f>
        <v>0</v>
      </c>
      <c r="J44" s="176">
        <f t="shared" ca="1" si="23"/>
        <v>19590</v>
      </c>
      <c r="K44" s="179">
        <f t="shared" ca="1" si="24"/>
        <v>100</v>
      </c>
      <c r="L44" s="176">
        <f ca="1">IFERROR(__xludf.DUMMYFUNCTION("IMPORTRANGE(""https://docs.google.com/spreadsheets/d/1-uDff_7J0KD5mKrp0Vvzr7lt3OU09vwQwhkpOPPYv2Y/edit?usp=sharing"",""งบพรบ!CR44"")"),19590)</f>
        <v>19590</v>
      </c>
      <c r="M44" s="87">
        <f t="shared" ca="1" si="25"/>
        <v>100</v>
      </c>
      <c r="N44" s="87">
        <f t="shared" ca="1" si="26"/>
        <v>100</v>
      </c>
      <c r="O44" s="86">
        <f ca="1">IFERROR(__xludf.DUMMYFUNCTION("IMPORTRANGE(""https://docs.google.com/spreadsheets/d/1-uDff_7J0KD5mKrp0Vvzr7lt3OU09vwQwhkpOPPYv2Y/edit?usp=sharing"",""งบพรบ!CS44"")"),0)</f>
        <v>0</v>
      </c>
      <c r="P44" s="86">
        <f t="shared" ca="1" si="27"/>
        <v>0</v>
      </c>
      <c r="Q44" s="87">
        <f t="shared" ca="1" si="28"/>
        <v>0</v>
      </c>
      <c r="R44" s="241">
        <f ca="1">IFERROR(__xludf.DUMMYFUNCTION("IMPORTRANGE(""https://docs.google.com/spreadsheets/d/1bRrNKwbHDVktQG10isr5vbWRtt5spIZPpkOSWgbT5ug/edit?usp=sharing"",""ศรีสะเกษ!Q173"")"),0)</f>
        <v>0</v>
      </c>
      <c r="S44" s="242">
        <f ca="1">IFERROR(__xludf.DUMMYFUNCTION("IMPORTRANGE(""https://docs.google.com/spreadsheets/d/1bRrNKwbHDVktQG10isr5vbWRtt5spIZPpkOSWgbT5ug/edit?usp=sharing"",""ศรีสะเกษ!R173"")"),0)</f>
        <v>0</v>
      </c>
      <c r="T44" s="242">
        <f ca="1">IFERROR(__xludf.DUMMYFUNCTION("IMPORTRANGE(""https://docs.google.com/spreadsheets/d/1bRrNKwbHDVktQG10isr5vbWRtt5spIZPpkOSWgbT5ug/edit?usp=sharing"",""ศรีสะเกษ!S173"")"),0)</f>
        <v>0</v>
      </c>
      <c r="U44" s="243">
        <f t="shared" ca="1" si="30"/>
        <v>0</v>
      </c>
      <c r="V44" s="243">
        <f t="shared" ca="1" si="31"/>
        <v>0</v>
      </c>
      <c r="W44" s="97">
        <f ca="1">IFERROR(__xludf.DUMMYFUNCTION("IMPORTRANGE(""https://docs.google.com/spreadsheets/d/1bRrNKwbHDVktQG10isr5vbWRtt5spIZPpkOSWgbT5ug/edit?usp=sharing"",""ศรีสะเกษ!I183"")"),7)</f>
        <v>7</v>
      </c>
      <c r="X44" s="97">
        <f ca="1">IFERROR(__xludf.DUMMYFUNCTION("IMPORTRANGE(""https://docs.google.com/spreadsheets/d/1bRrNKwbHDVktQG10isr5vbWRtt5spIZPpkOSWgbT5ug/edit?usp=sharing"",""ศรีสะเกษ!J183"")"),0)</f>
        <v>0</v>
      </c>
      <c r="Y44" s="98">
        <f t="shared" ca="1" si="33"/>
        <v>0</v>
      </c>
      <c r="Z44" s="269">
        <v>0</v>
      </c>
      <c r="AA44" s="269">
        <v>0</v>
      </c>
      <c r="AB44" s="270">
        <v>0</v>
      </c>
    </row>
    <row r="45" spans="1:28" ht="21" customHeight="1" x14ac:dyDescent="0.3">
      <c r="A45" s="89">
        <v>14</v>
      </c>
      <c r="B45" s="90" t="s">
        <v>71</v>
      </c>
      <c r="C45" s="174">
        <f t="shared" ca="1" si="21"/>
        <v>19590</v>
      </c>
      <c r="D45" s="175">
        <f t="shared" ca="1" si="38"/>
        <v>19590</v>
      </c>
      <c r="E45" s="176">
        <f ca="1">IFERROR(__xludf.DUMMYFUNCTION("IMPORTRANGE(""https://docs.google.com/spreadsheets/d/1-uDff_7J0KD5mKrp0Vvzr7lt3OU09vwQwhkpOPPYv2Y/edit?usp=sharing"",""งบพรบ!CL45"")"),0)</f>
        <v>0</v>
      </c>
      <c r="F45" s="176">
        <f ca="1">IFERROR(__xludf.DUMMYFUNCTION("IMPORTRANGE(""https://docs.google.com/spreadsheets/d/1-uDff_7J0KD5mKrp0Vvzr7lt3OU09vwQwhkpOPPYv2Y/edit?usp=sharing"",""งบพรบ!CM45"")"),19590)</f>
        <v>19590</v>
      </c>
      <c r="G45" s="176">
        <f ca="1">IFERROR(__xludf.DUMMYFUNCTION("IMPORTRANGE(""https://docs.google.com/spreadsheets/d/1-uDff_7J0KD5mKrp0Vvzr7lt3OU09vwQwhkpOPPYv2Y/edit?usp=sharing"",""งบพรบ!CN45"")"),0)</f>
        <v>0</v>
      </c>
      <c r="H45" s="176">
        <f ca="1">IFERROR(__xludf.DUMMYFUNCTION("IMPORTRANGE(""https://docs.google.com/spreadsheets/d/1-uDff_7J0KD5mKrp0Vvzr7lt3OU09vwQwhkpOPPYv2Y/edit?usp=sharing"",""งบพรบ!CP45"")"),19590)</f>
        <v>19590</v>
      </c>
      <c r="I45" s="176">
        <f ca="1">IFERROR(__xludf.DUMMYFUNCTION("IMPORTRANGE(""https://docs.google.com/spreadsheets/d/1-uDff_7J0KD5mKrp0Vvzr7lt3OU09vwQwhkpOPPYv2Y/edit?usp=sharing"",""งบพรบ!CQ45"")"),0)</f>
        <v>0</v>
      </c>
      <c r="J45" s="176">
        <f t="shared" ca="1" si="23"/>
        <v>19590</v>
      </c>
      <c r="K45" s="179">
        <f t="shared" ca="1" si="24"/>
        <v>100</v>
      </c>
      <c r="L45" s="176">
        <f ca="1">IFERROR(__xludf.DUMMYFUNCTION("IMPORTRANGE(""https://docs.google.com/spreadsheets/d/1-uDff_7J0KD5mKrp0Vvzr7lt3OU09vwQwhkpOPPYv2Y/edit?usp=sharing"",""งบพรบ!CR45"")"),19590)</f>
        <v>19590</v>
      </c>
      <c r="M45" s="87">
        <f t="shared" ca="1" si="25"/>
        <v>100</v>
      </c>
      <c r="N45" s="87">
        <f t="shared" ca="1" si="26"/>
        <v>100</v>
      </c>
      <c r="O45" s="86">
        <f ca="1">IFERROR(__xludf.DUMMYFUNCTION("IMPORTRANGE(""https://docs.google.com/spreadsheets/d/1-uDff_7J0KD5mKrp0Vvzr7lt3OU09vwQwhkpOPPYv2Y/edit?usp=sharing"",""งบพรบ!CS45"")"),0)</f>
        <v>0</v>
      </c>
      <c r="P45" s="86">
        <f t="shared" ca="1" si="27"/>
        <v>0</v>
      </c>
      <c r="Q45" s="87">
        <f t="shared" ca="1" si="28"/>
        <v>0</v>
      </c>
      <c r="R45" s="241">
        <f ca="1">IFERROR(__xludf.DUMMYFUNCTION("IMPORTRANGE(""https://docs.google.com/spreadsheets/d/17P34_Ow5kFBfdQD0qspb2UuPX5zpi6WMrQzslghyvrI/edit?usp=sharing"",""สกลนคร!Q173"")"),0)</f>
        <v>0</v>
      </c>
      <c r="S45" s="242">
        <f ca="1">IFERROR(__xludf.DUMMYFUNCTION("IMPORTRANGE(""https://docs.google.com/spreadsheets/d/17P34_Ow5kFBfdQD0qspb2UuPX5zpi6WMrQzslghyvrI/edit?usp=sharing"",""สกลนคร!R173"")"),0)</f>
        <v>0</v>
      </c>
      <c r="T45" s="242">
        <f ca="1">IFERROR(__xludf.DUMMYFUNCTION("IMPORTRANGE(""https://docs.google.com/spreadsheets/d/17P34_Ow5kFBfdQD0qspb2UuPX5zpi6WMrQzslghyvrI/edit?usp=sharing"",""สกลนคร!S173"")"),0)</f>
        <v>0</v>
      </c>
      <c r="U45" s="243">
        <f t="shared" ca="1" si="30"/>
        <v>0</v>
      </c>
      <c r="V45" s="243">
        <f t="shared" ca="1" si="31"/>
        <v>0</v>
      </c>
      <c r="W45" s="97">
        <f ca="1">IFERROR(__xludf.DUMMYFUNCTION("IMPORTRANGE(""https://docs.google.com/spreadsheets/d/17P34_Ow5kFBfdQD0qspb2UuPX5zpi6WMrQzslghyvrI/edit?usp=sharing"",""สกลนคร!I183"")"),7)</f>
        <v>7</v>
      </c>
      <c r="X45" s="97">
        <f ca="1">IFERROR(__xludf.DUMMYFUNCTION("IMPORTRANGE(""https://docs.google.com/spreadsheets/d/17P34_Ow5kFBfdQD0qspb2UuPX5zpi6WMrQzslghyvrI/edit?usp=sharing"",""สกลนคร!J183"")"),7)</f>
        <v>7</v>
      </c>
      <c r="Y45" s="98">
        <f t="shared" ca="1" si="33"/>
        <v>100</v>
      </c>
      <c r="Z45" s="269">
        <v>0</v>
      </c>
      <c r="AA45" s="269">
        <v>0</v>
      </c>
      <c r="AB45" s="270">
        <v>0</v>
      </c>
    </row>
    <row r="46" spans="1:28" ht="21" customHeight="1" x14ac:dyDescent="0.3">
      <c r="A46" s="89">
        <v>15</v>
      </c>
      <c r="B46" s="90" t="s">
        <v>72</v>
      </c>
      <c r="C46" s="174">
        <f t="shared" ca="1" si="21"/>
        <v>19590</v>
      </c>
      <c r="D46" s="175">
        <f t="shared" ca="1" si="38"/>
        <v>19590</v>
      </c>
      <c r="E46" s="176">
        <f ca="1">IFERROR(__xludf.DUMMYFUNCTION("IMPORTRANGE(""https://docs.google.com/spreadsheets/d/1-uDff_7J0KD5mKrp0Vvzr7lt3OU09vwQwhkpOPPYv2Y/edit?usp=sharing"",""งบพรบ!CL46"")"),0)</f>
        <v>0</v>
      </c>
      <c r="F46" s="176">
        <f ca="1">IFERROR(__xludf.DUMMYFUNCTION("IMPORTRANGE(""https://docs.google.com/spreadsheets/d/1-uDff_7J0KD5mKrp0Vvzr7lt3OU09vwQwhkpOPPYv2Y/edit?usp=sharing"",""งบพรบ!CM46"")"),19590)</f>
        <v>19590</v>
      </c>
      <c r="G46" s="176">
        <f ca="1">IFERROR(__xludf.DUMMYFUNCTION("IMPORTRANGE(""https://docs.google.com/spreadsheets/d/1-uDff_7J0KD5mKrp0Vvzr7lt3OU09vwQwhkpOPPYv2Y/edit?usp=sharing"",""งบพรบ!CN46"")"),0)</f>
        <v>0</v>
      </c>
      <c r="H46" s="176">
        <f ca="1">IFERROR(__xludf.DUMMYFUNCTION("IMPORTRANGE(""https://docs.google.com/spreadsheets/d/1-uDff_7J0KD5mKrp0Vvzr7lt3OU09vwQwhkpOPPYv2Y/edit?usp=sharing"",""งบพรบ!CP46"")"),19590)</f>
        <v>19590</v>
      </c>
      <c r="I46" s="176">
        <f ca="1">IFERROR(__xludf.DUMMYFUNCTION("IMPORTRANGE(""https://docs.google.com/spreadsheets/d/1-uDff_7J0KD5mKrp0Vvzr7lt3OU09vwQwhkpOPPYv2Y/edit?usp=sharing"",""งบพรบ!CQ46"")"),0)</f>
        <v>0</v>
      </c>
      <c r="J46" s="176">
        <f t="shared" ca="1" si="23"/>
        <v>0</v>
      </c>
      <c r="K46" s="179">
        <f t="shared" ca="1" si="24"/>
        <v>0</v>
      </c>
      <c r="L46" s="176">
        <f ca="1">IFERROR(__xludf.DUMMYFUNCTION("IMPORTRANGE(""https://docs.google.com/spreadsheets/d/1-uDff_7J0KD5mKrp0Vvzr7lt3OU09vwQwhkpOPPYv2Y/edit?usp=sharing"",""งบพรบ!CR46"")"),0)</f>
        <v>0</v>
      </c>
      <c r="M46" s="87">
        <f t="shared" ca="1" si="25"/>
        <v>0</v>
      </c>
      <c r="N46" s="87">
        <f t="shared" ca="1" si="26"/>
        <v>0</v>
      </c>
      <c r="O46" s="86">
        <f ca="1">IFERROR(__xludf.DUMMYFUNCTION("IMPORTRANGE(""https://docs.google.com/spreadsheets/d/1-uDff_7J0KD5mKrp0Vvzr7lt3OU09vwQwhkpOPPYv2Y/edit?usp=sharing"",""งบพรบ!CS46"")"),0)</f>
        <v>0</v>
      </c>
      <c r="P46" s="86">
        <f t="shared" ca="1" si="27"/>
        <v>0</v>
      </c>
      <c r="Q46" s="87">
        <f t="shared" ca="1" si="28"/>
        <v>0</v>
      </c>
      <c r="R46" s="241">
        <f ca="1">IFERROR(__xludf.DUMMYFUNCTION("IMPORTRANGE(""https://docs.google.com/spreadsheets/d/1yswqbM3-AEpThF3ZSUa1AcmHnmRTF1vlJ1CZGcJ8YuU/edit?usp=sharing"",""สุรินทร์!Q173"")"),0)</f>
        <v>0</v>
      </c>
      <c r="S46" s="242">
        <f ca="1">IFERROR(__xludf.DUMMYFUNCTION("IMPORTRANGE(""https://docs.google.com/spreadsheets/d/1yswqbM3-AEpThF3ZSUa1AcmHnmRTF1vlJ1CZGcJ8YuU/edit?usp=sharing"",""สุรินทร์!R173"")"),0)</f>
        <v>0</v>
      </c>
      <c r="T46" s="242">
        <f ca="1">IFERROR(__xludf.DUMMYFUNCTION("IMPORTRANGE(""https://docs.google.com/spreadsheets/d/1yswqbM3-AEpThF3ZSUa1AcmHnmRTF1vlJ1CZGcJ8YuU/edit?usp=sharing"",""สุรินทร์!S173"")"),0)</f>
        <v>0</v>
      </c>
      <c r="U46" s="243">
        <f t="shared" ca="1" si="30"/>
        <v>0</v>
      </c>
      <c r="V46" s="243">
        <f t="shared" ca="1" si="31"/>
        <v>0</v>
      </c>
      <c r="W46" s="97">
        <f ca="1">IFERROR(__xludf.DUMMYFUNCTION("IMPORTRANGE(""https://docs.google.com/spreadsheets/d/1yswqbM3-AEpThF3ZSUa1AcmHnmRTF1vlJ1CZGcJ8YuU/edit?usp=sharing"",""สุรินทร์!I183"")"),7)</f>
        <v>7</v>
      </c>
      <c r="X46" s="97">
        <f ca="1">IFERROR(__xludf.DUMMYFUNCTION("IMPORTRANGE(""https://docs.google.com/spreadsheets/d/1yswqbM3-AEpThF3ZSUa1AcmHnmRTF1vlJ1CZGcJ8YuU/edit?usp=sharing"",""สุรินทร์!J183"")"),0)</f>
        <v>0</v>
      </c>
      <c r="Y46" s="98">
        <f t="shared" ca="1" si="33"/>
        <v>0</v>
      </c>
      <c r="Z46" s="269">
        <v>0</v>
      </c>
      <c r="AA46" s="269">
        <v>0</v>
      </c>
      <c r="AB46" s="270">
        <v>0</v>
      </c>
    </row>
    <row r="47" spans="1:28" ht="21" customHeight="1" x14ac:dyDescent="0.3">
      <c r="A47" s="89">
        <v>16</v>
      </c>
      <c r="B47" s="90" t="s">
        <v>73</v>
      </c>
      <c r="C47" s="174">
        <f t="shared" ca="1" si="21"/>
        <v>19590</v>
      </c>
      <c r="D47" s="175">
        <f t="shared" ca="1" si="38"/>
        <v>19590</v>
      </c>
      <c r="E47" s="176">
        <f ca="1">IFERROR(__xludf.DUMMYFUNCTION("IMPORTRANGE(""https://docs.google.com/spreadsheets/d/1-uDff_7J0KD5mKrp0Vvzr7lt3OU09vwQwhkpOPPYv2Y/edit?usp=sharing"",""งบพรบ!CL47"")"),0)</f>
        <v>0</v>
      </c>
      <c r="F47" s="176">
        <f ca="1">IFERROR(__xludf.DUMMYFUNCTION("IMPORTRANGE(""https://docs.google.com/spreadsheets/d/1-uDff_7J0KD5mKrp0Vvzr7lt3OU09vwQwhkpOPPYv2Y/edit?usp=sharing"",""งบพรบ!CM47"")"),19590)</f>
        <v>19590</v>
      </c>
      <c r="G47" s="176">
        <f ca="1">IFERROR(__xludf.DUMMYFUNCTION("IMPORTRANGE(""https://docs.google.com/spreadsheets/d/1-uDff_7J0KD5mKrp0Vvzr7lt3OU09vwQwhkpOPPYv2Y/edit?usp=sharing"",""งบพรบ!CN47"")"),0)</f>
        <v>0</v>
      </c>
      <c r="H47" s="176">
        <f ca="1">IFERROR(__xludf.DUMMYFUNCTION("IMPORTRANGE(""https://docs.google.com/spreadsheets/d/1-uDff_7J0KD5mKrp0Vvzr7lt3OU09vwQwhkpOPPYv2Y/edit?usp=sharing"",""งบพรบ!CP47"")"),19590)</f>
        <v>19590</v>
      </c>
      <c r="I47" s="176">
        <f ca="1">IFERROR(__xludf.DUMMYFUNCTION("IMPORTRANGE(""https://docs.google.com/spreadsheets/d/1-uDff_7J0KD5mKrp0Vvzr7lt3OU09vwQwhkpOPPYv2Y/edit?usp=sharing"",""งบพรบ!CQ47"")"),0)</f>
        <v>0</v>
      </c>
      <c r="J47" s="176">
        <f t="shared" ca="1" si="23"/>
        <v>19590</v>
      </c>
      <c r="K47" s="179">
        <f t="shared" ca="1" si="24"/>
        <v>100</v>
      </c>
      <c r="L47" s="176">
        <f ca="1">IFERROR(__xludf.DUMMYFUNCTION("IMPORTRANGE(""https://docs.google.com/spreadsheets/d/1-uDff_7J0KD5mKrp0Vvzr7lt3OU09vwQwhkpOPPYv2Y/edit?usp=sharing"",""งบพรบ!CR47"")"),19590)</f>
        <v>19590</v>
      </c>
      <c r="M47" s="87">
        <f t="shared" ca="1" si="25"/>
        <v>100</v>
      </c>
      <c r="N47" s="87">
        <f t="shared" ca="1" si="26"/>
        <v>100</v>
      </c>
      <c r="O47" s="86">
        <f ca="1">IFERROR(__xludf.DUMMYFUNCTION("IMPORTRANGE(""https://docs.google.com/spreadsheets/d/1-uDff_7J0KD5mKrp0Vvzr7lt3OU09vwQwhkpOPPYv2Y/edit?usp=sharing"",""งบพรบ!CS47"")"),0)</f>
        <v>0</v>
      </c>
      <c r="P47" s="86">
        <f t="shared" ca="1" si="27"/>
        <v>0</v>
      </c>
      <c r="Q47" s="87">
        <f t="shared" ca="1" si="28"/>
        <v>0</v>
      </c>
      <c r="R47" s="241">
        <f ca="1">IFERROR(__xludf.DUMMYFUNCTION("IMPORTRANGE(""https://docs.google.com/spreadsheets/d/13JHU_EFbsQOUQ0JSQ3dWy1VTRosIWcDq6Nc99z2qzdc/edit?usp=sharing"",""หนองคาย!Q173"")"),0)</f>
        <v>0</v>
      </c>
      <c r="S47" s="242">
        <f ca="1">IFERROR(__xludf.DUMMYFUNCTION("IMPORTRANGE(""https://docs.google.com/spreadsheets/d/13JHU_EFbsQOUQ0JSQ3dWy1VTRosIWcDq6Nc99z2qzdc/edit?usp=sharing"",""หนองคาย!R173"")"),0)</f>
        <v>0</v>
      </c>
      <c r="T47" s="242">
        <f ca="1">IFERROR(__xludf.DUMMYFUNCTION("IMPORTRANGE(""https://docs.google.com/spreadsheets/d/13JHU_EFbsQOUQ0JSQ3dWy1VTRosIWcDq6Nc99z2qzdc/edit?usp=sharing"",""หนองคาย!S173"")"),0)</f>
        <v>0</v>
      </c>
      <c r="U47" s="243">
        <f t="shared" ca="1" si="30"/>
        <v>0</v>
      </c>
      <c r="V47" s="243">
        <f t="shared" ca="1" si="31"/>
        <v>0</v>
      </c>
      <c r="W47" s="97">
        <f ca="1">IFERROR(__xludf.DUMMYFUNCTION("IMPORTRANGE(""https://docs.google.com/spreadsheets/d/13JHU_EFbsQOUQ0JSQ3dWy1VTRosIWcDq6Nc99z2qzdc/edit?usp=sharing"",""หนองคาย!I183"")"),7)</f>
        <v>7</v>
      </c>
      <c r="X47" s="97">
        <f ca="1">IFERROR(__xludf.DUMMYFUNCTION("IMPORTRANGE(""https://docs.google.com/spreadsheets/d/13JHU_EFbsQOUQ0JSQ3dWy1VTRosIWcDq6Nc99z2qzdc/edit?usp=sharing"",""หนองคาย!J183"")"),7)</f>
        <v>7</v>
      </c>
      <c r="Y47" s="98">
        <f t="shared" ca="1" si="33"/>
        <v>100</v>
      </c>
      <c r="Z47" s="269">
        <v>0</v>
      </c>
      <c r="AA47" s="269">
        <v>0</v>
      </c>
      <c r="AB47" s="270">
        <v>0</v>
      </c>
    </row>
    <row r="48" spans="1:28" ht="21" customHeight="1" x14ac:dyDescent="0.3">
      <c r="A48" s="89">
        <v>17</v>
      </c>
      <c r="B48" s="90" t="s">
        <v>74</v>
      </c>
      <c r="C48" s="174">
        <f t="shared" ca="1" si="21"/>
        <v>19590</v>
      </c>
      <c r="D48" s="175">
        <f t="shared" ca="1" si="38"/>
        <v>19590</v>
      </c>
      <c r="E48" s="176">
        <f ca="1">IFERROR(__xludf.DUMMYFUNCTION("IMPORTRANGE(""https://docs.google.com/spreadsheets/d/1-uDff_7J0KD5mKrp0Vvzr7lt3OU09vwQwhkpOPPYv2Y/edit?usp=sharing"",""งบพรบ!CL48"")"),0)</f>
        <v>0</v>
      </c>
      <c r="F48" s="176">
        <f ca="1">IFERROR(__xludf.DUMMYFUNCTION("IMPORTRANGE(""https://docs.google.com/spreadsheets/d/1-uDff_7J0KD5mKrp0Vvzr7lt3OU09vwQwhkpOPPYv2Y/edit?usp=sharing"",""งบพรบ!CM48"")"),19590)</f>
        <v>19590</v>
      </c>
      <c r="G48" s="176">
        <f ca="1">IFERROR(__xludf.DUMMYFUNCTION("IMPORTRANGE(""https://docs.google.com/spreadsheets/d/1-uDff_7J0KD5mKrp0Vvzr7lt3OU09vwQwhkpOPPYv2Y/edit?usp=sharing"",""งบพรบ!CN48"")"),0)</f>
        <v>0</v>
      </c>
      <c r="H48" s="176">
        <f ca="1">IFERROR(__xludf.DUMMYFUNCTION("IMPORTRANGE(""https://docs.google.com/spreadsheets/d/1-uDff_7J0KD5mKrp0Vvzr7lt3OU09vwQwhkpOPPYv2Y/edit?usp=sharing"",""งบพรบ!CP48"")"),19590)</f>
        <v>19590</v>
      </c>
      <c r="I48" s="176">
        <f ca="1">IFERROR(__xludf.DUMMYFUNCTION("IMPORTRANGE(""https://docs.google.com/spreadsheets/d/1-uDff_7J0KD5mKrp0Vvzr7lt3OU09vwQwhkpOPPYv2Y/edit?usp=sharing"",""งบพรบ!CQ48"")"),0)</f>
        <v>0</v>
      </c>
      <c r="J48" s="176">
        <f t="shared" ca="1" si="23"/>
        <v>19590</v>
      </c>
      <c r="K48" s="179">
        <f t="shared" ca="1" si="24"/>
        <v>100</v>
      </c>
      <c r="L48" s="176">
        <f ca="1">IFERROR(__xludf.DUMMYFUNCTION("IMPORTRANGE(""https://docs.google.com/spreadsheets/d/1-uDff_7J0KD5mKrp0Vvzr7lt3OU09vwQwhkpOPPYv2Y/edit?usp=sharing"",""งบพรบ!CR48"")"),19590)</f>
        <v>19590</v>
      </c>
      <c r="M48" s="87">
        <f t="shared" ca="1" si="25"/>
        <v>100</v>
      </c>
      <c r="N48" s="87">
        <f t="shared" ca="1" si="26"/>
        <v>100</v>
      </c>
      <c r="O48" s="86">
        <f ca="1">IFERROR(__xludf.DUMMYFUNCTION("IMPORTRANGE(""https://docs.google.com/spreadsheets/d/1-uDff_7J0KD5mKrp0Vvzr7lt3OU09vwQwhkpOPPYv2Y/edit?usp=sharing"",""งบพรบ!CS48"")"),0)</f>
        <v>0</v>
      </c>
      <c r="P48" s="86">
        <f t="shared" ca="1" si="27"/>
        <v>0</v>
      </c>
      <c r="Q48" s="87">
        <f t="shared" ca="1" si="28"/>
        <v>0</v>
      </c>
      <c r="R48" s="241">
        <f ca="1">IFERROR(__xludf.DUMMYFUNCTION("IMPORTRANGE(""https://docs.google.com/spreadsheets/d/1Hx73zIEgVdDZZaYSTc46Dqv64atFhpr3GelxLbaIN8A/edit?usp=sharing"",""หนองบัวลำภู!Q173"")"),0)</f>
        <v>0</v>
      </c>
      <c r="S48" s="242">
        <f ca="1">IFERROR(__xludf.DUMMYFUNCTION("IMPORTRANGE(""https://docs.google.com/spreadsheets/d/1Hx73zIEgVdDZZaYSTc46Dqv64atFhpr3GelxLbaIN8A/edit?usp=sharing"",""หนองบัวลำภู!R173"")"),0)</f>
        <v>0</v>
      </c>
      <c r="T48" s="242">
        <f ca="1">IFERROR(__xludf.DUMMYFUNCTION("IMPORTRANGE(""https://docs.google.com/spreadsheets/d/1Hx73zIEgVdDZZaYSTc46Dqv64atFhpr3GelxLbaIN8A/edit?usp=sharing"",""หนองบัวลำภู!S173"")"),0)</f>
        <v>0</v>
      </c>
      <c r="U48" s="243">
        <f t="shared" ca="1" si="30"/>
        <v>0</v>
      </c>
      <c r="V48" s="243">
        <f t="shared" ca="1" si="31"/>
        <v>0</v>
      </c>
      <c r="W48" s="97">
        <f ca="1">IFERROR(__xludf.DUMMYFUNCTION("IMPORTRANGE(""https://docs.google.com/spreadsheets/d/1Hx73zIEgVdDZZaYSTc46Dqv64atFhpr3GelxLbaIN8A/edit?usp=sharing"",""หนองบัวลำภู!I183"")"),7)</f>
        <v>7</v>
      </c>
      <c r="X48" s="97">
        <f ca="1">IFERROR(__xludf.DUMMYFUNCTION("IMPORTRANGE(""https://docs.google.com/spreadsheets/d/1Hx73zIEgVdDZZaYSTc46Dqv64atFhpr3GelxLbaIN8A/edit?usp=sharing"",""หนองบัวลำภู!J183"")"),7)</f>
        <v>7</v>
      </c>
      <c r="Y48" s="98">
        <f t="shared" ca="1" si="33"/>
        <v>100</v>
      </c>
      <c r="Z48" s="269">
        <v>0</v>
      </c>
      <c r="AA48" s="269">
        <v>0</v>
      </c>
      <c r="AB48" s="270">
        <v>0</v>
      </c>
    </row>
    <row r="49" spans="1:28" ht="21" customHeight="1" x14ac:dyDescent="0.3">
      <c r="A49" s="89">
        <v>18</v>
      </c>
      <c r="B49" s="90" t="s">
        <v>75</v>
      </c>
      <c r="C49" s="174">
        <f t="shared" ca="1" si="21"/>
        <v>19590</v>
      </c>
      <c r="D49" s="175">
        <f t="shared" ca="1" si="38"/>
        <v>19590</v>
      </c>
      <c r="E49" s="176">
        <f ca="1">IFERROR(__xludf.DUMMYFUNCTION("IMPORTRANGE(""https://docs.google.com/spreadsheets/d/1-uDff_7J0KD5mKrp0Vvzr7lt3OU09vwQwhkpOPPYv2Y/edit?usp=sharing"",""งบพรบ!CL49"")"),0)</f>
        <v>0</v>
      </c>
      <c r="F49" s="176">
        <f ca="1">IFERROR(__xludf.DUMMYFUNCTION("IMPORTRANGE(""https://docs.google.com/spreadsheets/d/1-uDff_7J0KD5mKrp0Vvzr7lt3OU09vwQwhkpOPPYv2Y/edit?usp=sharing"",""งบพรบ!CM49"")"),19590)</f>
        <v>19590</v>
      </c>
      <c r="G49" s="176">
        <f ca="1">IFERROR(__xludf.DUMMYFUNCTION("IMPORTRANGE(""https://docs.google.com/spreadsheets/d/1-uDff_7J0KD5mKrp0Vvzr7lt3OU09vwQwhkpOPPYv2Y/edit?usp=sharing"",""งบพรบ!CN49"")"),0)</f>
        <v>0</v>
      </c>
      <c r="H49" s="176">
        <f ca="1">IFERROR(__xludf.DUMMYFUNCTION("IMPORTRANGE(""https://docs.google.com/spreadsheets/d/1-uDff_7J0KD5mKrp0Vvzr7lt3OU09vwQwhkpOPPYv2Y/edit?usp=sharing"",""งบพรบ!CP49"")"),19590)</f>
        <v>19590</v>
      </c>
      <c r="I49" s="176">
        <f ca="1">IFERROR(__xludf.DUMMYFUNCTION("IMPORTRANGE(""https://docs.google.com/spreadsheets/d/1-uDff_7J0KD5mKrp0Vvzr7lt3OU09vwQwhkpOPPYv2Y/edit?usp=sharing"",""งบพรบ!CQ49"")"),0)</f>
        <v>0</v>
      </c>
      <c r="J49" s="176">
        <f t="shared" ca="1" si="23"/>
        <v>18470</v>
      </c>
      <c r="K49" s="179">
        <f t="shared" ca="1" si="24"/>
        <v>94.282797345584484</v>
      </c>
      <c r="L49" s="176">
        <f ca="1">IFERROR(__xludf.DUMMYFUNCTION("IMPORTRANGE(""https://docs.google.com/spreadsheets/d/1-uDff_7J0KD5mKrp0Vvzr7lt3OU09vwQwhkpOPPYv2Y/edit?usp=sharing"",""งบพรบ!CR49"")"),18470)</f>
        <v>18470</v>
      </c>
      <c r="M49" s="87">
        <f t="shared" ca="1" si="25"/>
        <v>94.282797345584484</v>
      </c>
      <c r="N49" s="87">
        <f t="shared" ca="1" si="26"/>
        <v>94.282797345584484</v>
      </c>
      <c r="O49" s="86">
        <f ca="1">IFERROR(__xludf.DUMMYFUNCTION("IMPORTRANGE(""https://docs.google.com/spreadsheets/d/1-uDff_7J0KD5mKrp0Vvzr7lt3OU09vwQwhkpOPPYv2Y/edit?usp=sharing"",""งบพรบ!CS49"")"),0)</f>
        <v>0</v>
      </c>
      <c r="P49" s="86">
        <f t="shared" ca="1" si="27"/>
        <v>0</v>
      </c>
      <c r="Q49" s="87">
        <f t="shared" ca="1" si="28"/>
        <v>0</v>
      </c>
      <c r="R49" s="241">
        <f ca="1">IFERROR(__xludf.DUMMYFUNCTION("IMPORTRANGE(""https://docs.google.com/spreadsheets/d/1lFxr3ctmjFN90yc-xV6jrQ9Ty8BKYVBWnAZ15wcNIJc/edit?usp=sharing"",""อำนาจเจริญ!Q173"")"),0)</f>
        <v>0</v>
      </c>
      <c r="S49" s="242">
        <f ca="1">IFERROR(__xludf.DUMMYFUNCTION("IMPORTRANGE(""https://docs.google.com/spreadsheets/d/1lFxr3ctmjFN90yc-xV6jrQ9Ty8BKYVBWnAZ15wcNIJc/edit?usp=sharing"",""อำนาจเจริญ!R173"")"),0)</f>
        <v>0</v>
      </c>
      <c r="T49" s="242">
        <f ca="1">IFERROR(__xludf.DUMMYFUNCTION("IMPORTRANGE(""https://docs.google.com/spreadsheets/d/1lFxr3ctmjFN90yc-xV6jrQ9Ty8BKYVBWnAZ15wcNIJc/edit?usp=sharing"",""อำนาจเจริญ!S173"")"),0)</f>
        <v>0</v>
      </c>
      <c r="U49" s="243">
        <f t="shared" ca="1" si="30"/>
        <v>0</v>
      </c>
      <c r="V49" s="243">
        <f t="shared" ca="1" si="31"/>
        <v>0</v>
      </c>
      <c r="W49" s="97">
        <f ca="1">IFERROR(__xludf.DUMMYFUNCTION("IMPORTRANGE(""https://docs.google.com/spreadsheets/d/1lFxr3ctmjFN90yc-xV6jrQ9Ty8BKYVBWnAZ15wcNIJc/edit?usp=sharing"",""อำนาจเจริญ!I183"")"),7)</f>
        <v>7</v>
      </c>
      <c r="X49" s="97">
        <f ca="1">IFERROR(__xludf.DUMMYFUNCTION("IMPORTRANGE(""https://docs.google.com/spreadsheets/d/1lFxr3ctmjFN90yc-xV6jrQ9Ty8BKYVBWnAZ15wcNIJc/edit?usp=sharing"",""อำนาจเจริญ!J183"")"),7)</f>
        <v>7</v>
      </c>
      <c r="Y49" s="98">
        <f t="shared" ca="1" si="33"/>
        <v>100</v>
      </c>
      <c r="Z49" s="269">
        <v>0</v>
      </c>
      <c r="AA49" s="269">
        <v>0</v>
      </c>
      <c r="AB49" s="270">
        <v>0</v>
      </c>
    </row>
    <row r="50" spans="1:28" ht="21" customHeight="1" x14ac:dyDescent="0.3">
      <c r="A50" s="89">
        <v>19</v>
      </c>
      <c r="B50" s="90" t="s">
        <v>76</v>
      </c>
      <c r="C50" s="174">
        <f t="shared" ca="1" si="21"/>
        <v>19590</v>
      </c>
      <c r="D50" s="175">
        <f t="shared" ca="1" si="38"/>
        <v>19590</v>
      </c>
      <c r="E50" s="176">
        <f ca="1">IFERROR(__xludf.DUMMYFUNCTION("IMPORTRANGE(""https://docs.google.com/spreadsheets/d/1-uDff_7J0KD5mKrp0Vvzr7lt3OU09vwQwhkpOPPYv2Y/edit?usp=sharing"",""งบพรบ!CL50"")"),0)</f>
        <v>0</v>
      </c>
      <c r="F50" s="176">
        <f ca="1">IFERROR(__xludf.DUMMYFUNCTION("IMPORTRANGE(""https://docs.google.com/spreadsheets/d/1-uDff_7J0KD5mKrp0Vvzr7lt3OU09vwQwhkpOPPYv2Y/edit?usp=sharing"",""งบพรบ!CM50"")"),19590)</f>
        <v>19590</v>
      </c>
      <c r="G50" s="176">
        <f ca="1">IFERROR(__xludf.DUMMYFUNCTION("IMPORTRANGE(""https://docs.google.com/spreadsheets/d/1-uDff_7J0KD5mKrp0Vvzr7lt3OU09vwQwhkpOPPYv2Y/edit?usp=sharing"",""งบพรบ!CN50"")"),0)</f>
        <v>0</v>
      </c>
      <c r="H50" s="176">
        <f ca="1">IFERROR(__xludf.DUMMYFUNCTION("IMPORTRANGE(""https://docs.google.com/spreadsheets/d/1-uDff_7J0KD5mKrp0Vvzr7lt3OU09vwQwhkpOPPYv2Y/edit?usp=sharing"",""งบพรบ!CP50"")"),19590)</f>
        <v>19590</v>
      </c>
      <c r="I50" s="176">
        <f ca="1">IFERROR(__xludf.DUMMYFUNCTION("IMPORTRANGE(""https://docs.google.com/spreadsheets/d/1-uDff_7J0KD5mKrp0Vvzr7lt3OU09vwQwhkpOPPYv2Y/edit?usp=sharing"",""งบพรบ!CQ50"")"),0)</f>
        <v>0</v>
      </c>
      <c r="J50" s="176">
        <f t="shared" ca="1" si="23"/>
        <v>16036</v>
      </c>
      <c r="K50" s="179">
        <f t="shared" ca="1" si="24"/>
        <v>81.858090862685046</v>
      </c>
      <c r="L50" s="176">
        <f ca="1">IFERROR(__xludf.DUMMYFUNCTION("IMPORTRANGE(""https://docs.google.com/spreadsheets/d/1-uDff_7J0KD5mKrp0Vvzr7lt3OU09vwQwhkpOPPYv2Y/edit?usp=sharing"",""งบพรบ!CR50"")"),16036)</f>
        <v>16036</v>
      </c>
      <c r="M50" s="87">
        <f t="shared" ca="1" si="25"/>
        <v>81.858090862685046</v>
      </c>
      <c r="N50" s="87">
        <f t="shared" ca="1" si="26"/>
        <v>81.858090862685046</v>
      </c>
      <c r="O50" s="86">
        <f ca="1">IFERROR(__xludf.DUMMYFUNCTION("IMPORTRANGE(""https://docs.google.com/spreadsheets/d/1-uDff_7J0KD5mKrp0Vvzr7lt3OU09vwQwhkpOPPYv2Y/edit?usp=sharing"",""งบพรบ!CS50"")"),0)</f>
        <v>0</v>
      </c>
      <c r="P50" s="86">
        <f t="shared" ca="1" si="27"/>
        <v>0</v>
      </c>
      <c r="Q50" s="87">
        <f t="shared" ca="1" si="28"/>
        <v>0</v>
      </c>
      <c r="R50" s="241">
        <f ca="1">IFERROR(__xludf.DUMMYFUNCTION("IMPORTRANGE(""https://docs.google.com/spreadsheets/d/1gF7RJpRnL-1oyjyeWxs5SFWEH7y8ahOZsQlyp2A2e-A/edit?usp=sharing"",""อุดรธานี!Q173"")"),0)</f>
        <v>0</v>
      </c>
      <c r="S50" s="242">
        <f ca="1">IFERROR(__xludf.DUMMYFUNCTION("IMPORTRANGE(""https://docs.google.com/spreadsheets/d/1gF7RJpRnL-1oyjyeWxs5SFWEH7y8ahOZsQlyp2A2e-A/edit?usp=sharing"",""อุดรธานี!R173"")"),0)</f>
        <v>0</v>
      </c>
      <c r="T50" s="242">
        <f ca="1">IFERROR(__xludf.DUMMYFUNCTION("IMPORTRANGE(""https://docs.google.com/spreadsheets/d/1gF7RJpRnL-1oyjyeWxs5SFWEH7y8ahOZsQlyp2A2e-A/edit?usp=sharing"",""อุดรธานี!S173"")"),0)</f>
        <v>0</v>
      </c>
      <c r="U50" s="243">
        <f t="shared" ca="1" si="30"/>
        <v>0</v>
      </c>
      <c r="V50" s="243">
        <f t="shared" ca="1" si="31"/>
        <v>0</v>
      </c>
      <c r="W50" s="97">
        <f ca="1">IFERROR(__xludf.DUMMYFUNCTION("IMPORTRANGE(""https://docs.google.com/spreadsheets/d/1gF7RJpRnL-1oyjyeWxs5SFWEH7y8ahOZsQlyp2A2e-A/edit?usp=sharing"",""อุดรธานี!I183"")"),7)</f>
        <v>7</v>
      </c>
      <c r="X50" s="97">
        <f ca="1">IFERROR(__xludf.DUMMYFUNCTION("IMPORTRANGE(""https://docs.google.com/spreadsheets/d/1gF7RJpRnL-1oyjyeWxs5SFWEH7y8ahOZsQlyp2A2e-A/edit?usp=sharing"",""อุดรธานี!J183"")"),0)</f>
        <v>0</v>
      </c>
      <c r="Y50" s="98">
        <f t="shared" ca="1" si="33"/>
        <v>0</v>
      </c>
      <c r="Z50" s="269">
        <v>0</v>
      </c>
      <c r="AA50" s="269">
        <v>0</v>
      </c>
      <c r="AB50" s="270">
        <v>0</v>
      </c>
    </row>
    <row r="51" spans="1:28" ht="21" customHeight="1" x14ac:dyDescent="0.3">
      <c r="A51" s="100">
        <v>20</v>
      </c>
      <c r="B51" s="101" t="s">
        <v>77</v>
      </c>
      <c r="C51" s="189">
        <f t="shared" ca="1" si="21"/>
        <v>19590</v>
      </c>
      <c r="D51" s="190">
        <f t="shared" ca="1" si="38"/>
        <v>19590</v>
      </c>
      <c r="E51" s="191">
        <f ca="1">IFERROR(__xludf.DUMMYFUNCTION("IMPORTRANGE(""https://docs.google.com/spreadsheets/d/1-uDff_7J0KD5mKrp0Vvzr7lt3OU09vwQwhkpOPPYv2Y/edit?usp=sharing"",""งบพรบ!CL51"")"),0)</f>
        <v>0</v>
      </c>
      <c r="F51" s="191">
        <f ca="1">IFERROR(__xludf.DUMMYFUNCTION("IMPORTRANGE(""https://docs.google.com/spreadsheets/d/1-uDff_7J0KD5mKrp0Vvzr7lt3OU09vwQwhkpOPPYv2Y/edit?usp=sharing"",""งบพรบ!CM51"")"),19590)</f>
        <v>19590</v>
      </c>
      <c r="G51" s="191">
        <f ca="1">IFERROR(__xludf.DUMMYFUNCTION("IMPORTRANGE(""https://docs.google.com/spreadsheets/d/1-uDff_7J0KD5mKrp0Vvzr7lt3OU09vwQwhkpOPPYv2Y/edit?usp=sharing"",""งบพรบ!CN51"")"),0)</f>
        <v>0</v>
      </c>
      <c r="H51" s="191">
        <f ca="1">IFERROR(__xludf.DUMMYFUNCTION("IMPORTRANGE(""https://docs.google.com/spreadsheets/d/1-uDff_7J0KD5mKrp0Vvzr7lt3OU09vwQwhkpOPPYv2Y/edit?usp=sharing"",""งบพรบ!CP51"")"),19590)</f>
        <v>19590</v>
      </c>
      <c r="I51" s="191">
        <f ca="1">IFERROR(__xludf.DUMMYFUNCTION("IMPORTRANGE(""https://docs.google.com/spreadsheets/d/1-uDff_7J0KD5mKrp0Vvzr7lt3OU09vwQwhkpOPPYv2Y/edit?usp=sharing"",""งบพรบ!CQ51"")"),0)</f>
        <v>0</v>
      </c>
      <c r="J51" s="191">
        <f t="shared" ca="1" si="23"/>
        <v>16590</v>
      </c>
      <c r="K51" s="192">
        <f t="shared" ca="1" si="24"/>
        <v>84.686064318529858</v>
      </c>
      <c r="L51" s="191">
        <f ca="1">IFERROR(__xludf.DUMMYFUNCTION("IMPORTRANGE(""https://docs.google.com/spreadsheets/d/1-uDff_7J0KD5mKrp0Vvzr7lt3OU09vwQwhkpOPPYv2Y/edit?usp=sharing"",""งบพรบ!CR51"")"),16590)</f>
        <v>16590</v>
      </c>
      <c r="M51" s="118">
        <f t="shared" ca="1" si="25"/>
        <v>84.686064318529858</v>
      </c>
      <c r="N51" s="118">
        <f t="shared" ca="1" si="26"/>
        <v>84.686064318529858</v>
      </c>
      <c r="O51" s="117">
        <f ca="1">IFERROR(__xludf.DUMMYFUNCTION("IMPORTRANGE(""https://docs.google.com/spreadsheets/d/1-uDff_7J0KD5mKrp0Vvzr7lt3OU09vwQwhkpOPPYv2Y/edit?usp=sharing"",""งบพรบ!CS51"")"),0)</f>
        <v>0</v>
      </c>
      <c r="P51" s="117">
        <f t="shared" ca="1" si="27"/>
        <v>0</v>
      </c>
      <c r="Q51" s="118">
        <f t="shared" ca="1" si="28"/>
        <v>0</v>
      </c>
      <c r="R51" s="244">
        <f ca="1">IFERROR(__xludf.DUMMYFUNCTION("IMPORTRANGE(""https://docs.google.com/spreadsheets/d/1kfLP0j3INXRa8bTDpcEmoWewMBV61jlFlfzczfjWIgc/edit?usp=sharing"",""อุบลราชธานี!Q173"")"),0)</f>
        <v>0</v>
      </c>
      <c r="S51" s="245">
        <f ca="1">IFERROR(__xludf.DUMMYFUNCTION("IMPORTRANGE(""https://docs.google.com/spreadsheets/d/1kfLP0j3INXRa8bTDpcEmoWewMBV61jlFlfzczfjWIgc/edit?usp=sharing"",""อุบลราชธานี!R173"")"),0)</f>
        <v>0</v>
      </c>
      <c r="T51" s="245">
        <f ca="1">IFERROR(__xludf.DUMMYFUNCTION("IMPORTRANGE(""https://docs.google.com/spreadsheets/d/1kfLP0j3INXRa8bTDpcEmoWewMBV61jlFlfzczfjWIgc/edit?usp=sharing"",""อุบลราชธานี!S173"")"),0)</f>
        <v>0</v>
      </c>
      <c r="U51" s="246">
        <f t="shared" ca="1" si="30"/>
        <v>0</v>
      </c>
      <c r="V51" s="246">
        <f t="shared" ca="1" si="31"/>
        <v>0</v>
      </c>
      <c r="W51" s="110">
        <f ca="1">IFERROR(__xludf.DUMMYFUNCTION("IMPORTRANGE(""https://docs.google.com/spreadsheets/d/1kfLP0j3INXRa8bTDpcEmoWewMBV61jlFlfzczfjWIgc/edit?usp=sharing"",""อุบลราชธานี!I183"")"),7)</f>
        <v>7</v>
      </c>
      <c r="X51" s="110">
        <f ca="1">IFERROR(__xludf.DUMMYFUNCTION("IMPORTRANGE(""https://docs.google.com/spreadsheets/d/1kfLP0j3INXRa8bTDpcEmoWewMBV61jlFlfzczfjWIgc/edit?usp=sharing"",""อุบลราชธานี!J183"")"),0)</f>
        <v>0</v>
      </c>
      <c r="Y51" s="111">
        <f t="shared" ca="1" si="33"/>
        <v>0</v>
      </c>
      <c r="Z51" s="271">
        <v>0</v>
      </c>
      <c r="AA51" s="271">
        <v>0</v>
      </c>
      <c r="AB51" s="272">
        <v>0</v>
      </c>
    </row>
    <row r="52" spans="1:28" ht="21" customHeight="1" x14ac:dyDescent="0.3">
      <c r="A52" s="650" t="s">
        <v>78</v>
      </c>
      <c r="B52" s="583"/>
      <c r="C52" s="194">
        <f t="shared" ca="1" si="21"/>
        <v>372210</v>
      </c>
      <c r="D52" s="194">
        <f t="shared" ref="D52:I52" ca="1" si="39">SUM(D53:D73)</f>
        <v>372210</v>
      </c>
      <c r="E52" s="194">
        <f t="shared" ca="1" si="39"/>
        <v>0</v>
      </c>
      <c r="F52" s="194">
        <f t="shared" ca="1" si="39"/>
        <v>372210</v>
      </c>
      <c r="G52" s="194">
        <f t="shared" ca="1" si="39"/>
        <v>0</v>
      </c>
      <c r="H52" s="194">
        <f t="shared" ca="1" si="39"/>
        <v>372210</v>
      </c>
      <c r="I52" s="194">
        <f t="shared" ca="1" si="39"/>
        <v>0</v>
      </c>
      <c r="J52" s="194">
        <f t="shared" ca="1" si="23"/>
        <v>267903</v>
      </c>
      <c r="K52" s="195">
        <f t="shared" ca="1" si="24"/>
        <v>71.976303699524465</v>
      </c>
      <c r="L52" s="194">
        <f ca="1">SUM(L53:L73)</f>
        <v>267903</v>
      </c>
      <c r="M52" s="120">
        <f t="shared" ca="1" si="25"/>
        <v>71.976303699524465</v>
      </c>
      <c r="N52" s="120">
        <f t="shared" ca="1" si="26"/>
        <v>71.976303699524465</v>
      </c>
      <c r="O52" s="119">
        <f ca="1">SUM(O53:O73)</f>
        <v>0</v>
      </c>
      <c r="P52" s="119">
        <f t="shared" ca="1" si="27"/>
        <v>0</v>
      </c>
      <c r="Q52" s="120">
        <f t="shared" ca="1" si="28"/>
        <v>0</v>
      </c>
      <c r="R52" s="232">
        <f t="shared" ref="R52:T52" ca="1" si="40">SUM(R53:R73)</f>
        <v>0</v>
      </c>
      <c r="S52" s="233">
        <f t="shared" ca="1" si="40"/>
        <v>0</v>
      </c>
      <c r="T52" s="233">
        <f t="shared" ca="1" si="40"/>
        <v>0</v>
      </c>
      <c r="U52" s="234">
        <f t="shared" ca="1" si="30"/>
        <v>0</v>
      </c>
      <c r="V52" s="234">
        <f t="shared" ca="1" si="31"/>
        <v>0</v>
      </c>
      <c r="W52" s="71">
        <f t="shared" ref="W52:X52" ca="1" si="41">SUM(W53:W73)</f>
        <v>133</v>
      </c>
      <c r="X52" s="71">
        <f t="shared" ca="1" si="41"/>
        <v>84</v>
      </c>
      <c r="Y52" s="114">
        <f t="shared" ca="1" si="33"/>
        <v>63.157894736842103</v>
      </c>
      <c r="Z52" s="267">
        <v>0</v>
      </c>
      <c r="AA52" s="267">
        <v>0</v>
      </c>
      <c r="AB52" s="268">
        <v>0</v>
      </c>
    </row>
    <row r="53" spans="1:28" ht="21" customHeight="1" x14ac:dyDescent="0.3">
      <c r="A53" s="77">
        <v>1</v>
      </c>
      <c r="B53" s="78" t="s">
        <v>79</v>
      </c>
      <c r="C53" s="174">
        <f t="shared" ca="1" si="21"/>
        <v>19590</v>
      </c>
      <c r="D53" s="175">
        <f t="shared" ref="D53:D73" ca="1" si="42">+E53+F53</f>
        <v>19590</v>
      </c>
      <c r="E53" s="176">
        <f ca="1">IFERROR(__xludf.DUMMYFUNCTION("IMPORTRANGE(""https://docs.google.com/spreadsheets/d/1-uDff_7J0KD5mKrp0Vvzr7lt3OU09vwQwhkpOPPYv2Y/edit?usp=sharing"",""งบพรบ!CL53"")"),0)</f>
        <v>0</v>
      </c>
      <c r="F53" s="176">
        <f ca="1">IFERROR(__xludf.DUMMYFUNCTION("IMPORTRANGE(""https://docs.google.com/spreadsheets/d/1-uDff_7J0KD5mKrp0Vvzr7lt3OU09vwQwhkpOPPYv2Y/edit?usp=sharing"",""งบพรบ!CM53"")"),19590)</f>
        <v>19590</v>
      </c>
      <c r="G53" s="177">
        <f ca="1">IFERROR(__xludf.DUMMYFUNCTION("IMPORTRANGE(""https://docs.google.com/spreadsheets/d/1-uDff_7J0KD5mKrp0Vvzr7lt3OU09vwQwhkpOPPYv2Y/edit?usp=sharing"",""งบพรบ!CN53"")"),0)</f>
        <v>0</v>
      </c>
      <c r="H53" s="177">
        <f ca="1">IFERROR(__xludf.DUMMYFUNCTION("IMPORTRANGE(""https://docs.google.com/spreadsheets/d/1-uDff_7J0KD5mKrp0Vvzr7lt3OU09vwQwhkpOPPYv2Y/edit?usp=sharing"",""งบพรบ!CP53"")"),19590)</f>
        <v>19590</v>
      </c>
      <c r="I53" s="177">
        <f ca="1">IFERROR(__xludf.DUMMYFUNCTION("IMPORTRANGE(""https://docs.google.com/spreadsheets/d/1-uDff_7J0KD5mKrp0Vvzr7lt3OU09vwQwhkpOPPYv2Y/edit?usp=sharing"",""งบพรบ!CQ53"")"),0)</f>
        <v>0</v>
      </c>
      <c r="J53" s="177">
        <f t="shared" ca="1" si="23"/>
        <v>0</v>
      </c>
      <c r="K53" s="178">
        <f t="shared" ca="1" si="24"/>
        <v>0</v>
      </c>
      <c r="L53" s="177">
        <f ca="1">IFERROR(__xludf.DUMMYFUNCTION("IMPORTRANGE(""https://docs.google.com/spreadsheets/d/1-uDff_7J0KD5mKrp0Vvzr7lt3OU09vwQwhkpOPPYv2Y/edit?usp=sharing"",""งบพรบ!CR53"")"),0)</f>
        <v>0</v>
      </c>
      <c r="M53" s="87">
        <f t="shared" ca="1" si="25"/>
        <v>0</v>
      </c>
      <c r="N53" s="87">
        <f t="shared" ca="1" si="26"/>
        <v>0</v>
      </c>
      <c r="O53" s="86">
        <f ca="1">IFERROR(__xludf.DUMMYFUNCTION("IMPORTRANGE(""https://docs.google.com/spreadsheets/d/1-uDff_7J0KD5mKrp0Vvzr7lt3OU09vwQwhkpOPPYv2Y/edit?usp=sharing"",""งบพรบ!CS53"")"),0)</f>
        <v>0</v>
      </c>
      <c r="P53" s="86">
        <f t="shared" ca="1" si="27"/>
        <v>0</v>
      </c>
      <c r="Q53" s="87">
        <f t="shared" ca="1" si="28"/>
        <v>0</v>
      </c>
      <c r="R53" s="241">
        <f ca="1">IFERROR(__xludf.DUMMYFUNCTION("IMPORTRANGE(""https://docs.google.com/spreadsheets/d/13wPX838HrBrQMCywv1BsuMkt4PEKTChp52zj44s2izQ/edit?usp=sharing"",""กาญจนบุรี!Q173"")"),0)</f>
        <v>0</v>
      </c>
      <c r="S53" s="242">
        <f ca="1">IFERROR(__xludf.DUMMYFUNCTION("IMPORTRANGE(""https://docs.google.com/spreadsheets/d/13wPX838HrBrQMCywv1BsuMkt4PEKTChp52zj44s2izQ/edit?usp=sharing"",""กาญจนบุรี!R173"")"),0)</f>
        <v>0</v>
      </c>
      <c r="T53" s="242">
        <f ca="1">IFERROR(__xludf.DUMMYFUNCTION("IMPORTRANGE(""https://docs.google.com/spreadsheets/d/13wPX838HrBrQMCywv1BsuMkt4PEKTChp52zj44s2izQ/edit?usp=sharing"",""กาญจนบุรี!S173"")"),0)</f>
        <v>0</v>
      </c>
      <c r="U53" s="243">
        <f t="shared" ca="1" si="30"/>
        <v>0</v>
      </c>
      <c r="V53" s="243">
        <f t="shared" ca="1" si="31"/>
        <v>0</v>
      </c>
      <c r="W53" s="82">
        <f ca="1">IFERROR(__xludf.DUMMYFUNCTION("IMPORTRANGE(""https://docs.google.com/spreadsheets/d/13wPX838HrBrQMCywv1BsuMkt4PEKTChp52zj44s2izQ/edit?usp=sharing"",""กาญจนบุรี!I183"")"),7)</f>
        <v>7</v>
      </c>
      <c r="X53" s="82">
        <f ca="1">IFERROR(__xludf.DUMMYFUNCTION("IMPORTRANGE(""https://docs.google.com/spreadsheets/d/13wPX838HrBrQMCywv1BsuMkt4PEKTChp52zj44s2izQ/edit?usp=sharing"",""กาญจนบุรี!J183"")"),0)</f>
        <v>0</v>
      </c>
      <c r="Y53" s="88">
        <f t="shared" ca="1" si="33"/>
        <v>0</v>
      </c>
      <c r="Z53" s="269">
        <v>0</v>
      </c>
      <c r="AA53" s="269">
        <v>0</v>
      </c>
      <c r="AB53" s="270">
        <v>0</v>
      </c>
    </row>
    <row r="54" spans="1:28" ht="21" customHeight="1" x14ac:dyDescent="0.3">
      <c r="A54" s="89">
        <v>2</v>
      </c>
      <c r="B54" s="90" t="s">
        <v>80</v>
      </c>
      <c r="C54" s="174">
        <f t="shared" ca="1" si="21"/>
        <v>19590</v>
      </c>
      <c r="D54" s="175">
        <f t="shared" ca="1" si="42"/>
        <v>19590</v>
      </c>
      <c r="E54" s="176">
        <f ca="1">IFERROR(__xludf.DUMMYFUNCTION("IMPORTRANGE(""https://docs.google.com/spreadsheets/d/1-uDff_7J0KD5mKrp0Vvzr7lt3OU09vwQwhkpOPPYv2Y/edit?usp=sharing"",""งบพรบ!CL54"")"),0)</f>
        <v>0</v>
      </c>
      <c r="F54" s="176">
        <f ca="1">IFERROR(__xludf.DUMMYFUNCTION("IMPORTRANGE(""https://docs.google.com/spreadsheets/d/1-uDff_7J0KD5mKrp0Vvzr7lt3OU09vwQwhkpOPPYv2Y/edit?usp=sharing"",""งบพรบ!CM54"")"),19590)</f>
        <v>19590</v>
      </c>
      <c r="G54" s="176">
        <f ca="1">IFERROR(__xludf.DUMMYFUNCTION("IMPORTRANGE(""https://docs.google.com/spreadsheets/d/1-uDff_7J0KD5mKrp0Vvzr7lt3OU09vwQwhkpOPPYv2Y/edit?usp=sharing"",""งบพรบ!CN54"")"),0)</f>
        <v>0</v>
      </c>
      <c r="H54" s="176">
        <f ca="1">IFERROR(__xludf.DUMMYFUNCTION("IMPORTRANGE(""https://docs.google.com/spreadsheets/d/1-uDff_7J0KD5mKrp0Vvzr7lt3OU09vwQwhkpOPPYv2Y/edit?usp=sharing"",""งบพรบ!CP54"")"),19590)</f>
        <v>19590</v>
      </c>
      <c r="I54" s="176">
        <f ca="1">IFERROR(__xludf.DUMMYFUNCTION("IMPORTRANGE(""https://docs.google.com/spreadsheets/d/1-uDff_7J0KD5mKrp0Vvzr7lt3OU09vwQwhkpOPPYv2Y/edit?usp=sharing"",""งบพรบ!CQ54"")"),0)</f>
        <v>0</v>
      </c>
      <c r="J54" s="176">
        <f t="shared" ca="1" si="23"/>
        <v>19590</v>
      </c>
      <c r="K54" s="179">
        <f t="shared" ca="1" si="24"/>
        <v>100</v>
      </c>
      <c r="L54" s="176">
        <f ca="1">IFERROR(__xludf.DUMMYFUNCTION("IMPORTRANGE(""https://docs.google.com/spreadsheets/d/1-uDff_7J0KD5mKrp0Vvzr7lt3OU09vwQwhkpOPPYv2Y/edit?usp=sharing"",""งบพรบ!CR54"")"),19590)</f>
        <v>19590</v>
      </c>
      <c r="M54" s="87">
        <f t="shared" ca="1" si="25"/>
        <v>100</v>
      </c>
      <c r="N54" s="87">
        <f t="shared" ca="1" si="26"/>
        <v>100</v>
      </c>
      <c r="O54" s="86">
        <f ca="1">IFERROR(__xludf.DUMMYFUNCTION("IMPORTRANGE(""https://docs.google.com/spreadsheets/d/1-uDff_7J0KD5mKrp0Vvzr7lt3OU09vwQwhkpOPPYv2Y/edit?usp=sharing"",""งบพรบ!CS54"")"),0)</f>
        <v>0</v>
      </c>
      <c r="P54" s="86">
        <f t="shared" ca="1" si="27"/>
        <v>0</v>
      </c>
      <c r="Q54" s="87">
        <f t="shared" ca="1" si="28"/>
        <v>0</v>
      </c>
      <c r="R54" s="241">
        <f ca="1">IFERROR(__xludf.DUMMYFUNCTION("IMPORTRANGE(""https://docs.google.com/spreadsheets/d/1ddFKvqj1W1NEiWytbGlB1zMx_ykJDVtmfEQ-6-lIUBA/edit?usp=sharing"",""จันทบุรี!Q173"")"),0)</f>
        <v>0</v>
      </c>
      <c r="S54" s="242">
        <f ca="1">IFERROR(__xludf.DUMMYFUNCTION("IMPORTRANGE(""https://docs.google.com/spreadsheets/d/1ddFKvqj1W1NEiWytbGlB1zMx_ykJDVtmfEQ-6-lIUBA/edit?usp=sharing"",""จันทบุรี!R173"")"),0)</f>
        <v>0</v>
      </c>
      <c r="T54" s="242">
        <f ca="1">IFERROR(__xludf.DUMMYFUNCTION("IMPORTRANGE(""https://docs.google.com/spreadsheets/d/1ddFKvqj1W1NEiWytbGlB1zMx_ykJDVtmfEQ-6-lIUBA/edit?usp=sharing"",""จันทบุรี!S173"")"),0)</f>
        <v>0</v>
      </c>
      <c r="U54" s="243">
        <f t="shared" ca="1" si="30"/>
        <v>0</v>
      </c>
      <c r="V54" s="243">
        <f t="shared" ca="1" si="31"/>
        <v>0</v>
      </c>
      <c r="W54" s="97">
        <f ca="1">IFERROR(__xludf.DUMMYFUNCTION("IMPORTRANGE(""https://docs.google.com/spreadsheets/d/1ddFKvqj1W1NEiWytbGlB1zMx_ykJDVtmfEQ-6-lIUBA/edit?usp=sharing"",""จันทบุรี!I183"")"),7)</f>
        <v>7</v>
      </c>
      <c r="X54" s="97">
        <f ca="1">IFERROR(__xludf.DUMMYFUNCTION("IMPORTRANGE(""https://docs.google.com/spreadsheets/d/1ddFKvqj1W1NEiWytbGlB1zMx_ykJDVtmfEQ-6-lIUBA/edit?usp=sharing"",""จันทบุรี!J183"")"),7)</f>
        <v>7</v>
      </c>
      <c r="Y54" s="98">
        <f t="shared" ca="1" si="33"/>
        <v>100</v>
      </c>
      <c r="Z54" s="269">
        <v>0</v>
      </c>
      <c r="AA54" s="269">
        <v>0</v>
      </c>
      <c r="AB54" s="270">
        <v>0</v>
      </c>
    </row>
    <row r="55" spans="1:28" ht="21" customHeight="1" x14ac:dyDescent="0.3">
      <c r="A55" s="89">
        <v>3</v>
      </c>
      <c r="B55" s="90" t="s">
        <v>81</v>
      </c>
      <c r="C55" s="174">
        <f t="shared" ca="1" si="21"/>
        <v>19590</v>
      </c>
      <c r="D55" s="175">
        <f t="shared" ca="1" si="42"/>
        <v>19590</v>
      </c>
      <c r="E55" s="176">
        <f ca="1">IFERROR(__xludf.DUMMYFUNCTION("IMPORTRANGE(""https://docs.google.com/spreadsheets/d/1-uDff_7J0KD5mKrp0Vvzr7lt3OU09vwQwhkpOPPYv2Y/edit?usp=sharing"",""งบพรบ!CL55"")"),0)</f>
        <v>0</v>
      </c>
      <c r="F55" s="176">
        <f ca="1">IFERROR(__xludf.DUMMYFUNCTION("IMPORTRANGE(""https://docs.google.com/spreadsheets/d/1-uDff_7J0KD5mKrp0Vvzr7lt3OU09vwQwhkpOPPYv2Y/edit?usp=sharing"",""งบพรบ!CM55"")"),19590)</f>
        <v>19590</v>
      </c>
      <c r="G55" s="176">
        <f ca="1">IFERROR(__xludf.DUMMYFUNCTION("IMPORTRANGE(""https://docs.google.com/spreadsheets/d/1-uDff_7J0KD5mKrp0Vvzr7lt3OU09vwQwhkpOPPYv2Y/edit?usp=sharing"",""งบพรบ!CN55"")"),0)</f>
        <v>0</v>
      </c>
      <c r="H55" s="176">
        <f ca="1">IFERROR(__xludf.DUMMYFUNCTION("IMPORTRANGE(""https://docs.google.com/spreadsheets/d/1-uDff_7J0KD5mKrp0Vvzr7lt3OU09vwQwhkpOPPYv2Y/edit?usp=sharing"",""งบพรบ!CP55"")"),19590)</f>
        <v>19590</v>
      </c>
      <c r="I55" s="176">
        <f ca="1">IFERROR(__xludf.DUMMYFUNCTION("IMPORTRANGE(""https://docs.google.com/spreadsheets/d/1-uDff_7J0KD5mKrp0Vvzr7lt3OU09vwQwhkpOPPYv2Y/edit?usp=sharing"",""งบพรบ!CQ55"")"),0)</f>
        <v>0</v>
      </c>
      <c r="J55" s="176">
        <f t="shared" ca="1" si="23"/>
        <v>19590</v>
      </c>
      <c r="K55" s="179">
        <f t="shared" ca="1" si="24"/>
        <v>100</v>
      </c>
      <c r="L55" s="176">
        <f ca="1">IFERROR(__xludf.DUMMYFUNCTION("IMPORTRANGE(""https://docs.google.com/spreadsheets/d/1-uDff_7J0KD5mKrp0Vvzr7lt3OU09vwQwhkpOPPYv2Y/edit?usp=sharing"",""งบพรบ!CR55"")"),19590)</f>
        <v>19590</v>
      </c>
      <c r="M55" s="87">
        <f t="shared" ca="1" si="25"/>
        <v>100</v>
      </c>
      <c r="N55" s="87">
        <f t="shared" ca="1" si="26"/>
        <v>100</v>
      </c>
      <c r="O55" s="86">
        <f ca="1">IFERROR(__xludf.DUMMYFUNCTION("IMPORTRANGE(""https://docs.google.com/spreadsheets/d/1-uDff_7J0KD5mKrp0Vvzr7lt3OU09vwQwhkpOPPYv2Y/edit?usp=sharing"",""งบพรบ!CS55"")"),0)</f>
        <v>0</v>
      </c>
      <c r="P55" s="86">
        <f t="shared" ca="1" si="27"/>
        <v>0</v>
      </c>
      <c r="Q55" s="87">
        <f t="shared" ca="1" si="28"/>
        <v>0</v>
      </c>
      <c r="R55" s="241">
        <f ca="1">IFERROR(__xludf.DUMMYFUNCTION("IMPORTRANGE(""https://docs.google.com/spreadsheets/d/1T1PQvRODqOBZk8BRht_U031fIS1beLA0Ub2CEytj2q0/edit?usp=sharing"",""ฉะเชิงเทรา!Q173"")"),0)</f>
        <v>0</v>
      </c>
      <c r="S55" s="242">
        <f ca="1">IFERROR(__xludf.DUMMYFUNCTION("IMPORTRANGE(""https://docs.google.com/spreadsheets/d/1T1PQvRODqOBZk8BRht_U031fIS1beLA0Ub2CEytj2q0/edit?usp=sharing"",""ฉะเชิงเทรา!R173"")"),0)</f>
        <v>0</v>
      </c>
      <c r="T55" s="242">
        <f ca="1">IFERROR(__xludf.DUMMYFUNCTION("IMPORTRANGE(""https://docs.google.com/spreadsheets/d/1T1PQvRODqOBZk8BRht_U031fIS1beLA0Ub2CEytj2q0/edit?usp=sharing"",""ฉะเชิงเทรา!S173"")"),0)</f>
        <v>0</v>
      </c>
      <c r="U55" s="243">
        <f t="shared" ca="1" si="30"/>
        <v>0</v>
      </c>
      <c r="V55" s="243">
        <f t="shared" ca="1" si="31"/>
        <v>0</v>
      </c>
      <c r="W55" s="97">
        <f ca="1">IFERROR(__xludf.DUMMYFUNCTION("IMPORTRANGE(""https://docs.google.com/spreadsheets/d/1T1PQvRODqOBZk8BRht_U031fIS1beLA0Ub2CEytj2q0/edit?usp=sharing"",""ฉะเชิงเทรา!I183"")"),7)</f>
        <v>7</v>
      </c>
      <c r="X55" s="97">
        <f ca="1">IFERROR(__xludf.DUMMYFUNCTION("IMPORTRANGE(""https://docs.google.com/spreadsheets/d/1T1PQvRODqOBZk8BRht_U031fIS1beLA0Ub2CEytj2q0/edit?usp=sharing"",""ฉะเชิงเทรา!J183"")"),7)</f>
        <v>7</v>
      </c>
      <c r="Y55" s="98">
        <f t="shared" ca="1" si="33"/>
        <v>100</v>
      </c>
      <c r="Z55" s="269">
        <v>0</v>
      </c>
      <c r="AA55" s="269">
        <v>0</v>
      </c>
      <c r="AB55" s="270">
        <v>0</v>
      </c>
    </row>
    <row r="56" spans="1:28" ht="21" customHeight="1" x14ac:dyDescent="0.3">
      <c r="A56" s="89">
        <v>4</v>
      </c>
      <c r="B56" s="90" t="s">
        <v>82</v>
      </c>
      <c r="C56" s="174">
        <f t="shared" ca="1" si="21"/>
        <v>0</v>
      </c>
      <c r="D56" s="175">
        <f t="shared" ca="1" si="42"/>
        <v>0</v>
      </c>
      <c r="E56" s="176">
        <f ca="1">IFERROR(__xludf.DUMMYFUNCTION("IMPORTRANGE(""https://docs.google.com/spreadsheets/d/1-uDff_7J0KD5mKrp0Vvzr7lt3OU09vwQwhkpOPPYv2Y/edit?usp=sharing"",""งบพรบ!CL56"")"),0)</f>
        <v>0</v>
      </c>
      <c r="F56" s="176">
        <v>0</v>
      </c>
      <c r="G56" s="176">
        <f ca="1">IFERROR(__xludf.DUMMYFUNCTION("IMPORTRANGE(""https://docs.google.com/spreadsheets/d/1-uDff_7J0KD5mKrp0Vvzr7lt3OU09vwQwhkpOPPYv2Y/edit?usp=sharing"",""งบพรบ!CN56"")"),0)</f>
        <v>0</v>
      </c>
      <c r="H56" s="176">
        <f ca="1">IFERROR(__xludf.DUMMYFUNCTION("IMPORTRANGE(""https://docs.google.com/spreadsheets/d/1-uDff_7J0KD5mKrp0Vvzr7lt3OU09vwQwhkpOPPYv2Y/edit?usp=sharing"",""งบพรบ!CP56"")"),0)</f>
        <v>0</v>
      </c>
      <c r="I56" s="176">
        <f ca="1">IFERROR(__xludf.DUMMYFUNCTION("IMPORTRANGE(""https://docs.google.com/spreadsheets/d/1-uDff_7J0KD5mKrp0Vvzr7lt3OU09vwQwhkpOPPYv2Y/edit?usp=sharing"",""งบพรบ!CQ56"")"),0)</f>
        <v>0</v>
      </c>
      <c r="J56" s="176">
        <f t="shared" ca="1" si="23"/>
        <v>0</v>
      </c>
      <c r="K56" s="179">
        <f t="shared" ca="1" si="24"/>
        <v>0</v>
      </c>
      <c r="L56" s="176">
        <f ca="1">IFERROR(__xludf.DUMMYFUNCTION("IMPORTRANGE(""https://docs.google.com/spreadsheets/d/1-uDff_7J0KD5mKrp0Vvzr7lt3OU09vwQwhkpOPPYv2Y/edit?usp=sharing"",""งบพรบ!CR56"")"),0)</f>
        <v>0</v>
      </c>
      <c r="M56" s="87">
        <f t="shared" ca="1" si="25"/>
        <v>0</v>
      </c>
      <c r="N56" s="87">
        <f t="shared" ca="1" si="26"/>
        <v>0</v>
      </c>
      <c r="O56" s="86">
        <f ca="1">IFERROR(__xludf.DUMMYFUNCTION("IMPORTRANGE(""https://docs.google.com/spreadsheets/d/1-uDff_7J0KD5mKrp0Vvzr7lt3OU09vwQwhkpOPPYv2Y/edit?usp=sharing"",""งบพรบ!CS56"")"),0)</f>
        <v>0</v>
      </c>
      <c r="P56" s="86">
        <f t="shared" ca="1" si="27"/>
        <v>0</v>
      </c>
      <c r="Q56" s="87">
        <f t="shared" ca="1" si="28"/>
        <v>0</v>
      </c>
      <c r="R56" s="241">
        <f ca="1">IFERROR(__xludf.DUMMYFUNCTION("IMPORTRANGE(""https://docs.google.com/spreadsheets/d/11tr1B-Bhyr79v2bkwVh5h_fR-PStkgjlZtkrZpYurG0/edit?usp=sharing"",""ชลบุรี!Q173"")"),0)</f>
        <v>0</v>
      </c>
      <c r="S56" s="242">
        <f ca="1">IFERROR(__xludf.DUMMYFUNCTION("IMPORTRANGE(""https://docs.google.com/spreadsheets/d/11tr1B-Bhyr79v2bkwVh5h_fR-PStkgjlZtkrZpYurG0/edit?usp=sharing"",""ชลบุรี!R173"")"),0)</f>
        <v>0</v>
      </c>
      <c r="T56" s="242">
        <f ca="1">IFERROR(__xludf.DUMMYFUNCTION("IMPORTRANGE(""https://docs.google.com/spreadsheets/d/11tr1B-Bhyr79v2bkwVh5h_fR-PStkgjlZtkrZpYurG0/edit?usp=sharing"",""ชลบุรี!S173"")"),0)</f>
        <v>0</v>
      </c>
      <c r="U56" s="243">
        <f t="shared" ca="1" si="30"/>
        <v>0</v>
      </c>
      <c r="V56" s="243">
        <f t="shared" ca="1" si="31"/>
        <v>0</v>
      </c>
      <c r="W56" s="97">
        <f ca="1">IFERROR(__xludf.DUMMYFUNCTION("IMPORTRANGE(""https://docs.google.com/spreadsheets/d/11tr1B-Bhyr79v2bkwVh5h_fR-PStkgjlZtkrZpYurG0/edit?usp=sharing"",""ชลบุรี!I183"")"),0)</f>
        <v>0</v>
      </c>
      <c r="X56" s="97">
        <f ca="1">IFERROR(__xludf.DUMMYFUNCTION("IMPORTRANGE(""https://docs.google.com/spreadsheets/d/11tr1B-Bhyr79v2bkwVh5h_fR-PStkgjlZtkrZpYurG0/edit?usp=sharing"",""ชลบุรี!J183"")"),0)</f>
        <v>0</v>
      </c>
      <c r="Y56" s="98">
        <f t="shared" ca="1" si="33"/>
        <v>0</v>
      </c>
      <c r="Z56" s="269">
        <v>0</v>
      </c>
      <c r="AA56" s="269">
        <v>0</v>
      </c>
      <c r="AB56" s="270">
        <v>0</v>
      </c>
    </row>
    <row r="57" spans="1:28" ht="21" customHeight="1" x14ac:dyDescent="0.3">
      <c r="A57" s="89">
        <v>5</v>
      </c>
      <c r="B57" s="90" t="s">
        <v>83</v>
      </c>
      <c r="C57" s="174">
        <f t="shared" ca="1" si="21"/>
        <v>19590</v>
      </c>
      <c r="D57" s="175">
        <f t="shared" ca="1" si="42"/>
        <v>19590</v>
      </c>
      <c r="E57" s="176">
        <f ca="1">IFERROR(__xludf.DUMMYFUNCTION("IMPORTRANGE(""https://docs.google.com/spreadsheets/d/1-uDff_7J0KD5mKrp0Vvzr7lt3OU09vwQwhkpOPPYv2Y/edit?usp=sharing"",""งบพรบ!CL57"")"),0)</f>
        <v>0</v>
      </c>
      <c r="F57" s="176">
        <f ca="1">IFERROR(__xludf.DUMMYFUNCTION("IMPORTRANGE(""https://docs.google.com/spreadsheets/d/1-uDff_7J0KD5mKrp0Vvzr7lt3OU09vwQwhkpOPPYv2Y/edit?usp=sharing"",""งบพรบ!CM57"")"),19590)</f>
        <v>19590</v>
      </c>
      <c r="G57" s="176">
        <f ca="1">IFERROR(__xludf.DUMMYFUNCTION("IMPORTRANGE(""https://docs.google.com/spreadsheets/d/1-uDff_7J0KD5mKrp0Vvzr7lt3OU09vwQwhkpOPPYv2Y/edit?usp=sharing"",""งบพรบ!CN57"")"),0)</f>
        <v>0</v>
      </c>
      <c r="H57" s="176">
        <f ca="1">IFERROR(__xludf.DUMMYFUNCTION("IMPORTRANGE(""https://docs.google.com/spreadsheets/d/1-uDff_7J0KD5mKrp0Vvzr7lt3OU09vwQwhkpOPPYv2Y/edit?usp=sharing"",""งบพรบ!CP57"")"),19590)</f>
        <v>19590</v>
      </c>
      <c r="I57" s="176">
        <f ca="1">IFERROR(__xludf.DUMMYFUNCTION("IMPORTRANGE(""https://docs.google.com/spreadsheets/d/1-uDff_7J0KD5mKrp0Vvzr7lt3OU09vwQwhkpOPPYv2Y/edit?usp=sharing"",""งบพรบ!CQ57"")"),0)</f>
        <v>0</v>
      </c>
      <c r="J57" s="176">
        <f t="shared" ca="1" si="23"/>
        <v>18600</v>
      </c>
      <c r="K57" s="179">
        <f t="shared" ca="1" si="24"/>
        <v>94.946401225114855</v>
      </c>
      <c r="L57" s="176">
        <f ca="1">IFERROR(__xludf.DUMMYFUNCTION("IMPORTRANGE(""https://docs.google.com/spreadsheets/d/1-uDff_7J0KD5mKrp0Vvzr7lt3OU09vwQwhkpOPPYv2Y/edit?usp=sharing"",""งบพรบ!CR57"")"),18600)</f>
        <v>18600</v>
      </c>
      <c r="M57" s="87">
        <f t="shared" ca="1" si="25"/>
        <v>94.946401225114855</v>
      </c>
      <c r="N57" s="87">
        <f t="shared" ca="1" si="26"/>
        <v>94.946401225114855</v>
      </c>
      <c r="O57" s="86">
        <f ca="1">IFERROR(__xludf.DUMMYFUNCTION("IMPORTRANGE(""https://docs.google.com/spreadsheets/d/1-uDff_7J0KD5mKrp0Vvzr7lt3OU09vwQwhkpOPPYv2Y/edit?usp=sharing"",""งบพรบ!CS57"")"),0)</f>
        <v>0</v>
      </c>
      <c r="P57" s="86">
        <f t="shared" ca="1" si="27"/>
        <v>0</v>
      </c>
      <c r="Q57" s="87">
        <f t="shared" ca="1" si="28"/>
        <v>0</v>
      </c>
      <c r="R57" s="241">
        <f ca="1">IFERROR(__xludf.DUMMYFUNCTION("IMPORTRANGE(""https://docs.google.com/spreadsheets/d/1hh-FVnSX0vozXhGluamEcS54Dw9_zqW0N7qJUWgJ0Sw/edit?usp=sharing"",""ชัยนาท!Q173"")"),0)</f>
        <v>0</v>
      </c>
      <c r="S57" s="242">
        <f ca="1">IFERROR(__xludf.DUMMYFUNCTION("IMPORTRANGE(""https://docs.google.com/spreadsheets/d/1hh-FVnSX0vozXhGluamEcS54Dw9_zqW0N7qJUWgJ0Sw/edit?usp=sharing"",""ชัยนาท!R173"")"),0)</f>
        <v>0</v>
      </c>
      <c r="T57" s="242">
        <f ca="1">IFERROR(__xludf.DUMMYFUNCTION("IMPORTRANGE(""https://docs.google.com/spreadsheets/d/1hh-FVnSX0vozXhGluamEcS54Dw9_zqW0N7qJUWgJ0Sw/edit?usp=sharing"",""ชัยนาท!S173"")"),0)</f>
        <v>0</v>
      </c>
      <c r="U57" s="243">
        <f t="shared" ca="1" si="30"/>
        <v>0</v>
      </c>
      <c r="V57" s="243">
        <f t="shared" ca="1" si="31"/>
        <v>0</v>
      </c>
      <c r="W57" s="97">
        <f ca="1">IFERROR(__xludf.DUMMYFUNCTION("IMPORTRANGE(""https://docs.google.com/spreadsheets/d/1hh-FVnSX0vozXhGluamEcS54Dw9_zqW0N7qJUWgJ0Sw/edit?usp=sharing"",""ชัยนาท!I183"")"),7)</f>
        <v>7</v>
      </c>
      <c r="X57" s="97">
        <f ca="1">IFERROR(__xludf.DUMMYFUNCTION("IMPORTRANGE(""https://docs.google.com/spreadsheets/d/1hh-FVnSX0vozXhGluamEcS54Dw9_zqW0N7qJUWgJ0Sw/edit?usp=sharing"",""ชัยนาท!J183"")"),0)</f>
        <v>0</v>
      </c>
      <c r="Y57" s="98">
        <f t="shared" ca="1" si="33"/>
        <v>0</v>
      </c>
      <c r="Z57" s="269">
        <v>0</v>
      </c>
      <c r="AA57" s="269">
        <v>0</v>
      </c>
      <c r="AB57" s="270">
        <v>0</v>
      </c>
    </row>
    <row r="58" spans="1:28" ht="21" customHeight="1" x14ac:dyDescent="0.3">
      <c r="A58" s="89">
        <v>6</v>
      </c>
      <c r="B58" s="90" t="s">
        <v>84</v>
      </c>
      <c r="C58" s="174">
        <f t="shared" ca="1" si="21"/>
        <v>19590</v>
      </c>
      <c r="D58" s="175">
        <f t="shared" ca="1" si="42"/>
        <v>19590</v>
      </c>
      <c r="E58" s="176">
        <f ca="1">IFERROR(__xludf.DUMMYFUNCTION("IMPORTRANGE(""https://docs.google.com/spreadsheets/d/1-uDff_7J0KD5mKrp0Vvzr7lt3OU09vwQwhkpOPPYv2Y/edit?usp=sharing"",""งบพรบ!CL58"")"),0)</f>
        <v>0</v>
      </c>
      <c r="F58" s="176">
        <f ca="1">IFERROR(__xludf.DUMMYFUNCTION("IMPORTRANGE(""https://docs.google.com/spreadsheets/d/1-uDff_7J0KD5mKrp0Vvzr7lt3OU09vwQwhkpOPPYv2Y/edit?usp=sharing"",""งบพรบ!CM58"")"),19590)</f>
        <v>19590</v>
      </c>
      <c r="G58" s="176">
        <f ca="1">IFERROR(__xludf.DUMMYFUNCTION("IMPORTRANGE(""https://docs.google.com/spreadsheets/d/1-uDff_7J0KD5mKrp0Vvzr7lt3OU09vwQwhkpOPPYv2Y/edit?usp=sharing"",""งบพรบ!CN58"")"),0)</f>
        <v>0</v>
      </c>
      <c r="H58" s="176">
        <f ca="1">IFERROR(__xludf.DUMMYFUNCTION("IMPORTRANGE(""https://docs.google.com/spreadsheets/d/1-uDff_7J0KD5mKrp0Vvzr7lt3OU09vwQwhkpOPPYv2Y/edit?usp=sharing"",""งบพรบ!CP58"")"),19590)</f>
        <v>19590</v>
      </c>
      <c r="I58" s="176">
        <f ca="1">IFERROR(__xludf.DUMMYFUNCTION("IMPORTRANGE(""https://docs.google.com/spreadsheets/d/1-uDff_7J0KD5mKrp0Vvzr7lt3OU09vwQwhkpOPPYv2Y/edit?usp=sharing"",""งบพรบ!CQ58"")"),0)</f>
        <v>0</v>
      </c>
      <c r="J58" s="176">
        <f t="shared" ca="1" si="23"/>
        <v>19590</v>
      </c>
      <c r="K58" s="179">
        <f t="shared" ca="1" si="24"/>
        <v>100</v>
      </c>
      <c r="L58" s="176">
        <f ca="1">IFERROR(__xludf.DUMMYFUNCTION("IMPORTRANGE(""https://docs.google.com/spreadsheets/d/1-uDff_7J0KD5mKrp0Vvzr7lt3OU09vwQwhkpOPPYv2Y/edit?usp=sharing"",""งบพรบ!CR58"")"),19590)</f>
        <v>19590</v>
      </c>
      <c r="M58" s="87">
        <f t="shared" ca="1" si="25"/>
        <v>100</v>
      </c>
      <c r="N58" s="87">
        <f t="shared" ca="1" si="26"/>
        <v>100</v>
      </c>
      <c r="O58" s="86">
        <f ca="1">IFERROR(__xludf.DUMMYFUNCTION("IMPORTRANGE(""https://docs.google.com/spreadsheets/d/1-uDff_7J0KD5mKrp0Vvzr7lt3OU09vwQwhkpOPPYv2Y/edit?usp=sharing"",""งบพรบ!CS58"")"),0)</f>
        <v>0</v>
      </c>
      <c r="P58" s="86">
        <f t="shared" ca="1" si="27"/>
        <v>0</v>
      </c>
      <c r="Q58" s="87">
        <f t="shared" ca="1" si="28"/>
        <v>0</v>
      </c>
      <c r="R58" s="241">
        <f ca="1">IFERROR(__xludf.DUMMYFUNCTION("IMPORTRANGE(""https://docs.google.com/spreadsheets/d/1jkqa6GXxSacMcY1eN8AHjMNJ_7dDXMJVRLDlaFSOdPM/edit?usp=sharing"",""ตราด!Q173"")"),0)</f>
        <v>0</v>
      </c>
      <c r="S58" s="242">
        <f ca="1">IFERROR(__xludf.DUMMYFUNCTION("IMPORTRANGE(""https://docs.google.com/spreadsheets/d/1jkqa6GXxSacMcY1eN8AHjMNJ_7dDXMJVRLDlaFSOdPM/edit?usp=sharing"",""ตราด!R173"")"),0)</f>
        <v>0</v>
      </c>
      <c r="T58" s="242">
        <f ca="1">IFERROR(__xludf.DUMMYFUNCTION("IMPORTRANGE(""https://docs.google.com/spreadsheets/d/1jkqa6GXxSacMcY1eN8AHjMNJ_7dDXMJVRLDlaFSOdPM/edit?usp=sharing"",""ตราด!S173"")"),0)</f>
        <v>0</v>
      </c>
      <c r="U58" s="243">
        <f t="shared" ca="1" si="30"/>
        <v>0</v>
      </c>
      <c r="V58" s="243">
        <f t="shared" ca="1" si="31"/>
        <v>0</v>
      </c>
      <c r="W58" s="97">
        <f ca="1">IFERROR(__xludf.DUMMYFUNCTION("IMPORTRANGE(""https://docs.google.com/spreadsheets/d/1jkqa6GXxSacMcY1eN8AHjMNJ_7dDXMJVRLDlaFSOdPM/edit?usp=sharing"",""ตราด!I183"")"),7)</f>
        <v>7</v>
      </c>
      <c r="X58" s="97">
        <f ca="1">IFERROR(__xludf.DUMMYFUNCTION("IMPORTRANGE(""https://docs.google.com/spreadsheets/d/1jkqa6GXxSacMcY1eN8AHjMNJ_7dDXMJVRLDlaFSOdPM/edit?usp=sharing"",""ตราด!J183"")"),7)</f>
        <v>7</v>
      </c>
      <c r="Y58" s="98">
        <f t="shared" ca="1" si="33"/>
        <v>100</v>
      </c>
      <c r="Z58" s="269">
        <v>0</v>
      </c>
      <c r="AA58" s="269">
        <v>0</v>
      </c>
      <c r="AB58" s="270">
        <v>0</v>
      </c>
    </row>
    <row r="59" spans="1:28" ht="21" customHeight="1" x14ac:dyDescent="0.3">
      <c r="A59" s="89">
        <v>7</v>
      </c>
      <c r="B59" s="90" t="s">
        <v>85</v>
      </c>
      <c r="C59" s="174">
        <f t="shared" ca="1" si="21"/>
        <v>0</v>
      </c>
      <c r="D59" s="175">
        <f t="shared" ca="1" si="42"/>
        <v>0</v>
      </c>
      <c r="E59" s="176">
        <f ca="1">IFERROR(__xludf.DUMMYFUNCTION("IMPORTRANGE(""https://docs.google.com/spreadsheets/d/1-uDff_7J0KD5mKrp0Vvzr7lt3OU09vwQwhkpOPPYv2Y/edit?usp=sharing"",""งบพรบ!CL59"")"),0)</f>
        <v>0</v>
      </c>
      <c r="F59" s="176">
        <v>0</v>
      </c>
      <c r="G59" s="176">
        <f ca="1">IFERROR(__xludf.DUMMYFUNCTION("IMPORTRANGE(""https://docs.google.com/spreadsheets/d/1-uDff_7J0KD5mKrp0Vvzr7lt3OU09vwQwhkpOPPYv2Y/edit?usp=sharing"",""งบพรบ!CN59"")"),0)</f>
        <v>0</v>
      </c>
      <c r="H59" s="176">
        <f ca="1">IFERROR(__xludf.DUMMYFUNCTION("IMPORTRANGE(""https://docs.google.com/spreadsheets/d/1-uDff_7J0KD5mKrp0Vvzr7lt3OU09vwQwhkpOPPYv2Y/edit?usp=sharing"",""งบพรบ!CP59"")"),0)</f>
        <v>0</v>
      </c>
      <c r="I59" s="176">
        <f ca="1">IFERROR(__xludf.DUMMYFUNCTION("IMPORTRANGE(""https://docs.google.com/spreadsheets/d/1-uDff_7J0KD5mKrp0Vvzr7lt3OU09vwQwhkpOPPYv2Y/edit?usp=sharing"",""งบพรบ!CQ59"")"),0)</f>
        <v>0</v>
      </c>
      <c r="J59" s="176">
        <f t="shared" ca="1" si="23"/>
        <v>0</v>
      </c>
      <c r="K59" s="179">
        <f t="shared" ca="1" si="24"/>
        <v>0</v>
      </c>
      <c r="L59" s="176">
        <f ca="1">IFERROR(__xludf.DUMMYFUNCTION("IMPORTRANGE(""https://docs.google.com/spreadsheets/d/1-uDff_7J0KD5mKrp0Vvzr7lt3OU09vwQwhkpOPPYv2Y/edit?usp=sharing"",""งบพรบ!CR59"")"),0)</f>
        <v>0</v>
      </c>
      <c r="M59" s="87">
        <f t="shared" ca="1" si="25"/>
        <v>0</v>
      </c>
      <c r="N59" s="87">
        <f t="shared" ca="1" si="26"/>
        <v>0</v>
      </c>
      <c r="O59" s="86">
        <f ca="1">IFERROR(__xludf.DUMMYFUNCTION("IMPORTRANGE(""https://docs.google.com/spreadsheets/d/1-uDff_7J0KD5mKrp0Vvzr7lt3OU09vwQwhkpOPPYv2Y/edit?usp=sharing"",""งบพรบ!CS59"")"),0)</f>
        <v>0</v>
      </c>
      <c r="P59" s="86">
        <f t="shared" ca="1" si="27"/>
        <v>0</v>
      </c>
      <c r="Q59" s="87">
        <f t="shared" ca="1" si="28"/>
        <v>0</v>
      </c>
      <c r="R59" s="241">
        <f ca="1">IFERROR(__xludf.DUMMYFUNCTION("IMPORTRANGE(""https://docs.google.com/spreadsheets/d/18hSgUJ3VwClqi_qtULmmW3cLr0oe3OKaSYoKzdpTsYQ/edit?usp=sharing"",""นครนายก!Q173"")"),0)</f>
        <v>0</v>
      </c>
      <c r="S59" s="242">
        <f ca="1">IFERROR(__xludf.DUMMYFUNCTION("IMPORTRANGE(""https://docs.google.com/spreadsheets/d/18hSgUJ3VwClqi_qtULmmW3cLr0oe3OKaSYoKzdpTsYQ/edit?usp=sharing"",""นครนายก!R173"")"),0)</f>
        <v>0</v>
      </c>
      <c r="T59" s="242">
        <f ca="1">IFERROR(__xludf.DUMMYFUNCTION("IMPORTRANGE(""https://docs.google.com/spreadsheets/d/18hSgUJ3VwClqi_qtULmmW3cLr0oe3OKaSYoKzdpTsYQ/edit?usp=sharing"",""นครนายก!S173"")"),0)</f>
        <v>0</v>
      </c>
      <c r="U59" s="243">
        <f t="shared" ca="1" si="30"/>
        <v>0</v>
      </c>
      <c r="V59" s="243">
        <f t="shared" ca="1" si="31"/>
        <v>0</v>
      </c>
      <c r="W59" s="97">
        <f ca="1">IFERROR(__xludf.DUMMYFUNCTION("IMPORTRANGE(""https://docs.google.com/spreadsheets/d/18hSgUJ3VwClqi_qtULmmW3cLr0oe3OKaSYoKzdpTsYQ/edit?usp=sharing"",""นครนายก!I183"")"),0)</f>
        <v>0</v>
      </c>
      <c r="X59" s="97">
        <f ca="1">IFERROR(__xludf.DUMMYFUNCTION("IMPORTRANGE(""https://docs.google.com/spreadsheets/d/18hSgUJ3VwClqi_qtULmmW3cLr0oe3OKaSYoKzdpTsYQ/edit?usp=sharing"",""นครนายก!J183"")"),0)</f>
        <v>0</v>
      </c>
      <c r="Y59" s="98">
        <f t="shared" ca="1" si="33"/>
        <v>0</v>
      </c>
      <c r="Z59" s="269">
        <v>0</v>
      </c>
      <c r="AA59" s="269">
        <v>0</v>
      </c>
      <c r="AB59" s="270">
        <v>0</v>
      </c>
    </row>
    <row r="60" spans="1:28" ht="21" customHeight="1" x14ac:dyDescent="0.3">
      <c r="A60" s="89">
        <v>8</v>
      </c>
      <c r="B60" s="90" t="s">
        <v>86</v>
      </c>
      <c r="C60" s="174">
        <f t="shared" ca="1" si="21"/>
        <v>19590</v>
      </c>
      <c r="D60" s="175">
        <f t="shared" ca="1" si="42"/>
        <v>19590</v>
      </c>
      <c r="E60" s="176">
        <f ca="1">IFERROR(__xludf.DUMMYFUNCTION("IMPORTRANGE(""https://docs.google.com/spreadsheets/d/1-uDff_7J0KD5mKrp0Vvzr7lt3OU09vwQwhkpOPPYv2Y/edit?usp=sharing"",""งบพรบ!CL60"")"),0)</f>
        <v>0</v>
      </c>
      <c r="F60" s="176">
        <f ca="1">IFERROR(__xludf.DUMMYFUNCTION("IMPORTRANGE(""https://docs.google.com/spreadsheets/d/1-uDff_7J0KD5mKrp0Vvzr7lt3OU09vwQwhkpOPPYv2Y/edit?usp=sharing"",""งบพรบ!CM60"")"),19590)</f>
        <v>19590</v>
      </c>
      <c r="G60" s="176">
        <f ca="1">IFERROR(__xludf.DUMMYFUNCTION("IMPORTRANGE(""https://docs.google.com/spreadsheets/d/1-uDff_7J0KD5mKrp0Vvzr7lt3OU09vwQwhkpOPPYv2Y/edit?usp=sharing"",""งบพรบ!CN60"")"),0)</f>
        <v>0</v>
      </c>
      <c r="H60" s="176">
        <f ca="1">IFERROR(__xludf.DUMMYFUNCTION("IMPORTRANGE(""https://docs.google.com/spreadsheets/d/1-uDff_7J0KD5mKrp0Vvzr7lt3OU09vwQwhkpOPPYv2Y/edit?usp=sharing"",""งบพรบ!CP60"")"),19590)</f>
        <v>19590</v>
      </c>
      <c r="I60" s="176">
        <f ca="1">IFERROR(__xludf.DUMMYFUNCTION("IMPORTRANGE(""https://docs.google.com/spreadsheets/d/1-uDff_7J0KD5mKrp0Vvzr7lt3OU09vwQwhkpOPPYv2Y/edit?usp=sharing"",""งบพรบ!CQ60"")"),0)</f>
        <v>0</v>
      </c>
      <c r="J60" s="176">
        <f t="shared" ca="1" si="23"/>
        <v>19590</v>
      </c>
      <c r="K60" s="179">
        <f t="shared" ca="1" si="24"/>
        <v>100</v>
      </c>
      <c r="L60" s="176">
        <f ca="1">IFERROR(__xludf.DUMMYFUNCTION("IMPORTRANGE(""https://docs.google.com/spreadsheets/d/1-uDff_7J0KD5mKrp0Vvzr7lt3OU09vwQwhkpOPPYv2Y/edit?usp=sharing"",""งบพรบ!CR60"")"),19590)</f>
        <v>19590</v>
      </c>
      <c r="M60" s="87">
        <f t="shared" ca="1" si="25"/>
        <v>100</v>
      </c>
      <c r="N60" s="87">
        <f t="shared" ca="1" si="26"/>
        <v>100</v>
      </c>
      <c r="O60" s="86">
        <f ca="1">IFERROR(__xludf.DUMMYFUNCTION("IMPORTRANGE(""https://docs.google.com/spreadsheets/d/1-uDff_7J0KD5mKrp0Vvzr7lt3OU09vwQwhkpOPPYv2Y/edit?usp=sharing"",""งบพรบ!CS60"")"),0)</f>
        <v>0</v>
      </c>
      <c r="P60" s="86">
        <f t="shared" ca="1" si="27"/>
        <v>0</v>
      </c>
      <c r="Q60" s="87">
        <f t="shared" ca="1" si="28"/>
        <v>0</v>
      </c>
      <c r="R60" s="241">
        <f ca="1">IFERROR(__xludf.DUMMYFUNCTION("IMPORTRANGE(""https://docs.google.com/spreadsheets/d/1YTZo6WM2dQ6Ix6FSdnL5P7uVnVKu40sxZu975tgG10E/edit?usp=sharing"",""นครปฐม!Q173"")"),0)</f>
        <v>0</v>
      </c>
      <c r="S60" s="242">
        <f ca="1">IFERROR(__xludf.DUMMYFUNCTION("IMPORTRANGE(""https://docs.google.com/spreadsheets/d/1YTZo6WM2dQ6Ix6FSdnL5P7uVnVKu40sxZu975tgG10E/edit?usp=sharing"",""นครปฐม!R173"")"),0)</f>
        <v>0</v>
      </c>
      <c r="T60" s="242">
        <f ca="1">IFERROR(__xludf.DUMMYFUNCTION("IMPORTRANGE(""https://docs.google.com/spreadsheets/d/1YTZo6WM2dQ6Ix6FSdnL5P7uVnVKu40sxZu975tgG10E/edit?usp=sharing"",""นครปฐม!S173"")"),0)</f>
        <v>0</v>
      </c>
      <c r="U60" s="243">
        <f t="shared" ca="1" si="30"/>
        <v>0</v>
      </c>
      <c r="V60" s="243">
        <f t="shared" ca="1" si="31"/>
        <v>0</v>
      </c>
      <c r="W60" s="97">
        <f ca="1">IFERROR(__xludf.DUMMYFUNCTION("IMPORTRANGE(""https://docs.google.com/spreadsheets/d/1YTZo6WM2dQ6Ix6FSdnL5P7uVnVKu40sxZu975tgG10E/edit?usp=sharing"",""นครปฐม!I183"")"),7)</f>
        <v>7</v>
      </c>
      <c r="X60" s="97">
        <f ca="1">IFERROR(__xludf.DUMMYFUNCTION("IMPORTRANGE(""https://docs.google.com/spreadsheets/d/1YTZo6WM2dQ6Ix6FSdnL5P7uVnVKu40sxZu975tgG10E/edit?usp=sharing"",""นครปฐม!J183"")"),0)</f>
        <v>0</v>
      </c>
      <c r="Y60" s="98">
        <f t="shared" ca="1" si="33"/>
        <v>0</v>
      </c>
      <c r="Z60" s="269">
        <v>0</v>
      </c>
      <c r="AA60" s="269">
        <v>0</v>
      </c>
      <c r="AB60" s="270">
        <v>0</v>
      </c>
    </row>
    <row r="61" spans="1:28" ht="21" customHeight="1" x14ac:dyDescent="0.3">
      <c r="A61" s="89">
        <v>9</v>
      </c>
      <c r="B61" s="90" t="s">
        <v>87</v>
      </c>
      <c r="C61" s="174">
        <f t="shared" ca="1" si="21"/>
        <v>19590</v>
      </c>
      <c r="D61" s="175">
        <f t="shared" ca="1" si="42"/>
        <v>19590</v>
      </c>
      <c r="E61" s="176">
        <f ca="1">IFERROR(__xludf.DUMMYFUNCTION("IMPORTRANGE(""https://docs.google.com/spreadsheets/d/1-uDff_7J0KD5mKrp0Vvzr7lt3OU09vwQwhkpOPPYv2Y/edit?usp=sharing"",""งบพรบ!CL61"")"),0)</f>
        <v>0</v>
      </c>
      <c r="F61" s="176">
        <f ca="1">IFERROR(__xludf.DUMMYFUNCTION("IMPORTRANGE(""https://docs.google.com/spreadsheets/d/1-uDff_7J0KD5mKrp0Vvzr7lt3OU09vwQwhkpOPPYv2Y/edit?usp=sharing"",""งบพรบ!CM61"")"),19590)</f>
        <v>19590</v>
      </c>
      <c r="G61" s="176">
        <f ca="1">IFERROR(__xludf.DUMMYFUNCTION("IMPORTRANGE(""https://docs.google.com/spreadsheets/d/1-uDff_7J0KD5mKrp0Vvzr7lt3OU09vwQwhkpOPPYv2Y/edit?usp=sharing"",""งบพรบ!CN61"")"),0)</f>
        <v>0</v>
      </c>
      <c r="H61" s="176">
        <f ca="1">IFERROR(__xludf.DUMMYFUNCTION("IMPORTRANGE(""https://docs.google.com/spreadsheets/d/1-uDff_7J0KD5mKrp0Vvzr7lt3OU09vwQwhkpOPPYv2Y/edit?usp=sharing"",""งบพรบ!CP61"")"),19590)</f>
        <v>19590</v>
      </c>
      <c r="I61" s="176">
        <f ca="1">IFERROR(__xludf.DUMMYFUNCTION("IMPORTRANGE(""https://docs.google.com/spreadsheets/d/1-uDff_7J0KD5mKrp0Vvzr7lt3OU09vwQwhkpOPPYv2Y/edit?usp=sharing"",""งบพรบ!CQ61"")"),0)</f>
        <v>0</v>
      </c>
      <c r="J61" s="176">
        <f t="shared" ca="1" si="23"/>
        <v>19590</v>
      </c>
      <c r="K61" s="179">
        <f t="shared" ca="1" si="24"/>
        <v>100</v>
      </c>
      <c r="L61" s="176">
        <f ca="1">IFERROR(__xludf.DUMMYFUNCTION("IMPORTRANGE(""https://docs.google.com/spreadsheets/d/1-uDff_7J0KD5mKrp0Vvzr7lt3OU09vwQwhkpOPPYv2Y/edit?usp=sharing"",""งบพรบ!CR61"")"),19590)</f>
        <v>19590</v>
      </c>
      <c r="M61" s="87">
        <f t="shared" ca="1" si="25"/>
        <v>100</v>
      </c>
      <c r="N61" s="87">
        <f t="shared" ca="1" si="26"/>
        <v>100</v>
      </c>
      <c r="O61" s="86">
        <f ca="1">IFERROR(__xludf.DUMMYFUNCTION("IMPORTRANGE(""https://docs.google.com/spreadsheets/d/1-uDff_7J0KD5mKrp0Vvzr7lt3OU09vwQwhkpOPPYv2Y/edit?usp=sharing"",""งบพรบ!CS61"")"),0)</f>
        <v>0</v>
      </c>
      <c r="P61" s="86">
        <f t="shared" ca="1" si="27"/>
        <v>0</v>
      </c>
      <c r="Q61" s="87">
        <f t="shared" ca="1" si="28"/>
        <v>0</v>
      </c>
      <c r="R61" s="241">
        <f ca="1">IFERROR(__xludf.DUMMYFUNCTION("IMPORTRANGE(""https://docs.google.com/spreadsheets/d/1OYoGg4WDg5RIzwGeB10padOxJF9E_Vljuvvct_M7RDo/edit?usp=sharing"",""ปทุมธานี!Q173"")"),0)</f>
        <v>0</v>
      </c>
      <c r="S61" s="242">
        <f ca="1">IFERROR(__xludf.DUMMYFUNCTION("IMPORTRANGE(""https://docs.google.com/spreadsheets/d/1OYoGg4WDg5RIzwGeB10padOxJF9E_Vljuvvct_M7RDo/edit?usp=sharing"",""ปทุมธานี!R173"")"),0)</f>
        <v>0</v>
      </c>
      <c r="T61" s="242">
        <f ca="1">IFERROR(__xludf.DUMMYFUNCTION("IMPORTRANGE(""https://docs.google.com/spreadsheets/d/1OYoGg4WDg5RIzwGeB10padOxJF9E_Vljuvvct_M7RDo/edit?usp=sharing"",""ปทุมธานี!S173"")"),0)</f>
        <v>0</v>
      </c>
      <c r="U61" s="243">
        <f t="shared" ca="1" si="30"/>
        <v>0</v>
      </c>
      <c r="V61" s="243">
        <f t="shared" ca="1" si="31"/>
        <v>0</v>
      </c>
      <c r="W61" s="97">
        <f ca="1">IFERROR(__xludf.DUMMYFUNCTION("IMPORTRANGE(""https://docs.google.com/spreadsheets/d/1OYoGg4WDg5RIzwGeB10padOxJF9E_Vljuvvct_M7RDo/edit?usp=sharing"",""ปทุมธานี!I183"")"),7)</f>
        <v>7</v>
      </c>
      <c r="X61" s="97">
        <f ca="1">IFERROR(__xludf.DUMMYFUNCTION("IMPORTRANGE(""https://docs.google.com/spreadsheets/d/1OYoGg4WDg5RIzwGeB10padOxJF9E_Vljuvvct_M7RDo/edit?usp=sharing"",""ปทุมธานี!J183"")"),7)</f>
        <v>7</v>
      </c>
      <c r="Y61" s="98">
        <f t="shared" ca="1" si="33"/>
        <v>100</v>
      </c>
      <c r="Z61" s="269">
        <v>0</v>
      </c>
      <c r="AA61" s="269">
        <v>0</v>
      </c>
      <c r="AB61" s="270">
        <v>0</v>
      </c>
    </row>
    <row r="62" spans="1:28" ht="21" customHeight="1" x14ac:dyDescent="0.3">
      <c r="A62" s="89">
        <v>10</v>
      </c>
      <c r="B62" s="90" t="s">
        <v>88</v>
      </c>
      <c r="C62" s="174">
        <f t="shared" ca="1" si="21"/>
        <v>19590</v>
      </c>
      <c r="D62" s="175">
        <f t="shared" ca="1" si="42"/>
        <v>19590</v>
      </c>
      <c r="E62" s="176">
        <f ca="1">IFERROR(__xludf.DUMMYFUNCTION("IMPORTRANGE(""https://docs.google.com/spreadsheets/d/1-uDff_7J0KD5mKrp0Vvzr7lt3OU09vwQwhkpOPPYv2Y/edit?usp=sharing"",""งบพรบ!CL62"")"),0)</f>
        <v>0</v>
      </c>
      <c r="F62" s="176">
        <f ca="1">IFERROR(__xludf.DUMMYFUNCTION("IMPORTRANGE(""https://docs.google.com/spreadsheets/d/1-uDff_7J0KD5mKrp0Vvzr7lt3OU09vwQwhkpOPPYv2Y/edit?usp=sharing"",""งบพรบ!CM62"")"),19590)</f>
        <v>19590</v>
      </c>
      <c r="G62" s="176">
        <f ca="1">IFERROR(__xludf.DUMMYFUNCTION("IMPORTRANGE(""https://docs.google.com/spreadsheets/d/1-uDff_7J0KD5mKrp0Vvzr7lt3OU09vwQwhkpOPPYv2Y/edit?usp=sharing"",""งบพรบ!CN62"")"),0)</f>
        <v>0</v>
      </c>
      <c r="H62" s="176">
        <f ca="1">IFERROR(__xludf.DUMMYFUNCTION("IMPORTRANGE(""https://docs.google.com/spreadsheets/d/1-uDff_7J0KD5mKrp0Vvzr7lt3OU09vwQwhkpOPPYv2Y/edit?usp=sharing"",""งบพรบ!CP62"")"),19590)</f>
        <v>19590</v>
      </c>
      <c r="I62" s="176">
        <f ca="1">IFERROR(__xludf.DUMMYFUNCTION("IMPORTRANGE(""https://docs.google.com/spreadsheets/d/1-uDff_7J0KD5mKrp0Vvzr7lt3OU09vwQwhkpOPPYv2Y/edit?usp=sharing"",""งบพรบ!CQ62"")"),0)</f>
        <v>0</v>
      </c>
      <c r="J62" s="176">
        <f t="shared" ca="1" si="23"/>
        <v>1000</v>
      </c>
      <c r="K62" s="179">
        <f t="shared" ca="1" si="24"/>
        <v>5.1046452271567127</v>
      </c>
      <c r="L62" s="176">
        <f ca="1">IFERROR(__xludf.DUMMYFUNCTION("IMPORTRANGE(""https://docs.google.com/spreadsheets/d/1-uDff_7J0KD5mKrp0Vvzr7lt3OU09vwQwhkpOPPYv2Y/edit?usp=sharing"",""งบพรบ!CR62"")"),1000)</f>
        <v>1000</v>
      </c>
      <c r="M62" s="87">
        <f t="shared" ca="1" si="25"/>
        <v>5.1046452271567127</v>
      </c>
      <c r="N62" s="87">
        <f t="shared" ca="1" si="26"/>
        <v>5.1046452271567127</v>
      </c>
      <c r="O62" s="86">
        <f ca="1">IFERROR(__xludf.DUMMYFUNCTION("IMPORTRANGE(""https://docs.google.com/spreadsheets/d/1-uDff_7J0KD5mKrp0Vvzr7lt3OU09vwQwhkpOPPYv2Y/edit?usp=sharing"",""งบพรบ!CS62"")"),0)</f>
        <v>0</v>
      </c>
      <c r="P62" s="86">
        <f t="shared" ca="1" si="27"/>
        <v>0</v>
      </c>
      <c r="Q62" s="87">
        <f t="shared" ca="1" si="28"/>
        <v>0</v>
      </c>
      <c r="R62" s="241">
        <f ca="1">IFERROR(__xludf.DUMMYFUNCTION("IMPORTRANGE(""https://docs.google.com/spreadsheets/d/1GbCIE4D4wk9FUozzqk7SxfDMxDVBwVmI5zcaVUSzKAc/edit?usp=sharing"",""ประจวบคีรีขันธ์!Q173"")"),0)</f>
        <v>0</v>
      </c>
      <c r="S62" s="242">
        <f ca="1">IFERROR(__xludf.DUMMYFUNCTION("IMPORTRANGE(""https://docs.google.com/spreadsheets/d/1GbCIE4D4wk9FUozzqk7SxfDMxDVBwVmI5zcaVUSzKAc/edit?usp=sharing"",""ประจวบคีรีขันธ์!R173"")"),0)</f>
        <v>0</v>
      </c>
      <c r="T62" s="242">
        <f ca="1">IFERROR(__xludf.DUMMYFUNCTION("IMPORTRANGE(""https://docs.google.com/spreadsheets/d/1GbCIE4D4wk9FUozzqk7SxfDMxDVBwVmI5zcaVUSzKAc/edit?usp=sharing"",""ประจวบคีรีขันธ์!S173"")"),0)</f>
        <v>0</v>
      </c>
      <c r="U62" s="243">
        <f t="shared" ca="1" si="30"/>
        <v>0</v>
      </c>
      <c r="V62" s="243">
        <f t="shared" ca="1" si="31"/>
        <v>0</v>
      </c>
      <c r="W62" s="97">
        <f ca="1">IFERROR(__xludf.DUMMYFUNCTION("IMPORTRANGE(""https://docs.google.com/spreadsheets/d/1GbCIE4D4wk9FUozzqk7SxfDMxDVBwVmI5zcaVUSzKAc/edit?usp=sharing"",""ประจวบคีรีขันธ์!I183"")"),7)</f>
        <v>7</v>
      </c>
      <c r="X62" s="97">
        <f ca="1">IFERROR(__xludf.DUMMYFUNCTION("IMPORTRANGE(""https://docs.google.com/spreadsheets/d/1GbCIE4D4wk9FUozzqk7SxfDMxDVBwVmI5zcaVUSzKAc/edit?usp=sharing"",""ประจวบคีรีขันธ์!J183"")"),0)</f>
        <v>0</v>
      </c>
      <c r="Y62" s="98">
        <f t="shared" ca="1" si="33"/>
        <v>0</v>
      </c>
      <c r="Z62" s="269">
        <v>0</v>
      </c>
      <c r="AA62" s="269">
        <v>0</v>
      </c>
      <c r="AB62" s="270">
        <v>0</v>
      </c>
    </row>
    <row r="63" spans="1:28" ht="21" customHeight="1" x14ac:dyDescent="0.3">
      <c r="A63" s="89">
        <v>11</v>
      </c>
      <c r="B63" s="90" t="s">
        <v>89</v>
      </c>
      <c r="C63" s="174">
        <f t="shared" ca="1" si="21"/>
        <v>19590</v>
      </c>
      <c r="D63" s="175">
        <f t="shared" ca="1" si="42"/>
        <v>19590</v>
      </c>
      <c r="E63" s="176">
        <f ca="1">IFERROR(__xludf.DUMMYFUNCTION("IMPORTRANGE(""https://docs.google.com/spreadsheets/d/1-uDff_7J0KD5mKrp0Vvzr7lt3OU09vwQwhkpOPPYv2Y/edit?usp=sharing"",""งบพรบ!CL63"")"),0)</f>
        <v>0</v>
      </c>
      <c r="F63" s="176">
        <f ca="1">IFERROR(__xludf.DUMMYFUNCTION("IMPORTRANGE(""https://docs.google.com/spreadsheets/d/1-uDff_7J0KD5mKrp0Vvzr7lt3OU09vwQwhkpOPPYv2Y/edit?usp=sharing"",""งบพรบ!CM63"")"),19590)</f>
        <v>19590</v>
      </c>
      <c r="G63" s="176">
        <f ca="1">IFERROR(__xludf.DUMMYFUNCTION("IMPORTRANGE(""https://docs.google.com/spreadsheets/d/1-uDff_7J0KD5mKrp0Vvzr7lt3OU09vwQwhkpOPPYv2Y/edit?usp=sharing"",""งบพรบ!CN63"")"),0)</f>
        <v>0</v>
      </c>
      <c r="H63" s="176">
        <f ca="1">IFERROR(__xludf.DUMMYFUNCTION("IMPORTRANGE(""https://docs.google.com/spreadsheets/d/1-uDff_7J0KD5mKrp0Vvzr7lt3OU09vwQwhkpOPPYv2Y/edit?usp=sharing"",""งบพรบ!CP63"")"),19590)</f>
        <v>19590</v>
      </c>
      <c r="I63" s="176">
        <f ca="1">IFERROR(__xludf.DUMMYFUNCTION("IMPORTRANGE(""https://docs.google.com/spreadsheets/d/1-uDff_7J0KD5mKrp0Vvzr7lt3OU09vwQwhkpOPPYv2Y/edit?usp=sharing"",""งบพรบ!CQ63"")"),0)</f>
        <v>0</v>
      </c>
      <c r="J63" s="176">
        <f t="shared" ca="1" si="23"/>
        <v>18440</v>
      </c>
      <c r="K63" s="179">
        <f t="shared" ca="1" si="24"/>
        <v>94.129657988769779</v>
      </c>
      <c r="L63" s="176">
        <f ca="1">IFERROR(__xludf.DUMMYFUNCTION("IMPORTRANGE(""https://docs.google.com/spreadsheets/d/1-uDff_7J0KD5mKrp0Vvzr7lt3OU09vwQwhkpOPPYv2Y/edit?usp=sharing"",""งบพรบ!CR63"")"),18440)</f>
        <v>18440</v>
      </c>
      <c r="M63" s="87">
        <f t="shared" ca="1" si="25"/>
        <v>94.129657988769779</v>
      </c>
      <c r="N63" s="87">
        <f t="shared" ca="1" si="26"/>
        <v>94.129657988769779</v>
      </c>
      <c r="O63" s="86">
        <f ca="1">IFERROR(__xludf.DUMMYFUNCTION("IMPORTRANGE(""https://docs.google.com/spreadsheets/d/1-uDff_7J0KD5mKrp0Vvzr7lt3OU09vwQwhkpOPPYv2Y/edit?usp=sharing"",""งบพรบ!CS63"")"),0)</f>
        <v>0</v>
      </c>
      <c r="P63" s="86">
        <f t="shared" ca="1" si="27"/>
        <v>0</v>
      </c>
      <c r="Q63" s="87">
        <f t="shared" ca="1" si="28"/>
        <v>0</v>
      </c>
      <c r="R63" s="241">
        <f ca="1">IFERROR(__xludf.DUMMYFUNCTION("IMPORTRANGE(""https://docs.google.com/spreadsheets/d/1vVf6wykvW_lAyu7Yo9L4hUTqHqIeP_qcVuxCtosJEbg/edit?usp=sharing"",""ปราจีนบุรี!Q173"")"),0)</f>
        <v>0</v>
      </c>
      <c r="S63" s="242">
        <f ca="1">IFERROR(__xludf.DUMMYFUNCTION("IMPORTRANGE(""https://docs.google.com/spreadsheets/d/1vVf6wykvW_lAyu7Yo9L4hUTqHqIeP_qcVuxCtosJEbg/edit?usp=sharing"",""ปราจีนบุรี!R173"")"),0)</f>
        <v>0</v>
      </c>
      <c r="T63" s="242">
        <f ca="1">IFERROR(__xludf.DUMMYFUNCTION("IMPORTRANGE(""https://docs.google.com/spreadsheets/d/1vVf6wykvW_lAyu7Yo9L4hUTqHqIeP_qcVuxCtosJEbg/edit?usp=sharing"",""ปราจีนบุรี!S173"")"),0)</f>
        <v>0</v>
      </c>
      <c r="U63" s="243">
        <f t="shared" ca="1" si="30"/>
        <v>0</v>
      </c>
      <c r="V63" s="243">
        <f t="shared" ca="1" si="31"/>
        <v>0</v>
      </c>
      <c r="W63" s="97">
        <f ca="1">IFERROR(__xludf.DUMMYFUNCTION("IMPORTRANGE(""https://docs.google.com/spreadsheets/d/1vVf6wykvW_lAyu7Yo9L4hUTqHqIeP_qcVuxCtosJEbg/edit?usp=sharing"",""ปราจีนบุรี!I183"")"),7)</f>
        <v>7</v>
      </c>
      <c r="X63" s="97">
        <f ca="1">IFERROR(__xludf.DUMMYFUNCTION("IMPORTRANGE(""https://docs.google.com/spreadsheets/d/1vVf6wykvW_lAyu7Yo9L4hUTqHqIeP_qcVuxCtosJEbg/edit?usp=sharing"",""ปราจีนบุรี!J183"")"),0)</f>
        <v>0</v>
      </c>
      <c r="Y63" s="98">
        <f t="shared" ca="1" si="33"/>
        <v>0</v>
      </c>
      <c r="Z63" s="269">
        <v>0</v>
      </c>
      <c r="AA63" s="269">
        <v>0</v>
      </c>
      <c r="AB63" s="270">
        <v>0</v>
      </c>
    </row>
    <row r="64" spans="1:28" ht="21" customHeight="1" x14ac:dyDescent="0.3">
      <c r="A64" s="89">
        <v>12</v>
      </c>
      <c r="B64" s="90" t="s">
        <v>90</v>
      </c>
      <c r="C64" s="174">
        <f t="shared" ca="1" si="21"/>
        <v>19590</v>
      </c>
      <c r="D64" s="175">
        <f t="shared" ca="1" si="42"/>
        <v>19590</v>
      </c>
      <c r="E64" s="176">
        <f ca="1">IFERROR(__xludf.DUMMYFUNCTION("IMPORTRANGE(""https://docs.google.com/spreadsheets/d/1-uDff_7J0KD5mKrp0Vvzr7lt3OU09vwQwhkpOPPYv2Y/edit?usp=sharing"",""งบพรบ!CL64"")"),0)</f>
        <v>0</v>
      </c>
      <c r="F64" s="176">
        <f ca="1">IFERROR(__xludf.DUMMYFUNCTION("IMPORTRANGE(""https://docs.google.com/spreadsheets/d/1-uDff_7J0KD5mKrp0Vvzr7lt3OU09vwQwhkpOPPYv2Y/edit?usp=sharing"",""งบพรบ!CM64"")"),19590)</f>
        <v>19590</v>
      </c>
      <c r="G64" s="176">
        <f ca="1">IFERROR(__xludf.DUMMYFUNCTION("IMPORTRANGE(""https://docs.google.com/spreadsheets/d/1-uDff_7J0KD5mKrp0Vvzr7lt3OU09vwQwhkpOPPYv2Y/edit?usp=sharing"",""งบพรบ!CN64"")"),0)</f>
        <v>0</v>
      </c>
      <c r="H64" s="176">
        <f ca="1">IFERROR(__xludf.DUMMYFUNCTION("IMPORTRANGE(""https://docs.google.com/spreadsheets/d/1-uDff_7J0KD5mKrp0Vvzr7lt3OU09vwQwhkpOPPYv2Y/edit?usp=sharing"",""งบพรบ!CP64"")"),19590)</f>
        <v>19590</v>
      </c>
      <c r="I64" s="176">
        <f ca="1">IFERROR(__xludf.DUMMYFUNCTION("IMPORTRANGE(""https://docs.google.com/spreadsheets/d/1-uDff_7J0KD5mKrp0Vvzr7lt3OU09vwQwhkpOPPYv2Y/edit?usp=sharing"",""งบพรบ!CQ64"")"),0)</f>
        <v>0</v>
      </c>
      <c r="J64" s="176">
        <f t="shared" ca="1" si="23"/>
        <v>15570</v>
      </c>
      <c r="K64" s="179">
        <f t="shared" ca="1" si="24"/>
        <v>79.479326186830022</v>
      </c>
      <c r="L64" s="176">
        <f ca="1">IFERROR(__xludf.DUMMYFUNCTION("IMPORTRANGE(""https://docs.google.com/spreadsheets/d/1-uDff_7J0KD5mKrp0Vvzr7lt3OU09vwQwhkpOPPYv2Y/edit?usp=sharing"",""งบพรบ!CR64"")"),15570)</f>
        <v>15570</v>
      </c>
      <c r="M64" s="87">
        <f t="shared" ca="1" si="25"/>
        <v>79.479326186830022</v>
      </c>
      <c r="N64" s="87">
        <f t="shared" ca="1" si="26"/>
        <v>79.479326186830022</v>
      </c>
      <c r="O64" s="86">
        <f ca="1">IFERROR(__xludf.DUMMYFUNCTION("IMPORTRANGE(""https://docs.google.com/spreadsheets/d/1-uDff_7J0KD5mKrp0Vvzr7lt3OU09vwQwhkpOPPYv2Y/edit?usp=sharing"",""งบพรบ!CS64"")"),0)</f>
        <v>0</v>
      </c>
      <c r="P64" s="86">
        <f t="shared" ca="1" si="27"/>
        <v>0</v>
      </c>
      <c r="Q64" s="87">
        <f t="shared" ca="1" si="28"/>
        <v>0</v>
      </c>
      <c r="R64" s="241">
        <f ca="1">IFERROR(__xludf.DUMMYFUNCTION("IMPORTRANGE(""https://docs.google.com/spreadsheets/d/1BIDqLLg5jk3v59G8NlR8rk5xfQDKne0sAvZHSj7TI6I/edit?usp=sharing"",""พระนครศรีอยุธยา!Q173"")"),0)</f>
        <v>0</v>
      </c>
      <c r="S64" s="242">
        <f ca="1">IFERROR(__xludf.DUMMYFUNCTION("IMPORTRANGE(""https://docs.google.com/spreadsheets/d/1BIDqLLg5jk3v59G8NlR8rk5xfQDKne0sAvZHSj7TI6I/edit?usp=sharing"",""พระนครศรีอยุธยา!R173"")"),0)</f>
        <v>0</v>
      </c>
      <c r="T64" s="242">
        <f ca="1">IFERROR(__xludf.DUMMYFUNCTION("IMPORTRANGE(""https://docs.google.com/spreadsheets/d/1BIDqLLg5jk3v59G8NlR8rk5xfQDKne0sAvZHSj7TI6I/edit?usp=sharing"",""พระนครศรีอยุธยา!S173"")"),0)</f>
        <v>0</v>
      </c>
      <c r="U64" s="243">
        <f t="shared" ca="1" si="30"/>
        <v>0</v>
      </c>
      <c r="V64" s="243">
        <f t="shared" ca="1" si="31"/>
        <v>0</v>
      </c>
      <c r="W64" s="97">
        <f ca="1">IFERROR(__xludf.DUMMYFUNCTION("IMPORTRANGE(""https://docs.google.com/spreadsheets/d/1BIDqLLg5jk3v59G8NlR8rk5xfQDKne0sAvZHSj7TI6I/edit?usp=sharing"",""พระนครศรีอยุธยา!I183"")"),7)</f>
        <v>7</v>
      </c>
      <c r="X64" s="97">
        <f ca="1">IFERROR(__xludf.DUMMYFUNCTION("IMPORTRANGE(""https://docs.google.com/spreadsheets/d/1BIDqLLg5jk3v59G8NlR8rk5xfQDKne0sAvZHSj7TI6I/edit?usp=sharing"",""พระนครศรีอยุธยา!J183"")"),7)</f>
        <v>7</v>
      </c>
      <c r="Y64" s="98">
        <f t="shared" ca="1" si="33"/>
        <v>100</v>
      </c>
      <c r="Z64" s="269">
        <v>0</v>
      </c>
      <c r="AA64" s="269">
        <v>0</v>
      </c>
      <c r="AB64" s="270">
        <v>0</v>
      </c>
    </row>
    <row r="65" spans="1:28" ht="21" customHeight="1" x14ac:dyDescent="0.3">
      <c r="A65" s="89">
        <v>13</v>
      </c>
      <c r="B65" s="90" t="s">
        <v>91</v>
      </c>
      <c r="C65" s="174">
        <f t="shared" ca="1" si="21"/>
        <v>19590</v>
      </c>
      <c r="D65" s="175">
        <f t="shared" ca="1" si="42"/>
        <v>19590</v>
      </c>
      <c r="E65" s="176">
        <f ca="1">IFERROR(__xludf.DUMMYFUNCTION("IMPORTRANGE(""https://docs.google.com/spreadsheets/d/1-uDff_7J0KD5mKrp0Vvzr7lt3OU09vwQwhkpOPPYv2Y/edit?usp=sharing"",""งบพรบ!CL65"")"),0)</f>
        <v>0</v>
      </c>
      <c r="F65" s="176">
        <f ca="1">IFERROR(__xludf.DUMMYFUNCTION("IMPORTRANGE(""https://docs.google.com/spreadsheets/d/1-uDff_7J0KD5mKrp0Vvzr7lt3OU09vwQwhkpOPPYv2Y/edit?usp=sharing"",""งบพรบ!CM65"")"),19590)</f>
        <v>19590</v>
      </c>
      <c r="G65" s="176">
        <f ca="1">IFERROR(__xludf.DUMMYFUNCTION("IMPORTRANGE(""https://docs.google.com/spreadsheets/d/1-uDff_7J0KD5mKrp0Vvzr7lt3OU09vwQwhkpOPPYv2Y/edit?usp=sharing"",""งบพรบ!CN65"")"),0)</f>
        <v>0</v>
      </c>
      <c r="H65" s="176">
        <f ca="1">IFERROR(__xludf.DUMMYFUNCTION("IMPORTRANGE(""https://docs.google.com/spreadsheets/d/1-uDff_7J0KD5mKrp0Vvzr7lt3OU09vwQwhkpOPPYv2Y/edit?usp=sharing"",""งบพรบ!CP65"")"),19590)</f>
        <v>19590</v>
      </c>
      <c r="I65" s="176">
        <f ca="1">IFERROR(__xludf.DUMMYFUNCTION("IMPORTRANGE(""https://docs.google.com/spreadsheets/d/1-uDff_7J0KD5mKrp0Vvzr7lt3OU09vwQwhkpOPPYv2Y/edit?usp=sharing"",""งบพรบ!CQ65"")"),0)</f>
        <v>0</v>
      </c>
      <c r="J65" s="176">
        <f t="shared" ca="1" si="23"/>
        <v>16968</v>
      </c>
      <c r="K65" s="179">
        <f t="shared" ca="1" si="24"/>
        <v>86.615620214395094</v>
      </c>
      <c r="L65" s="176">
        <f ca="1">IFERROR(__xludf.DUMMYFUNCTION("IMPORTRANGE(""https://docs.google.com/spreadsheets/d/1-uDff_7J0KD5mKrp0Vvzr7lt3OU09vwQwhkpOPPYv2Y/edit?usp=sharing"",""งบพรบ!CR65"")"),16968)</f>
        <v>16968</v>
      </c>
      <c r="M65" s="87">
        <f t="shared" ca="1" si="25"/>
        <v>86.615620214395094</v>
      </c>
      <c r="N65" s="87">
        <f t="shared" ca="1" si="26"/>
        <v>86.615620214395094</v>
      </c>
      <c r="O65" s="86">
        <f ca="1">IFERROR(__xludf.DUMMYFUNCTION("IMPORTRANGE(""https://docs.google.com/spreadsheets/d/1-uDff_7J0KD5mKrp0Vvzr7lt3OU09vwQwhkpOPPYv2Y/edit?usp=sharing"",""งบพรบ!CS65"")"),0)</f>
        <v>0</v>
      </c>
      <c r="P65" s="86">
        <f t="shared" ca="1" si="27"/>
        <v>0</v>
      </c>
      <c r="Q65" s="87">
        <f t="shared" ca="1" si="28"/>
        <v>0</v>
      </c>
      <c r="R65" s="241">
        <f ca="1">IFERROR(__xludf.DUMMYFUNCTION("IMPORTRANGE(""https://docs.google.com/spreadsheets/d/1YXvxf8Yu6_rV4hTBrwMqAcAnv6DfhUxh5emyM3CJp_w/edit?usp=sharing"",""เพชรบุรี!Q173"")"),0)</f>
        <v>0</v>
      </c>
      <c r="S65" s="242">
        <f ca="1">IFERROR(__xludf.DUMMYFUNCTION("IMPORTRANGE(""https://docs.google.com/spreadsheets/d/1YXvxf8Yu6_rV4hTBrwMqAcAnv6DfhUxh5emyM3CJp_w/edit?usp=sharing"",""เพชรบุรี!R173"")"),0)</f>
        <v>0</v>
      </c>
      <c r="T65" s="242">
        <f ca="1">IFERROR(__xludf.DUMMYFUNCTION("IMPORTRANGE(""https://docs.google.com/spreadsheets/d/1YXvxf8Yu6_rV4hTBrwMqAcAnv6DfhUxh5emyM3CJp_w/edit?usp=sharing"",""เพชรบุรี!S173"")"),0)</f>
        <v>0</v>
      </c>
      <c r="U65" s="243">
        <f t="shared" ca="1" si="30"/>
        <v>0</v>
      </c>
      <c r="V65" s="243">
        <f t="shared" ca="1" si="31"/>
        <v>0</v>
      </c>
      <c r="W65" s="97">
        <f ca="1">IFERROR(__xludf.DUMMYFUNCTION("IMPORTRANGE(""https://docs.google.com/spreadsheets/d/1YXvxf8Yu6_rV4hTBrwMqAcAnv6DfhUxh5emyM3CJp_w/edit?usp=sharing"",""เพชรบุรี!I183"")"),7)</f>
        <v>7</v>
      </c>
      <c r="X65" s="97">
        <f ca="1">IFERROR(__xludf.DUMMYFUNCTION("IMPORTRANGE(""https://docs.google.com/spreadsheets/d/1YXvxf8Yu6_rV4hTBrwMqAcAnv6DfhUxh5emyM3CJp_w/edit?usp=sharing"",""เพชรบุรี!J183"")"),7)</f>
        <v>7</v>
      </c>
      <c r="Y65" s="98">
        <f t="shared" ca="1" si="33"/>
        <v>100</v>
      </c>
      <c r="Z65" s="269">
        <v>0</v>
      </c>
      <c r="AA65" s="269">
        <v>0</v>
      </c>
      <c r="AB65" s="270">
        <v>0</v>
      </c>
    </row>
    <row r="66" spans="1:28" ht="21" customHeight="1" x14ac:dyDescent="0.3">
      <c r="A66" s="89">
        <v>14</v>
      </c>
      <c r="B66" s="90" t="s">
        <v>92</v>
      </c>
      <c r="C66" s="174">
        <f t="shared" ca="1" si="21"/>
        <v>19590</v>
      </c>
      <c r="D66" s="175">
        <f t="shared" ca="1" si="42"/>
        <v>19590</v>
      </c>
      <c r="E66" s="176">
        <f ca="1">IFERROR(__xludf.DUMMYFUNCTION("IMPORTRANGE(""https://docs.google.com/spreadsheets/d/1-uDff_7J0KD5mKrp0Vvzr7lt3OU09vwQwhkpOPPYv2Y/edit?usp=sharing"",""งบพรบ!CL66"")"),0)</f>
        <v>0</v>
      </c>
      <c r="F66" s="176">
        <f ca="1">IFERROR(__xludf.DUMMYFUNCTION("IMPORTRANGE(""https://docs.google.com/spreadsheets/d/1-uDff_7J0KD5mKrp0Vvzr7lt3OU09vwQwhkpOPPYv2Y/edit?usp=sharing"",""งบพรบ!CM66"")"),19590)</f>
        <v>19590</v>
      </c>
      <c r="G66" s="176">
        <f ca="1">IFERROR(__xludf.DUMMYFUNCTION("IMPORTRANGE(""https://docs.google.com/spreadsheets/d/1-uDff_7J0KD5mKrp0Vvzr7lt3OU09vwQwhkpOPPYv2Y/edit?usp=sharing"",""งบพรบ!CN66"")"),0)</f>
        <v>0</v>
      </c>
      <c r="H66" s="176">
        <f ca="1">IFERROR(__xludf.DUMMYFUNCTION("IMPORTRANGE(""https://docs.google.com/spreadsheets/d/1-uDff_7J0KD5mKrp0Vvzr7lt3OU09vwQwhkpOPPYv2Y/edit?usp=sharing"",""งบพรบ!CP66"")"),19590)</f>
        <v>19590</v>
      </c>
      <c r="I66" s="176">
        <f ca="1">IFERROR(__xludf.DUMMYFUNCTION("IMPORTRANGE(""https://docs.google.com/spreadsheets/d/1-uDff_7J0KD5mKrp0Vvzr7lt3OU09vwQwhkpOPPYv2Y/edit?usp=sharing"",""งบพรบ!CQ66"")"),0)</f>
        <v>0</v>
      </c>
      <c r="J66" s="176">
        <f t="shared" ca="1" si="23"/>
        <v>16830</v>
      </c>
      <c r="K66" s="179">
        <f t="shared" ca="1" si="24"/>
        <v>85.911179173047472</v>
      </c>
      <c r="L66" s="176">
        <f ca="1">IFERROR(__xludf.DUMMYFUNCTION("IMPORTRANGE(""https://docs.google.com/spreadsheets/d/1-uDff_7J0KD5mKrp0Vvzr7lt3OU09vwQwhkpOPPYv2Y/edit?usp=sharing"",""งบพรบ!CR66"")"),16830)</f>
        <v>16830</v>
      </c>
      <c r="M66" s="87">
        <f t="shared" ca="1" si="25"/>
        <v>85.911179173047472</v>
      </c>
      <c r="N66" s="87">
        <f t="shared" ca="1" si="26"/>
        <v>85.911179173047472</v>
      </c>
      <c r="O66" s="86">
        <f ca="1">IFERROR(__xludf.DUMMYFUNCTION("IMPORTRANGE(""https://docs.google.com/spreadsheets/d/1-uDff_7J0KD5mKrp0Vvzr7lt3OU09vwQwhkpOPPYv2Y/edit?usp=sharing"",""งบพรบ!CS66"")"),0)</f>
        <v>0</v>
      </c>
      <c r="P66" s="86">
        <f t="shared" ca="1" si="27"/>
        <v>0</v>
      </c>
      <c r="Q66" s="87">
        <f t="shared" ca="1" si="28"/>
        <v>0</v>
      </c>
      <c r="R66" s="241">
        <f ca="1">IFERROR(__xludf.DUMMYFUNCTION("IMPORTRANGE(""https://docs.google.com/spreadsheets/d/19KBlQQs7uwvsao6t2n-KvW3Ax8J8uRRfZPq1zPbXgKc/edit?usp=sharing"",""ระยอง!Q173"")"),0)</f>
        <v>0</v>
      </c>
      <c r="S66" s="242">
        <f ca="1">IFERROR(__xludf.DUMMYFUNCTION("IMPORTRANGE(""https://docs.google.com/spreadsheets/d/19KBlQQs7uwvsao6t2n-KvW3Ax8J8uRRfZPq1zPbXgKc/edit?usp=sharing"",""ระยอง!R173"")"),0)</f>
        <v>0</v>
      </c>
      <c r="T66" s="242">
        <f ca="1">IFERROR(__xludf.DUMMYFUNCTION("IMPORTRANGE(""https://docs.google.com/spreadsheets/d/19KBlQQs7uwvsao6t2n-KvW3Ax8J8uRRfZPq1zPbXgKc/edit?usp=sharing"",""ระยอง!S173"")"),0)</f>
        <v>0</v>
      </c>
      <c r="U66" s="243">
        <f t="shared" ca="1" si="30"/>
        <v>0</v>
      </c>
      <c r="V66" s="243">
        <f t="shared" ca="1" si="31"/>
        <v>0</v>
      </c>
      <c r="W66" s="97">
        <f ca="1">IFERROR(__xludf.DUMMYFUNCTION("IMPORTRANGE(""https://docs.google.com/spreadsheets/d/19KBlQQs7uwvsao6t2n-KvW3Ax8J8uRRfZPq1zPbXgKc/edit?usp=sharing"",""ระยอง!I183"")"),7)</f>
        <v>7</v>
      </c>
      <c r="X66" s="97">
        <f ca="1">IFERROR(__xludf.DUMMYFUNCTION("IMPORTRANGE(""https://docs.google.com/spreadsheets/d/19KBlQQs7uwvsao6t2n-KvW3Ax8J8uRRfZPq1zPbXgKc/edit?usp=sharing"",""ระยอง!J183"")"),7)</f>
        <v>7</v>
      </c>
      <c r="Y66" s="98">
        <f t="shared" ca="1" si="33"/>
        <v>100</v>
      </c>
      <c r="Z66" s="269">
        <v>0</v>
      </c>
      <c r="AA66" s="269">
        <v>0</v>
      </c>
      <c r="AB66" s="270">
        <v>0</v>
      </c>
    </row>
    <row r="67" spans="1:28" ht="21" customHeight="1" x14ac:dyDescent="0.3">
      <c r="A67" s="89">
        <v>15</v>
      </c>
      <c r="B67" s="90" t="s">
        <v>93</v>
      </c>
      <c r="C67" s="174">
        <f t="shared" ca="1" si="21"/>
        <v>19590</v>
      </c>
      <c r="D67" s="175">
        <f t="shared" ca="1" si="42"/>
        <v>19590</v>
      </c>
      <c r="E67" s="176">
        <f ca="1">IFERROR(__xludf.DUMMYFUNCTION("IMPORTRANGE(""https://docs.google.com/spreadsheets/d/1-uDff_7J0KD5mKrp0Vvzr7lt3OU09vwQwhkpOPPYv2Y/edit?usp=sharing"",""งบพรบ!CL67"")"),0)</f>
        <v>0</v>
      </c>
      <c r="F67" s="176">
        <f ca="1">IFERROR(__xludf.DUMMYFUNCTION("IMPORTRANGE(""https://docs.google.com/spreadsheets/d/1-uDff_7J0KD5mKrp0Vvzr7lt3OU09vwQwhkpOPPYv2Y/edit?usp=sharing"",""งบพรบ!CM67"")"),19590)</f>
        <v>19590</v>
      </c>
      <c r="G67" s="176">
        <f ca="1">IFERROR(__xludf.DUMMYFUNCTION("IMPORTRANGE(""https://docs.google.com/spreadsheets/d/1-uDff_7J0KD5mKrp0Vvzr7lt3OU09vwQwhkpOPPYv2Y/edit?usp=sharing"",""งบพรบ!CN67"")"),0)</f>
        <v>0</v>
      </c>
      <c r="H67" s="176">
        <f ca="1">IFERROR(__xludf.DUMMYFUNCTION("IMPORTRANGE(""https://docs.google.com/spreadsheets/d/1-uDff_7J0KD5mKrp0Vvzr7lt3OU09vwQwhkpOPPYv2Y/edit?usp=sharing"",""งบพรบ!CP67"")"),19590)</f>
        <v>19590</v>
      </c>
      <c r="I67" s="176">
        <f ca="1">IFERROR(__xludf.DUMMYFUNCTION("IMPORTRANGE(""https://docs.google.com/spreadsheets/d/1-uDff_7J0KD5mKrp0Vvzr7lt3OU09vwQwhkpOPPYv2Y/edit?usp=sharing"",""งบพรบ!CQ67"")"),0)</f>
        <v>0</v>
      </c>
      <c r="J67" s="176">
        <f t="shared" ca="1" si="23"/>
        <v>2975</v>
      </c>
      <c r="K67" s="179">
        <f t="shared" ca="1" si="24"/>
        <v>15.18631955079122</v>
      </c>
      <c r="L67" s="176">
        <f ca="1">IFERROR(__xludf.DUMMYFUNCTION("IMPORTRANGE(""https://docs.google.com/spreadsheets/d/1-uDff_7J0KD5mKrp0Vvzr7lt3OU09vwQwhkpOPPYv2Y/edit?usp=sharing"",""งบพรบ!CR67"")"),2975)</f>
        <v>2975</v>
      </c>
      <c r="M67" s="87">
        <f t="shared" ca="1" si="25"/>
        <v>15.18631955079122</v>
      </c>
      <c r="N67" s="87">
        <f t="shared" ca="1" si="26"/>
        <v>15.18631955079122</v>
      </c>
      <c r="O67" s="86">
        <f ca="1">IFERROR(__xludf.DUMMYFUNCTION("IMPORTRANGE(""https://docs.google.com/spreadsheets/d/1-uDff_7J0KD5mKrp0Vvzr7lt3OU09vwQwhkpOPPYv2Y/edit?usp=sharing"",""งบพรบ!CS67"")"),0)</f>
        <v>0</v>
      </c>
      <c r="P67" s="86">
        <f t="shared" ca="1" si="27"/>
        <v>0</v>
      </c>
      <c r="Q67" s="87">
        <f t="shared" ca="1" si="28"/>
        <v>0</v>
      </c>
      <c r="R67" s="241">
        <f ca="1">IFERROR(__xludf.DUMMYFUNCTION("IMPORTRANGE(""https://docs.google.com/spreadsheets/d/1jQ6P4QcrGM89YfqcC_PxOHGCMq5ezhucwJd8ci-NHng/edit?usp=sharing"",""ราชบุรี!Q173"")"),0)</f>
        <v>0</v>
      </c>
      <c r="S67" s="242">
        <f ca="1">IFERROR(__xludf.DUMMYFUNCTION("IMPORTRANGE(""https://docs.google.com/spreadsheets/d/1jQ6P4QcrGM89YfqcC_PxOHGCMq5ezhucwJd8ci-NHng/edit?usp=sharing"",""ราชบุรี!R173"")"),0)</f>
        <v>0</v>
      </c>
      <c r="T67" s="242">
        <f ca="1">IFERROR(__xludf.DUMMYFUNCTION("IMPORTRANGE(""https://docs.google.com/spreadsheets/d/1jQ6P4QcrGM89YfqcC_PxOHGCMq5ezhucwJd8ci-NHng/edit?usp=sharing"",""ราชบุรี!S173"")"),0)</f>
        <v>0</v>
      </c>
      <c r="U67" s="243">
        <f t="shared" ca="1" si="30"/>
        <v>0</v>
      </c>
      <c r="V67" s="243">
        <f t="shared" ca="1" si="31"/>
        <v>0</v>
      </c>
      <c r="W67" s="97">
        <f ca="1">IFERROR(__xludf.DUMMYFUNCTION("IMPORTRANGE(""https://docs.google.com/spreadsheets/d/1jQ6P4QcrGM89YfqcC_PxOHGCMq5ezhucwJd8ci-NHng/edit?usp=sharing"",""ราชบุรี!I183"")"),7)</f>
        <v>7</v>
      </c>
      <c r="X67" s="97">
        <f ca="1">IFERROR(__xludf.DUMMYFUNCTION("IMPORTRANGE(""https://docs.google.com/spreadsheets/d/1jQ6P4QcrGM89YfqcC_PxOHGCMq5ezhucwJd8ci-NHng/edit?usp=sharing"",""ราชบุรี!J183"")"),0)</f>
        <v>0</v>
      </c>
      <c r="Y67" s="98">
        <f t="shared" ca="1" si="33"/>
        <v>0</v>
      </c>
      <c r="Z67" s="269">
        <v>0</v>
      </c>
      <c r="AA67" s="269">
        <v>0</v>
      </c>
      <c r="AB67" s="270">
        <v>0</v>
      </c>
    </row>
    <row r="68" spans="1:28" ht="24" customHeight="1" x14ac:dyDescent="0.3">
      <c r="A68" s="89">
        <v>16</v>
      </c>
      <c r="B68" s="90" t="s">
        <v>94</v>
      </c>
      <c r="C68" s="174">
        <f t="shared" ca="1" si="21"/>
        <v>19590</v>
      </c>
      <c r="D68" s="175">
        <f t="shared" ca="1" si="42"/>
        <v>19590</v>
      </c>
      <c r="E68" s="176">
        <f ca="1">IFERROR(__xludf.DUMMYFUNCTION("IMPORTRANGE(""https://docs.google.com/spreadsheets/d/1-uDff_7J0KD5mKrp0Vvzr7lt3OU09vwQwhkpOPPYv2Y/edit?usp=sharing"",""งบพรบ!CL68"")"),0)</f>
        <v>0</v>
      </c>
      <c r="F68" s="176">
        <f ca="1">IFERROR(__xludf.DUMMYFUNCTION("IMPORTRANGE(""https://docs.google.com/spreadsheets/d/1-uDff_7J0KD5mKrp0Vvzr7lt3OU09vwQwhkpOPPYv2Y/edit?usp=sharing"",""งบพรบ!CM68"")"),19590)</f>
        <v>19590</v>
      </c>
      <c r="G68" s="176">
        <f ca="1">IFERROR(__xludf.DUMMYFUNCTION("IMPORTRANGE(""https://docs.google.com/spreadsheets/d/1-uDff_7J0KD5mKrp0Vvzr7lt3OU09vwQwhkpOPPYv2Y/edit?usp=sharing"",""งบพรบ!CN68"")"),0)</f>
        <v>0</v>
      </c>
      <c r="H68" s="176">
        <f ca="1">IFERROR(__xludf.DUMMYFUNCTION("IMPORTRANGE(""https://docs.google.com/spreadsheets/d/1-uDff_7J0KD5mKrp0Vvzr7lt3OU09vwQwhkpOPPYv2Y/edit?usp=sharing"",""งบพรบ!CP68"")"),19590)</f>
        <v>19590</v>
      </c>
      <c r="I68" s="176">
        <f ca="1">IFERROR(__xludf.DUMMYFUNCTION("IMPORTRANGE(""https://docs.google.com/spreadsheets/d/1-uDff_7J0KD5mKrp0Vvzr7lt3OU09vwQwhkpOPPYv2Y/edit?usp=sharing"",""งบพรบ!CQ68"")"),0)</f>
        <v>0</v>
      </c>
      <c r="J68" s="176">
        <f t="shared" ca="1" si="23"/>
        <v>19590</v>
      </c>
      <c r="K68" s="179">
        <f t="shared" ca="1" si="24"/>
        <v>100</v>
      </c>
      <c r="L68" s="176">
        <f ca="1">IFERROR(__xludf.DUMMYFUNCTION("IMPORTRANGE(""https://docs.google.com/spreadsheets/d/1-uDff_7J0KD5mKrp0Vvzr7lt3OU09vwQwhkpOPPYv2Y/edit?usp=sharing"",""งบพรบ!CR68"")"),19590)</f>
        <v>19590</v>
      </c>
      <c r="M68" s="87">
        <f t="shared" ca="1" si="25"/>
        <v>100</v>
      </c>
      <c r="N68" s="87">
        <f t="shared" ca="1" si="26"/>
        <v>100</v>
      </c>
      <c r="O68" s="86">
        <f ca="1">IFERROR(__xludf.DUMMYFUNCTION("IMPORTRANGE(""https://docs.google.com/spreadsheets/d/1-uDff_7J0KD5mKrp0Vvzr7lt3OU09vwQwhkpOPPYv2Y/edit?usp=sharing"",""งบพรบ!CS68"")"),0)</f>
        <v>0</v>
      </c>
      <c r="P68" s="86">
        <f t="shared" ca="1" si="27"/>
        <v>0</v>
      </c>
      <c r="Q68" s="87">
        <f t="shared" ca="1" si="28"/>
        <v>0</v>
      </c>
      <c r="R68" s="241">
        <f ca="1">IFERROR(__xludf.DUMMYFUNCTION("IMPORTRANGE(""https://docs.google.com/spreadsheets/d/1lufeA2cfFqM-elVq2hznhDzC6Pr7wkJ9ZG_sYNGCMCU/edit?usp=sharing"",""ลพบุรี!Q173"")"),0)</f>
        <v>0</v>
      </c>
      <c r="S68" s="242">
        <f ca="1">IFERROR(__xludf.DUMMYFUNCTION("IMPORTRANGE(""https://docs.google.com/spreadsheets/d/1lufeA2cfFqM-elVq2hznhDzC6Pr7wkJ9ZG_sYNGCMCU/edit?usp=sharing"",""ลพบุรี!R173"")"),0)</f>
        <v>0</v>
      </c>
      <c r="T68" s="242">
        <f ca="1">IFERROR(__xludf.DUMMYFUNCTION("IMPORTRANGE(""https://docs.google.com/spreadsheets/d/1lufeA2cfFqM-elVq2hznhDzC6Pr7wkJ9ZG_sYNGCMCU/edit?usp=sharing"",""ลพบุรี!S173"")"),0)</f>
        <v>0</v>
      </c>
      <c r="U68" s="243">
        <f t="shared" ca="1" si="30"/>
        <v>0</v>
      </c>
      <c r="V68" s="243">
        <f t="shared" ca="1" si="31"/>
        <v>0</v>
      </c>
      <c r="W68" s="97">
        <f ca="1">IFERROR(__xludf.DUMMYFUNCTION("IMPORTRANGE(""https://docs.google.com/spreadsheets/d/1lufeA2cfFqM-elVq2hznhDzC6Pr7wkJ9ZG_sYNGCMCU/edit?usp=sharing"",""ลพบุรี!I183"")"),7)</f>
        <v>7</v>
      </c>
      <c r="X68" s="97">
        <f ca="1">IFERROR(__xludf.DUMMYFUNCTION("IMPORTRANGE(""https://docs.google.com/spreadsheets/d/1lufeA2cfFqM-elVq2hznhDzC6Pr7wkJ9ZG_sYNGCMCU/edit?usp=sharing"",""ลพบุรี!J183"")"),7)</f>
        <v>7</v>
      </c>
      <c r="Y68" s="98">
        <f t="shared" ca="1" si="33"/>
        <v>100</v>
      </c>
      <c r="Z68" s="269">
        <v>0</v>
      </c>
      <c r="AA68" s="269">
        <v>0</v>
      </c>
      <c r="AB68" s="270">
        <v>0</v>
      </c>
    </row>
    <row r="69" spans="1:28" ht="21" customHeight="1" x14ac:dyDescent="0.3">
      <c r="A69" s="89">
        <v>17</v>
      </c>
      <c r="B69" s="90" t="s">
        <v>95</v>
      </c>
      <c r="C69" s="174">
        <f t="shared" ca="1" si="21"/>
        <v>19590</v>
      </c>
      <c r="D69" s="175">
        <f t="shared" ca="1" si="42"/>
        <v>19590</v>
      </c>
      <c r="E69" s="176">
        <f ca="1">IFERROR(__xludf.DUMMYFUNCTION("IMPORTRANGE(""https://docs.google.com/spreadsheets/d/1-uDff_7J0KD5mKrp0Vvzr7lt3OU09vwQwhkpOPPYv2Y/edit?usp=sharing"",""งบพรบ!CL69"")"),0)</f>
        <v>0</v>
      </c>
      <c r="F69" s="176">
        <f ca="1">IFERROR(__xludf.DUMMYFUNCTION("IMPORTRANGE(""https://docs.google.com/spreadsheets/d/1-uDff_7J0KD5mKrp0Vvzr7lt3OU09vwQwhkpOPPYv2Y/edit?usp=sharing"",""งบพรบ!CM69"")"),19590)</f>
        <v>19590</v>
      </c>
      <c r="G69" s="176">
        <f ca="1">IFERROR(__xludf.DUMMYFUNCTION("IMPORTRANGE(""https://docs.google.com/spreadsheets/d/1-uDff_7J0KD5mKrp0Vvzr7lt3OU09vwQwhkpOPPYv2Y/edit?usp=sharing"",""งบพรบ!CN69"")"),0)</f>
        <v>0</v>
      </c>
      <c r="H69" s="176">
        <f ca="1">IFERROR(__xludf.DUMMYFUNCTION("IMPORTRANGE(""https://docs.google.com/spreadsheets/d/1-uDff_7J0KD5mKrp0Vvzr7lt3OU09vwQwhkpOPPYv2Y/edit?usp=sharing"",""งบพรบ!CP69"")"),19590)</f>
        <v>19590</v>
      </c>
      <c r="I69" s="176">
        <f ca="1">IFERROR(__xludf.DUMMYFUNCTION("IMPORTRANGE(""https://docs.google.com/spreadsheets/d/1-uDff_7J0KD5mKrp0Vvzr7lt3OU09vwQwhkpOPPYv2Y/edit?usp=sharing"",""งบพรบ!CQ69"")"),0)</f>
        <v>0</v>
      </c>
      <c r="J69" s="176">
        <f t="shared" ca="1" si="23"/>
        <v>0</v>
      </c>
      <c r="K69" s="179">
        <f t="shared" ca="1" si="24"/>
        <v>0</v>
      </c>
      <c r="L69" s="176">
        <f ca="1">IFERROR(__xludf.DUMMYFUNCTION("IMPORTRANGE(""https://docs.google.com/spreadsheets/d/1-uDff_7J0KD5mKrp0Vvzr7lt3OU09vwQwhkpOPPYv2Y/edit?usp=sharing"",""งบพรบ!CR69"")"),0)</f>
        <v>0</v>
      </c>
      <c r="M69" s="87">
        <f t="shared" ca="1" si="25"/>
        <v>0</v>
      </c>
      <c r="N69" s="87">
        <f t="shared" ca="1" si="26"/>
        <v>0</v>
      </c>
      <c r="O69" s="86">
        <f ca="1">IFERROR(__xludf.DUMMYFUNCTION("IMPORTRANGE(""https://docs.google.com/spreadsheets/d/1-uDff_7J0KD5mKrp0Vvzr7lt3OU09vwQwhkpOPPYv2Y/edit?usp=sharing"",""งบพรบ!CS69"")"),0)</f>
        <v>0</v>
      </c>
      <c r="P69" s="86">
        <f t="shared" ca="1" si="27"/>
        <v>0</v>
      </c>
      <c r="Q69" s="87">
        <f t="shared" ca="1" si="28"/>
        <v>0</v>
      </c>
      <c r="R69" s="241">
        <f ca="1">IFERROR(__xludf.DUMMYFUNCTION("IMPORTRANGE(""https://docs.google.com/spreadsheets/d/10oOiF7loTyfsTkbd4MpaIm0HQ9SwB7IYHdIUvt-U1Uc/edit?usp=sharing"",""สระแก้ว!Q173"")"),0)</f>
        <v>0</v>
      </c>
      <c r="S69" s="242">
        <f ca="1">IFERROR(__xludf.DUMMYFUNCTION("IMPORTRANGE(""https://docs.google.com/spreadsheets/d/10oOiF7loTyfsTkbd4MpaIm0HQ9SwB7IYHdIUvt-U1Uc/edit?usp=sharing"",""สระแก้ว!R173"")"),0)</f>
        <v>0</v>
      </c>
      <c r="T69" s="242">
        <f ca="1">IFERROR(__xludf.DUMMYFUNCTION("IMPORTRANGE(""https://docs.google.com/spreadsheets/d/10oOiF7loTyfsTkbd4MpaIm0HQ9SwB7IYHdIUvt-U1Uc/edit?usp=sharing"",""สระแก้ว!S173"")"),0)</f>
        <v>0</v>
      </c>
      <c r="U69" s="243">
        <f t="shared" ca="1" si="30"/>
        <v>0</v>
      </c>
      <c r="V69" s="243">
        <f t="shared" ca="1" si="31"/>
        <v>0</v>
      </c>
      <c r="W69" s="97">
        <f ca="1">IFERROR(__xludf.DUMMYFUNCTION("IMPORTRANGE(""https://docs.google.com/spreadsheets/d/10oOiF7loTyfsTkbd4MpaIm0HQ9SwB7IYHdIUvt-U1Uc/edit?usp=sharing"",""สระแก้ว!I183"")"),7)</f>
        <v>7</v>
      </c>
      <c r="X69" s="97">
        <f ca="1">IFERROR(__xludf.DUMMYFUNCTION("IMPORTRANGE(""https://docs.google.com/spreadsheets/d/10oOiF7loTyfsTkbd4MpaIm0HQ9SwB7IYHdIUvt-U1Uc/edit?usp=sharing"",""สระแก้ว!J183"")"),7)</f>
        <v>7</v>
      </c>
      <c r="Y69" s="98">
        <f t="shared" ca="1" si="33"/>
        <v>100</v>
      </c>
      <c r="Z69" s="269">
        <v>0</v>
      </c>
      <c r="AA69" s="269">
        <v>0</v>
      </c>
      <c r="AB69" s="270">
        <v>0</v>
      </c>
    </row>
    <row r="70" spans="1:28" ht="21" customHeight="1" x14ac:dyDescent="0.3">
      <c r="A70" s="89">
        <v>18</v>
      </c>
      <c r="B70" s="90" t="s">
        <v>96</v>
      </c>
      <c r="C70" s="174">
        <f t="shared" ca="1" si="21"/>
        <v>19590</v>
      </c>
      <c r="D70" s="175">
        <f t="shared" ca="1" si="42"/>
        <v>19590</v>
      </c>
      <c r="E70" s="176">
        <f ca="1">IFERROR(__xludf.DUMMYFUNCTION("IMPORTRANGE(""https://docs.google.com/spreadsheets/d/1-uDff_7J0KD5mKrp0Vvzr7lt3OU09vwQwhkpOPPYv2Y/edit?usp=sharing"",""งบพรบ!CL70"")"),0)</f>
        <v>0</v>
      </c>
      <c r="F70" s="176">
        <f ca="1">IFERROR(__xludf.DUMMYFUNCTION("IMPORTRANGE(""https://docs.google.com/spreadsheets/d/1-uDff_7J0KD5mKrp0Vvzr7lt3OU09vwQwhkpOPPYv2Y/edit?usp=sharing"",""งบพรบ!CM70"")"),19590)</f>
        <v>19590</v>
      </c>
      <c r="G70" s="176">
        <f ca="1">IFERROR(__xludf.DUMMYFUNCTION("IMPORTRANGE(""https://docs.google.com/spreadsheets/d/1-uDff_7J0KD5mKrp0Vvzr7lt3OU09vwQwhkpOPPYv2Y/edit?usp=sharing"",""งบพรบ!CN70"")"),0)</f>
        <v>0</v>
      </c>
      <c r="H70" s="176">
        <f ca="1">IFERROR(__xludf.DUMMYFUNCTION("IMPORTRANGE(""https://docs.google.com/spreadsheets/d/1-uDff_7J0KD5mKrp0Vvzr7lt3OU09vwQwhkpOPPYv2Y/edit?usp=sharing"",""งบพรบ!CP70"")"),19590)</f>
        <v>19590</v>
      </c>
      <c r="I70" s="176">
        <f ca="1">IFERROR(__xludf.DUMMYFUNCTION("IMPORTRANGE(""https://docs.google.com/spreadsheets/d/1-uDff_7J0KD5mKrp0Vvzr7lt3OU09vwQwhkpOPPYv2Y/edit?usp=sharing"",""งบพรบ!CQ70"")"),0)</f>
        <v>0</v>
      </c>
      <c r="J70" s="176">
        <f t="shared" ca="1" si="23"/>
        <v>19050</v>
      </c>
      <c r="K70" s="179">
        <f t="shared" ca="1" si="24"/>
        <v>97.243491577335377</v>
      </c>
      <c r="L70" s="176">
        <f ca="1">IFERROR(__xludf.DUMMYFUNCTION("IMPORTRANGE(""https://docs.google.com/spreadsheets/d/1-uDff_7J0KD5mKrp0Vvzr7lt3OU09vwQwhkpOPPYv2Y/edit?usp=sharing"",""งบพรบ!CR70"")"),19050)</f>
        <v>19050</v>
      </c>
      <c r="M70" s="87">
        <f t="shared" ca="1" si="25"/>
        <v>97.243491577335377</v>
      </c>
      <c r="N70" s="87">
        <f t="shared" ca="1" si="26"/>
        <v>97.243491577335377</v>
      </c>
      <c r="O70" s="86">
        <f ca="1">IFERROR(__xludf.DUMMYFUNCTION("IMPORTRANGE(""https://docs.google.com/spreadsheets/d/1-uDff_7J0KD5mKrp0Vvzr7lt3OU09vwQwhkpOPPYv2Y/edit?usp=sharing"",""งบพรบ!CS70"")"),0)</f>
        <v>0</v>
      </c>
      <c r="P70" s="86">
        <f t="shared" ca="1" si="27"/>
        <v>0</v>
      </c>
      <c r="Q70" s="87">
        <f t="shared" ca="1" si="28"/>
        <v>0</v>
      </c>
      <c r="R70" s="241">
        <f ca="1">IFERROR(__xludf.DUMMYFUNCTION("IMPORTRANGE(""https://docs.google.com/spreadsheets/d/1xmPlrr1QbdSIKvl1dWUl9K4PjAfSL9oeMr_37QVzcxc/edit?usp=sharing"",""สระบุรี!Q173"")"),0)</f>
        <v>0</v>
      </c>
      <c r="S70" s="242">
        <f ca="1">IFERROR(__xludf.DUMMYFUNCTION("IMPORTRANGE(""https://docs.google.com/spreadsheets/d/1xmPlrr1QbdSIKvl1dWUl9K4PjAfSL9oeMr_37QVzcxc/edit?usp=sharing"",""สระบุรี!R173"")"),0)</f>
        <v>0</v>
      </c>
      <c r="T70" s="242">
        <f ca="1">IFERROR(__xludf.DUMMYFUNCTION("IMPORTRANGE(""https://docs.google.com/spreadsheets/d/1xmPlrr1QbdSIKvl1dWUl9K4PjAfSL9oeMr_37QVzcxc/edit?usp=sharing"",""สระบุรี!S173"")"),0)</f>
        <v>0</v>
      </c>
      <c r="U70" s="243">
        <f t="shared" ca="1" si="30"/>
        <v>0</v>
      </c>
      <c r="V70" s="243">
        <f t="shared" ca="1" si="31"/>
        <v>0</v>
      </c>
      <c r="W70" s="97">
        <f ca="1">IFERROR(__xludf.DUMMYFUNCTION("IMPORTRANGE(""https://docs.google.com/spreadsheets/d/1xmPlrr1QbdSIKvl1dWUl9K4PjAfSL9oeMr_37QVzcxc/edit?usp=sharing"",""สระบุรี!I183"")"),7)</f>
        <v>7</v>
      </c>
      <c r="X70" s="97">
        <f ca="1">IFERROR(__xludf.DUMMYFUNCTION("IMPORTRANGE(""https://docs.google.com/spreadsheets/d/1xmPlrr1QbdSIKvl1dWUl9K4PjAfSL9oeMr_37QVzcxc/edit?usp=sharing"",""สระบุรี!J183"")"),7)</f>
        <v>7</v>
      </c>
      <c r="Y70" s="98">
        <f t="shared" ca="1" si="33"/>
        <v>100</v>
      </c>
      <c r="Z70" s="269">
        <v>0</v>
      </c>
      <c r="AA70" s="269">
        <v>0</v>
      </c>
      <c r="AB70" s="270">
        <v>0</v>
      </c>
    </row>
    <row r="71" spans="1:28" ht="21" customHeight="1" x14ac:dyDescent="0.3">
      <c r="A71" s="89">
        <v>19</v>
      </c>
      <c r="B71" s="90" t="s">
        <v>97</v>
      </c>
      <c r="C71" s="174">
        <f t="shared" ca="1" si="21"/>
        <v>19590</v>
      </c>
      <c r="D71" s="175">
        <f t="shared" ca="1" si="42"/>
        <v>19590</v>
      </c>
      <c r="E71" s="176">
        <f ca="1">IFERROR(__xludf.DUMMYFUNCTION("IMPORTRANGE(""https://docs.google.com/spreadsheets/d/1-uDff_7J0KD5mKrp0Vvzr7lt3OU09vwQwhkpOPPYv2Y/edit?usp=sharing"",""งบพรบ!CL71"")"),0)</f>
        <v>0</v>
      </c>
      <c r="F71" s="176">
        <f ca="1">IFERROR(__xludf.DUMMYFUNCTION("IMPORTRANGE(""https://docs.google.com/spreadsheets/d/1-uDff_7J0KD5mKrp0Vvzr7lt3OU09vwQwhkpOPPYv2Y/edit?usp=sharing"",""งบพรบ!CM71"")"),19590)</f>
        <v>19590</v>
      </c>
      <c r="G71" s="176">
        <f ca="1">IFERROR(__xludf.DUMMYFUNCTION("IMPORTRANGE(""https://docs.google.com/spreadsheets/d/1-uDff_7J0KD5mKrp0Vvzr7lt3OU09vwQwhkpOPPYv2Y/edit?usp=sharing"",""งบพรบ!CN71"")"),0)</f>
        <v>0</v>
      </c>
      <c r="H71" s="176">
        <f ca="1">IFERROR(__xludf.DUMMYFUNCTION("IMPORTRANGE(""https://docs.google.com/spreadsheets/d/1-uDff_7J0KD5mKrp0Vvzr7lt3OU09vwQwhkpOPPYv2Y/edit?usp=sharing"",""งบพรบ!CP71"")"),19590)</f>
        <v>19590</v>
      </c>
      <c r="I71" s="176">
        <f ca="1">IFERROR(__xludf.DUMMYFUNCTION("IMPORTRANGE(""https://docs.google.com/spreadsheets/d/1-uDff_7J0KD5mKrp0Vvzr7lt3OU09vwQwhkpOPPYv2Y/edit?usp=sharing"",""งบพรบ!CQ71"")"),0)</f>
        <v>0</v>
      </c>
      <c r="J71" s="176">
        <f t="shared" ca="1" si="23"/>
        <v>18640</v>
      </c>
      <c r="K71" s="179">
        <f t="shared" ca="1" si="24"/>
        <v>95.150587034201124</v>
      </c>
      <c r="L71" s="176">
        <f ca="1">IFERROR(__xludf.DUMMYFUNCTION("IMPORTRANGE(""https://docs.google.com/spreadsheets/d/1-uDff_7J0KD5mKrp0Vvzr7lt3OU09vwQwhkpOPPYv2Y/edit?usp=sharing"",""งบพรบ!CR71"")"),18640)</f>
        <v>18640</v>
      </c>
      <c r="M71" s="87">
        <f t="shared" ca="1" si="25"/>
        <v>95.150587034201124</v>
      </c>
      <c r="N71" s="87">
        <f t="shared" ca="1" si="26"/>
        <v>95.150587034201124</v>
      </c>
      <c r="O71" s="86">
        <f ca="1">IFERROR(__xludf.DUMMYFUNCTION("IMPORTRANGE(""https://docs.google.com/spreadsheets/d/1-uDff_7J0KD5mKrp0Vvzr7lt3OU09vwQwhkpOPPYv2Y/edit?usp=sharing"",""งบพรบ!CS71"")"),0)</f>
        <v>0</v>
      </c>
      <c r="P71" s="86">
        <f t="shared" ca="1" si="27"/>
        <v>0</v>
      </c>
      <c r="Q71" s="87">
        <f t="shared" ca="1" si="28"/>
        <v>0</v>
      </c>
      <c r="R71" s="241">
        <f ca="1">IFERROR(__xludf.DUMMYFUNCTION("IMPORTRANGE(""https://docs.google.com/spreadsheets/d/1j51vR6CYVGhABJpv6tkstgok82RLpXieLzW1yOY5rHw/edit?usp=sharing"",""สิงห์บุรี!Q173"")"),0)</f>
        <v>0</v>
      </c>
      <c r="S71" s="242">
        <f ca="1">IFERROR(__xludf.DUMMYFUNCTION("IMPORTRANGE(""https://docs.google.com/spreadsheets/d/1j51vR6CYVGhABJpv6tkstgok82RLpXieLzW1yOY5rHw/edit?usp=sharing"",""สิงห์บุรี!R173"")"),0)</f>
        <v>0</v>
      </c>
      <c r="T71" s="242">
        <f ca="1">IFERROR(__xludf.DUMMYFUNCTION("IMPORTRANGE(""https://docs.google.com/spreadsheets/d/1j51vR6CYVGhABJpv6tkstgok82RLpXieLzW1yOY5rHw/edit?usp=sharing"",""สิงห์บุรี!S173"")"),0)</f>
        <v>0</v>
      </c>
      <c r="U71" s="243">
        <f t="shared" ca="1" si="30"/>
        <v>0</v>
      </c>
      <c r="V71" s="243">
        <f t="shared" ca="1" si="31"/>
        <v>0</v>
      </c>
      <c r="W71" s="97">
        <f ca="1">IFERROR(__xludf.DUMMYFUNCTION("IMPORTRANGE(""https://docs.google.com/spreadsheets/d/1j51vR6CYVGhABJpv6tkstgok82RLpXieLzW1yOY5rHw/edit?usp=sharing"",""สิงห์บุรี!I183"")"),7)</f>
        <v>7</v>
      </c>
      <c r="X71" s="97">
        <f ca="1">IFERROR(__xludf.DUMMYFUNCTION("IMPORTRANGE(""https://docs.google.com/spreadsheets/d/1j51vR6CYVGhABJpv6tkstgok82RLpXieLzW1yOY5rHw/edit?usp=sharing"",""สิงห์บุรี!J183"")"),7)</f>
        <v>7</v>
      </c>
      <c r="Y71" s="98">
        <f t="shared" ca="1" si="33"/>
        <v>100</v>
      </c>
      <c r="Z71" s="269">
        <v>0</v>
      </c>
      <c r="AA71" s="269">
        <v>0</v>
      </c>
      <c r="AB71" s="270">
        <v>0</v>
      </c>
    </row>
    <row r="72" spans="1:28" ht="21" customHeight="1" x14ac:dyDescent="0.3">
      <c r="A72" s="89">
        <v>20</v>
      </c>
      <c r="B72" s="90" t="s">
        <v>98</v>
      </c>
      <c r="C72" s="174">
        <f t="shared" ca="1" si="21"/>
        <v>19590</v>
      </c>
      <c r="D72" s="175">
        <f t="shared" ca="1" si="42"/>
        <v>19590</v>
      </c>
      <c r="E72" s="176">
        <f ca="1">IFERROR(__xludf.DUMMYFUNCTION("IMPORTRANGE(""https://docs.google.com/spreadsheets/d/1-uDff_7J0KD5mKrp0Vvzr7lt3OU09vwQwhkpOPPYv2Y/edit?usp=sharing"",""งบพรบ!CL72"")"),0)</f>
        <v>0</v>
      </c>
      <c r="F72" s="176">
        <f ca="1">IFERROR(__xludf.DUMMYFUNCTION("IMPORTRANGE(""https://docs.google.com/spreadsheets/d/1-uDff_7J0KD5mKrp0Vvzr7lt3OU09vwQwhkpOPPYv2Y/edit?usp=sharing"",""งบพรบ!CM72"")"),19590)</f>
        <v>19590</v>
      </c>
      <c r="G72" s="176">
        <f ca="1">IFERROR(__xludf.DUMMYFUNCTION("IMPORTRANGE(""https://docs.google.com/spreadsheets/d/1-uDff_7J0KD5mKrp0Vvzr7lt3OU09vwQwhkpOPPYv2Y/edit?usp=sharing"",""งบพรบ!CN72"")"),0)</f>
        <v>0</v>
      </c>
      <c r="H72" s="176">
        <f ca="1">IFERROR(__xludf.DUMMYFUNCTION("IMPORTRANGE(""https://docs.google.com/spreadsheets/d/1-uDff_7J0KD5mKrp0Vvzr7lt3OU09vwQwhkpOPPYv2Y/edit?usp=sharing"",""งบพรบ!CP72"")"),19590)</f>
        <v>19590</v>
      </c>
      <c r="I72" s="176">
        <f ca="1">IFERROR(__xludf.DUMMYFUNCTION("IMPORTRANGE(""https://docs.google.com/spreadsheets/d/1-uDff_7J0KD5mKrp0Vvzr7lt3OU09vwQwhkpOPPYv2Y/edit?usp=sharing"",""งบพรบ!CQ72"")"),0)</f>
        <v>0</v>
      </c>
      <c r="J72" s="176">
        <f t="shared" ca="1" si="23"/>
        <v>2700</v>
      </c>
      <c r="K72" s="179">
        <f t="shared" ca="1" si="24"/>
        <v>13.782542113323125</v>
      </c>
      <c r="L72" s="176">
        <f ca="1">IFERROR(__xludf.DUMMYFUNCTION("IMPORTRANGE(""https://docs.google.com/spreadsheets/d/1-uDff_7J0KD5mKrp0Vvzr7lt3OU09vwQwhkpOPPYv2Y/edit?usp=sharing"",""งบพรบ!CR72"")"),2700)</f>
        <v>2700</v>
      </c>
      <c r="M72" s="87">
        <f t="shared" ca="1" si="25"/>
        <v>13.782542113323125</v>
      </c>
      <c r="N72" s="87">
        <f t="shared" ca="1" si="26"/>
        <v>13.782542113323125</v>
      </c>
      <c r="O72" s="86">
        <f ca="1">IFERROR(__xludf.DUMMYFUNCTION("IMPORTRANGE(""https://docs.google.com/spreadsheets/d/1-uDff_7J0KD5mKrp0Vvzr7lt3OU09vwQwhkpOPPYv2Y/edit?usp=sharing"",""งบพรบ!CS72"")"),0)</f>
        <v>0</v>
      </c>
      <c r="P72" s="86">
        <f t="shared" ca="1" si="27"/>
        <v>0</v>
      </c>
      <c r="Q72" s="87">
        <f t="shared" ca="1" si="28"/>
        <v>0</v>
      </c>
      <c r="R72" s="241">
        <f ca="1">IFERROR(__xludf.DUMMYFUNCTION("IMPORTRANGE(""https://docs.google.com/spreadsheets/d/1H1EalTWKUSzO4Z1-1CwzoDUaVffgrThEBe2sl74kKG0/edit?usp=sharing"",""สุพรรณบุรี!Q173"")"),0)</f>
        <v>0</v>
      </c>
      <c r="S72" s="242">
        <f ca="1">IFERROR(__xludf.DUMMYFUNCTION("IMPORTRANGE(""https://docs.google.com/spreadsheets/d/1H1EalTWKUSzO4Z1-1CwzoDUaVffgrThEBe2sl74kKG0/edit?usp=sharing"",""สุพรรณบุรี!R173"")"),0)</f>
        <v>0</v>
      </c>
      <c r="T72" s="242">
        <f ca="1">IFERROR(__xludf.DUMMYFUNCTION("IMPORTRANGE(""https://docs.google.com/spreadsheets/d/1H1EalTWKUSzO4Z1-1CwzoDUaVffgrThEBe2sl74kKG0/edit?usp=sharing"",""สุพรรณบุรี!S173"")"),0)</f>
        <v>0</v>
      </c>
      <c r="U72" s="243">
        <f t="shared" ca="1" si="30"/>
        <v>0</v>
      </c>
      <c r="V72" s="243">
        <f t="shared" ca="1" si="31"/>
        <v>0</v>
      </c>
      <c r="W72" s="97">
        <f ca="1">IFERROR(__xludf.DUMMYFUNCTION("IMPORTRANGE(""https://docs.google.com/spreadsheets/d/1H1EalTWKUSzO4Z1-1CwzoDUaVffgrThEBe2sl74kKG0/edit?usp=sharing"",""สุพรรณบุรี!I183"")"),7)</f>
        <v>7</v>
      </c>
      <c r="X72" s="97">
        <f ca="1">IFERROR(__xludf.DUMMYFUNCTION("IMPORTRANGE(""https://docs.google.com/spreadsheets/d/1H1EalTWKUSzO4Z1-1CwzoDUaVffgrThEBe2sl74kKG0/edit?usp=sharing"",""สุพรรณบุรี!J183"")"),0)</f>
        <v>0</v>
      </c>
      <c r="Y72" s="98">
        <f t="shared" ca="1" si="33"/>
        <v>0</v>
      </c>
      <c r="Z72" s="269">
        <v>0</v>
      </c>
      <c r="AA72" s="269">
        <v>0</v>
      </c>
      <c r="AB72" s="270">
        <v>0</v>
      </c>
    </row>
    <row r="73" spans="1:28" ht="21" customHeight="1" x14ac:dyDescent="0.3">
      <c r="A73" s="100">
        <v>21</v>
      </c>
      <c r="B73" s="101" t="s">
        <v>99</v>
      </c>
      <c r="C73" s="182">
        <f t="shared" ca="1" si="21"/>
        <v>19590</v>
      </c>
      <c r="D73" s="183">
        <f t="shared" ca="1" si="42"/>
        <v>19590</v>
      </c>
      <c r="E73" s="184">
        <f ca="1">IFERROR(__xludf.DUMMYFUNCTION("IMPORTRANGE(""https://docs.google.com/spreadsheets/d/1-uDff_7J0KD5mKrp0Vvzr7lt3OU09vwQwhkpOPPYv2Y/edit?usp=sharing"",""งบพรบ!CL73"")"),0)</f>
        <v>0</v>
      </c>
      <c r="F73" s="184">
        <f ca="1">IFERROR(__xludf.DUMMYFUNCTION("IMPORTRANGE(""https://docs.google.com/spreadsheets/d/1-uDff_7J0KD5mKrp0Vvzr7lt3OU09vwQwhkpOPPYv2Y/edit?usp=sharing"",""งบพรบ!CM73"")"),19590)</f>
        <v>19590</v>
      </c>
      <c r="G73" s="184">
        <f ca="1">IFERROR(__xludf.DUMMYFUNCTION("IMPORTRANGE(""https://docs.google.com/spreadsheets/d/1-uDff_7J0KD5mKrp0Vvzr7lt3OU09vwQwhkpOPPYv2Y/edit?usp=sharing"",""งบพรบ!CN73"")"),0)</f>
        <v>0</v>
      </c>
      <c r="H73" s="184">
        <f ca="1">IFERROR(__xludf.DUMMYFUNCTION("IMPORTRANGE(""https://docs.google.com/spreadsheets/d/1-uDff_7J0KD5mKrp0Vvzr7lt3OU09vwQwhkpOPPYv2Y/edit?usp=sharing"",""งบพรบ!CP73"")"),19590)</f>
        <v>19590</v>
      </c>
      <c r="I73" s="184">
        <f ca="1">IFERROR(__xludf.DUMMYFUNCTION("IMPORTRANGE(""https://docs.google.com/spreadsheets/d/1-uDff_7J0KD5mKrp0Vvzr7lt3OU09vwQwhkpOPPYv2Y/edit?usp=sharing"",""งบพรบ!CQ73"")"),0)</f>
        <v>0</v>
      </c>
      <c r="J73" s="184">
        <f t="shared" ca="1" si="23"/>
        <v>19590</v>
      </c>
      <c r="K73" s="185">
        <f t="shared" ca="1" si="24"/>
        <v>100</v>
      </c>
      <c r="L73" s="184">
        <f ca="1">IFERROR(__xludf.DUMMYFUNCTION("IMPORTRANGE(""https://docs.google.com/spreadsheets/d/1-uDff_7J0KD5mKrp0Vvzr7lt3OU09vwQwhkpOPPYv2Y/edit?usp=sharing"",""งบพรบ!CR73"")"),19590)</f>
        <v>19590</v>
      </c>
      <c r="M73" s="109">
        <f t="shared" ca="1" si="25"/>
        <v>100</v>
      </c>
      <c r="N73" s="109">
        <f t="shared" ca="1" si="26"/>
        <v>100</v>
      </c>
      <c r="O73" s="108">
        <f ca="1">IFERROR(__xludf.DUMMYFUNCTION("IMPORTRANGE(""https://docs.google.com/spreadsheets/d/1-uDff_7J0KD5mKrp0Vvzr7lt3OU09vwQwhkpOPPYv2Y/edit?usp=sharing"",""งบพรบ!CS73"")"),0)</f>
        <v>0</v>
      </c>
      <c r="P73" s="108">
        <f t="shared" ca="1" si="27"/>
        <v>0</v>
      </c>
      <c r="Q73" s="109">
        <f t="shared" ca="1" si="28"/>
        <v>0</v>
      </c>
      <c r="R73" s="244">
        <f ca="1">IFERROR(__xludf.DUMMYFUNCTION("IMPORTRANGE(""https://docs.google.com/spreadsheets/d/1BmIruG_sIrJLYao_Pdr7zVArWsfoBt2692TMi6x_854/edit?usp=sharing"",""อ่างทอง!Q173"")"),0)</f>
        <v>0</v>
      </c>
      <c r="S73" s="245">
        <f ca="1">IFERROR(__xludf.DUMMYFUNCTION("IMPORTRANGE(""https://docs.google.com/spreadsheets/d/1BmIruG_sIrJLYao_Pdr7zVArWsfoBt2692TMi6x_854/edit?usp=sharing"",""อ่างทอง!R173"")"),0)</f>
        <v>0</v>
      </c>
      <c r="T73" s="245">
        <f ca="1">IFERROR(__xludf.DUMMYFUNCTION("IMPORTRANGE(""https://docs.google.com/spreadsheets/d/1BmIruG_sIrJLYao_Pdr7zVArWsfoBt2692TMi6x_854/edit?usp=sharing"",""อ่างทอง!S173"")"),0)</f>
        <v>0</v>
      </c>
      <c r="U73" s="246">
        <f t="shared" ca="1" si="30"/>
        <v>0</v>
      </c>
      <c r="V73" s="246">
        <f t="shared" ca="1" si="31"/>
        <v>0</v>
      </c>
      <c r="W73" s="110">
        <f ca="1">IFERROR(__xludf.DUMMYFUNCTION("IMPORTRANGE(""https://docs.google.com/spreadsheets/d/1BmIruG_sIrJLYao_Pdr7zVArWsfoBt2692TMi6x_854/edit?usp=sharing"",""อ่างทอง!I183"")"),7)</f>
        <v>7</v>
      </c>
      <c r="X73" s="110">
        <f ca="1">IFERROR(__xludf.DUMMYFUNCTION("IMPORTRANGE(""https://docs.google.com/spreadsheets/d/1BmIruG_sIrJLYao_Pdr7zVArWsfoBt2692TMi6x_854/edit?usp=sharing"",""อ่างทอง!J183"")"),7)</f>
        <v>7</v>
      </c>
      <c r="Y73" s="111">
        <f t="shared" ca="1" si="33"/>
        <v>100</v>
      </c>
      <c r="Z73" s="271">
        <v>0</v>
      </c>
      <c r="AA73" s="271">
        <v>0</v>
      </c>
      <c r="AB73" s="272">
        <v>0</v>
      </c>
    </row>
    <row r="74" spans="1:28" ht="21" customHeight="1" x14ac:dyDescent="0.3">
      <c r="A74" s="624" t="s">
        <v>100</v>
      </c>
      <c r="B74" s="604"/>
      <c r="C74" s="161">
        <f t="shared" ca="1" si="21"/>
        <v>215490</v>
      </c>
      <c r="D74" s="161">
        <f t="shared" ref="D74:I74" ca="1" si="43">SUM(D75:D88)</f>
        <v>215490</v>
      </c>
      <c r="E74" s="161">
        <f t="shared" ca="1" si="43"/>
        <v>0</v>
      </c>
      <c r="F74" s="161">
        <f t="shared" ca="1" si="43"/>
        <v>215490</v>
      </c>
      <c r="G74" s="161">
        <f t="shared" ca="1" si="43"/>
        <v>0</v>
      </c>
      <c r="H74" s="161">
        <f t="shared" ca="1" si="43"/>
        <v>215490</v>
      </c>
      <c r="I74" s="161">
        <f t="shared" ca="1" si="43"/>
        <v>0</v>
      </c>
      <c r="J74" s="161">
        <f t="shared" ca="1" si="23"/>
        <v>199146</v>
      </c>
      <c r="K74" s="162">
        <f t="shared" ca="1" si="24"/>
        <v>92.415425309759158</v>
      </c>
      <c r="L74" s="161">
        <f ca="1">SUM(L75:L88)</f>
        <v>199146</v>
      </c>
      <c r="M74" s="40">
        <f t="shared" ca="1" si="25"/>
        <v>92.415425309759158</v>
      </c>
      <c r="N74" s="40">
        <f t="shared" ca="1" si="26"/>
        <v>92.415425309759158</v>
      </c>
      <c r="O74" s="39">
        <f ca="1">SUM(O75:O88)</f>
        <v>0</v>
      </c>
      <c r="P74" s="39">
        <f t="shared" ca="1" si="27"/>
        <v>0</v>
      </c>
      <c r="Q74" s="40">
        <f t="shared" ca="1" si="28"/>
        <v>0</v>
      </c>
      <c r="R74" s="232">
        <f t="shared" ref="R74:T74" ca="1" si="44">SUM(R75:R88)</f>
        <v>0</v>
      </c>
      <c r="S74" s="233">
        <f t="shared" ca="1" si="44"/>
        <v>0</v>
      </c>
      <c r="T74" s="233">
        <f t="shared" ca="1" si="44"/>
        <v>0</v>
      </c>
      <c r="U74" s="234">
        <f t="shared" ca="1" si="30"/>
        <v>0</v>
      </c>
      <c r="V74" s="234">
        <f t="shared" ca="1" si="31"/>
        <v>0</v>
      </c>
      <c r="W74" s="71">
        <f t="shared" ref="W74:X74" ca="1" si="45">SUM(W75:W88)</f>
        <v>77</v>
      </c>
      <c r="X74" s="71">
        <f t="shared" ca="1" si="45"/>
        <v>56</v>
      </c>
      <c r="Y74" s="114">
        <f t="shared" ca="1" si="33"/>
        <v>72.727272727272734</v>
      </c>
      <c r="Z74" s="267">
        <v>0</v>
      </c>
      <c r="AA74" s="267">
        <v>0</v>
      </c>
      <c r="AB74" s="268">
        <v>0</v>
      </c>
    </row>
    <row r="75" spans="1:28" ht="21" customHeight="1" x14ac:dyDescent="0.3">
      <c r="A75" s="77">
        <v>1</v>
      </c>
      <c r="B75" s="78" t="s">
        <v>101</v>
      </c>
      <c r="C75" s="174">
        <f t="shared" ca="1" si="21"/>
        <v>19590</v>
      </c>
      <c r="D75" s="175">
        <f t="shared" ref="D75:D88" ca="1" si="46">+E75+F75</f>
        <v>19590</v>
      </c>
      <c r="E75" s="176">
        <f ca="1">IFERROR(__xludf.DUMMYFUNCTION("IMPORTRANGE(""https://docs.google.com/spreadsheets/d/1-uDff_7J0KD5mKrp0Vvzr7lt3OU09vwQwhkpOPPYv2Y/edit?usp=sharing"",""งบพรบ!CL75"")"),0)</f>
        <v>0</v>
      </c>
      <c r="F75" s="176">
        <f ca="1">IFERROR(__xludf.DUMMYFUNCTION("IMPORTRANGE(""https://docs.google.com/spreadsheets/d/1-uDff_7J0KD5mKrp0Vvzr7lt3OU09vwQwhkpOPPYv2Y/edit?usp=sharing"",""งบพรบ!CM75"")"),19590)</f>
        <v>19590</v>
      </c>
      <c r="G75" s="176">
        <f ca="1">IFERROR(__xludf.DUMMYFUNCTION("IMPORTRANGE(""https://docs.google.com/spreadsheets/d/1-uDff_7J0KD5mKrp0Vvzr7lt3OU09vwQwhkpOPPYv2Y/edit?usp=sharing"",""งบพรบ!CN75"")"),0)</f>
        <v>0</v>
      </c>
      <c r="H75" s="176">
        <f ca="1">IFERROR(__xludf.DUMMYFUNCTION("IMPORTRANGE(""https://docs.google.com/spreadsheets/d/1-uDff_7J0KD5mKrp0Vvzr7lt3OU09vwQwhkpOPPYv2Y/edit?usp=sharing"",""งบพรบ!CP75"")"),19590)</f>
        <v>19590</v>
      </c>
      <c r="I75" s="176">
        <f ca="1">IFERROR(__xludf.DUMMYFUNCTION("IMPORTRANGE(""https://docs.google.com/spreadsheets/d/1-uDff_7J0KD5mKrp0Vvzr7lt3OU09vwQwhkpOPPYv2Y/edit?usp=sharing"",""งบพรบ!CQ75"")"),0)</f>
        <v>0</v>
      </c>
      <c r="J75" s="176">
        <f t="shared" ca="1" si="23"/>
        <v>17629</v>
      </c>
      <c r="K75" s="179">
        <f t="shared" ca="1" si="24"/>
        <v>89.989790709545687</v>
      </c>
      <c r="L75" s="176">
        <f ca="1">IFERROR(__xludf.DUMMYFUNCTION("IMPORTRANGE(""https://docs.google.com/spreadsheets/d/1-uDff_7J0KD5mKrp0Vvzr7lt3OU09vwQwhkpOPPYv2Y/edit?usp=sharing"",""งบพรบ!CR75"")"),17629)</f>
        <v>17629</v>
      </c>
      <c r="M75" s="87">
        <f t="shared" ca="1" si="25"/>
        <v>89.989790709545687</v>
      </c>
      <c r="N75" s="87">
        <f t="shared" ca="1" si="26"/>
        <v>89.989790709545687</v>
      </c>
      <c r="O75" s="86">
        <f ca="1">IFERROR(__xludf.DUMMYFUNCTION("IMPORTRANGE(""https://docs.google.com/spreadsheets/d/1-uDff_7J0KD5mKrp0Vvzr7lt3OU09vwQwhkpOPPYv2Y/edit?usp=sharing"",""งบพรบ!CS75"")"),0)</f>
        <v>0</v>
      </c>
      <c r="P75" s="86">
        <f t="shared" ca="1" si="27"/>
        <v>0</v>
      </c>
      <c r="Q75" s="87">
        <f t="shared" ca="1" si="28"/>
        <v>0</v>
      </c>
      <c r="R75" s="241">
        <f ca="1">IFERROR(__xludf.DUMMYFUNCTION("IMPORTRANGE(""https://docs.google.com/spreadsheets/d/1kKUcYdkIfrgTSj8iHHHB2MD2FAtwyyocFgqGQn6ADyI/edit?usp=sharing"",""กระบี่!Q173"")"),0)</f>
        <v>0</v>
      </c>
      <c r="S75" s="242">
        <f ca="1">IFERROR(__xludf.DUMMYFUNCTION("IMPORTRANGE(""https://docs.google.com/spreadsheets/d/1kKUcYdkIfrgTSj8iHHHB2MD2FAtwyyocFgqGQn6ADyI/edit?usp=sharing"",""กระบี่!R173"")"),0)</f>
        <v>0</v>
      </c>
      <c r="T75" s="242">
        <f ca="1">IFERROR(__xludf.DUMMYFUNCTION("IMPORTRANGE(""https://docs.google.com/spreadsheets/d/1kKUcYdkIfrgTSj8iHHHB2MD2FAtwyyocFgqGQn6ADyI/edit?usp=sharing"",""กระบี่!S173"")"),0)</f>
        <v>0</v>
      </c>
      <c r="U75" s="243">
        <f t="shared" ca="1" si="30"/>
        <v>0</v>
      </c>
      <c r="V75" s="243">
        <f t="shared" ca="1" si="31"/>
        <v>0</v>
      </c>
      <c r="W75" s="82">
        <f ca="1">IFERROR(__xludf.DUMMYFUNCTION("IMPORTRANGE(""https://docs.google.com/spreadsheets/d/1kKUcYdkIfrgTSj8iHHHB2MD2FAtwyyocFgqGQn6ADyI/edit?usp=sharing"",""กระบี่!I183"")"),7)</f>
        <v>7</v>
      </c>
      <c r="X75" s="82">
        <f ca="1">IFERROR(__xludf.DUMMYFUNCTION("IMPORTRANGE(""https://docs.google.com/spreadsheets/d/1kKUcYdkIfrgTSj8iHHHB2MD2FAtwyyocFgqGQn6ADyI/edit?usp=sharing"",""กระบี่!J183"")"),0)</f>
        <v>0</v>
      </c>
      <c r="Y75" s="88">
        <f t="shared" ca="1" si="33"/>
        <v>0</v>
      </c>
      <c r="Z75" s="269">
        <v>0</v>
      </c>
      <c r="AA75" s="269">
        <v>0</v>
      </c>
      <c r="AB75" s="270">
        <v>0</v>
      </c>
    </row>
    <row r="76" spans="1:28" ht="21" customHeight="1" x14ac:dyDescent="0.3">
      <c r="A76" s="89">
        <v>2</v>
      </c>
      <c r="B76" s="90" t="s">
        <v>102</v>
      </c>
      <c r="C76" s="174">
        <f t="shared" ca="1" si="21"/>
        <v>0</v>
      </c>
      <c r="D76" s="175">
        <f t="shared" ca="1" si="46"/>
        <v>0</v>
      </c>
      <c r="E76" s="176">
        <f ca="1">IFERROR(__xludf.DUMMYFUNCTION("IMPORTRANGE(""https://docs.google.com/spreadsheets/d/1-uDff_7J0KD5mKrp0Vvzr7lt3OU09vwQwhkpOPPYv2Y/edit?usp=sharing"",""งบพรบ!CL76"")"),0)</f>
        <v>0</v>
      </c>
      <c r="F76" s="176">
        <v>0</v>
      </c>
      <c r="G76" s="176">
        <f ca="1">IFERROR(__xludf.DUMMYFUNCTION("IMPORTRANGE(""https://docs.google.com/spreadsheets/d/1-uDff_7J0KD5mKrp0Vvzr7lt3OU09vwQwhkpOPPYv2Y/edit?usp=sharing"",""งบพรบ!CN76"")"),0)</f>
        <v>0</v>
      </c>
      <c r="H76" s="176">
        <f ca="1">IFERROR(__xludf.DUMMYFUNCTION("IMPORTRANGE(""https://docs.google.com/spreadsheets/d/1-uDff_7J0KD5mKrp0Vvzr7lt3OU09vwQwhkpOPPYv2Y/edit?usp=sharing"",""งบพรบ!CP76"")"),0)</f>
        <v>0</v>
      </c>
      <c r="I76" s="176">
        <f ca="1">IFERROR(__xludf.DUMMYFUNCTION("IMPORTRANGE(""https://docs.google.com/spreadsheets/d/1-uDff_7J0KD5mKrp0Vvzr7lt3OU09vwQwhkpOPPYv2Y/edit?usp=sharing"",""งบพรบ!CQ76"")"),0)</f>
        <v>0</v>
      </c>
      <c r="J76" s="176">
        <f t="shared" ca="1" si="23"/>
        <v>0</v>
      </c>
      <c r="K76" s="179">
        <f t="shared" ca="1" si="24"/>
        <v>0</v>
      </c>
      <c r="L76" s="176">
        <f ca="1">IFERROR(__xludf.DUMMYFUNCTION("IMPORTRANGE(""https://docs.google.com/spreadsheets/d/1-uDff_7J0KD5mKrp0Vvzr7lt3OU09vwQwhkpOPPYv2Y/edit?usp=sharing"",""งบพรบ!CR76"")"),0)</f>
        <v>0</v>
      </c>
      <c r="M76" s="87">
        <f t="shared" ca="1" si="25"/>
        <v>0</v>
      </c>
      <c r="N76" s="87">
        <f t="shared" ca="1" si="26"/>
        <v>0</v>
      </c>
      <c r="O76" s="86">
        <f ca="1">IFERROR(__xludf.DUMMYFUNCTION("IMPORTRANGE(""https://docs.google.com/spreadsheets/d/1-uDff_7J0KD5mKrp0Vvzr7lt3OU09vwQwhkpOPPYv2Y/edit?usp=sharing"",""งบพรบ!CS76"")"),0)</f>
        <v>0</v>
      </c>
      <c r="P76" s="86">
        <f t="shared" ca="1" si="27"/>
        <v>0</v>
      </c>
      <c r="Q76" s="87">
        <f t="shared" ca="1" si="28"/>
        <v>0</v>
      </c>
      <c r="R76" s="241">
        <f ca="1">IFERROR(__xludf.DUMMYFUNCTION("IMPORTRANGE(""https://docs.google.com/spreadsheets/d/1GwtLaSlNZkLk7iDqcyZz22giiy40b_usZZBXYciEN1U/edit?usp=sharing"",""ชุมพร!Q173"")"),0)</f>
        <v>0</v>
      </c>
      <c r="S76" s="242">
        <f ca="1">IFERROR(__xludf.DUMMYFUNCTION("IMPORTRANGE(""https://docs.google.com/spreadsheets/d/1GwtLaSlNZkLk7iDqcyZz22giiy40b_usZZBXYciEN1U/edit?usp=sharing"",""ชุมพร!R173"")"),0)</f>
        <v>0</v>
      </c>
      <c r="T76" s="242">
        <f ca="1">IFERROR(__xludf.DUMMYFUNCTION("IMPORTRANGE(""https://docs.google.com/spreadsheets/d/1GwtLaSlNZkLk7iDqcyZz22giiy40b_usZZBXYciEN1U/edit?usp=sharing"",""ชุมพร!S173"")"),0)</f>
        <v>0</v>
      </c>
      <c r="U76" s="243">
        <f t="shared" ca="1" si="30"/>
        <v>0</v>
      </c>
      <c r="V76" s="243">
        <f t="shared" ca="1" si="31"/>
        <v>0</v>
      </c>
      <c r="W76" s="97">
        <f ca="1">IFERROR(__xludf.DUMMYFUNCTION("IMPORTRANGE(""https://docs.google.com/spreadsheets/d/1GwtLaSlNZkLk7iDqcyZz22giiy40b_usZZBXYciEN1U/edit?usp=sharing"",""ชุมพร!I183"")"),0)</f>
        <v>0</v>
      </c>
      <c r="X76" s="97">
        <f ca="1">IFERROR(__xludf.DUMMYFUNCTION("IMPORTRANGE(""https://docs.google.com/spreadsheets/d/1GwtLaSlNZkLk7iDqcyZz22giiy40b_usZZBXYciEN1U/edit?usp=sharing"",""ชุมพร!J183"")"),0)</f>
        <v>0</v>
      </c>
      <c r="Y76" s="98">
        <f t="shared" ca="1" si="33"/>
        <v>0</v>
      </c>
      <c r="Z76" s="269">
        <v>0</v>
      </c>
      <c r="AA76" s="269">
        <v>0</v>
      </c>
      <c r="AB76" s="270">
        <v>0</v>
      </c>
    </row>
    <row r="77" spans="1:28" ht="21" customHeight="1" x14ac:dyDescent="0.3">
      <c r="A77" s="89">
        <v>3</v>
      </c>
      <c r="B77" s="90" t="s">
        <v>103</v>
      </c>
      <c r="C77" s="174">
        <f t="shared" ca="1" si="21"/>
        <v>19590</v>
      </c>
      <c r="D77" s="175">
        <f t="shared" ca="1" si="46"/>
        <v>19590</v>
      </c>
      <c r="E77" s="176">
        <f ca="1">IFERROR(__xludf.DUMMYFUNCTION("IMPORTRANGE(""https://docs.google.com/spreadsheets/d/1-uDff_7J0KD5mKrp0Vvzr7lt3OU09vwQwhkpOPPYv2Y/edit?usp=sharing"",""งบพรบ!CL77"")"),0)</f>
        <v>0</v>
      </c>
      <c r="F77" s="176">
        <f ca="1">IFERROR(__xludf.DUMMYFUNCTION("IMPORTRANGE(""https://docs.google.com/spreadsheets/d/1-uDff_7J0KD5mKrp0Vvzr7lt3OU09vwQwhkpOPPYv2Y/edit?usp=sharing"",""งบพรบ!CM77"")"),19590)</f>
        <v>19590</v>
      </c>
      <c r="G77" s="176">
        <f ca="1">IFERROR(__xludf.DUMMYFUNCTION("IMPORTRANGE(""https://docs.google.com/spreadsheets/d/1-uDff_7J0KD5mKrp0Vvzr7lt3OU09vwQwhkpOPPYv2Y/edit?usp=sharing"",""งบพรบ!CN77"")"),0)</f>
        <v>0</v>
      </c>
      <c r="H77" s="176">
        <f ca="1">IFERROR(__xludf.DUMMYFUNCTION("IMPORTRANGE(""https://docs.google.com/spreadsheets/d/1-uDff_7J0KD5mKrp0Vvzr7lt3OU09vwQwhkpOPPYv2Y/edit?usp=sharing"",""งบพรบ!CP77"")"),19590)</f>
        <v>19590</v>
      </c>
      <c r="I77" s="176">
        <f ca="1">IFERROR(__xludf.DUMMYFUNCTION("IMPORTRANGE(""https://docs.google.com/spreadsheets/d/1-uDff_7J0KD5mKrp0Vvzr7lt3OU09vwQwhkpOPPYv2Y/edit?usp=sharing"",""งบพรบ!CQ77"")"),0)</f>
        <v>0</v>
      </c>
      <c r="J77" s="176">
        <f t="shared" ca="1" si="23"/>
        <v>18479</v>
      </c>
      <c r="K77" s="179">
        <f t="shared" ca="1" si="24"/>
        <v>94.328739152628899</v>
      </c>
      <c r="L77" s="176">
        <f ca="1">IFERROR(__xludf.DUMMYFUNCTION("IMPORTRANGE(""https://docs.google.com/spreadsheets/d/1-uDff_7J0KD5mKrp0Vvzr7lt3OU09vwQwhkpOPPYv2Y/edit?usp=sharing"",""งบพรบ!CR77"")"),18479)</f>
        <v>18479</v>
      </c>
      <c r="M77" s="87">
        <f t="shared" ca="1" si="25"/>
        <v>94.328739152628899</v>
      </c>
      <c r="N77" s="87">
        <f t="shared" ca="1" si="26"/>
        <v>94.328739152628899</v>
      </c>
      <c r="O77" s="86">
        <f ca="1">IFERROR(__xludf.DUMMYFUNCTION("IMPORTRANGE(""https://docs.google.com/spreadsheets/d/1-uDff_7J0KD5mKrp0Vvzr7lt3OU09vwQwhkpOPPYv2Y/edit?usp=sharing"",""งบพรบ!CS77"")"),0)</f>
        <v>0</v>
      </c>
      <c r="P77" s="86">
        <f t="shared" ca="1" si="27"/>
        <v>0</v>
      </c>
      <c r="Q77" s="87">
        <f t="shared" ca="1" si="28"/>
        <v>0</v>
      </c>
      <c r="R77" s="241">
        <f ca="1">IFERROR(__xludf.DUMMYFUNCTION("IMPORTRANGE(""https://docs.google.com/spreadsheets/d/16pAz3pOhQEZBhvFNMa5KGgZS6iKWpsKX0pg6tQmwFpo/edit?usp=sharing"",""ตรัง!Q173"")"),0)</f>
        <v>0</v>
      </c>
      <c r="S77" s="242">
        <f ca="1">IFERROR(__xludf.DUMMYFUNCTION("IMPORTRANGE(""https://docs.google.com/spreadsheets/d/16pAz3pOhQEZBhvFNMa5KGgZS6iKWpsKX0pg6tQmwFpo/edit?usp=sharing"",""ตรัง!R173"")"),0)</f>
        <v>0</v>
      </c>
      <c r="T77" s="242">
        <f ca="1">IFERROR(__xludf.DUMMYFUNCTION("IMPORTRANGE(""https://docs.google.com/spreadsheets/d/16pAz3pOhQEZBhvFNMa5KGgZS6iKWpsKX0pg6tQmwFpo/edit?usp=sharing"",""ตรัง!S173"")"),0)</f>
        <v>0</v>
      </c>
      <c r="U77" s="243">
        <f t="shared" ca="1" si="30"/>
        <v>0</v>
      </c>
      <c r="V77" s="243">
        <f t="shared" ca="1" si="31"/>
        <v>0</v>
      </c>
      <c r="W77" s="97">
        <f ca="1">IFERROR(__xludf.DUMMYFUNCTION("IMPORTRANGE(""https://docs.google.com/spreadsheets/d/16pAz3pOhQEZBhvFNMa5KGgZS6iKWpsKX0pg6tQmwFpo/edit?usp=sharing"",""ตรัง!I183"")"),7)</f>
        <v>7</v>
      </c>
      <c r="X77" s="97">
        <f ca="1">IFERROR(__xludf.DUMMYFUNCTION("IMPORTRANGE(""https://docs.google.com/spreadsheets/d/16pAz3pOhQEZBhvFNMa5KGgZS6iKWpsKX0pg6tQmwFpo/edit?usp=sharing"",""ตรัง!J183"")"),7)</f>
        <v>7</v>
      </c>
      <c r="Y77" s="98">
        <f t="shared" ca="1" si="33"/>
        <v>100</v>
      </c>
      <c r="Z77" s="269">
        <v>0</v>
      </c>
      <c r="AA77" s="269">
        <v>0</v>
      </c>
      <c r="AB77" s="270">
        <v>0</v>
      </c>
    </row>
    <row r="78" spans="1:28" ht="21" customHeight="1" x14ac:dyDescent="0.3">
      <c r="A78" s="89">
        <v>4</v>
      </c>
      <c r="B78" s="90" t="s">
        <v>104</v>
      </c>
      <c r="C78" s="174">
        <f t="shared" ca="1" si="21"/>
        <v>19590</v>
      </c>
      <c r="D78" s="175">
        <f t="shared" ca="1" si="46"/>
        <v>19590</v>
      </c>
      <c r="E78" s="176">
        <f ca="1">IFERROR(__xludf.DUMMYFUNCTION("IMPORTRANGE(""https://docs.google.com/spreadsheets/d/1-uDff_7J0KD5mKrp0Vvzr7lt3OU09vwQwhkpOPPYv2Y/edit?usp=sharing"",""งบพรบ!CL78"")"),0)</f>
        <v>0</v>
      </c>
      <c r="F78" s="176">
        <f ca="1">IFERROR(__xludf.DUMMYFUNCTION("IMPORTRANGE(""https://docs.google.com/spreadsheets/d/1-uDff_7J0KD5mKrp0Vvzr7lt3OU09vwQwhkpOPPYv2Y/edit?usp=sharing"",""งบพรบ!CM78"")"),19590)</f>
        <v>19590</v>
      </c>
      <c r="G78" s="176">
        <f ca="1">IFERROR(__xludf.DUMMYFUNCTION("IMPORTRANGE(""https://docs.google.com/spreadsheets/d/1-uDff_7J0KD5mKrp0Vvzr7lt3OU09vwQwhkpOPPYv2Y/edit?usp=sharing"",""งบพรบ!CN78"")"),0)</f>
        <v>0</v>
      </c>
      <c r="H78" s="176">
        <f ca="1">IFERROR(__xludf.DUMMYFUNCTION("IMPORTRANGE(""https://docs.google.com/spreadsheets/d/1-uDff_7J0KD5mKrp0Vvzr7lt3OU09vwQwhkpOPPYv2Y/edit?usp=sharing"",""งบพรบ!CP78"")"),19590)</f>
        <v>19590</v>
      </c>
      <c r="I78" s="176">
        <f ca="1">IFERROR(__xludf.DUMMYFUNCTION("IMPORTRANGE(""https://docs.google.com/spreadsheets/d/1-uDff_7J0KD5mKrp0Vvzr7lt3OU09vwQwhkpOPPYv2Y/edit?usp=sharing"",""งบพรบ!CQ78"")"),0)</f>
        <v>0</v>
      </c>
      <c r="J78" s="176">
        <f t="shared" ca="1" si="23"/>
        <v>17455</v>
      </c>
      <c r="K78" s="179">
        <f t="shared" ca="1" si="24"/>
        <v>89.101582440020422</v>
      </c>
      <c r="L78" s="176">
        <f ca="1">IFERROR(__xludf.DUMMYFUNCTION("IMPORTRANGE(""https://docs.google.com/spreadsheets/d/1-uDff_7J0KD5mKrp0Vvzr7lt3OU09vwQwhkpOPPYv2Y/edit?usp=sharing"",""งบพรบ!CR78"")"),17455)</f>
        <v>17455</v>
      </c>
      <c r="M78" s="87">
        <f t="shared" ca="1" si="25"/>
        <v>89.101582440020422</v>
      </c>
      <c r="N78" s="87">
        <f t="shared" ca="1" si="26"/>
        <v>89.101582440020422</v>
      </c>
      <c r="O78" s="86">
        <f ca="1">IFERROR(__xludf.DUMMYFUNCTION("IMPORTRANGE(""https://docs.google.com/spreadsheets/d/1-uDff_7J0KD5mKrp0Vvzr7lt3OU09vwQwhkpOPPYv2Y/edit?usp=sharing"",""งบพรบ!CS78"")"),0)</f>
        <v>0</v>
      </c>
      <c r="P78" s="86">
        <f t="shared" ca="1" si="27"/>
        <v>0</v>
      </c>
      <c r="Q78" s="87">
        <f t="shared" ca="1" si="28"/>
        <v>0</v>
      </c>
      <c r="R78" s="241">
        <f ca="1">IFERROR(__xludf.DUMMYFUNCTION("IMPORTRANGE(""https://docs.google.com/spreadsheets/d/1Dj4jcHCTV9JXKCaMoheSXS52JE63kDKyG7bPXnFogHk/edit?usp=sharing"",""นครศรีธรรมราช!Q173"")"),0)</f>
        <v>0</v>
      </c>
      <c r="S78" s="242">
        <f ca="1">IFERROR(__xludf.DUMMYFUNCTION("IMPORTRANGE(""https://docs.google.com/spreadsheets/d/1Dj4jcHCTV9JXKCaMoheSXS52JE63kDKyG7bPXnFogHk/edit?usp=sharing"",""นครศรีธรรมราช!R173"")"),0)</f>
        <v>0</v>
      </c>
      <c r="T78" s="242">
        <f ca="1">IFERROR(__xludf.DUMMYFUNCTION("IMPORTRANGE(""https://docs.google.com/spreadsheets/d/1Dj4jcHCTV9JXKCaMoheSXS52JE63kDKyG7bPXnFogHk/edit?usp=sharing"",""นครศรีธรรมราช!S173"")"),0)</f>
        <v>0</v>
      </c>
      <c r="U78" s="243">
        <f t="shared" ca="1" si="30"/>
        <v>0</v>
      </c>
      <c r="V78" s="243">
        <f t="shared" ca="1" si="31"/>
        <v>0</v>
      </c>
      <c r="W78" s="97">
        <f ca="1">IFERROR(__xludf.DUMMYFUNCTION("IMPORTRANGE(""https://docs.google.com/spreadsheets/d/1Dj4jcHCTV9JXKCaMoheSXS52JE63kDKyG7bPXnFogHk/edit?usp=sharing"",""นครศรีธรรมราช!I183"")"),7)</f>
        <v>7</v>
      </c>
      <c r="X78" s="97">
        <f ca="1">IFERROR(__xludf.DUMMYFUNCTION("IMPORTRANGE(""https://docs.google.com/spreadsheets/d/1Dj4jcHCTV9JXKCaMoheSXS52JE63kDKyG7bPXnFogHk/edit?usp=sharing"",""นครศรีธรรมราช!J183"")"),7)</f>
        <v>7</v>
      </c>
      <c r="Y78" s="98">
        <f t="shared" ca="1" si="33"/>
        <v>100</v>
      </c>
      <c r="Z78" s="269">
        <v>0</v>
      </c>
      <c r="AA78" s="269">
        <v>0</v>
      </c>
      <c r="AB78" s="270">
        <v>0</v>
      </c>
    </row>
    <row r="79" spans="1:28" ht="21" customHeight="1" x14ac:dyDescent="0.3">
      <c r="A79" s="89">
        <v>5</v>
      </c>
      <c r="B79" s="90" t="s">
        <v>105</v>
      </c>
      <c r="C79" s="174">
        <f t="shared" ca="1" si="21"/>
        <v>19590</v>
      </c>
      <c r="D79" s="175">
        <f t="shared" ca="1" si="46"/>
        <v>19590</v>
      </c>
      <c r="E79" s="176">
        <f ca="1">IFERROR(__xludf.DUMMYFUNCTION("IMPORTRANGE(""https://docs.google.com/spreadsheets/d/1-uDff_7J0KD5mKrp0Vvzr7lt3OU09vwQwhkpOPPYv2Y/edit?usp=sharing"",""งบพรบ!CL79"")"),0)</f>
        <v>0</v>
      </c>
      <c r="F79" s="176">
        <f ca="1">IFERROR(__xludf.DUMMYFUNCTION("IMPORTRANGE(""https://docs.google.com/spreadsheets/d/1-uDff_7J0KD5mKrp0Vvzr7lt3OU09vwQwhkpOPPYv2Y/edit?usp=sharing"",""งบพรบ!CM79"")"),19590)</f>
        <v>19590</v>
      </c>
      <c r="G79" s="176">
        <f ca="1">IFERROR(__xludf.DUMMYFUNCTION("IMPORTRANGE(""https://docs.google.com/spreadsheets/d/1-uDff_7J0KD5mKrp0Vvzr7lt3OU09vwQwhkpOPPYv2Y/edit?usp=sharing"",""งบพรบ!CN79"")"),0)</f>
        <v>0</v>
      </c>
      <c r="H79" s="176">
        <f ca="1">IFERROR(__xludf.DUMMYFUNCTION("IMPORTRANGE(""https://docs.google.com/spreadsheets/d/1-uDff_7J0KD5mKrp0Vvzr7lt3OU09vwQwhkpOPPYv2Y/edit?usp=sharing"",""งบพรบ!CP79"")"),19590)</f>
        <v>19590</v>
      </c>
      <c r="I79" s="176">
        <f ca="1">IFERROR(__xludf.DUMMYFUNCTION("IMPORTRANGE(""https://docs.google.com/spreadsheets/d/1-uDff_7J0KD5mKrp0Vvzr7lt3OU09vwQwhkpOPPYv2Y/edit?usp=sharing"",""งบพรบ!CQ79"")"),0)</f>
        <v>0</v>
      </c>
      <c r="J79" s="176">
        <f t="shared" ca="1" si="23"/>
        <v>19590</v>
      </c>
      <c r="K79" s="179">
        <f t="shared" ca="1" si="24"/>
        <v>100</v>
      </c>
      <c r="L79" s="176">
        <f ca="1">IFERROR(__xludf.DUMMYFUNCTION("IMPORTRANGE(""https://docs.google.com/spreadsheets/d/1-uDff_7J0KD5mKrp0Vvzr7lt3OU09vwQwhkpOPPYv2Y/edit?usp=sharing"",""งบพรบ!CR79"")"),19590)</f>
        <v>19590</v>
      </c>
      <c r="M79" s="87">
        <f t="shared" ca="1" si="25"/>
        <v>100</v>
      </c>
      <c r="N79" s="87">
        <f t="shared" ca="1" si="26"/>
        <v>100</v>
      </c>
      <c r="O79" s="86">
        <f ca="1">IFERROR(__xludf.DUMMYFUNCTION("IMPORTRANGE(""https://docs.google.com/spreadsheets/d/1-uDff_7J0KD5mKrp0Vvzr7lt3OU09vwQwhkpOPPYv2Y/edit?usp=sharing"",""งบพรบ!CS79"")"),0)</f>
        <v>0</v>
      </c>
      <c r="P79" s="86">
        <f t="shared" ca="1" si="27"/>
        <v>0</v>
      </c>
      <c r="Q79" s="87">
        <f t="shared" ca="1" si="28"/>
        <v>0</v>
      </c>
      <c r="R79" s="241">
        <f ca="1">IFERROR(__xludf.DUMMYFUNCTION("IMPORTRANGE(""https://docs.google.com/spreadsheets/d/1iodCdmuK2GR3jzUwk8tpccY2JHQQA-87DLOtJP-ooyU/edit?usp=sharing"",""นราธิวาส!Q173"")"),0)</f>
        <v>0</v>
      </c>
      <c r="S79" s="242">
        <f ca="1">IFERROR(__xludf.DUMMYFUNCTION("IMPORTRANGE(""https://docs.google.com/spreadsheets/d/1iodCdmuK2GR3jzUwk8tpccY2JHQQA-87DLOtJP-ooyU/edit?usp=sharing"",""นราธิวาส!R173"")"),0)</f>
        <v>0</v>
      </c>
      <c r="T79" s="242">
        <f ca="1">IFERROR(__xludf.DUMMYFUNCTION("IMPORTRANGE(""https://docs.google.com/spreadsheets/d/1iodCdmuK2GR3jzUwk8tpccY2JHQQA-87DLOtJP-ooyU/edit?usp=sharing"",""นราธิวาส!S173"")"),0)</f>
        <v>0</v>
      </c>
      <c r="U79" s="243">
        <f t="shared" ca="1" si="30"/>
        <v>0</v>
      </c>
      <c r="V79" s="243">
        <f t="shared" ca="1" si="31"/>
        <v>0</v>
      </c>
      <c r="W79" s="97">
        <f ca="1">IFERROR(__xludf.DUMMYFUNCTION("IMPORTRANGE(""https://docs.google.com/spreadsheets/d/1iodCdmuK2GR3jzUwk8tpccY2JHQQA-87DLOtJP-ooyU/edit?usp=sharing"",""นราธิวาส!I183"")"),7)</f>
        <v>7</v>
      </c>
      <c r="X79" s="97">
        <f ca="1">IFERROR(__xludf.DUMMYFUNCTION("IMPORTRANGE(""https://docs.google.com/spreadsheets/d/1iodCdmuK2GR3jzUwk8tpccY2JHQQA-87DLOtJP-ooyU/edit?usp=sharing"",""นราธิวาส!J183"")"),7)</f>
        <v>7</v>
      </c>
      <c r="Y79" s="98">
        <f t="shared" ca="1" si="33"/>
        <v>100</v>
      </c>
      <c r="Z79" s="269">
        <v>0</v>
      </c>
      <c r="AA79" s="269">
        <v>0</v>
      </c>
      <c r="AB79" s="270">
        <v>0</v>
      </c>
    </row>
    <row r="80" spans="1:28" ht="21" customHeight="1" x14ac:dyDescent="0.3">
      <c r="A80" s="89">
        <v>6</v>
      </c>
      <c r="B80" s="90" t="s">
        <v>106</v>
      </c>
      <c r="C80" s="174">
        <f t="shared" ca="1" si="21"/>
        <v>19590</v>
      </c>
      <c r="D80" s="175">
        <f t="shared" ca="1" si="46"/>
        <v>19590</v>
      </c>
      <c r="E80" s="176">
        <f ca="1">IFERROR(__xludf.DUMMYFUNCTION("IMPORTRANGE(""https://docs.google.com/spreadsheets/d/1-uDff_7J0KD5mKrp0Vvzr7lt3OU09vwQwhkpOPPYv2Y/edit?usp=sharing"",""งบพรบ!CL80"")"),0)</f>
        <v>0</v>
      </c>
      <c r="F80" s="176">
        <f ca="1">IFERROR(__xludf.DUMMYFUNCTION("IMPORTRANGE(""https://docs.google.com/spreadsheets/d/1-uDff_7J0KD5mKrp0Vvzr7lt3OU09vwQwhkpOPPYv2Y/edit?usp=sharing"",""งบพรบ!CM80"")"),19590)</f>
        <v>19590</v>
      </c>
      <c r="G80" s="176">
        <f ca="1">IFERROR(__xludf.DUMMYFUNCTION("IMPORTRANGE(""https://docs.google.com/spreadsheets/d/1-uDff_7J0KD5mKrp0Vvzr7lt3OU09vwQwhkpOPPYv2Y/edit?usp=sharing"",""งบพรบ!CN80"")"),0)</f>
        <v>0</v>
      </c>
      <c r="H80" s="176">
        <f ca="1">IFERROR(__xludf.DUMMYFUNCTION("IMPORTRANGE(""https://docs.google.com/spreadsheets/d/1-uDff_7J0KD5mKrp0Vvzr7lt3OU09vwQwhkpOPPYv2Y/edit?usp=sharing"",""งบพรบ!CP80"")"),19590)</f>
        <v>19590</v>
      </c>
      <c r="I80" s="176">
        <f ca="1">IFERROR(__xludf.DUMMYFUNCTION("IMPORTRANGE(""https://docs.google.com/spreadsheets/d/1-uDff_7J0KD5mKrp0Vvzr7lt3OU09vwQwhkpOPPYv2Y/edit?usp=sharing"",""งบพรบ!CQ80"")"),0)</f>
        <v>0</v>
      </c>
      <c r="J80" s="176">
        <f t="shared" ca="1" si="23"/>
        <v>16190</v>
      </c>
      <c r="K80" s="179">
        <f t="shared" ca="1" si="24"/>
        <v>82.644206227667183</v>
      </c>
      <c r="L80" s="176">
        <f ca="1">IFERROR(__xludf.DUMMYFUNCTION("IMPORTRANGE(""https://docs.google.com/spreadsheets/d/1-uDff_7J0KD5mKrp0Vvzr7lt3OU09vwQwhkpOPPYv2Y/edit?usp=sharing"",""งบพรบ!CR80"")"),16190)</f>
        <v>16190</v>
      </c>
      <c r="M80" s="87">
        <f t="shared" ca="1" si="25"/>
        <v>82.644206227667183</v>
      </c>
      <c r="N80" s="87">
        <f t="shared" ca="1" si="26"/>
        <v>82.644206227667183</v>
      </c>
      <c r="O80" s="86">
        <f ca="1">IFERROR(__xludf.DUMMYFUNCTION("IMPORTRANGE(""https://docs.google.com/spreadsheets/d/1-uDff_7J0KD5mKrp0Vvzr7lt3OU09vwQwhkpOPPYv2Y/edit?usp=sharing"",""งบพรบ!CS80"")"),0)</f>
        <v>0</v>
      </c>
      <c r="P80" s="86">
        <f t="shared" ca="1" si="27"/>
        <v>0</v>
      </c>
      <c r="Q80" s="87">
        <f t="shared" ca="1" si="28"/>
        <v>0</v>
      </c>
      <c r="R80" s="241">
        <f ca="1">IFERROR(__xludf.DUMMYFUNCTION("IMPORTRANGE(""https://docs.google.com/spreadsheets/d/1SDNX3JhDdYRuIOsj0Wh2M-Qa_eaXl0NbWmhAOTbfQAs/edit?usp=sharing"",""ปัตตานี!Q173"")"),0)</f>
        <v>0</v>
      </c>
      <c r="S80" s="242">
        <f ca="1">IFERROR(__xludf.DUMMYFUNCTION("IMPORTRANGE(""https://docs.google.com/spreadsheets/d/1SDNX3JhDdYRuIOsj0Wh2M-Qa_eaXl0NbWmhAOTbfQAs/edit?usp=sharing"",""ปัตตานี!R173"")"),0)</f>
        <v>0</v>
      </c>
      <c r="T80" s="242">
        <f ca="1">IFERROR(__xludf.DUMMYFUNCTION("IMPORTRANGE(""https://docs.google.com/spreadsheets/d/1SDNX3JhDdYRuIOsj0Wh2M-Qa_eaXl0NbWmhAOTbfQAs/edit?usp=sharing"",""ปัตตานี!S173"")"),0)</f>
        <v>0</v>
      </c>
      <c r="U80" s="243">
        <f t="shared" ca="1" si="30"/>
        <v>0</v>
      </c>
      <c r="V80" s="243">
        <f t="shared" ca="1" si="31"/>
        <v>0</v>
      </c>
      <c r="W80" s="97">
        <f ca="1">IFERROR(__xludf.DUMMYFUNCTION("IMPORTRANGE(""https://docs.google.com/spreadsheets/d/1SDNX3JhDdYRuIOsj0Wh2M-Qa_eaXl0NbWmhAOTbfQAs/edit?usp=sharing"",""ปัตตานี!I183"")"),7)</f>
        <v>7</v>
      </c>
      <c r="X80" s="97">
        <f ca="1">IFERROR(__xludf.DUMMYFUNCTION("IMPORTRANGE(""https://docs.google.com/spreadsheets/d/1SDNX3JhDdYRuIOsj0Wh2M-Qa_eaXl0NbWmhAOTbfQAs/edit?usp=sharing"",""ปัตตานี!J183"")"),0)</f>
        <v>0</v>
      </c>
      <c r="Y80" s="98">
        <f t="shared" ca="1" si="33"/>
        <v>0</v>
      </c>
      <c r="Z80" s="269">
        <v>0</v>
      </c>
      <c r="AA80" s="269">
        <v>0</v>
      </c>
      <c r="AB80" s="270">
        <v>0</v>
      </c>
    </row>
    <row r="81" spans="1:28" ht="21" customHeight="1" x14ac:dyDescent="0.3">
      <c r="A81" s="89">
        <v>7</v>
      </c>
      <c r="B81" s="90" t="s">
        <v>107</v>
      </c>
      <c r="C81" s="174">
        <f t="shared" ca="1" si="21"/>
        <v>19590</v>
      </c>
      <c r="D81" s="175">
        <f t="shared" ca="1" si="46"/>
        <v>19590</v>
      </c>
      <c r="E81" s="176">
        <f ca="1">IFERROR(__xludf.DUMMYFUNCTION("IMPORTRANGE(""https://docs.google.com/spreadsheets/d/1-uDff_7J0KD5mKrp0Vvzr7lt3OU09vwQwhkpOPPYv2Y/edit?usp=sharing"",""งบพรบ!CL81"")"),0)</f>
        <v>0</v>
      </c>
      <c r="F81" s="176">
        <f ca="1">IFERROR(__xludf.DUMMYFUNCTION("IMPORTRANGE(""https://docs.google.com/spreadsheets/d/1-uDff_7J0KD5mKrp0Vvzr7lt3OU09vwQwhkpOPPYv2Y/edit?usp=sharing"",""งบพรบ!CM81"")"),19590)</f>
        <v>19590</v>
      </c>
      <c r="G81" s="176">
        <f ca="1">IFERROR(__xludf.DUMMYFUNCTION("IMPORTRANGE(""https://docs.google.com/spreadsheets/d/1-uDff_7J0KD5mKrp0Vvzr7lt3OU09vwQwhkpOPPYv2Y/edit?usp=sharing"",""งบพรบ!CN81"")"),0)</f>
        <v>0</v>
      </c>
      <c r="H81" s="176">
        <f ca="1">IFERROR(__xludf.DUMMYFUNCTION("IMPORTRANGE(""https://docs.google.com/spreadsheets/d/1-uDff_7J0KD5mKrp0Vvzr7lt3OU09vwQwhkpOPPYv2Y/edit?usp=sharing"",""งบพรบ!CP81"")"),19590)</f>
        <v>19590</v>
      </c>
      <c r="I81" s="176">
        <f ca="1">IFERROR(__xludf.DUMMYFUNCTION("IMPORTRANGE(""https://docs.google.com/spreadsheets/d/1-uDff_7J0KD5mKrp0Vvzr7lt3OU09vwQwhkpOPPYv2Y/edit?usp=sharing"",""งบพรบ!CQ81"")"),0)</f>
        <v>0</v>
      </c>
      <c r="J81" s="176">
        <f t="shared" ca="1" si="23"/>
        <v>19450</v>
      </c>
      <c r="K81" s="179">
        <f t="shared" ca="1" si="24"/>
        <v>99.285349668198066</v>
      </c>
      <c r="L81" s="176">
        <f ca="1">IFERROR(__xludf.DUMMYFUNCTION("IMPORTRANGE(""https://docs.google.com/spreadsheets/d/1-uDff_7J0KD5mKrp0Vvzr7lt3OU09vwQwhkpOPPYv2Y/edit?usp=sharing"",""งบพรบ!CR81"")"),19450)</f>
        <v>19450</v>
      </c>
      <c r="M81" s="87">
        <f t="shared" ca="1" si="25"/>
        <v>99.285349668198066</v>
      </c>
      <c r="N81" s="87">
        <f t="shared" ca="1" si="26"/>
        <v>99.285349668198066</v>
      </c>
      <c r="O81" s="86">
        <f ca="1">IFERROR(__xludf.DUMMYFUNCTION("IMPORTRANGE(""https://docs.google.com/spreadsheets/d/1-uDff_7J0KD5mKrp0Vvzr7lt3OU09vwQwhkpOPPYv2Y/edit?usp=sharing"",""งบพรบ!CS81"")"),0)</f>
        <v>0</v>
      </c>
      <c r="P81" s="86">
        <f t="shared" ca="1" si="27"/>
        <v>0</v>
      </c>
      <c r="Q81" s="87">
        <f t="shared" ca="1" si="28"/>
        <v>0</v>
      </c>
      <c r="R81" s="241">
        <f ca="1">IFERROR(__xludf.DUMMYFUNCTION("IMPORTRANGE(""https://docs.google.com/spreadsheets/d/16JDLGguT8s5DsGCND1KcwHP_AWR_zDMTqLHPLJUKhaU/edit?usp=sharing"",""พังงา!Q173"")"),0)</f>
        <v>0</v>
      </c>
      <c r="S81" s="242">
        <f ca="1">IFERROR(__xludf.DUMMYFUNCTION("IMPORTRANGE(""https://docs.google.com/spreadsheets/d/16JDLGguT8s5DsGCND1KcwHP_AWR_zDMTqLHPLJUKhaU/edit?usp=sharing"",""พังงา!R173"")"),0)</f>
        <v>0</v>
      </c>
      <c r="T81" s="242">
        <f ca="1">IFERROR(__xludf.DUMMYFUNCTION("IMPORTRANGE(""https://docs.google.com/spreadsheets/d/16JDLGguT8s5DsGCND1KcwHP_AWR_zDMTqLHPLJUKhaU/edit?usp=sharing"",""พังงา!S173"")"),0)</f>
        <v>0</v>
      </c>
      <c r="U81" s="243">
        <f t="shared" ca="1" si="30"/>
        <v>0</v>
      </c>
      <c r="V81" s="243">
        <f t="shared" ca="1" si="31"/>
        <v>0</v>
      </c>
      <c r="W81" s="97">
        <f ca="1">IFERROR(__xludf.DUMMYFUNCTION("IMPORTRANGE(""https://docs.google.com/spreadsheets/d/16JDLGguT8s5DsGCND1KcwHP_AWR_zDMTqLHPLJUKhaU/edit?usp=sharing"",""พังงา!I183"")"),7)</f>
        <v>7</v>
      </c>
      <c r="X81" s="97">
        <f ca="1">IFERROR(__xludf.DUMMYFUNCTION("IMPORTRANGE(""https://docs.google.com/spreadsheets/d/16JDLGguT8s5DsGCND1KcwHP_AWR_zDMTqLHPLJUKhaU/edit?usp=sharing"",""พังงา!J183"")"),7)</f>
        <v>7</v>
      </c>
      <c r="Y81" s="98">
        <f t="shared" ca="1" si="33"/>
        <v>100</v>
      </c>
      <c r="Z81" s="269">
        <v>0</v>
      </c>
      <c r="AA81" s="269">
        <v>0</v>
      </c>
      <c r="AB81" s="270">
        <v>0</v>
      </c>
    </row>
    <row r="82" spans="1:28" ht="21" customHeight="1" x14ac:dyDescent="0.3">
      <c r="A82" s="89">
        <v>8</v>
      </c>
      <c r="B82" s="90" t="s">
        <v>108</v>
      </c>
      <c r="C82" s="174">
        <f t="shared" ca="1" si="21"/>
        <v>0</v>
      </c>
      <c r="D82" s="175">
        <f t="shared" ca="1" si="46"/>
        <v>0</v>
      </c>
      <c r="E82" s="176">
        <f ca="1">IFERROR(__xludf.DUMMYFUNCTION("IMPORTRANGE(""https://docs.google.com/spreadsheets/d/1-uDff_7J0KD5mKrp0Vvzr7lt3OU09vwQwhkpOPPYv2Y/edit?usp=sharing"",""งบพรบ!CL82"")"),0)</f>
        <v>0</v>
      </c>
      <c r="F82" s="176">
        <v>0</v>
      </c>
      <c r="G82" s="176">
        <f ca="1">IFERROR(__xludf.DUMMYFUNCTION("IMPORTRANGE(""https://docs.google.com/spreadsheets/d/1-uDff_7J0KD5mKrp0Vvzr7lt3OU09vwQwhkpOPPYv2Y/edit?usp=sharing"",""งบพรบ!CN82"")"),0)</f>
        <v>0</v>
      </c>
      <c r="H82" s="176">
        <f ca="1">IFERROR(__xludf.DUMMYFUNCTION("IMPORTRANGE(""https://docs.google.com/spreadsheets/d/1-uDff_7J0KD5mKrp0Vvzr7lt3OU09vwQwhkpOPPYv2Y/edit?usp=sharing"",""งบพรบ!CP82"")"),0)</f>
        <v>0</v>
      </c>
      <c r="I82" s="176">
        <f ca="1">IFERROR(__xludf.DUMMYFUNCTION("IMPORTRANGE(""https://docs.google.com/spreadsheets/d/1-uDff_7J0KD5mKrp0Vvzr7lt3OU09vwQwhkpOPPYv2Y/edit?usp=sharing"",""งบพรบ!CQ82"")"),0)</f>
        <v>0</v>
      </c>
      <c r="J82" s="176">
        <f t="shared" ca="1" si="23"/>
        <v>0</v>
      </c>
      <c r="K82" s="179">
        <f t="shared" ca="1" si="24"/>
        <v>0</v>
      </c>
      <c r="L82" s="176">
        <f ca="1">IFERROR(__xludf.DUMMYFUNCTION("IMPORTRANGE(""https://docs.google.com/spreadsheets/d/1-uDff_7J0KD5mKrp0Vvzr7lt3OU09vwQwhkpOPPYv2Y/edit?usp=sharing"",""งบพรบ!CR82"")"),0)</f>
        <v>0</v>
      </c>
      <c r="M82" s="87">
        <f t="shared" ca="1" si="25"/>
        <v>0</v>
      </c>
      <c r="N82" s="87">
        <f t="shared" ca="1" si="26"/>
        <v>0</v>
      </c>
      <c r="O82" s="86">
        <f ca="1">IFERROR(__xludf.DUMMYFUNCTION("IMPORTRANGE(""https://docs.google.com/spreadsheets/d/1-uDff_7J0KD5mKrp0Vvzr7lt3OU09vwQwhkpOPPYv2Y/edit?usp=sharing"",""งบพรบ!CS82"")"),0)</f>
        <v>0</v>
      </c>
      <c r="P82" s="86">
        <f t="shared" ca="1" si="27"/>
        <v>0</v>
      </c>
      <c r="Q82" s="87">
        <f t="shared" ca="1" si="28"/>
        <v>0</v>
      </c>
      <c r="R82" s="241">
        <f ca="1">IFERROR(__xludf.DUMMYFUNCTION("IMPORTRANGE(""https://docs.google.com/spreadsheets/d/17ht0gPKzzT3PObBL1XJkeRmntBXI7wGjpLV7QorqlTk/edit?usp=sharing"",""พัทลุง!Q173"")"),0)</f>
        <v>0</v>
      </c>
      <c r="S82" s="242">
        <f ca="1">IFERROR(__xludf.DUMMYFUNCTION("IMPORTRANGE(""https://docs.google.com/spreadsheets/d/17ht0gPKzzT3PObBL1XJkeRmntBXI7wGjpLV7QorqlTk/edit?usp=sharing"",""พัทลุง!R173"")"),0)</f>
        <v>0</v>
      </c>
      <c r="T82" s="242">
        <f ca="1">IFERROR(__xludf.DUMMYFUNCTION("IMPORTRANGE(""https://docs.google.com/spreadsheets/d/17ht0gPKzzT3PObBL1XJkeRmntBXI7wGjpLV7QorqlTk/edit?usp=sharing"",""พัทลุง!S173"")"),0)</f>
        <v>0</v>
      </c>
      <c r="U82" s="243">
        <f t="shared" ca="1" si="30"/>
        <v>0</v>
      </c>
      <c r="V82" s="243">
        <f t="shared" ca="1" si="31"/>
        <v>0</v>
      </c>
      <c r="W82" s="97">
        <f ca="1">IFERROR(__xludf.DUMMYFUNCTION("IMPORTRANGE(""https://docs.google.com/spreadsheets/d/17ht0gPKzzT3PObBL1XJkeRmntBXI7wGjpLV7QorqlTk/edit?usp=sharing"",""พัทลุง!I183"")"),0)</f>
        <v>0</v>
      </c>
      <c r="X82" s="97">
        <f ca="1">IFERROR(__xludf.DUMMYFUNCTION("IMPORTRANGE(""https://docs.google.com/spreadsheets/d/17ht0gPKzzT3PObBL1XJkeRmntBXI7wGjpLV7QorqlTk/edit?usp=sharing"",""พัทลุง!J183"")"),0)</f>
        <v>0</v>
      </c>
      <c r="Y82" s="98">
        <f t="shared" ca="1" si="33"/>
        <v>0</v>
      </c>
      <c r="Z82" s="269">
        <v>0</v>
      </c>
      <c r="AA82" s="269">
        <v>0</v>
      </c>
      <c r="AB82" s="270">
        <v>0</v>
      </c>
    </row>
    <row r="83" spans="1:28" ht="21" customHeight="1" x14ac:dyDescent="0.3">
      <c r="A83" s="89">
        <v>9</v>
      </c>
      <c r="B83" s="90" t="s">
        <v>109</v>
      </c>
      <c r="C83" s="174">
        <f t="shared" ca="1" si="21"/>
        <v>0</v>
      </c>
      <c r="D83" s="175">
        <f t="shared" ca="1" si="46"/>
        <v>0</v>
      </c>
      <c r="E83" s="176">
        <f ca="1">IFERROR(__xludf.DUMMYFUNCTION("IMPORTRANGE(""https://docs.google.com/spreadsheets/d/1-uDff_7J0KD5mKrp0Vvzr7lt3OU09vwQwhkpOPPYv2Y/edit?usp=sharing"",""งบพรบ!CL83"")"),0)</f>
        <v>0</v>
      </c>
      <c r="F83" s="176">
        <v>0</v>
      </c>
      <c r="G83" s="176">
        <f ca="1">IFERROR(__xludf.DUMMYFUNCTION("IMPORTRANGE(""https://docs.google.com/spreadsheets/d/1-uDff_7J0KD5mKrp0Vvzr7lt3OU09vwQwhkpOPPYv2Y/edit?usp=sharing"",""งบพรบ!CN83"")"),0)</f>
        <v>0</v>
      </c>
      <c r="H83" s="176">
        <f ca="1">IFERROR(__xludf.DUMMYFUNCTION("IMPORTRANGE(""https://docs.google.com/spreadsheets/d/1-uDff_7J0KD5mKrp0Vvzr7lt3OU09vwQwhkpOPPYv2Y/edit?usp=sharing"",""งบพรบ!CP83"")"),0)</f>
        <v>0</v>
      </c>
      <c r="I83" s="176">
        <f ca="1">IFERROR(__xludf.DUMMYFUNCTION("IMPORTRANGE(""https://docs.google.com/spreadsheets/d/1-uDff_7J0KD5mKrp0Vvzr7lt3OU09vwQwhkpOPPYv2Y/edit?usp=sharing"",""งบพรบ!CQ83"")"),0)</f>
        <v>0</v>
      </c>
      <c r="J83" s="176">
        <f t="shared" ca="1" si="23"/>
        <v>0</v>
      </c>
      <c r="K83" s="179">
        <f t="shared" ca="1" si="24"/>
        <v>0</v>
      </c>
      <c r="L83" s="176">
        <f ca="1">IFERROR(__xludf.DUMMYFUNCTION("IMPORTRANGE(""https://docs.google.com/spreadsheets/d/1-uDff_7J0KD5mKrp0Vvzr7lt3OU09vwQwhkpOPPYv2Y/edit?usp=sharing"",""งบพรบ!CR83"")"),0)</f>
        <v>0</v>
      </c>
      <c r="M83" s="87">
        <f t="shared" ca="1" si="25"/>
        <v>0</v>
      </c>
      <c r="N83" s="87">
        <f t="shared" ca="1" si="26"/>
        <v>0</v>
      </c>
      <c r="O83" s="86">
        <f ca="1">IFERROR(__xludf.DUMMYFUNCTION("IMPORTRANGE(""https://docs.google.com/spreadsheets/d/1-uDff_7J0KD5mKrp0Vvzr7lt3OU09vwQwhkpOPPYv2Y/edit?usp=sharing"",""งบพรบ!CS83"")"),0)</f>
        <v>0</v>
      </c>
      <c r="P83" s="86">
        <f t="shared" ca="1" si="27"/>
        <v>0</v>
      </c>
      <c r="Q83" s="87">
        <f t="shared" ca="1" si="28"/>
        <v>0</v>
      </c>
      <c r="R83" s="241">
        <f ca="1">IFERROR(__xludf.DUMMYFUNCTION("IMPORTRANGE(""https://docs.google.com/spreadsheets/d/1rd4qoM1q_hsgaolqNGfrim9gbsoLxQsda4-vOz5x_BM/edit?usp=sharing"",""ภูเก็ต!Q173"")"),0)</f>
        <v>0</v>
      </c>
      <c r="S83" s="242">
        <f ca="1">IFERROR(__xludf.DUMMYFUNCTION("IMPORTRANGE(""https://docs.google.com/spreadsheets/d/1rd4qoM1q_hsgaolqNGfrim9gbsoLxQsda4-vOz5x_BM/edit?usp=sharing"",""ภูเก็ต!R173"")"),0)</f>
        <v>0</v>
      </c>
      <c r="T83" s="242">
        <f ca="1">IFERROR(__xludf.DUMMYFUNCTION("IMPORTRANGE(""https://docs.google.com/spreadsheets/d/1rd4qoM1q_hsgaolqNGfrim9gbsoLxQsda4-vOz5x_BM/edit?usp=sharing"",""ภูเก็ต!S173"")"),0)</f>
        <v>0</v>
      </c>
      <c r="U83" s="243">
        <f t="shared" ca="1" si="30"/>
        <v>0</v>
      </c>
      <c r="V83" s="243">
        <f t="shared" ca="1" si="31"/>
        <v>0</v>
      </c>
      <c r="W83" s="97">
        <f ca="1">IFERROR(__xludf.DUMMYFUNCTION("IMPORTRANGE(""https://docs.google.com/spreadsheets/d/1rd4qoM1q_hsgaolqNGfrim9gbsoLxQsda4-vOz5x_BM/edit?usp=sharing"",""ภูเก็ต!I183"")"),0)</f>
        <v>0</v>
      </c>
      <c r="X83" s="97">
        <f ca="1">IFERROR(__xludf.DUMMYFUNCTION("IMPORTRANGE(""https://docs.google.com/spreadsheets/d/1rd4qoM1q_hsgaolqNGfrim9gbsoLxQsda4-vOz5x_BM/edit?usp=sharing"",""ภูเก็ต!J183"")"),0)</f>
        <v>0</v>
      </c>
      <c r="Y83" s="98">
        <f t="shared" ca="1" si="33"/>
        <v>0</v>
      </c>
      <c r="Z83" s="269">
        <v>0</v>
      </c>
      <c r="AA83" s="269">
        <v>0</v>
      </c>
      <c r="AB83" s="270">
        <v>0</v>
      </c>
    </row>
    <row r="84" spans="1:28" ht="21" customHeight="1" x14ac:dyDescent="0.3">
      <c r="A84" s="89">
        <v>10</v>
      </c>
      <c r="B84" s="90" t="s">
        <v>110</v>
      </c>
      <c r="C84" s="174">
        <f t="shared" ca="1" si="21"/>
        <v>19590</v>
      </c>
      <c r="D84" s="175">
        <f t="shared" ca="1" si="46"/>
        <v>19590</v>
      </c>
      <c r="E84" s="176">
        <f ca="1">IFERROR(__xludf.DUMMYFUNCTION("IMPORTRANGE(""https://docs.google.com/spreadsheets/d/1-uDff_7J0KD5mKrp0Vvzr7lt3OU09vwQwhkpOPPYv2Y/edit?usp=sharing"",""งบพรบ!CL84"")"),0)</f>
        <v>0</v>
      </c>
      <c r="F84" s="176">
        <f ca="1">IFERROR(__xludf.DUMMYFUNCTION("IMPORTRANGE(""https://docs.google.com/spreadsheets/d/1-uDff_7J0KD5mKrp0Vvzr7lt3OU09vwQwhkpOPPYv2Y/edit?usp=sharing"",""งบพรบ!CM84"")"),19590)</f>
        <v>19590</v>
      </c>
      <c r="G84" s="176">
        <f ca="1">IFERROR(__xludf.DUMMYFUNCTION("IMPORTRANGE(""https://docs.google.com/spreadsheets/d/1-uDff_7J0KD5mKrp0Vvzr7lt3OU09vwQwhkpOPPYv2Y/edit?usp=sharing"",""งบพรบ!CN84"")"),0)</f>
        <v>0</v>
      </c>
      <c r="H84" s="176">
        <f ca="1">IFERROR(__xludf.DUMMYFUNCTION("IMPORTRANGE(""https://docs.google.com/spreadsheets/d/1-uDff_7J0KD5mKrp0Vvzr7lt3OU09vwQwhkpOPPYv2Y/edit?usp=sharing"",""งบพรบ!CP84"")"),19590)</f>
        <v>19590</v>
      </c>
      <c r="I84" s="176">
        <f ca="1">IFERROR(__xludf.DUMMYFUNCTION("IMPORTRANGE(""https://docs.google.com/spreadsheets/d/1-uDff_7J0KD5mKrp0Vvzr7lt3OU09vwQwhkpOPPYv2Y/edit?usp=sharing"",""งบพรบ!CQ84"")"),0)</f>
        <v>0</v>
      </c>
      <c r="J84" s="176">
        <f t="shared" ca="1" si="23"/>
        <v>19590</v>
      </c>
      <c r="K84" s="179">
        <f t="shared" ca="1" si="24"/>
        <v>100</v>
      </c>
      <c r="L84" s="176">
        <f ca="1">IFERROR(__xludf.DUMMYFUNCTION("IMPORTRANGE(""https://docs.google.com/spreadsheets/d/1-uDff_7J0KD5mKrp0Vvzr7lt3OU09vwQwhkpOPPYv2Y/edit?usp=sharing"",""งบพรบ!CR84"")"),19590)</f>
        <v>19590</v>
      </c>
      <c r="M84" s="87">
        <f t="shared" ca="1" si="25"/>
        <v>100</v>
      </c>
      <c r="N84" s="87">
        <f t="shared" ca="1" si="26"/>
        <v>100</v>
      </c>
      <c r="O84" s="86">
        <f ca="1">IFERROR(__xludf.DUMMYFUNCTION("IMPORTRANGE(""https://docs.google.com/spreadsheets/d/1-uDff_7J0KD5mKrp0Vvzr7lt3OU09vwQwhkpOPPYv2Y/edit?usp=sharing"",""งบพรบ!CS84"")"),0)</f>
        <v>0</v>
      </c>
      <c r="P84" s="86">
        <f t="shared" ca="1" si="27"/>
        <v>0</v>
      </c>
      <c r="Q84" s="87">
        <f t="shared" ca="1" si="28"/>
        <v>0</v>
      </c>
      <c r="R84" s="241">
        <f ca="1">IFERROR(__xludf.DUMMYFUNCTION("IMPORTRANGE(""https://docs.google.com/spreadsheets/d/1woKwKjgoLssDvPcPeVyezB5izizAn4X1JDrys69n6xI/edit?usp=sharing"",""ยะลา!Q173"")"),0)</f>
        <v>0</v>
      </c>
      <c r="S84" s="242">
        <f ca="1">IFERROR(__xludf.DUMMYFUNCTION("IMPORTRANGE(""https://docs.google.com/spreadsheets/d/1woKwKjgoLssDvPcPeVyezB5izizAn4X1JDrys69n6xI/edit?usp=sharing"",""ยะลา!R173"")"),0)</f>
        <v>0</v>
      </c>
      <c r="T84" s="242">
        <f ca="1">IFERROR(__xludf.DUMMYFUNCTION("IMPORTRANGE(""https://docs.google.com/spreadsheets/d/1woKwKjgoLssDvPcPeVyezB5izizAn4X1JDrys69n6xI/edit?usp=sharing"",""ยะลา!S173"")"),0)</f>
        <v>0</v>
      </c>
      <c r="U84" s="243">
        <f t="shared" ca="1" si="30"/>
        <v>0</v>
      </c>
      <c r="V84" s="243">
        <f t="shared" ca="1" si="31"/>
        <v>0</v>
      </c>
      <c r="W84" s="97">
        <f ca="1">IFERROR(__xludf.DUMMYFUNCTION("IMPORTRANGE(""https://docs.google.com/spreadsheets/d/1woKwKjgoLssDvPcPeVyezB5izizAn4X1JDrys69n6xI/edit?usp=sharing"",""ยะลา!I183"")"),7)</f>
        <v>7</v>
      </c>
      <c r="X84" s="97">
        <f ca="1">IFERROR(__xludf.DUMMYFUNCTION("IMPORTRANGE(""https://docs.google.com/spreadsheets/d/1woKwKjgoLssDvPcPeVyezB5izizAn4X1JDrys69n6xI/edit?usp=sharing"",""ยะลา!J183"")"),7)</f>
        <v>7</v>
      </c>
      <c r="Y84" s="98">
        <f t="shared" ca="1" si="33"/>
        <v>100</v>
      </c>
      <c r="Z84" s="269">
        <v>0</v>
      </c>
      <c r="AA84" s="269">
        <v>0</v>
      </c>
      <c r="AB84" s="270">
        <v>0</v>
      </c>
    </row>
    <row r="85" spans="1:28" ht="21" customHeight="1" x14ac:dyDescent="0.3">
      <c r="A85" s="89">
        <v>11</v>
      </c>
      <c r="B85" s="90" t="s">
        <v>111</v>
      </c>
      <c r="C85" s="174">
        <f t="shared" ca="1" si="21"/>
        <v>19590</v>
      </c>
      <c r="D85" s="175">
        <f t="shared" ca="1" si="46"/>
        <v>19590</v>
      </c>
      <c r="E85" s="176">
        <f ca="1">IFERROR(__xludf.DUMMYFUNCTION("IMPORTRANGE(""https://docs.google.com/spreadsheets/d/1-uDff_7J0KD5mKrp0Vvzr7lt3OU09vwQwhkpOPPYv2Y/edit?usp=sharing"",""งบพรบ!CL85"")"),0)</f>
        <v>0</v>
      </c>
      <c r="F85" s="176">
        <f ca="1">IFERROR(__xludf.DUMMYFUNCTION("IMPORTRANGE(""https://docs.google.com/spreadsheets/d/1-uDff_7J0KD5mKrp0Vvzr7lt3OU09vwQwhkpOPPYv2Y/edit?usp=sharing"",""งบพรบ!CM85"")"),19590)</f>
        <v>19590</v>
      </c>
      <c r="G85" s="176">
        <f ca="1">IFERROR(__xludf.DUMMYFUNCTION("IMPORTRANGE(""https://docs.google.com/spreadsheets/d/1-uDff_7J0KD5mKrp0Vvzr7lt3OU09vwQwhkpOPPYv2Y/edit?usp=sharing"",""งบพรบ!CN85"")"),0)</f>
        <v>0</v>
      </c>
      <c r="H85" s="176">
        <f ca="1">IFERROR(__xludf.DUMMYFUNCTION("IMPORTRANGE(""https://docs.google.com/spreadsheets/d/1-uDff_7J0KD5mKrp0Vvzr7lt3OU09vwQwhkpOPPYv2Y/edit?usp=sharing"",""งบพรบ!CP85"")"),19590)</f>
        <v>19590</v>
      </c>
      <c r="I85" s="176">
        <f ca="1">IFERROR(__xludf.DUMMYFUNCTION("IMPORTRANGE(""https://docs.google.com/spreadsheets/d/1-uDff_7J0KD5mKrp0Vvzr7lt3OU09vwQwhkpOPPYv2Y/edit?usp=sharing"",""งบพรบ!CQ85"")"),0)</f>
        <v>0</v>
      </c>
      <c r="J85" s="176">
        <f t="shared" ca="1" si="23"/>
        <v>19081</v>
      </c>
      <c r="K85" s="179">
        <f t="shared" ca="1" si="24"/>
        <v>97.401735579377231</v>
      </c>
      <c r="L85" s="176">
        <f ca="1">IFERROR(__xludf.DUMMYFUNCTION("IMPORTRANGE(""https://docs.google.com/spreadsheets/d/1-uDff_7J0KD5mKrp0Vvzr7lt3OU09vwQwhkpOPPYv2Y/edit?usp=sharing"",""งบพรบ!CR85"")"),19081)</f>
        <v>19081</v>
      </c>
      <c r="M85" s="87">
        <f t="shared" ca="1" si="25"/>
        <v>97.401735579377231</v>
      </c>
      <c r="N85" s="87">
        <f t="shared" ca="1" si="26"/>
        <v>97.401735579377231</v>
      </c>
      <c r="O85" s="86">
        <f ca="1">IFERROR(__xludf.DUMMYFUNCTION("IMPORTRANGE(""https://docs.google.com/spreadsheets/d/1-uDff_7J0KD5mKrp0Vvzr7lt3OU09vwQwhkpOPPYv2Y/edit?usp=sharing"",""งบพรบ!CS85"")"),0)</f>
        <v>0</v>
      </c>
      <c r="P85" s="86">
        <f t="shared" ca="1" si="27"/>
        <v>0</v>
      </c>
      <c r="Q85" s="87">
        <f t="shared" ca="1" si="28"/>
        <v>0</v>
      </c>
      <c r="R85" s="241">
        <f ca="1">IFERROR(__xludf.DUMMYFUNCTION("IMPORTRANGE(""https://docs.google.com/spreadsheets/d/1qfrKjzMhm2HJfxQ-qVlJlJQ25Hne1d0khsySbZyGtPA/edit?usp=sharing"",""ระนอง!Q173"")"),0)</f>
        <v>0</v>
      </c>
      <c r="S85" s="242">
        <f ca="1">IFERROR(__xludf.DUMMYFUNCTION("IMPORTRANGE(""https://docs.google.com/spreadsheets/d/1qfrKjzMhm2HJfxQ-qVlJlJQ25Hne1d0khsySbZyGtPA/edit?usp=sharing"",""ระนอง!R173"")"),0)</f>
        <v>0</v>
      </c>
      <c r="T85" s="242">
        <f ca="1">IFERROR(__xludf.DUMMYFUNCTION("IMPORTRANGE(""https://docs.google.com/spreadsheets/d/1qfrKjzMhm2HJfxQ-qVlJlJQ25Hne1d0khsySbZyGtPA/edit?usp=sharing"",""ระนอง!S173"")"),0)</f>
        <v>0</v>
      </c>
      <c r="U85" s="243">
        <f t="shared" ca="1" si="30"/>
        <v>0</v>
      </c>
      <c r="V85" s="243">
        <f t="shared" ca="1" si="31"/>
        <v>0</v>
      </c>
      <c r="W85" s="97">
        <f ca="1">IFERROR(__xludf.DUMMYFUNCTION("IMPORTRANGE(""https://docs.google.com/spreadsheets/d/1qfrKjzMhm2HJfxQ-qVlJlJQ25Hne1d0khsySbZyGtPA/edit?usp=sharing"",""ระนอง!I183"")"),7)</f>
        <v>7</v>
      </c>
      <c r="X85" s="97">
        <f ca="1">IFERROR(__xludf.DUMMYFUNCTION("IMPORTRANGE(""https://docs.google.com/spreadsheets/d/1qfrKjzMhm2HJfxQ-qVlJlJQ25Hne1d0khsySbZyGtPA/edit?usp=sharing"",""ระนอง!J183"")"),7)</f>
        <v>7</v>
      </c>
      <c r="Y85" s="98">
        <f t="shared" ca="1" si="33"/>
        <v>100</v>
      </c>
      <c r="Z85" s="269">
        <v>0</v>
      </c>
      <c r="AA85" s="269">
        <v>0</v>
      </c>
      <c r="AB85" s="270">
        <v>0</v>
      </c>
    </row>
    <row r="86" spans="1:28" ht="24" customHeight="1" x14ac:dyDescent="0.3">
      <c r="A86" s="89">
        <v>12</v>
      </c>
      <c r="B86" s="90" t="s">
        <v>112</v>
      </c>
      <c r="C86" s="174">
        <f t="shared" ca="1" si="21"/>
        <v>19590</v>
      </c>
      <c r="D86" s="175">
        <f t="shared" ca="1" si="46"/>
        <v>19590</v>
      </c>
      <c r="E86" s="176">
        <f ca="1">IFERROR(__xludf.DUMMYFUNCTION("IMPORTRANGE(""https://docs.google.com/spreadsheets/d/1-uDff_7J0KD5mKrp0Vvzr7lt3OU09vwQwhkpOPPYv2Y/edit?usp=sharing"",""งบพรบ!CL86"")"),0)</f>
        <v>0</v>
      </c>
      <c r="F86" s="176">
        <f ca="1">IFERROR(__xludf.DUMMYFUNCTION("IMPORTRANGE(""https://docs.google.com/spreadsheets/d/1-uDff_7J0KD5mKrp0Vvzr7lt3OU09vwQwhkpOPPYv2Y/edit?usp=sharing"",""งบพรบ!CM86"")"),19590)</f>
        <v>19590</v>
      </c>
      <c r="G86" s="176">
        <f ca="1">IFERROR(__xludf.DUMMYFUNCTION("IMPORTRANGE(""https://docs.google.com/spreadsheets/d/1-uDff_7J0KD5mKrp0Vvzr7lt3OU09vwQwhkpOPPYv2Y/edit?usp=sharing"",""งบพรบ!CN86"")"),0)</f>
        <v>0</v>
      </c>
      <c r="H86" s="176">
        <f ca="1">IFERROR(__xludf.DUMMYFUNCTION("IMPORTRANGE(""https://docs.google.com/spreadsheets/d/1-uDff_7J0KD5mKrp0Vvzr7lt3OU09vwQwhkpOPPYv2Y/edit?usp=sharing"",""งบพรบ!CP86"")"),19590)</f>
        <v>19590</v>
      </c>
      <c r="I86" s="176">
        <f ca="1">IFERROR(__xludf.DUMMYFUNCTION("IMPORTRANGE(""https://docs.google.com/spreadsheets/d/1-uDff_7J0KD5mKrp0Vvzr7lt3OU09vwQwhkpOPPYv2Y/edit?usp=sharing"",""งบพรบ!CQ86"")"),0)</f>
        <v>0</v>
      </c>
      <c r="J86" s="176">
        <f t="shared" ca="1" si="23"/>
        <v>16570</v>
      </c>
      <c r="K86" s="179">
        <f t="shared" ca="1" si="24"/>
        <v>84.583971413986731</v>
      </c>
      <c r="L86" s="176">
        <f ca="1">IFERROR(__xludf.DUMMYFUNCTION("IMPORTRANGE(""https://docs.google.com/spreadsheets/d/1-uDff_7J0KD5mKrp0Vvzr7lt3OU09vwQwhkpOPPYv2Y/edit?usp=sharing"",""งบพรบ!CR86"")"),16570)</f>
        <v>16570</v>
      </c>
      <c r="M86" s="87">
        <f t="shared" ca="1" si="25"/>
        <v>84.583971413986731</v>
      </c>
      <c r="N86" s="87">
        <f t="shared" ca="1" si="26"/>
        <v>84.583971413986731</v>
      </c>
      <c r="O86" s="86">
        <f ca="1">IFERROR(__xludf.DUMMYFUNCTION("IMPORTRANGE(""https://docs.google.com/spreadsheets/d/1-uDff_7J0KD5mKrp0Vvzr7lt3OU09vwQwhkpOPPYv2Y/edit?usp=sharing"",""งบพรบ!CS86"")"),0)</f>
        <v>0</v>
      </c>
      <c r="P86" s="86">
        <f t="shared" ca="1" si="27"/>
        <v>0</v>
      </c>
      <c r="Q86" s="87">
        <f t="shared" ca="1" si="28"/>
        <v>0</v>
      </c>
      <c r="R86" s="241">
        <f ca="1">IFERROR(__xludf.DUMMYFUNCTION("IMPORTRANGE(""https://docs.google.com/spreadsheets/d/1IbSCnFOKpZsnFogBHJnL_isstZVaOMnFiIN0fGTPZZw/edit?usp=sharing"",""สงขลา!Q173"")"),0)</f>
        <v>0</v>
      </c>
      <c r="S86" s="242">
        <f ca="1">IFERROR(__xludf.DUMMYFUNCTION("IMPORTRANGE(""https://docs.google.com/spreadsheets/d/1IbSCnFOKpZsnFogBHJnL_isstZVaOMnFiIN0fGTPZZw/edit?usp=sharing"",""สงขลา!R173"")"),0)</f>
        <v>0</v>
      </c>
      <c r="T86" s="242">
        <f ca="1">IFERROR(__xludf.DUMMYFUNCTION("IMPORTRANGE(""https://docs.google.com/spreadsheets/d/1IbSCnFOKpZsnFogBHJnL_isstZVaOMnFiIN0fGTPZZw/edit?usp=sharing"",""สงขลา!S173"")"),0)</f>
        <v>0</v>
      </c>
      <c r="U86" s="243">
        <f t="shared" ca="1" si="30"/>
        <v>0</v>
      </c>
      <c r="V86" s="243">
        <f t="shared" ca="1" si="31"/>
        <v>0</v>
      </c>
      <c r="W86" s="97">
        <f ca="1">IFERROR(__xludf.DUMMYFUNCTION("IMPORTRANGE(""https://docs.google.com/spreadsheets/d/1IbSCnFOKpZsnFogBHJnL_isstZVaOMnFiIN0fGTPZZw/edit?usp=sharing"",""สงขลา!I183"")"),7)</f>
        <v>7</v>
      </c>
      <c r="X86" s="97">
        <f ca="1">IFERROR(__xludf.DUMMYFUNCTION("IMPORTRANGE(""https://docs.google.com/spreadsheets/d/1IbSCnFOKpZsnFogBHJnL_isstZVaOMnFiIN0fGTPZZw/edit?usp=sharing"",""สงขลา!J183"")"),0)</f>
        <v>0</v>
      </c>
      <c r="Y86" s="98">
        <f t="shared" ca="1" si="33"/>
        <v>0</v>
      </c>
      <c r="Z86" s="269">
        <v>0</v>
      </c>
      <c r="AA86" s="269">
        <v>0</v>
      </c>
      <c r="AB86" s="270">
        <v>0</v>
      </c>
    </row>
    <row r="87" spans="1:28" ht="24" customHeight="1" x14ac:dyDescent="0.3">
      <c r="A87" s="89">
        <v>13</v>
      </c>
      <c r="B87" s="90" t="s">
        <v>113</v>
      </c>
      <c r="C87" s="174">
        <f t="shared" ca="1" si="21"/>
        <v>19590</v>
      </c>
      <c r="D87" s="175">
        <f t="shared" ca="1" si="46"/>
        <v>19590</v>
      </c>
      <c r="E87" s="176">
        <f ca="1">IFERROR(__xludf.DUMMYFUNCTION("IMPORTRANGE(""https://docs.google.com/spreadsheets/d/1-uDff_7J0KD5mKrp0Vvzr7lt3OU09vwQwhkpOPPYv2Y/edit?usp=sharing"",""งบพรบ!CL87"")"),0)</f>
        <v>0</v>
      </c>
      <c r="F87" s="176">
        <f ca="1">IFERROR(__xludf.DUMMYFUNCTION("IMPORTRANGE(""https://docs.google.com/spreadsheets/d/1-uDff_7J0KD5mKrp0Vvzr7lt3OU09vwQwhkpOPPYv2Y/edit?usp=sharing"",""งบพรบ!CM87"")"),19590)</f>
        <v>19590</v>
      </c>
      <c r="G87" s="176">
        <f ca="1">IFERROR(__xludf.DUMMYFUNCTION("IMPORTRANGE(""https://docs.google.com/spreadsheets/d/1-uDff_7J0KD5mKrp0Vvzr7lt3OU09vwQwhkpOPPYv2Y/edit?usp=sharing"",""งบพรบ!CN87"")"),0)</f>
        <v>0</v>
      </c>
      <c r="H87" s="176">
        <f ca="1">IFERROR(__xludf.DUMMYFUNCTION("IMPORTRANGE(""https://docs.google.com/spreadsheets/d/1-uDff_7J0KD5mKrp0Vvzr7lt3OU09vwQwhkpOPPYv2Y/edit?usp=sharing"",""งบพรบ!CP87"")"),19590)</f>
        <v>19590</v>
      </c>
      <c r="I87" s="176">
        <f ca="1">IFERROR(__xludf.DUMMYFUNCTION("IMPORTRANGE(""https://docs.google.com/spreadsheets/d/1-uDff_7J0KD5mKrp0Vvzr7lt3OU09vwQwhkpOPPYv2Y/edit?usp=sharing"",""งบพรบ!CQ87"")"),0)</f>
        <v>0</v>
      </c>
      <c r="J87" s="176">
        <f t="shared" ca="1" si="23"/>
        <v>19590</v>
      </c>
      <c r="K87" s="179">
        <f t="shared" ca="1" si="24"/>
        <v>100</v>
      </c>
      <c r="L87" s="176">
        <f ca="1">IFERROR(__xludf.DUMMYFUNCTION("IMPORTRANGE(""https://docs.google.com/spreadsheets/d/1-uDff_7J0KD5mKrp0Vvzr7lt3OU09vwQwhkpOPPYv2Y/edit?usp=sharing"",""งบพรบ!CR87"")"),19590)</f>
        <v>19590</v>
      </c>
      <c r="M87" s="87">
        <f t="shared" ca="1" si="25"/>
        <v>100</v>
      </c>
      <c r="N87" s="87">
        <f t="shared" ca="1" si="26"/>
        <v>100</v>
      </c>
      <c r="O87" s="86">
        <f ca="1">IFERROR(__xludf.DUMMYFUNCTION("IMPORTRANGE(""https://docs.google.com/spreadsheets/d/1-uDff_7J0KD5mKrp0Vvzr7lt3OU09vwQwhkpOPPYv2Y/edit?usp=sharing"",""งบพรบ!CS87"")"),0)</f>
        <v>0</v>
      </c>
      <c r="P87" s="86">
        <f t="shared" ca="1" si="27"/>
        <v>0</v>
      </c>
      <c r="Q87" s="87">
        <f t="shared" ca="1" si="28"/>
        <v>0</v>
      </c>
      <c r="R87" s="241">
        <f ca="1">IFERROR(__xludf.DUMMYFUNCTION("IMPORTRANGE(""https://docs.google.com/spreadsheets/d/1q9nWasZJ-K8bFGvbE9n0qSRuKGA4Toe3Y89cKCiVtCU/edit?usp=sharing"",""สตูล!Q173"")"),0)</f>
        <v>0</v>
      </c>
      <c r="S87" s="242">
        <f ca="1">IFERROR(__xludf.DUMMYFUNCTION("IMPORTRANGE(""https://docs.google.com/spreadsheets/d/1q9nWasZJ-K8bFGvbE9n0qSRuKGA4Toe3Y89cKCiVtCU/edit?usp=sharing"",""สตูล!R173"")"),0)</f>
        <v>0</v>
      </c>
      <c r="T87" s="242">
        <f ca="1">IFERROR(__xludf.DUMMYFUNCTION("IMPORTRANGE(""https://docs.google.com/spreadsheets/d/1q9nWasZJ-K8bFGvbE9n0qSRuKGA4Toe3Y89cKCiVtCU/edit?usp=sharing"",""สตูล!S173"")"),0)</f>
        <v>0</v>
      </c>
      <c r="U87" s="243">
        <f t="shared" ca="1" si="30"/>
        <v>0</v>
      </c>
      <c r="V87" s="243">
        <f t="shared" ca="1" si="31"/>
        <v>0</v>
      </c>
      <c r="W87" s="97">
        <f ca="1">IFERROR(__xludf.DUMMYFUNCTION("IMPORTRANGE(""https://docs.google.com/spreadsheets/d/1q9nWasZJ-K8bFGvbE9n0qSRuKGA4Toe3Y89cKCiVtCU/edit?usp=sharing"",""สตูล!I183"")"),7)</f>
        <v>7</v>
      </c>
      <c r="X87" s="97">
        <f ca="1">IFERROR(__xludf.DUMMYFUNCTION("IMPORTRANGE(""https://docs.google.com/spreadsheets/d/1q9nWasZJ-K8bFGvbE9n0qSRuKGA4Toe3Y89cKCiVtCU/edit?usp=sharing"",""สตูล!J183"")"),7)</f>
        <v>7</v>
      </c>
      <c r="Y87" s="98">
        <f t="shared" ca="1" si="33"/>
        <v>100</v>
      </c>
      <c r="Z87" s="269">
        <v>0</v>
      </c>
      <c r="AA87" s="269">
        <v>0</v>
      </c>
      <c r="AB87" s="270">
        <v>0</v>
      </c>
    </row>
    <row r="88" spans="1:28" ht="24" customHeight="1" x14ac:dyDescent="0.3">
      <c r="A88" s="100">
        <v>14</v>
      </c>
      <c r="B88" s="101" t="s">
        <v>114</v>
      </c>
      <c r="C88" s="182">
        <f t="shared" ca="1" si="21"/>
        <v>19590</v>
      </c>
      <c r="D88" s="183">
        <f t="shared" ca="1" si="46"/>
        <v>19590</v>
      </c>
      <c r="E88" s="184">
        <f ca="1">IFERROR(__xludf.DUMMYFUNCTION("IMPORTRANGE(""https://docs.google.com/spreadsheets/d/1-uDff_7J0KD5mKrp0Vvzr7lt3OU09vwQwhkpOPPYv2Y/edit?usp=sharing"",""งบพรบ!CL88"")"),0)</f>
        <v>0</v>
      </c>
      <c r="F88" s="184">
        <f ca="1">IFERROR(__xludf.DUMMYFUNCTION("IMPORTRANGE(""https://docs.google.com/spreadsheets/d/1-uDff_7J0KD5mKrp0Vvzr7lt3OU09vwQwhkpOPPYv2Y/edit?usp=sharing"",""งบพรบ!CM88"")"),19590)</f>
        <v>19590</v>
      </c>
      <c r="G88" s="184">
        <f ca="1">IFERROR(__xludf.DUMMYFUNCTION("IMPORTRANGE(""https://docs.google.com/spreadsheets/d/1-uDff_7J0KD5mKrp0Vvzr7lt3OU09vwQwhkpOPPYv2Y/edit?usp=sharing"",""งบพรบ!CN88"")"),0)</f>
        <v>0</v>
      </c>
      <c r="H88" s="184">
        <f ca="1">IFERROR(__xludf.DUMMYFUNCTION("IMPORTRANGE(""https://docs.google.com/spreadsheets/d/1-uDff_7J0KD5mKrp0Vvzr7lt3OU09vwQwhkpOPPYv2Y/edit?usp=sharing"",""งบพรบ!CP88"")"),19590)</f>
        <v>19590</v>
      </c>
      <c r="I88" s="184">
        <f ca="1">IFERROR(__xludf.DUMMYFUNCTION("IMPORTRANGE(""https://docs.google.com/spreadsheets/d/1-uDff_7J0KD5mKrp0Vvzr7lt3OU09vwQwhkpOPPYv2Y/edit?usp=sharing"",""งบพรบ!CQ88"")"),0)</f>
        <v>0</v>
      </c>
      <c r="J88" s="184">
        <f t="shared" ca="1" si="23"/>
        <v>15522</v>
      </c>
      <c r="K88" s="185">
        <f t="shared" ca="1" si="24"/>
        <v>79.234303215926488</v>
      </c>
      <c r="L88" s="184">
        <f ca="1">IFERROR(__xludf.DUMMYFUNCTION("IMPORTRANGE(""https://docs.google.com/spreadsheets/d/1-uDff_7J0KD5mKrp0Vvzr7lt3OU09vwQwhkpOPPYv2Y/edit?usp=sharing"",""งบพรบ!CR88"")"),15522)</f>
        <v>15522</v>
      </c>
      <c r="M88" s="109">
        <f t="shared" ca="1" si="25"/>
        <v>79.234303215926488</v>
      </c>
      <c r="N88" s="109">
        <f t="shared" ca="1" si="26"/>
        <v>79.234303215926488</v>
      </c>
      <c r="O88" s="108">
        <f ca="1">IFERROR(__xludf.DUMMYFUNCTION("IMPORTRANGE(""https://docs.google.com/spreadsheets/d/1-uDff_7J0KD5mKrp0Vvzr7lt3OU09vwQwhkpOPPYv2Y/edit?usp=sharing"",""งบพรบ!CS88"")"),0)</f>
        <v>0</v>
      </c>
      <c r="P88" s="108">
        <f t="shared" ca="1" si="27"/>
        <v>0</v>
      </c>
      <c r="Q88" s="109">
        <f t="shared" ca="1" si="28"/>
        <v>0</v>
      </c>
      <c r="R88" s="244">
        <f ca="1">IFERROR(__xludf.DUMMYFUNCTION("IMPORTRANGE(""https://docs.google.com/spreadsheets/d/18T20gbkS_WBjdscyTOV05cvq_JqvqQ17C81mpxf7Ncs/edit?usp=sharing"",""สุราษฎร์ธานี!Q173"")"),0)</f>
        <v>0</v>
      </c>
      <c r="S88" s="245">
        <f ca="1">IFERROR(__xludf.DUMMYFUNCTION("IMPORTRANGE(""https://docs.google.com/spreadsheets/d/18T20gbkS_WBjdscyTOV05cvq_JqvqQ17C81mpxf7Ncs/edit?usp=sharing"",""สุราษฎร์ธานี!R173"")"),0)</f>
        <v>0</v>
      </c>
      <c r="T88" s="245">
        <f ca="1">IFERROR(__xludf.DUMMYFUNCTION("IMPORTRANGE(""https://docs.google.com/spreadsheets/d/18T20gbkS_WBjdscyTOV05cvq_JqvqQ17C81mpxf7Ncs/edit?usp=sharing"",""สุราษฎร์ธานี!S173"")"),0)</f>
        <v>0</v>
      </c>
      <c r="U88" s="246">
        <f t="shared" ca="1" si="30"/>
        <v>0</v>
      </c>
      <c r="V88" s="246">
        <f t="shared" ca="1" si="31"/>
        <v>0</v>
      </c>
      <c r="W88" s="110">
        <f ca="1">IFERROR(__xludf.DUMMYFUNCTION("IMPORTRANGE(""https://docs.google.com/spreadsheets/d/18T20gbkS_WBjdscyTOV05cvq_JqvqQ17C81mpxf7Ncs/edit?usp=sharing"",""สุราษฎร์ธานี!I183"")"),7)</f>
        <v>7</v>
      </c>
      <c r="X88" s="110">
        <f ca="1">IFERROR(__xludf.DUMMYFUNCTION("IMPORTRANGE(""https://docs.google.com/spreadsheets/d/18T20gbkS_WBjdscyTOV05cvq_JqvqQ17C81mpxf7Ncs/edit?usp=sharing"",""สุราษฎร์ธานี!J183"")"),7)</f>
        <v>7</v>
      </c>
      <c r="Y88" s="111">
        <f t="shared" ca="1" si="33"/>
        <v>100</v>
      </c>
      <c r="Z88" s="271">
        <v>0</v>
      </c>
      <c r="AA88" s="271">
        <v>0</v>
      </c>
      <c r="AB88" s="272">
        <v>0</v>
      </c>
    </row>
    <row r="89" spans="1:28" ht="21" hidden="1" customHeight="1" x14ac:dyDescent="0.3">
      <c r="A89" s="632" t="s">
        <v>115</v>
      </c>
      <c r="B89" s="633"/>
      <c r="C89" s="46">
        <f t="shared" ref="C89:T89" ca="1" si="47">SUM(C90:C106)</f>
        <v>13701400</v>
      </c>
      <c r="D89" s="45">
        <f t="shared" ca="1" si="47"/>
        <v>13701400</v>
      </c>
      <c r="E89" s="45">
        <f t="shared" ca="1" si="47"/>
        <v>6756900</v>
      </c>
      <c r="F89" s="45">
        <f t="shared" ca="1" si="47"/>
        <v>6944500</v>
      </c>
      <c r="G89" s="45">
        <f t="shared" ca="1" si="47"/>
        <v>0</v>
      </c>
      <c r="H89" s="45">
        <f t="shared" ca="1" si="47"/>
        <v>12509400</v>
      </c>
      <c r="I89" s="45">
        <f t="shared" ca="1" si="47"/>
        <v>0</v>
      </c>
      <c r="J89" s="45">
        <f t="shared" ca="1" si="47"/>
        <v>6002037</v>
      </c>
      <c r="K89" s="47">
        <f t="shared" ca="1" si="47"/>
        <v>133.74250534066752</v>
      </c>
      <c r="L89" s="45">
        <f t="shared" ca="1" si="47"/>
        <v>6002037</v>
      </c>
      <c r="M89" s="47">
        <f t="shared" ca="1" si="47"/>
        <v>133.74250534066752</v>
      </c>
      <c r="N89" s="47">
        <f t="shared" ca="1" si="47"/>
        <v>209.24913994735562</v>
      </c>
      <c r="O89" s="45">
        <f t="shared" ca="1" si="47"/>
        <v>0</v>
      </c>
      <c r="P89" s="45">
        <f t="shared" ca="1" si="47"/>
        <v>0</v>
      </c>
      <c r="Q89" s="45">
        <f t="shared" ca="1" si="47"/>
        <v>0</v>
      </c>
      <c r="R89" s="247">
        <f t="shared" si="47"/>
        <v>0</v>
      </c>
      <c r="S89" s="164">
        <f t="shared" si="47"/>
        <v>0</v>
      </c>
      <c r="T89" s="164">
        <f t="shared" si="47"/>
        <v>0</v>
      </c>
      <c r="U89" s="164">
        <f t="shared" si="30"/>
        <v>0</v>
      </c>
      <c r="V89" s="164">
        <f t="shared" si="31"/>
        <v>0</v>
      </c>
      <c r="W89" s="45"/>
      <c r="X89" s="45"/>
      <c r="Y89" s="48"/>
      <c r="Z89" s="273"/>
      <c r="AA89" s="273"/>
      <c r="AB89" s="237"/>
    </row>
    <row r="90" spans="1:28" ht="24" hidden="1" customHeight="1" x14ac:dyDescent="0.3">
      <c r="A90" s="197"/>
      <c r="B90" s="125" t="s">
        <v>116</v>
      </c>
      <c r="C90" s="198">
        <f t="shared" ref="C90:C106" ca="1" si="48">D90+G90</f>
        <v>0</v>
      </c>
      <c r="D90" s="199">
        <f t="shared" ref="D90:D106" ca="1" si="49">+E90+F90</f>
        <v>0</v>
      </c>
      <c r="E90" s="81">
        <f ca="1">IFERROR(__xludf.DUMMYFUNCTION("IMPORTRANGE(""https://docs.google.com/spreadsheets/d/1-uDff_7J0KD5mKrp0Vvzr7lt3OU09vwQwhkpOPPYv2Y/edit?usp=sharing"",""งบพรบ!CL90"")"),0)</f>
        <v>0</v>
      </c>
      <c r="F90" s="81">
        <f ca="1">IFERROR(__xludf.DUMMYFUNCTION("IMPORTRANGE(""https://docs.google.com/spreadsheets/d/1-uDff_7J0KD5mKrp0Vvzr7lt3OU09vwQwhkpOPPYv2Y/edit?usp=sharing"",""งบพรบ!CM90"")"),0)</f>
        <v>0</v>
      </c>
      <c r="G90" s="81">
        <f ca="1">IFERROR(__xludf.DUMMYFUNCTION("IMPORTRANGE(""https://docs.google.com/spreadsheets/d/1-uDff_7J0KD5mKrp0Vvzr7lt3OU09vwQwhkpOPPYv2Y/edit?usp=sharing"",""งบพรบ!CN90"")"),0)</f>
        <v>0</v>
      </c>
      <c r="H90" s="81">
        <f ca="1">IFERROR(__xludf.DUMMYFUNCTION("IMPORTRANGE(""https://docs.google.com/spreadsheets/d/1-uDff_7J0KD5mKrp0Vvzr7lt3OU09vwQwhkpOPPYv2Y/edit?usp=sharing"",""งบพรบ!CP90"")"),0)</f>
        <v>0</v>
      </c>
      <c r="I90" s="81">
        <f ca="1">IFERROR(__xludf.DUMMYFUNCTION("IMPORTRANGE(""https://docs.google.com/spreadsheets/d/1-uDff_7J0KD5mKrp0Vvzr7lt3OU09vwQwhkpOPPYv2Y/edit?usp=sharing"",""งบพรบ!CQ90"")"),0)</f>
        <v>0</v>
      </c>
      <c r="J90" s="81">
        <f t="shared" ref="J90:J106" ca="1" si="50">L90+O90</f>
        <v>0</v>
      </c>
      <c r="K90" s="126">
        <f t="shared" ref="K90:K106" ca="1" si="51">IF(C90&gt;0,J90*100/C90,0)</f>
        <v>0</v>
      </c>
      <c r="L90" s="81">
        <f ca="1">IFERROR(__xludf.DUMMYFUNCTION("IMPORTRANGE(""https://docs.google.com/spreadsheets/d/1-uDff_7J0KD5mKrp0Vvzr7lt3OU09vwQwhkpOPPYv2Y/edit?usp=sharing"",""งบพรบ!CR90"")"),0)</f>
        <v>0</v>
      </c>
      <c r="M90" s="84">
        <f t="shared" ref="M90:M106" ca="1" si="52">IF(D90&gt;0,L90*100/D90,0)</f>
        <v>0</v>
      </c>
      <c r="N90" s="84">
        <f t="shared" ref="N90:N106" ca="1" si="53">IF(H90&gt;0,L90*100/H90,0)</f>
        <v>0</v>
      </c>
      <c r="O90" s="85">
        <f ca="1">IFERROR(__xludf.DUMMYFUNCTION("IMPORTRANGE(""https://docs.google.com/spreadsheets/d/1-uDff_7J0KD5mKrp0Vvzr7lt3OU09vwQwhkpOPPYv2Y/edit?usp=sharing"",""งบพรบ!CS90"")"),0)</f>
        <v>0</v>
      </c>
      <c r="P90" s="85">
        <f t="shared" ref="P90:P106" ca="1" si="54">IF(G90&gt;0,O90*100/G90,0)</f>
        <v>0</v>
      </c>
      <c r="Q90" s="84">
        <f t="shared" ref="Q90:Q106" ca="1" si="55">IF(I90&gt;0,O90*100/I90,0)</f>
        <v>0</v>
      </c>
      <c r="R90" s="248">
        <v>0</v>
      </c>
      <c r="S90" s="86">
        <v>0</v>
      </c>
      <c r="T90" s="86">
        <v>0</v>
      </c>
      <c r="U90" s="87">
        <f t="shared" si="30"/>
        <v>0</v>
      </c>
      <c r="V90" s="87">
        <f t="shared" si="31"/>
        <v>0</v>
      </c>
      <c r="W90" s="81"/>
      <c r="X90" s="81"/>
      <c r="Y90" s="84"/>
      <c r="Z90" s="274"/>
      <c r="AA90" s="274"/>
      <c r="AB90" s="243"/>
    </row>
    <row r="91" spans="1:28" ht="24" hidden="1" customHeight="1" x14ac:dyDescent="0.3">
      <c r="A91" s="201"/>
      <c r="B91" s="129" t="s">
        <v>117</v>
      </c>
      <c r="C91" s="202">
        <f t="shared" ca="1" si="48"/>
        <v>0</v>
      </c>
      <c r="D91" s="203">
        <f t="shared" ca="1" si="49"/>
        <v>0</v>
      </c>
      <c r="E91" s="93">
        <f ca="1">IFERROR(__xludf.DUMMYFUNCTION("IMPORTRANGE(""https://docs.google.com/spreadsheets/d/1-uDff_7J0KD5mKrp0Vvzr7lt3OU09vwQwhkpOPPYv2Y/edit?usp=sharing"",""งบพรบ!CL91"")"),0)</f>
        <v>0</v>
      </c>
      <c r="F91" s="93">
        <f ca="1">IFERROR(__xludf.DUMMYFUNCTION("IMPORTRANGE(""https://docs.google.com/spreadsheets/d/1-uDff_7J0KD5mKrp0Vvzr7lt3OU09vwQwhkpOPPYv2Y/edit?usp=sharing"",""งบพรบ!CM91"")"),0)</f>
        <v>0</v>
      </c>
      <c r="G91" s="93">
        <f ca="1">IFERROR(__xludf.DUMMYFUNCTION("IMPORTRANGE(""https://docs.google.com/spreadsheets/d/1-uDff_7J0KD5mKrp0Vvzr7lt3OU09vwQwhkpOPPYv2Y/edit?usp=sharing"",""งบพรบ!CN91"")"),0)</f>
        <v>0</v>
      </c>
      <c r="H91" s="93">
        <f ca="1">IFERROR(__xludf.DUMMYFUNCTION("IMPORTRANGE(""https://docs.google.com/spreadsheets/d/1-uDff_7J0KD5mKrp0Vvzr7lt3OU09vwQwhkpOPPYv2Y/edit?usp=sharing"",""งบพรบ!CP91"")"),0)</f>
        <v>0</v>
      </c>
      <c r="I91" s="93">
        <f ca="1">IFERROR(__xludf.DUMMYFUNCTION("IMPORTRANGE(""https://docs.google.com/spreadsheets/d/1-uDff_7J0KD5mKrp0Vvzr7lt3OU09vwQwhkpOPPYv2Y/edit?usp=sharing"",""งบพรบ!CQ91"")"),0)</f>
        <v>0</v>
      </c>
      <c r="J91" s="93">
        <f t="shared" ca="1" si="50"/>
        <v>0</v>
      </c>
      <c r="K91" s="94">
        <f t="shared" ca="1" si="51"/>
        <v>0</v>
      </c>
      <c r="L91" s="93">
        <f ca="1">IFERROR(__xludf.DUMMYFUNCTION("IMPORTRANGE(""https://docs.google.com/spreadsheets/d/1-uDff_7J0KD5mKrp0Vvzr7lt3OU09vwQwhkpOPPYv2Y/edit?usp=sharing"",""งบพรบ!CR91"")"),0)</f>
        <v>0</v>
      </c>
      <c r="M91" s="95">
        <f t="shared" ca="1" si="52"/>
        <v>0</v>
      </c>
      <c r="N91" s="95">
        <f t="shared" ca="1" si="53"/>
        <v>0</v>
      </c>
      <c r="O91" s="96">
        <f ca="1">IFERROR(__xludf.DUMMYFUNCTION("IMPORTRANGE(""https://docs.google.com/spreadsheets/d/1-uDff_7J0KD5mKrp0Vvzr7lt3OU09vwQwhkpOPPYv2Y/edit?usp=sharing"",""งบพรบ!CS91"")"),0)</f>
        <v>0</v>
      </c>
      <c r="P91" s="96">
        <f t="shared" ca="1" si="54"/>
        <v>0</v>
      </c>
      <c r="Q91" s="95">
        <f t="shared" ca="1" si="55"/>
        <v>0</v>
      </c>
      <c r="R91" s="248">
        <v>0</v>
      </c>
      <c r="S91" s="86">
        <v>0</v>
      </c>
      <c r="T91" s="86">
        <v>0</v>
      </c>
      <c r="U91" s="87">
        <f t="shared" si="30"/>
        <v>0</v>
      </c>
      <c r="V91" s="87">
        <f t="shared" si="31"/>
        <v>0</v>
      </c>
      <c r="W91" s="93"/>
      <c r="X91" s="93"/>
      <c r="Y91" s="95"/>
      <c r="Z91" s="274"/>
      <c r="AA91" s="274"/>
      <c r="AB91" s="243"/>
    </row>
    <row r="92" spans="1:28" ht="24" hidden="1" customHeight="1" x14ac:dyDescent="0.3">
      <c r="A92" s="201"/>
      <c r="B92" s="129" t="s">
        <v>118</v>
      </c>
      <c r="C92" s="202">
        <f t="shared" ca="1" si="48"/>
        <v>0</v>
      </c>
      <c r="D92" s="203">
        <f t="shared" ca="1" si="49"/>
        <v>0</v>
      </c>
      <c r="E92" s="93">
        <f ca="1">IFERROR(__xludf.DUMMYFUNCTION("IMPORTRANGE(""https://docs.google.com/spreadsheets/d/1-uDff_7J0KD5mKrp0Vvzr7lt3OU09vwQwhkpOPPYv2Y/edit?usp=sharing"",""งบพรบ!CL92"")"),0)</f>
        <v>0</v>
      </c>
      <c r="F92" s="93">
        <f ca="1">IFERROR(__xludf.DUMMYFUNCTION("IMPORTRANGE(""https://docs.google.com/spreadsheets/d/1-uDff_7J0KD5mKrp0Vvzr7lt3OU09vwQwhkpOPPYv2Y/edit?usp=sharing"",""งบพรบ!CM92"")"),0)</f>
        <v>0</v>
      </c>
      <c r="G92" s="93">
        <f ca="1">IFERROR(__xludf.DUMMYFUNCTION("IMPORTRANGE(""https://docs.google.com/spreadsheets/d/1-uDff_7J0KD5mKrp0Vvzr7lt3OU09vwQwhkpOPPYv2Y/edit?usp=sharing"",""งบพรบ!CN92"")"),0)</f>
        <v>0</v>
      </c>
      <c r="H92" s="93">
        <f ca="1">IFERROR(__xludf.DUMMYFUNCTION("IMPORTRANGE(""https://docs.google.com/spreadsheets/d/1-uDff_7J0KD5mKrp0Vvzr7lt3OU09vwQwhkpOPPYv2Y/edit?usp=sharing"",""งบพรบ!CP92"")"),0)</f>
        <v>0</v>
      </c>
      <c r="I92" s="93">
        <f ca="1">IFERROR(__xludf.DUMMYFUNCTION("IMPORTRANGE(""https://docs.google.com/spreadsheets/d/1-uDff_7J0KD5mKrp0Vvzr7lt3OU09vwQwhkpOPPYv2Y/edit?usp=sharing"",""งบพรบ!CQ92"")"),0)</f>
        <v>0</v>
      </c>
      <c r="J92" s="93">
        <f t="shared" ca="1" si="50"/>
        <v>0</v>
      </c>
      <c r="K92" s="94">
        <f t="shared" ca="1" si="51"/>
        <v>0</v>
      </c>
      <c r="L92" s="93">
        <f ca="1">IFERROR(__xludf.DUMMYFUNCTION("IMPORTRANGE(""https://docs.google.com/spreadsheets/d/1-uDff_7J0KD5mKrp0Vvzr7lt3OU09vwQwhkpOPPYv2Y/edit?usp=sharing"",""งบพรบ!CR92"")"),0)</f>
        <v>0</v>
      </c>
      <c r="M92" s="95">
        <f t="shared" ca="1" si="52"/>
        <v>0</v>
      </c>
      <c r="N92" s="95">
        <f t="shared" ca="1" si="53"/>
        <v>0</v>
      </c>
      <c r="O92" s="96">
        <f ca="1">IFERROR(__xludf.DUMMYFUNCTION("IMPORTRANGE(""https://docs.google.com/spreadsheets/d/1-uDff_7J0KD5mKrp0Vvzr7lt3OU09vwQwhkpOPPYv2Y/edit?usp=sharing"",""งบพรบ!CS92"")"),0)</f>
        <v>0</v>
      </c>
      <c r="P92" s="96">
        <f t="shared" ca="1" si="54"/>
        <v>0</v>
      </c>
      <c r="Q92" s="95">
        <f t="shared" ca="1" si="55"/>
        <v>0</v>
      </c>
      <c r="R92" s="248">
        <v>0</v>
      </c>
      <c r="S92" s="86">
        <v>0</v>
      </c>
      <c r="T92" s="86">
        <v>0</v>
      </c>
      <c r="U92" s="87">
        <f t="shared" si="30"/>
        <v>0</v>
      </c>
      <c r="V92" s="87">
        <f t="shared" si="31"/>
        <v>0</v>
      </c>
      <c r="W92" s="93"/>
      <c r="X92" s="93"/>
      <c r="Y92" s="95"/>
      <c r="Z92" s="274"/>
      <c r="AA92" s="274"/>
      <c r="AB92" s="243"/>
    </row>
    <row r="93" spans="1:28" ht="24" hidden="1" customHeight="1" x14ac:dyDescent="0.3">
      <c r="A93" s="201"/>
      <c r="B93" s="129" t="s">
        <v>119</v>
      </c>
      <c r="C93" s="202">
        <f t="shared" ca="1" si="48"/>
        <v>0</v>
      </c>
      <c r="D93" s="203">
        <f t="shared" ca="1" si="49"/>
        <v>0</v>
      </c>
      <c r="E93" s="93">
        <f ca="1">IFERROR(__xludf.DUMMYFUNCTION("IMPORTRANGE(""https://docs.google.com/spreadsheets/d/1-uDff_7J0KD5mKrp0Vvzr7lt3OU09vwQwhkpOPPYv2Y/edit?usp=sharing"",""งบพรบ!CL93"")"),0)</f>
        <v>0</v>
      </c>
      <c r="F93" s="93">
        <f ca="1">IFERROR(__xludf.DUMMYFUNCTION("IMPORTRANGE(""https://docs.google.com/spreadsheets/d/1-uDff_7J0KD5mKrp0Vvzr7lt3OU09vwQwhkpOPPYv2Y/edit?usp=sharing"",""งบพรบ!CM93"")"),0)</f>
        <v>0</v>
      </c>
      <c r="G93" s="93">
        <f ca="1">IFERROR(__xludf.DUMMYFUNCTION("IMPORTRANGE(""https://docs.google.com/spreadsheets/d/1-uDff_7J0KD5mKrp0Vvzr7lt3OU09vwQwhkpOPPYv2Y/edit?usp=sharing"",""งบพรบ!CN93"")"),0)</f>
        <v>0</v>
      </c>
      <c r="H93" s="93">
        <f ca="1">IFERROR(__xludf.DUMMYFUNCTION("IMPORTRANGE(""https://docs.google.com/spreadsheets/d/1-uDff_7J0KD5mKrp0Vvzr7lt3OU09vwQwhkpOPPYv2Y/edit?usp=sharing"",""งบพรบ!CP93"")"),725100)</f>
        <v>725100</v>
      </c>
      <c r="I93" s="93">
        <f ca="1">IFERROR(__xludf.DUMMYFUNCTION("IMPORTRANGE(""https://docs.google.com/spreadsheets/d/1-uDff_7J0KD5mKrp0Vvzr7lt3OU09vwQwhkpOPPYv2Y/edit?usp=sharing"",""งบพรบ!CQ93"")"),0)</f>
        <v>0</v>
      </c>
      <c r="J93" s="93">
        <f t="shared" ca="1" si="50"/>
        <v>595125</v>
      </c>
      <c r="K93" s="94">
        <f t="shared" ca="1" si="51"/>
        <v>0</v>
      </c>
      <c r="L93" s="93">
        <f ca="1">IFERROR(__xludf.DUMMYFUNCTION("IMPORTRANGE(""https://docs.google.com/spreadsheets/d/1-uDff_7J0KD5mKrp0Vvzr7lt3OU09vwQwhkpOPPYv2Y/edit?usp=sharing"",""งบพรบ!CR93"")"),595125)</f>
        <v>595125</v>
      </c>
      <c r="M93" s="95">
        <f t="shared" ca="1" si="52"/>
        <v>0</v>
      </c>
      <c r="N93" s="95">
        <f t="shared" ca="1" si="53"/>
        <v>82.074886222589981</v>
      </c>
      <c r="O93" s="96">
        <f ca="1">IFERROR(__xludf.DUMMYFUNCTION("IMPORTRANGE(""https://docs.google.com/spreadsheets/d/1-uDff_7J0KD5mKrp0Vvzr7lt3OU09vwQwhkpOPPYv2Y/edit?usp=sharing"",""งบพรบ!CS93"")"),0)</f>
        <v>0</v>
      </c>
      <c r="P93" s="96">
        <f t="shared" ca="1" si="54"/>
        <v>0</v>
      </c>
      <c r="Q93" s="95">
        <f t="shared" ca="1" si="55"/>
        <v>0</v>
      </c>
      <c r="R93" s="248">
        <v>0</v>
      </c>
      <c r="S93" s="86">
        <v>0</v>
      </c>
      <c r="T93" s="86">
        <v>0</v>
      </c>
      <c r="U93" s="87">
        <f t="shared" si="30"/>
        <v>0</v>
      </c>
      <c r="V93" s="87">
        <f t="shared" si="31"/>
        <v>0</v>
      </c>
      <c r="W93" s="93"/>
      <c r="X93" s="93"/>
      <c r="Y93" s="95"/>
      <c r="Z93" s="274"/>
      <c r="AA93" s="274"/>
      <c r="AB93" s="243"/>
    </row>
    <row r="94" spans="1:28" ht="24" hidden="1" customHeight="1" x14ac:dyDescent="0.3">
      <c r="A94" s="201"/>
      <c r="B94" s="129" t="s">
        <v>120</v>
      </c>
      <c r="C94" s="202">
        <f t="shared" ca="1" si="48"/>
        <v>0</v>
      </c>
      <c r="D94" s="203">
        <f t="shared" ca="1" si="49"/>
        <v>0</v>
      </c>
      <c r="E94" s="93">
        <f ca="1">IFERROR(__xludf.DUMMYFUNCTION("IMPORTRANGE(""https://docs.google.com/spreadsheets/d/1-uDff_7J0KD5mKrp0Vvzr7lt3OU09vwQwhkpOPPYv2Y/edit?usp=sharing"",""งบพรบ!CL94"")"),0)</f>
        <v>0</v>
      </c>
      <c r="F94" s="93">
        <f ca="1">IFERROR(__xludf.DUMMYFUNCTION("IMPORTRANGE(""https://docs.google.com/spreadsheets/d/1-uDff_7J0KD5mKrp0Vvzr7lt3OU09vwQwhkpOPPYv2Y/edit?usp=sharing"",""งบพรบ!CM94"")"),0)</f>
        <v>0</v>
      </c>
      <c r="G94" s="93">
        <f ca="1">IFERROR(__xludf.DUMMYFUNCTION("IMPORTRANGE(""https://docs.google.com/spreadsheets/d/1-uDff_7J0KD5mKrp0Vvzr7lt3OU09vwQwhkpOPPYv2Y/edit?usp=sharing"",""งบพรบ!CN94"")"),0)</f>
        <v>0</v>
      </c>
      <c r="H94" s="93">
        <f ca="1">IFERROR(__xludf.DUMMYFUNCTION("IMPORTRANGE(""https://docs.google.com/spreadsheets/d/1-uDff_7J0KD5mKrp0Vvzr7lt3OU09vwQwhkpOPPYv2Y/edit?usp=sharing"",""งบพรบ!CP94"")"),0)</f>
        <v>0</v>
      </c>
      <c r="I94" s="93">
        <f ca="1">IFERROR(__xludf.DUMMYFUNCTION("IMPORTRANGE(""https://docs.google.com/spreadsheets/d/1-uDff_7J0KD5mKrp0Vvzr7lt3OU09vwQwhkpOPPYv2Y/edit?usp=sharing"",""งบพรบ!CQ94"")"),0)</f>
        <v>0</v>
      </c>
      <c r="J94" s="93">
        <f t="shared" ca="1" si="50"/>
        <v>0</v>
      </c>
      <c r="K94" s="94">
        <f t="shared" ca="1" si="51"/>
        <v>0</v>
      </c>
      <c r="L94" s="93">
        <f ca="1">IFERROR(__xludf.DUMMYFUNCTION("IMPORTRANGE(""https://docs.google.com/spreadsheets/d/1-uDff_7J0KD5mKrp0Vvzr7lt3OU09vwQwhkpOPPYv2Y/edit?usp=sharing"",""งบพรบ!CR94"")"),0)</f>
        <v>0</v>
      </c>
      <c r="M94" s="95">
        <f t="shared" ca="1" si="52"/>
        <v>0</v>
      </c>
      <c r="N94" s="95">
        <f t="shared" ca="1" si="53"/>
        <v>0</v>
      </c>
      <c r="O94" s="96">
        <f ca="1">IFERROR(__xludf.DUMMYFUNCTION("IMPORTRANGE(""https://docs.google.com/spreadsheets/d/1-uDff_7J0KD5mKrp0Vvzr7lt3OU09vwQwhkpOPPYv2Y/edit?usp=sharing"",""งบพรบ!CS94"")"),0)</f>
        <v>0</v>
      </c>
      <c r="P94" s="96">
        <f t="shared" ca="1" si="54"/>
        <v>0</v>
      </c>
      <c r="Q94" s="95">
        <f t="shared" ca="1" si="55"/>
        <v>0</v>
      </c>
      <c r="R94" s="248">
        <v>0</v>
      </c>
      <c r="S94" s="86">
        <v>0</v>
      </c>
      <c r="T94" s="86">
        <v>0</v>
      </c>
      <c r="U94" s="87">
        <f t="shared" si="30"/>
        <v>0</v>
      </c>
      <c r="V94" s="87">
        <f t="shared" si="31"/>
        <v>0</v>
      </c>
      <c r="W94" s="93"/>
      <c r="X94" s="93"/>
      <c r="Y94" s="95"/>
      <c r="Z94" s="274"/>
      <c r="AA94" s="274"/>
      <c r="AB94" s="243"/>
    </row>
    <row r="95" spans="1:28" ht="24" hidden="1" customHeight="1" x14ac:dyDescent="0.3">
      <c r="A95" s="201"/>
      <c r="B95" s="129" t="s">
        <v>121</v>
      </c>
      <c r="C95" s="202">
        <f t="shared" ca="1" si="48"/>
        <v>0</v>
      </c>
      <c r="D95" s="203">
        <f t="shared" ca="1" si="49"/>
        <v>0</v>
      </c>
      <c r="E95" s="93">
        <f ca="1">IFERROR(__xludf.DUMMYFUNCTION("IMPORTRANGE(""https://docs.google.com/spreadsheets/d/1-uDff_7J0KD5mKrp0Vvzr7lt3OU09vwQwhkpOPPYv2Y/edit?usp=sharing"",""งบพรบ!CL95"")"),0)</f>
        <v>0</v>
      </c>
      <c r="F95" s="93">
        <f ca="1">IFERROR(__xludf.DUMMYFUNCTION("IMPORTRANGE(""https://docs.google.com/spreadsheets/d/1-uDff_7J0KD5mKrp0Vvzr7lt3OU09vwQwhkpOPPYv2Y/edit?usp=sharing"",""งบพรบ!CM95"")"),0)</f>
        <v>0</v>
      </c>
      <c r="G95" s="93">
        <f ca="1">IFERROR(__xludf.DUMMYFUNCTION("IMPORTRANGE(""https://docs.google.com/spreadsheets/d/1-uDff_7J0KD5mKrp0Vvzr7lt3OU09vwQwhkpOPPYv2Y/edit?usp=sharing"",""งบพรบ!CN95"")"),0)</f>
        <v>0</v>
      </c>
      <c r="H95" s="93">
        <f ca="1">IFERROR(__xludf.DUMMYFUNCTION("IMPORTRANGE(""https://docs.google.com/spreadsheets/d/1-uDff_7J0KD5mKrp0Vvzr7lt3OU09vwQwhkpOPPYv2Y/edit?usp=sharing"",""งบพรบ!CP95"")"),0)</f>
        <v>0</v>
      </c>
      <c r="I95" s="93">
        <f ca="1">IFERROR(__xludf.DUMMYFUNCTION("IMPORTRANGE(""https://docs.google.com/spreadsheets/d/1-uDff_7J0KD5mKrp0Vvzr7lt3OU09vwQwhkpOPPYv2Y/edit?usp=sharing"",""งบพรบ!CQ95"")"),0)</f>
        <v>0</v>
      </c>
      <c r="J95" s="93">
        <f t="shared" ca="1" si="50"/>
        <v>0</v>
      </c>
      <c r="K95" s="94">
        <f t="shared" ca="1" si="51"/>
        <v>0</v>
      </c>
      <c r="L95" s="93">
        <f ca="1">IFERROR(__xludf.DUMMYFUNCTION("IMPORTRANGE(""https://docs.google.com/spreadsheets/d/1-uDff_7J0KD5mKrp0Vvzr7lt3OU09vwQwhkpOPPYv2Y/edit?usp=sharing"",""งบพรบ!CR95"")"),0)</f>
        <v>0</v>
      </c>
      <c r="M95" s="95">
        <f t="shared" ca="1" si="52"/>
        <v>0</v>
      </c>
      <c r="N95" s="95">
        <f t="shared" ca="1" si="53"/>
        <v>0</v>
      </c>
      <c r="O95" s="96">
        <f ca="1">IFERROR(__xludf.DUMMYFUNCTION("IMPORTRANGE(""https://docs.google.com/spreadsheets/d/1-uDff_7J0KD5mKrp0Vvzr7lt3OU09vwQwhkpOPPYv2Y/edit?usp=sharing"",""งบพรบ!CS95"")"),0)</f>
        <v>0</v>
      </c>
      <c r="P95" s="96">
        <f t="shared" ca="1" si="54"/>
        <v>0</v>
      </c>
      <c r="Q95" s="95">
        <f t="shared" ca="1" si="55"/>
        <v>0</v>
      </c>
      <c r="R95" s="248">
        <v>0</v>
      </c>
      <c r="S95" s="86">
        <v>0</v>
      </c>
      <c r="T95" s="86">
        <v>0</v>
      </c>
      <c r="U95" s="87">
        <f t="shared" si="30"/>
        <v>0</v>
      </c>
      <c r="V95" s="87">
        <f t="shared" si="31"/>
        <v>0</v>
      </c>
      <c r="W95" s="93"/>
      <c r="X95" s="93"/>
      <c r="Y95" s="95"/>
      <c r="Z95" s="274"/>
      <c r="AA95" s="274"/>
      <c r="AB95" s="243"/>
    </row>
    <row r="96" spans="1:28" ht="24" hidden="1" customHeight="1" x14ac:dyDescent="0.3">
      <c r="A96" s="201"/>
      <c r="B96" s="129" t="s">
        <v>122</v>
      </c>
      <c r="C96" s="202">
        <f t="shared" ca="1" si="48"/>
        <v>0</v>
      </c>
      <c r="D96" s="203">
        <f t="shared" ca="1" si="49"/>
        <v>0</v>
      </c>
      <c r="E96" s="93">
        <f ca="1">IFERROR(__xludf.DUMMYFUNCTION("IMPORTRANGE(""https://docs.google.com/spreadsheets/d/1-uDff_7J0KD5mKrp0Vvzr7lt3OU09vwQwhkpOPPYv2Y/edit?usp=sharing"",""งบพรบ!CL96"")"),0)</f>
        <v>0</v>
      </c>
      <c r="F96" s="93">
        <f ca="1">IFERROR(__xludf.DUMMYFUNCTION("IMPORTRANGE(""https://docs.google.com/spreadsheets/d/1-uDff_7J0KD5mKrp0Vvzr7lt3OU09vwQwhkpOPPYv2Y/edit?usp=sharing"",""งบพรบ!CM96"")"),0)</f>
        <v>0</v>
      </c>
      <c r="G96" s="93">
        <f ca="1">IFERROR(__xludf.DUMMYFUNCTION("IMPORTRANGE(""https://docs.google.com/spreadsheets/d/1-uDff_7J0KD5mKrp0Vvzr7lt3OU09vwQwhkpOPPYv2Y/edit?usp=sharing"",""งบพรบ!CN96"")"),0)</f>
        <v>0</v>
      </c>
      <c r="H96" s="93">
        <f ca="1">IFERROR(__xludf.DUMMYFUNCTION("IMPORTRANGE(""https://docs.google.com/spreadsheets/d/1-uDff_7J0KD5mKrp0Vvzr7lt3OU09vwQwhkpOPPYv2Y/edit?usp=sharing"",""งบพรบ!CP96"")"),0)</f>
        <v>0</v>
      </c>
      <c r="I96" s="93">
        <f ca="1">IFERROR(__xludf.DUMMYFUNCTION("IMPORTRANGE(""https://docs.google.com/spreadsheets/d/1-uDff_7J0KD5mKrp0Vvzr7lt3OU09vwQwhkpOPPYv2Y/edit?usp=sharing"",""งบพรบ!CQ96"")"),0)</f>
        <v>0</v>
      </c>
      <c r="J96" s="93">
        <f t="shared" ca="1" si="50"/>
        <v>0</v>
      </c>
      <c r="K96" s="94">
        <f t="shared" ca="1" si="51"/>
        <v>0</v>
      </c>
      <c r="L96" s="93">
        <f ca="1">IFERROR(__xludf.DUMMYFUNCTION("IMPORTRANGE(""https://docs.google.com/spreadsheets/d/1-uDff_7J0KD5mKrp0Vvzr7lt3OU09vwQwhkpOPPYv2Y/edit?usp=sharing"",""งบพรบ!CR96"")"),0)</f>
        <v>0</v>
      </c>
      <c r="M96" s="95">
        <f t="shared" ca="1" si="52"/>
        <v>0</v>
      </c>
      <c r="N96" s="95">
        <f t="shared" ca="1" si="53"/>
        <v>0</v>
      </c>
      <c r="O96" s="96">
        <f ca="1">IFERROR(__xludf.DUMMYFUNCTION("IMPORTRANGE(""https://docs.google.com/spreadsheets/d/1-uDff_7J0KD5mKrp0Vvzr7lt3OU09vwQwhkpOPPYv2Y/edit?usp=sharing"",""งบพรบ!CS96"")"),0)</f>
        <v>0</v>
      </c>
      <c r="P96" s="96">
        <f t="shared" ca="1" si="54"/>
        <v>0</v>
      </c>
      <c r="Q96" s="95">
        <f t="shared" ca="1" si="55"/>
        <v>0</v>
      </c>
      <c r="R96" s="248">
        <v>0</v>
      </c>
      <c r="S96" s="86">
        <v>0</v>
      </c>
      <c r="T96" s="86">
        <v>0</v>
      </c>
      <c r="U96" s="87">
        <f t="shared" si="30"/>
        <v>0</v>
      </c>
      <c r="V96" s="87">
        <f t="shared" si="31"/>
        <v>0</v>
      </c>
      <c r="W96" s="93"/>
      <c r="X96" s="93"/>
      <c r="Y96" s="95"/>
      <c r="Z96" s="274"/>
      <c r="AA96" s="274"/>
      <c r="AB96" s="243"/>
    </row>
    <row r="97" spans="1:28" ht="24" hidden="1" customHeight="1" x14ac:dyDescent="0.3">
      <c r="A97" s="201"/>
      <c r="B97" s="129" t="s">
        <v>123</v>
      </c>
      <c r="C97" s="202">
        <f t="shared" ca="1" si="48"/>
        <v>0</v>
      </c>
      <c r="D97" s="203">
        <f t="shared" ca="1" si="49"/>
        <v>0</v>
      </c>
      <c r="E97" s="93">
        <f ca="1">IFERROR(__xludf.DUMMYFUNCTION("IMPORTRANGE(""https://docs.google.com/spreadsheets/d/1-uDff_7J0KD5mKrp0Vvzr7lt3OU09vwQwhkpOPPYv2Y/edit?usp=sharing"",""งบพรบ!CL97"")"),0)</f>
        <v>0</v>
      </c>
      <c r="F97" s="93">
        <f ca="1">IFERROR(__xludf.DUMMYFUNCTION("IMPORTRANGE(""https://docs.google.com/spreadsheets/d/1-uDff_7J0KD5mKrp0Vvzr7lt3OU09vwQwhkpOPPYv2Y/edit?usp=sharing"",""งบพรบ!CM97"")"),0)</f>
        <v>0</v>
      </c>
      <c r="G97" s="93">
        <f ca="1">IFERROR(__xludf.DUMMYFUNCTION("IMPORTRANGE(""https://docs.google.com/spreadsheets/d/1-uDff_7J0KD5mKrp0Vvzr7lt3OU09vwQwhkpOPPYv2Y/edit?usp=sharing"",""งบพรบ!CN97"")"),0)</f>
        <v>0</v>
      </c>
      <c r="H97" s="93">
        <f ca="1">IFERROR(__xludf.DUMMYFUNCTION("IMPORTRANGE(""https://docs.google.com/spreadsheets/d/1-uDff_7J0KD5mKrp0Vvzr7lt3OU09vwQwhkpOPPYv2Y/edit?usp=sharing"",""งบพรบ!CP97"")"),0)</f>
        <v>0</v>
      </c>
      <c r="I97" s="93">
        <f ca="1">IFERROR(__xludf.DUMMYFUNCTION("IMPORTRANGE(""https://docs.google.com/spreadsheets/d/1-uDff_7J0KD5mKrp0Vvzr7lt3OU09vwQwhkpOPPYv2Y/edit?usp=sharing"",""งบพรบ!CQ97"")"),0)</f>
        <v>0</v>
      </c>
      <c r="J97" s="93">
        <f t="shared" ca="1" si="50"/>
        <v>0</v>
      </c>
      <c r="K97" s="94">
        <f t="shared" ca="1" si="51"/>
        <v>0</v>
      </c>
      <c r="L97" s="93">
        <f ca="1">IFERROR(__xludf.DUMMYFUNCTION("IMPORTRANGE(""https://docs.google.com/spreadsheets/d/1-uDff_7J0KD5mKrp0Vvzr7lt3OU09vwQwhkpOPPYv2Y/edit?usp=sharing"",""งบพรบ!CR97"")"),0)</f>
        <v>0</v>
      </c>
      <c r="M97" s="95">
        <f t="shared" ca="1" si="52"/>
        <v>0</v>
      </c>
      <c r="N97" s="95">
        <f t="shared" ca="1" si="53"/>
        <v>0</v>
      </c>
      <c r="O97" s="96">
        <f ca="1">IFERROR(__xludf.DUMMYFUNCTION("IMPORTRANGE(""https://docs.google.com/spreadsheets/d/1-uDff_7J0KD5mKrp0Vvzr7lt3OU09vwQwhkpOPPYv2Y/edit?usp=sharing"",""งบพรบ!CS97"")"),0)</f>
        <v>0</v>
      </c>
      <c r="P97" s="96">
        <f t="shared" ca="1" si="54"/>
        <v>0</v>
      </c>
      <c r="Q97" s="95">
        <f t="shared" ca="1" si="55"/>
        <v>0</v>
      </c>
      <c r="R97" s="248">
        <v>0</v>
      </c>
      <c r="S97" s="86">
        <v>0</v>
      </c>
      <c r="T97" s="86">
        <v>0</v>
      </c>
      <c r="U97" s="87">
        <f t="shared" si="30"/>
        <v>0</v>
      </c>
      <c r="V97" s="87">
        <f t="shared" si="31"/>
        <v>0</v>
      </c>
      <c r="W97" s="93"/>
      <c r="X97" s="93"/>
      <c r="Y97" s="95"/>
      <c r="Z97" s="274"/>
      <c r="AA97" s="274"/>
      <c r="AB97" s="243"/>
    </row>
    <row r="98" spans="1:28" ht="24" hidden="1" customHeight="1" x14ac:dyDescent="0.3">
      <c r="A98" s="201"/>
      <c r="B98" s="129" t="s">
        <v>124</v>
      </c>
      <c r="C98" s="202">
        <f t="shared" ca="1" si="48"/>
        <v>171500</v>
      </c>
      <c r="D98" s="203">
        <f t="shared" ca="1" si="49"/>
        <v>171500</v>
      </c>
      <c r="E98" s="93">
        <f ca="1">IFERROR(__xludf.DUMMYFUNCTION("IMPORTRANGE(""https://docs.google.com/spreadsheets/d/1-uDff_7J0KD5mKrp0Vvzr7lt3OU09vwQwhkpOPPYv2Y/edit?usp=sharing"",""งบพรบ!CL98"")"),171500)</f>
        <v>171500</v>
      </c>
      <c r="F98" s="93">
        <f ca="1">IFERROR(__xludf.DUMMYFUNCTION("IMPORTRANGE(""https://docs.google.com/spreadsheets/d/1-uDff_7J0KD5mKrp0Vvzr7lt3OU09vwQwhkpOPPYv2Y/edit?usp=sharing"",""งบพรบ!CM98"")"),0)</f>
        <v>0</v>
      </c>
      <c r="G98" s="93">
        <f ca="1">IFERROR(__xludf.DUMMYFUNCTION("IMPORTRANGE(""https://docs.google.com/spreadsheets/d/1-uDff_7J0KD5mKrp0Vvzr7lt3OU09vwQwhkpOPPYv2Y/edit?usp=sharing"",""งบพรบ!CN98"")"),0)</f>
        <v>0</v>
      </c>
      <c r="H98" s="93">
        <f ca="1">IFERROR(__xludf.DUMMYFUNCTION("IMPORTRANGE(""https://docs.google.com/spreadsheets/d/1-uDff_7J0KD5mKrp0Vvzr7lt3OU09vwQwhkpOPPYv2Y/edit?usp=sharing"",""งบพรบ!CP98"")"),171500)</f>
        <v>171500</v>
      </c>
      <c r="I98" s="93">
        <f ca="1">IFERROR(__xludf.DUMMYFUNCTION("IMPORTRANGE(""https://docs.google.com/spreadsheets/d/1-uDff_7J0KD5mKrp0Vvzr7lt3OU09vwQwhkpOPPYv2Y/edit?usp=sharing"",""งบพรบ!CQ98"")"),0)</f>
        <v>0</v>
      </c>
      <c r="J98" s="93">
        <f t="shared" ca="1" si="50"/>
        <v>98000</v>
      </c>
      <c r="K98" s="94">
        <f t="shared" ca="1" si="51"/>
        <v>57.142857142857146</v>
      </c>
      <c r="L98" s="93">
        <f ca="1">IFERROR(__xludf.DUMMYFUNCTION("IMPORTRANGE(""https://docs.google.com/spreadsheets/d/1-uDff_7J0KD5mKrp0Vvzr7lt3OU09vwQwhkpOPPYv2Y/edit?usp=sharing"",""งบพรบ!CR98"")"),98000)</f>
        <v>98000</v>
      </c>
      <c r="M98" s="95">
        <f t="shared" ca="1" si="52"/>
        <v>57.142857142857146</v>
      </c>
      <c r="N98" s="95">
        <f t="shared" ca="1" si="53"/>
        <v>57.142857142857146</v>
      </c>
      <c r="O98" s="96">
        <f ca="1">IFERROR(__xludf.DUMMYFUNCTION("IMPORTRANGE(""https://docs.google.com/spreadsheets/d/1-uDff_7J0KD5mKrp0Vvzr7lt3OU09vwQwhkpOPPYv2Y/edit?usp=sharing"",""งบพรบ!CS98"")"),0)</f>
        <v>0</v>
      </c>
      <c r="P98" s="96">
        <f t="shared" ca="1" si="54"/>
        <v>0</v>
      </c>
      <c r="Q98" s="95">
        <f t="shared" ca="1" si="55"/>
        <v>0</v>
      </c>
      <c r="R98" s="248">
        <v>0</v>
      </c>
      <c r="S98" s="86">
        <v>0</v>
      </c>
      <c r="T98" s="86">
        <v>0</v>
      </c>
      <c r="U98" s="87">
        <f t="shared" si="30"/>
        <v>0</v>
      </c>
      <c r="V98" s="87">
        <f t="shared" si="31"/>
        <v>0</v>
      </c>
      <c r="W98" s="93"/>
      <c r="X98" s="93"/>
      <c r="Y98" s="95"/>
      <c r="Z98" s="274"/>
      <c r="AA98" s="274"/>
      <c r="AB98" s="243"/>
    </row>
    <row r="99" spans="1:28" ht="24" hidden="1" customHeight="1" x14ac:dyDescent="0.3">
      <c r="A99" s="201"/>
      <c r="B99" s="129" t="s">
        <v>125</v>
      </c>
      <c r="C99" s="202">
        <f t="shared" ca="1" si="48"/>
        <v>0</v>
      </c>
      <c r="D99" s="203">
        <f t="shared" ca="1" si="49"/>
        <v>0</v>
      </c>
      <c r="E99" s="93">
        <f ca="1">IFERROR(__xludf.DUMMYFUNCTION("IMPORTRANGE(""https://docs.google.com/spreadsheets/d/1-uDff_7J0KD5mKrp0Vvzr7lt3OU09vwQwhkpOPPYv2Y/edit?usp=sharing"",""งบพรบ!CL99"")"),0)</f>
        <v>0</v>
      </c>
      <c r="F99" s="93">
        <f ca="1">IFERROR(__xludf.DUMMYFUNCTION("IMPORTRANGE(""https://docs.google.com/spreadsheets/d/1-uDff_7J0KD5mKrp0Vvzr7lt3OU09vwQwhkpOPPYv2Y/edit?usp=sharing"",""งบพรบ!CM99"")"),0)</f>
        <v>0</v>
      </c>
      <c r="G99" s="93">
        <f ca="1">IFERROR(__xludf.DUMMYFUNCTION("IMPORTRANGE(""https://docs.google.com/spreadsheets/d/1-uDff_7J0KD5mKrp0Vvzr7lt3OU09vwQwhkpOPPYv2Y/edit?usp=sharing"",""งบพรบ!CN99"")"),0)</f>
        <v>0</v>
      </c>
      <c r="H99" s="93">
        <f ca="1">IFERROR(__xludf.DUMMYFUNCTION("IMPORTRANGE(""https://docs.google.com/spreadsheets/d/1-uDff_7J0KD5mKrp0Vvzr7lt3OU09vwQwhkpOPPYv2Y/edit?usp=sharing"",""งบพรบ!CP99"")"),0)</f>
        <v>0</v>
      </c>
      <c r="I99" s="93">
        <f ca="1">IFERROR(__xludf.DUMMYFUNCTION("IMPORTRANGE(""https://docs.google.com/spreadsheets/d/1-uDff_7J0KD5mKrp0Vvzr7lt3OU09vwQwhkpOPPYv2Y/edit?usp=sharing"",""งบพรบ!CQ99"")"),0)</f>
        <v>0</v>
      </c>
      <c r="J99" s="93">
        <f t="shared" ca="1" si="50"/>
        <v>0</v>
      </c>
      <c r="K99" s="94">
        <f t="shared" ca="1" si="51"/>
        <v>0</v>
      </c>
      <c r="L99" s="93">
        <f ca="1">IFERROR(__xludf.DUMMYFUNCTION("IMPORTRANGE(""https://docs.google.com/spreadsheets/d/1-uDff_7J0KD5mKrp0Vvzr7lt3OU09vwQwhkpOPPYv2Y/edit?usp=sharing"",""งบพรบ!CR99"")"),0)</f>
        <v>0</v>
      </c>
      <c r="M99" s="95">
        <f t="shared" ca="1" si="52"/>
        <v>0</v>
      </c>
      <c r="N99" s="95">
        <f t="shared" ca="1" si="53"/>
        <v>0</v>
      </c>
      <c r="O99" s="96">
        <f ca="1">IFERROR(__xludf.DUMMYFUNCTION("IMPORTRANGE(""https://docs.google.com/spreadsheets/d/1-uDff_7J0KD5mKrp0Vvzr7lt3OU09vwQwhkpOPPYv2Y/edit?usp=sharing"",""งบพรบ!CS99"")"),0)</f>
        <v>0</v>
      </c>
      <c r="P99" s="96">
        <f t="shared" ca="1" si="54"/>
        <v>0</v>
      </c>
      <c r="Q99" s="95">
        <f t="shared" ca="1" si="55"/>
        <v>0</v>
      </c>
      <c r="R99" s="248">
        <v>0</v>
      </c>
      <c r="S99" s="86">
        <v>0</v>
      </c>
      <c r="T99" s="86">
        <v>0</v>
      </c>
      <c r="U99" s="87">
        <f t="shared" si="30"/>
        <v>0</v>
      </c>
      <c r="V99" s="87">
        <f t="shared" si="31"/>
        <v>0</v>
      </c>
      <c r="W99" s="93"/>
      <c r="X99" s="93"/>
      <c r="Y99" s="95"/>
      <c r="Z99" s="274"/>
      <c r="AA99" s="274"/>
      <c r="AB99" s="243"/>
    </row>
    <row r="100" spans="1:28" ht="24" hidden="1" customHeight="1" x14ac:dyDescent="0.3">
      <c r="A100" s="201"/>
      <c r="B100" s="129" t="s">
        <v>126</v>
      </c>
      <c r="C100" s="202">
        <f t="shared" ca="1" si="48"/>
        <v>0</v>
      </c>
      <c r="D100" s="203">
        <f t="shared" ca="1" si="49"/>
        <v>0</v>
      </c>
      <c r="E100" s="93">
        <f ca="1">IFERROR(__xludf.DUMMYFUNCTION("IMPORTRANGE(""https://docs.google.com/spreadsheets/d/1-uDff_7J0KD5mKrp0Vvzr7lt3OU09vwQwhkpOPPYv2Y/edit?usp=sharing"",""งบพรบ!CL100"")"),0)</f>
        <v>0</v>
      </c>
      <c r="F100" s="93">
        <f ca="1">IFERROR(__xludf.DUMMYFUNCTION("IMPORTRANGE(""https://docs.google.com/spreadsheets/d/1-uDff_7J0KD5mKrp0Vvzr7lt3OU09vwQwhkpOPPYv2Y/edit?usp=sharing"",""งบพรบ!CM100"")"),0)</f>
        <v>0</v>
      </c>
      <c r="G100" s="93">
        <f ca="1">IFERROR(__xludf.DUMMYFUNCTION("IMPORTRANGE(""https://docs.google.com/spreadsheets/d/1-uDff_7J0KD5mKrp0Vvzr7lt3OU09vwQwhkpOPPYv2Y/edit?usp=sharing"",""งบพรบ!CN100"")"),0)</f>
        <v>0</v>
      </c>
      <c r="H100" s="93">
        <f ca="1">IFERROR(__xludf.DUMMYFUNCTION("IMPORTRANGE(""https://docs.google.com/spreadsheets/d/1-uDff_7J0KD5mKrp0Vvzr7lt3OU09vwQwhkpOPPYv2Y/edit?usp=sharing"",""งบพรบ!CP100"")"),0)</f>
        <v>0</v>
      </c>
      <c r="I100" s="93">
        <f ca="1">IFERROR(__xludf.DUMMYFUNCTION("IMPORTRANGE(""https://docs.google.com/spreadsheets/d/1-uDff_7J0KD5mKrp0Vvzr7lt3OU09vwQwhkpOPPYv2Y/edit?usp=sharing"",""งบพรบ!CQ100"")"),0)</f>
        <v>0</v>
      </c>
      <c r="J100" s="93">
        <f t="shared" ca="1" si="50"/>
        <v>0</v>
      </c>
      <c r="K100" s="94">
        <f t="shared" ca="1" si="51"/>
        <v>0</v>
      </c>
      <c r="L100" s="93">
        <f ca="1">IFERROR(__xludf.DUMMYFUNCTION("IMPORTRANGE(""https://docs.google.com/spreadsheets/d/1-uDff_7J0KD5mKrp0Vvzr7lt3OU09vwQwhkpOPPYv2Y/edit?usp=sharing"",""งบพรบ!CR100"")"),0)</f>
        <v>0</v>
      </c>
      <c r="M100" s="95">
        <f t="shared" ca="1" si="52"/>
        <v>0</v>
      </c>
      <c r="N100" s="95">
        <f t="shared" ca="1" si="53"/>
        <v>0</v>
      </c>
      <c r="O100" s="96">
        <f ca="1">IFERROR(__xludf.DUMMYFUNCTION("IMPORTRANGE(""https://docs.google.com/spreadsheets/d/1-uDff_7J0KD5mKrp0Vvzr7lt3OU09vwQwhkpOPPYv2Y/edit?usp=sharing"",""งบพรบ!CS100"")"),0)</f>
        <v>0</v>
      </c>
      <c r="P100" s="96">
        <f t="shared" ca="1" si="54"/>
        <v>0</v>
      </c>
      <c r="Q100" s="95">
        <f t="shared" ca="1" si="55"/>
        <v>0</v>
      </c>
      <c r="R100" s="248">
        <v>0</v>
      </c>
      <c r="S100" s="86">
        <v>0</v>
      </c>
      <c r="T100" s="86">
        <v>0</v>
      </c>
      <c r="U100" s="87">
        <f t="shared" si="30"/>
        <v>0</v>
      </c>
      <c r="V100" s="87">
        <f t="shared" si="31"/>
        <v>0</v>
      </c>
      <c r="W100" s="93"/>
      <c r="X100" s="93"/>
      <c r="Y100" s="95"/>
      <c r="Z100" s="274"/>
      <c r="AA100" s="274"/>
      <c r="AB100" s="243"/>
    </row>
    <row r="101" spans="1:28" ht="24" hidden="1" customHeight="1" x14ac:dyDescent="0.3">
      <c r="A101" s="201"/>
      <c r="B101" s="129" t="s">
        <v>127</v>
      </c>
      <c r="C101" s="202">
        <f t="shared" ca="1" si="48"/>
        <v>6944500</v>
      </c>
      <c r="D101" s="203">
        <f t="shared" ca="1" si="49"/>
        <v>6944500</v>
      </c>
      <c r="E101" s="93">
        <f ca="1">IFERROR(__xludf.DUMMYFUNCTION("IMPORTRANGE(""https://docs.google.com/spreadsheets/d/1-uDff_7J0KD5mKrp0Vvzr7lt3OU09vwQwhkpOPPYv2Y/edit?usp=sharing"",""งบพรบ!CL101"")"),0)</f>
        <v>0</v>
      </c>
      <c r="F101" s="93">
        <f ca="1">IFERROR(__xludf.DUMMYFUNCTION("IMPORTRANGE(""https://docs.google.com/spreadsheets/d/1-uDff_7J0KD5mKrp0Vvzr7lt3OU09vwQwhkpOPPYv2Y/edit?usp=sharing"",""งบพรบ!CM101"")"),6944500)</f>
        <v>6944500</v>
      </c>
      <c r="G101" s="93">
        <f ca="1">IFERROR(__xludf.DUMMYFUNCTION("IMPORTRANGE(""https://docs.google.com/spreadsheets/d/1-uDff_7J0KD5mKrp0Vvzr7lt3OU09vwQwhkpOPPYv2Y/edit?usp=sharing"",""งบพรบ!CN101"")"),0)</f>
        <v>0</v>
      </c>
      <c r="H101" s="93">
        <f ca="1">IFERROR(__xludf.DUMMYFUNCTION("IMPORTRANGE(""https://docs.google.com/spreadsheets/d/1-uDff_7J0KD5mKrp0Vvzr7lt3OU09vwQwhkpOPPYv2Y/edit?usp=sharing"",""งบพรบ!CP101"")"),8159220)</f>
        <v>8159220</v>
      </c>
      <c r="I101" s="93">
        <f ca="1">IFERROR(__xludf.DUMMYFUNCTION("IMPORTRANGE(""https://docs.google.com/spreadsheets/d/1-uDff_7J0KD5mKrp0Vvzr7lt3OU09vwQwhkpOPPYv2Y/edit?usp=sharing"",""งบพรบ!CQ101"")"),0)</f>
        <v>0</v>
      </c>
      <c r="J101" s="93">
        <f t="shared" ca="1" si="50"/>
        <v>5011553.59</v>
      </c>
      <c r="K101" s="94">
        <f t="shared" ca="1" si="51"/>
        <v>72.165794369645042</v>
      </c>
      <c r="L101" s="93">
        <f ca="1">IFERROR(__xludf.DUMMYFUNCTION("IMPORTRANGE(""https://docs.google.com/spreadsheets/d/1-uDff_7J0KD5mKrp0Vvzr7lt3OU09vwQwhkpOPPYv2Y/edit?usp=sharing"",""งบพรบ!CR101"")"),5011553.59)</f>
        <v>5011553.59</v>
      </c>
      <c r="M101" s="95">
        <f t="shared" ca="1" si="52"/>
        <v>72.165794369645042</v>
      </c>
      <c r="N101" s="95">
        <f t="shared" ca="1" si="53"/>
        <v>61.421969134304504</v>
      </c>
      <c r="O101" s="96">
        <f ca="1">IFERROR(__xludf.DUMMYFUNCTION("IMPORTRANGE(""https://docs.google.com/spreadsheets/d/1-uDff_7J0KD5mKrp0Vvzr7lt3OU09vwQwhkpOPPYv2Y/edit?usp=sharing"",""งบพรบ!CS101"")"),0)</f>
        <v>0</v>
      </c>
      <c r="P101" s="96">
        <f t="shared" ca="1" si="54"/>
        <v>0</v>
      </c>
      <c r="Q101" s="95">
        <f t="shared" ca="1" si="55"/>
        <v>0</v>
      </c>
      <c r="R101" s="248">
        <v>0</v>
      </c>
      <c r="S101" s="86">
        <v>0</v>
      </c>
      <c r="T101" s="86">
        <v>0</v>
      </c>
      <c r="U101" s="87">
        <f t="shared" si="30"/>
        <v>0</v>
      </c>
      <c r="V101" s="87">
        <f t="shared" si="31"/>
        <v>0</v>
      </c>
      <c r="W101" s="93"/>
      <c r="X101" s="93"/>
      <c r="Y101" s="95"/>
      <c r="Z101" s="274"/>
      <c r="AA101" s="274"/>
      <c r="AB101" s="243"/>
    </row>
    <row r="102" spans="1:28" ht="24" hidden="1" customHeight="1" x14ac:dyDescent="0.3">
      <c r="A102" s="201"/>
      <c r="B102" s="129" t="s">
        <v>128</v>
      </c>
      <c r="C102" s="202">
        <f t="shared" ca="1" si="48"/>
        <v>0</v>
      </c>
      <c r="D102" s="203">
        <f t="shared" ca="1" si="49"/>
        <v>0</v>
      </c>
      <c r="E102" s="93">
        <f ca="1">IFERROR(__xludf.DUMMYFUNCTION("IMPORTRANGE(""https://docs.google.com/spreadsheets/d/1-uDff_7J0KD5mKrp0Vvzr7lt3OU09vwQwhkpOPPYv2Y/edit?usp=sharing"",""งบพรบ!CL102"")"),0)</f>
        <v>0</v>
      </c>
      <c r="F102" s="93">
        <f ca="1">IFERROR(__xludf.DUMMYFUNCTION("IMPORTRANGE(""https://docs.google.com/spreadsheets/d/1-uDff_7J0KD5mKrp0Vvzr7lt3OU09vwQwhkpOPPYv2Y/edit?usp=sharing"",""งบพรบ!CM102"")"),0)</f>
        <v>0</v>
      </c>
      <c r="G102" s="93">
        <f ca="1">IFERROR(__xludf.DUMMYFUNCTION("IMPORTRANGE(""https://docs.google.com/spreadsheets/d/1-uDff_7J0KD5mKrp0Vvzr7lt3OU09vwQwhkpOPPYv2Y/edit?usp=sharing"",""งบพรบ!CN102"")"),0)</f>
        <v>0</v>
      </c>
      <c r="H102" s="93">
        <f ca="1">IFERROR(__xludf.DUMMYFUNCTION("IMPORTRANGE(""https://docs.google.com/spreadsheets/d/1-uDff_7J0KD5mKrp0Vvzr7lt3OU09vwQwhkpOPPYv2Y/edit?usp=sharing"",""งบพรบ!CP102"")"),0)</f>
        <v>0</v>
      </c>
      <c r="I102" s="93">
        <f ca="1">IFERROR(__xludf.DUMMYFUNCTION("IMPORTRANGE(""https://docs.google.com/spreadsheets/d/1-uDff_7J0KD5mKrp0Vvzr7lt3OU09vwQwhkpOPPYv2Y/edit?usp=sharing"",""งบพรบ!CQ102"")"),0)</f>
        <v>0</v>
      </c>
      <c r="J102" s="93">
        <f t="shared" ca="1" si="50"/>
        <v>5371.4</v>
      </c>
      <c r="K102" s="94">
        <f t="shared" ca="1" si="51"/>
        <v>0</v>
      </c>
      <c r="L102" s="93">
        <f ca="1">IFERROR(__xludf.DUMMYFUNCTION("IMPORTRANGE(""https://docs.google.com/spreadsheets/d/1-uDff_7J0KD5mKrp0Vvzr7lt3OU09vwQwhkpOPPYv2Y/edit?usp=sharing"",""งบพรบ!CR102"")"),5371.4)</f>
        <v>5371.4</v>
      </c>
      <c r="M102" s="95">
        <f t="shared" ca="1" si="52"/>
        <v>0</v>
      </c>
      <c r="N102" s="95">
        <f t="shared" ca="1" si="53"/>
        <v>0</v>
      </c>
      <c r="O102" s="96">
        <f ca="1">IFERROR(__xludf.DUMMYFUNCTION("IMPORTRANGE(""https://docs.google.com/spreadsheets/d/1-uDff_7J0KD5mKrp0Vvzr7lt3OU09vwQwhkpOPPYv2Y/edit?usp=sharing"",""งบพรบ!CS102"")"),0)</f>
        <v>0</v>
      </c>
      <c r="P102" s="96">
        <f t="shared" ca="1" si="54"/>
        <v>0</v>
      </c>
      <c r="Q102" s="95">
        <f t="shared" ca="1" si="55"/>
        <v>0</v>
      </c>
      <c r="R102" s="248">
        <v>0</v>
      </c>
      <c r="S102" s="86">
        <v>0</v>
      </c>
      <c r="T102" s="86">
        <v>0</v>
      </c>
      <c r="U102" s="87">
        <f t="shared" si="30"/>
        <v>0</v>
      </c>
      <c r="V102" s="87">
        <f t="shared" si="31"/>
        <v>0</v>
      </c>
      <c r="W102" s="93"/>
      <c r="X102" s="93"/>
      <c r="Y102" s="95"/>
      <c r="Z102" s="274"/>
      <c r="AA102" s="274"/>
      <c r="AB102" s="243"/>
    </row>
    <row r="103" spans="1:28" ht="24" hidden="1" customHeight="1" x14ac:dyDescent="0.3">
      <c r="A103" s="201"/>
      <c r="B103" s="129" t="s">
        <v>129</v>
      </c>
      <c r="C103" s="202">
        <f t="shared" ca="1" si="48"/>
        <v>0</v>
      </c>
      <c r="D103" s="203">
        <f t="shared" ca="1" si="49"/>
        <v>0</v>
      </c>
      <c r="E103" s="93">
        <f ca="1">IFERROR(__xludf.DUMMYFUNCTION("IMPORTRANGE(""https://docs.google.com/spreadsheets/d/1-uDff_7J0KD5mKrp0Vvzr7lt3OU09vwQwhkpOPPYv2Y/edit?usp=sharing"",""งบพรบ!CL103"")"),0)</f>
        <v>0</v>
      </c>
      <c r="F103" s="93">
        <f ca="1">IFERROR(__xludf.DUMMYFUNCTION("IMPORTRANGE(""https://docs.google.com/spreadsheets/d/1-uDff_7J0KD5mKrp0Vvzr7lt3OU09vwQwhkpOPPYv2Y/edit?usp=sharing"",""งบพรบ!CM103"")"),0)</f>
        <v>0</v>
      </c>
      <c r="G103" s="93">
        <f ca="1">IFERROR(__xludf.DUMMYFUNCTION("IMPORTRANGE(""https://docs.google.com/spreadsheets/d/1-uDff_7J0KD5mKrp0Vvzr7lt3OU09vwQwhkpOPPYv2Y/edit?usp=sharing"",""งบพรบ!CN103"")"),0)</f>
        <v>0</v>
      </c>
      <c r="H103" s="93">
        <f ca="1">IFERROR(__xludf.DUMMYFUNCTION("IMPORTRANGE(""https://docs.google.com/spreadsheets/d/1-uDff_7J0KD5mKrp0Vvzr7lt3OU09vwQwhkpOPPYv2Y/edit?usp=sharing"",""งบพรบ!CP103"")"),0)</f>
        <v>0</v>
      </c>
      <c r="I103" s="93">
        <f ca="1">IFERROR(__xludf.DUMMYFUNCTION("IMPORTRANGE(""https://docs.google.com/spreadsheets/d/1-uDff_7J0KD5mKrp0Vvzr7lt3OU09vwQwhkpOPPYv2Y/edit?usp=sharing"",""งบพรบ!CQ103"")"),0)</f>
        <v>0</v>
      </c>
      <c r="J103" s="93">
        <f t="shared" ca="1" si="50"/>
        <v>0</v>
      </c>
      <c r="K103" s="94">
        <f t="shared" ca="1" si="51"/>
        <v>0</v>
      </c>
      <c r="L103" s="93">
        <f ca="1">IFERROR(__xludf.DUMMYFUNCTION("IMPORTRANGE(""https://docs.google.com/spreadsheets/d/1-uDff_7J0KD5mKrp0Vvzr7lt3OU09vwQwhkpOPPYv2Y/edit?usp=sharing"",""งบพรบ!CR103"")"),0)</f>
        <v>0</v>
      </c>
      <c r="M103" s="95">
        <f t="shared" ca="1" si="52"/>
        <v>0</v>
      </c>
      <c r="N103" s="95">
        <f t="shared" ca="1" si="53"/>
        <v>0</v>
      </c>
      <c r="O103" s="96">
        <f ca="1">IFERROR(__xludf.DUMMYFUNCTION("IMPORTRANGE(""https://docs.google.com/spreadsheets/d/1-uDff_7J0KD5mKrp0Vvzr7lt3OU09vwQwhkpOPPYv2Y/edit?usp=sharing"",""งบพรบ!CS103"")"),0)</f>
        <v>0</v>
      </c>
      <c r="P103" s="96">
        <f t="shared" ca="1" si="54"/>
        <v>0</v>
      </c>
      <c r="Q103" s="95">
        <f t="shared" ca="1" si="55"/>
        <v>0</v>
      </c>
      <c r="R103" s="248">
        <v>0</v>
      </c>
      <c r="S103" s="86">
        <v>0</v>
      </c>
      <c r="T103" s="86">
        <v>0</v>
      </c>
      <c r="U103" s="87">
        <f t="shared" si="30"/>
        <v>0</v>
      </c>
      <c r="V103" s="87">
        <f t="shared" si="31"/>
        <v>0</v>
      </c>
      <c r="W103" s="249"/>
      <c r="X103" s="249"/>
      <c r="Y103" s="132"/>
      <c r="Z103" s="275"/>
      <c r="AA103" s="275"/>
      <c r="AB103" s="276"/>
    </row>
    <row r="104" spans="1:28" ht="24" hidden="1" customHeight="1" x14ac:dyDescent="0.3">
      <c r="A104" s="201"/>
      <c r="B104" s="129" t="s">
        <v>130</v>
      </c>
      <c r="C104" s="202">
        <f t="shared" ca="1" si="48"/>
        <v>6585400</v>
      </c>
      <c r="D104" s="203">
        <f t="shared" ca="1" si="49"/>
        <v>6585400</v>
      </c>
      <c r="E104" s="93">
        <f ca="1">IFERROR(__xludf.DUMMYFUNCTION("IMPORTRANGE(""https://docs.google.com/spreadsheets/d/1-uDff_7J0KD5mKrp0Vvzr7lt3OU09vwQwhkpOPPYv2Y/edit?usp=sharing"",""งบพรบ!CL104"")"),6585400)</f>
        <v>6585400</v>
      </c>
      <c r="F104" s="93">
        <f ca="1">IFERROR(__xludf.DUMMYFUNCTION("IMPORTRANGE(""https://docs.google.com/spreadsheets/d/1-uDff_7J0KD5mKrp0Vvzr7lt3OU09vwQwhkpOPPYv2Y/edit?usp=sharing"",""งบพรบ!CM104"")"),0)</f>
        <v>0</v>
      </c>
      <c r="G104" s="93">
        <f ca="1">IFERROR(__xludf.DUMMYFUNCTION("IMPORTRANGE(""https://docs.google.com/spreadsheets/d/1-uDff_7J0KD5mKrp0Vvzr7lt3OU09vwQwhkpOPPYv2Y/edit?usp=sharing"",""งบพรบ!CN104"")"),0)</f>
        <v>0</v>
      </c>
      <c r="H104" s="93">
        <f ca="1">IFERROR(__xludf.DUMMYFUNCTION("IMPORTRANGE(""https://docs.google.com/spreadsheets/d/1-uDff_7J0KD5mKrp0Vvzr7lt3OU09vwQwhkpOPPYv2Y/edit?usp=sharing"",""งบพรบ!CP104"")"),3391480)</f>
        <v>3391480</v>
      </c>
      <c r="I104" s="93">
        <f ca="1">IFERROR(__xludf.DUMMYFUNCTION("IMPORTRANGE(""https://docs.google.com/spreadsheets/d/1-uDff_7J0KD5mKrp0Vvzr7lt3OU09vwQwhkpOPPYv2Y/edit?usp=sharing"",""งบพรบ!CQ104"")"),0)</f>
        <v>0</v>
      </c>
      <c r="J104" s="93">
        <f t="shared" ca="1" si="50"/>
        <v>291987.01</v>
      </c>
      <c r="K104" s="94">
        <f t="shared" ca="1" si="51"/>
        <v>4.4338538281653355</v>
      </c>
      <c r="L104" s="93">
        <f ca="1">IFERROR(__xludf.DUMMYFUNCTION("IMPORTRANGE(""https://docs.google.com/spreadsheets/d/1-uDff_7J0KD5mKrp0Vvzr7lt3OU09vwQwhkpOPPYv2Y/edit?usp=sharing"",""งบพรบ!CR104"")"),291987.01)</f>
        <v>291987.01</v>
      </c>
      <c r="M104" s="95">
        <f t="shared" ca="1" si="52"/>
        <v>4.4338538281653355</v>
      </c>
      <c r="N104" s="95">
        <f t="shared" ca="1" si="53"/>
        <v>8.6094274476039967</v>
      </c>
      <c r="O104" s="96">
        <f ca="1">IFERROR(__xludf.DUMMYFUNCTION("IMPORTRANGE(""https://docs.google.com/spreadsheets/d/1-uDff_7J0KD5mKrp0Vvzr7lt3OU09vwQwhkpOPPYv2Y/edit?usp=sharing"",""งบพรบ!CS104"")"),0)</f>
        <v>0</v>
      </c>
      <c r="P104" s="96">
        <f t="shared" ca="1" si="54"/>
        <v>0</v>
      </c>
      <c r="Q104" s="95">
        <f t="shared" ca="1" si="55"/>
        <v>0</v>
      </c>
      <c r="R104" s="248">
        <v>0</v>
      </c>
      <c r="S104" s="86">
        <v>0</v>
      </c>
      <c r="T104" s="86">
        <v>0</v>
      </c>
      <c r="U104" s="87">
        <f t="shared" si="30"/>
        <v>0</v>
      </c>
      <c r="V104" s="87">
        <f t="shared" si="31"/>
        <v>0</v>
      </c>
      <c r="W104" s="93"/>
      <c r="X104" s="93"/>
      <c r="Y104" s="95"/>
      <c r="Z104" s="277"/>
      <c r="AA104" s="277"/>
      <c r="AB104" s="278"/>
    </row>
    <row r="105" spans="1:28" ht="24" hidden="1" customHeight="1" x14ac:dyDescent="0.3">
      <c r="A105" s="201"/>
      <c r="B105" s="133" t="s">
        <v>131</v>
      </c>
      <c r="C105" s="202">
        <f t="shared" ca="1" si="48"/>
        <v>0</v>
      </c>
      <c r="D105" s="203">
        <f t="shared" ca="1" si="49"/>
        <v>0</v>
      </c>
      <c r="E105" s="93">
        <f ca="1">IFERROR(__xludf.DUMMYFUNCTION("IMPORTRANGE(""https://docs.google.com/spreadsheets/d/1-uDff_7J0KD5mKrp0Vvzr7lt3OU09vwQwhkpOPPYv2Y/edit?usp=sharing"",""งบพรบ!CL105"")"),0)</f>
        <v>0</v>
      </c>
      <c r="F105" s="93">
        <f ca="1">IFERROR(__xludf.DUMMYFUNCTION("IMPORTRANGE(""https://docs.google.com/spreadsheets/d/1-uDff_7J0KD5mKrp0Vvzr7lt3OU09vwQwhkpOPPYv2Y/edit?usp=sharing"",""งบพรบ!CM105"")"),0)</f>
        <v>0</v>
      </c>
      <c r="G105" s="93">
        <f ca="1">IFERROR(__xludf.DUMMYFUNCTION("IMPORTRANGE(""https://docs.google.com/spreadsheets/d/1-uDff_7J0KD5mKrp0Vvzr7lt3OU09vwQwhkpOPPYv2Y/edit?usp=sharing"",""งบพรบ!CN105"")"),0)</f>
        <v>0</v>
      </c>
      <c r="H105" s="93">
        <f ca="1">IFERROR(__xludf.DUMMYFUNCTION("IMPORTRANGE(""https://docs.google.com/spreadsheets/d/1-uDff_7J0KD5mKrp0Vvzr7lt3OU09vwQwhkpOPPYv2Y/edit?usp=sharing"",""งบพรบ!CP105"")"),0)</f>
        <v>0</v>
      </c>
      <c r="I105" s="93">
        <f ca="1">IFERROR(__xludf.DUMMYFUNCTION("IMPORTRANGE(""https://docs.google.com/spreadsheets/d/1-uDff_7J0KD5mKrp0Vvzr7lt3OU09vwQwhkpOPPYv2Y/edit?usp=sharing"",""งบพรบ!CQ105"")"),0)</f>
        <v>0</v>
      </c>
      <c r="J105" s="93">
        <f t="shared" ca="1" si="50"/>
        <v>0</v>
      </c>
      <c r="K105" s="94">
        <f t="shared" ca="1" si="51"/>
        <v>0</v>
      </c>
      <c r="L105" s="93">
        <f ca="1">IFERROR(__xludf.DUMMYFUNCTION("IMPORTRANGE(""https://docs.google.com/spreadsheets/d/1-uDff_7J0KD5mKrp0Vvzr7lt3OU09vwQwhkpOPPYv2Y/edit?usp=sharing"",""งบพรบ!CR105"")"),0)</f>
        <v>0</v>
      </c>
      <c r="M105" s="95">
        <f t="shared" ca="1" si="52"/>
        <v>0</v>
      </c>
      <c r="N105" s="95">
        <f t="shared" ca="1" si="53"/>
        <v>0</v>
      </c>
      <c r="O105" s="96">
        <f ca="1">IFERROR(__xludf.DUMMYFUNCTION("IMPORTRANGE(""https://docs.google.com/spreadsheets/d/1-uDff_7J0KD5mKrp0Vvzr7lt3OU09vwQwhkpOPPYv2Y/edit?usp=sharing"",""งบพรบ!CS105"")"),0)</f>
        <v>0</v>
      </c>
      <c r="P105" s="96">
        <f t="shared" ca="1" si="54"/>
        <v>0</v>
      </c>
      <c r="Q105" s="95">
        <f t="shared" ca="1" si="55"/>
        <v>0</v>
      </c>
      <c r="R105" s="248">
        <v>0</v>
      </c>
      <c r="S105" s="86">
        <v>0</v>
      </c>
      <c r="T105" s="86">
        <v>0</v>
      </c>
      <c r="U105" s="87">
        <f t="shared" si="30"/>
        <v>0</v>
      </c>
      <c r="V105" s="87">
        <f t="shared" si="31"/>
        <v>0</v>
      </c>
      <c r="W105" s="122"/>
      <c r="X105" s="122"/>
      <c r="Y105" s="122"/>
      <c r="Z105" s="274"/>
      <c r="AA105" s="274"/>
      <c r="AB105" s="274"/>
    </row>
    <row r="106" spans="1:28" ht="24" hidden="1" customHeight="1" x14ac:dyDescent="0.3">
      <c r="A106" s="205"/>
      <c r="B106" s="137" t="s">
        <v>132</v>
      </c>
      <c r="C106" s="206">
        <f t="shared" ca="1" si="48"/>
        <v>0</v>
      </c>
      <c r="D106" s="207">
        <f t="shared" ca="1" si="49"/>
        <v>0</v>
      </c>
      <c r="E106" s="104">
        <f ca="1">IFERROR(__xludf.DUMMYFUNCTION("IMPORTRANGE(""https://docs.google.com/spreadsheets/d/1-uDff_7J0KD5mKrp0Vvzr7lt3OU09vwQwhkpOPPYv2Y/edit?usp=sharing"",""งบพรบ!CL106"")"),0)</f>
        <v>0</v>
      </c>
      <c r="F106" s="104">
        <f ca="1">IFERROR(__xludf.DUMMYFUNCTION("IMPORTRANGE(""https://docs.google.com/spreadsheets/d/1-uDff_7J0KD5mKrp0Vvzr7lt3OU09vwQwhkpOPPYv2Y/edit?usp=sharing"",""งบพรบ!CM106"")"),0)</f>
        <v>0</v>
      </c>
      <c r="G106" s="104">
        <f ca="1">IFERROR(__xludf.DUMMYFUNCTION("IMPORTRANGE(""https://docs.google.com/spreadsheets/d/1-uDff_7J0KD5mKrp0Vvzr7lt3OU09vwQwhkpOPPYv2Y/edit?usp=sharing"",""งบพรบ!CN106"")"),0)</f>
        <v>0</v>
      </c>
      <c r="H106" s="104">
        <f ca="1">IFERROR(__xludf.DUMMYFUNCTION("IMPORTRANGE(""https://docs.google.com/spreadsheets/d/1-uDff_7J0KD5mKrp0Vvzr7lt3OU09vwQwhkpOPPYv2Y/edit?usp=sharing"",""งบพรบ!CP106"")"),62100)</f>
        <v>62100</v>
      </c>
      <c r="I106" s="104">
        <f ca="1">IFERROR(__xludf.DUMMYFUNCTION("IMPORTRANGE(""https://docs.google.com/spreadsheets/d/1-uDff_7J0KD5mKrp0Vvzr7lt3OU09vwQwhkpOPPYv2Y/edit?usp=sharing"",""งบพรบ!CQ106"")"),0)</f>
        <v>0</v>
      </c>
      <c r="J106" s="104">
        <f t="shared" ca="1" si="50"/>
        <v>0</v>
      </c>
      <c r="K106" s="105">
        <f t="shared" ca="1" si="51"/>
        <v>0</v>
      </c>
      <c r="L106" s="104">
        <f ca="1">IFERROR(__xludf.DUMMYFUNCTION("IMPORTRANGE(""https://docs.google.com/spreadsheets/d/1-uDff_7J0KD5mKrp0Vvzr7lt3OU09vwQwhkpOPPYv2Y/edit?usp=sharing"",""งบพรบ!CR106"")"),0)</f>
        <v>0</v>
      </c>
      <c r="M106" s="106">
        <f t="shared" ca="1" si="52"/>
        <v>0</v>
      </c>
      <c r="N106" s="106">
        <f t="shared" ca="1" si="53"/>
        <v>0</v>
      </c>
      <c r="O106" s="107">
        <f ca="1">IFERROR(__xludf.DUMMYFUNCTION("IMPORTRANGE(""https://docs.google.com/spreadsheets/d/1-uDff_7J0KD5mKrp0Vvzr7lt3OU09vwQwhkpOPPYv2Y/edit?usp=sharing"",""งบพรบ!CS106"")"),0)</f>
        <v>0</v>
      </c>
      <c r="P106" s="107">
        <f t="shared" ca="1" si="54"/>
        <v>0</v>
      </c>
      <c r="Q106" s="106">
        <f t="shared" ca="1" si="55"/>
        <v>0</v>
      </c>
      <c r="R106" s="250">
        <v>0</v>
      </c>
      <c r="S106" s="108">
        <v>0</v>
      </c>
      <c r="T106" s="108">
        <v>0</v>
      </c>
      <c r="U106" s="109">
        <f t="shared" si="30"/>
        <v>0</v>
      </c>
      <c r="V106" s="109">
        <f t="shared" si="31"/>
        <v>0</v>
      </c>
      <c r="W106" s="104"/>
      <c r="X106" s="104"/>
      <c r="Y106" s="104"/>
      <c r="Z106" s="279"/>
      <c r="AA106" s="279"/>
      <c r="AB106" s="279"/>
    </row>
  </sheetData>
  <mergeCells count="30">
    <mergeCell ref="J5:K5"/>
    <mergeCell ref="L5:N5"/>
    <mergeCell ref="W3:Y4"/>
    <mergeCell ref="X5:Y5"/>
    <mergeCell ref="A52:B52"/>
    <mergeCell ref="H4:I4"/>
    <mergeCell ref="J4:Q4"/>
    <mergeCell ref="F5:F6"/>
    <mergeCell ref="G5:G6"/>
    <mergeCell ref="A74:B74"/>
    <mergeCell ref="A89:B89"/>
    <mergeCell ref="D5:D6"/>
    <mergeCell ref="E5:E6"/>
    <mergeCell ref="A2:B6"/>
    <mergeCell ref="C5:C6"/>
    <mergeCell ref="A7:B7"/>
    <mergeCell ref="A13:B13"/>
    <mergeCell ref="A31:B31"/>
    <mergeCell ref="C2:AB2"/>
    <mergeCell ref="C3:Q3"/>
    <mergeCell ref="R3:V3"/>
    <mergeCell ref="Z3:AB4"/>
    <mergeCell ref="C4:G4"/>
    <mergeCell ref="V4:V6"/>
    <mergeCell ref="O5:Q5"/>
    <mergeCell ref="AA5:AB5"/>
    <mergeCell ref="R4:R6"/>
    <mergeCell ref="S4:S6"/>
    <mergeCell ref="T4:T6"/>
    <mergeCell ref="U4:U6"/>
  </mergeCells>
  <printOptions horizontalCentered="1"/>
  <pageMargins left="0.23622047244094491" right="0.23622047244094491" top="0.55118110236220474" bottom="0.55118110236220474" header="0" footer="0"/>
  <pageSetup paperSize="9" scale="37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  <outlinePr summaryBelow="0" summaryRight="0"/>
  </sheetPr>
  <dimension ref="A1:CN106"/>
  <sheetViews>
    <sheetView view="pageBreakPreview" zoomScale="60" zoomScaleNormal="55" workbookViewId="0">
      <pane xSplit="2" ySplit="7" topLeftCell="C8" activePane="bottomRight" state="frozen"/>
      <selection activeCell="A13" sqref="A13:B13"/>
      <selection pane="topRight" activeCell="A13" sqref="A13:B13"/>
      <selection pane="bottomLeft" activeCell="A13" sqref="A13:B13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18.7109375" bestFit="1" customWidth="1"/>
    <col min="4" max="4" width="18" bestFit="1" customWidth="1"/>
    <col min="5" max="5" width="16.85546875" bestFit="1" customWidth="1"/>
    <col min="6" max="6" width="16.5703125" bestFit="1" customWidth="1"/>
    <col min="7" max="7" width="13.42578125" bestFit="1" customWidth="1"/>
    <col min="8" max="8" width="19.85546875" bestFit="1" customWidth="1"/>
    <col min="9" max="9" width="13.7109375" bestFit="1" customWidth="1"/>
    <col min="10" max="10" width="16.5703125" bestFit="1" customWidth="1"/>
    <col min="11" max="11" width="11" bestFit="1" customWidth="1"/>
    <col min="12" max="12" width="16.5703125" bestFit="1" customWidth="1"/>
    <col min="13" max="13" width="13.85546875" customWidth="1"/>
    <col min="14" max="14" width="15.140625" customWidth="1"/>
    <col min="15" max="15" width="11.140625" customWidth="1"/>
    <col min="16" max="17" width="15.140625" customWidth="1"/>
    <col min="18" max="18" width="17.85546875" bestFit="1" customWidth="1"/>
    <col min="19" max="19" width="11" bestFit="1" customWidth="1"/>
    <col min="20" max="20" width="12.42578125" bestFit="1" customWidth="1"/>
    <col min="21" max="21" width="10.7109375" bestFit="1" customWidth="1"/>
    <col min="22" max="22" width="12" customWidth="1"/>
    <col min="23" max="23" width="14.42578125" bestFit="1" customWidth="1"/>
    <col min="24" max="24" width="12.5703125" bestFit="1" customWidth="1"/>
    <col min="25" max="25" width="10.85546875" bestFit="1" customWidth="1"/>
    <col min="26" max="26" width="13.42578125" bestFit="1" customWidth="1"/>
    <col min="27" max="27" width="7.28515625" bestFit="1" customWidth="1"/>
    <col min="28" max="29" width="10.85546875" bestFit="1" customWidth="1"/>
    <col min="30" max="30" width="12.42578125" bestFit="1" customWidth="1"/>
    <col min="31" max="31" width="11.5703125" bestFit="1" customWidth="1"/>
    <col min="32" max="32" width="14.42578125" bestFit="1" customWidth="1"/>
    <col min="33" max="34" width="10.85546875" bestFit="1" customWidth="1"/>
    <col min="35" max="35" width="16.85546875" bestFit="1" customWidth="1"/>
    <col min="36" max="37" width="12.5703125" bestFit="1" customWidth="1"/>
    <col min="38" max="38" width="14.42578125" bestFit="1" customWidth="1"/>
    <col min="39" max="39" width="7.85546875" bestFit="1" customWidth="1"/>
    <col min="40" max="40" width="10.140625" customWidth="1"/>
    <col min="41" max="41" width="13.42578125" customWidth="1"/>
    <col min="42" max="42" width="13.42578125" bestFit="1" customWidth="1"/>
    <col min="43" max="43" width="12.5703125" bestFit="1" customWidth="1"/>
    <col min="44" max="44" width="13.42578125" bestFit="1" customWidth="1"/>
    <col min="45" max="45" width="18.140625" bestFit="1" customWidth="1"/>
    <col min="46" max="46" width="11.42578125" customWidth="1"/>
    <col min="47" max="48" width="10.140625" customWidth="1"/>
    <col min="49" max="49" width="11.42578125" customWidth="1"/>
    <col min="50" max="51" width="10.140625" customWidth="1"/>
    <col min="52" max="52" width="13.85546875" customWidth="1"/>
    <col min="53" max="54" width="10.140625" customWidth="1"/>
    <col min="55" max="55" width="13.42578125" bestFit="1" customWidth="1"/>
    <col min="56" max="57" width="10.140625" customWidth="1"/>
    <col min="58" max="58" width="13.42578125" bestFit="1" customWidth="1"/>
    <col min="59" max="60" width="10.140625" customWidth="1"/>
    <col min="61" max="62" width="11.42578125" customWidth="1"/>
    <col min="63" max="63" width="10.140625" customWidth="1"/>
    <col min="64" max="65" width="11.42578125" customWidth="1"/>
    <col min="66" max="66" width="10.140625" customWidth="1"/>
    <col min="67" max="68" width="13.85546875" customWidth="1"/>
    <col min="69" max="69" width="10.140625" customWidth="1"/>
    <col min="70" max="71" width="13.85546875" customWidth="1"/>
    <col min="72" max="72" width="10.140625" customWidth="1"/>
    <col min="73" max="73" width="13.42578125" bestFit="1" customWidth="1"/>
    <col min="74" max="75" width="10.140625" customWidth="1"/>
    <col min="76" max="77" width="13.85546875" customWidth="1"/>
    <col min="78" max="78" width="10.140625" customWidth="1"/>
    <col min="79" max="80" width="13.85546875" customWidth="1"/>
    <col min="81" max="81" width="10.140625" customWidth="1"/>
    <col min="82" max="83" width="12.5703125" customWidth="1"/>
    <col min="84" max="84" width="10.140625" customWidth="1"/>
    <col min="85" max="86" width="11.42578125" customWidth="1"/>
    <col min="87" max="92" width="10.140625" customWidth="1"/>
  </cols>
  <sheetData>
    <row r="1" spans="1:92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4"/>
      <c r="Z1" s="2"/>
      <c r="AA1" s="2"/>
      <c r="AB1" s="4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</row>
    <row r="2" spans="1:92" ht="24" customHeight="1" x14ac:dyDescent="0.2">
      <c r="A2" s="616" t="s">
        <v>1</v>
      </c>
      <c r="B2" s="617"/>
      <c r="C2" s="600" t="s">
        <v>154</v>
      </c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  <c r="AT2" s="601"/>
      <c r="AU2" s="601"/>
      <c r="AV2" s="601"/>
      <c r="AW2" s="601"/>
      <c r="AX2" s="601"/>
      <c r="AY2" s="601"/>
      <c r="AZ2" s="601"/>
      <c r="BA2" s="601"/>
      <c r="BB2" s="601"/>
      <c r="BC2" s="601"/>
      <c r="BD2" s="601"/>
      <c r="BE2" s="601"/>
      <c r="BF2" s="601"/>
      <c r="BG2" s="601"/>
      <c r="BH2" s="601"/>
      <c r="BI2" s="601"/>
      <c r="BJ2" s="601"/>
      <c r="BK2" s="601"/>
      <c r="BL2" s="601"/>
      <c r="BM2" s="601"/>
      <c r="BN2" s="601"/>
      <c r="BO2" s="601"/>
      <c r="BP2" s="601"/>
      <c r="BQ2" s="601"/>
      <c r="BR2" s="601"/>
      <c r="BS2" s="601"/>
      <c r="BT2" s="601"/>
      <c r="BU2" s="601"/>
      <c r="BV2" s="601"/>
      <c r="BW2" s="601"/>
      <c r="BX2" s="601"/>
      <c r="BY2" s="601"/>
      <c r="BZ2" s="601"/>
      <c r="CA2" s="601"/>
      <c r="CB2" s="601"/>
      <c r="CC2" s="601"/>
      <c r="CD2" s="601"/>
      <c r="CE2" s="601"/>
      <c r="CF2" s="601"/>
      <c r="CG2" s="601"/>
      <c r="CH2" s="601"/>
      <c r="CI2" s="601"/>
      <c r="CJ2" s="601"/>
      <c r="CK2" s="601"/>
      <c r="CL2" s="601"/>
      <c r="CM2" s="601"/>
      <c r="CN2" s="602"/>
    </row>
    <row r="3" spans="1:92" ht="30" customHeight="1" x14ac:dyDescent="0.2">
      <c r="A3" s="618"/>
      <c r="B3" s="619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653" t="s">
        <v>4</v>
      </c>
      <c r="S3" s="598"/>
      <c r="T3" s="598"/>
      <c r="U3" s="598"/>
      <c r="V3" s="598"/>
      <c r="W3" s="652" t="s">
        <v>155</v>
      </c>
      <c r="X3" s="585"/>
      <c r="Y3" s="585"/>
      <c r="Z3" s="585"/>
      <c r="AA3" s="585"/>
      <c r="AB3" s="585"/>
      <c r="AC3" s="585"/>
      <c r="AD3" s="585"/>
      <c r="AE3" s="607"/>
      <c r="AF3" s="652" t="s">
        <v>156</v>
      </c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607"/>
      <c r="AT3" s="605" t="s">
        <v>157</v>
      </c>
      <c r="AU3" s="598"/>
      <c r="AV3" s="598"/>
      <c r="AW3" s="598"/>
      <c r="AX3" s="598"/>
      <c r="AY3" s="598"/>
      <c r="AZ3" s="598"/>
      <c r="BA3" s="598"/>
      <c r="BB3" s="598"/>
      <c r="BC3" s="598"/>
      <c r="BD3" s="598"/>
      <c r="BE3" s="598"/>
      <c r="BF3" s="598"/>
      <c r="BG3" s="598"/>
      <c r="BH3" s="583"/>
      <c r="BI3" s="605" t="s">
        <v>158</v>
      </c>
      <c r="BJ3" s="598"/>
      <c r="BK3" s="598"/>
      <c r="BL3" s="598"/>
      <c r="BM3" s="598"/>
      <c r="BN3" s="598"/>
      <c r="BO3" s="598"/>
      <c r="BP3" s="598"/>
      <c r="BQ3" s="598"/>
      <c r="BR3" s="598"/>
      <c r="BS3" s="598"/>
      <c r="BT3" s="598"/>
      <c r="BU3" s="598"/>
      <c r="BV3" s="598"/>
      <c r="BW3" s="583"/>
      <c r="BX3" s="605" t="s">
        <v>159</v>
      </c>
      <c r="BY3" s="598"/>
      <c r="BZ3" s="598"/>
      <c r="CA3" s="598"/>
      <c r="CB3" s="598"/>
      <c r="CC3" s="598"/>
      <c r="CD3" s="598"/>
      <c r="CE3" s="598"/>
      <c r="CF3" s="598"/>
      <c r="CG3" s="598"/>
      <c r="CH3" s="598"/>
      <c r="CI3" s="598"/>
      <c r="CJ3" s="598"/>
      <c r="CK3" s="598"/>
      <c r="CL3" s="598"/>
      <c r="CM3" s="598"/>
      <c r="CN3" s="583"/>
    </row>
    <row r="4" spans="1:92" ht="60" customHeight="1" x14ac:dyDescent="0.2">
      <c r="A4" s="618"/>
      <c r="B4" s="619"/>
      <c r="C4" s="609" t="s">
        <v>7</v>
      </c>
      <c r="D4" s="598"/>
      <c r="E4" s="598"/>
      <c r="F4" s="598"/>
      <c r="G4" s="583"/>
      <c r="H4" s="612" t="s">
        <v>8</v>
      </c>
      <c r="I4" s="583"/>
      <c r="J4" s="613" t="s">
        <v>9</v>
      </c>
      <c r="K4" s="598"/>
      <c r="L4" s="598"/>
      <c r="M4" s="598"/>
      <c r="N4" s="598"/>
      <c r="O4" s="598"/>
      <c r="P4" s="598"/>
      <c r="Q4" s="583"/>
      <c r="R4" s="760" t="s">
        <v>10</v>
      </c>
      <c r="S4" s="761" t="s">
        <v>11</v>
      </c>
      <c r="T4" s="762" t="s">
        <v>12</v>
      </c>
      <c r="U4" s="763" t="s">
        <v>13</v>
      </c>
      <c r="V4" s="763" t="s">
        <v>14</v>
      </c>
      <c r="W4" s="605" t="s">
        <v>160</v>
      </c>
      <c r="X4" s="598"/>
      <c r="Y4" s="583"/>
      <c r="Z4" s="658" t="s">
        <v>161</v>
      </c>
      <c r="AA4" s="598"/>
      <c r="AB4" s="583"/>
      <c r="AC4" s="658" t="s">
        <v>162</v>
      </c>
      <c r="AD4" s="598"/>
      <c r="AE4" s="583"/>
      <c r="AF4" s="605" t="s">
        <v>163</v>
      </c>
      <c r="AG4" s="598"/>
      <c r="AH4" s="583"/>
      <c r="AI4" s="605" t="s">
        <v>164</v>
      </c>
      <c r="AJ4" s="598"/>
      <c r="AK4" s="583"/>
      <c r="AL4" s="605" t="s">
        <v>165</v>
      </c>
      <c r="AM4" s="598"/>
      <c r="AN4" s="583"/>
      <c r="AO4" s="658" t="s">
        <v>166</v>
      </c>
      <c r="AP4" s="598"/>
      <c r="AQ4" s="583"/>
      <c r="AR4" s="658" t="s">
        <v>6</v>
      </c>
      <c r="AS4" s="583"/>
      <c r="AT4" s="605" t="s">
        <v>163</v>
      </c>
      <c r="AU4" s="598"/>
      <c r="AV4" s="583"/>
      <c r="AW4" s="605" t="s">
        <v>165</v>
      </c>
      <c r="AX4" s="598"/>
      <c r="AY4" s="583"/>
      <c r="AZ4" s="605" t="s">
        <v>164</v>
      </c>
      <c r="BA4" s="598"/>
      <c r="BB4" s="583"/>
      <c r="BC4" s="658" t="s">
        <v>167</v>
      </c>
      <c r="BD4" s="598"/>
      <c r="BE4" s="583"/>
      <c r="BF4" s="658" t="s">
        <v>168</v>
      </c>
      <c r="BG4" s="598"/>
      <c r="BH4" s="583"/>
      <c r="BI4" s="605" t="s">
        <v>169</v>
      </c>
      <c r="BJ4" s="598"/>
      <c r="BK4" s="583"/>
      <c r="BL4" s="605" t="s">
        <v>170</v>
      </c>
      <c r="BM4" s="598"/>
      <c r="BN4" s="583"/>
      <c r="BO4" s="658" t="s">
        <v>171</v>
      </c>
      <c r="BP4" s="598"/>
      <c r="BQ4" s="583"/>
      <c r="BR4" s="658" t="s">
        <v>172</v>
      </c>
      <c r="BS4" s="598"/>
      <c r="BT4" s="583"/>
      <c r="BU4" s="658" t="s">
        <v>173</v>
      </c>
      <c r="BV4" s="598"/>
      <c r="BW4" s="583"/>
      <c r="BX4" s="605" t="s">
        <v>174</v>
      </c>
      <c r="BY4" s="598"/>
      <c r="BZ4" s="583"/>
      <c r="CA4" s="605" t="s">
        <v>175</v>
      </c>
      <c r="CB4" s="598"/>
      <c r="CC4" s="583"/>
      <c r="CD4" s="605" t="s">
        <v>164</v>
      </c>
      <c r="CE4" s="598"/>
      <c r="CF4" s="583"/>
      <c r="CG4" s="605" t="s">
        <v>176</v>
      </c>
      <c r="CH4" s="598"/>
      <c r="CI4" s="583"/>
      <c r="CJ4" s="658" t="s">
        <v>177</v>
      </c>
      <c r="CK4" s="598"/>
      <c r="CL4" s="583"/>
      <c r="CM4" s="660" t="s">
        <v>6</v>
      </c>
      <c r="CN4" s="657"/>
    </row>
    <row r="5" spans="1:92" ht="24" customHeight="1" x14ac:dyDescent="0.3">
      <c r="A5" s="618"/>
      <c r="B5" s="619"/>
      <c r="C5" s="726" t="s">
        <v>19</v>
      </c>
      <c r="D5" s="727" t="s">
        <v>20</v>
      </c>
      <c r="E5" s="728" t="s">
        <v>21</v>
      </c>
      <c r="F5" s="729" t="s">
        <v>22</v>
      </c>
      <c r="G5" s="730" t="s">
        <v>23</v>
      </c>
      <c r="H5" s="6" t="s">
        <v>24</v>
      </c>
      <c r="I5" s="6" t="s">
        <v>25</v>
      </c>
      <c r="J5" s="589" t="s">
        <v>26</v>
      </c>
      <c r="K5" s="590"/>
      <c r="L5" s="591" t="s">
        <v>24</v>
      </c>
      <c r="M5" s="592"/>
      <c r="N5" s="593"/>
      <c r="O5" s="611" t="s">
        <v>25</v>
      </c>
      <c r="P5" s="592"/>
      <c r="Q5" s="593"/>
      <c r="R5" s="764"/>
      <c r="S5" s="765"/>
      <c r="T5" s="765"/>
      <c r="U5" s="766"/>
      <c r="V5" s="766"/>
      <c r="W5" s="224" t="s">
        <v>178</v>
      </c>
      <c r="X5" s="597" t="s">
        <v>12</v>
      </c>
      <c r="Y5" s="583"/>
      <c r="Z5" s="280" t="s">
        <v>27</v>
      </c>
      <c r="AA5" s="661" t="s">
        <v>28</v>
      </c>
      <c r="AB5" s="583"/>
      <c r="AC5" s="281" t="s">
        <v>179</v>
      </c>
      <c r="AD5" s="281" t="s">
        <v>180</v>
      </c>
      <c r="AE5" s="281" t="s">
        <v>181</v>
      </c>
      <c r="AF5" s="224" t="s">
        <v>178</v>
      </c>
      <c r="AG5" s="597" t="s">
        <v>12</v>
      </c>
      <c r="AH5" s="583"/>
      <c r="AI5" s="224" t="s">
        <v>178</v>
      </c>
      <c r="AJ5" s="597" t="s">
        <v>12</v>
      </c>
      <c r="AK5" s="583"/>
      <c r="AL5" s="224" t="s">
        <v>178</v>
      </c>
      <c r="AM5" s="597" t="s">
        <v>12</v>
      </c>
      <c r="AN5" s="583"/>
      <c r="AO5" s="280" t="s">
        <v>27</v>
      </c>
      <c r="AP5" s="659" t="s">
        <v>28</v>
      </c>
      <c r="AQ5" s="583"/>
      <c r="AR5" s="662" t="s">
        <v>28</v>
      </c>
      <c r="AS5" s="583"/>
      <c r="AT5" s="224" t="s">
        <v>178</v>
      </c>
      <c r="AU5" s="597" t="s">
        <v>12</v>
      </c>
      <c r="AV5" s="583"/>
      <c r="AW5" s="224" t="s">
        <v>178</v>
      </c>
      <c r="AX5" s="597" t="s">
        <v>12</v>
      </c>
      <c r="AY5" s="583"/>
      <c r="AZ5" s="224" t="s">
        <v>178</v>
      </c>
      <c r="BA5" s="597" t="s">
        <v>12</v>
      </c>
      <c r="BB5" s="583"/>
      <c r="BC5" s="280" t="s">
        <v>27</v>
      </c>
      <c r="BD5" s="659" t="s">
        <v>28</v>
      </c>
      <c r="BE5" s="583"/>
      <c r="BF5" s="280" t="s">
        <v>27</v>
      </c>
      <c r="BG5" s="659" t="s">
        <v>28</v>
      </c>
      <c r="BH5" s="583"/>
      <c r="BI5" s="224" t="s">
        <v>178</v>
      </c>
      <c r="BJ5" s="597" t="s">
        <v>12</v>
      </c>
      <c r="BK5" s="583"/>
      <c r="BL5" s="224" t="s">
        <v>178</v>
      </c>
      <c r="BM5" s="597" t="s">
        <v>12</v>
      </c>
      <c r="BN5" s="583"/>
      <c r="BO5" s="280" t="s">
        <v>27</v>
      </c>
      <c r="BP5" s="659" t="s">
        <v>28</v>
      </c>
      <c r="BQ5" s="583"/>
      <c r="BR5" s="280" t="s">
        <v>27</v>
      </c>
      <c r="BS5" s="659" t="s">
        <v>28</v>
      </c>
      <c r="BT5" s="583"/>
      <c r="BU5" s="280" t="s">
        <v>27</v>
      </c>
      <c r="BV5" s="659" t="s">
        <v>28</v>
      </c>
      <c r="BW5" s="583"/>
      <c r="BX5" s="224" t="s">
        <v>178</v>
      </c>
      <c r="BY5" s="597" t="s">
        <v>12</v>
      </c>
      <c r="BZ5" s="583"/>
      <c r="CA5" s="224" t="s">
        <v>178</v>
      </c>
      <c r="CB5" s="597" t="s">
        <v>12</v>
      </c>
      <c r="CC5" s="583"/>
      <c r="CD5" s="224" t="s">
        <v>178</v>
      </c>
      <c r="CE5" s="597" t="s">
        <v>12</v>
      </c>
      <c r="CF5" s="583"/>
      <c r="CG5" s="224" t="s">
        <v>178</v>
      </c>
      <c r="CH5" s="597" t="s">
        <v>12</v>
      </c>
      <c r="CI5" s="583"/>
      <c r="CJ5" s="280" t="s">
        <v>27</v>
      </c>
      <c r="CK5" s="659" t="s">
        <v>28</v>
      </c>
      <c r="CL5" s="583"/>
      <c r="CM5" s="282" t="s">
        <v>28</v>
      </c>
      <c r="CN5" s="282" t="s">
        <v>28</v>
      </c>
    </row>
    <row r="6" spans="1:92" ht="46.5" customHeight="1" x14ac:dyDescent="0.2">
      <c r="A6" s="620"/>
      <c r="B6" s="621"/>
      <c r="C6" s="731"/>
      <c r="D6" s="732"/>
      <c r="E6" s="732"/>
      <c r="F6" s="732"/>
      <c r="G6" s="732"/>
      <c r="H6" s="6"/>
      <c r="I6" s="6"/>
      <c r="J6" s="739" t="s">
        <v>29</v>
      </c>
      <c r="K6" s="740" t="s">
        <v>30</v>
      </c>
      <c r="L6" s="739" t="s">
        <v>29</v>
      </c>
      <c r="M6" s="741" t="s">
        <v>31</v>
      </c>
      <c r="N6" s="742" t="s">
        <v>32</v>
      </c>
      <c r="O6" s="743" t="s">
        <v>29</v>
      </c>
      <c r="P6" s="741" t="s">
        <v>31</v>
      </c>
      <c r="Q6" s="742" t="s">
        <v>32</v>
      </c>
      <c r="R6" s="767"/>
      <c r="S6" s="768"/>
      <c r="T6" s="768"/>
      <c r="U6" s="769"/>
      <c r="V6" s="769"/>
      <c r="W6" s="13" t="s">
        <v>29</v>
      </c>
      <c r="X6" s="227" t="s">
        <v>29</v>
      </c>
      <c r="Y6" s="11" t="s">
        <v>30</v>
      </c>
      <c r="Z6" s="283" t="s">
        <v>182</v>
      </c>
      <c r="AA6" s="284" t="s">
        <v>182</v>
      </c>
      <c r="AB6" s="285" t="s">
        <v>30</v>
      </c>
      <c r="AC6" s="284" t="s">
        <v>34</v>
      </c>
      <c r="AD6" s="284" t="s">
        <v>34</v>
      </c>
      <c r="AE6" s="284" t="s">
        <v>34</v>
      </c>
      <c r="AF6" s="13" t="s">
        <v>29</v>
      </c>
      <c r="AG6" s="227" t="s">
        <v>29</v>
      </c>
      <c r="AH6" s="11" t="s">
        <v>30</v>
      </c>
      <c r="AI6" s="13" t="s">
        <v>29</v>
      </c>
      <c r="AJ6" s="227" t="s">
        <v>29</v>
      </c>
      <c r="AK6" s="11" t="s">
        <v>30</v>
      </c>
      <c r="AL6" s="13" t="s">
        <v>29</v>
      </c>
      <c r="AM6" s="227" t="s">
        <v>29</v>
      </c>
      <c r="AN6" s="11" t="s">
        <v>30</v>
      </c>
      <c r="AO6" s="286" t="s">
        <v>183</v>
      </c>
      <c r="AP6" s="287" t="s">
        <v>183</v>
      </c>
      <c r="AQ6" s="285" t="s">
        <v>30</v>
      </c>
      <c r="AR6" s="287" t="s">
        <v>183</v>
      </c>
      <c r="AS6" s="288" t="s">
        <v>184</v>
      </c>
      <c r="AT6" s="13" t="s">
        <v>29</v>
      </c>
      <c r="AU6" s="227" t="s">
        <v>29</v>
      </c>
      <c r="AV6" s="11" t="s">
        <v>30</v>
      </c>
      <c r="AW6" s="13" t="s">
        <v>29</v>
      </c>
      <c r="AX6" s="227" t="s">
        <v>29</v>
      </c>
      <c r="AY6" s="11" t="s">
        <v>30</v>
      </c>
      <c r="AZ6" s="13" t="s">
        <v>29</v>
      </c>
      <c r="BA6" s="227" t="s">
        <v>29</v>
      </c>
      <c r="BB6" s="11" t="s">
        <v>30</v>
      </c>
      <c r="BC6" s="289" t="s">
        <v>183</v>
      </c>
      <c r="BD6" s="287" t="s">
        <v>183</v>
      </c>
      <c r="BE6" s="285" t="s">
        <v>30</v>
      </c>
      <c r="BF6" s="289" t="s">
        <v>183</v>
      </c>
      <c r="BG6" s="287" t="s">
        <v>183</v>
      </c>
      <c r="BH6" s="285" t="s">
        <v>30</v>
      </c>
      <c r="BI6" s="13" t="s">
        <v>29</v>
      </c>
      <c r="BJ6" s="227" t="s">
        <v>29</v>
      </c>
      <c r="BK6" s="11" t="s">
        <v>30</v>
      </c>
      <c r="BL6" s="13" t="s">
        <v>29</v>
      </c>
      <c r="BM6" s="227" t="s">
        <v>29</v>
      </c>
      <c r="BN6" s="11" t="s">
        <v>30</v>
      </c>
      <c r="BO6" s="289" t="s">
        <v>185</v>
      </c>
      <c r="BP6" s="287" t="s">
        <v>185</v>
      </c>
      <c r="BQ6" s="285" t="s">
        <v>30</v>
      </c>
      <c r="BR6" s="289" t="s">
        <v>185</v>
      </c>
      <c r="BS6" s="287" t="s">
        <v>185</v>
      </c>
      <c r="BT6" s="285" t="s">
        <v>30</v>
      </c>
      <c r="BU6" s="289" t="s">
        <v>34</v>
      </c>
      <c r="BV6" s="287" t="s">
        <v>34</v>
      </c>
      <c r="BW6" s="285" t="s">
        <v>30</v>
      </c>
      <c r="BX6" s="13" t="s">
        <v>29</v>
      </c>
      <c r="BY6" s="227" t="s">
        <v>29</v>
      </c>
      <c r="BZ6" s="11" t="s">
        <v>30</v>
      </c>
      <c r="CA6" s="13" t="s">
        <v>29</v>
      </c>
      <c r="CB6" s="227" t="s">
        <v>29</v>
      </c>
      <c r="CC6" s="11" t="s">
        <v>30</v>
      </c>
      <c r="CD6" s="13" t="s">
        <v>29</v>
      </c>
      <c r="CE6" s="227" t="s">
        <v>29</v>
      </c>
      <c r="CF6" s="11" t="s">
        <v>30</v>
      </c>
      <c r="CG6" s="13" t="s">
        <v>29</v>
      </c>
      <c r="CH6" s="227" t="s">
        <v>29</v>
      </c>
      <c r="CI6" s="11" t="s">
        <v>30</v>
      </c>
      <c r="CJ6" s="289" t="s">
        <v>34</v>
      </c>
      <c r="CK6" s="287" t="s">
        <v>34</v>
      </c>
      <c r="CL6" s="285" t="s">
        <v>30</v>
      </c>
      <c r="CM6" s="287" t="s">
        <v>34</v>
      </c>
      <c r="CN6" s="287" t="s">
        <v>148</v>
      </c>
    </row>
    <row r="7" spans="1:92" ht="24" customHeight="1" x14ac:dyDescent="0.3">
      <c r="A7" s="651" t="s">
        <v>289</v>
      </c>
      <c r="B7" s="629"/>
      <c r="C7" s="150">
        <f t="shared" ref="C7:C9" ca="1" si="0">D7+G7</f>
        <v>14194800</v>
      </c>
      <c r="D7" s="151">
        <f t="shared" ref="D7:E7" ca="1" si="1">D8+D9+D12</f>
        <v>14194800</v>
      </c>
      <c r="E7" s="152">
        <f t="shared" ca="1" si="1"/>
        <v>6387700</v>
      </c>
      <c r="F7" s="153">
        <f ca="1">F8+F9</f>
        <v>7807100</v>
      </c>
      <c r="G7" s="154">
        <f t="shared" ref="G7:I7" ca="1" si="2">G8+G9+G12</f>
        <v>0</v>
      </c>
      <c r="H7" s="228">
        <f t="shared" ca="1" si="2"/>
        <v>14194800</v>
      </c>
      <c r="I7" s="228">
        <f t="shared" ca="1" si="2"/>
        <v>0</v>
      </c>
      <c r="J7" s="156">
        <f t="shared" ref="J7:J9" ca="1" si="3">L7+O7</f>
        <v>4195917.93</v>
      </c>
      <c r="K7" s="157">
        <f t="shared" ref="K7:K9" ca="1" si="4">IF(C7&gt;0,J7*100/C7,0)</f>
        <v>29.559542438075916</v>
      </c>
      <c r="L7" s="156">
        <f ca="1">L8+L9+L12</f>
        <v>4195917.93</v>
      </c>
      <c r="M7" s="27">
        <f t="shared" ref="M7:M9" ca="1" si="5">IF(D7&gt;0,L7*100/D7,0)</f>
        <v>29.559542438075916</v>
      </c>
      <c r="N7" s="27">
        <f t="shared" ref="N7:N9" ca="1" si="6">IF(H7&gt;0,L7*100/H7,0)</f>
        <v>29.559542438075916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29">
        <f t="shared" ref="R7:T7" ca="1" si="9">R8+R9</f>
        <v>5957738</v>
      </c>
      <c r="S7" s="230">
        <f t="shared" ca="1" si="9"/>
        <v>0</v>
      </c>
      <c r="T7" s="230">
        <f t="shared" ca="1" si="9"/>
        <v>0</v>
      </c>
      <c r="U7" s="231">
        <f t="shared" ref="U7:U9" ca="1" si="10">IF(R7&gt;0,T7*100/R7,0)</f>
        <v>0</v>
      </c>
      <c r="V7" s="231">
        <f t="shared" ref="V7:V9" ca="1" si="11">IF(S7&gt;0,T7*100/S7,0)</f>
        <v>0</v>
      </c>
      <c r="W7" s="28">
        <f t="shared" ref="W7:X7" ca="1" si="12">W8</f>
        <v>432000</v>
      </c>
      <c r="X7" s="29">
        <f t="shared" ca="1" si="12"/>
        <v>15140</v>
      </c>
      <c r="Y7" s="30">
        <f t="shared" ref="Y7:Y8" ca="1" si="13">IF(W7&gt;0,X7*100/W7,0)</f>
        <v>3.5046296296296298</v>
      </c>
      <c r="Z7" s="290">
        <f t="shared" ref="Z7:AA7" ca="1" si="14">Z8</f>
        <v>288</v>
      </c>
      <c r="AA7" s="291">
        <f t="shared" ca="1" si="14"/>
        <v>47</v>
      </c>
      <c r="AB7" s="292">
        <f t="shared" ref="AB7:AB8" ca="1" si="15">IF(Z7&gt;0,AA7*100/Z7,0)</f>
        <v>16.319444444444443</v>
      </c>
      <c r="AC7" s="291">
        <f t="shared" ref="AC7:AG7" ca="1" si="16">AC8</f>
        <v>1323</v>
      </c>
      <c r="AD7" s="291">
        <f t="shared" ca="1" si="16"/>
        <v>1323</v>
      </c>
      <c r="AE7" s="291">
        <f t="shared" ca="1" si="16"/>
        <v>0</v>
      </c>
      <c r="AF7" s="28">
        <f t="shared" ca="1" si="16"/>
        <v>138000</v>
      </c>
      <c r="AG7" s="29">
        <f t="shared" ca="1" si="16"/>
        <v>1960</v>
      </c>
      <c r="AH7" s="30">
        <f t="shared" ref="AH7:AH8" ca="1" si="17">IF(AF7&gt;0,AG7*100/AF7,0)</f>
        <v>1.4202898550724639</v>
      </c>
      <c r="AI7" s="28">
        <f t="shared" ref="AI7:AJ7" ca="1" si="18">AI8</f>
        <v>1104000</v>
      </c>
      <c r="AJ7" s="29">
        <f t="shared" ca="1" si="18"/>
        <v>36747</v>
      </c>
      <c r="AK7" s="30">
        <f t="shared" ref="AK7:AK8" ca="1" si="19">IF(AI7&gt;0,AJ7*100/AI7,0)</f>
        <v>3.3285326086956522</v>
      </c>
      <c r="AL7" s="28">
        <f t="shared" ref="AL7:AM7" ca="1" si="20">AL8</f>
        <v>652000</v>
      </c>
      <c r="AM7" s="29">
        <f t="shared" ca="1" si="20"/>
        <v>0</v>
      </c>
      <c r="AN7" s="30">
        <f t="shared" ref="AN7:AN8" ca="1" si="21">IF(AL7&gt;0,AM7*100/AL7,0)</f>
        <v>0</v>
      </c>
      <c r="AO7" s="290">
        <f t="shared" ref="AO7:AP7" ca="1" si="22">AO8</f>
        <v>138</v>
      </c>
      <c r="AP7" s="291">
        <f t="shared" ca="1" si="22"/>
        <v>9</v>
      </c>
      <c r="AQ7" s="292">
        <f t="shared" ref="AQ7:AQ8" ca="1" si="23">IF(AO7&gt;0,AP7*100/AO7,0)</f>
        <v>6.5217391304347823</v>
      </c>
      <c r="AR7" s="291">
        <f t="shared" ref="AR7:AU7" ca="1" si="24">AR8</f>
        <v>0</v>
      </c>
      <c r="AS7" s="291">
        <f t="shared" ca="1" si="24"/>
        <v>0</v>
      </c>
      <c r="AT7" s="28">
        <f t="shared" ca="1" si="24"/>
        <v>45000</v>
      </c>
      <c r="AU7" s="29">
        <f t="shared" ca="1" si="24"/>
        <v>240</v>
      </c>
      <c r="AV7" s="30">
        <f t="shared" ref="AV7:AV8" ca="1" si="25">IF(AT7&gt;0,AU7*100/AT7,0)</f>
        <v>0.53333333333333333</v>
      </c>
      <c r="AW7" s="28">
        <f t="shared" ref="AW7:AX7" ca="1" si="26">AW8</f>
        <v>225000</v>
      </c>
      <c r="AX7" s="29">
        <f t="shared" ca="1" si="26"/>
        <v>0</v>
      </c>
      <c r="AY7" s="30">
        <f t="shared" ref="AY7:AY8" ca="1" si="27">IF(AW7&gt;0,AX7*100/AW7,0)</f>
        <v>0</v>
      </c>
      <c r="AZ7" s="28">
        <f t="shared" ref="AZ7:BA7" ca="1" si="28">AZ8</f>
        <v>360000</v>
      </c>
      <c r="BA7" s="29">
        <f t="shared" ca="1" si="28"/>
        <v>8000</v>
      </c>
      <c r="BB7" s="30">
        <f t="shared" ref="BB7:BB8" ca="1" si="29">IF(AZ7&gt;0,BA7*100/AZ7,0)</f>
        <v>2.2222222222222223</v>
      </c>
      <c r="BC7" s="290">
        <f t="shared" ref="BC7:BD7" ca="1" si="30">BC8</f>
        <v>45</v>
      </c>
      <c r="BD7" s="291">
        <f t="shared" ca="1" si="30"/>
        <v>0</v>
      </c>
      <c r="BE7" s="292">
        <f t="shared" ref="BE7:BE8" ca="1" si="31">IF(BC7&gt;0,BD7*100/BC7,0)</f>
        <v>0</v>
      </c>
      <c r="BF7" s="290">
        <f t="shared" ref="BF7:BG7" ca="1" si="32">BF8</f>
        <v>45</v>
      </c>
      <c r="BG7" s="291">
        <f t="shared" ca="1" si="32"/>
        <v>1</v>
      </c>
      <c r="BH7" s="292">
        <f t="shared" ref="BH7:BH8" ca="1" si="33">IF(BF7&gt;0,BG7*100/BF7,0)</f>
        <v>2.2222222222222223</v>
      </c>
      <c r="BI7" s="28">
        <f t="shared" ref="BI7:BJ7" ca="1" si="34">BI8</f>
        <v>381000</v>
      </c>
      <c r="BJ7" s="29">
        <f t="shared" ca="1" si="34"/>
        <v>0</v>
      </c>
      <c r="BK7" s="30">
        <f t="shared" ref="BK7:BK8" ca="1" si="35">IF(BI7&gt;0,BJ7*100/BI7,0)</f>
        <v>0</v>
      </c>
      <c r="BL7" s="28">
        <f t="shared" ref="BL7:BM7" ca="1" si="36">BL8</f>
        <v>106500</v>
      </c>
      <c r="BM7" s="29">
        <f t="shared" ca="1" si="36"/>
        <v>0</v>
      </c>
      <c r="BN7" s="30">
        <f t="shared" ref="BN7:BN8" ca="1" si="37">IF(BL7&gt;0,BM7*100/BL7,0)</f>
        <v>0</v>
      </c>
      <c r="BO7" s="290">
        <f t="shared" ref="BO7:BP7" ca="1" si="38">BO8</f>
        <v>2633000</v>
      </c>
      <c r="BP7" s="291">
        <f t="shared" ca="1" si="38"/>
        <v>102800</v>
      </c>
      <c r="BQ7" s="292">
        <f t="shared" ref="BQ7:BQ8" ca="1" si="39">IF(BO7&gt;0,BP7*100/BO7,0)</f>
        <v>3.9042916824914546</v>
      </c>
      <c r="BR7" s="290">
        <f t="shared" ref="BR7:BS7" ca="1" si="40">BR8</f>
        <v>2633000</v>
      </c>
      <c r="BS7" s="291">
        <f t="shared" ca="1" si="40"/>
        <v>0</v>
      </c>
      <c r="BT7" s="292">
        <f t="shared" ref="BT7:BT8" ca="1" si="41">IF(BR7&gt;0,BS7*100/BR7,0)</f>
        <v>0</v>
      </c>
      <c r="BU7" s="290">
        <f t="shared" ref="BU7:BV7" ca="1" si="42">BU8</f>
        <v>0</v>
      </c>
      <c r="BV7" s="291">
        <f t="shared" ca="1" si="42"/>
        <v>0</v>
      </c>
      <c r="BW7" s="292">
        <f t="shared" ref="BW7:BW8" ca="1" si="43">IF(BU7&gt;0,BV7*100/BU7,0)</f>
        <v>0</v>
      </c>
      <c r="BX7" s="28">
        <f t="shared" ref="BX7:BY7" ca="1" si="44">BX8</f>
        <v>1070300</v>
      </c>
      <c r="BY7" s="29">
        <f t="shared" ca="1" si="44"/>
        <v>101706.34</v>
      </c>
      <c r="BZ7" s="30">
        <f t="shared" ref="BZ7:BZ8" ca="1" si="45">IF(BX7&gt;0,BY7*100/BX7,0)</f>
        <v>9.5026011398673269</v>
      </c>
      <c r="CA7" s="28">
        <f t="shared" ref="CA7:CB7" ca="1" si="46">CA8</f>
        <v>59000</v>
      </c>
      <c r="CB7" s="29">
        <f t="shared" ca="1" si="46"/>
        <v>4130</v>
      </c>
      <c r="CC7" s="30">
        <f t="shared" ref="CC7:CC8" ca="1" si="47">IF(CA7&gt;0,CB7*100/CA7,0)</f>
        <v>7</v>
      </c>
      <c r="CD7" s="28">
        <f t="shared" ref="CD7:CE7" ca="1" si="48">CD8</f>
        <v>945300</v>
      </c>
      <c r="CE7" s="29">
        <f t="shared" ca="1" si="48"/>
        <v>32900</v>
      </c>
      <c r="CF7" s="30">
        <f t="shared" ref="CF7:CF8" ca="1" si="49">IF(CD7&gt;0,CE7*100/CD7,0)</f>
        <v>3.4803766000211573</v>
      </c>
      <c r="CG7" s="28">
        <f t="shared" ref="CG7:CH7" ca="1" si="50">CG8</f>
        <v>757000</v>
      </c>
      <c r="CH7" s="29">
        <f t="shared" ca="1" si="50"/>
        <v>0</v>
      </c>
      <c r="CI7" s="30">
        <f t="shared" ref="CI7:CI8" ca="1" si="51">IF(CG7&gt;0,CH7*100/CG7,0)</f>
        <v>0</v>
      </c>
      <c r="CJ7" s="290">
        <f t="shared" ref="CJ7:CK7" ca="1" si="52">CJ8</f>
        <v>660</v>
      </c>
      <c r="CK7" s="291">
        <f t="shared" ca="1" si="52"/>
        <v>90</v>
      </c>
      <c r="CL7" s="292">
        <f t="shared" ref="CL7:CL8" ca="1" si="53">IF(CJ7&gt;0,CK7*100/CJ7,0)</f>
        <v>13.636363636363637</v>
      </c>
      <c r="CM7" s="291">
        <f t="shared" ref="CM7:CN7" ca="1" si="54">CM8</f>
        <v>30</v>
      </c>
      <c r="CN7" s="291">
        <f t="shared" ca="1" si="54"/>
        <v>0</v>
      </c>
    </row>
    <row r="8" spans="1:92" ht="28.5" customHeight="1" x14ac:dyDescent="0.3">
      <c r="A8" s="31" t="s">
        <v>37</v>
      </c>
      <c r="B8" s="32"/>
      <c r="C8" s="161">
        <f t="shared" ca="1" si="0"/>
        <v>12171400</v>
      </c>
      <c r="D8" s="161">
        <f t="shared" ref="D8:I8" ca="1" si="55">+D13+D31+D52+D74</f>
        <v>12171400</v>
      </c>
      <c r="E8" s="161">
        <f t="shared" ca="1" si="55"/>
        <v>5896300</v>
      </c>
      <c r="F8" s="161">
        <f t="shared" ca="1" si="55"/>
        <v>6275100</v>
      </c>
      <c r="G8" s="161">
        <f t="shared" ca="1" si="55"/>
        <v>0</v>
      </c>
      <c r="H8" s="161">
        <f t="shared" ca="1" si="55"/>
        <v>12565265</v>
      </c>
      <c r="I8" s="161">
        <f t="shared" ca="1" si="55"/>
        <v>0</v>
      </c>
      <c r="J8" s="161">
        <f t="shared" ca="1" si="3"/>
        <v>3624472.47</v>
      </c>
      <c r="K8" s="162">
        <f t="shared" ca="1" si="4"/>
        <v>29.77859958591452</v>
      </c>
      <c r="L8" s="161">
        <f ca="1">+L13+L31+L52+L74</f>
        <v>3624472.47</v>
      </c>
      <c r="M8" s="40">
        <f t="shared" ca="1" si="5"/>
        <v>29.77859958591452</v>
      </c>
      <c r="N8" s="40">
        <f t="shared" ca="1" si="6"/>
        <v>28.845173340952222</v>
      </c>
      <c r="O8" s="39">
        <f ca="1">+O13+O31+O52+O74</f>
        <v>0</v>
      </c>
      <c r="P8" s="39">
        <f t="shared" ca="1" si="7"/>
        <v>0</v>
      </c>
      <c r="Q8" s="40">
        <f t="shared" ca="1" si="8"/>
        <v>0</v>
      </c>
      <c r="R8" s="232">
        <f t="shared" ref="R8:T8" ca="1" si="56">+R13+R31+R52+R74</f>
        <v>5957738</v>
      </c>
      <c r="S8" s="233">
        <f t="shared" ca="1" si="56"/>
        <v>0</v>
      </c>
      <c r="T8" s="233">
        <f t="shared" ca="1" si="56"/>
        <v>0</v>
      </c>
      <c r="U8" s="234">
        <f t="shared" ca="1" si="10"/>
        <v>0</v>
      </c>
      <c r="V8" s="234">
        <f t="shared" ca="1" si="11"/>
        <v>0</v>
      </c>
      <c r="W8" s="35">
        <f t="shared" ref="W8:X8" ca="1" si="57">+W13+W31+W52+W74</f>
        <v>432000</v>
      </c>
      <c r="X8" s="35">
        <f t="shared" ca="1" si="57"/>
        <v>15140</v>
      </c>
      <c r="Y8" s="37">
        <f t="shared" ca="1" si="13"/>
        <v>3.5046296296296298</v>
      </c>
      <c r="Z8" s="35">
        <f t="shared" ref="Z8:AA8" ca="1" si="58">+Z13+Z31+Z52+Z74</f>
        <v>288</v>
      </c>
      <c r="AA8" s="35">
        <f t="shared" ca="1" si="58"/>
        <v>47</v>
      </c>
      <c r="AB8" s="37">
        <f t="shared" ca="1" si="15"/>
        <v>16.319444444444443</v>
      </c>
      <c r="AC8" s="35">
        <f t="shared" ref="AC8:AG8" ca="1" si="59">+AC13+AC31+AC52+AC74</f>
        <v>1323</v>
      </c>
      <c r="AD8" s="35">
        <f t="shared" ca="1" si="59"/>
        <v>1323</v>
      </c>
      <c r="AE8" s="35">
        <f t="shared" ca="1" si="59"/>
        <v>0</v>
      </c>
      <c r="AF8" s="35">
        <f t="shared" ca="1" si="59"/>
        <v>138000</v>
      </c>
      <c r="AG8" s="35">
        <f t="shared" ca="1" si="59"/>
        <v>1960</v>
      </c>
      <c r="AH8" s="37">
        <f t="shared" ca="1" si="17"/>
        <v>1.4202898550724639</v>
      </c>
      <c r="AI8" s="35">
        <f t="shared" ref="AI8:AJ8" ca="1" si="60">+AI13+AI31+AI52+AI74</f>
        <v>1104000</v>
      </c>
      <c r="AJ8" s="35">
        <f t="shared" ca="1" si="60"/>
        <v>36747</v>
      </c>
      <c r="AK8" s="37">
        <f t="shared" ca="1" si="19"/>
        <v>3.3285326086956522</v>
      </c>
      <c r="AL8" s="35">
        <f t="shared" ref="AL8:AM8" ca="1" si="61">+AL13+AL31+AL52+AL74</f>
        <v>652000</v>
      </c>
      <c r="AM8" s="35">
        <f t="shared" ca="1" si="61"/>
        <v>0</v>
      </c>
      <c r="AN8" s="37">
        <f t="shared" ca="1" si="21"/>
        <v>0</v>
      </c>
      <c r="AO8" s="35">
        <f t="shared" ref="AO8:AP8" ca="1" si="62">+AO13+AO31+AO52+AO74</f>
        <v>138</v>
      </c>
      <c r="AP8" s="35">
        <f t="shared" ca="1" si="62"/>
        <v>9</v>
      </c>
      <c r="AQ8" s="37">
        <f t="shared" ca="1" si="23"/>
        <v>6.5217391304347823</v>
      </c>
      <c r="AR8" s="35">
        <f t="shared" ref="AR8:AU8" ca="1" si="63">+AR13+AR31+AR52+AR74</f>
        <v>0</v>
      </c>
      <c r="AS8" s="35">
        <f t="shared" ca="1" si="63"/>
        <v>0</v>
      </c>
      <c r="AT8" s="35">
        <f t="shared" ca="1" si="63"/>
        <v>45000</v>
      </c>
      <c r="AU8" s="35">
        <f t="shared" ca="1" si="63"/>
        <v>240</v>
      </c>
      <c r="AV8" s="37">
        <f t="shared" ca="1" si="25"/>
        <v>0.53333333333333333</v>
      </c>
      <c r="AW8" s="35">
        <f t="shared" ref="AW8:AX8" ca="1" si="64">+AW13+AW31+AW52+AW74</f>
        <v>225000</v>
      </c>
      <c r="AX8" s="35">
        <f t="shared" ca="1" si="64"/>
        <v>0</v>
      </c>
      <c r="AY8" s="37">
        <f t="shared" ca="1" si="27"/>
        <v>0</v>
      </c>
      <c r="AZ8" s="35">
        <f t="shared" ref="AZ8:BA8" ca="1" si="65">+AZ13+AZ31+AZ52+AZ74</f>
        <v>360000</v>
      </c>
      <c r="BA8" s="35">
        <f t="shared" ca="1" si="65"/>
        <v>8000</v>
      </c>
      <c r="BB8" s="37">
        <f t="shared" ca="1" si="29"/>
        <v>2.2222222222222223</v>
      </c>
      <c r="BC8" s="35">
        <f t="shared" ref="BC8:BD8" ca="1" si="66">+BC13+BC31+BC52+BC74</f>
        <v>45</v>
      </c>
      <c r="BD8" s="35">
        <f t="shared" ca="1" si="66"/>
        <v>0</v>
      </c>
      <c r="BE8" s="37">
        <f t="shared" ca="1" si="31"/>
        <v>0</v>
      </c>
      <c r="BF8" s="35">
        <f t="shared" ref="BF8:BG8" ca="1" si="67">+BF13+BF31+BF52+BF74</f>
        <v>45</v>
      </c>
      <c r="BG8" s="35">
        <f t="shared" ca="1" si="67"/>
        <v>1</v>
      </c>
      <c r="BH8" s="37">
        <f t="shared" ca="1" si="33"/>
        <v>2.2222222222222223</v>
      </c>
      <c r="BI8" s="35">
        <f t="shared" ref="BI8:BJ8" ca="1" si="68">+BI13+BI31+BI52+BI74</f>
        <v>381000</v>
      </c>
      <c r="BJ8" s="35">
        <f t="shared" ca="1" si="68"/>
        <v>0</v>
      </c>
      <c r="BK8" s="37">
        <f t="shared" ca="1" si="35"/>
        <v>0</v>
      </c>
      <c r="BL8" s="35">
        <f t="shared" ref="BL8:BM8" ca="1" si="69">+BL13+BL31+BL52+BL74</f>
        <v>106500</v>
      </c>
      <c r="BM8" s="35">
        <f t="shared" ca="1" si="69"/>
        <v>0</v>
      </c>
      <c r="BN8" s="37">
        <f t="shared" ca="1" si="37"/>
        <v>0</v>
      </c>
      <c r="BO8" s="35">
        <f t="shared" ref="BO8:BP8" ca="1" si="70">+BO13+BO31+BO52+BO74</f>
        <v>2633000</v>
      </c>
      <c r="BP8" s="35">
        <f t="shared" ca="1" si="70"/>
        <v>102800</v>
      </c>
      <c r="BQ8" s="37">
        <f t="shared" ca="1" si="39"/>
        <v>3.9042916824914546</v>
      </c>
      <c r="BR8" s="35">
        <f t="shared" ref="BR8:BS8" ca="1" si="71">+BR13+BR31+BR52+BR74</f>
        <v>2633000</v>
      </c>
      <c r="BS8" s="35">
        <f t="shared" ca="1" si="71"/>
        <v>0</v>
      </c>
      <c r="BT8" s="37">
        <f t="shared" ca="1" si="41"/>
        <v>0</v>
      </c>
      <c r="BU8" s="35">
        <f t="shared" ref="BU8:BV8" ca="1" si="72">+BU13+BU31+BU52+BU74</f>
        <v>0</v>
      </c>
      <c r="BV8" s="35">
        <f t="shared" ca="1" si="72"/>
        <v>0</v>
      </c>
      <c r="BW8" s="37">
        <f t="shared" ca="1" si="43"/>
        <v>0</v>
      </c>
      <c r="BX8" s="35">
        <f t="shared" ref="BX8:BY8" ca="1" si="73">+BX13+BX31+BX52+BX74</f>
        <v>1070300</v>
      </c>
      <c r="BY8" s="35">
        <f t="shared" ca="1" si="73"/>
        <v>101706.34</v>
      </c>
      <c r="BZ8" s="37">
        <f t="shared" ca="1" si="45"/>
        <v>9.5026011398673269</v>
      </c>
      <c r="CA8" s="35">
        <f t="shared" ref="CA8:CB8" ca="1" si="74">+CA13+CA31+CA52+CA74</f>
        <v>59000</v>
      </c>
      <c r="CB8" s="35">
        <f t="shared" ca="1" si="74"/>
        <v>4130</v>
      </c>
      <c r="CC8" s="37">
        <f t="shared" ca="1" si="47"/>
        <v>7</v>
      </c>
      <c r="CD8" s="35">
        <f t="shared" ref="CD8:CE8" ca="1" si="75">+CD13+CD31+CD52+CD74</f>
        <v>945300</v>
      </c>
      <c r="CE8" s="35">
        <f t="shared" ca="1" si="75"/>
        <v>32900</v>
      </c>
      <c r="CF8" s="37">
        <f t="shared" ca="1" si="49"/>
        <v>3.4803766000211573</v>
      </c>
      <c r="CG8" s="35">
        <f t="shared" ref="CG8:CH8" ca="1" si="76">+CG13+CG31+CG52+CG74</f>
        <v>757000</v>
      </c>
      <c r="CH8" s="35">
        <f t="shared" ca="1" si="76"/>
        <v>0</v>
      </c>
      <c r="CI8" s="37">
        <f t="shared" ca="1" si="51"/>
        <v>0</v>
      </c>
      <c r="CJ8" s="35">
        <f t="shared" ref="CJ8:CK8" ca="1" si="77">+CJ13+CJ31+CJ52+CJ74</f>
        <v>660</v>
      </c>
      <c r="CK8" s="35">
        <f t="shared" ca="1" si="77"/>
        <v>90</v>
      </c>
      <c r="CL8" s="37">
        <f t="shared" ca="1" si="53"/>
        <v>13.636363636363637</v>
      </c>
      <c r="CM8" s="35">
        <f t="shared" ref="CM8:CN8" ca="1" si="78">+CM13+CM31+CM52+CM74</f>
        <v>30</v>
      </c>
      <c r="CN8" s="35">
        <f t="shared" ca="1" si="78"/>
        <v>0</v>
      </c>
    </row>
    <row r="9" spans="1:92" ht="28.5" customHeight="1" x14ac:dyDescent="0.3">
      <c r="A9" s="43" t="s">
        <v>38</v>
      </c>
      <c r="B9" s="44"/>
      <c r="C9" s="164">
        <f t="shared" ca="1" si="0"/>
        <v>2023400</v>
      </c>
      <c r="D9" s="164">
        <f t="shared" ref="D9:I9" ca="1" si="79">+D89</f>
        <v>2023400</v>
      </c>
      <c r="E9" s="164">
        <f t="shared" ca="1" si="79"/>
        <v>491400</v>
      </c>
      <c r="F9" s="164">
        <f t="shared" ca="1" si="79"/>
        <v>1532000</v>
      </c>
      <c r="G9" s="164">
        <f t="shared" ca="1" si="79"/>
        <v>0</v>
      </c>
      <c r="H9" s="164">
        <f t="shared" ca="1" si="79"/>
        <v>1629535</v>
      </c>
      <c r="I9" s="164">
        <f t="shared" ca="1" si="79"/>
        <v>0</v>
      </c>
      <c r="J9" s="164">
        <f t="shared" ca="1" si="3"/>
        <v>571445.46</v>
      </c>
      <c r="K9" s="165">
        <f t="shared" ca="1" si="4"/>
        <v>28.241843431847386</v>
      </c>
      <c r="L9" s="164">
        <f ca="1">+L89</f>
        <v>571445.46</v>
      </c>
      <c r="M9" s="51">
        <f t="shared" ca="1" si="5"/>
        <v>28.241843431847386</v>
      </c>
      <c r="N9" s="51">
        <f t="shared" ca="1" si="6"/>
        <v>35.068007744540623</v>
      </c>
      <c r="O9" s="50">
        <f ca="1">+O89</f>
        <v>0</v>
      </c>
      <c r="P9" s="50">
        <f t="shared" ca="1" si="7"/>
        <v>0</v>
      </c>
      <c r="Q9" s="51">
        <f t="shared" ca="1" si="8"/>
        <v>0</v>
      </c>
      <c r="R9" s="235">
        <f ca="1">IFERROR(__xludf.DUMMYFUNCTION("IMPORTRANGE(""https://docs.google.com/spreadsheets/d/1ItG2mGa2ceCfYo0BwxsXqNm01IGEUdYcSSLTEv9YCik/edit?usp=sharing"",""เบิกจ่ายกองทุน!AV11"")"),0)</f>
        <v>0</v>
      </c>
      <c r="S9" s="236">
        <f ca="1">IFERROR(__xludf.DUMMYFUNCTION("IMPORTRANGE(""https://docs.google.com/spreadsheets/d/1ItG2mGa2ceCfYo0BwxsXqNm01IGEUdYcSSLTEv9YCik/edit?usp=sharing"",""เบิกจ่ายกองทุน!AW11"")"),0)</f>
        <v>0</v>
      </c>
      <c r="T9" s="236">
        <f ca="1">IFERROR(__xludf.DUMMYFUNCTION("IMPORTRANGE(""https://docs.google.com/spreadsheets/d/1ItG2mGa2ceCfYo0BwxsXqNm01IGEUdYcSSLTEv9YCik/edit?usp=sharing"",""เบิกจ่ายกองทุน!AX11"")"),0)</f>
        <v>0</v>
      </c>
      <c r="U9" s="237">
        <f t="shared" ca="1" si="10"/>
        <v>0</v>
      </c>
      <c r="V9" s="237">
        <f t="shared" ca="1" si="11"/>
        <v>0</v>
      </c>
      <c r="W9" s="45"/>
      <c r="X9" s="45"/>
      <c r="Y9" s="48"/>
      <c r="Z9" s="45"/>
      <c r="AA9" s="45"/>
      <c r="AB9" s="48"/>
      <c r="AC9" s="45"/>
      <c r="AD9" s="45"/>
      <c r="AE9" s="45"/>
      <c r="AF9" s="45"/>
      <c r="AG9" s="45"/>
      <c r="AH9" s="48"/>
      <c r="AI9" s="45"/>
      <c r="AJ9" s="45"/>
      <c r="AK9" s="48"/>
      <c r="AL9" s="45"/>
      <c r="AM9" s="45"/>
      <c r="AN9" s="48"/>
      <c r="AO9" s="45"/>
      <c r="AP9" s="45"/>
      <c r="AQ9" s="48"/>
      <c r="AR9" s="45"/>
      <c r="AS9" s="45"/>
      <c r="AT9" s="45"/>
      <c r="AU9" s="45"/>
      <c r="AV9" s="48"/>
      <c r="AW9" s="45"/>
      <c r="AX9" s="45"/>
      <c r="AY9" s="48"/>
      <c r="AZ9" s="45"/>
      <c r="BA9" s="45"/>
      <c r="BB9" s="48"/>
      <c r="BC9" s="45"/>
      <c r="BD9" s="45"/>
      <c r="BE9" s="48"/>
      <c r="BF9" s="45"/>
      <c r="BG9" s="45"/>
      <c r="BH9" s="48"/>
      <c r="BI9" s="45"/>
      <c r="BJ9" s="45"/>
      <c r="BK9" s="48"/>
      <c r="BL9" s="45"/>
      <c r="BM9" s="45"/>
      <c r="BN9" s="48"/>
      <c r="BO9" s="45"/>
      <c r="BP9" s="45"/>
      <c r="BQ9" s="48"/>
      <c r="BR9" s="45"/>
      <c r="BS9" s="45"/>
      <c r="BT9" s="48"/>
      <c r="BU9" s="45"/>
      <c r="BV9" s="45"/>
      <c r="BW9" s="48"/>
      <c r="BX9" s="45"/>
      <c r="BY9" s="45"/>
      <c r="BZ9" s="48"/>
      <c r="CA9" s="45"/>
      <c r="CB9" s="45"/>
      <c r="CC9" s="48"/>
      <c r="CD9" s="45"/>
      <c r="CE9" s="45"/>
      <c r="CF9" s="48"/>
      <c r="CG9" s="45"/>
      <c r="CH9" s="45"/>
      <c r="CI9" s="48"/>
      <c r="CJ9" s="45"/>
      <c r="CK9" s="45"/>
      <c r="CL9" s="48"/>
      <c r="CM9" s="45"/>
      <c r="CN9" s="45"/>
    </row>
    <row r="10" spans="1:92" ht="28.5" hidden="1" customHeight="1" x14ac:dyDescent="0.3">
      <c r="A10" s="54"/>
      <c r="B10" s="55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238"/>
      <c r="S10" s="239"/>
      <c r="T10" s="239"/>
      <c r="U10" s="240"/>
      <c r="V10" s="240"/>
      <c r="W10" s="56"/>
      <c r="X10" s="56"/>
      <c r="Y10" s="59"/>
      <c r="Z10" s="56"/>
      <c r="AA10" s="56"/>
      <c r="AB10" s="59"/>
      <c r="AC10" s="56"/>
      <c r="AD10" s="56"/>
      <c r="AE10" s="56"/>
      <c r="AF10" s="56"/>
      <c r="AG10" s="56"/>
      <c r="AH10" s="59"/>
      <c r="AI10" s="56"/>
      <c r="AJ10" s="56"/>
      <c r="AK10" s="59"/>
      <c r="AL10" s="56"/>
      <c r="AM10" s="56"/>
      <c r="AN10" s="59"/>
      <c r="AO10" s="56"/>
      <c r="AP10" s="56"/>
      <c r="AQ10" s="59"/>
      <c r="AR10" s="56"/>
      <c r="AS10" s="56"/>
      <c r="AT10" s="56"/>
      <c r="AU10" s="56"/>
      <c r="AV10" s="59"/>
      <c r="AW10" s="56"/>
      <c r="AX10" s="56"/>
      <c r="AY10" s="59"/>
      <c r="AZ10" s="56"/>
      <c r="BA10" s="56"/>
      <c r="BB10" s="59"/>
      <c r="BC10" s="56"/>
      <c r="BD10" s="56"/>
      <c r="BE10" s="59"/>
      <c r="BF10" s="56"/>
      <c r="BG10" s="56"/>
      <c r="BH10" s="59"/>
      <c r="BI10" s="56"/>
      <c r="BJ10" s="56"/>
      <c r="BK10" s="59"/>
      <c r="BL10" s="56"/>
      <c r="BM10" s="56"/>
      <c r="BN10" s="59"/>
      <c r="BO10" s="56"/>
      <c r="BP10" s="56"/>
      <c r="BQ10" s="59"/>
      <c r="BR10" s="56"/>
      <c r="BS10" s="56"/>
      <c r="BT10" s="59"/>
      <c r="BU10" s="56"/>
      <c r="BV10" s="56"/>
      <c r="BW10" s="59"/>
      <c r="BX10" s="56"/>
      <c r="BY10" s="56"/>
      <c r="BZ10" s="59"/>
      <c r="CA10" s="56"/>
      <c r="CB10" s="56"/>
      <c r="CC10" s="59"/>
      <c r="CD10" s="56"/>
      <c r="CE10" s="56"/>
      <c r="CF10" s="59"/>
      <c r="CG10" s="56"/>
      <c r="CH10" s="56"/>
      <c r="CI10" s="59"/>
      <c r="CJ10" s="56"/>
      <c r="CK10" s="56"/>
      <c r="CL10" s="59"/>
      <c r="CM10" s="56"/>
      <c r="CN10" s="56"/>
    </row>
    <row r="11" spans="1:92" ht="28.5" hidden="1" customHeight="1" x14ac:dyDescent="0.3">
      <c r="A11" s="65"/>
      <c r="B11" s="55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238"/>
      <c r="S11" s="239"/>
      <c r="T11" s="239"/>
      <c r="U11" s="240"/>
      <c r="V11" s="240"/>
      <c r="W11" s="56"/>
      <c r="X11" s="56"/>
      <c r="Y11" s="59"/>
      <c r="Z11" s="56"/>
      <c r="AA11" s="56"/>
      <c r="AB11" s="59"/>
      <c r="AC11" s="56"/>
      <c r="AD11" s="56"/>
      <c r="AE11" s="56"/>
      <c r="AF11" s="56"/>
      <c r="AG11" s="56"/>
      <c r="AH11" s="59"/>
      <c r="AI11" s="56"/>
      <c r="AJ11" s="56"/>
      <c r="AK11" s="59"/>
      <c r="AL11" s="56"/>
      <c r="AM11" s="56"/>
      <c r="AN11" s="59"/>
      <c r="AO11" s="56"/>
      <c r="AP11" s="56"/>
      <c r="AQ11" s="59"/>
      <c r="AR11" s="56"/>
      <c r="AS11" s="56"/>
      <c r="AT11" s="56"/>
      <c r="AU11" s="56"/>
      <c r="AV11" s="59"/>
      <c r="AW11" s="56"/>
      <c r="AX11" s="56"/>
      <c r="AY11" s="59"/>
      <c r="AZ11" s="56"/>
      <c r="BA11" s="56"/>
      <c r="BB11" s="59"/>
      <c r="BC11" s="56"/>
      <c r="BD11" s="56"/>
      <c r="BE11" s="59"/>
      <c r="BF11" s="56"/>
      <c r="BG11" s="56"/>
      <c r="BH11" s="59"/>
      <c r="BI11" s="56"/>
      <c r="BJ11" s="56"/>
      <c r="BK11" s="59"/>
      <c r="BL11" s="56"/>
      <c r="BM11" s="56"/>
      <c r="BN11" s="59"/>
      <c r="BO11" s="56"/>
      <c r="BP11" s="56"/>
      <c r="BQ11" s="59"/>
      <c r="BR11" s="56"/>
      <c r="BS11" s="56"/>
      <c r="BT11" s="59"/>
      <c r="BU11" s="56"/>
      <c r="BV11" s="56"/>
      <c r="BW11" s="59"/>
      <c r="BX11" s="56"/>
      <c r="BY11" s="56"/>
      <c r="BZ11" s="59"/>
      <c r="CA11" s="56"/>
      <c r="CB11" s="56"/>
      <c r="CC11" s="59"/>
      <c r="CD11" s="56"/>
      <c r="CE11" s="56"/>
      <c r="CF11" s="59"/>
      <c r="CG11" s="56"/>
      <c r="CH11" s="56"/>
      <c r="CI11" s="59"/>
      <c r="CJ11" s="56"/>
      <c r="CK11" s="56"/>
      <c r="CL11" s="59"/>
      <c r="CM11" s="56"/>
      <c r="CN11" s="56"/>
    </row>
    <row r="12" spans="1:92" ht="28.5" hidden="1" customHeight="1" x14ac:dyDescent="0.3">
      <c r="A12" s="54"/>
      <c r="B12" s="55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238"/>
      <c r="S12" s="239"/>
      <c r="T12" s="239"/>
      <c r="U12" s="240"/>
      <c r="V12" s="240"/>
      <c r="W12" s="67"/>
      <c r="X12" s="67"/>
      <c r="Y12" s="69"/>
      <c r="Z12" s="67"/>
      <c r="AA12" s="67"/>
      <c r="AB12" s="69"/>
      <c r="AC12" s="67"/>
      <c r="AD12" s="67"/>
      <c r="AE12" s="67"/>
      <c r="AF12" s="67"/>
      <c r="AG12" s="67"/>
      <c r="AH12" s="69"/>
      <c r="AI12" s="67"/>
      <c r="AJ12" s="67"/>
      <c r="AK12" s="69"/>
      <c r="AL12" s="67"/>
      <c r="AM12" s="67"/>
      <c r="AN12" s="69"/>
      <c r="AO12" s="67"/>
      <c r="AP12" s="67"/>
      <c r="AQ12" s="69"/>
      <c r="AR12" s="67"/>
      <c r="AS12" s="67"/>
      <c r="AT12" s="67"/>
      <c r="AU12" s="67"/>
      <c r="AV12" s="69"/>
      <c r="AW12" s="67"/>
      <c r="AX12" s="67"/>
      <c r="AY12" s="69"/>
      <c r="AZ12" s="67"/>
      <c r="BA12" s="67"/>
      <c r="BB12" s="69"/>
      <c r="BC12" s="67"/>
      <c r="BD12" s="67"/>
      <c r="BE12" s="69"/>
      <c r="BF12" s="67"/>
      <c r="BG12" s="67"/>
      <c r="BH12" s="69"/>
      <c r="BI12" s="67"/>
      <c r="BJ12" s="67"/>
      <c r="BK12" s="69"/>
      <c r="BL12" s="67"/>
      <c r="BM12" s="67"/>
      <c r="BN12" s="69"/>
      <c r="BO12" s="67"/>
      <c r="BP12" s="67"/>
      <c r="BQ12" s="69"/>
      <c r="BR12" s="67"/>
      <c r="BS12" s="67"/>
      <c r="BT12" s="69"/>
      <c r="BU12" s="67"/>
      <c r="BV12" s="67"/>
      <c r="BW12" s="69"/>
      <c r="BX12" s="67"/>
      <c r="BY12" s="67"/>
      <c r="BZ12" s="69"/>
      <c r="CA12" s="67"/>
      <c r="CB12" s="67"/>
      <c r="CC12" s="69"/>
      <c r="CD12" s="67"/>
      <c r="CE12" s="67"/>
      <c r="CF12" s="69"/>
      <c r="CG12" s="67"/>
      <c r="CH12" s="67"/>
      <c r="CI12" s="69"/>
      <c r="CJ12" s="67"/>
      <c r="CK12" s="67"/>
      <c r="CL12" s="69"/>
      <c r="CM12" s="67"/>
      <c r="CN12" s="67"/>
    </row>
    <row r="13" spans="1:92" ht="28.5" customHeight="1" x14ac:dyDescent="0.3">
      <c r="A13" s="624" t="s">
        <v>39</v>
      </c>
      <c r="B13" s="583"/>
      <c r="C13" s="161">
        <f t="shared" ref="C13:C88" ca="1" si="80">D13+G13</f>
        <v>3628200</v>
      </c>
      <c r="D13" s="161">
        <f t="shared" ref="D13:I13" ca="1" si="81">SUM(D14:D30)</f>
        <v>3628200</v>
      </c>
      <c r="E13" s="161">
        <f t="shared" ca="1" si="81"/>
        <v>1456000</v>
      </c>
      <c r="F13" s="161">
        <f t="shared" ca="1" si="81"/>
        <v>2172200</v>
      </c>
      <c r="G13" s="161">
        <f t="shared" ca="1" si="81"/>
        <v>0</v>
      </c>
      <c r="H13" s="161">
        <f t="shared" ca="1" si="81"/>
        <v>3708360</v>
      </c>
      <c r="I13" s="161">
        <f t="shared" ca="1" si="81"/>
        <v>0</v>
      </c>
      <c r="J13" s="161">
        <f t="shared" ref="J13:J88" ca="1" si="82">L13+O13</f>
        <v>992241.98</v>
      </c>
      <c r="K13" s="162">
        <f t="shared" ref="K13:K88" ca="1" si="83">IF(C13&gt;0,J13*100/C13,0)</f>
        <v>27.348050824100106</v>
      </c>
      <c r="L13" s="161">
        <f ca="1">SUM(L14:L30)</f>
        <v>992241.98</v>
      </c>
      <c r="M13" s="40">
        <f t="shared" ref="M13:M88" ca="1" si="84">IF(D13&gt;0,L13*100/D13,0)</f>
        <v>27.348050824100106</v>
      </c>
      <c r="N13" s="40">
        <f t="shared" ref="N13:N88" ca="1" si="85">IF(H13&gt;0,L13*100/H13,0)</f>
        <v>26.756894691993224</v>
      </c>
      <c r="O13" s="39">
        <f ca="1">SUM(O14:O30)</f>
        <v>0</v>
      </c>
      <c r="P13" s="39">
        <f t="shared" ref="P13:P88" ca="1" si="86">IF(G13&gt;0,O13*100/G13,0)</f>
        <v>0</v>
      </c>
      <c r="Q13" s="40">
        <f t="shared" ref="Q13:Q88" ca="1" si="87">IF(I13&gt;0,O13*100/I13,0)</f>
        <v>0</v>
      </c>
      <c r="R13" s="232">
        <f t="shared" ref="R13:T13" ca="1" si="88">SUM(R14:R30)</f>
        <v>1484500</v>
      </c>
      <c r="S13" s="233">
        <f t="shared" ca="1" si="88"/>
        <v>0</v>
      </c>
      <c r="T13" s="233">
        <f t="shared" ca="1" si="88"/>
        <v>0</v>
      </c>
      <c r="U13" s="234">
        <f t="shared" ref="U13:U106" ca="1" si="89">IF(R13&gt;0,T13*100/R13,0)</f>
        <v>0</v>
      </c>
      <c r="V13" s="234">
        <f t="shared" ref="V13:V106" ca="1" si="90">IF(S13&gt;0,T13*100/S13,0)</f>
        <v>0</v>
      </c>
      <c r="W13" s="73">
        <f t="shared" ref="W13:X13" ca="1" si="91">SUM(W14:W30)</f>
        <v>102000</v>
      </c>
      <c r="X13" s="73">
        <f t="shared" ca="1" si="91"/>
        <v>360</v>
      </c>
      <c r="Y13" s="75">
        <f t="shared" ref="Y13:Y88" ca="1" si="92">IF(W13&gt;0,X13*100/W13,0)</f>
        <v>0.35294117647058826</v>
      </c>
      <c r="Z13" s="73">
        <f t="shared" ref="Z13:AA13" ca="1" si="93">SUM(Z14:Z30)</f>
        <v>68</v>
      </c>
      <c r="AA13" s="73">
        <f t="shared" ca="1" si="93"/>
        <v>12</v>
      </c>
      <c r="AB13" s="75">
        <f t="shared" ref="AB13:AB88" ca="1" si="94">IF(Z13&gt;0,AA13*100/Z13,0)</f>
        <v>17.647058823529413</v>
      </c>
      <c r="AC13" s="73">
        <f t="shared" ref="AC13:AG13" ca="1" si="95">SUM(AC14:AC30)</f>
        <v>185</v>
      </c>
      <c r="AD13" s="73">
        <f t="shared" ca="1" si="95"/>
        <v>185</v>
      </c>
      <c r="AE13" s="73">
        <f t="shared" ca="1" si="95"/>
        <v>0</v>
      </c>
      <c r="AF13" s="73">
        <f t="shared" ca="1" si="95"/>
        <v>42000</v>
      </c>
      <c r="AG13" s="73">
        <f t="shared" ca="1" si="95"/>
        <v>0</v>
      </c>
      <c r="AH13" s="75">
        <f t="shared" ref="AH13:AH88" ca="1" si="96">IF(AF13&gt;0,AG13*100/AF13,0)</f>
        <v>0</v>
      </c>
      <c r="AI13" s="73">
        <f t="shared" ref="AI13:AJ13" ca="1" si="97">SUM(AI14:AI30)</f>
        <v>336000</v>
      </c>
      <c r="AJ13" s="73">
        <f t="shared" ca="1" si="97"/>
        <v>8000</v>
      </c>
      <c r="AK13" s="75">
        <f t="shared" ref="AK13:AK88" ca="1" si="98">IF(AI13&gt;0,AJ13*100/AI13,0)</f>
        <v>2.3809523809523809</v>
      </c>
      <c r="AL13" s="73">
        <f t="shared" ref="AL13:AM13" ca="1" si="99">SUM(AL14:AL30)</f>
        <v>199000</v>
      </c>
      <c r="AM13" s="73">
        <f t="shared" ca="1" si="99"/>
        <v>0</v>
      </c>
      <c r="AN13" s="75">
        <f t="shared" ref="AN13:AN88" ca="1" si="100">IF(AL13&gt;0,AM13*100/AL13,0)</f>
        <v>0</v>
      </c>
      <c r="AO13" s="73">
        <f t="shared" ref="AO13:AP13" ca="1" si="101">SUM(AO14:AO30)</f>
        <v>42</v>
      </c>
      <c r="AP13" s="73">
        <f t="shared" ca="1" si="101"/>
        <v>5</v>
      </c>
      <c r="AQ13" s="75">
        <f t="shared" ref="AQ13:AQ88" ca="1" si="102">IF(AO13&gt;0,AP13*100/AO13,0)</f>
        <v>11.904761904761905</v>
      </c>
      <c r="AR13" s="73">
        <f t="shared" ref="AR13:AU13" ca="1" si="103">SUM(AR14:AR30)</f>
        <v>0</v>
      </c>
      <c r="AS13" s="73">
        <f t="shared" ca="1" si="103"/>
        <v>0</v>
      </c>
      <c r="AT13" s="73">
        <f t="shared" ca="1" si="103"/>
        <v>4000</v>
      </c>
      <c r="AU13" s="73">
        <f t="shared" ca="1" si="103"/>
        <v>0</v>
      </c>
      <c r="AV13" s="75">
        <f t="shared" ref="AV13:AV88" ca="1" si="104">IF(AT13&gt;0,AU13*100/AT13,0)</f>
        <v>0</v>
      </c>
      <c r="AW13" s="73">
        <f t="shared" ref="AW13:AX13" ca="1" si="105">SUM(AW14:AW30)</f>
        <v>20000</v>
      </c>
      <c r="AX13" s="73">
        <f t="shared" ca="1" si="105"/>
        <v>0</v>
      </c>
      <c r="AY13" s="75">
        <f t="shared" ref="AY13:AY88" ca="1" si="106">IF(AW13&gt;0,AX13*100/AW13,0)</f>
        <v>0</v>
      </c>
      <c r="AZ13" s="73">
        <f t="shared" ref="AZ13:BA13" ca="1" si="107">SUM(AZ14:AZ30)</f>
        <v>32000</v>
      </c>
      <c r="BA13" s="73">
        <f t="shared" ca="1" si="107"/>
        <v>0</v>
      </c>
      <c r="BB13" s="75">
        <f t="shared" ref="BB13:BB88" ca="1" si="108">IF(AZ13&gt;0,BA13*100/AZ13,0)</f>
        <v>0</v>
      </c>
      <c r="BC13" s="73">
        <f t="shared" ref="BC13:BD13" ca="1" si="109">SUM(BC14:BC30)</f>
        <v>4</v>
      </c>
      <c r="BD13" s="73">
        <f t="shared" ca="1" si="109"/>
        <v>0</v>
      </c>
      <c r="BE13" s="75">
        <f t="shared" ref="BE13:BE88" ca="1" si="110">IF(BC13&gt;0,BD13*100/BC13,0)</f>
        <v>0</v>
      </c>
      <c r="BF13" s="73">
        <f t="shared" ref="BF13:BG13" ca="1" si="111">SUM(BF14:BF30)</f>
        <v>4</v>
      </c>
      <c r="BG13" s="73">
        <f t="shared" ca="1" si="111"/>
        <v>0</v>
      </c>
      <c r="BH13" s="75">
        <f t="shared" ref="BH13:BH88" ca="1" si="112">IF(BF13&gt;0,BG13*100/BF13,0)</f>
        <v>0</v>
      </c>
      <c r="BI13" s="73">
        <f t="shared" ref="BI13:BJ13" ca="1" si="113">SUM(BI14:BI30)</f>
        <v>129000</v>
      </c>
      <c r="BJ13" s="73">
        <f t="shared" ca="1" si="113"/>
        <v>0</v>
      </c>
      <c r="BK13" s="75">
        <f t="shared" ref="BK13:BK88" ca="1" si="114">IF(BI13&gt;0,BJ13*100/BI13,0)</f>
        <v>0</v>
      </c>
      <c r="BL13" s="73">
        <f t="shared" ref="BL13:BM13" ca="1" si="115">SUM(BL14:BL30)</f>
        <v>25500</v>
      </c>
      <c r="BM13" s="73">
        <f t="shared" ca="1" si="115"/>
        <v>0</v>
      </c>
      <c r="BN13" s="75">
        <f t="shared" ref="BN13:BN88" ca="1" si="116">IF(BL13&gt;0,BM13*100/BL13,0)</f>
        <v>0</v>
      </c>
      <c r="BO13" s="73">
        <f t="shared" ref="BO13:BP13" ca="1" si="117">SUM(BO14:BO30)</f>
        <v>1024000</v>
      </c>
      <c r="BP13" s="73">
        <f t="shared" ca="1" si="117"/>
        <v>0</v>
      </c>
      <c r="BQ13" s="75">
        <f t="shared" ref="BQ13:BQ88" ca="1" si="118">IF(BO13&gt;0,BP13*100/BO13,0)</f>
        <v>0</v>
      </c>
      <c r="BR13" s="73">
        <f t="shared" ref="BR13:BS13" ca="1" si="119">SUM(BR14:BR30)</f>
        <v>1024000</v>
      </c>
      <c r="BS13" s="73">
        <f t="shared" ca="1" si="119"/>
        <v>0</v>
      </c>
      <c r="BT13" s="75">
        <f t="shared" ref="BT13:BT88" ca="1" si="120">IF(BR13&gt;0,BS13*100/BR13,0)</f>
        <v>0</v>
      </c>
      <c r="BU13" s="73">
        <f t="shared" ref="BU13:BV13" ca="1" si="121">SUM(BU14:BU30)</f>
        <v>0</v>
      </c>
      <c r="BV13" s="73">
        <f t="shared" ca="1" si="121"/>
        <v>0</v>
      </c>
      <c r="BW13" s="75">
        <f t="shared" ref="BW13:BW88" ca="1" si="122">IF(BU13&gt;0,BV13*100/BU13,0)</f>
        <v>0</v>
      </c>
      <c r="BX13" s="73">
        <f t="shared" ref="BX13:BY13" ca="1" si="123">SUM(BX14:BX30)</f>
        <v>669300</v>
      </c>
      <c r="BY13" s="73">
        <f t="shared" ca="1" si="123"/>
        <v>0</v>
      </c>
      <c r="BZ13" s="75">
        <f t="shared" ref="BZ13:BZ88" ca="1" si="124">IF(BX13&gt;0,BY13*100/BX13,0)</f>
        <v>0</v>
      </c>
      <c r="CA13" s="73">
        <f t="shared" ref="CA13:CB13" ca="1" si="125">SUM(CA14:CA30)</f>
        <v>17000</v>
      </c>
      <c r="CB13" s="73">
        <f t="shared" ca="1" si="125"/>
        <v>0</v>
      </c>
      <c r="CC13" s="75">
        <f t="shared" ref="CC13:CC88" ca="1" si="126">IF(CA13&gt;0,CB13*100/CA13,0)</f>
        <v>0</v>
      </c>
      <c r="CD13" s="73">
        <f t="shared" ref="CD13:CE13" ca="1" si="127">SUM(CD14:CD30)</f>
        <v>329400</v>
      </c>
      <c r="CE13" s="73">
        <f t="shared" ca="1" si="127"/>
        <v>0</v>
      </c>
      <c r="CF13" s="75">
        <f t="shared" ref="CF13:CF88" ca="1" si="128">IF(CD13&gt;0,CE13*100/CD13,0)</f>
        <v>0</v>
      </c>
      <c r="CG13" s="73">
        <f t="shared" ref="CG13:CH13" ca="1" si="129">SUM(CG14:CG30)</f>
        <v>267000</v>
      </c>
      <c r="CH13" s="73">
        <f t="shared" ca="1" si="129"/>
        <v>0</v>
      </c>
      <c r="CI13" s="75">
        <f t="shared" ref="CI13:CI88" ca="1" si="130">IF(CG13&gt;0,CH13*100/CG13,0)</f>
        <v>0</v>
      </c>
      <c r="CJ13" s="73">
        <f t="shared" ref="CJ13:CK13" ca="1" si="131">SUM(CJ14:CJ30)</f>
        <v>210</v>
      </c>
      <c r="CK13" s="73">
        <f t="shared" ca="1" si="131"/>
        <v>10</v>
      </c>
      <c r="CL13" s="75">
        <f t="shared" ref="CL13:CL88" ca="1" si="132">IF(CJ13&gt;0,CK13*100/CJ13,0)</f>
        <v>4.7619047619047619</v>
      </c>
      <c r="CM13" s="73">
        <f t="shared" ref="CM13:CN13" ca="1" si="133">SUM(CM14:CM30)</f>
        <v>0</v>
      </c>
      <c r="CN13" s="73">
        <f t="shared" ca="1" si="133"/>
        <v>0</v>
      </c>
    </row>
    <row r="14" spans="1:92" ht="24" customHeight="1" x14ac:dyDescent="0.3">
      <c r="A14" s="77">
        <v>1</v>
      </c>
      <c r="B14" s="78" t="s">
        <v>40</v>
      </c>
      <c r="C14" s="174">
        <f t="shared" ca="1" si="80"/>
        <v>235500</v>
      </c>
      <c r="D14" s="175">
        <f t="shared" ref="D14:D30" ca="1" si="134">+E14+F14</f>
        <v>235500</v>
      </c>
      <c r="E14" s="176">
        <f ca="1">IFERROR(__xludf.DUMMYFUNCTION("IMPORTRANGE(""https://docs.google.com/spreadsheets/d/1-uDff_7J0KD5mKrp0Vvzr7lt3OU09vwQwhkpOPPYv2Y/edit?usp=sharing"",""งบพรบ!CV14"")"),182000)</f>
        <v>182000</v>
      </c>
      <c r="F14" s="176">
        <f ca="1">IFERROR(__xludf.DUMMYFUNCTION("IMPORTRANGE(""https://docs.google.com/spreadsheets/d/1-uDff_7J0KD5mKrp0Vvzr7lt3OU09vwQwhkpOPPYv2Y/edit?usp=sharing"",""งบพรบ!CW14"")"),53500)</f>
        <v>53500</v>
      </c>
      <c r="G14" s="177">
        <f ca="1">IFERROR(__xludf.DUMMYFUNCTION("IMPORTRANGE(""https://docs.google.com/spreadsheets/d/1-uDff_7J0KD5mKrp0Vvzr7lt3OU09vwQwhkpOPPYv2Y/edit?usp=sharing"",""งบพรบ!CX14"")"),0)</f>
        <v>0</v>
      </c>
      <c r="H14" s="177">
        <f ca="1">IFERROR(__xludf.DUMMYFUNCTION("IMPORTRANGE(""https://docs.google.com/spreadsheets/d/1-uDff_7J0KD5mKrp0Vvzr7lt3OU09vwQwhkpOPPYv2Y/edit?usp=sharing"",""งบพรบ!CZ14"")"),241200)</f>
        <v>241200</v>
      </c>
      <c r="I14" s="177">
        <f ca="1">IFERROR(__xludf.DUMMYFUNCTION("IMPORTRANGE(""https://docs.google.com/spreadsheets/d/1-uDff_7J0KD5mKrp0Vvzr7lt3OU09vwQwhkpOPPYv2Y/edit?usp=sharing"",""งบพรบ!DA14"")"),0)</f>
        <v>0</v>
      </c>
      <c r="J14" s="177">
        <f t="shared" ca="1" si="82"/>
        <v>105000</v>
      </c>
      <c r="K14" s="178">
        <f t="shared" ca="1" si="83"/>
        <v>44.585987261146499</v>
      </c>
      <c r="L14" s="177">
        <f ca="1">IFERROR(__xludf.DUMMYFUNCTION("IMPORTRANGE(""https://docs.google.com/spreadsheets/d/1-uDff_7J0KD5mKrp0Vvzr7lt3OU09vwQwhkpOPPYv2Y/edit?usp=sharing"",""งบพรบ!DB14"")"),105000)</f>
        <v>105000</v>
      </c>
      <c r="M14" s="87">
        <f t="shared" ca="1" si="84"/>
        <v>44.585987261146499</v>
      </c>
      <c r="N14" s="87">
        <f t="shared" ca="1" si="85"/>
        <v>43.53233830845771</v>
      </c>
      <c r="O14" s="86">
        <f ca="1">IFERROR(__xludf.DUMMYFUNCTION("IMPORTRANGE(""https://docs.google.com/spreadsheets/d/1-uDff_7J0KD5mKrp0Vvzr7lt3OU09vwQwhkpOPPYv2Y/edit?usp=sharing"",""งบพรบ!DC14"")"),0)</f>
        <v>0</v>
      </c>
      <c r="P14" s="86">
        <f t="shared" ca="1" si="86"/>
        <v>0</v>
      </c>
      <c r="Q14" s="87">
        <f t="shared" ca="1" si="87"/>
        <v>0</v>
      </c>
      <c r="R14" s="241">
        <f ca="1">IFERROR(__xludf.DUMMYFUNCTION("IMPORTRANGE(""https://docs.google.com/spreadsheets/d/1jTcq05yEiRwXcBMLjiodW9e4biSGYWAHcDj22rKWQ3s/edit?usp=sharing"",""กำแพงเพชร!Q186"")"),18000)</f>
        <v>18000</v>
      </c>
      <c r="S14" s="242">
        <f ca="1">IFERROR(__xludf.DUMMYFUNCTION("IMPORTRANGE(""https://docs.google.com/spreadsheets/d/1jTcq05yEiRwXcBMLjiodW9e4biSGYWAHcDj22rKWQ3s/edit?usp=sharing"",""กำแพงเพชร!R186"")"),0)</f>
        <v>0</v>
      </c>
      <c r="T14" s="242">
        <f ca="1">IFERROR(__xludf.DUMMYFUNCTION("IMPORTRANGE(""https://docs.google.com/spreadsheets/d/1jTcq05yEiRwXcBMLjiodW9e4biSGYWAHcDj22rKWQ3s/edit?usp=sharing"",""กำแพงเพชร!S186"")"),0)</f>
        <v>0</v>
      </c>
      <c r="U14" s="243">
        <f t="shared" ca="1" si="89"/>
        <v>0</v>
      </c>
      <c r="V14" s="243">
        <f t="shared" ca="1" si="90"/>
        <v>0</v>
      </c>
      <c r="W14" s="82">
        <f ca="1">IFERROR(__xludf.DUMMYFUNCTION("IMPORTRANGE(""https://docs.google.com/spreadsheets/d/1jTcq05yEiRwXcBMLjiodW9e4biSGYWAHcDj22rKWQ3s/edit?usp=sharing"",""กำแพงเพชร!L196"")"),6000)</f>
        <v>6000</v>
      </c>
      <c r="X14" s="82">
        <f ca="1">IFERROR(__xludf.DUMMYFUNCTION("IMPORTRANGE(""https://docs.google.com/spreadsheets/d/1jTcq05yEiRwXcBMLjiodW9e4biSGYWAHcDj22rKWQ3s/edit?usp=sharing"",""กำแพงเพชร!N196"")"),0)</f>
        <v>0</v>
      </c>
      <c r="Y14" s="88">
        <f t="shared" ca="1" si="92"/>
        <v>0</v>
      </c>
      <c r="Z14" s="82">
        <f ca="1">IFERROR(__xludf.DUMMYFUNCTION("IMPORTRANGE(""https://docs.google.com/spreadsheets/d/1jTcq05yEiRwXcBMLjiodW9e4biSGYWAHcDj22rKWQ3s/edit?usp=sharing"",""กำแพงเพชร!I198"")"),4)</f>
        <v>4</v>
      </c>
      <c r="AA14" s="82">
        <f ca="1">IFERROR(__xludf.DUMMYFUNCTION("IMPORTRANGE(""https://docs.google.com/spreadsheets/d/1jTcq05yEiRwXcBMLjiodW9e4biSGYWAHcDj22rKWQ3s/edit?usp=sharing"",""กำแพงเพชร!J198"")"),1)</f>
        <v>1</v>
      </c>
      <c r="AB14" s="88">
        <f t="shared" ca="1" si="94"/>
        <v>25</v>
      </c>
      <c r="AC14" s="82">
        <f ca="1">IFERROR(__xludf.DUMMYFUNCTION("IMPORTRANGE(""https://docs.google.com/spreadsheets/d/1jTcq05yEiRwXcBMLjiodW9e4biSGYWAHcDj22rKWQ3s/edit?usp=sharing"",""กำแพงเพชร!J199"")"),0)</f>
        <v>0</v>
      </c>
      <c r="AD14" s="82">
        <f ca="1">IFERROR(__xludf.DUMMYFUNCTION("IMPORTRANGE(""https://docs.google.com/spreadsheets/d/1jTcq05yEiRwXcBMLjiodW9e4biSGYWAHcDj22rKWQ3s/edit?usp=sharing"",""กำแพงเพชร!J200"")"),0)</f>
        <v>0</v>
      </c>
      <c r="AE14" s="82">
        <f ca="1">IFERROR(__xludf.DUMMYFUNCTION("IMPORTRANGE(""https://docs.google.com/spreadsheets/d/1jTcq05yEiRwXcBMLjiodW9e4biSGYWAHcDj22rKWQ3s/edit?usp=sharing"",""กำแพงเพชร!J201"")"),0)</f>
        <v>0</v>
      </c>
      <c r="AF14" s="82">
        <f ca="1">IFERROR(__xludf.DUMMYFUNCTION("IMPORTRANGE(""https://docs.google.com/spreadsheets/d/1jTcq05yEiRwXcBMLjiodW9e4biSGYWAHcDj22rKWQ3s/edit?usp=sharing"",""กำแพงเพชร!L204"")"),3000)</f>
        <v>3000</v>
      </c>
      <c r="AG14" s="82">
        <f ca="1">IFERROR(__xludf.DUMMYFUNCTION("IMPORTRANGE(""https://docs.google.com/spreadsheets/d/1jTcq05yEiRwXcBMLjiodW9e4biSGYWAHcDj22rKWQ3s/edit?usp=sharing"",""กำแพงเพชร!N204"")"),0)</f>
        <v>0</v>
      </c>
      <c r="AH14" s="88">
        <f t="shared" ca="1" si="96"/>
        <v>0</v>
      </c>
      <c r="AI14" s="82">
        <f ca="1">IFERROR(__xludf.DUMMYFUNCTION("IMPORTRANGE(""https://docs.google.com/spreadsheets/d/1jTcq05yEiRwXcBMLjiodW9e4biSGYWAHcDj22rKWQ3s/edit?usp=sharing"",""กำแพงเพชร!L206"")"),24000)</f>
        <v>24000</v>
      </c>
      <c r="AJ14" s="82">
        <f ca="1">IFERROR(__xludf.DUMMYFUNCTION("IMPORTRANGE(""https://docs.google.com/spreadsheets/d/1jTcq05yEiRwXcBMLjiodW9e4biSGYWAHcDj22rKWQ3s/edit?usp=sharing"",""กำแพงเพชร!N206"")"),0)</f>
        <v>0</v>
      </c>
      <c r="AK14" s="88">
        <f t="shared" ca="1" si="98"/>
        <v>0</v>
      </c>
      <c r="AL14" s="82">
        <f ca="1">IFERROR(__xludf.DUMMYFUNCTION("IMPORTRANGE(""https://docs.google.com/spreadsheets/d/1jTcq05yEiRwXcBMLjiodW9e4biSGYWAHcDj22rKWQ3s/edit?usp=sharing"",""กำแพงเพชร!L207"")"),12000)</f>
        <v>12000</v>
      </c>
      <c r="AM14" s="82">
        <f ca="1">IFERROR(__xludf.DUMMYFUNCTION("IMPORTRANGE(""https://docs.google.com/spreadsheets/d/1jTcq05yEiRwXcBMLjiodW9e4biSGYWAHcDj22rKWQ3s/edit?usp=sharing"",""กำแพงเพชร!N207"")"),0)</f>
        <v>0</v>
      </c>
      <c r="AN14" s="88">
        <f t="shared" ca="1" si="100"/>
        <v>0</v>
      </c>
      <c r="AO14" s="82">
        <f ca="1">IFERROR(__xludf.DUMMYFUNCTION("IMPORTRANGE(""https://docs.google.com/spreadsheets/d/1jTcq05yEiRwXcBMLjiodW9e4biSGYWAHcDj22rKWQ3s/edit?usp=sharing"",""กำแพงเพชร!I209"")"),3)</f>
        <v>3</v>
      </c>
      <c r="AP14" s="82">
        <f ca="1">IFERROR(__xludf.DUMMYFUNCTION("IMPORTRANGE(""https://docs.google.com/spreadsheets/d/1jTcq05yEiRwXcBMLjiodW9e4biSGYWAHcDj22rKWQ3s/edit?usp=sharing"",""กำแพงเพชร!J209"")"),3)</f>
        <v>3</v>
      </c>
      <c r="AQ14" s="88">
        <f t="shared" ca="1" si="102"/>
        <v>100</v>
      </c>
      <c r="AR14" s="82">
        <f ca="1">IFERROR(__xludf.DUMMYFUNCTION("IMPORTRANGE(""https://docs.google.com/spreadsheets/d/1jTcq05yEiRwXcBMLjiodW9e4biSGYWAHcDj22rKWQ3s/edit?usp=sharing"",""กำแพงเพชร!J211"")"),0)</f>
        <v>0</v>
      </c>
      <c r="AS14" s="82">
        <f ca="1">IFERROR(__xludf.DUMMYFUNCTION("IMPORTRANGE(""https://docs.google.com/spreadsheets/d/1jTcq05yEiRwXcBMLjiodW9e4biSGYWAHcDj22rKWQ3s/edit?usp=sharing"",""กำแพงเพชร!J212"")"),0)</f>
        <v>0</v>
      </c>
      <c r="AT14" s="82">
        <f ca="1">IFERROR(__xludf.DUMMYFUNCTION("IMPORTRANGE(""https://docs.google.com/spreadsheets/d/1jTcq05yEiRwXcBMLjiodW9e4biSGYWAHcDj22rKWQ3s/edit?usp=sharing"",""กำแพงเพชร!L215"")"),0)</f>
        <v>0</v>
      </c>
      <c r="AU14" s="82">
        <f ca="1">IFERROR(__xludf.DUMMYFUNCTION("IMPORTRANGE(""https://docs.google.com/spreadsheets/d/1jTcq05yEiRwXcBMLjiodW9e4biSGYWAHcDj22rKWQ3s/edit?usp=sharing"",""กำแพงเพชร!N215"")"),0)</f>
        <v>0</v>
      </c>
      <c r="AV14" s="88">
        <f t="shared" ca="1" si="104"/>
        <v>0</v>
      </c>
      <c r="AW14" s="82">
        <f ca="1">IFERROR(__xludf.DUMMYFUNCTION("IMPORTRANGE(""https://docs.google.com/spreadsheets/d/1jTcq05yEiRwXcBMLjiodW9e4biSGYWAHcDj22rKWQ3s/edit?usp=sharing"",""กำแพงเพชร!L216"")"),0)</f>
        <v>0</v>
      </c>
      <c r="AX14" s="82">
        <f ca="1">IFERROR(__xludf.DUMMYFUNCTION("IMPORTRANGE(""https://docs.google.com/spreadsheets/d/1jTcq05yEiRwXcBMLjiodW9e4biSGYWAHcDj22rKWQ3s/edit?usp=sharing"",""กำแพงเพชร!N216"")"),0)</f>
        <v>0</v>
      </c>
      <c r="AY14" s="88">
        <f t="shared" ca="1" si="106"/>
        <v>0</v>
      </c>
      <c r="AZ14" s="82">
        <f ca="1">IFERROR(__xludf.DUMMYFUNCTION("IMPORTRANGE(""https://docs.google.com/spreadsheets/d/1jTcq05yEiRwXcBMLjiodW9e4biSGYWAHcDj22rKWQ3s/edit?usp=sharing"",""กำแพงเพชร!L217"")"),0)</f>
        <v>0</v>
      </c>
      <c r="BA14" s="82">
        <f ca="1">IFERROR(__xludf.DUMMYFUNCTION("IMPORTRANGE(""https://docs.google.com/spreadsheets/d/1jTcq05yEiRwXcBMLjiodW9e4biSGYWAHcDj22rKWQ3s/edit?usp=sharing"",""กำแพงเพชร!N217"")"),0)</f>
        <v>0</v>
      </c>
      <c r="BB14" s="88">
        <f t="shared" ca="1" si="108"/>
        <v>0</v>
      </c>
      <c r="BC14" s="82">
        <f ca="1">IFERROR(__xludf.DUMMYFUNCTION("IMPORTRANGE(""https://docs.google.com/spreadsheets/d/1jTcq05yEiRwXcBMLjiodW9e4biSGYWAHcDj22rKWQ3s/edit?usp=sharing"",""กำแพงเพชร!I219"")"),0)</f>
        <v>0</v>
      </c>
      <c r="BD14" s="82">
        <f ca="1">IFERROR(__xludf.DUMMYFUNCTION("IMPORTRANGE(""https://docs.google.com/spreadsheets/d/1jTcq05yEiRwXcBMLjiodW9e4biSGYWAHcDj22rKWQ3s/edit?usp=sharing"",""กำแพงเพชร!J219"")"),0)</f>
        <v>0</v>
      </c>
      <c r="BE14" s="88">
        <f t="shared" ca="1" si="110"/>
        <v>0</v>
      </c>
      <c r="BF14" s="82">
        <f ca="1">IFERROR(__xludf.DUMMYFUNCTION("IMPORTRANGE(""https://docs.google.com/spreadsheets/d/1jTcq05yEiRwXcBMLjiodW9e4biSGYWAHcDj22rKWQ3s/edit?usp=sharing"",""กำแพงเพชร!I220"")"),0)</f>
        <v>0</v>
      </c>
      <c r="BG14" s="82">
        <f ca="1">IFERROR(__xludf.DUMMYFUNCTION("IMPORTRANGE(""https://docs.google.com/spreadsheets/d/1jTcq05yEiRwXcBMLjiodW9e4biSGYWAHcDj22rKWQ3s/edit?usp=sharing"",""กำแพงเพชร!J220"")"),0)</f>
        <v>0</v>
      </c>
      <c r="BH14" s="88">
        <f t="shared" ca="1" si="112"/>
        <v>0</v>
      </c>
      <c r="BI14" s="82">
        <f ca="1">IFERROR(__xludf.DUMMYFUNCTION("IMPORTRANGE(""https://docs.google.com/spreadsheets/d/1jTcq05yEiRwXcBMLjiodW9e4biSGYWAHcDj22rKWQ3s/edit?usp=sharing"",""กำแพงเพชร!L223"")"),7000)</f>
        <v>7000</v>
      </c>
      <c r="BJ14" s="82">
        <f ca="1">IFERROR(__xludf.DUMMYFUNCTION("IMPORTRANGE(""https://docs.google.com/spreadsheets/d/1jTcq05yEiRwXcBMLjiodW9e4biSGYWAHcDj22rKWQ3s/edit?usp=sharing"",""กำแพงเพชร!N223"")"),0)</f>
        <v>0</v>
      </c>
      <c r="BK14" s="88">
        <f t="shared" ca="1" si="114"/>
        <v>0</v>
      </c>
      <c r="BL14" s="82">
        <f ca="1">IFERROR(__xludf.DUMMYFUNCTION("IMPORTRANGE(""https://docs.google.com/spreadsheets/d/1jTcq05yEiRwXcBMLjiodW9e4biSGYWAHcDj22rKWQ3s/edit?usp=sharing"",""กำแพงเพชร!L224"")"),1500)</f>
        <v>1500</v>
      </c>
      <c r="BM14" s="82">
        <f ca="1">IFERROR(__xludf.DUMMYFUNCTION("IMPORTRANGE(""https://docs.google.com/spreadsheets/d/1jTcq05yEiRwXcBMLjiodW9e4biSGYWAHcDj22rKWQ3s/edit?usp=sharing"",""กำแพงเพชร!N224"")"),0)</f>
        <v>0</v>
      </c>
      <c r="BN14" s="88">
        <f t="shared" ca="1" si="116"/>
        <v>0</v>
      </c>
      <c r="BO14" s="82">
        <f ca="1">IFERROR(__xludf.DUMMYFUNCTION("IMPORTRANGE(""https://docs.google.com/spreadsheets/d/1jTcq05yEiRwXcBMLjiodW9e4biSGYWAHcDj22rKWQ3s/edit?usp=sharing"",""กำแพงเพชร!I228"")"),50000)</f>
        <v>50000</v>
      </c>
      <c r="BP14" s="82">
        <f ca="1">IFERROR(__xludf.DUMMYFUNCTION("IMPORTRANGE(""https://docs.google.com/spreadsheets/d/1jTcq05yEiRwXcBMLjiodW9e4biSGYWAHcDj22rKWQ3s/edit?usp=sharing"",""กำแพงเพชร!J228"")"),0)</f>
        <v>0</v>
      </c>
      <c r="BQ14" s="88">
        <f t="shared" ca="1" si="118"/>
        <v>0</v>
      </c>
      <c r="BR14" s="82">
        <f ca="1">IFERROR(__xludf.DUMMYFUNCTION("IMPORTRANGE(""https://docs.google.com/spreadsheets/d/1jTcq05yEiRwXcBMLjiodW9e4biSGYWAHcDj22rKWQ3s/edit?usp=sharing"",""กำแพงเพชร!I229"")"),50000)</f>
        <v>50000</v>
      </c>
      <c r="BS14" s="82">
        <f ca="1">IFERROR(__xludf.DUMMYFUNCTION("IMPORTRANGE(""https://docs.google.com/spreadsheets/d/1jTcq05yEiRwXcBMLjiodW9e4biSGYWAHcDj22rKWQ3s/edit?usp=sharing"",""กำแพงเพชร!J229"")"),0)</f>
        <v>0</v>
      </c>
      <c r="BT14" s="88">
        <f t="shared" ca="1" si="120"/>
        <v>0</v>
      </c>
      <c r="BU14" s="82">
        <f ca="1">IFERROR(__xludf.DUMMYFUNCTION("IMPORTRANGE(""https://docs.google.com/spreadsheets/d/1jTcq05yEiRwXcBMLjiodW9e4biSGYWAHcDj22rKWQ3s/edit?usp=sharing"",""กำแพงเพชร!I230"")"),0)</f>
        <v>0</v>
      </c>
      <c r="BV14" s="82">
        <f ca="1">IFERROR(__xludf.DUMMYFUNCTION("IMPORTRANGE(""https://docs.google.com/spreadsheets/d/1jTcq05yEiRwXcBMLjiodW9e4biSGYWAHcDj22rKWQ3s/edit?usp=sharing"",""กำแพงเพชร!J230"")"),0)</f>
        <v>0</v>
      </c>
      <c r="BW14" s="88">
        <f t="shared" ca="1" si="122"/>
        <v>0</v>
      </c>
      <c r="BX14" s="82">
        <f ca="1">IFERROR(__xludf.DUMMYFUNCTION("IMPORTRANGE(""https://docs.google.com/spreadsheets/d/1jTcq05yEiRwXcBMLjiodW9e4biSGYWAHcDj22rKWQ3s/edit?usp=sharing"",""กำแพงเพชร!L233"")"),0)</f>
        <v>0</v>
      </c>
      <c r="BY14" s="82">
        <f ca="1">IFERROR(__xludf.DUMMYFUNCTION("IMPORTRANGE(""https://docs.google.com/spreadsheets/d/1jTcq05yEiRwXcBMLjiodW9e4biSGYWAHcDj22rKWQ3s/edit?usp=sharing"",""กำแพงเพชร!N233"")"),0)</f>
        <v>0</v>
      </c>
      <c r="BZ14" s="88">
        <f t="shared" ca="1" si="124"/>
        <v>0</v>
      </c>
      <c r="CA14" s="82">
        <f ca="1">IFERROR(__xludf.DUMMYFUNCTION("IMPORTRANGE(""https://docs.google.com/spreadsheets/d/1jTcq05yEiRwXcBMLjiodW9e4biSGYWAHcDj22rKWQ3s/edit?usp=sharing"",""กำแพงเพชร!L234"")"),0)</f>
        <v>0</v>
      </c>
      <c r="CB14" s="82">
        <f ca="1">IFERROR(__xludf.DUMMYFUNCTION("IMPORTRANGE(""https://docs.google.com/spreadsheets/d/1jTcq05yEiRwXcBMLjiodW9e4biSGYWAHcDj22rKWQ3s/edit?usp=sharing"",""กำแพงเพชร!N234"")"),0)</f>
        <v>0</v>
      </c>
      <c r="CC14" s="88">
        <f t="shared" ca="1" si="126"/>
        <v>0</v>
      </c>
      <c r="CD14" s="82">
        <f ca="1">IFERROR(__xludf.DUMMYFUNCTION("IMPORTRANGE(""https://docs.google.com/spreadsheets/d/1jTcq05yEiRwXcBMLjiodW9e4biSGYWAHcDj22rKWQ3s/edit?usp=sharing"",""กำแพงเพชร!L235"")"),0)</f>
        <v>0</v>
      </c>
      <c r="CE14" s="82">
        <f ca="1">IFERROR(__xludf.DUMMYFUNCTION("IMPORTRANGE(""https://docs.google.com/spreadsheets/d/1jTcq05yEiRwXcBMLjiodW9e4biSGYWAHcDj22rKWQ3s/edit?usp=sharing"",""กำแพงเพชร!N235"")"),0)</f>
        <v>0</v>
      </c>
      <c r="CF14" s="88">
        <f t="shared" ca="1" si="128"/>
        <v>0</v>
      </c>
      <c r="CG14" s="82">
        <f ca="1">IFERROR(__xludf.DUMMYFUNCTION("IMPORTRANGE(""https://docs.google.com/spreadsheets/d/1jTcq05yEiRwXcBMLjiodW9e4biSGYWAHcDj22rKWQ3s/edit?usp=sharing"",""กำแพงเพชร!L236"")"),0)</f>
        <v>0</v>
      </c>
      <c r="CH14" s="82">
        <f ca="1">IFERROR(__xludf.DUMMYFUNCTION("IMPORTRANGE(""https://docs.google.com/spreadsheets/d/1jTcq05yEiRwXcBMLjiodW9e4biSGYWAHcDj22rKWQ3s/edit?usp=sharing"",""กำแพงเพชร!N236"")"),0)</f>
        <v>0</v>
      </c>
      <c r="CI14" s="88">
        <f t="shared" ca="1" si="130"/>
        <v>0</v>
      </c>
      <c r="CJ14" s="82">
        <f ca="1">IFERROR(__xludf.DUMMYFUNCTION("IMPORTRANGE(""https://docs.google.com/spreadsheets/d/1jTcq05yEiRwXcBMLjiodW9e4biSGYWAHcDj22rKWQ3s/edit?usp=sharing"",""กำแพงเพชร!I238"")"),0)</f>
        <v>0</v>
      </c>
      <c r="CK14" s="82">
        <f ca="1">IFERROR(__xludf.DUMMYFUNCTION("IMPORTRANGE(""https://docs.google.com/spreadsheets/d/1jTcq05yEiRwXcBMLjiodW9e4biSGYWAHcDj22rKWQ3s/edit?usp=sharing"",""กำแพงเพชร!J238"")"),0)</f>
        <v>0</v>
      </c>
      <c r="CL14" s="88">
        <f t="shared" ca="1" si="132"/>
        <v>0</v>
      </c>
      <c r="CM14" s="82">
        <f ca="1">IFERROR(__xludf.DUMMYFUNCTION("IMPORTRANGE(""https://docs.google.com/spreadsheets/d/1jTcq05yEiRwXcBMLjiodW9e4biSGYWAHcDj22rKWQ3s/edit?usp=sharing"",""กำแพงเพชร!J240"")"),0)</f>
        <v>0</v>
      </c>
      <c r="CN14" s="82">
        <f ca="1">IFERROR(__xludf.DUMMYFUNCTION("IMPORTRANGE(""https://docs.google.com/spreadsheets/d/1jTcq05yEiRwXcBMLjiodW9e4biSGYWAHcDj22rKWQ3s/edit?usp=sharing"",""กำแพงเพชร!J241"")"),0)</f>
        <v>0</v>
      </c>
    </row>
    <row r="15" spans="1:92" ht="24" customHeight="1" x14ac:dyDescent="0.3">
      <c r="A15" s="89">
        <v>2</v>
      </c>
      <c r="B15" s="90" t="s">
        <v>41</v>
      </c>
      <c r="C15" s="174">
        <f t="shared" ca="1" si="80"/>
        <v>66500</v>
      </c>
      <c r="D15" s="175">
        <f t="shared" ca="1" si="134"/>
        <v>66500</v>
      </c>
      <c r="E15" s="176">
        <f ca="1">IFERROR(__xludf.DUMMYFUNCTION("IMPORTRANGE(""https://docs.google.com/spreadsheets/d/1-uDff_7J0KD5mKrp0Vvzr7lt3OU09vwQwhkpOPPYv2Y/edit?usp=sharing"",""งบพรบ!CV15"")"),0)</f>
        <v>0</v>
      </c>
      <c r="F15" s="176">
        <f ca="1">IFERROR(__xludf.DUMMYFUNCTION("IMPORTRANGE(""https://docs.google.com/spreadsheets/d/1-uDff_7J0KD5mKrp0Vvzr7lt3OU09vwQwhkpOPPYv2Y/edit?usp=sharing"",""งบพรบ!CW15"")"),66500)</f>
        <v>66500</v>
      </c>
      <c r="G15" s="176">
        <f ca="1">IFERROR(__xludf.DUMMYFUNCTION("IMPORTRANGE(""https://docs.google.com/spreadsheets/d/1-uDff_7J0KD5mKrp0Vvzr7lt3OU09vwQwhkpOPPYv2Y/edit?usp=sharing"",""งบพรบ!CX15"")"),0)</f>
        <v>0</v>
      </c>
      <c r="H15" s="176">
        <f ca="1">IFERROR(__xludf.DUMMYFUNCTION("IMPORTRANGE(""https://docs.google.com/spreadsheets/d/1-uDff_7J0KD5mKrp0Vvzr7lt3OU09vwQwhkpOPPYv2Y/edit?usp=sharing"",""งบพรบ!CZ15"")"),75200)</f>
        <v>75200</v>
      </c>
      <c r="I15" s="176">
        <f ca="1">IFERROR(__xludf.DUMMYFUNCTION("IMPORTRANGE(""https://docs.google.com/spreadsheets/d/1-uDff_7J0KD5mKrp0Vvzr7lt3OU09vwQwhkpOPPYv2Y/edit?usp=sharing"",""งบพรบ!DA15"")"),0)</f>
        <v>0</v>
      </c>
      <c r="J15" s="176">
        <f t="shared" ca="1" si="82"/>
        <v>1120</v>
      </c>
      <c r="K15" s="179">
        <f t="shared" ca="1" si="83"/>
        <v>1.6842105263157894</v>
      </c>
      <c r="L15" s="176">
        <f ca="1">IFERROR(__xludf.DUMMYFUNCTION("IMPORTRANGE(""https://docs.google.com/spreadsheets/d/1-uDff_7J0KD5mKrp0Vvzr7lt3OU09vwQwhkpOPPYv2Y/edit?usp=sharing"",""งบพรบ!DB15"")"),1120)</f>
        <v>1120</v>
      </c>
      <c r="M15" s="87">
        <f t="shared" ca="1" si="84"/>
        <v>1.6842105263157894</v>
      </c>
      <c r="N15" s="87">
        <f t="shared" ca="1" si="85"/>
        <v>1.4893617021276595</v>
      </c>
      <c r="O15" s="86">
        <f ca="1">IFERROR(__xludf.DUMMYFUNCTION("IMPORTRANGE(""https://docs.google.com/spreadsheets/d/1-uDff_7J0KD5mKrp0Vvzr7lt3OU09vwQwhkpOPPYv2Y/edit?usp=sharing"",""งบพรบ!DC15"")"),0)</f>
        <v>0</v>
      </c>
      <c r="P15" s="86">
        <f t="shared" ca="1" si="86"/>
        <v>0</v>
      </c>
      <c r="Q15" s="87">
        <f t="shared" ca="1" si="87"/>
        <v>0</v>
      </c>
      <c r="R15" s="241">
        <f ca="1">IFERROR(__xludf.DUMMYFUNCTION("IMPORTRANGE(""https://docs.google.com/spreadsheets/d/1KS0zmDSZPk8KnTAbGN-Xk6MtX1YRZD0ldgdt20K4CRk/edit?usp=sharing"",""เชียงราย!Q186"")"),70000)</f>
        <v>70000</v>
      </c>
      <c r="S15" s="242">
        <f ca="1">IFERROR(__xludf.DUMMYFUNCTION("IMPORTRANGE(""https://docs.google.com/spreadsheets/d/1KS0zmDSZPk8KnTAbGN-Xk6MtX1YRZD0ldgdt20K4CRk/edit?usp=sharing"",""เชียงราย!R186"")"),0)</f>
        <v>0</v>
      </c>
      <c r="T15" s="242">
        <f ca="1">IFERROR(__xludf.DUMMYFUNCTION("IMPORTRANGE(""https://docs.google.com/spreadsheets/d/1KS0zmDSZPk8KnTAbGN-Xk6MtX1YRZD0ldgdt20K4CRk/edit?usp=sharing"",""เชียงราย!S186"")"),0)</f>
        <v>0</v>
      </c>
      <c r="U15" s="243">
        <f t="shared" ca="1" si="89"/>
        <v>0</v>
      </c>
      <c r="V15" s="243">
        <f t="shared" ca="1" si="90"/>
        <v>0</v>
      </c>
      <c r="W15" s="97">
        <f ca="1">IFERROR(__xludf.DUMMYFUNCTION("IMPORTRANGE(""https://docs.google.com/spreadsheets/d/1KS0zmDSZPk8KnTAbGN-Xk6MtX1YRZD0ldgdt20K4CRk/edit?usp=sharing"",""เชียงราย!L196"")"),6000)</f>
        <v>6000</v>
      </c>
      <c r="X15" s="97">
        <f ca="1">IFERROR(__xludf.DUMMYFUNCTION("IMPORTRANGE(""https://docs.google.com/spreadsheets/d/1KS0zmDSZPk8KnTAbGN-Xk6MtX1YRZD0ldgdt20K4CRk/edit?usp=sharing"",""เชียงราย!N196"")"),0)</f>
        <v>0</v>
      </c>
      <c r="Y15" s="98">
        <f t="shared" ca="1" si="92"/>
        <v>0</v>
      </c>
      <c r="Z15" s="97">
        <f ca="1">IFERROR(__xludf.DUMMYFUNCTION("IMPORTRANGE(""https://docs.google.com/spreadsheets/d/1KS0zmDSZPk8KnTAbGN-Xk6MtX1YRZD0ldgdt20K4CRk/edit?usp=sharing"",""เชียงราย!I198"")"),4)</f>
        <v>4</v>
      </c>
      <c r="AA15" s="97">
        <f ca="1">IFERROR(__xludf.DUMMYFUNCTION("IMPORTRANGE(""https://docs.google.com/spreadsheets/d/1KS0zmDSZPk8KnTAbGN-Xk6MtX1YRZD0ldgdt20K4CRk/edit?usp=sharing"",""เชียงราย!J198"")"),1)</f>
        <v>1</v>
      </c>
      <c r="AB15" s="98">
        <f t="shared" ca="1" si="94"/>
        <v>25</v>
      </c>
      <c r="AC15" s="97">
        <f ca="1">IFERROR(__xludf.DUMMYFUNCTION("IMPORTRANGE(""https://docs.google.com/spreadsheets/d/1KS0zmDSZPk8KnTAbGN-Xk6MtX1YRZD0ldgdt20K4CRk/edit?usp=sharing"",""เชียงราย!J199"")"),0)</f>
        <v>0</v>
      </c>
      <c r="AD15" s="97">
        <f ca="1">IFERROR(__xludf.DUMMYFUNCTION("IMPORTRANGE(""https://docs.google.com/spreadsheets/d/1KS0zmDSZPk8KnTAbGN-Xk6MtX1YRZD0ldgdt20K4CRk/edit?usp=sharing"",""เชียงราย!J200"")"),0)</f>
        <v>0</v>
      </c>
      <c r="AE15" s="97">
        <f ca="1">IFERROR(__xludf.DUMMYFUNCTION("IMPORTRANGE(""https://docs.google.com/spreadsheets/d/1KS0zmDSZPk8KnTAbGN-Xk6MtX1YRZD0ldgdt20K4CRk/edit?usp=sharing"",""เชียงราย!J201"")"),0)</f>
        <v>0</v>
      </c>
      <c r="AF15" s="97">
        <f ca="1">IFERROR(__xludf.DUMMYFUNCTION("IMPORTRANGE(""https://docs.google.com/spreadsheets/d/1KS0zmDSZPk8KnTAbGN-Xk6MtX1YRZD0ldgdt20K4CRk/edit?usp=sharing"",""เชียงราย!L204"")"),4000)</f>
        <v>4000</v>
      </c>
      <c r="AG15" s="97">
        <f ca="1">IFERROR(__xludf.DUMMYFUNCTION("IMPORTRANGE(""https://docs.google.com/spreadsheets/d/1KS0zmDSZPk8KnTAbGN-Xk6MtX1YRZD0ldgdt20K4CRk/edit?usp=sharing"",""เชียงราย!N204"")"),0)</f>
        <v>0</v>
      </c>
      <c r="AH15" s="98">
        <f t="shared" ca="1" si="96"/>
        <v>0</v>
      </c>
      <c r="AI15" s="97">
        <f ca="1">IFERROR(__xludf.DUMMYFUNCTION("IMPORTRANGE(""https://docs.google.com/spreadsheets/d/1KS0zmDSZPk8KnTAbGN-Xk6MtX1YRZD0ldgdt20K4CRk/edit?usp=sharing"",""เชียงราย!L206"")"),32000)</f>
        <v>32000</v>
      </c>
      <c r="AJ15" s="97">
        <f ca="1">IFERROR(__xludf.DUMMYFUNCTION("IMPORTRANGE(""https://docs.google.com/spreadsheets/d/1KS0zmDSZPk8KnTAbGN-Xk6MtX1YRZD0ldgdt20K4CRk/edit?usp=sharing"",""เชียงราย!N206"")"),0)</f>
        <v>0</v>
      </c>
      <c r="AK15" s="98">
        <f t="shared" ca="1" si="98"/>
        <v>0</v>
      </c>
      <c r="AL15" s="97">
        <f ca="1">IFERROR(__xludf.DUMMYFUNCTION("IMPORTRANGE(""https://docs.google.com/spreadsheets/d/1KS0zmDSZPk8KnTAbGN-Xk6MtX1YRZD0ldgdt20K4CRk/edit?usp=sharing"",""เชียงราย!L207"")"),16000)</f>
        <v>16000</v>
      </c>
      <c r="AM15" s="97">
        <f ca="1">IFERROR(__xludf.DUMMYFUNCTION("IMPORTRANGE(""https://docs.google.com/spreadsheets/d/1KS0zmDSZPk8KnTAbGN-Xk6MtX1YRZD0ldgdt20K4CRk/edit?usp=sharing"",""เชียงราย!N207"")"),0)</f>
        <v>0</v>
      </c>
      <c r="AN15" s="98">
        <f t="shared" ca="1" si="100"/>
        <v>0</v>
      </c>
      <c r="AO15" s="97">
        <f ca="1">IFERROR(__xludf.DUMMYFUNCTION("IMPORTRANGE(""https://docs.google.com/spreadsheets/d/1KS0zmDSZPk8KnTAbGN-Xk6MtX1YRZD0ldgdt20K4CRk/edit?usp=sharing"",""เชียงราย!I209"")"),4)</f>
        <v>4</v>
      </c>
      <c r="AP15" s="97">
        <f ca="1">IFERROR(__xludf.DUMMYFUNCTION("IMPORTRANGE(""https://docs.google.com/spreadsheets/d/1KS0zmDSZPk8KnTAbGN-Xk6MtX1YRZD0ldgdt20K4CRk/edit?usp=sharing"",""เชียงราย!J209"")"),0)</f>
        <v>0</v>
      </c>
      <c r="AQ15" s="98">
        <f t="shared" ca="1" si="102"/>
        <v>0</v>
      </c>
      <c r="AR15" s="97">
        <f ca="1">IFERROR(__xludf.DUMMYFUNCTION("IMPORTRANGE(""https://docs.google.com/spreadsheets/d/1KS0zmDSZPk8KnTAbGN-Xk6MtX1YRZD0ldgdt20K4CRk/edit?usp=sharing"",""เชียงราย!J211"")"),0)</f>
        <v>0</v>
      </c>
      <c r="AS15" s="97">
        <f ca="1">IFERROR(__xludf.DUMMYFUNCTION("IMPORTRANGE(""https://docs.google.com/spreadsheets/d/1KS0zmDSZPk8KnTAbGN-Xk6MtX1YRZD0ldgdt20K4CRk/edit?usp=sharing"",""เชียงราย!J212"")"),0)</f>
        <v>0</v>
      </c>
      <c r="AT15" s="97">
        <f ca="1">IFERROR(__xludf.DUMMYFUNCTION("IMPORTRANGE(""https://docs.google.com/spreadsheets/d/1KS0zmDSZPk8KnTAbGN-Xk6MtX1YRZD0ldgdt20K4CRk/edit?usp=sharing"",""เชียงราย!L215"")"),0)</f>
        <v>0</v>
      </c>
      <c r="AU15" s="97">
        <f ca="1">IFERROR(__xludf.DUMMYFUNCTION("IMPORTRANGE(""https://docs.google.com/spreadsheets/d/1KS0zmDSZPk8KnTAbGN-Xk6MtX1YRZD0ldgdt20K4CRk/edit?usp=sharing"",""เชียงราย!N215"")"),0)</f>
        <v>0</v>
      </c>
      <c r="AV15" s="98">
        <f t="shared" ca="1" si="104"/>
        <v>0</v>
      </c>
      <c r="AW15" s="97">
        <f ca="1">IFERROR(__xludf.DUMMYFUNCTION("IMPORTRANGE(""https://docs.google.com/spreadsheets/d/1KS0zmDSZPk8KnTAbGN-Xk6MtX1YRZD0ldgdt20K4CRk/edit?usp=sharing"",""เชียงราย!L216"")"),0)</f>
        <v>0</v>
      </c>
      <c r="AX15" s="97">
        <f ca="1">IFERROR(__xludf.DUMMYFUNCTION("IMPORTRANGE(""https://docs.google.com/spreadsheets/d/1KS0zmDSZPk8KnTAbGN-Xk6MtX1YRZD0ldgdt20K4CRk/edit?usp=sharing"",""เชียงราย!N216"")"),0)</f>
        <v>0</v>
      </c>
      <c r="AY15" s="98">
        <f t="shared" ca="1" si="106"/>
        <v>0</v>
      </c>
      <c r="AZ15" s="97">
        <f ca="1">IFERROR(__xludf.DUMMYFUNCTION("IMPORTRANGE(""https://docs.google.com/spreadsheets/d/1KS0zmDSZPk8KnTAbGN-Xk6MtX1YRZD0ldgdt20K4CRk/edit?usp=sharing"",""เชียงราย!L217"")"),0)</f>
        <v>0</v>
      </c>
      <c r="BA15" s="97">
        <f ca="1">IFERROR(__xludf.DUMMYFUNCTION("IMPORTRANGE(""https://docs.google.com/spreadsheets/d/1KS0zmDSZPk8KnTAbGN-Xk6MtX1YRZD0ldgdt20K4CRk/edit?usp=sharing"",""เชียงราย!N217"")"),0)</f>
        <v>0</v>
      </c>
      <c r="BB15" s="98">
        <f t="shared" ca="1" si="108"/>
        <v>0</v>
      </c>
      <c r="BC15" s="97">
        <f ca="1">IFERROR(__xludf.DUMMYFUNCTION("IMPORTRANGE(""https://docs.google.com/spreadsheets/d/1KS0zmDSZPk8KnTAbGN-Xk6MtX1YRZD0ldgdt20K4CRk/edit?usp=sharing"",""เชียงราย!I219"")"),0)</f>
        <v>0</v>
      </c>
      <c r="BD15" s="97">
        <f ca="1">IFERROR(__xludf.DUMMYFUNCTION("IMPORTRANGE(""https://docs.google.com/spreadsheets/d/1KS0zmDSZPk8KnTAbGN-Xk6MtX1YRZD0ldgdt20K4CRk/edit?usp=sharing"",""เชียงราย!J219"")"),0)</f>
        <v>0</v>
      </c>
      <c r="BE15" s="98">
        <f t="shared" ca="1" si="110"/>
        <v>0</v>
      </c>
      <c r="BF15" s="97">
        <f ca="1">IFERROR(__xludf.DUMMYFUNCTION("IMPORTRANGE(""https://docs.google.com/spreadsheets/d/1KS0zmDSZPk8KnTAbGN-Xk6MtX1YRZD0ldgdt20K4CRk/edit?usp=sharing"",""เชียงราย!I220"")"),0)</f>
        <v>0</v>
      </c>
      <c r="BG15" s="97">
        <f ca="1">IFERROR(__xludf.DUMMYFUNCTION("IMPORTRANGE(""https://docs.google.com/spreadsheets/d/1KS0zmDSZPk8KnTAbGN-Xk6MtX1YRZD0ldgdt20K4CRk/edit?usp=sharing"",""เชียงราย!J220"")"),0)</f>
        <v>0</v>
      </c>
      <c r="BH15" s="98">
        <f t="shared" ca="1" si="112"/>
        <v>0</v>
      </c>
      <c r="BI15" s="97">
        <f ca="1">IFERROR(__xludf.DUMMYFUNCTION("IMPORTRANGE(""https://docs.google.com/spreadsheets/d/1KS0zmDSZPk8KnTAbGN-Xk6MtX1YRZD0ldgdt20K4CRk/edit?usp=sharing"",""เชียงราย!L223"")"),7000)</f>
        <v>7000</v>
      </c>
      <c r="BJ15" s="97">
        <f ca="1">IFERROR(__xludf.DUMMYFUNCTION("IMPORTRANGE(""https://docs.google.com/spreadsheets/d/1KS0zmDSZPk8KnTAbGN-Xk6MtX1YRZD0ldgdt20K4CRk/edit?usp=sharing"",""เชียงราย!N223"")"),0)</f>
        <v>0</v>
      </c>
      <c r="BK15" s="98">
        <f t="shared" ca="1" si="114"/>
        <v>0</v>
      </c>
      <c r="BL15" s="97">
        <f ca="1">IFERROR(__xludf.DUMMYFUNCTION("IMPORTRANGE(""https://docs.google.com/spreadsheets/d/1KS0zmDSZPk8KnTAbGN-Xk6MtX1YRZD0ldgdt20K4CRk/edit?usp=sharing"",""เชียงราย!L224"")"),1500)</f>
        <v>1500</v>
      </c>
      <c r="BM15" s="97">
        <f ca="1">IFERROR(__xludf.DUMMYFUNCTION("IMPORTRANGE(""https://docs.google.com/spreadsheets/d/1KS0zmDSZPk8KnTAbGN-Xk6MtX1YRZD0ldgdt20K4CRk/edit?usp=sharing"",""เชียงราย!N224"")"),0)</f>
        <v>0</v>
      </c>
      <c r="BN15" s="98">
        <f t="shared" ca="1" si="116"/>
        <v>0</v>
      </c>
      <c r="BO15" s="97">
        <f ca="1">IFERROR(__xludf.DUMMYFUNCTION("IMPORTRANGE(""https://docs.google.com/spreadsheets/d/1KS0zmDSZPk8KnTAbGN-Xk6MtX1YRZD0ldgdt20K4CRk/edit?usp=sharing"",""เชียงราย!I228"")"),60000)</f>
        <v>60000</v>
      </c>
      <c r="BP15" s="97">
        <f ca="1">IFERROR(__xludf.DUMMYFUNCTION("IMPORTRANGE(""https://docs.google.com/spreadsheets/d/1KS0zmDSZPk8KnTAbGN-Xk6MtX1YRZD0ldgdt20K4CRk/edit?usp=sharing"",""เชียงราย!J228"")"),0)</f>
        <v>0</v>
      </c>
      <c r="BQ15" s="98">
        <f t="shared" ca="1" si="118"/>
        <v>0</v>
      </c>
      <c r="BR15" s="97">
        <f ca="1">IFERROR(__xludf.DUMMYFUNCTION("IMPORTRANGE(""https://docs.google.com/spreadsheets/d/1KS0zmDSZPk8KnTAbGN-Xk6MtX1YRZD0ldgdt20K4CRk/edit?usp=sharing"",""เชียงราย!I229"")"),60000)</f>
        <v>60000</v>
      </c>
      <c r="BS15" s="97">
        <f ca="1">IFERROR(__xludf.DUMMYFUNCTION("IMPORTRANGE(""https://docs.google.com/spreadsheets/d/1KS0zmDSZPk8KnTAbGN-Xk6MtX1YRZD0ldgdt20K4CRk/edit?usp=sharing"",""เชียงราย!J229"")"),0)</f>
        <v>0</v>
      </c>
      <c r="BT15" s="98">
        <f t="shared" ca="1" si="120"/>
        <v>0</v>
      </c>
      <c r="BU15" s="97">
        <f ca="1">IFERROR(__xludf.DUMMYFUNCTION("IMPORTRANGE(""https://docs.google.com/spreadsheets/d/1KS0zmDSZPk8KnTAbGN-Xk6MtX1YRZD0ldgdt20K4CRk/edit?usp=sharing"",""เชียงราย!I230"")"),0)</f>
        <v>0</v>
      </c>
      <c r="BV15" s="97">
        <f ca="1">IFERROR(__xludf.DUMMYFUNCTION("IMPORTRANGE(""https://docs.google.com/spreadsheets/d/1KS0zmDSZPk8KnTAbGN-Xk6MtX1YRZD0ldgdt20K4CRk/edit?usp=sharing"",""เชียงราย!J230"")"),0)</f>
        <v>0</v>
      </c>
      <c r="BW15" s="98">
        <f t="shared" ca="1" si="122"/>
        <v>0</v>
      </c>
      <c r="BX15" s="97">
        <f ca="1">IFERROR(__xludf.DUMMYFUNCTION("IMPORTRANGE(""https://docs.google.com/spreadsheets/d/1KS0zmDSZPk8KnTAbGN-Xk6MtX1YRZD0ldgdt20K4CRk/edit?usp=sharing"",""เชียงราย!L233"")"),0)</f>
        <v>0</v>
      </c>
      <c r="BY15" s="97">
        <f ca="1">IFERROR(__xludf.DUMMYFUNCTION("IMPORTRANGE(""https://docs.google.com/spreadsheets/d/1KS0zmDSZPk8KnTAbGN-Xk6MtX1YRZD0ldgdt20K4CRk/edit?usp=sharing"",""เชียงราย!N233"")"),0)</f>
        <v>0</v>
      </c>
      <c r="BZ15" s="98">
        <f t="shared" ca="1" si="124"/>
        <v>0</v>
      </c>
      <c r="CA15" s="97">
        <f ca="1">IFERROR(__xludf.DUMMYFUNCTION("IMPORTRANGE(""https://docs.google.com/spreadsheets/d/1KS0zmDSZPk8KnTAbGN-Xk6MtX1YRZD0ldgdt20K4CRk/edit?usp=sharing"",""เชียงราย!L234"")"),0)</f>
        <v>0</v>
      </c>
      <c r="CB15" s="97">
        <f ca="1">IFERROR(__xludf.DUMMYFUNCTION("IMPORTRANGE(""https://docs.google.com/spreadsheets/d/1KS0zmDSZPk8KnTAbGN-Xk6MtX1YRZD0ldgdt20K4CRk/edit?usp=sharing"",""เชียงราย!N234"")"),0)</f>
        <v>0</v>
      </c>
      <c r="CC15" s="98">
        <f t="shared" ca="1" si="126"/>
        <v>0</v>
      </c>
      <c r="CD15" s="97">
        <f ca="1">IFERROR(__xludf.DUMMYFUNCTION("IMPORTRANGE(""https://docs.google.com/spreadsheets/d/1KS0zmDSZPk8KnTAbGN-Xk6MtX1YRZD0ldgdt20K4CRk/edit?usp=sharing"",""เชียงราย!L235"")"),0)</f>
        <v>0</v>
      </c>
      <c r="CE15" s="97">
        <f ca="1">IFERROR(__xludf.DUMMYFUNCTION("IMPORTRANGE(""https://docs.google.com/spreadsheets/d/1KS0zmDSZPk8KnTAbGN-Xk6MtX1YRZD0ldgdt20K4CRk/edit?usp=sharing"",""เชียงราย!N235"")"),0)</f>
        <v>0</v>
      </c>
      <c r="CF15" s="98">
        <f t="shared" ca="1" si="128"/>
        <v>0</v>
      </c>
      <c r="CG15" s="97">
        <f ca="1">IFERROR(__xludf.DUMMYFUNCTION("IMPORTRANGE(""https://docs.google.com/spreadsheets/d/1KS0zmDSZPk8KnTAbGN-Xk6MtX1YRZD0ldgdt20K4CRk/edit?usp=sharing"",""เชียงราย!L236"")"),0)</f>
        <v>0</v>
      </c>
      <c r="CH15" s="97">
        <f ca="1">IFERROR(__xludf.DUMMYFUNCTION("IMPORTRANGE(""https://docs.google.com/spreadsheets/d/1KS0zmDSZPk8KnTAbGN-Xk6MtX1YRZD0ldgdt20K4CRk/edit?usp=sharing"",""เชียงราย!N236"")"),0)</f>
        <v>0</v>
      </c>
      <c r="CI15" s="98">
        <f t="shared" ca="1" si="130"/>
        <v>0</v>
      </c>
      <c r="CJ15" s="97">
        <f ca="1">IFERROR(__xludf.DUMMYFUNCTION("IMPORTRANGE(""https://docs.google.com/spreadsheets/d/1KS0zmDSZPk8KnTAbGN-Xk6MtX1YRZD0ldgdt20K4CRk/edit?usp=sharing"",""เชียงราย!I238"")"),0)</f>
        <v>0</v>
      </c>
      <c r="CK15" s="97">
        <f ca="1">IFERROR(__xludf.DUMMYFUNCTION("IMPORTRANGE(""https://docs.google.com/spreadsheets/d/1KS0zmDSZPk8KnTAbGN-Xk6MtX1YRZD0ldgdt20K4CRk/edit?usp=sharing"",""เชียงราย!J238"")"),0)</f>
        <v>0</v>
      </c>
      <c r="CL15" s="98">
        <f t="shared" ca="1" si="132"/>
        <v>0</v>
      </c>
      <c r="CM15" s="97">
        <f ca="1">IFERROR(__xludf.DUMMYFUNCTION("IMPORTRANGE(""https://docs.google.com/spreadsheets/d/1KS0zmDSZPk8KnTAbGN-Xk6MtX1YRZD0ldgdt20K4CRk/edit?usp=sharing"",""เชียงราย!J240"")"),0)</f>
        <v>0</v>
      </c>
      <c r="CN15" s="97">
        <f ca="1">IFERROR(__xludf.DUMMYFUNCTION("IMPORTRANGE(""https://docs.google.com/spreadsheets/d/1KS0zmDSZPk8KnTAbGN-Xk6MtX1YRZD0ldgdt20K4CRk/edit?usp=sharing"",""เชียงราย!J241"")"),0)</f>
        <v>0</v>
      </c>
    </row>
    <row r="16" spans="1:92" ht="24" customHeight="1" x14ac:dyDescent="0.3">
      <c r="A16" s="89">
        <v>3</v>
      </c>
      <c r="B16" s="90" t="s">
        <v>42</v>
      </c>
      <c r="C16" s="174">
        <f t="shared" ca="1" si="80"/>
        <v>509400</v>
      </c>
      <c r="D16" s="175">
        <f t="shared" ca="1" si="134"/>
        <v>509400</v>
      </c>
      <c r="E16" s="176">
        <f ca="1">IFERROR(__xludf.DUMMYFUNCTION("IMPORTRANGE(""https://docs.google.com/spreadsheets/d/1-uDff_7J0KD5mKrp0Vvzr7lt3OU09vwQwhkpOPPYv2Y/edit?usp=sharing"",""งบพรบ!CV16"")"),91000)</f>
        <v>91000</v>
      </c>
      <c r="F16" s="176">
        <f ca="1">IFERROR(__xludf.DUMMYFUNCTION("IMPORTRANGE(""https://docs.google.com/spreadsheets/d/1-uDff_7J0KD5mKrp0Vvzr7lt3OU09vwQwhkpOPPYv2Y/edit?usp=sharing"",""งบพรบ!CW16"")"),418400)</f>
        <v>418400</v>
      </c>
      <c r="G16" s="176">
        <f ca="1">IFERROR(__xludf.DUMMYFUNCTION("IMPORTRANGE(""https://docs.google.com/spreadsheets/d/1-uDff_7J0KD5mKrp0Vvzr7lt3OU09vwQwhkpOPPYv2Y/edit?usp=sharing"",""งบพรบ!CX16"")"),0)</f>
        <v>0</v>
      </c>
      <c r="H16" s="176">
        <f ca="1">IFERROR(__xludf.DUMMYFUNCTION("IMPORTRANGE(""https://docs.google.com/spreadsheets/d/1-uDff_7J0KD5mKrp0Vvzr7lt3OU09vwQwhkpOPPYv2Y/edit?usp=sharing"",""งบพรบ!CZ16"")"),517600)</f>
        <v>517600</v>
      </c>
      <c r="I16" s="176">
        <f ca="1">IFERROR(__xludf.DUMMYFUNCTION("IMPORTRANGE(""https://docs.google.com/spreadsheets/d/1-uDff_7J0KD5mKrp0Vvzr7lt3OU09vwQwhkpOPPYv2Y/edit?usp=sharing"",""งบพรบ!DA16"")"),0)</f>
        <v>0</v>
      </c>
      <c r="J16" s="176">
        <f t="shared" ca="1" si="82"/>
        <v>122766.67</v>
      </c>
      <c r="K16" s="179">
        <f t="shared" ca="1" si="83"/>
        <v>24.100249312917157</v>
      </c>
      <c r="L16" s="176">
        <f ca="1">IFERROR(__xludf.DUMMYFUNCTION("IMPORTRANGE(""https://docs.google.com/spreadsheets/d/1-uDff_7J0KD5mKrp0Vvzr7lt3OU09vwQwhkpOPPYv2Y/edit?usp=sharing"",""งบพรบ!DB16"")"),122766.67)</f>
        <v>122766.67</v>
      </c>
      <c r="M16" s="87">
        <f t="shared" ca="1" si="84"/>
        <v>24.100249312917157</v>
      </c>
      <c r="N16" s="87">
        <f t="shared" ca="1" si="85"/>
        <v>23.718444744976814</v>
      </c>
      <c r="O16" s="86">
        <f ca="1">IFERROR(__xludf.DUMMYFUNCTION("IMPORTRANGE(""https://docs.google.com/spreadsheets/d/1-uDff_7J0KD5mKrp0Vvzr7lt3OU09vwQwhkpOPPYv2Y/edit?usp=sharing"",""งบพรบ!DC16"")"),0)</f>
        <v>0</v>
      </c>
      <c r="P16" s="86">
        <f t="shared" ca="1" si="86"/>
        <v>0</v>
      </c>
      <c r="Q16" s="87">
        <f t="shared" ca="1" si="87"/>
        <v>0</v>
      </c>
      <c r="R16" s="241">
        <f ca="1">IFERROR(__xludf.DUMMYFUNCTION("IMPORTRANGE(""https://docs.google.com/spreadsheets/d/1rEDxBtusbi64tE0zunoIbsTVV16HeL0oJ6trHQeQ7K8/edit?usp=sharing"",""เชียงใหม่!Q186"")"),324600)</f>
        <v>324600</v>
      </c>
      <c r="S16" s="242">
        <f ca="1">IFERROR(__xludf.DUMMYFUNCTION("IMPORTRANGE(""https://docs.google.com/spreadsheets/d/1rEDxBtusbi64tE0zunoIbsTVV16HeL0oJ6trHQeQ7K8/edit?usp=sharing"",""เชียงใหม่!R186"")"),0)</f>
        <v>0</v>
      </c>
      <c r="T16" s="242">
        <f ca="1">IFERROR(__xludf.DUMMYFUNCTION("IMPORTRANGE(""https://docs.google.com/spreadsheets/d/1rEDxBtusbi64tE0zunoIbsTVV16HeL0oJ6trHQeQ7K8/edit?usp=sharing"",""เชียงใหม่!S186"")"),0)</f>
        <v>0</v>
      </c>
      <c r="U16" s="243">
        <f t="shared" ca="1" si="89"/>
        <v>0</v>
      </c>
      <c r="V16" s="243">
        <f t="shared" ca="1" si="90"/>
        <v>0</v>
      </c>
      <c r="W16" s="97">
        <f ca="1">IFERROR(__xludf.DUMMYFUNCTION("IMPORTRANGE(""https://docs.google.com/spreadsheets/d/1rEDxBtusbi64tE0zunoIbsTVV16HeL0oJ6trHQeQ7K8/edit?usp=sharing"",""เชียงใหม่!L196"")"),6000)</f>
        <v>6000</v>
      </c>
      <c r="X16" s="97">
        <f ca="1">IFERROR(__xludf.DUMMYFUNCTION("IMPORTRANGE(""https://docs.google.com/spreadsheets/d/1rEDxBtusbi64tE0zunoIbsTVV16HeL0oJ6trHQeQ7K8/edit?usp=sharing"",""เชียงใหม่!N196"")"),0)</f>
        <v>0</v>
      </c>
      <c r="Y16" s="98">
        <f t="shared" ca="1" si="92"/>
        <v>0</v>
      </c>
      <c r="Z16" s="97">
        <f ca="1">IFERROR(__xludf.DUMMYFUNCTION("IMPORTRANGE(""https://docs.google.com/spreadsheets/d/1rEDxBtusbi64tE0zunoIbsTVV16HeL0oJ6trHQeQ7K8/edit?usp=sharing"",""เชียงใหม่!I198"")"),4)</f>
        <v>4</v>
      </c>
      <c r="AA16" s="97">
        <f ca="1">IFERROR(__xludf.DUMMYFUNCTION("IMPORTRANGE(""https://docs.google.com/spreadsheets/d/1rEDxBtusbi64tE0zunoIbsTVV16HeL0oJ6trHQeQ7K8/edit?usp=sharing"",""เชียงใหม่!J198"")"),1)</f>
        <v>1</v>
      </c>
      <c r="AB16" s="98">
        <f t="shared" ca="1" si="94"/>
        <v>25</v>
      </c>
      <c r="AC16" s="97">
        <f ca="1">IFERROR(__xludf.DUMMYFUNCTION("IMPORTRANGE(""https://docs.google.com/spreadsheets/d/1rEDxBtusbi64tE0zunoIbsTVV16HeL0oJ6trHQeQ7K8/edit?usp=sharing"",""เชียงใหม่!J199"")"),0)</f>
        <v>0</v>
      </c>
      <c r="AD16" s="97">
        <f ca="1">IFERROR(__xludf.DUMMYFUNCTION("IMPORTRANGE(""https://docs.google.com/spreadsheets/d/1rEDxBtusbi64tE0zunoIbsTVV16HeL0oJ6trHQeQ7K8/edit?usp=sharing"",""เชียงใหม่!J200"")"),0)</f>
        <v>0</v>
      </c>
      <c r="AE16" s="97">
        <f ca="1">IFERROR(__xludf.DUMMYFUNCTION("IMPORTRANGE(""https://docs.google.com/spreadsheets/d/1rEDxBtusbi64tE0zunoIbsTVV16HeL0oJ6trHQeQ7K8/edit?usp=sharing"",""เชียงใหม่!J201"")"),0)</f>
        <v>0</v>
      </c>
      <c r="AF16" s="97">
        <f ca="1">IFERROR(__xludf.DUMMYFUNCTION("IMPORTRANGE(""https://docs.google.com/spreadsheets/d/1rEDxBtusbi64tE0zunoIbsTVV16HeL0oJ6trHQeQ7K8/edit?usp=sharing"",""เชียงใหม่!L204"")"),2000)</f>
        <v>2000</v>
      </c>
      <c r="AG16" s="97">
        <f ca="1">IFERROR(__xludf.DUMMYFUNCTION("IMPORTRANGE(""https://docs.google.com/spreadsheets/d/1rEDxBtusbi64tE0zunoIbsTVV16HeL0oJ6trHQeQ7K8/edit?usp=sharing"",""เชียงใหม่!N204"")"),0)</f>
        <v>0</v>
      </c>
      <c r="AH16" s="98">
        <f t="shared" ca="1" si="96"/>
        <v>0</v>
      </c>
      <c r="AI16" s="97">
        <f ca="1">IFERROR(__xludf.DUMMYFUNCTION("IMPORTRANGE(""https://docs.google.com/spreadsheets/d/1rEDxBtusbi64tE0zunoIbsTVV16HeL0oJ6trHQeQ7K8/edit?usp=sharing"",""เชียงใหม่!L206"")"),16000)</f>
        <v>16000</v>
      </c>
      <c r="AJ16" s="97">
        <f ca="1">IFERROR(__xludf.DUMMYFUNCTION("IMPORTRANGE(""https://docs.google.com/spreadsheets/d/1rEDxBtusbi64tE0zunoIbsTVV16HeL0oJ6trHQeQ7K8/edit?usp=sharing"",""เชียงใหม่!N206"")"),0)</f>
        <v>0</v>
      </c>
      <c r="AK16" s="98">
        <f t="shared" ca="1" si="98"/>
        <v>0</v>
      </c>
      <c r="AL16" s="97">
        <f ca="1">IFERROR(__xludf.DUMMYFUNCTION("IMPORTRANGE(""https://docs.google.com/spreadsheets/d/1rEDxBtusbi64tE0zunoIbsTVV16HeL0oJ6trHQeQ7K8/edit?usp=sharing"",""เชียงใหม่!L207"")"),8000)</f>
        <v>8000</v>
      </c>
      <c r="AM16" s="97">
        <f ca="1">IFERROR(__xludf.DUMMYFUNCTION("IMPORTRANGE(""https://docs.google.com/spreadsheets/d/1rEDxBtusbi64tE0zunoIbsTVV16HeL0oJ6trHQeQ7K8/edit?usp=sharing"",""เชียงใหม่!N207"")"),0)</f>
        <v>0</v>
      </c>
      <c r="AN16" s="98">
        <f t="shared" ca="1" si="100"/>
        <v>0</v>
      </c>
      <c r="AO16" s="97">
        <f ca="1">IFERROR(__xludf.DUMMYFUNCTION("IMPORTRANGE(""https://docs.google.com/spreadsheets/d/1rEDxBtusbi64tE0zunoIbsTVV16HeL0oJ6trHQeQ7K8/edit?usp=sharing"",""เชียงใหม่!I209"")"),2)</f>
        <v>2</v>
      </c>
      <c r="AP16" s="97">
        <f ca="1">IFERROR(__xludf.DUMMYFUNCTION("IMPORTRANGE(""https://docs.google.com/spreadsheets/d/1rEDxBtusbi64tE0zunoIbsTVV16HeL0oJ6trHQeQ7K8/edit?usp=sharing"",""เชียงใหม่!J209"")"),0)</f>
        <v>0</v>
      </c>
      <c r="AQ16" s="98">
        <f t="shared" ca="1" si="102"/>
        <v>0</v>
      </c>
      <c r="AR16" s="97">
        <f ca="1">IFERROR(__xludf.DUMMYFUNCTION("IMPORTRANGE(""https://docs.google.com/spreadsheets/d/1rEDxBtusbi64tE0zunoIbsTVV16HeL0oJ6trHQeQ7K8/edit?usp=sharing"",""เชียงใหม่!J211"")"),0)</f>
        <v>0</v>
      </c>
      <c r="AS16" s="97">
        <f ca="1">IFERROR(__xludf.DUMMYFUNCTION("IMPORTRANGE(""https://docs.google.com/spreadsheets/d/1rEDxBtusbi64tE0zunoIbsTVV16HeL0oJ6trHQeQ7K8/edit?usp=sharing"",""เชียงใหม่!J212"")"),0)</f>
        <v>0</v>
      </c>
      <c r="AT16" s="97">
        <f ca="1">IFERROR(__xludf.DUMMYFUNCTION("IMPORTRANGE(""https://docs.google.com/spreadsheets/d/1rEDxBtusbi64tE0zunoIbsTVV16HeL0oJ6trHQeQ7K8/edit?usp=sharing"",""เชียงใหม่!L215"")"),1000)</f>
        <v>1000</v>
      </c>
      <c r="AU16" s="97">
        <f ca="1">IFERROR(__xludf.DUMMYFUNCTION("IMPORTRANGE(""https://docs.google.com/spreadsheets/d/1rEDxBtusbi64tE0zunoIbsTVV16HeL0oJ6trHQeQ7K8/edit?usp=sharing"",""เชียงใหม่!N215"")"),0)</f>
        <v>0</v>
      </c>
      <c r="AV16" s="98">
        <f t="shared" ca="1" si="104"/>
        <v>0</v>
      </c>
      <c r="AW16" s="97">
        <f ca="1">IFERROR(__xludf.DUMMYFUNCTION("IMPORTRANGE(""https://docs.google.com/spreadsheets/d/1rEDxBtusbi64tE0zunoIbsTVV16HeL0oJ6trHQeQ7K8/edit?usp=sharing"",""เชียงใหม่!L216"")"),5000)</f>
        <v>5000</v>
      </c>
      <c r="AX16" s="97">
        <f ca="1">IFERROR(__xludf.DUMMYFUNCTION("IMPORTRANGE(""https://docs.google.com/spreadsheets/d/1rEDxBtusbi64tE0zunoIbsTVV16HeL0oJ6trHQeQ7K8/edit?usp=sharing"",""เชียงใหม่!N216"")"),0)</f>
        <v>0</v>
      </c>
      <c r="AY16" s="98">
        <f t="shared" ca="1" si="106"/>
        <v>0</v>
      </c>
      <c r="AZ16" s="97">
        <f ca="1">IFERROR(__xludf.DUMMYFUNCTION("IMPORTRANGE(""https://docs.google.com/spreadsheets/d/1rEDxBtusbi64tE0zunoIbsTVV16HeL0oJ6trHQeQ7K8/edit?usp=sharing"",""เชียงใหม่!L217"")"),8000)</f>
        <v>8000</v>
      </c>
      <c r="BA16" s="97">
        <f ca="1">IFERROR(__xludf.DUMMYFUNCTION("IMPORTRANGE(""https://docs.google.com/spreadsheets/d/1rEDxBtusbi64tE0zunoIbsTVV16HeL0oJ6trHQeQ7K8/edit?usp=sharing"",""เชียงใหม่!N217"")"),0)</f>
        <v>0</v>
      </c>
      <c r="BB16" s="98">
        <f t="shared" ca="1" si="108"/>
        <v>0</v>
      </c>
      <c r="BC16" s="97">
        <f ca="1">IFERROR(__xludf.DUMMYFUNCTION("IMPORTRANGE(""https://docs.google.com/spreadsheets/d/1rEDxBtusbi64tE0zunoIbsTVV16HeL0oJ6trHQeQ7K8/edit?usp=sharing"",""เชียงใหม่!I219"")"),1)</f>
        <v>1</v>
      </c>
      <c r="BD16" s="97">
        <f ca="1">IFERROR(__xludf.DUMMYFUNCTION("IMPORTRANGE(""https://docs.google.com/spreadsheets/d/1rEDxBtusbi64tE0zunoIbsTVV16HeL0oJ6trHQeQ7K8/edit?usp=sharing"",""เชียงใหม่!J219"")"),0)</f>
        <v>0</v>
      </c>
      <c r="BE16" s="98">
        <f t="shared" ca="1" si="110"/>
        <v>0</v>
      </c>
      <c r="BF16" s="97">
        <f ca="1">IFERROR(__xludf.DUMMYFUNCTION("IMPORTRANGE(""https://docs.google.com/spreadsheets/d/1rEDxBtusbi64tE0zunoIbsTVV16HeL0oJ6trHQeQ7K8/edit?usp=sharing"",""เชียงใหม่!I220"")"),1)</f>
        <v>1</v>
      </c>
      <c r="BG16" s="97">
        <f ca="1">IFERROR(__xludf.DUMMYFUNCTION("IMPORTRANGE(""https://docs.google.com/spreadsheets/d/1rEDxBtusbi64tE0zunoIbsTVV16HeL0oJ6trHQeQ7K8/edit?usp=sharing"",""เชียงใหม่!J220"")"),0)</f>
        <v>0</v>
      </c>
      <c r="BH16" s="98">
        <f t="shared" ca="1" si="112"/>
        <v>0</v>
      </c>
      <c r="BI16" s="97">
        <f ca="1">IFERROR(__xludf.DUMMYFUNCTION("IMPORTRANGE(""https://docs.google.com/spreadsheets/d/1rEDxBtusbi64tE0zunoIbsTVV16HeL0oJ6trHQeQ7K8/edit?usp=sharing"",""เชียงใหม่!L223"")"),3000)</f>
        <v>3000</v>
      </c>
      <c r="BJ16" s="97">
        <f ca="1">IFERROR(__xludf.DUMMYFUNCTION("IMPORTRANGE(""https://docs.google.com/spreadsheets/d/1rEDxBtusbi64tE0zunoIbsTVV16HeL0oJ6trHQeQ7K8/edit?usp=sharing"",""เชียงใหม่!N223"")"),0)</f>
        <v>0</v>
      </c>
      <c r="BK16" s="98">
        <f t="shared" ca="1" si="114"/>
        <v>0</v>
      </c>
      <c r="BL16" s="97">
        <f ca="1">IFERROR(__xludf.DUMMYFUNCTION("IMPORTRANGE(""https://docs.google.com/spreadsheets/d/1rEDxBtusbi64tE0zunoIbsTVV16HeL0oJ6trHQeQ7K8/edit?usp=sharing"",""เชียงใหม่!L224"")"),1500)</f>
        <v>1500</v>
      </c>
      <c r="BM16" s="97">
        <f ca="1">IFERROR(__xludf.DUMMYFUNCTION("IMPORTRANGE(""https://docs.google.com/spreadsheets/d/1rEDxBtusbi64tE0zunoIbsTVV16HeL0oJ6trHQeQ7K8/edit?usp=sharing"",""เชียงใหม่!N224"")"),0)</f>
        <v>0</v>
      </c>
      <c r="BN16" s="98">
        <f t="shared" ca="1" si="116"/>
        <v>0</v>
      </c>
      <c r="BO16" s="97">
        <f ca="1">IFERROR(__xludf.DUMMYFUNCTION("IMPORTRANGE(""https://docs.google.com/spreadsheets/d/1rEDxBtusbi64tE0zunoIbsTVV16HeL0oJ6trHQeQ7K8/edit?usp=sharing"",""เชียงใหม่!I228"")"),16000)</f>
        <v>16000</v>
      </c>
      <c r="BP16" s="97">
        <f ca="1">IFERROR(__xludf.DUMMYFUNCTION("IMPORTRANGE(""https://docs.google.com/spreadsheets/d/1rEDxBtusbi64tE0zunoIbsTVV16HeL0oJ6trHQeQ7K8/edit?usp=sharing"",""เชียงใหม่!J228"")"),0)</f>
        <v>0</v>
      </c>
      <c r="BQ16" s="98">
        <f t="shared" ca="1" si="118"/>
        <v>0</v>
      </c>
      <c r="BR16" s="97">
        <f ca="1">IFERROR(__xludf.DUMMYFUNCTION("IMPORTRANGE(""https://docs.google.com/spreadsheets/d/1rEDxBtusbi64tE0zunoIbsTVV16HeL0oJ6trHQeQ7K8/edit?usp=sharing"",""เชียงใหม่!I229"")"),16000)</f>
        <v>16000</v>
      </c>
      <c r="BS16" s="97">
        <f ca="1">IFERROR(__xludf.DUMMYFUNCTION("IMPORTRANGE(""https://docs.google.com/spreadsheets/d/1rEDxBtusbi64tE0zunoIbsTVV16HeL0oJ6trHQeQ7K8/edit?usp=sharing"",""เชียงใหม่!J229"")"),0)</f>
        <v>0</v>
      </c>
      <c r="BT16" s="98">
        <f t="shared" ca="1" si="120"/>
        <v>0</v>
      </c>
      <c r="BU16" s="97">
        <f ca="1">IFERROR(__xludf.DUMMYFUNCTION("IMPORTRANGE(""https://docs.google.com/spreadsheets/d/1rEDxBtusbi64tE0zunoIbsTVV16HeL0oJ6trHQeQ7K8/edit?usp=sharing"",""เชียงใหม่!I230"")"),0)</f>
        <v>0</v>
      </c>
      <c r="BV16" s="97">
        <f ca="1">IFERROR(__xludf.DUMMYFUNCTION("IMPORTRANGE(""https://docs.google.com/spreadsheets/d/1rEDxBtusbi64tE0zunoIbsTVV16HeL0oJ6trHQeQ7K8/edit?usp=sharing"",""เชียงใหม่!J230"")"),0)</f>
        <v>0</v>
      </c>
      <c r="BW16" s="98">
        <f t="shared" ca="1" si="122"/>
        <v>0</v>
      </c>
      <c r="BX16" s="97">
        <f ca="1">IFERROR(__xludf.DUMMYFUNCTION("IMPORTRANGE(""https://docs.google.com/spreadsheets/d/1rEDxBtusbi64tE0zunoIbsTVV16HeL0oJ6trHQeQ7K8/edit?usp=sharing"",""เชียงใหม่!L233"")"),205400)</f>
        <v>205400</v>
      </c>
      <c r="BY16" s="97">
        <f ca="1">IFERROR(__xludf.DUMMYFUNCTION("IMPORTRANGE(""https://docs.google.com/spreadsheets/d/1rEDxBtusbi64tE0zunoIbsTVV16HeL0oJ6trHQeQ7K8/edit?usp=sharing"",""เชียงใหม่!N233"")"),0)</f>
        <v>0</v>
      </c>
      <c r="BZ16" s="98">
        <f t="shared" ca="1" si="124"/>
        <v>0</v>
      </c>
      <c r="CA16" s="97">
        <f ca="1">IFERROR(__xludf.DUMMYFUNCTION("IMPORTRANGE(""https://docs.google.com/spreadsheets/d/1rEDxBtusbi64tE0zunoIbsTVV16HeL0oJ6trHQeQ7K8/edit?usp=sharing"",""เชียงใหม่!L234"")"),5000)</f>
        <v>5000</v>
      </c>
      <c r="CB16" s="97">
        <f ca="1">IFERROR(__xludf.DUMMYFUNCTION("IMPORTRANGE(""https://docs.google.com/spreadsheets/d/1rEDxBtusbi64tE0zunoIbsTVV16HeL0oJ6trHQeQ7K8/edit?usp=sharing"",""เชียงใหม่!N234"")"),0)</f>
        <v>0</v>
      </c>
      <c r="CC16" s="98">
        <f t="shared" ca="1" si="126"/>
        <v>0</v>
      </c>
      <c r="CD16" s="97">
        <f ca="1">IFERROR(__xludf.DUMMYFUNCTION("IMPORTRANGE(""https://docs.google.com/spreadsheets/d/1rEDxBtusbi64tE0zunoIbsTVV16HeL0oJ6trHQeQ7K8/edit?usp=sharing"",""เชียงใหม่!L235"")"),80500)</f>
        <v>80500</v>
      </c>
      <c r="CE16" s="97">
        <f ca="1">IFERROR(__xludf.DUMMYFUNCTION("IMPORTRANGE(""https://docs.google.com/spreadsheets/d/1rEDxBtusbi64tE0zunoIbsTVV16HeL0oJ6trHQeQ7K8/edit?usp=sharing"",""เชียงใหม่!N235"")"),0)</f>
        <v>0</v>
      </c>
      <c r="CF16" s="98">
        <f t="shared" ca="1" si="128"/>
        <v>0</v>
      </c>
      <c r="CG16" s="97">
        <f ca="1">IFERROR(__xludf.DUMMYFUNCTION("IMPORTRANGE(""https://docs.google.com/spreadsheets/d/1rEDxBtusbi64tE0zunoIbsTVV16HeL0oJ6trHQeQ7K8/edit?usp=sharing"",""เชียงใหม่!L236"")"),77000)</f>
        <v>77000</v>
      </c>
      <c r="CH16" s="97">
        <f ca="1">IFERROR(__xludf.DUMMYFUNCTION("IMPORTRANGE(""https://docs.google.com/spreadsheets/d/1rEDxBtusbi64tE0zunoIbsTVV16HeL0oJ6trHQeQ7K8/edit?usp=sharing"",""เชียงใหม่!N236"")"),0)</f>
        <v>0</v>
      </c>
      <c r="CI16" s="98">
        <f t="shared" ca="1" si="130"/>
        <v>0</v>
      </c>
      <c r="CJ16" s="97">
        <f ca="1">IFERROR(__xludf.DUMMYFUNCTION("IMPORTRANGE(""https://docs.google.com/spreadsheets/d/1rEDxBtusbi64tE0zunoIbsTVV16HeL0oJ6trHQeQ7K8/edit?usp=sharing"",""เชียงใหม่!I238"")"),60)</f>
        <v>60</v>
      </c>
      <c r="CK16" s="97">
        <f ca="1">IFERROR(__xludf.DUMMYFUNCTION("IMPORTRANGE(""https://docs.google.com/spreadsheets/d/1rEDxBtusbi64tE0zunoIbsTVV16HeL0oJ6trHQeQ7K8/edit?usp=sharing"",""เชียงใหม่!J238"")"),0)</f>
        <v>0</v>
      </c>
      <c r="CL16" s="98">
        <f t="shared" ca="1" si="132"/>
        <v>0</v>
      </c>
      <c r="CM16" s="97">
        <f ca="1">IFERROR(__xludf.DUMMYFUNCTION("IMPORTRANGE(""https://docs.google.com/spreadsheets/d/1rEDxBtusbi64tE0zunoIbsTVV16HeL0oJ6trHQeQ7K8/edit?usp=sharing"",""เชียงใหม่!J240"")"),0)</f>
        <v>0</v>
      </c>
      <c r="CN16" s="97">
        <f ca="1">IFERROR(__xludf.DUMMYFUNCTION("IMPORTRANGE(""https://docs.google.com/spreadsheets/d/1rEDxBtusbi64tE0zunoIbsTVV16HeL0oJ6trHQeQ7K8/edit?usp=sharing"",""เชียงใหม่!J241"")"),0)</f>
        <v>0</v>
      </c>
    </row>
    <row r="17" spans="1:92" ht="24" customHeight="1" x14ac:dyDescent="0.3">
      <c r="A17" s="89">
        <v>4</v>
      </c>
      <c r="B17" s="90" t="s">
        <v>43</v>
      </c>
      <c r="C17" s="174">
        <f t="shared" ca="1" si="80"/>
        <v>214500</v>
      </c>
      <c r="D17" s="175">
        <f t="shared" ca="1" si="134"/>
        <v>214500</v>
      </c>
      <c r="E17" s="176">
        <f ca="1">IFERROR(__xludf.DUMMYFUNCTION("IMPORTRANGE(""https://docs.google.com/spreadsheets/d/1-uDff_7J0KD5mKrp0Vvzr7lt3OU09vwQwhkpOPPYv2Y/edit?usp=sharing"",""งบพรบ!CV17"")"),182000)</f>
        <v>182000</v>
      </c>
      <c r="F17" s="176">
        <f ca="1">IFERROR(__xludf.DUMMYFUNCTION("IMPORTRANGE(""https://docs.google.com/spreadsheets/d/1-uDff_7J0KD5mKrp0Vvzr7lt3OU09vwQwhkpOPPYv2Y/edit?usp=sharing"",""งบพรบ!CW17"")"),32500)</f>
        <v>32500</v>
      </c>
      <c r="G17" s="176">
        <f ca="1">IFERROR(__xludf.DUMMYFUNCTION("IMPORTRANGE(""https://docs.google.com/spreadsheets/d/1-uDff_7J0KD5mKrp0Vvzr7lt3OU09vwQwhkpOPPYv2Y/edit?usp=sharing"",""งบพรบ!CX17"")"),0)</f>
        <v>0</v>
      </c>
      <c r="H17" s="176">
        <f ca="1">IFERROR(__xludf.DUMMYFUNCTION("IMPORTRANGE(""https://docs.google.com/spreadsheets/d/1-uDff_7J0KD5mKrp0Vvzr7lt3OU09vwQwhkpOPPYv2Y/edit?usp=sharing"",""งบพรบ!CZ17"")"),214500)</f>
        <v>214500</v>
      </c>
      <c r="I17" s="176">
        <f ca="1">IFERROR(__xludf.DUMMYFUNCTION("IMPORTRANGE(""https://docs.google.com/spreadsheets/d/1-uDff_7J0KD5mKrp0Vvzr7lt3OU09vwQwhkpOPPYv2Y/edit?usp=sharing"",""งบพรบ!DA17"")"),0)</f>
        <v>0</v>
      </c>
      <c r="J17" s="176">
        <f t="shared" ca="1" si="82"/>
        <v>85880</v>
      </c>
      <c r="K17" s="179">
        <f t="shared" ca="1" si="83"/>
        <v>40.037296037296038</v>
      </c>
      <c r="L17" s="176">
        <f ca="1">IFERROR(__xludf.DUMMYFUNCTION("IMPORTRANGE(""https://docs.google.com/spreadsheets/d/1-uDff_7J0KD5mKrp0Vvzr7lt3OU09vwQwhkpOPPYv2Y/edit?usp=sharing"",""งบพรบ!DB17"")"),85880)</f>
        <v>85880</v>
      </c>
      <c r="M17" s="87">
        <f t="shared" ca="1" si="84"/>
        <v>40.037296037296038</v>
      </c>
      <c r="N17" s="87">
        <f t="shared" ca="1" si="85"/>
        <v>40.037296037296038</v>
      </c>
      <c r="O17" s="86">
        <f ca="1">IFERROR(__xludf.DUMMYFUNCTION("IMPORTRANGE(""https://docs.google.com/spreadsheets/d/1-uDff_7J0KD5mKrp0Vvzr7lt3OU09vwQwhkpOPPYv2Y/edit?usp=sharing"",""งบพรบ!DC17"")"),0)</f>
        <v>0</v>
      </c>
      <c r="P17" s="86">
        <f t="shared" ca="1" si="86"/>
        <v>0</v>
      </c>
      <c r="Q17" s="87">
        <f t="shared" ca="1" si="87"/>
        <v>0</v>
      </c>
      <c r="R17" s="241">
        <f ca="1">IFERROR(__xludf.DUMMYFUNCTION("IMPORTRANGE(""https://docs.google.com/spreadsheets/d/1W6MnUbDkMi6xHnHko_XkFDO9kkuL6Wqyc-6OCDFjW9I/edit?usp=sharing"",""ตาก!Q186"")"),34000)</f>
        <v>34000</v>
      </c>
      <c r="S17" s="242">
        <f ca="1">IFERROR(__xludf.DUMMYFUNCTION("IMPORTRANGE(""https://docs.google.com/spreadsheets/d/1W6MnUbDkMi6xHnHko_XkFDO9kkuL6Wqyc-6OCDFjW9I/edit?usp=sharing"",""ตาก!R186"")"),0)</f>
        <v>0</v>
      </c>
      <c r="T17" s="242">
        <f ca="1">IFERROR(__xludf.DUMMYFUNCTION("IMPORTRANGE(""https://docs.google.com/spreadsheets/d/1W6MnUbDkMi6xHnHko_XkFDO9kkuL6Wqyc-6OCDFjW9I/edit?usp=sharing"",""ตาก!S186"")"),0)</f>
        <v>0</v>
      </c>
      <c r="U17" s="243">
        <f t="shared" ca="1" si="89"/>
        <v>0</v>
      </c>
      <c r="V17" s="243">
        <f t="shared" ca="1" si="90"/>
        <v>0</v>
      </c>
      <c r="W17" s="97">
        <f ca="1">IFERROR(__xludf.DUMMYFUNCTION("IMPORTRANGE(""https://docs.google.com/spreadsheets/d/1W6MnUbDkMi6xHnHko_XkFDO9kkuL6Wqyc-6OCDFjW9I/edit?usp=sharing"",""ตาก!L196"")"),6000)</f>
        <v>6000</v>
      </c>
      <c r="X17" s="97">
        <f ca="1">IFERROR(__xludf.DUMMYFUNCTION("IMPORTRANGE(""https://docs.google.com/spreadsheets/d/1W6MnUbDkMi6xHnHko_XkFDO9kkuL6Wqyc-6OCDFjW9I/edit?usp=sharing"",""ตาก!N196"")"),0)</f>
        <v>0</v>
      </c>
      <c r="Y17" s="98">
        <f t="shared" ca="1" si="92"/>
        <v>0</v>
      </c>
      <c r="Z17" s="97">
        <f ca="1">IFERROR(__xludf.DUMMYFUNCTION("IMPORTRANGE(""https://docs.google.com/spreadsheets/d/1W6MnUbDkMi6xHnHko_XkFDO9kkuL6Wqyc-6OCDFjW9I/edit?usp=sharing"",""ตาก!I198"")"),4)</f>
        <v>4</v>
      </c>
      <c r="AA17" s="97">
        <f ca="1">IFERROR(__xludf.DUMMYFUNCTION("IMPORTRANGE(""https://docs.google.com/spreadsheets/d/1W6MnUbDkMi6xHnHko_XkFDO9kkuL6Wqyc-6OCDFjW9I/edit?usp=sharing"",""ตาก!J198"")"),1)</f>
        <v>1</v>
      </c>
      <c r="AB17" s="98">
        <f t="shared" ca="1" si="94"/>
        <v>25</v>
      </c>
      <c r="AC17" s="97">
        <f ca="1">IFERROR(__xludf.DUMMYFUNCTION("IMPORTRANGE(""https://docs.google.com/spreadsheets/d/1W6MnUbDkMi6xHnHko_XkFDO9kkuL6Wqyc-6OCDFjW9I/edit?usp=sharing"",""ตาก!J199"")"),22)</f>
        <v>22</v>
      </c>
      <c r="AD17" s="97">
        <f ca="1">IFERROR(__xludf.DUMMYFUNCTION("IMPORTRANGE(""https://docs.google.com/spreadsheets/d/1W6MnUbDkMi6xHnHko_XkFDO9kkuL6Wqyc-6OCDFjW9I/edit?usp=sharing"",""ตาก!J200"")"),22)</f>
        <v>22</v>
      </c>
      <c r="AE17" s="97">
        <f ca="1">IFERROR(__xludf.DUMMYFUNCTION("IMPORTRANGE(""https://docs.google.com/spreadsheets/d/1W6MnUbDkMi6xHnHko_XkFDO9kkuL6Wqyc-6OCDFjW9I/edit?usp=sharing"",""ตาก!J201"")"),0)</f>
        <v>0</v>
      </c>
      <c r="AF17" s="97">
        <f ca="1">IFERROR(__xludf.DUMMYFUNCTION("IMPORTRANGE(""https://docs.google.com/spreadsheets/d/1W6MnUbDkMi6xHnHko_XkFDO9kkuL6Wqyc-6OCDFjW9I/edit?usp=sharing"",""ตาก!L204"")"),1000)</f>
        <v>1000</v>
      </c>
      <c r="AG17" s="97">
        <f ca="1">IFERROR(__xludf.DUMMYFUNCTION("IMPORTRANGE(""https://docs.google.com/spreadsheets/d/1W6MnUbDkMi6xHnHko_XkFDO9kkuL6Wqyc-6OCDFjW9I/edit?usp=sharing"",""ตาก!N204"")"),0)</f>
        <v>0</v>
      </c>
      <c r="AH17" s="98">
        <f t="shared" ca="1" si="96"/>
        <v>0</v>
      </c>
      <c r="AI17" s="97">
        <f ca="1">IFERROR(__xludf.DUMMYFUNCTION("IMPORTRANGE(""https://docs.google.com/spreadsheets/d/1W6MnUbDkMi6xHnHko_XkFDO9kkuL6Wqyc-6OCDFjW9I/edit?usp=sharing"",""ตาก!L206"")"),8000)</f>
        <v>8000</v>
      </c>
      <c r="AJ17" s="97">
        <f ca="1">IFERROR(__xludf.DUMMYFUNCTION("IMPORTRANGE(""https://docs.google.com/spreadsheets/d/1W6MnUbDkMi6xHnHko_XkFDO9kkuL6Wqyc-6OCDFjW9I/edit?usp=sharing"",""ตาก!N206"")"),0)</f>
        <v>0</v>
      </c>
      <c r="AK17" s="98">
        <f t="shared" ca="1" si="98"/>
        <v>0</v>
      </c>
      <c r="AL17" s="97">
        <f ca="1">IFERROR(__xludf.DUMMYFUNCTION("IMPORTRANGE(""https://docs.google.com/spreadsheets/d/1W6MnUbDkMi6xHnHko_XkFDO9kkuL6Wqyc-6OCDFjW9I/edit?usp=sharing"",""ตาก!L207"")"),9000)</f>
        <v>9000</v>
      </c>
      <c r="AM17" s="97">
        <f ca="1">IFERROR(__xludf.DUMMYFUNCTION("IMPORTRANGE(""https://docs.google.com/spreadsheets/d/1W6MnUbDkMi6xHnHko_XkFDO9kkuL6Wqyc-6OCDFjW9I/edit?usp=sharing"",""ตาก!N207"")"),0)</f>
        <v>0</v>
      </c>
      <c r="AN17" s="98">
        <f t="shared" ca="1" si="100"/>
        <v>0</v>
      </c>
      <c r="AO17" s="97">
        <f ca="1">IFERROR(__xludf.DUMMYFUNCTION("IMPORTRANGE(""https://docs.google.com/spreadsheets/d/1W6MnUbDkMi6xHnHko_XkFDO9kkuL6Wqyc-6OCDFjW9I/edit?usp=sharing"",""ตาก!I209"")"),1)</f>
        <v>1</v>
      </c>
      <c r="AP17" s="97">
        <f ca="1">IFERROR(__xludf.DUMMYFUNCTION("IMPORTRANGE(""https://docs.google.com/spreadsheets/d/1W6MnUbDkMi6xHnHko_XkFDO9kkuL6Wqyc-6OCDFjW9I/edit?usp=sharing"",""ตาก!J209"")"),1)</f>
        <v>1</v>
      </c>
      <c r="AQ17" s="98">
        <f t="shared" ca="1" si="102"/>
        <v>100</v>
      </c>
      <c r="AR17" s="97">
        <f ca="1">IFERROR(__xludf.DUMMYFUNCTION("IMPORTRANGE(""https://docs.google.com/spreadsheets/d/1W6MnUbDkMi6xHnHko_XkFDO9kkuL6Wqyc-6OCDFjW9I/edit?usp=sharing"",""ตาก!J211"")"),0)</f>
        <v>0</v>
      </c>
      <c r="AS17" s="97">
        <f ca="1">IFERROR(__xludf.DUMMYFUNCTION("IMPORTRANGE(""https://docs.google.com/spreadsheets/d/1W6MnUbDkMi6xHnHko_XkFDO9kkuL6Wqyc-6OCDFjW9I/edit?usp=sharing"",""ตาก!J212"")"),0)</f>
        <v>0</v>
      </c>
      <c r="AT17" s="97">
        <f ca="1">IFERROR(__xludf.DUMMYFUNCTION("IMPORTRANGE(""https://docs.google.com/spreadsheets/d/1W6MnUbDkMi6xHnHko_XkFDO9kkuL6Wqyc-6OCDFjW9I/edit?usp=sharing"",""ตาก!L215"")"),0)</f>
        <v>0</v>
      </c>
      <c r="AU17" s="97">
        <f ca="1">IFERROR(__xludf.DUMMYFUNCTION("IMPORTRANGE(""https://docs.google.com/spreadsheets/d/1W6MnUbDkMi6xHnHko_XkFDO9kkuL6Wqyc-6OCDFjW9I/edit?usp=sharing"",""ตาก!N215"")"),0)</f>
        <v>0</v>
      </c>
      <c r="AV17" s="98">
        <f t="shared" ca="1" si="104"/>
        <v>0</v>
      </c>
      <c r="AW17" s="97">
        <f ca="1">IFERROR(__xludf.DUMMYFUNCTION("IMPORTRANGE(""https://docs.google.com/spreadsheets/d/1W6MnUbDkMi6xHnHko_XkFDO9kkuL6Wqyc-6OCDFjW9I/edit?usp=sharing"",""ตาก!L216"")"),0)</f>
        <v>0</v>
      </c>
      <c r="AX17" s="97">
        <f ca="1">IFERROR(__xludf.DUMMYFUNCTION("IMPORTRANGE(""https://docs.google.com/spreadsheets/d/1W6MnUbDkMi6xHnHko_XkFDO9kkuL6Wqyc-6OCDFjW9I/edit?usp=sharing"",""ตาก!N216"")"),0)</f>
        <v>0</v>
      </c>
      <c r="AY17" s="98">
        <f t="shared" ca="1" si="106"/>
        <v>0</v>
      </c>
      <c r="AZ17" s="97">
        <f ca="1">IFERROR(__xludf.DUMMYFUNCTION("IMPORTRANGE(""https://docs.google.com/spreadsheets/d/1W6MnUbDkMi6xHnHko_XkFDO9kkuL6Wqyc-6OCDFjW9I/edit?usp=sharing"",""ตาก!L217"")"),0)</f>
        <v>0</v>
      </c>
      <c r="BA17" s="97">
        <f ca="1">IFERROR(__xludf.DUMMYFUNCTION("IMPORTRANGE(""https://docs.google.com/spreadsheets/d/1W6MnUbDkMi6xHnHko_XkFDO9kkuL6Wqyc-6OCDFjW9I/edit?usp=sharing"",""ตาก!N217"")"),0)</f>
        <v>0</v>
      </c>
      <c r="BB17" s="98">
        <f t="shared" ca="1" si="108"/>
        <v>0</v>
      </c>
      <c r="BC17" s="97">
        <f ca="1">IFERROR(__xludf.DUMMYFUNCTION("IMPORTRANGE(""https://docs.google.com/spreadsheets/d/1W6MnUbDkMi6xHnHko_XkFDO9kkuL6Wqyc-6OCDFjW9I/edit?usp=sharing"",""ตาก!I219"")"),0)</f>
        <v>0</v>
      </c>
      <c r="BD17" s="97">
        <f ca="1">IFERROR(__xludf.DUMMYFUNCTION("IMPORTRANGE(""https://docs.google.com/spreadsheets/d/1W6MnUbDkMi6xHnHko_XkFDO9kkuL6Wqyc-6OCDFjW9I/edit?usp=sharing"",""ตาก!J219"")"),0)</f>
        <v>0</v>
      </c>
      <c r="BE17" s="98">
        <f t="shared" ca="1" si="110"/>
        <v>0</v>
      </c>
      <c r="BF17" s="97">
        <f ca="1">IFERROR(__xludf.DUMMYFUNCTION("IMPORTRANGE(""https://docs.google.com/spreadsheets/d/1W6MnUbDkMi6xHnHko_XkFDO9kkuL6Wqyc-6OCDFjW9I/edit?usp=sharing"",""ตาก!I220"")"),0)</f>
        <v>0</v>
      </c>
      <c r="BG17" s="97">
        <f ca="1">IFERROR(__xludf.DUMMYFUNCTION("IMPORTRANGE(""https://docs.google.com/spreadsheets/d/1W6MnUbDkMi6xHnHko_XkFDO9kkuL6Wqyc-6OCDFjW9I/edit?usp=sharing"",""ตาก!J220"")"),0)</f>
        <v>0</v>
      </c>
      <c r="BH17" s="98">
        <f t="shared" ca="1" si="112"/>
        <v>0</v>
      </c>
      <c r="BI17" s="97">
        <f ca="1">IFERROR(__xludf.DUMMYFUNCTION("IMPORTRANGE(""https://docs.google.com/spreadsheets/d/1W6MnUbDkMi6xHnHko_XkFDO9kkuL6Wqyc-6OCDFjW9I/edit?usp=sharing"",""ตาก!L223"")"),7000)</f>
        <v>7000</v>
      </c>
      <c r="BJ17" s="97">
        <f ca="1">IFERROR(__xludf.DUMMYFUNCTION("IMPORTRANGE(""https://docs.google.com/spreadsheets/d/1W6MnUbDkMi6xHnHko_XkFDO9kkuL6Wqyc-6OCDFjW9I/edit?usp=sharing"",""ตาก!N223"")"),0)</f>
        <v>0</v>
      </c>
      <c r="BK17" s="98">
        <f t="shared" ca="1" si="114"/>
        <v>0</v>
      </c>
      <c r="BL17" s="97">
        <f ca="1">IFERROR(__xludf.DUMMYFUNCTION("IMPORTRANGE(""https://docs.google.com/spreadsheets/d/1W6MnUbDkMi6xHnHko_XkFDO9kkuL6Wqyc-6OCDFjW9I/edit?usp=sharing"",""ตาก!L224"")"),1500)</f>
        <v>1500</v>
      </c>
      <c r="BM17" s="97">
        <f ca="1">IFERROR(__xludf.DUMMYFUNCTION("IMPORTRANGE(""https://docs.google.com/spreadsheets/d/1W6MnUbDkMi6xHnHko_XkFDO9kkuL6Wqyc-6OCDFjW9I/edit?usp=sharing"",""ตาก!N224"")"),0)</f>
        <v>0</v>
      </c>
      <c r="BN17" s="98">
        <f t="shared" ca="1" si="116"/>
        <v>0</v>
      </c>
      <c r="BO17" s="97">
        <f ca="1">IFERROR(__xludf.DUMMYFUNCTION("IMPORTRANGE(""https://docs.google.com/spreadsheets/d/1W6MnUbDkMi6xHnHko_XkFDO9kkuL6Wqyc-6OCDFjW9I/edit?usp=sharing"",""ตาก!I228"")"),50000)</f>
        <v>50000</v>
      </c>
      <c r="BP17" s="97">
        <f ca="1">IFERROR(__xludf.DUMMYFUNCTION("IMPORTRANGE(""https://docs.google.com/spreadsheets/d/1W6MnUbDkMi6xHnHko_XkFDO9kkuL6Wqyc-6OCDFjW9I/edit?usp=sharing"",""ตาก!J228"")"),0)</f>
        <v>0</v>
      </c>
      <c r="BQ17" s="98">
        <f t="shared" ca="1" si="118"/>
        <v>0</v>
      </c>
      <c r="BR17" s="97">
        <f ca="1">IFERROR(__xludf.DUMMYFUNCTION("IMPORTRANGE(""https://docs.google.com/spreadsheets/d/1W6MnUbDkMi6xHnHko_XkFDO9kkuL6Wqyc-6OCDFjW9I/edit?usp=sharing"",""ตาก!I229"")"),50000)</f>
        <v>50000</v>
      </c>
      <c r="BS17" s="97">
        <f ca="1">IFERROR(__xludf.DUMMYFUNCTION("IMPORTRANGE(""https://docs.google.com/spreadsheets/d/1W6MnUbDkMi6xHnHko_XkFDO9kkuL6Wqyc-6OCDFjW9I/edit?usp=sharing"",""ตาก!J229"")"),0)</f>
        <v>0</v>
      </c>
      <c r="BT17" s="98">
        <f t="shared" ca="1" si="120"/>
        <v>0</v>
      </c>
      <c r="BU17" s="97">
        <f ca="1">IFERROR(__xludf.DUMMYFUNCTION("IMPORTRANGE(""https://docs.google.com/spreadsheets/d/1W6MnUbDkMi6xHnHko_XkFDO9kkuL6Wqyc-6OCDFjW9I/edit?usp=sharing"",""ตาก!I230"")"),0)</f>
        <v>0</v>
      </c>
      <c r="BV17" s="97">
        <f ca="1">IFERROR(__xludf.DUMMYFUNCTION("IMPORTRANGE(""https://docs.google.com/spreadsheets/d/1W6MnUbDkMi6xHnHko_XkFDO9kkuL6Wqyc-6OCDFjW9I/edit?usp=sharing"",""ตาก!J230"")"),0)</f>
        <v>0</v>
      </c>
      <c r="BW17" s="98">
        <f t="shared" ca="1" si="122"/>
        <v>0</v>
      </c>
      <c r="BX17" s="97">
        <f ca="1">IFERROR(__xludf.DUMMYFUNCTION("IMPORTRANGE(""https://docs.google.com/spreadsheets/d/1W6MnUbDkMi6xHnHko_XkFDO9kkuL6Wqyc-6OCDFjW9I/edit?usp=sharing"",""ตาก!L233"")"),0)</f>
        <v>0</v>
      </c>
      <c r="BY17" s="97">
        <f ca="1">IFERROR(__xludf.DUMMYFUNCTION("IMPORTRANGE(""https://docs.google.com/spreadsheets/d/1W6MnUbDkMi6xHnHko_XkFDO9kkuL6Wqyc-6OCDFjW9I/edit?usp=sharing"",""ตาก!N233"")"),0)</f>
        <v>0</v>
      </c>
      <c r="BZ17" s="98">
        <f t="shared" ca="1" si="124"/>
        <v>0</v>
      </c>
      <c r="CA17" s="97">
        <f ca="1">IFERROR(__xludf.DUMMYFUNCTION("IMPORTRANGE(""https://docs.google.com/spreadsheets/d/1W6MnUbDkMi6xHnHko_XkFDO9kkuL6Wqyc-6OCDFjW9I/edit?usp=sharing"",""ตาก!L234"")"),0)</f>
        <v>0</v>
      </c>
      <c r="CB17" s="97">
        <f ca="1">IFERROR(__xludf.DUMMYFUNCTION("IMPORTRANGE(""https://docs.google.com/spreadsheets/d/1W6MnUbDkMi6xHnHko_XkFDO9kkuL6Wqyc-6OCDFjW9I/edit?usp=sharing"",""ตาก!N234"")"),0)</f>
        <v>0</v>
      </c>
      <c r="CC17" s="98">
        <f t="shared" ca="1" si="126"/>
        <v>0</v>
      </c>
      <c r="CD17" s="97">
        <f ca="1">IFERROR(__xludf.DUMMYFUNCTION("IMPORTRANGE(""https://docs.google.com/spreadsheets/d/1W6MnUbDkMi6xHnHko_XkFDO9kkuL6Wqyc-6OCDFjW9I/edit?usp=sharing"",""ตาก!L235"")"),0)</f>
        <v>0</v>
      </c>
      <c r="CE17" s="97">
        <f ca="1">IFERROR(__xludf.DUMMYFUNCTION("IMPORTRANGE(""https://docs.google.com/spreadsheets/d/1W6MnUbDkMi6xHnHko_XkFDO9kkuL6Wqyc-6OCDFjW9I/edit?usp=sharing"",""ตาก!N235"")"),0)</f>
        <v>0</v>
      </c>
      <c r="CF17" s="98">
        <f t="shared" ca="1" si="128"/>
        <v>0</v>
      </c>
      <c r="CG17" s="97">
        <f ca="1">IFERROR(__xludf.DUMMYFUNCTION("IMPORTRANGE(""https://docs.google.com/spreadsheets/d/1W6MnUbDkMi6xHnHko_XkFDO9kkuL6Wqyc-6OCDFjW9I/edit?usp=sharing"",""ตาก!L236"")"),0)</f>
        <v>0</v>
      </c>
      <c r="CH17" s="97">
        <f ca="1">IFERROR(__xludf.DUMMYFUNCTION("IMPORTRANGE(""https://docs.google.com/spreadsheets/d/1W6MnUbDkMi6xHnHko_XkFDO9kkuL6Wqyc-6OCDFjW9I/edit?usp=sharing"",""ตาก!N236"")"),0)</f>
        <v>0</v>
      </c>
      <c r="CI17" s="98">
        <f t="shared" ca="1" si="130"/>
        <v>0</v>
      </c>
      <c r="CJ17" s="97">
        <f ca="1">IFERROR(__xludf.DUMMYFUNCTION("IMPORTRANGE(""https://docs.google.com/spreadsheets/d/1W6MnUbDkMi6xHnHko_XkFDO9kkuL6Wqyc-6OCDFjW9I/edit?usp=sharing"",""ตาก!I238"")"),0)</f>
        <v>0</v>
      </c>
      <c r="CK17" s="97">
        <f ca="1">IFERROR(__xludf.DUMMYFUNCTION("IMPORTRANGE(""https://docs.google.com/spreadsheets/d/1W6MnUbDkMi6xHnHko_XkFDO9kkuL6Wqyc-6OCDFjW9I/edit?usp=sharing"",""ตาก!J238"")"),0)</f>
        <v>0</v>
      </c>
      <c r="CL17" s="98">
        <f t="shared" ca="1" si="132"/>
        <v>0</v>
      </c>
      <c r="CM17" s="97">
        <f ca="1">IFERROR(__xludf.DUMMYFUNCTION("IMPORTRANGE(""https://docs.google.com/spreadsheets/d/1W6MnUbDkMi6xHnHko_XkFDO9kkuL6Wqyc-6OCDFjW9I/edit?usp=sharing"",""ตาก!J240"")"),0)</f>
        <v>0</v>
      </c>
      <c r="CN17" s="97">
        <f ca="1">IFERROR(__xludf.DUMMYFUNCTION("IMPORTRANGE(""https://docs.google.com/spreadsheets/d/1W6MnUbDkMi6xHnHko_XkFDO9kkuL6Wqyc-6OCDFjW9I/edit?usp=sharing"",""ตาก!J241"")"),0)</f>
        <v>0</v>
      </c>
    </row>
    <row r="18" spans="1:92" ht="24" customHeight="1" x14ac:dyDescent="0.3">
      <c r="A18" s="89">
        <v>5</v>
      </c>
      <c r="B18" s="90" t="s">
        <v>44</v>
      </c>
      <c r="C18" s="174">
        <f t="shared" ca="1" si="80"/>
        <v>161500</v>
      </c>
      <c r="D18" s="175">
        <f t="shared" ca="1" si="134"/>
        <v>161500</v>
      </c>
      <c r="E18" s="176">
        <f ca="1">IFERROR(__xludf.DUMMYFUNCTION("IMPORTRANGE(""https://docs.google.com/spreadsheets/d/1-uDff_7J0KD5mKrp0Vvzr7lt3OU09vwQwhkpOPPYv2Y/edit?usp=sharing"",""งบพรบ!CV18"")"),91000)</f>
        <v>91000</v>
      </c>
      <c r="F18" s="176">
        <f ca="1">IFERROR(__xludf.DUMMYFUNCTION("IMPORTRANGE(""https://docs.google.com/spreadsheets/d/1-uDff_7J0KD5mKrp0Vvzr7lt3OU09vwQwhkpOPPYv2Y/edit?usp=sharing"",""งบพรบ!CW18"")"),70500)</f>
        <v>70500</v>
      </c>
      <c r="G18" s="176">
        <f ca="1">IFERROR(__xludf.DUMMYFUNCTION("IMPORTRANGE(""https://docs.google.com/spreadsheets/d/1-uDff_7J0KD5mKrp0Vvzr7lt3OU09vwQwhkpOPPYv2Y/edit?usp=sharing"",""งบพรบ!CX18"")"),0)</f>
        <v>0</v>
      </c>
      <c r="H18" s="176">
        <f ca="1">IFERROR(__xludf.DUMMYFUNCTION("IMPORTRANGE(""https://docs.google.com/spreadsheets/d/1-uDff_7J0KD5mKrp0Vvzr7lt3OU09vwQwhkpOPPYv2Y/edit?usp=sharing"",""งบพรบ!CZ18"")"),166500)</f>
        <v>166500</v>
      </c>
      <c r="I18" s="176">
        <f ca="1">IFERROR(__xludf.DUMMYFUNCTION("IMPORTRANGE(""https://docs.google.com/spreadsheets/d/1-uDff_7J0KD5mKrp0Vvzr7lt3OU09vwQwhkpOPPYv2Y/edit?usp=sharing"",""งบพรบ!DA18"")"),0)</f>
        <v>0</v>
      </c>
      <c r="J18" s="176">
        <f t="shared" ca="1" si="82"/>
        <v>37282</v>
      </c>
      <c r="K18" s="179">
        <f t="shared" ca="1" si="83"/>
        <v>23.08482972136223</v>
      </c>
      <c r="L18" s="176">
        <f ca="1">IFERROR(__xludf.DUMMYFUNCTION("IMPORTRANGE(""https://docs.google.com/spreadsheets/d/1-uDff_7J0KD5mKrp0Vvzr7lt3OU09vwQwhkpOPPYv2Y/edit?usp=sharing"",""งบพรบ!DB18"")"),37282)</f>
        <v>37282</v>
      </c>
      <c r="M18" s="87">
        <f t="shared" ca="1" si="84"/>
        <v>23.08482972136223</v>
      </c>
      <c r="N18" s="87">
        <f t="shared" ca="1" si="85"/>
        <v>22.391591591591592</v>
      </c>
      <c r="O18" s="86">
        <f ca="1">IFERROR(__xludf.DUMMYFUNCTION("IMPORTRANGE(""https://docs.google.com/spreadsheets/d/1-uDff_7J0KD5mKrp0Vvzr7lt3OU09vwQwhkpOPPYv2Y/edit?usp=sharing"",""งบพรบ!DC18"")"),0)</f>
        <v>0</v>
      </c>
      <c r="P18" s="86">
        <f t="shared" ca="1" si="86"/>
        <v>0</v>
      </c>
      <c r="Q18" s="87">
        <f t="shared" ca="1" si="87"/>
        <v>0</v>
      </c>
      <c r="R18" s="241">
        <f ca="1">IFERROR(__xludf.DUMMYFUNCTION("IMPORTRANGE(""https://docs.google.com/spreadsheets/d/1IQAWArduLkta9LpYo4a_ULsyqdta6-6aDDiwpUnQT6c/edit?usp=sharing"",""นครสวรรค์!Q186"")"),70000)</f>
        <v>70000</v>
      </c>
      <c r="S18" s="242">
        <f ca="1">IFERROR(__xludf.DUMMYFUNCTION("IMPORTRANGE(""https://docs.google.com/spreadsheets/d/1IQAWArduLkta9LpYo4a_ULsyqdta6-6aDDiwpUnQT6c/edit?usp=sharing"",""นครสวรรค์!R186"")"),0)</f>
        <v>0</v>
      </c>
      <c r="T18" s="242">
        <f ca="1">IFERROR(__xludf.DUMMYFUNCTION("IMPORTRANGE(""https://docs.google.com/spreadsheets/d/1IQAWArduLkta9LpYo4a_ULsyqdta6-6aDDiwpUnQT6c/edit?usp=sharing"",""นครสวรรค์!S186"")"),0)</f>
        <v>0</v>
      </c>
      <c r="U18" s="243">
        <f t="shared" ca="1" si="89"/>
        <v>0</v>
      </c>
      <c r="V18" s="243">
        <f t="shared" ca="1" si="90"/>
        <v>0</v>
      </c>
      <c r="W18" s="97">
        <f ca="1">IFERROR(__xludf.DUMMYFUNCTION("IMPORTRANGE(""https://docs.google.com/spreadsheets/d/1IQAWArduLkta9LpYo4a_ULsyqdta6-6aDDiwpUnQT6c/edit?usp=sharing"",""นครสวรรค์!L196"")"),6000)</f>
        <v>6000</v>
      </c>
      <c r="X18" s="97">
        <f ca="1">IFERROR(__xludf.DUMMYFUNCTION("IMPORTRANGE(""https://docs.google.com/spreadsheets/d/1IQAWArduLkta9LpYo4a_ULsyqdta6-6aDDiwpUnQT6c/edit?usp=sharing"",""นครสวรรค์!N196"")"),0)</f>
        <v>0</v>
      </c>
      <c r="Y18" s="98">
        <f t="shared" ca="1" si="92"/>
        <v>0</v>
      </c>
      <c r="Z18" s="97">
        <f ca="1">IFERROR(__xludf.DUMMYFUNCTION("IMPORTRANGE(""https://docs.google.com/spreadsheets/d/1IQAWArduLkta9LpYo4a_ULsyqdta6-6aDDiwpUnQT6c/edit?usp=sharing"",""นครสวรรค์!I198"")"),4)</f>
        <v>4</v>
      </c>
      <c r="AA18" s="97">
        <f ca="1">IFERROR(__xludf.DUMMYFUNCTION("IMPORTRANGE(""https://docs.google.com/spreadsheets/d/1IQAWArduLkta9LpYo4a_ULsyqdta6-6aDDiwpUnQT6c/edit?usp=sharing"",""นครสวรรค์!J198"")"),0)</f>
        <v>0</v>
      </c>
      <c r="AB18" s="98">
        <f t="shared" ca="1" si="94"/>
        <v>0</v>
      </c>
      <c r="AC18" s="97">
        <f ca="1">IFERROR(__xludf.DUMMYFUNCTION("IMPORTRANGE(""https://docs.google.com/spreadsheets/d/1IQAWArduLkta9LpYo4a_ULsyqdta6-6aDDiwpUnQT6c/edit?usp=sharing"",""นครสวรรค์!J199"")"),0)</f>
        <v>0</v>
      </c>
      <c r="AD18" s="97">
        <f ca="1">IFERROR(__xludf.DUMMYFUNCTION("IMPORTRANGE(""https://docs.google.com/spreadsheets/d/1IQAWArduLkta9LpYo4a_ULsyqdta6-6aDDiwpUnQT6c/edit?usp=sharing"",""นครสวรรค์!J200"")"),0)</f>
        <v>0</v>
      </c>
      <c r="AE18" s="97">
        <f ca="1">IFERROR(__xludf.DUMMYFUNCTION("IMPORTRANGE(""https://docs.google.com/spreadsheets/d/1IQAWArduLkta9LpYo4a_ULsyqdta6-6aDDiwpUnQT6c/edit?usp=sharing"",""นครสวรรค์!J201"")"),0)</f>
        <v>0</v>
      </c>
      <c r="AF18" s="97">
        <f ca="1">IFERROR(__xludf.DUMMYFUNCTION("IMPORTRANGE(""https://docs.google.com/spreadsheets/d/1IQAWArduLkta9LpYo4a_ULsyqdta6-6aDDiwpUnQT6c/edit?usp=sharing"",""นครสวรรค์!L204"")"),4000)</f>
        <v>4000</v>
      </c>
      <c r="AG18" s="97">
        <f ca="1">IFERROR(__xludf.DUMMYFUNCTION("IMPORTRANGE(""https://docs.google.com/spreadsheets/d/1IQAWArduLkta9LpYo4a_ULsyqdta6-6aDDiwpUnQT6c/edit?usp=sharing"",""นครสวรรค์!N204"")"),0)</f>
        <v>0</v>
      </c>
      <c r="AH18" s="98">
        <f t="shared" ca="1" si="96"/>
        <v>0</v>
      </c>
      <c r="AI18" s="97">
        <f ca="1">IFERROR(__xludf.DUMMYFUNCTION("IMPORTRANGE(""https://docs.google.com/spreadsheets/d/1IQAWArduLkta9LpYo4a_ULsyqdta6-6aDDiwpUnQT6c/edit?usp=sharing"",""นครสวรรค์!L206"")"),32000)</f>
        <v>32000</v>
      </c>
      <c r="AJ18" s="97">
        <f ca="1">IFERROR(__xludf.DUMMYFUNCTION("IMPORTRANGE(""https://docs.google.com/spreadsheets/d/1IQAWArduLkta9LpYo4a_ULsyqdta6-6aDDiwpUnQT6c/edit?usp=sharing"",""นครสวรรค์!N206"")"),0)</f>
        <v>0</v>
      </c>
      <c r="AK18" s="98">
        <f t="shared" ca="1" si="98"/>
        <v>0</v>
      </c>
      <c r="AL18" s="97">
        <f ca="1">IFERROR(__xludf.DUMMYFUNCTION("IMPORTRANGE(""https://docs.google.com/spreadsheets/d/1IQAWArduLkta9LpYo4a_ULsyqdta6-6aDDiwpUnQT6c/edit?usp=sharing"",""นครสวรรค์!L207"")"),16000)</f>
        <v>16000</v>
      </c>
      <c r="AM18" s="97">
        <f ca="1">IFERROR(__xludf.DUMMYFUNCTION("IMPORTRANGE(""https://docs.google.com/spreadsheets/d/1IQAWArduLkta9LpYo4a_ULsyqdta6-6aDDiwpUnQT6c/edit?usp=sharing"",""นครสวรรค์!N207"")"),0)</f>
        <v>0</v>
      </c>
      <c r="AN18" s="98">
        <f t="shared" ca="1" si="100"/>
        <v>0</v>
      </c>
      <c r="AO18" s="97">
        <f ca="1">IFERROR(__xludf.DUMMYFUNCTION("IMPORTRANGE(""https://docs.google.com/spreadsheets/d/1IQAWArduLkta9LpYo4a_ULsyqdta6-6aDDiwpUnQT6c/edit?usp=sharing"",""นครสวรรค์!I209"")"),4)</f>
        <v>4</v>
      </c>
      <c r="AP18" s="97">
        <f ca="1">IFERROR(__xludf.DUMMYFUNCTION("IMPORTRANGE(""https://docs.google.com/spreadsheets/d/1IQAWArduLkta9LpYo4a_ULsyqdta6-6aDDiwpUnQT6c/edit?usp=sharing"",""นครสวรรค์!J209"")"),0)</f>
        <v>0</v>
      </c>
      <c r="AQ18" s="98">
        <f t="shared" ca="1" si="102"/>
        <v>0</v>
      </c>
      <c r="AR18" s="97">
        <f ca="1">IFERROR(__xludf.DUMMYFUNCTION("IMPORTRANGE(""https://docs.google.com/spreadsheets/d/1IQAWArduLkta9LpYo4a_ULsyqdta6-6aDDiwpUnQT6c/edit?usp=sharing"",""นครสวรรค์!J211"")"),0)</f>
        <v>0</v>
      </c>
      <c r="AS18" s="97">
        <f ca="1">IFERROR(__xludf.DUMMYFUNCTION("IMPORTRANGE(""https://docs.google.com/spreadsheets/d/1IQAWArduLkta9LpYo4a_ULsyqdta6-6aDDiwpUnQT6c/edit?usp=sharing"",""นครสวรรค์!J212"")"),0)</f>
        <v>0</v>
      </c>
      <c r="AT18" s="97">
        <f ca="1">IFERROR(__xludf.DUMMYFUNCTION("IMPORTRANGE(""https://docs.google.com/spreadsheets/d/1IQAWArduLkta9LpYo4a_ULsyqdta6-6aDDiwpUnQT6c/edit?usp=sharing"",""นครสวรรค์!L215"")"),0)</f>
        <v>0</v>
      </c>
      <c r="AU18" s="97">
        <f ca="1">IFERROR(__xludf.DUMMYFUNCTION("IMPORTRANGE(""https://docs.google.com/spreadsheets/d/1IQAWArduLkta9LpYo4a_ULsyqdta6-6aDDiwpUnQT6c/edit?usp=sharing"",""นครสวรรค์!N215"")"),0)</f>
        <v>0</v>
      </c>
      <c r="AV18" s="98">
        <f t="shared" ca="1" si="104"/>
        <v>0</v>
      </c>
      <c r="AW18" s="97">
        <f ca="1">IFERROR(__xludf.DUMMYFUNCTION("IMPORTRANGE(""https://docs.google.com/spreadsheets/d/1IQAWArduLkta9LpYo4a_ULsyqdta6-6aDDiwpUnQT6c/edit?usp=sharing"",""นครสวรรค์!L216"")"),0)</f>
        <v>0</v>
      </c>
      <c r="AX18" s="97">
        <f ca="1">IFERROR(__xludf.DUMMYFUNCTION("IMPORTRANGE(""https://docs.google.com/spreadsheets/d/1IQAWArduLkta9LpYo4a_ULsyqdta6-6aDDiwpUnQT6c/edit?usp=sharing"",""นครสวรรค์!N216"")"),0)</f>
        <v>0</v>
      </c>
      <c r="AY18" s="98">
        <f t="shared" ca="1" si="106"/>
        <v>0</v>
      </c>
      <c r="AZ18" s="97">
        <f ca="1">IFERROR(__xludf.DUMMYFUNCTION("IMPORTRANGE(""https://docs.google.com/spreadsheets/d/1IQAWArduLkta9LpYo4a_ULsyqdta6-6aDDiwpUnQT6c/edit?usp=sharing"",""นครสวรรค์!L217"")"),0)</f>
        <v>0</v>
      </c>
      <c r="BA18" s="97">
        <f ca="1">IFERROR(__xludf.DUMMYFUNCTION("IMPORTRANGE(""https://docs.google.com/spreadsheets/d/1IQAWArduLkta9LpYo4a_ULsyqdta6-6aDDiwpUnQT6c/edit?usp=sharing"",""นครสวรรค์!N217"")"),0)</f>
        <v>0</v>
      </c>
      <c r="BB18" s="98">
        <f t="shared" ca="1" si="108"/>
        <v>0</v>
      </c>
      <c r="BC18" s="97">
        <f ca="1">IFERROR(__xludf.DUMMYFUNCTION("IMPORTRANGE(""https://docs.google.com/spreadsheets/d/1IQAWArduLkta9LpYo4a_ULsyqdta6-6aDDiwpUnQT6c/edit?usp=sharing"",""นครสวรรค์!I219"")"),0)</f>
        <v>0</v>
      </c>
      <c r="BD18" s="97">
        <f ca="1">IFERROR(__xludf.DUMMYFUNCTION("IMPORTRANGE(""https://docs.google.com/spreadsheets/d/1IQAWArduLkta9LpYo4a_ULsyqdta6-6aDDiwpUnQT6c/edit?usp=sharing"",""นครสวรรค์!J219"")"),0)</f>
        <v>0</v>
      </c>
      <c r="BE18" s="98">
        <f t="shared" ca="1" si="110"/>
        <v>0</v>
      </c>
      <c r="BF18" s="97">
        <f ca="1">IFERROR(__xludf.DUMMYFUNCTION("IMPORTRANGE(""https://docs.google.com/spreadsheets/d/1IQAWArduLkta9LpYo4a_ULsyqdta6-6aDDiwpUnQT6c/edit?usp=sharing"",""นครสวรรค์!I220"")"),0)</f>
        <v>0</v>
      </c>
      <c r="BG18" s="97">
        <f ca="1">IFERROR(__xludf.DUMMYFUNCTION("IMPORTRANGE(""https://docs.google.com/spreadsheets/d/1IQAWArduLkta9LpYo4a_ULsyqdta6-6aDDiwpUnQT6c/edit?usp=sharing"",""นครสวรรค์!J220"")"),0)</f>
        <v>0</v>
      </c>
      <c r="BH18" s="98">
        <f t="shared" ca="1" si="112"/>
        <v>0</v>
      </c>
      <c r="BI18" s="97">
        <f ca="1">IFERROR(__xludf.DUMMYFUNCTION("IMPORTRANGE(""https://docs.google.com/spreadsheets/d/1IQAWArduLkta9LpYo4a_ULsyqdta6-6aDDiwpUnQT6c/edit?usp=sharing"",""นครสวรรค์!L223"")"),11000)</f>
        <v>11000</v>
      </c>
      <c r="BJ18" s="97">
        <f ca="1">IFERROR(__xludf.DUMMYFUNCTION("IMPORTRANGE(""https://docs.google.com/spreadsheets/d/1IQAWArduLkta9LpYo4a_ULsyqdta6-6aDDiwpUnQT6c/edit?usp=sharing"",""นครสวรรค์!N223"")"),0)</f>
        <v>0</v>
      </c>
      <c r="BK18" s="98">
        <f t="shared" ca="1" si="114"/>
        <v>0</v>
      </c>
      <c r="BL18" s="97">
        <f ca="1">IFERROR(__xludf.DUMMYFUNCTION("IMPORTRANGE(""https://docs.google.com/spreadsheets/d/1IQAWArduLkta9LpYo4a_ULsyqdta6-6aDDiwpUnQT6c/edit?usp=sharing"",""นครสวรรค์!L224"")"),1500)</f>
        <v>1500</v>
      </c>
      <c r="BM18" s="97">
        <f ca="1">IFERROR(__xludf.DUMMYFUNCTION("IMPORTRANGE(""https://docs.google.com/spreadsheets/d/1IQAWArduLkta9LpYo4a_ULsyqdta6-6aDDiwpUnQT6c/edit?usp=sharing"",""นครสวรรค์!N224"")"),0)</f>
        <v>0</v>
      </c>
      <c r="BN18" s="98">
        <f t="shared" ca="1" si="116"/>
        <v>0</v>
      </c>
      <c r="BO18" s="97">
        <f ca="1">IFERROR(__xludf.DUMMYFUNCTION("IMPORTRANGE(""https://docs.google.com/spreadsheets/d/1IQAWArduLkta9LpYo4a_ULsyqdta6-6aDDiwpUnQT6c/edit?usp=sharing"",""นครสวรรค์!I228"")"),100000)</f>
        <v>100000</v>
      </c>
      <c r="BP18" s="97">
        <f ca="1">IFERROR(__xludf.DUMMYFUNCTION("IMPORTRANGE(""https://docs.google.com/spreadsheets/d/1IQAWArduLkta9LpYo4a_ULsyqdta6-6aDDiwpUnQT6c/edit?usp=sharing"",""นครสวรรค์!J228"")"),0)</f>
        <v>0</v>
      </c>
      <c r="BQ18" s="98">
        <f t="shared" ca="1" si="118"/>
        <v>0</v>
      </c>
      <c r="BR18" s="97">
        <f ca="1">IFERROR(__xludf.DUMMYFUNCTION("IMPORTRANGE(""https://docs.google.com/spreadsheets/d/1IQAWArduLkta9LpYo4a_ULsyqdta6-6aDDiwpUnQT6c/edit?usp=sharing"",""นครสวรรค์!I229"")"),100000)</f>
        <v>100000</v>
      </c>
      <c r="BS18" s="97">
        <f ca="1">IFERROR(__xludf.DUMMYFUNCTION("IMPORTRANGE(""https://docs.google.com/spreadsheets/d/1IQAWArduLkta9LpYo4a_ULsyqdta6-6aDDiwpUnQT6c/edit?usp=sharing"",""นครสวรรค์!J229"")"),0)</f>
        <v>0</v>
      </c>
      <c r="BT18" s="98">
        <f t="shared" ca="1" si="120"/>
        <v>0</v>
      </c>
      <c r="BU18" s="97">
        <f ca="1">IFERROR(__xludf.DUMMYFUNCTION("IMPORTRANGE(""https://docs.google.com/spreadsheets/d/1IQAWArduLkta9LpYo4a_ULsyqdta6-6aDDiwpUnQT6c/edit?usp=sharing"",""นครสวรรค์!I230"")"),0)</f>
        <v>0</v>
      </c>
      <c r="BV18" s="97">
        <f ca="1">IFERROR(__xludf.DUMMYFUNCTION("IMPORTRANGE(""https://docs.google.com/spreadsheets/d/1IQAWArduLkta9LpYo4a_ULsyqdta6-6aDDiwpUnQT6c/edit?usp=sharing"",""นครสวรรค์!J230"")"),0)</f>
        <v>0</v>
      </c>
      <c r="BW18" s="98">
        <f t="shared" ca="1" si="122"/>
        <v>0</v>
      </c>
      <c r="BX18" s="97">
        <f ca="1">IFERROR(__xludf.DUMMYFUNCTION("IMPORTRANGE(""https://docs.google.com/spreadsheets/d/1IQAWArduLkta9LpYo4a_ULsyqdta6-6aDDiwpUnQT6c/edit?usp=sharing"",""นครสวรรค์!L233"")"),0)</f>
        <v>0</v>
      </c>
      <c r="BY18" s="97">
        <f ca="1">IFERROR(__xludf.DUMMYFUNCTION("IMPORTRANGE(""https://docs.google.com/spreadsheets/d/1IQAWArduLkta9LpYo4a_ULsyqdta6-6aDDiwpUnQT6c/edit?usp=sharing"",""นครสวรรค์!N233"")"),0)</f>
        <v>0</v>
      </c>
      <c r="BZ18" s="98">
        <f t="shared" ca="1" si="124"/>
        <v>0</v>
      </c>
      <c r="CA18" s="97">
        <f ca="1">IFERROR(__xludf.DUMMYFUNCTION("IMPORTRANGE(""https://docs.google.com/spreadsheets/d/1IQAWArduLkta9LpYo4a_ULsyqdta6-6aDDiwpUnQT6c/edit?usp=sharing"",""นครสวรรค์!L234"")"),0)</f>
        <v>0</v>
      </c>
      <c r="CB18" s="97">
        <f ca="1">IFERROR(__xludf.DUMMYFUNCTION("IMPORTRANGE(""https://docs.google.com/spreadsheets/d/1IQAWArduLkta9LpYo4a_ULsyqdta6-6aDDiwpUnQT6c/edit?usp=sharing"",""นครสวรรค์!N234"")"),0)</f>
        <v>0</v>
      </c>
      <c r="CC18" s="98">
        <f t="shared" ca="1" si="126"/>
        <v>0</v>
      </c>
      <c r="CD18" s="97">
        <f ca="1">IFERROR(__xludf.DUMMYFUNCTION("IMPORTRANGE(""https://docs.google.com/spreadsheets/d/1IQAWArduLkta9LpYo4a_ULsyqdta6-6aDDiwpUnQT6c/edit?usp=sharing"",""นครสวรรค์!L235"")"),0)</f>
        <v>0</v>
      </c>
      <c r="CE18" s="97">
        <f ca="1">IFERROR(__xludf.DUMMYFUNCTION("IMPORTRANGE(""https://docs.google.com/spreadsheets/d/1IQAWArduLkta9LpYo4a_ULsyqdta6-6aDDiwpUnQT6c/edit?usp=sharing"",""นครสวรรค์!N235"")"),0)</f>
        <v>0</v>
      </c>
      <c r="CF18" s="98">
        <f t="shared" ca="1" si="128"/>
        <v>0</v>
      </c>
      <c r="CG18" s="97">
        <f ca="1">IFERROR(__xludf.DUMMYFUNCTION("IMPORTRANGE(""https://docs.google.com/spreadsheets/d/1IQAWArduLkta9LpYo4a_ULsyqdta6-6aDDiwpUnQT6c/edit?usp=sharing"",""นครสวรรค์!L236"")"),0)</f>
        <v>0</v>
      </c>
      <c r="CH18" s="97">
        <f ca="1">IFERROR(__xludf.DUMMYFUNCTION("IMPORTRANGE(""https://docs.google.com/spreadsheets/d/1IQAWArduLkta9LpYo4a_ULsyqdta6-6aDDiwpUnQT6c/edit?usp=sharing"",""นครสวรรค์!N236"")"),0)</f>
        <v>0</v>
      </c>
      <c r="CI18" s="98">
        <f t="shared" ca="1" si="130"/>
        <v>0</v>
      </c>
      <c r="CJ18" s="97">
        <f ca="1">IFERROR(__xludf.DUMMYFUNCTION("IMPORTRANGE(""https://docs.google.com/spreadsheets/d/1IQAWArduLkta9LpYo4a_ULsyqdta6-6aDDiwpUnQT6c/edit?usp=sharing"",""นครสวรรค์!I238"")"),0)</f>
        <v>0</v>
      </c>
      <c r="CK18" s="97">
        <f ca="1">IFERROR(__xludf.DUMMYFUNCTION("IMPORTRANGE(""https://docs.google.com/spreadsheets/d/1IQAWArduLkta9LpYo4a_ULsyqdta6-6aDDiwpUnQT6c/edit?usp=sharing"",""นครสวรรค์!J238"")"),0)</f>
        <v>0</v>
      </c>
      <c r="CL18" s="98">
        <f t="shared" ca="1" si="132"/>
        <v>0</v>
      </c>
      <c r="CM18" s="97">
        <f ca="1">IFERROR(__xludf.DUMMYFUNCTION("IMPORTRANGE(""https://docs.google.com/spreadsheets/d/1IQAWArduLkta9LpYo4a_ULsyqdta6-6aDDiwpUnQT6c/edit?usp=sharing"",""นครสวรรค์!J240"")"),0)</f>
        <v>0</v>
      </c>
      <c r="CN18" s="97">
        <f ca="1">IFERROR(__xludf.DUMMYFUNCTION("IMPORTRANGE(""https://docs.google.com/spreadsheets/d/1IQAWArduLkta9LpYo4a_ULsyqdta6-6aDDiwpUnQT6c/edit?usp=sharing"",""นครสวรรค์!J241"")"),0)</f>
        <v>0</v>
      </c>
    </row>
    <row r="19" spans="1:92" ht="24" customHeight="1" x14ac:dyDescent="0.3">
      <c r="A19" s="89">
        <v>6</v>
      </c>
      <c r="B19" s="90" t="s">
        <v>45</v>
      </c>
      <c r="C19" s="174">
        <f t="shared" ca="1" si="80"/>
        <v>389800</v>
      </c>
      <c r="D19" s="175">
        <f t="shared" ca="1" si="134"/>
        <v>389800</v>
      </c>
      <c r="E19" s="176">
        <f ca="1">IFERROR(__xludf.DUMMYFUNCTION("IMPORTRANGE(""https://docs.google.com/spreadsheets/d/1-uDff_7J0KD5mKrp0Vvzr7lt3OU09vwQwhkpOPPYv2Y/edit?usp=sharing"",""งบพรบ!CV19"")"),91000)</f>
        <v>91000</v>
      </c>
      <c r="F19" s="176">
        <f ca="1">IFERROR(__xludf.DUMMYFUNCTION("IMPORTRANGE(""https://docs.google.com/spreadsheets/d/1-uDff_7J0KD5mKrp0Vvzr7lt3OU09vwQwhkpOPPYv2Y/edit?usp=sharing"",""งบพรบ!CW19"")"),298800)</f>
        <v>298800</v>
      </c>
      <c r="G19" s="176">
        <f ca="1">IFERROR(__xludf.DUMMYFUNCTION("IMPORTRANGE(""https://docs.google.com/spreadsheets/d/1-uDff_7J0KD5mKrp0Vvzr7lt3OU09vwQwhkpOPPYv2Y/edit?usp=sharing"",""งบพรบ!CX19"")"),0)</f>
        <v>0</v>
      </c>
      <c r="H19" s="176">
        <f ca="1">IFERROR(__xludf.DUMMYFUNCTION("IMPORTRANGE(""https://docs.google.com/spreadsheets/d/1-uDff_7J0KD5mKrp0Vvzr7lt3OU09vwQwhkpOPPYv2Y/edit?usp=sharing"",""งบพรบ!CZ19"")"),398000)</f>
        <v>398000</v>
      </c>
      <c r="I19" s="176">
        <f ca="1">IFERROR(__xludf.DUMMYFUNCTION("IMPORTRANGE(""https://docs.google.com/spreadsheets/d/1-uDff_7J0KD5mKrp0Vvzr7lt3OU09vwQwhkpOPPYv2Y/edit?usp=sharing"",""งบพรบ!DA19"")"),0)</f>
        <v>0</v>
      </c>
      <c r="J19" s="176">
        <f t="shared" ca="1" si="82"/>
        <v>79313</v>
      </c>
      <c r="K19" s="179">
        <f t="shared" ca="1" si="83"/>
        <v>20.347101077475628</v>
      </c>
      <c r="L19" s="176">
        <f ca="1">IFERROR(__xludf.DUMMYFUNCTION("IMPORTRANGE(""https://docs.google.com/spreadsheets/d/1-uDff_7J0KD5mKrp0Vvzr7lt3OU09vwQwhkpOPPYv2Y/edit?usp=sharing"",""งบพรบ!DB19"")"),79313)</f>
        <v>79313</v>
      </c>
      <c r="M19" s="87">
        <f t="shared" ca="1" si="84"/>
        <v>20.347101077475628</v>
      </c>
      <c r="N19" s="87">
        <f t="shared" ca="1" si="85"/>
        <v>19.927889447236179</v>
      </c>
      <c r="O19" s="86">
        <f ca="1">IFERROR(__xludf.DUMMYFUNCTION("IMPORTRANGE(""https://docs.google.com/spreadsheets/d/1-uDff_7J0KD5mKrp0Vvzr7lt3OU09vwQwhkpOPPYv2Y/edit?usp=sharing"",""งบพรบ!DC19"")"),0)</f>
        <v>0</v>
      </c>
      <c r="P19" s="86">
        <f t="shared" ca="1" si="86"/>
        <v>0</v>
      </c>
      <c r="Q19" s="87">
        <f t="shared" ca="1" si="87"/>
        <v>0</v>
      </c>
      <c r="R19" s="241">
        <f ca="1">IFERROR(__xludf.DUMMYFUNCTION("IMPORTRANGE(""https://docs.google.com/spreadsheets/d/10s13Sk5xrltsiR-Zkbmk5DwIaDIKO8XlbJAfqyT7Gvg/edit?usp=sharing"",""น่าน!Q186"")"),212000)</f>
        <v>212000</v>
      </c>
      <c r="S19" s="242">
        <f ca="1">IFERROR(__xludf.DUMMYFUNCTION("IMPORTRANGE(""https://docs.google.com/spreadsheets/d/10s13Sk5xrltsiR-Zkbmk5DwIaDIKO8XlbJAfqyT7Gvg/edit?usp=sharing"",""น่าน!R186"")"),0)</f>
        <v>0</v>
      </c>
      <c r="T19" s="242">
        <f ca="1">IFERROR(__xludf.DUMMYFUNCTION("IMPORTRANGE(""https://docs.google.com/spreadsheets/d/10s13Sk5xrltsiR-Zkbmk5DwIaDIKO8XlbJAfqyT7Gvg/edit?usp=sharing"",""น่าน!S186"")"),0)</f>
        <v>0</v>
      </c>
      <c r="U19" s="243">
        <f t="shared" ca="1" si="89"/>
        <v>0</v>
      </c>
      <c r="V19" s="243">
        <f t="shared" ca="1" si="90"/>
        <v>0</v>
      </c>
      <c r="W19" s="97">
        <f ca="1">IFERROR(__xludf.DUMMYFUNCTION("IMPORTRANGE(""https://docs.google.com/spreadsheets/d/10s13Sk5xrltsiR-Zkbmk5DwIaDIKO8XlbJAfqyT7Gvg/edit?usp=sharing"",""น่าน!L196"")"),6000)</f>
        <v>6000</v>
      </c>
      <c r="X19" s="97">
        <f ca="1">IFERROR(__xludf.DUMMYFUNCTION("IMPORTRANGE(""https://docs.google.com/spreadsheets/d/10s13Sk5xrltsiR-Zkbmk5DwIaDIKO8XlbJAfqyT7Gvg/edit?usp=sharing"",""น่าน!N196"")"),0)</f>
        <v>0</v>
      </c>
      <c r="Y19" s="98">
        <f t="shared" ca="1" si="92"/>
        <v>0</v>
      </c>
      <c r="Z19" s="97">
        <f ca="1">IFERROR(__xludf.DUMMYFUNCTION("IMPORTRANGE(""https://docs.google.com/spreadsheets/d/10s13Sk5xrltsiR-Zkbmk5DwIaDIKO8XlbJAfqyT7Gvg/edit?usp=sharing"",""น่าน!I198"")"),4)</f>
        <v>4</v>
      </c>
      <c r="AA19" s="97">
        <f ca="1">IFERROR(__xludf.DUMMYFUNCTION("IMPORTRANGE(""https://docs.google.com/spreadsheets/d/10s13Sk5xrltsiR-Zkbmk5DwIaDIKO8XlbJAfqyT7Gvg/edit?usp=sharing"",""น่าน!J198"")"),0)</f>
        <v>0</v>
      </c>
      <c r="AB19" s="98">
        <f t="shared" ca="1" si="94"/>
        <v>0</v>
      </c>
      <c r="AC19" s="97">
        <f ca="1">IFERROR(__xludf.DUMMYFUNCTION("IMPORTRANGE(""https://docs.google.com/spreadsheets/d/10s13Sk5xrltsiR-Zkbmk5DwIaDIKO8XlbJAfqyT7Gvg/edit?usp=sharing"",""น่าน!J199"")"),0)</f>
        <v>0</v>
      </c>
      <c r="AD19" s="97">
        <f ca="1">IFERROR(__xludf.DUMMYFUNCTION("IMPORTRANGE(""https://docs.google.com/spreadsheets/d/10s13Sk5xrltsiR-Zkbmk5DwIaDIKO8XlbJAfqyT7Gvg/edit?usp=sharing"",""น่าน!J200"")"),0)</f>
        <v>0</v>
      </c>
      <c r="AE19" s="97">
        <f ca="1">IFERROR(__xludf.DUMMYFUNCTION("IMPORTRANGE(""https://docs.google.com/spreadsheets/d/10s13Sk5xrltsiR-Zkbmk5DwIaDIKO8XlbJAfqyT7Gvg/edit?usp=sharing"",""น่าน!J201"")"),0)</f>
        <v>0</v>
      </c>
      <c r="AF19" s="97">
        <f ca="1">IFERROR(__xludf.DUMMYFUNCTION("IMPORTRANGE(""https://docs.google.com/spreadsheets/d/10s13Sk5xrltsiR-Zkbmk5DwIaDIKO8XlbJAfqyT7Gvg/edit?usp=sharing"",""น่าน!L204"")"),3000)</f>
        <v>3000</v>
      </c>
      <c r="AG19" s="97">
        <f ca="1">IFERROR(__xludf.DUMMYFUNCTION("IMPORTRANGE(""https://docs.google.com/spreadsheets/d/10s13Sk5xrltsiR-Zkbmk5DwIaDIKO8XlbJAfqyT7Gvg/edit?usp=sharing"",""น่าน!N204"")"),0)</f>
        <v>0</v>
      </c>
      <c r="AH19" s="98">
        <f t="shared" ca="1" si="96"/>
        <v>0</v>
      </c>
      <c r="AI19" s="97">
        <f ca="1">IFERROR(__xludf.DUMMYFUNCTION("IMPORTRANGE(""https://docs.google.com/spreadsheets/d/10s13Sk5xrltsiR-Zkbmk5DwIaDIKO8XlbJAfqyT7Gvg/edit?usp=sharing"",""น่าน!L206"")"),24000)</f>
        <v>24000</v>
      </c>
      <c r="AJ19" s="97">
        <f ca="1">IFERROR(__xludf.DUMMYFUNCTION("IMPORTRANGE(""https://docs.google.com/spreadsheets/d/10s13Sk5xrltsiR-Zkbmk5DwIaDIKO8XlbJAfqyT7Gvg/edit?usp=sharing"",""น่าน!N206"")"),0)</f>
        <v>0</v>
      </c>
      <c r="AK19" s="98">
        <f t="shared" ca="1" si="98"/>
        <v>0</v>
      </c>
      <c r="AL19" s="97">
        <f ca="1">IFERROR(__xludf.DUMMYFUNCTION("IMPORTRANGE(""https://docs.google.com/spreadsheets/d/10s13Sk5xrltsiR-Zkbmk5DwIaDIKO8XlbJAfqyT7Gvg/edit?usp=sharing"",""น่าน!L207"")"),15000)</f>
        <v>15000</v>
      </c>
      <c r="AM19" s="97">
        <f ca="1">IFERROR(__xludf.DUMMYFUNCTION("IMPORTRANGE(""https://docs.google.com/spreadsheets/d/10s13Sk5xrltsiR-Zkbmk5DwIaDIKO8XlbJAfqyT7Gvg/edit?usp=sharing"",""น่าน!N207"")"),0)</f>
        <v>0</v>
      </c>
      <c r="AN19" s="98">
        <f t="shared" ca="1" si="100"/>
        <v>0</v>
      </c>
      <c r="AO19" s="97">
        <f ca="1">IFERROR(__xludf.DUMMYFUNCTION("IMPORTRANGE(""https://docs.google.com/spreadsheets/d/10s13Sk5xrltsiR-Zkbmk5DwIaDIKO8XlbJAfqyT7Gvg/edit?usp=sharing"",""น่าน!I209"")"),3)</f>
        <v>3</v>
      </c>
      <c r="AP19" s="97">
        <f ca="1">IFERROR(__xludf.DUMMYFUNCTION("IMPORTRANGE(""https://docs.google.com/spreadsheets/d/10s13Sk5xrltsiR-Zkbmk5DwIaDIKO8XlbJAfqyT7Gvg/edit?usp=sharing"",""น่าน!J209"")"),0)</f>
        <v>0</v>
      </c>
      <c r="AQ19" s="98">
        <f t="shared" ca="1" si="102"/>
        <v>0</v>
      </c>
      <c r="AR19" s="97">
        <f ca="1">IFERROR(__xludf.DUMMYFUNCTION("IMPORTRANGE(""https://docs.google.com/spreadsheets/d/10s13Sk5xrltsiR-Zkbmk5DwIaDIKO8XlbJAfqyT7Gvg/edit?usp=sharing"",""น่าน!J211"")"),0)</f>
        <v>0</v>
      </c>
      <c r="AS19" s="97">
        <f ca="1">IFERROR(__xludf.DUMMYFUNCTION("IMPORTRANGE(""https://docs.google.com/spreadsheets/d/10s13Sk5xrltsiR-Zkbmk5DwIaDIKO8XlbJAfqyT7Gvg/edit?usp=sharing"",""น่าน!J212"")"),0)</f>
        <v>0</v>
      </c>
      <c r="AT19" s="97">
        <f ca="1">IFERROR(__xludf.DUMMYFUNCTION("IMPORTRANGE(""https://docs.google.com/spreadsheets/d/10s13Sk5xrltsiR-Zkbmk5DwIaDIKO8XlbJAfqyT7Gvg/edit?usp=sharing"",""น่าน!L215"")"),0)</f>
        <v>0</v>
      </c>
      <c r="AU19" s="97">
        <f ca="1">IFERROR(__xludf.DUMMYFUNCTION("IMPORTRANGE(""https://docs.google.com/spreadsheets/d/10s13Sk5xrltsiR-Zkbmk5DwIaDIKO8XlbJAfqyT7Gvg/edit?usp=sharing"",""น่าน!N215"")"),0)</f>
        <v>0</v>
      </c>
      <c r="AV19" s="98">
        <f t="shared" ca="1" si="104"/>
        <v>0</v>
      </c>
      <c r="AW19" s="97">
        <f ca="1">IFERROR(__xludf.DUMMYFUNCTION("IMPORTRANGE(""https://docs.google.com/spreadsheets/d/10s13Sk5xrltsiR-Zkbmk5DwIaDIKO8XlbJAfqyT7Gvg/edit?usp=sharing"",""น่าน!L216"")"),0)</f>
        <v>0</v>
      </c>
      <c r="AX19" s="97">
        <f ca="1">IFERROR(__xludf.DUMMYFUNCTION("IMPORTRANGE(""https://docs.google.com/spreadsheets/d/10s13Sk5xrltsiR-Zkbmk5DwIaDIKO8XlbJAfqyT7Gvg/edit?usp=sharing"",""น่าน!N216"")"),0)</f>
        <v>0</v>
      </c>
      <c r="AY19" s="98">
        <f t="shared" ca="1" si="106"/>
        <v>0</v>
      </c>
      <c r="AZ19" s="97">
        <f ca="1">IFERROR(__xludf.DUMMYFUNCTION("IMPORTRANGE(""https://docs.google.com/spreadsheets/d/10s13Sk5xrltsiR-Zkbmk5DwIaDIKO8XlbJAfqyT7Gvg/edit?usp=sharing"",""น่าน!L217"")"),0)</f>
        <v>0</v>
      </c>
      <c r="BA19" s="97">
        <f ca="1">IFERROR(__xludf.DUMMYFUNCTION("IMPORTRANGE(""https://docs.google.com/spreadsheets/d/10s13Sk5xrltsiR-Zkbmk5DwIaDIKO8XlbJAfqyT7Gvg/edit?usp=sharing"",""น่าน!N217"")"),0)</f>
        <v>0</v>
      </c>
      <c r="BB19" s="98">
        <f t="shared" ca="1" si="108"/>
        <v>0</v>
      </c>
      <c r="BC19" s="97">
        <f ca="1">IFERROR(__xludf.DUMMYFUNCTION("IMPORTRANGE(""https://docs.google.com/spreadsheets/d/10s13Sk5xrltsiR-Zkbmk5DwIaDIKO8XlbJAfqyT7Gvg/edit?usp=sharing"",""น่าน!I219"")"),0)</f>
        <v>0</v>
      </c>
      <c r="BD19" s="97">
        <f ca="1">IFERROR(__xludf.DUMMYFUNCTION("IMPORTRANGE(""https://docs.google.com/spreadsheets/d/10s13Sk5xrltsiR-Zkbmk5DwIaDIKO8XlbJAfqyT7Gvg/edit?usp=sharing"",""น่าน!J219"")"),0)</f>
        <v>0</v>
      </c>
      <c r="BE19" s="98">
        <f t="shared" ca="1" si="110"/>
        <v>0</v>
      </c>
      <c r="BF19" s="97">
        <f ca="1">IFERROR(__xludf.DUMMYFUNCTION("IMPORTRANGE(""https://docs.google.com/spreadsheets/d/10s13Sk5xrltsiR-Zkbmk5DwIaDIKO8XlbJAfqyT7Gvg/edit?usp=sharing"",""น่าน!I220"")"),0)</f>
        <v>0</v>
      </c>
      <c r="BG19" s="97">
        <f ca="1">IFERROR(__xludf.DUMMYFUNCTION("IMPORTRANGE(""https://docs.google.com/spreadsheets/d/10s13Sk5xrltsiR-Zkbmk5DwIaDIKO8XlbJAfqyT7Gvg/edit?usp=sharing"",""น่าน!J220"")"),0)</f>
        <v>0</v>
      </c>
      <c r="BH19" s="98">
        <f t="shared" ca="1" si="112"/>
        <v>0</v>
      </c>
      <c r="BI19" s="97">
        <f ca="1">IFERROR(__xludf.DUMMYFUNCTION("IMPORTRANGE(""https://docs.google.com/spreadsheets/d/10s13Sk5xrltsiR-Zkbmk5DwIaDIKO8XlbJAfqyT7Gvg/edit?usp=sharing"",""น่าน!L223"")"),7000)</f>
        <v>7000</v>
      </c>
      <c r="BJ19" s="97">
        <f ca="1">IFERROR(__xludf.DUMMYFUNCTION("IMPORTRANGE(""https://docs.google.com/spreadsheets/d/10s13Sk5xrltsiR-Zkbmk5DwIaDIKO8XlbJAfqyT7Gvg/edit?usp=sharing"",""น่าน!N223"")"),0)</f>
        <v>0</v>
      </c>
      <c r="BK19" s="98">
        <f t="shared" ca="1" si="114"/>
        <v>0</v>
      </c>
      <c r="BL19" s="97">
        <f ca="1">IFERROR(__xludf.DUMMYFUNCTION("IMPORTRANGE(""https://docs.google.com/spreadsheets/d/10s13Sk5xrltsiR-Zkbmk5DwIaDIKO8XlbJAfqyT7Gvg/edit?usp=sharing"",""น่าน!L224"")"),1500)</f>
        <v>1500</v>
      </c>
      <c r="BM19" s="97">
        <f ca="1">IFERROR(__xludf.DUMMYFUNCTION("IMPORTRANGE(""https://docs.google.com/spreadsheets/d/10s13Sk5xrltsiR-Zkbmk5DwIaDIKO8XlbJAfqyT7Gvg/edit?usp=sharing"",""น่าน!N224"")"),0)</f>
        <v>0</v>
      </c>
      <c r="BN19" s="98">
        <f t="shared" ca="1" si="116"/>
        <v>0</v>
      </c>
      <c r="BO19" s="97">
        <f ca="1">IFERROR(__xludf.DUMMYFUNCTION("IMPORTRANGE(""https://docs.google.com/spreadsheets/d/10s13Sk5xrltsiR-Zkbmk5DwIaDIKO8XlbJAfqyT7Gvg/edit?usp=sharing"",""น่าน!I228"")"),50000)</f>
        <v>50000</v>
      </c>
      <c r="BP19" s="97">
        <f ca="1">IFERROR(__xludf.DUMMYFUNCTION("IMPORTRANGE(""https://docs.google.com/spreadsheets/d/10s13Sk5xrltsiR-Zkbmk5DwIaDIKO8XlbJAfqyT7Gvg/edit?usp=sharing"",""น่าน!J228"")"),0)</f>
        <v>0</v>
      </c>
      <c r="BQ19" s="98">
        <f t="shared" ca="1" si="118"/>
        <v>0</v>
      </c>
      <c r="BR19" s="97">
        <f ca="1">IFERROR(__xludf.DUMMYFUNCTION("IMPORTRANGE(""https://docs.google.com/spreadsheets/d/10s13Sk5xrltsiR-Zkbmk5DwIaDIKO8XlbJAfqyT7Gvg/edit?usp=sharing"",""น่าน!I229"")"),50000)</f>
        <v>50000</v>
      </c>
      <c r="BS19" s="97">
        <f ca="1">IFERROR(__xludf.DUMMYFUNCTION("IMPORTRANGE(""https://docs.google.com/spreadsheets/d/10s13Sk5xrltsiR-Zkbmk5DwIaDIKO8XlbJAfqyT7Gvg/edit?usp=sharing"",""น่าน!J229"")"),0)</f>
        <v>0</v>
      </c>
      <c r="BT19" s="98">
        <f t="shared" ca="1" si="120"/>
        <v>0</v>
      </c>
      <c r="BU19" s="97">
        <f ca="1">IFERROR(__xludf.DUMMYFUNCTION("IMPORTRANGE(""https://docs.google.com/spreadsheets/d/10s13Sk5xrltsiR-Zkbmk5DwIaDIKO8XlbJAfqyT7Gvg/edit?usp=sharing"",""น่าน!I230"")"),0)</f>
        <v>0</v>
      </c>
      <c r="BV19" s="97">
        <f ca="1">IFERROR(__xludf.DUMMYFUNCTION("IMPORTRANGE(""https://docs.google.com/spreadsheets/d/10s13Sk5xrltsiR-Zkbmk5DwIaDIKO8XlbJAfqyT7Gvg/edit?usp=sharing"",""น่าน!J230"")"),0)</f>
        <v>0</v>
      </c>
      <c r="BW19" s="98">
        <f t="shared" ca="1" si="122"/>
        <v>0</v>
      </c>
      <c r="BX19" s="97">
        <f ca="1">IFERROR(__xludf.DUMMYFUNCTION("IMPORTRANGE(""https://docs.google.com/spreadsheets/d/10s13Sk5xrltsiR-Zkbmk5DwIaDIKO8XlbJAfqyT7Gvg/edit?usp=sharing"",""น่าน!L233"")"),107000)</f>
        <v>107000</v>
      </c>
      <c r="BY19" s="97">
        <f ca="1">IFERROR(__xludf.DUMMYFUNCTION("IMPORTRANGE(""https://docs.google.com/spreadsheets/d/10s13Sk5xrltsiR-Zkbmk5DwIaDIKO8XlbJAfqyT7Gvg/edit?usp=sharing"",""น่าน!N233"")"),0)</f>
        <v>0</v>
      </c>
      <c r="BZ19" s="98">
        <f t="shared" ca="1" si="124"/>
        <v>0</v>
      </c>
      <c r="CA19" s="97">
        <f ca="1">IFERROR(__xludf.DUMMYFUNCTION("IMPORTRANGE(""https://docs.google.com/spreadsheets/d/10s13Sk5xrltsiR-Zkbmk5DwIaDIKO8XlbJAfqyT7Gvg/edit?usp=sharing"",""น่าน!L234"")"),4000)</f>
        <v>4000</v>
      </c>
      <c r="CB19" s="97">
        <f ca="1">IFERROR(__xludf.DUMMYFUNCTION("IMPORTRANGE(""https://docs.google.com/spreadsheets/d/10s13Sk5xrltsiR-Zkbmk5DwIaDIKO8XlbJAfqyT7Gvg/edit?usp=sharing"",""น่าน!N234"")"),0)</f>
        <v>0</v>
      </c>
      <c r="CC19" s="98">
        <f t="shared" ca="1" si="126"/>
        <v>0</v>
      </c>
      <c r="CD19" s="97">
        <f ca="1">IFERROR(__xludf.DUMMYFUNCTION("IMPORTRANGE(""https://docs.google.com/spreadsheets/d/10s13Sk5xrltsiR-Zkbmk5DwIaDIKO8XlbJAfqyT7Gvg/edit?usp=sharing"",""น่าน!L235"")"),47300)</f>
        <v>47300</v>
      </c>
      <c r="CE19" s="97">
        <f ca="1">IFERROR(__xludf.DUMMYFUNCTION("IMPORTRANGE(""https://docs.google.com/spreadsheets/d/10s13Sk5xrltsiR-Zkbmk5DwIaDIKO8XlbJAfqyT7Gvg/edit?usp=sharing"",""น่าน!N235"")"),0)</f>
        <v>0</v>
      </c>
      <c r="CF19" s="98">
        <f t="shared" ca="1" si="128"/>
        <v>0</v>
      </c>
      <c r="CG19" s="97">
        <f ca="1">IFERROR(__xludf.DUMMYFUNCTION("IMPORTRANGE(""https://docs.google.com/spreadsheets/d/10s13Sk5xrltsiR-Zkbmk5DwIaDIKO8XlbJAfqyT7Gvg/edit?usp=sharing"",""น่าน!L236"")"),84000)</f>
        <v>84000</v>
      </c>
      <c r="CH19" s="97">
        <f ca="1">IFERROR(__xludf.DUMMYFUNCTION("IMPORTRANGE(""https://docs.google.com/spreadsheets/d/10s13Sk5xrltsiR-Zkbmk5DwIaDIKO8XlbJAfqyT7Gvg/edit?usp=sharing"",""น่าน!N236"")"),0)</f>
        <v>0</v>
      </c>
      <c r="CI19" s="98">
        <f t="shared" ca="1" si="130"/>
        <v>0</v>
      </c>
      <c r="CJ19" s="97">
        <f ca="1">IFERROR(__xludf.DUMMYFUNCTION("IMPORTRANGE(""https://docs.google.com/spreadsheets/d/10s13Sk5xrltsiR-Zkbmk5DwIaDIKO8XlbJAfqyT7Gvg/edit?usp=sharing"",""น่าน!I238"")"),70)</f>
        <v>70</v>
      </c>
      <c r="CK19" s="97">
        <f ca="1">IFERROR(__xludf.DUMMYFUNCTION("IMPORTRANGE(""https://docs.google.com/spreadsheets/d/10s13Sk5xrltsiR-Zkbmk5DwIaDIKO8XlbJAfqyT7Gvg/edit?usp=sharing"",""น่าน!J238"")"),0)</f>
        <v>0</v>
      </c>
      <c r="CL19" s="98">
        <f t="shared" ca="1" si="132"/>
        <v>0</v>
      </c>
      <c r="CM19" s="97">
        <f ca="1">IFERROR(__xludf.DUMMYFUNCTION("IMPORTRANGE(""https://docs.google.com/spreadsheets/d/10s13Sk5xrltsiR-Zkbmk5DwIaDIKO8XlbJAfqyT7Gvg/edit?usp=sharing"",""น่าน!J240"")"),0)</f>
        <v>0</v>
      </c>
      <c r="CN19" s="97">
        <f ca="1">IFERROR(__xludf.DUMMYFUNCTION("IMPORTRANGE(""https://docs.google.com/spreadsheets/d/10s13Sk5xrltsiR-Zkbmk5DwIaDIKO8XlbJAfqyT7Gvg/edit?usp=sharing"",""น่าน!J241"")"),0)</f>
        <v>0</v>
      </c>
    </row>
    <row r="20" spans="1:92" ht="24" customHeight="1" x14ac:dyDescent="0.3">
      <c r="A20" s="89">
        <v>7</v>
      </c>
      <c r="B20" s="90" t="s">
        <v>46</v>
      </c>
      <c r="C20" s="174">
        <f t="shared" ca="1" si="80"/>
        <v>305900</v>
      </c>
      <c r="D20" s="175">
        <f t="shared" ca="1" si="134"/>
        <v>305900</v>
      </c>
      <c r="E20" s="176">
        <f ca="1">IFERROR(__xludf.DUMMYFUNCTION("IMPORTRANGE(""https://docs.google.com/spreadsheets/d/1-uDff_7J0KD5mKrp0Vvzr7lt3OU09vwQwhkpOPPYv2Y/edit?usp=sharing"",""งบพรบ!CV20"")"),0)</f>
        <v>0</v>
      </c>
      <c r="F20" s="176">
        <f ca="1">IFERROR(__xludf.DUMMYFUNCTION("IMPORTRANGE(""https://docs.google.com/spreadsheets/d/1-uDff_7J0KD5mKrp0Vvzr7lt3OU09vwQwhkpOPPYv2Y/edit?usp=sharing"",""งบพรบ!CW20"")"),305900)</f>
        <v>305900</v>
      </c>
      <c r="G20" s="176">
        <f ca="1">IFERROR(__xludf.DUMMYFUNCTION("IMPORTRANGE(""https://docs.google.com/spreadsheets/d/1-uDff_7J0KD5mKrp0Vvzr7lt3OU09vwQwhkpOPPYv2Y/edit?usp=sharing"",""งบพรบ!CX20"")"),0)</f>
        <v>0</v>
      </c>
      <c r="H20" s="176">
        <f ca="1">IFERROR(__xludf.DUMMYFUNCTION("IMPORTRANGE(""https://docs.google.com/spreadsheets/d/1-uDff_7J0KD5mKrp0Vvzr7lt3OU09vwQwhkpOPPYv2Y/edit?usp=sharing"",""งบพรบ!CZ20"")"),317300)</f>
        <v>317300</v>
      </c>
      <c r="I20" s="176">
        <f ca="1">IFERROR(__xludf.DUMMYFUNCTION("IMPORTRANGE(""https://docs.google.com/spreadsheets/d/1-uDff_7J0KD5mKrp0Vvzr7lt3OU09vwQwhkpOPPYv2Y/edit?usp=sharing"",""งบพรบ!DA20"")"),0)</f>
        <v>0</v>
      </c>
      <c r="J20" s="176">
        <f t="shared" ca="1" si="82"/>
        <v>49098</v>
      </c>
      <c r="K20" s="179">
        <f t="shared" ca="1" si="83"/>
        <v>16.050343249427918</v>
      </c>
      <c r="L20" s="176">
        <f ca="1">IFERROR(__xludf.DUMMYFUNCTION("IMPORTRANGE(""https://docs.google.com/spreadsheets/d/1-uDff_7J0KD5mKrp0Vvzr7lt3OU09vwQwhkpOPPYv2Y/edit?usp=sharing"",""งบพรบ!DB20"")"),49098)</f>
        <v>49098</v>
      </c>
      <c r="M20" s="87">
        <f t="shared" ca="1" si="84"/>
        <v>16.050343249427918</v>
      </c>
      <c r="N20" s="87">
        <f t="shared" ca="1" si="85"/>
        <v>15.473684210526315</v>
      </c>
      <c r="O20" s="86">
        <f ca="1">IFERROR(__xludf.DUMMYFUNCTION("IMPORTRANGE(""https://docs.google.com/spreadsheets/d/1-uDff_7J0KD5mKrp0Vvzr7lt3OU09vwQwhkpOPPYv2Y/edit?usp=sharing"",""งบพรบ!DC20"")"),0)</f>
        <v>0</v>
      </c>
      <c r="P20" s="86">
        <f t="shared" ca="1" si="86"/>
        <v>0</v>
      </c>
      <c r="Q20" s="87">
        <f t="shared" ca="1" si="87"/>
        <v>0</v>
      </c>
      <c r="R20" s="241">
        <f ca="1">IFERROR(__xludf.DUMMYFUNCTION("IMPORTRANGE(""https://docs.google.com/spreadsheets/d/1uu4nAn4Dbi1XREnLKKotUANlKXa7yCgRcgq8HEzQYW8/edit?usp=sharing"",""พะเยา!Q186"")"),250800)</f>
        <v>250800</v>
      </c>
      <c r="S20" s="242">
        <f ca="1">IFERROR(__xludf.DUMMYFUNCTION("IMPORTRANGE(""https://docs.google.com/spreadsheets/d/1uu4nAn4Dbi1XREnLKKotUANlKXa7yCgRcgq8HEzQYW8/edit?usp=sharing"",""พะเยา!R186"")"),0)</f>
        <v>0</v>
      </c>
      <c r="T20" s="242">
        <f ca="1">IFERROR(__xludf.DUMMYFUNCTION("IMPORTRANGE(""https://docs.google.com/spreadsheets/d/1uu4nAn4Dbi1XREnLKKotUANlKXa7yCgRcgq8HEzQYW8/edit?usp=sharing"",""พะเยา!S186"")"),0)</f>
        <v>0</v>
      </c>
      <c r="U20" s="243">
        <f t="shared" ca="1" si="89"/>
        <v>0</v>
      </c>
      <c r="V20" s="243">
        <f t="shared" ca="1" si="90"/>
        <v>0</v>
      </c>
      <c r="W20" s="97">
        <f ca="1">IFERROR(__xludf.DUMMYFUNCTION("IMPORTRANGE(""https://docs.google.com/spreadsheets/d/1uu4nAn4Dbi1XREnLKKotUANlKXa7yCgRcgq8HEzQYW8/edit?usp=sharing"",""พะเยา!L196"")"),6000)</f>
        <v>6000</v>
      </c>
      <c r="X20" s="97">
        <f ca="1">IFERROR(__xludf.DUMMYFUNCTION("IMPORTRANGE(""https://docs.google.com/spreadsheets/d/1uu4nAn4Dbi1XREnLKKotUANlKXa7yCgRcgq8HEzQYW8/edit?usp=sharing"",""พะเยา!N196"")"),0)</f>
        <v>0</v>
      </c>
      <c r="Y20" s="98">
        <f t="shared" ca="1" si="92"/>
        <v>0</v>
      </c>
      <c r="Z20" s="97">
        <f ca="1">IFERROR(__xludf.DUMMYFUNCTION("IMPORTRANGE(""https://docs.google.com/spreadsheets/d/1uu4nAn4Dbi1XREnLKKotUANlKXa7yCgRcgq8HEzQYW8/edit?usp=sharing"",""พะเยา!I198"")"),4)</f>
        <v>4</v>
      </c>
      <c r="AA20" s="97">
        <f ca="1">IFERROR(__xludf.DUMMYFUNCTION("IMPORTRANGE(""https://docs.google.com/spreadsheets/d/1uu4nAn4Dbi1XREnLKKotUANlKXa7yCgRcgq8HEzQYW8/edit?usp=sharing"",""พะเยา!J198"")"),1)</f>
        <v>1</v>
      </c>
      <c r="AB20" s="98">
        <f t="shared" ca="1" si="94"/>
        <v>25</v>
      </c>
      <c r="AC20" s="97">
        <f ca="1">IFERROR(__xludf.DUMMYFUNCTION("IMPORTRANGE(""https://docs.google.com/spreadsheets/d/1uu4nAn4Dbi1XREnLKKotUANlKXa7yCgRcgq8HEzQYW8/edit?usp=sharing"",""พะเยา!J199"")"),50)</f>
        <v>50</v>
      </c>
      <c r="AD20" s="97">
        <f ca="1">IFERROR(__xludf.DUMMYFUNCTION("IMPORTRANGE(""https://docs.google.com/spreadsheets/d/1uu4nAn4Dbi1XREnLKKotUANlKXa7yCgRcgq8HEzQYW8/edit?usp=sharing"",""พะเยา!J200"")"),50)</f>
        <v>50</v>
      </c>
      <c r="AE20" s="97">
        <f ca="1">IFERROR(__xludf.DUMMYFUNCTION("IMPORTRANGE(""https://docs.google.com/spreadsheets/d/1uu4nAn4Dbi1XREnLKKotUANlKXa7yCgRcgq8HEzQYW8/edit?usp=sharing"",""พะเยา!J201"")"),0)</f>
        <v>0</v>
      </c>
      <c r="AF20" s="97">
        <f ca="1">IFERROR(__xludf.DUMMYFUNCTION("IMPORTRANGE(""https://docs.google.com/spreadsheets/d/1uu4nAn4Dbi1XREnLKKotUANlKXa7yCgRcgq8HEzQYW8/edit?usp=sharing"",""พะเยา!L204"")"),2000)</f>
        <v>2000</v>
      </c>
      <c r="AG20" s="97">
        <f ca="1">IFERROR(__xludf.DUMMYFUNCTION("IMPORTRANGE(""https://docs.google.com/spreadsheets/d/1uu4nAn4Dbi1XREnLKKotUANlKXa7yCgRcgq8HEzQYW8/edit?usp=sharing"",""พะเยา!N204"")"),0)</f>
        <v>0</v>
      </c>
      <c r="AH20" s="98">
        <f t="shared" ca="1" si="96"/>
        <v>0</v>
      </c>
      <c r="AI20" s="97">
        <f ca="1">IFERROR(__xludf.DUMMYFUNCTION("IMPORTRANGE(""https://docs.google.com/spreadsheets/d/1uu4nAn4Dbi1XREnLKKotUANlKXa7yCgRcgq8HEzQYW8/edit?usp=sharing"",""พะเยา!L206"")"),16000)</f>
        <v>16000</v>
      </c>
      <c r="AJ20" s="97">
        <f ca="1">IFERROR(__xludf.DUMMYFUNCTION("IMPORTRANGE(""https://docs.google.com/spreadsheets/d/1uu4nAn4Dbi1XREnLKKotUANlKXa7yCgRcgq8HEzQYW8/edit?usp=sharing"",""พะเยา!N206"")"),0)</f>
        <v>0</v>
      </c>
      <c r="AK20" s="98">
        <f t="shared" ca="1" si="98"/>
        <v>0</v>
      </c>
      <c r="AL20" s="97">
        <f ca="1">IFERROR(__xludf.DUMMYFUNCTION("IMPORTRANGE(""https://docs.google.com/spreadsheets/d/1uu4nAn4Dbi1XREnLKKotUANlKXa7yCgRcgq8HEzQYW8/edit?usp=sharing"",""พะเยา!L207"")"),8000)</f>
        <v>8000</v>
      </c>
      <c r="AM20" s="97">
        <f ca="1">IFERROR(__xludf.DUMMYFUNCTION("IMPORTRANGE(""https://docs.google.com/spreadsheets/d/1uu4nAn4Dbi1XREnLKKotUANlKXa7yCgRcgq8HEzQYW8/edit?usp=sharing"",""พะเยา!N207"")"),0)</f>
        <v>0</v>
      </c>
      <c r="AN20" s="98">
        <f t="shared" ca="1" si="100"/>
        <v>0</v>
      </c>
      <c r="AO20" s="97">
        <f ca="1">IFERROR(__xludf.DUMMYFUNCTION("IMPORTRANGE(""https://docs.google.com/spreadsheets/d/1uu4nAn4Dbi1XREnLKKotUANlKXa7yCgRcgq8HEzQYW8/edit?usp=sharing"",""พะเยา!I209"")"),2)</f>
        <v>2</v>
      </c>
      <c r="AP20" s="97">
        <f ca="1">IFERROR(__xludf.DUMMYFUNCTION("IMPORTRANGE(""https://docs.google.com/spreadsheets/d/1uu4nAn4Dbi1XREnLKKotUANlKXa7yCgRcgq8HEzQYW8/edit?usp=sharing"",""พะเยา!J209"")"),0)</f>
        <v>0</v>
      </c>
      <c r="AQ20" s="98">
        <f t="shared" ca="1" si="102"/>
        <v>0</v>
      </c>
      <c r="AR20" s="97">
        <f ca="1">IFERROR(__xludf.DUMMYFUNCTION("IMPORTRANGE(""https://docs.google.com/spreadsheets/d/1uu4nAn4Dbi1XREnLKKotUANlKXa7yCgRcgq8HEzQYW8/edit?usp=sharing"",""พะเยา!J211"")"),0)</f>
        <v>0</v>
      </c>
      <c r="AS20" s="97">
        <f ca="1">IFERROR(__xludf.DUMMYFUNCTION("IMPORTRANGE(""https://docs.google.com/spreadsheets/d/1uu4nAn4Dbi1XREnLKKotUANlKXa7yCgRcgq8HEzQYW8/edit?usp=sharing"",""พะเยา!J212"")"),0)</f>
        <v>0</v>
      </c>
      <c r="AT20" s="97">
        <f ca="1">IFERROR(__xludf.DUMMYFUNCTION("IMPORTRANGE(""https://docs.google.com/spreadsheets/d/1uu4nAn4Dbi1XREnLKKotUANlKXa7yCgRcgq8HEzQYW8/edit?usp=sharing"",""พะเยา!L215"")"),0)</f>
        <v>0</v>
      </c>
      <c r="AU20" s="97">
        <f ca="1">IFERROR(__xludf.DUMMYFUNCTION("IMPORTRANGE(""https://docs.google.com/spreadsheets/d/1uu4nAn4Dbi1XREnLKKotUANlKXa7yCgRcgq8HEzQYW8/edit?usp=sharing"",""พะเยา!N215"")"),0)</f>
        <v>0</v>
      </c>
      <c r="AV20" s="98">
        <f t="shared" ca="1" si="104"/>
        <v>0</v>
      </c>
      <c r="AW20" s="97">
        <f ca="1">IFERROR(__xludf.DUMMYFUNCTION("IMPORTRANGE(""https://docs.google.com/spreadsheets/d/1uu4nAn4Dbi1XREnLKKotUANlKXa7yCgRcgq8HEzQYW8/edit?usp=sharing"",""พะเยา!L216"")"),0)</f>
        <v>0</v>
      </c>
      <c r="AX20" s="97">
        <f ca="1">IFERROR(__xludf.DUMMYFUNCTION("IMPORTRANGE(""https://docs.google.com/spreadsheets/d/1uu4nAn4Dbi1XREnLKKotUANlKXa7yCgRcgq8HEzQYW8/edit?usp=sharing"",""พะเยา!N216"")"),0)</f>
        <v>0</v>
      </c>
      <c r="AY20" s="98">
        <f t="shared" ca="1" si="106"/>
        <v>0</v>
      </c>
      <c r="AZ20" s="97">
        <f ca="1">IFERROR(__xludf.DUMMYFUNCTION("IMPORTRANGE(""https://docs.google.com/spreadsheets/d/1uu4nAn4Dbi1XREnLKKotUANlKXa7yCgRcgq8HEzQYW8/edit?usp=sharing"",""พะเยา!L217"")"),0)</f>
        <v>0</v>
      </c>
      <c r="BA20" s="97">
        <f ca="1">IFERROR(__xludf.DUMMYFUNCTION("IMPORTRANGE(""https://docs.google.com/spreadsheets/d/1uu4nAn4Dbi1XREnLKKotUANlKXa7yCgRcgq8HEzQYW8/edit?usp=sharing"",""พะเยา!N217"")"),0)</f>
        <v>0</v>
      </c>
      <c r="BB20" s="98">
        <f t="shared" ca="1" si="108"/>
        <v>0</v>
      </c>
      <c r="BC20" s="97">
        <f ca="1">IFERROR(__xludf.DUMMYFUNCTION("IMPORTRANGE(""https://docs.google.com/spreadsheets/d/1uu4nAn4Dbi1XREnLKKotUANlKXa7yCgRcgq8HEzQYW8/edit?usp=sharing"",""พะเยา!I219"")"),0)</f>
        <v>0</v>
      </c>
      <c r="BD20" s="97">
        <f ca="1">IFERROR(__xludf.DUMMYFUNCTION("IMPORTRANGE(""https://docs.google.com/spreadsheets/d/1uu4nAn4Dbi1XREnLKKotUANlKXa7yCgRcgq8HEzQYW8/edit?usp=sharing"",""พะเยา!J219"")"),0)</f>
        <v>0</v>
      </c>
      <c r="BE20" s="98">
        <f t="shared" ca="1" si="110"/>
        <v>0</v>
      </c>
      <c r="BF20" s="97">
        <f ca="1">IFERROR(__xludf.DUMMYFUNCTION("IMPORTRANGE(""https://docs.google.com/spreadsheets/d/1uu4nAn4Dbi1XREnLKKotUANlKXa7yCgRcgq8HEzQYW8/edit?usp=sharing"",""พะเยา!I220"")"),0)</f>
        <v>0</v>
      </c>
      <c r="BG20" s="97">
        <f ca="1">IFERROR(__xludf.DUMMYFUNCTION("IMPORTRANGE(""https://docs.google.com/spreadsheets/d/1uu4nAn4Dbi1XREnLKKotUANlKXa7yCgRcgq8HEzQYW8/edit?usp=sharing"",""พะเยา!J220"")"),0)</f>
        <v>0</v>
      </c>
      <c r="BH20" s="98">
        <f t="shared" ca="1" si="112"/>
        <v>0</v>
      </c>
      <c r="BI20" s="97">
        <f ca="1">IFERROR(__xludf.DUMMYFUNCTION("IMPORTRANGE(""https://docs.google.com/spreadsheets/d/1uu4nAn4Dbi1XREnLKKotUANlKXa7yCgRcgq8HEzQYW8/edit?usp=sharing"",""พะเยา!L223"")"),3000)</f>
        <v>3000</v>
      </c>
      <c r="BJ20" s="97">
        <f ca="1">IFERROR(__xludf.DUMMYFUNCTION("IMPORTRANGE(""https://docs.google.com/spreadsheets/d/1uu4nAn4Dbi1XREnLKKotUANlKXa7yCgRcgq8HEzQYW8/edit?usp=sharing"",""พะเยา!N223"")"),0)</f>
        <v>0</v>
      </c>
      <c r="BK20" s="98">
        <f t="shared" ca="1" si="114"/>
        <v>0</v>
      </c>
      <c r="BL20" s="97">
        <f ca="1">IFERROR(__xludf.DUMMYFUNCTION("IMPORTRANGE(""https://docs.google.com/spreadsheets/d/1uu4nAn4Dbi1XREnLKKotUANlKXa7yCgRcgq8HEzQYW8/edit?usp=sharing"",""พะเยา!L224"")"),1500)</f>
        <v>1500</v>
      </c>
      <c r="BM20" s="97">
        <f ca="1">IFERROR(__xludf.DUMMYFUNCTION("IMPORTRANGE(""https://docs.google.com/spreadsheets/d/1uu4nAn4Dbi1XREnLKKotUANlKXa7yCgRcgq8HEzQYW8/edit?usp=sharing"",""พะเยา!N224"")"),0)</f>
        <v>0</v>
      </c>
      <c r="BN20" s="98">
        <f t="shared" ca="1" si="116"/>
        <v>0</v>
      </c>
      <c r="BO20" s="97">
        <f ca="1">IFERROR(__xludf.DUMMYFUNCTION("IMPORTRANGE(""https://docs.google.com/spreadsheets/d/1uu4nAn4Dbi1XREnLKKotUANlKXa7yCgRcgq8HEzQYW8/edit?usp=sharing"",""พะเยา!I228"")"),20000)</f>
        <v>20000</v>
      </c>
      <c r="BP20" s="97">
        <f ca="1">IFERROR(__xludf.DUMMYFUNCTION("IMPORTRANGE(""https://docs.google.com/spreadsheets/d/1uu4nAn4Dbi1XREnLKKotUANlKXa7yCgRcgq8HEzQYW8/edit?usp=sharing"",""พะเยา!J228"")"),0)</f>
        <v>0</v>
      </c>
      <c r="BQ20" s="98">
        <f t="shared" ca="1" si="118"/>
        <v>0</v>
      </c>
      <c r="BR20" s="97">
        <f ca="1">IFERROR(__xludf.DUMMYFUNCTION("IMPORTRANGE(""https://docs.google.com/spreadsheets/d/1uu4nAn4Dbi1XREnLKKotUANlKXa7yCgRcgq8HEzQYW8/edit?usp=sharing"",""พะเยา!I229"")"),20000)</f>
        <v>20000</v>
      </c>
      <c r="BS20" s="97">
        <f ca="1">IFERROR(__xludf.DUMMYFUNCTION("IMPORTRANGE(""https://docs.google.com/spreadsheets/d/1uu4nAn4Dbi1XREnLKKotUANlKXa7yCgRcgq8HEzQYW8/edit?usp=sharing"",""พะเยา!J229"")"),0)</f>
        <v>0</v>
      </c>
      <c r="BT20" s="98">
        <f t="shared" ca="1" si="120"/>
        <v>0</v>
      </c>
      <c r="BU20" s="97">
        <f ca="1">IFERROR(__xludf.DUMMYFUNCTION("IMPORTRANGE(""https://docs.google.com/spreadsheets/d/1uu4nAn4Dbi1XREnLKKotUANlKXa7yCgRcgq8HEzQYW8/edit?usp=sharing"",""พะเยา!I230"")"),0)</f>
        <v>0</v>
      </c>
      <c r="BV20" s="97">
        <f ca="1">IFERROR(__xludf.DUMMYFUNCTION("IMPORTRANGE(""https://docs.google.com/spreadsheets/d/1uu4nAn4Dbi1XREnLKKotUANlKXa7yCgRcgq8HEzQYW8/edit?usp=sharing"",""พะเยา!J230"")"),0)</f>
        <v>0</v>
      </c>
      <c r="BW20" s="98">
        <f t="shared" ca="1" si="122"/>
        <v>0</v>
      </c>
      <c r="BX20" s="97">
        <f ca="1">IFERROR(__xludf.DUMMYFUNCTION("IMPORTRANGE(""https://docs.google.com/spreadsheets/d/1uu4nAn4Dbi1XREnLKKotUANlKXa7yCgRcgq8HEzQYW8/edit?usp=sharing"",""พะเยา!L233"")"),99000)</f>
        <v>99000</v>
      </c>
      <c r="BY20" s="97">
        <f ca="1">IFERROR(__xludf.DUMMYFUNCTION("IMPORTRANGE(""https://docs.google.com/spreadsheets/d/1uu4nAn4Dbi1XREnLKKotUANlKXa7yCgRcgq8HEzQYW8/edit?usp=sharing"",""พะเยา!N233"")"),0)</f>
        <v>0</v>
      </c>
      <c r="BZ20" s="98">
        <f t="shared" ca="1" si="124"/>
        <v>0</v>
      </c>
      <c r="CA20" s="97">
        <f ca="1">IFERROR(__xludf.DUMMYFUNCTION("IMPORTRANGE(""https://docs.google.com/spreadsheets/d/1uu4nAn4Dbi1XREnLKKotUANlKXa7yCgRcgq8HEzQYW8/edit?usp=sharing"",""พะเยา!L234"")"),3000)</f>
        <v>3000</v>
      </c>
      <c r="CB20" s="97">
        <f ca="1">IFERROR(__xludf.DUMMYFUNCTION("IMPORTRANGE(""https://docs.google.com/spreadsheets/d/1uu4nAn4Dbi1XREnLKKotUANlKXa7yCgRcgq8HEzQYW8/edit?usp=sharing"",""พะเยา!N234"")"),0)</f>
        <v>0</v>
      </c>
      <c r="CC20" s="98">
        <f t="shared" ca="1" si="126"/>
        <v>0</v>
      </c>
      <c r="CD20" s="97">
        <f ca="1">IFERROR(__xludf.DUMMYFUNCTION("IMPORTRANGE(""https://docs.google.com/spreadsheets/d/1uu4nAn4Dbi1XREnLKKotUANlKXa7yCgRcgq8HEzQYW8/edit?usp=sharing"",""พะเยา!L235"")"),114400)</f>
        <v>114400</v>
      </c>
      <c r="CE20" s="97">
        <f ca="1">IFERROR(__xludf.DUMMYFUNCTION("IMPORTRANGE(""https://docs.google.com/spreadsheets/d/1uu4nAn4Dbi1XREnLKKotUANlKXa7yCgRcgq8HEzQYW8/edit?usp=sharing"",""พะเยา!N235"")"),0)</f>
        <v>0</v>
      </c>
      <c r="CF20" s="98">
        <f t="shared" ca="1" si="128"/>
        <v>0</v>
      </c>
      <c r="CG20" s="97">
        <f ca="1">IFERROR(__xludf.DUMMYFUNCTION("IMPORTRANGE(""https://docs.google.com/spreadsheets/d/1uu4nAn4Dbi1XREnLKKotUANlKXa7yCgRcgq8HEzQYW8/edit?usp=sharing"",""พะเยา!L236"")"),53000)</f>
        <v>53000</v>
      </c>
      <c r="CH20" s="97">
        <f ca="1">IFERROR(__xludf.DUMMYFUNCTION("IMPORTRANGE(""https://docs.google.com/spreadsheets/d/1uu4nAn4Dbi1XREnLKKotUANlKXa7yCgRcgq8HEzQYW8/edit?usp=sharing"",""พะเยา!N236"")"),0)</f>
        <v>0</v>
      </c>
      <c r="CI20" s="98">
        <f t="shared" ca="1" si="130"/>
        <v>0</v>
      </c>
      <c r="CJ20" s="97">
        <f ca="1">IFERROR(__xludf.DUMMYFUNCTION("IMPORTRANGE(""https://docs.google.com/spreadsheets/d/1uu4nAn4Dbi1XREnLKKotUANlKXa7yCgRcgq8HEzQYW8/edit?usp=sharing"",""พะเยา!I238"")"),40)</f>
        <v>40</v>
      </c>
      <c r="CK20" s="97">
        <f ca="1">IFERROR(__xludf.DUMMYFUNCTION("IMPORTRANGE(""https://docs.google.com/spreadsheets/d/1uu4nAn4Dbi1XREnLKKotUANlKXa7yCgRcgq8HEzQYW8/edit?usp=sharing"",""พะเยา!J238"")"),0)</f>
        <v>0</v>
      </c>
      <c r="CL20" s="98">
        <f t="shared" ca="1" si="132"/>
        <v>0</v>
      </c>
      <c r="CM20" s="97">
        <f ca="1">IFERROR(__xludf.DUMMYFUNCTION("IMPORTRANGE(""https://docs.google.com/spreadsheets/d/1uu4nAn4Dbi1XREnLKKotUANlKXa7yCgRcgq8HEzQYW8/edit?usp=sharing"",""พะเยา!J240"")"),0)</f>
        <v>0</v>
      </c>
      <c r="CN20" s="97">
        <f ca="1">IFERROR(__xludf.DUMMYFUNCTION("IMPORTRANGE(""https://docs.google.com/spreadsheets/d/1uu4nAn4Dbi1XREnLKKotUANlKXa7yCgRcgq8HEzQYW8/edit?usp=sharing"",""พะเยา!J241"")"),0)</f>
        <v>0</v>
      </c>
    </row>
    <row r="21" spans="1:92" ht="24" customHeight="1" x14ac:dyDescent="0.3">
      <c r="A21" s="89">
        <v>8</v>
      </c>
      <c r="B21" s="90" t="s">
        <v>47</v>
      </c>
      <c r="C21" s="174">
        <f t="shared" ca="1" si="80"/>
        <v>218500</v>
      </c>
      <c r="D21" s="175">
        <f t="shared" ca="1" si="134"/>
        <v>218500</v>
      </c>
      <c r="E21" s="176">
        <f ca="1">IFERROR(__xludf.DUMMYFUNCTION("IMPORTRANGE(""https://docs.google.com/spreadsheets/d/1-uDff_7J0KD5mKrp0Vvzr7lt3OU09vwQwhkpOPPYv2Y/edit?usp=sharing"",""งบพรบ!CV21"")"),182000)</f>
        <v>182000</v>
      </c>
      <c r="F21" s="176">
        <f ca="1">IFERROR(__xludf.DUMMYFUNCTION("IMPORTRANGE(""https://docs.google.com/spreadsheets/d/1-uDff_7J0KD5mKrp0Vvzr7lt3OU09vwQwhkpOPPYv2Y/edit?usp=sharing"",""งบพรบ!CW21"")"),36500)</f>
        <v>36500</v>
      </c>
      <c r="G21" s="176">
        <f ca="1">IFERROR(__xludf.DUMMYFUNCTION("IMPORTRANGE(""https://docs.google.com/spreadsheets/d/1-uDff_7J0KD5mKrp0Vvzr7lt3OU09vwQwhkpOPPYv2Y/edit?usp=sharing"",""งบพรบ!CX21"")"),0)</f>
        <v>0</v>
      </c>
      <c r="H21" s="176">
        <f ca="1">IFERROR(__xludf.DUMMYFUNCTION("IMPORTRANGE(""https://docs.google.com/spreadsheets/d/1-uDff_7J0KD5mKrp0Vvzr7lt3OU09vwQwhkpOPPYv2Y/edit?usp=sharing"",""งบพรบ!CZ21"")"),218500)</f>
        <v>218500</v>
      </c>
      <c r="I21" s="176">
        <f ca="1">IFERROR(__xludf.DUMMYFUNCTION("IMPORTRANGE(""https://docs.google.com/spreadsheets/d/1-uDff_7J0KD5mKrp0Vvzr7lt3OU09vwQwhkpOPPYv2Y/edit?usp=sharing"",""งบพรบ!DA21"")"),0)</f>
        <v>0</v>
      </c>
      <c r="J21" s="176">
        <f t="shared" ca="1" si="82"/>
        <v>77866.67</v>
      </c>
      <c r="K21" s="179">
        <f t="shared" ca="1" si="83"/>
        <v>35.636919908466822</v>
      </c>
      <c r="L21" s="176">
        <f ca="1">IFERROR(__xludf.DUMMYFUNCTION("IMPORTRANGE(""https://docs.google.com/spreadsheets/d/1-uDff_7J0KD5mKrp0Vvzr7lt3OU09vwQwhkpOPPYv2Y/edit?usp=sharing"",""งบพรบ!DB21"")"),77866.67)</f>
        <v>77866.67</v>
      </c>
      <c r="M21" s="87">
        <f t="shared" ca="1" si="84"/>
        <v>35.636919908466822</v>
      </c>
      <c r="N21" s="87">
        <f t="shared" ca="1" si="85"/>
        <v>35.636919908466822</v>
      </c>
      <c r="O21" s="86">
        <f ca="1">IFERROR(__xludf.DUMMYFUNCTION("IMPORTRANGE(""https://docs.google.com/spreadsheets/d/1-uDff_7J0KD5mKrp0Vvzr7lt3OU09vwQwhkpOPPYv2Y/edit?usp=sharing"",""งบพรบ!DC21"")"),0)</f>
        <v>0</v>
      </c>
      <c r="P21" s="86">
        <f t="shared" ca="1" si="86"/>
        <v>0</v>
      </c>
      <c r="Q21" s="87">
        <f t="shared" ca="1" si="87"/>
        <v>0</v>
      </c>
      <c r="R21" s="241">
        <f ca="1">IFERROR(__xludf.DUMMYFUNCTION("IMPORTRANGE(""https://docs.google.com/spreadsheets/d/1xfJKIQxVOaPDIICqsflNlLu3JacTDk1FP9RH4phX7mI/edit?usp=sharing"",""พิจิตร!Q186"")"),42000)</f>
        <v>42000</v>
      </c>
      <c r="S21" s="242">
        <f ca="1">IFERROR(__xludf.DUMMYFUNCTION("IMPORTRANGE(""https://docs.google.com/spreadsheets/d/1xfJKIQxVOaPDIICqsflNlLu3JacTDk1FP9RH4phX7mI/edit?usp=sharing"",""พิจิตร!R186"")"),0)</f>
        <v>0</v>
      </c>
      <c r="T21" s="242">
        <f ca="1">IFERROR(__xludf.DUMMYFUNCTION("IMPORTRANGE(""https://docs.google.com/spreadsheets/d/1xfJKIQxVOaPDIICqsflNlLu3JacTDk1FP9RH4phX7mI/edit?usp=sharing"",""พิจิตร!S186"")"),0)</f>
        <v>0</v>
      </c>
      <c r="U21" s="243">
        <f t="shared" ca="1" si="89"/>
        <v>0</v>
      </c>
      <c r="V21" s="243">
        <f t="shared" ca="1" si="90"/>
        <v>0</v>
      </c>
      <c r="W21" s="97">
        <f ca="1">IFERROR(__xludf.DUMMYFUNCTION("IMPORTRANGE(""https://docs.google.com/spreadsheets/d/1xfJKIQxVOaPDIICqsflNlLu3JacTDk1FP9RH4phX7mI/edit?usp=sharing"",""พิจิตร!L196"")"),6000)</f>
        <v>6000</v>
      </c>
      <c r="X21" s="97">
        <f ca="1">IFERROR(__xludf.DUMMYFUNCTION("IMPORTRANGE(""https://docs.google.com/spreadsheets/d/1xfJKIQxVOaPDIICqsflNlLu3JacTDk1FP9RH4phX7mI/edit?usp=sharing"",""พิจิตร!N196"")"),0)</f>
        <v>0</v>
      </c>
      <c r="Y21" s="98">
        <f t="shared" ca="1" si="92"/>
        <v>0</v>
      </c>
      <c r="Z21" s="97">
        <f ca="1">IFERROR(__xludf.DUMMYFUNCTION("IMPORTRANGE(""https://docs.google.com/spreadsheets/d/1xfJKIQxVOaPDIICqsflNlLu3JacTDk1FP9RH4phX7mI/edit?usp=sharing"",""พิจิตร!I198"")"),4)</f>
        <v>4</v>
      </c>
      <c r="AA21" s="97">
        <f ca="1">IFERROR(__xludf.DUMMYFUNCTION("IMPORTRANGE(""https://docs.google.com/spreadsheets/d/1xfJKIQxVOaPDIICqsflNlLu3JacTDk1FP9RH4phX7mI/edit?usp=sharing"",""พิจิตร!J198"")"),1)</f>
        <v>1</v>
      </c>
      <c r="AB21" s="98">
        <f t="shared" ca="1" si="94"/>
        <v>25</v>
      </c>
      <c r="AC21" s="97">
        <f ca="1">IFERROR(__xludf.DUMMYFUNCTION("IMPORTRANGE(""https://docs.google.com/spreadsheets/d/1xfJKIQxVOaPDIICqsflNlLu3JacTDk1FP9RH4phX7mI/edit?usp=sharing"",""พิจิตร!J199"")"),32)</f>
        <v>32</v>
      </c>
      <c r="AD21" s="97">
        <f ca="1">IFERROR(__xludf.DUMMYFUNCTION("IMPORTRANGE(""https://docs.google.com/spreadsheets/d/1xfJKIQxVOaPDIICqsflNlLu3JacTDk1FP9RH4phX7mI/edit?usp=sharing"",""พิจิตร!J200"")"),32)</f>
        <v>32</v>
      </c>
      <c r="AE21" s="97">
        <f ca="1">IFERROR(__xludf.DUMMYFUNCTION("IMPORTRANGE(""https://docs.google.com/spreadsheets/d/1xfJKIQxVOaPDIICqsflNlLu3JacTDk1FP9RH4phX7mI/edit?usp=sharing"",""พิจิตร!J201"")"),0)</f>
        <v>0</v>
      </c>
      <c r="AF21" s="97">
        <f ca="1">IFERROR(__xludf.DUMMYFUNCTION("IMPORTRANGE(""https://docs.google.com/spreadsheets/d/1xfJKIQxVOaPDIICqsflNlLu3JacTDk1FP9RH4phX7mI/edit?usp=sharing"",""พิจิตร!L204"")"),2000)</f>
        <v>2000</v>
      </c>
      <c r="AG21" s="97">
        <f ca="1">IFERROR(__xludf.DUMMYFUNCTION("IMPORTRANGE(""https://docs.google.com/spreadsheets/d/1xfJKIQxVOaPDIICqsflNlLu3JacTDk1FP9RH4phX7mI/edit?usp=sharing"",""พิจิตร!N204"")"),0)</f>
        <v>0</v>
      </c>
      <c r="AH21" s="98">
        <f t="shared" ca="1" si="96"/>
        <v>0</v>
      </c>
      <c r="AI21" s="97">
        <f ca="1">IFERROR(__xludf.DUMMYFUNCTION("IMPORTRANGE(""https://docs.google.com/spreadsheets/d/1xfJKIQxVOaPDIICqsflNlLu3JacTDk1FP9RH4phX7mI/edit?usp=sharing"",""พิจิตร!L206"")"),16000)</f>
        <v>16000</v>
      </c>
      <c r="AJ21" s="97">
        <f ca="1">IFERROR(__xludf.DUMMYFUNCTION("IMPORTRANGE(""https://docs.google.com/spreadsheets/d/1xfJKIQxVOaPDIICqsflNlLu3JacTDk1FP9RH4phX7mI/edit?usp=sharing"",""พิจิตร!N206"")"),0)</f>
        <v>0</v>
      </c>
      <c r="AK21" s="98">
        <f t="shared" ca="1" si="98"/>
        <v>0</v>
      </c>
      <c r="AL21" s="97">
        <f ca="1">IFERROR(__xludf.DUMMYFUNCTION("IMPORTRANGE(""https://docs.google.com/spreadsheets/d/1xfJKIQxVOaPDIICqsflNlLu3JacTDk1FP9RH4phX7mI/edit?usp=sharing"",""พิจิตร!L207"")"),8000)</f>
        <v>8000</v>
      </c>
      <c r="AM21" s="97">
        <f ca="1">IFERROR(__xludf.DUMMYFUNCTION("IMPORTRANGE(""https://docs.google.com/spreadsheets/d/1xfJKIQxVOaPDIICqsflNlLu3JacTDk1FP9RH4phX7mI/edit?usp=sharing"",""พิจิตร!N207"")"),0)</f>
        <v>0</v>
      </c>
      <c r="AN21" s="98">
        <f t="shared" ca="1" si="100"/>
        <v>0</v>
      </c>
      <c r="AO21" s="97">
        <f ca="1">IFERROR(__xludf.DUMMYFUNCTION("IMPORTRANGE(""https://docs.google.com/spreadsheets/d/1xfJKIQxVOaPDIICqsflNlLu3JacTDk1FP9RH4phX7mI/edit?usp=sharing"",""พิจิตร!I209"")"),2)</f>
        <v>2</v>
      </c>
      <c r="AP21" s="97">
        <f ca="1">IFERROR(__xludf.DUMMYFUNCTION("IMPORTRANGE(""https://docs.google.com/spreadsheets/d/1xfJKIQxVOaPDIICqsflNlLu3JacTDk1FP9RH4phX7mI/edit?usp=sharing"",""พิจิตร!J209"")"),0)</f>
        <v>0</v>
      </c>
      <c r="AQ21" s="98">
        <f t="shared" ca="1" si="102"/>
        <v>0</v>
      </c>
      <c r="AR21" s="97">
        <f ca="1">IFERROR(__xludf.DUMMYFUNCTION("IMPORTRANGE(""https://docs.google.com/spreadsheets/d/1xfJKIQxVOaPDIICqsflNlLu3JacTDk1FP9RH4phX7mI/edit?usp=sharing"",""พิจิตร!J211"")"),0)</f>
        <v>0</v>
      </c>
      <c r="AS21" s="97">
        <f ca="1">IFERROR(__xludf.DUMMYFUNCTION("IMPORTRANGE(""https://docs.google.com/spreadsheets/d/1xfJKIQxVOaPDIICqsflNlLu3JacTDk1FP9RH4phX7mI/edit?usp=sharing"",""พิจิตร!J212"")"),0)</f>
        <v>0</v>
      </c>
      <c r="AT21" s="97">
        <f ca="1">IFERROR(__xludf.DUMMYFUNCTION("IMPORTRANGE(""https://docs.google.com/spreadsheets/d/1xfJKIQxVOaPDIICqsflNlLu3JacTDk1FP9RH4phX7mI/edit?usp=sharing"",""พิจิตร!L215"")"),0)</f>
        <v>0</v>
      </c>
      <c r="AU21" s="97">
        <f ca="1">IFERROR(__xludf.DUMMYFUNCTION("IMPORTRANGE(""https://docs.google.com/spreadsheets/d/1xfJKIQxVOaPDIICqsflNlLu3JacTDk1FP9RH4phX7mI/edit?usp=sharing"",""พิจิตร!N215"")"),0)</f>
        <v>0</v>
      </c>
      <c r="AV21" s="98">
        <f t="shared" ca="1" si="104"/>
        <v>0</v>
      </c>
      <c r="AW21" s="97">
        <f ca="1">IFERROR(__xludf.DUMMYFUNCTION("IMPORTRANGE(""https://docs.google.com/spreadsheets/d/1xfJKIQxVOaPDIICqsflNlLu3JacTDk1FP9RH4phX7mI/edit?usp=sharing"",""พิจิตร!L216"")"),0)</f>
        <v>0</v>
      </c>
      <c r="AX21" s="97">
        <f ca="1">IFERROR(__xludf.DUMMYFUNCTION("IMPORTRANGE(""https://docs.google.com/spreadsheets/d/1xfJKIQxVOaPDIICqsflNlLu3JacTDk1FP9RH4phX7mI/edit?usp=sharing"",""พิจิตร!N216"")"),0)</f>
        <v>0</v>
      </c>
      <c r="AY21" s="98">
        <f t="shared" ca="1" si="106"/>
        <v>0</v>
      </c>
      <c r="AZ21" s="97">
        <f ca="1">IFERROR(__xludf.DUMMYFUNCTION("IMPORTRANGE(""https://docs.google.com/spreadsheets/d/1xfJKIQxVOaPDIICqsflNlLu3JacTDk1FP9RH4phX7mI/edit?usp=sharing"",""พิจิตร!L217"")"),0)</f>
        <v>0</v>
      </c>
      <c r="BA21" s="97">
        <f ca="1">IFERROR(__xludf.DUMMYFUNCTION("IMPORTRANGE(""https://docs.google.com/spreadsheets/d/1xfJKIQxVOaPDIICqsflNlLu3JacTDk1FP9RH4phX7mI/edit?usp=sharing"",""พิจิตร!N217"")"),0)</f>
        <v>0</v>
      </c>
      <c r="BB21" s="98">
        <f t="shared" ca="1" si="108"/>
        <v>0</v>
      </c>
      <c r="BC21" s="97">
        <f ca="1">IFERROR(__xludf.DUMMYFUNCTION("IMPORTRANGE(""https://docs.google.com/spreadsheets/d/1xfJKIQxVOaPDIICqsflNlLu3JacTDk1FP9RH4phX7mI/edit?usp=sharing"",""พิจิตร!I219"")"),0)</f>
        <v>0</v>
      </c>
      <c r="BD21" s="97">
        <f ca="1">IFERROR(__xludf.DUMMYFUNCTION("IMPORTRANGE(""https://docs.google.com/spreadsheets/d/1xfJKIQxVOaPDIICqsflNlLu3JacTDk1FP9RH4phX7mI/edit?usp=sharing"",""พิจิตร!J219"")"),0)</f>
        <v>0</v>
      </c>
      <c r="BE21" s="98">
        <f t="shared" ca="1" si="110"/>
        <v>0</v>
      </c>
      <c r="BF21" s="97">
        <f ca="1">IFERROR(__xludf.DUMMYFUNCTION("IMPORTRANGE(""https://docs.google.com/spreadsheets/d/1xfJKIQxVOaPDIICqsflNlLu3JacTDk1FP9RH4phX7mI/edit?usp=sharing"",""พิจิตร!I220"")"),0)</f>
        <v>0</v>
      </c>
      <c r="BG21" s="97">
        <f ca="1">IFERROR(__xludf.DUMMYFUNCTION("IMPORTRANGE(""https://docs.google.com/spreadsheets/d/1xfJKIQxVOaPDIICqsflNlLu3JacTDk1FP9RH4phX7mI/edit?usp=sharing"",""พิจิตร!J220"")"),0)</f>
        <v>0</v>
      </c>
      <c r="BH21" s="98">
        <f t="shared" ca="1" si="112"/>
        <v>0</v>
      </c>
      <c r="BI21" s="97">
        <f ca="1">IFERROR(__xludf.DUMMYFUNCTION("IMPORTRANGE(""https://docs.google.com/spreadsheets/d/1xfJKIQxVOaPDIICqsflNlLu3JacTDk1FP9RH4phX7mI/edit?usp=sharing"",""พิจิตร!L223"")"),3000)</f>
        <v>3000</v>
      </c>
      <c r="BJ21" s="97">
        <f ca="1">IFERROR(__xludf.DUMMYFUNCTION("IMPORTRANGE(""https://docs.google.com/spreadsheets/d/1xfJKIQxVOaPDIICqsflNlLu3JacTDk1FP9RH4phX7mI/edit?usp=sharing"",""พิจิตร!N223"")"),0)</f>
        <v>0</v>
      </c>
      <c r="BK21" s="98">
        <f t="shared" ca="1" si="114"/>
        <v>0</v>
      </c>
      <c r="BL21" s="97">
        <f ca="1">IFERROR(__xludf.DUMMYFUNCTION("IMPORTRANGE(""https://docs.google.com/spreadsheets/d/1xfJKIQxVOaPDIICqsflNlLu3JacTDk1FP9RH4phX7mI/edit?usp=sharing"",""พิจิตร!L224"")"),1500)</f>
        <v>1500</v>
      </c>
      <c r="BM21" s="97">
        <f ca="1">IFERROR(__xludf.DUMMYFUNCTION("IMPORTRANGE(""https://docs.google.com/spreadsheets/d/1xfJKIQxVOaPDIICqsflNlLu3JacTDk1FP9RH4phX7mI/edit?usp=sharing"",""พิจิตร!N224"")"),0)</f>
        <v>0</v>
      </c>
      <c r="BN21" s="98">
        <f t="shared" ca="1" si="116"/>
        <v>0</v>
      </c>
      <c r="BO21" s="97">
        <f ca="1">IFERROR(__xludf.DUMMYFUNCTION("IMPORTRANGE(""https://docs.google.com/spreadsheets/d/1xfJKIQxVOaPDIICqsflNlLu3JacTDk1FP9RH4phX7mI/edit?usp=sharing"",""พิจิตร!I228"")"),20000)</f>
        <v>20000</v>
      </c>
      <c r="BP21" s="97">
        <f ca="1">IFERROR(__xludf.DUMMYFUNCTION("IMPORTRANGE(""https://docs.google.com/spreadsheets/d/1xfJKIQxVOaPDIICqsflNlLu3JacTDk1FP9RH4phX7mI/edit?usp=sharing"",""พิจิตร!J228"")"),0)</f>
        <v>0</v>
      </c>
      <c r="BQ21" s="98">
        <f t="shared" ca="1" si="118"/>
        <v>0</v>
      </c>
      <c r="BR21" s="97">
        <f ca="1">IFERROR(__xludf.DUMMYFUNCTION("IMPORTRANGE(""https://docs.google.com/spreadsheets/d/1xfJKIQxVOaPDIICqsflNlLu3JacTDk1FP9RH4phX7mI/edit?usp=sharing"",""พิจิตร!I229"")"),20000)</f>
        <v>20000</v>
      </c>
      <c r="BS21" s="97">
        <f ca="1">IFERROR(__xludf.DUMMYFUNCTION("IMPORTRANGE(""https://docs.google.com/spreadsheets/d/1xfJKIQxVOaPDIICqsflNlLu3JacTDk1FP9RH4phX7mI/edit?usp=sharing"",""พิจิตร!J229"")"),0)</f>
        <v>0</v>
      </c>
      <c r="BT21" s="98">
        <f t="shared" ca="1" si="120"/>
        <v>0</v>
      </c>
      <c r="BU21" s="97">
        <f ca="1">IFERROR(__xludf.DUMMYFUNCTION("IMPORTRANGE(""https://docs.google.com/spreadsheets/d/1xfJKIQxVOaPDIICqsflNlLu3JacTDk1FP9RH4phX7mI/edit?usp=sharing"",""พิจิตร!I230"")"),0)</f>
        <v>0</v>
      </c>
      <c r="BV21" s="97">
        <f ca="1">IFERROR(__xludf.DUMMYFUNCTION("IMPORTRANGE(""https://docs.google.com/spreadsheets/d/1xfJKIQxVOaPDIICqsflNlLu3JacTDk1FP9RH4phX7mI/edit?usp=sharing"",""พิจิตร!J230"")"),0)</f>
        <v>0</v>
      </c>
      <c r="BW21" s="98">
        <f t="shared" ca="1" si="122"/>
        <v>0</v>
      </c>
      <c r="BX21" s="97">
        <f ca="1">IFERROR(__xludf.DUMMYFUNCTION("IMPORTRANGE(""https://docs.google.com/spreadsheets/d/1xfJKIQxVOaPDIICqsflNlLu3JacTDk1FP9RH4phX7mI/edit?usp=sharing"",""พิจิตร!L233"")"),0)</f>
        <v>0</v>
      </c>
      <c r="BY21" s="97">
        <f ca="1">IFERROR(__xludf.DUMMYFUNCTION("IMPORTRANGE(""https://docs.google.com/spreadsheets/d/1xfJKIQxVOaPDIICqsflNlLu3JacTDk1FP9RH4phX7mI/edit?usp=sharing"",""พิจิตร!N233"")"),0)</f>
        <v>0</v>
      </c>
      <c r="BZ21" s="98">
        <f t="shared" ca="1" si="124"/>
        <v>0</v>
      </c>
      <c r="CA21" s="97">
        <f ca="1">IFERROR(__xludf.DUMMYFUNCTION("IMPORTRANGE(""https://docs.google.com/spreadsheets/d/1xfJKIQxVOaPDIICqsflNlLu3JacTDk1FP9RH4phX7mI/edit?usp=sharing"",""พิจิตร!L234"")"),0)</f>
        <v>0</v>
      </c>
      <c r="CB21" s="97">
        <f ca="1">IFERROR(__xludf.DUMMYFUNCTION("IMPORTRANGE(""https://docs.google.com/spreadsheets/d/1xfJKIQxVOaPDIICqsflNlLu3JacTDk1FP9RH4phX7mI/edit?usp=sharing"",""พิจิตร!N234"")"),0)</f>
        <v>0</v>
      </c>
      <c r="CC21" s="98">
        <f t="shared" ca="1" si="126"/>
        <v>0</v>
      </c>
      <c r="CD21" s="97">
        <f ca="1">IFERROR(__xludf.DUMMYFUNCTION("IMPORTRANGE(""https://docs.google.com/spreadsheets/d/1xfJKIQxVOaPDIICqsflNlLu3JacTDk1FP9RH4phX7mI/edit?usp=sharing"",""พิจิตร!L235"")"),0)</f>
        <v>0</v>
      </c>
      <c r="CE21" s="97">
        <f ca="1">IFERROR(__xludf.DUMMYFUNCTION("IMPORTRANGE(""https://docs.google.com/spreadsheets/d/1xfJKIQxVOaPDIICqsflNlLu3JacTDk1FP9RH4phX7mI/edit?usp=sharing"",""พิจิตร!N235"")"),0)</f>
        <v>0</v>
      </c>
      <c r="CF21" s="98">
        <f t="shared" ca="1" si="128"/>
        <v>0</v>
      </c>
      <c r="CG21" s="97">
        <f ca="1">IFERROR(__xludf.DUMMYFUNCTION("IMPORTRANGE(""https://docs.google.com/spreadsheets/d/1xfJKIQxVOaPDIICqsflNlLu3JacTDk1FP9RH4phX7mI/edit?usp=sharing"",""พิจิตร!L236"")"),0)</f>
        <v>0</v>
      </c>
      <c r="CH21" s="97">
        <f ca="1">IFERROR(__xludf.DUMMYFUNCTION("IMPORTRANGE(""https://docs.google.com/spreadsheets/d/1xfJKIQxVOaPDIICqsflNlLu3JacTDk1FP9RH4phX7mI/edit?usp=sharing"",""พิจิตร!N236"")"),0)</f>
        <v>0</v>
      </c>
      <c r="CI21" s="98">
        <f t="shared" ca="1" si="130"/>
        <v>0</v>
      </c>
      <c r="CJ21" s="97">
        <f ca="1">IFERROR(__xludf.DUMMYFUNCTION("IMPORTRANGE(""https://docs.google.com/spreadsheets/d/1xfJKIQxVOaPDIICqsflNlLu3JacTDk1FP9RH4phX7mI/edit?usp=sharing"",""พิจิตร!I238"")"),0)</f>
        <v>0</v>
      </c>
      <c r="CK21" s="97">
        <f ca="1">IFERROR(__xludf.DUMMYFUNCTION("IMPORTRANGE(""https://docs.google.com/spreadsheets/d/1xfJKIQxVOaPDIICqsflNlLu3JacTDk1FP9RH4phX7mI/edit?usp=sharing"",""พิจิตร!J238"")"),0)</f>
        <v>0</v>
      </c>
      <c r="CL21" s="98">
        <f t="shared" ca="1" si="132"/>
        <v>0</v>
      </c>
      <c r="CM21" s="97">
        <f ca="1">IFERROR(__xludf.DUMMYFUNCTION("IMPORTRANGE(""https://docs.google.com/spreadsheets/d/1xfJKIQxVOaPDIICqsflNlLu3JacTDk1FP9RH4phX7mI/edit?usp=sharing"",""พิจิตร!J240"")"),0)</f>
        <v>0</v>
      </c>
      <c r="CN21" s="97">
        <f ca="1">IFERROR(__xludf.DUMMYFUNCTION("IMPORTRANGE(""https://docs.google.com/spreadsheets/d/1xfJKIQxVOaPDIICqsflNlLu3JacTDk1FP9RH4phX7mI/edit?usp=sharing"",""พิจิตร!J241"")"),0)</f>
        <v>0</v>
      </c>
    </row>
    <row r="22" spans="1:92" ht="24" customHeight="1" x14ac:dyDescent="0.3">
      <c r="A22" s="89">
        <v>9</v>
      </c>
      <c r="B22" s="90" t="s">
        <v>48</v>
      </c>
      <c r="C22" s="174">
        <f t="shared" ca="1" si="80"/>
        <v>222500</v>
      </c>
      <c r="D22" s="175">
        <f t="shared" ca="1" si="134"/>
        <v>222500</v>
      </c>
      <c r="E22" s="176">
        <f ca="1">IFERROR(__xludf.DUMMYFUNCTION("IMPORTRANGE(""https://docs.google.com/spreadsheets/d/1-uDff_7J0KD5mKrp0Vvzr7lt3OU09vwQwhkpOPPYv2Y/edit?usp=sharing"",""งบพรบ!CV22"")"),182000)</f>
        <v>182000</v>
      </c>
      <c r="F22" s="176">
        <f ca="1">IFERROR(__xludf.DUMMYFUNCTION("IMPORTRANGE(""https://docs.google.com/spreadsheets/d/1-uDff_7J0KD5mKrp0Vvzr7lt3OU09vwQwhkpOPPYv2Y/edit?usp=sharing"",""งบพรบ!CW22"")"),40500)</f>
        <v>40500</v>
      </c>
      <c r="G22" s="176">
        <f ca="1">IFERROR(__xludf.DUMMYFUNCTION("IMPORTRANGE(""https://docs.google.com/spreadsheets/d/1-uDff_7J0KD5mKrp0Vvzr7lt3OU09vwQwhkpOPPYv2Y/edit?usp=sharing"",""งบพรบ!CX22"")"),0)</f>
        <v>0</v>
      </c>
      <c r="H22" s="176">
        <f ca="1">IFERROR(__xludf.DUMMYFUNCTION("IMPORTRANGE(""https://docs.google.com/spreadsheets/d/1-uDff_7J0KD5mKrp0Vvzr7lt3OU09vwQwhkpOPPYv2Y/edit?usp=sharing"",""งบพรบ!CZ22"")"),228200)</f>
        <v>228200</v>
      </c>
      <c r="I22" s="176">
        <f ca="1">IFERROR(__xludf.DUMMYFUNCTION("IMPORTRANGE(""https://docs.google.com/spreadsheets/d/1-uDff_7J0KD5mKrp0Vvzr7lt3OU09vwQwhkpOPPYv2Y/edit?usp=sharing"",""งบพรบ!DA22"")"),0)</f>
        <v>0</v>
      </c>
      <c r="J22" s="176">
        <f t="shared" ca="1" si="82"/>
        <v>79161.3</v>
      </c>
      <c r="K22" s="179">
        <f t="shared" ca="1" si="83"/>
        <v>35.578112359550559</v>
      </c>
      <c r="L22" s="176">
        <f ca="1">IFERROR(__xludf.DUMMYFUNCTION("IMPORTRANGE(""https://docs.google.com/spreadsheets/d/1-uDff_7J0KD5mKrp0Vvzr7lt3OU09vwQwhkpOPPYv2Y/edit?usp=sharing"",""งบพรบ!DB22"")"),79161.3)</f>
        <v>79161.3</v>
      </c>
      <c r="M22" s="87">
        <f t="shared" ca="1" si="84"/>
        <v>35.578112359550559</v>
      </c>
      <c r="N22" s="87">
        <f t="shared" ca="1" si="85"/>
        <v>34.689439088518846</v>
      </c>
      <c r="O22" s="86">
        <f ca="1">IFERROR(__xludf.DUMMYFUNCTION("IMPORTRANGE(""https://docs.google.com/spreadsheets/d/1-uDff_7J0KD5mKrp0Vvzr7lt3OU09vwQwhkpOPPYv2Y/edit?usp=sharing"",""งบพรบ!DC22"")"),0)</f>
        <v>0</v>
      </c>
      <c r="P22" s="86">
        <f t="shared" ca="1" si="86"/>
        <v>0</v>
      </c>
      <c r="Q22" s="87">
        <f t="shared" ca="1" si="87"/>
        <v>0</v>
      </c>
      <c r="R22" s="241">
        <f ca="1">IFERROR(__xludf.DUMMYFUNCTION("IMPORTRANGE(""https://docs.google.com/spreadsheets/d/1JtRfZkJMHtEhI5RdRHxYUG4FIZHqKDpNyIuN7A1Q0_k/edit?usp=sharing"",""พิษณุโลก!Q186"")"),42000)</f>
        <v>42000</v>
      </c>
      <c r="S22" s="242">
        <f ca="1">IFERROR(__xludf.DUMMYFUNCTION("IMPORTRANGE(""https://docs.google.com/spreadsheets/d/1JtRfZkJMHtEhI5RdRHxYUG4FIZHqKDpNyIuN7A1Q0_k/edit?usp=sharing"",""พิษณุโลก!R186"")"),0)</f>
        <v>0</v>
      </c>
      <c r="T22" s="242">
        <f ca="1">IFERROR(__xludf.DUMMYFUNCTION("IMPORTRANGE(""https://docs.google.com/spreadsheets/d/1JtRfZkJMHtEhI5RdRHxYUG4FIZHqKDpNyIuN7A1Q0_k/edit?usp=sharing"",""พิษณุโลก!S186"")"),0)</f>
        <v>0</v>
      </c>
      <c r="U22" s="243">
        <f t="shared" ca="1" si="89"/>
        <v>0</v>
      </c>
      <c r="V22" s="243">
        <f t="shared" ca="1" si="90"/>
        <v>0</v>
      </c>
      <c r="W22" s="97">
        <f ca="1">IFERROR(__xludf.DUMMYFUNCTION("IMPORTRANGE(""https://docs.google.com/spreadsheets/d/1JtRfZkJMHtEhI5RdRHxYUG4FIZHqKDpNyIuN7A1Q0_k/edit?usp=sharing"",""พิษณุโลก!L196"")"),6000)</f>
        <v>6000</v>
      </c>
      <c r="X22" s="97">
        <f ca="1">IFERROR(__xludf.DUMMYFUNCTION("IMPORTRANGE(""https://docs.google.com/spreadsheets/d/1JtRfZkJMHtEhI5RdRHxYUG4FIZHqKDpNyIuN7A1Q0_k/edit?usp=sharing"",""พิษณุโลก!N196"")"),0)</f>
        <v>0</v>
      </c>
      <c r="Y22" s="98">
        <f t="shared" ca="1" si="92"/>
        <v>0</v>
      </c>
      <c r="Z22" s="97">
        <f ca="1">IFERROR(__xludf.DUMMYFUNCTION("IMPORTRANGE(""https://docs.google.com/spreadsheets/d/1JtRfZkJMHtEhI5RdRHxYUG4FIZHqKDpNyIuN7A1Q0_k/edit?usp=sharing"",""พิษณุโลก!I198"")"),4)</f>
        <v>4</v>
      </c>
      <c r="AA22" s="97">
        <f ca="1">IFERROR(__xludf.DUMMYFUNCTION("IMPORTRANGE(""https://docs.google.com/spreadsheets/d/1JtRfZkJMHtEhI5RdRHxYUG4FIZHqKDpNyIuN7A1Q0_k/edit?usp=sharing"",""พิษณุโลก!J198"")"),0)</f>
        <v>0</v>
      </c>
      <c r="AB22" s="98">
        <f t="shared" ca="1" si="94"/>
        <v>0</v>
      </c>
      <c r="AC22" s="97">
        <f ca="1">IFERROR(__xludf.DUMMYFUNCTION("IMPORTRANGE(""https://docs.google.com/spreadsheets/d/1JtRfZkJMHtEhI5RdRHxYUG4FIZHqKDpNyIuN7A1Q0_k/edit?usp=sharing"",""พิษณุโลก!J199"")"),0)</f>
        <v>0</v>
      </c>
      <c r="AD22" s="97">
        <f ca="1">IFERROR(__xludf.DUMMYFUNCTION("IMPORTRANGE(""https://docs.google.com/spreadsheets/d/1JtRfZkJMHtEhI5RdRHxYUG4FIZHqKDpNyIuN7A1Q0_k/edit?usp=sharing"",""พิษณุโลก!J200"")"),0)</f>
        <v>0</v>
      </c>
      <c r="AE22" s="97">
        <f ca="1">IFERROR(__xludf.DUMMYFUNCTION("IMPORTRANGE(""https://docs.google.com/spreadsheets/d/1JtRfZkJMHtEhI5RdRHxYUG4FIZHqKDpNyIuN7A1Q0_k/edit?usp=sharing"",""พิษณุโลก!J201"")"),0)</f>
        <v>0</v>
      </c>
      <c r="AF22" s="97">
        <f ca="1">IFERROR(__xludf.DUMMYFUNCTION("IMPORTRANGE(""https://docs.google.com/spreadsheets/d/1JtRfZkJMHtEhI5RdRHxYUG4FIZHqKDpNyIuN7A1Q0_k/edit?usp=sharing"",""พิษณุโลก!L204"")"),2000)</f>
        <v>2000</v>
      </c>
      <c r="AG22" s="97">
        <f ca="1">IFERROR(__xludf.DUMMYFUNCTION("IMPORTRANGE(""https://docs.google.com/spreadsheets/d/1JtRfZkJMHtEhI5RdRHxYUG4FIZHqKDpNyIuN7A1Q0_k/edit?usp=sharing"",""พิษณุโลก!N204"")"),0)</f>
        <v>0</v>
      </c>
      <c r="AH22" s="98">
        <f t="shared" ca="1" si="96"/>
        <v>0</v>
      </c>
      <c r="AI22" s="97">
        <f ca="1">IFERROR(__xludf.DUMMYFUNCTION("IMPORTRANGE(""https://docs.google.com/spreadsheets/d/1JtRfZkJMHtEhI5RdRHxYUG4FIZHqKDpNyIuN7A1Q0_k/edit?usp=sharing"",""พิษณุโลก!L206"")"),16000)</f>
        <v>16000</v>
      </c>
      <c r="AJ22" s="97">
        <f ca="1">IFERROR(__xludf.DUMMYFUNCTION("IMPORTRANGE(""https://docs.google.com/spreadsheets/d/1JtRfZkJMHtEhI5RdRHxYUG4FIZHqKDpNyIuN7A1Q0_k/edit?usp=sharing"",""พิษณุโลก!N206"")"),0)</f>
        <v>0</v>
      </c>
      <c r="AK22" s="98">
        <f t="shared" ca="1" si="98"/>
        <v>0</v>
      </c>
      <c r="AL22" s="97">
        <f ca="1">IFERROR(__xludf.DUMMYFUNCTION("IMPORTRANGE(""https://docs.google.com/spreadsheets/d/1JtRfZkJMHtEhI5RdRHxYUG4FIZHqKDpNyIuN7A1Q0_k/edit?usp=sharing"",""พิษณุโลก!L207"")"),8000)</f>
        <v>8000</v>
      </c>
      <c r="AM22" s="97">
        <f ca="1">IFERROR(__xludf.DUMMYFUNCTION("IMPORTRANGE(""https://docs.google.com/spreadsheets/d/1JtRfZkJMHtEhI5RdRHxYUG4FIZHqKDpNyIuN7A1Q0_k/edit?usp=sharing"",""พิษณุโลก!N207"")"),0)</f>
        <v>0</v>
      </c>
      <c r="AN22" s="98">
        <f t="shared" ca="1" si="100"/>
        <v>0</v>
      </c>
      <c r="AO22" s="97">
        <f ca="1">IFERROR(__xludf.DUMMYFUNCTION("IMPORTRANGE(""https://docs.google.com/spreadsheets/d/1JtRfZkJMHtEhI5RdRHxYUG4FIZHqKDpNyIuN7A1Q0_k/edit?usp=sharing"",""พิษณุโลก!I209"")"),2)</f>
        <v>2</v>
      </c>
      <c r="AP22" s="97">
        <f ca="1">IFERROR(__xludf.DUMMYFUNCTION("IMPORTRANGE(""https://docs.google.com/spreadsheets/d/1JtRfZkJMHtEhI5RdRHxYUG4FIZHqKDpNyIuN7A1Q0_k/edit?usp=sharing"",""พิษณุโลก!J209"")"),0)</f>
        <v>0</v>
      </c>
      <c r="AQ22" s="98">
        <f t="shared" ca="1" si="102"/>
        <v>0</v>
      </c>
      <c r="AR22" s="97">
        <f ca="1">IFERROR(__xludf.DUMMYFUNCTION("IMPORTRANGE(""https://docs.google.com/spreadsheets/d/1JtRfZkJMHtEhI5RdRHxYUG4FIZHqKDpNyIuN7A1Q0_k/edit?usp=sharing"",""พิษณุโลก!J211"")"),0)</f>
        <v>0</v>
      </c>
      <c r="AS22" s="97">
        <f ca="1">IFERROR(__xludf.DUMMYFUNCTION("IMPORTRANGE(""https://docs.google.com/spreadsheets/d/1JtRfZkJMHtEhI5RdRHxYUG4FIZHqKDpNyIuN7A1Q0_k/edit?usp=sharing"",""พิษณุโลก!J212"")"),0)</f>
        <v>0</v>
      </c>
      <c r="AT22" s="97">
        <f ca="1">IFERROR(__xludf.DUMMYFUNCTION("IMPORTRANGE(""https://docs.google.com/spreadsheets/d/1JtRfZkJMHtEhI5RdRHxYUG4FIZHqKDpNyIuN7A1Q0_k/edit?usp=sharing"",""พิษณุโลก!L215"")"),0)</f>
        <v>0</v>
      </c>
      <c r="AU22" s="97">
        <f ca="1">IFERROR(__xludf.DUMMYFUNCTION("IMPORTRANGE(""https://docs.google.com/spreadsheets/d/1JtRfZkJMHtEhI5RdRHxYUG4FIZHqKDpNyIuN7A1Q0_k/edit?usp=sharing"",""พิษณุโลก!N215"")"),0)</f>
        <v>0</v>
      </c>
      <c r="AV22" s="98">
        <f t="shared" ca="1" si="104"/>
        <v>0</v>
      </c>
      <c r="AW22" s="97">
        <f ca="1">IFERROR(__xludf.DUMMYFUNCTION("IMPORTRANGE(""https://docs.google.com/spreadsheets/d/1JtRfZkJMHtEhI5RdRHxYUG4FIZHqKDpNyIuN7A1Q0_k/edit?usp=sharing"",""พิษณุโลก!L216"")"),0)</f>
        <v>0</v>
      </c>
      <c r="AX22" s="97">
        <f ca="1">IFERROR(__xludf.DUMMYFUNCTION("IMPORTRANGE(""https://docs.google.com/spreadsheets/d/1JtRfZkJMHtEhI5RdRHxYUG4FIZHqKDpNyIuN7A1Q0_k/edit?usp=sharing"",""พิษณุโลก!N216"")"),0)</f>
        <v>0</v>
      </c>
      <c r="AY22" s="98">
        <f t="shared" ca="1" si="106"/>
        <v>0</v>
      </c>
      <c r="AZ22" s="97">
        <f ca="1">IFERROR(__xludf.DUMMYFUNCTION("IMPORTRANGE(""https://docs.google.com/spreadsheets/d/1JtRfZkJMHtEhI5RdRHxYUG4FIZHqKDpNyIuN7A1Q0_k/edit?usp=sharing"",""พิษณุโลก!L217"")"),0)</f>
        <v>0</v>
      </c>
      <c r="BA22" s="97">
        <f ca="1">IFERROR(__xludf.DUMMYFUNCTION("IMPORTRANGE(""https://docs.google.com/spreadsheets/d/1JtRfZkJMHtEhI5RdRHxYUG4FIZHqKDpNyIuN7A1Q0_k/edit?usp=sharing"",""พิษณุโลก!N217"")"),0)</f>
        <v>0</v>
      </c>
      <c r="BB22" s="98">
        <f t="shared" ca="1" si="108"/>
        <v>0</v>
      </c>
      <c r="BC22" s="97">
        <f ca="1">IFERROR(__xludf.DUMMYFUNCTION("IMPORTRANGE(""https://docs.google.com/spreadsheets/d/1JtRfZkJMHtEhI5RdRHxYUG4FIZHqKDpNyIuN7A1Q0_k/edit?usp=sharing"",""พิษณุโลก!I219"")"),0)</f>
        <v>0</v>
      </c>
      <c r="BD22" s="97">
        <f ca="1">IFERROR(__xludf.DUMMYFUNCTION("IMPORTRANGE(""https://docs.google.com/spreadsheets/d/1JtRfZkJMHtEhI5RdRHxYUG4FIZHqKDpNyIuN7A1Q0_k/edit?usp=sharing"",""พิษณุโลก!J219"")"),0)</f>
        <v>0</v>
      </c>
      <c r="BE22" s="98">
        <f t="shared" ca="1" si="110"/>
        <v>0</v>
      </c>
      <c r="BF22" s="97">
        <f ca="1">IFERROR(__xludf.DUMMYFUNCTION("IMPORTRANGE(""https://docs.google.com/spreadsheets/d/1JtRfZkJMHtEhI5RdRHxYUG4FIZHqKDpNyIuN7A1Q0_k/edit?usp=sharing"",""พิษณุโลก!I220"")"),0)</f>
        <v>0</v>
      </c>
      <c r="BG22" s="97">
        <f ca="1">IFERROR(__xludf.DUMMYFUNCTION("IMPORTRANGE(""https://docs.google.com/spreadsheets/d/1JtRfZkJMHtEhI5RdRHxYUG4FIZHqKDpNyIuN7A1Q0_k/edit?usp=sharing"",""พิษณุโลก!J220"")"),0)</f>
        <v>0</v>
      </c>
      <c r="BH22" s="98">
        <f t="shared" ca="1" si="112"/>
        <v>0</v>
      </c>
      <c r="BI22" s="97">
        <f ca="1">IFERROR(__xludf.DUMMYFUNCTION("IMPORTRANGE(""https://docs.google.com/spreadsheets/d/1JtRfZkJMHtEhI5RdRHxYUG4FIZHqKDpNyIuN7A1Q0_k/edit?usp=sharing"",""พิษณุโลก!L223"")"),7000)</f>
        <v>7000</v>
      </c>
      <c r="BJ22" s="97">
        <f ca="1">IFERROR(__xludf.DUMMYFUNCTION("IMPORTRANGE(""https://docs.google.com/spreadsheets/d/1JtRfZkJMHtEhI5RdRHxYUG4FIZHqKDpNyIuN7A1Q0_k/edit?usp=sharing"",""พิษณุโลก!N223"")"),0)</f>
        <v>0</v>
      </c>
      <c r="BK22" s="98">
        <f t="shared" ca="1" si="114"/>
        <v>0</v>
      </c>
      <c r="BL22" s="97">
        <f ca="1">IFERROR(__xludf.DUMMYFUNCTION("IMPORTRANGE(""https://docs.google.com/spreadsheets/d/1JtRfZkJMHtEhI5RdRHxYUG4FIZHqKDpNyIuN7A1Q0_k/edit?usp=sharing"",""พิษณุโลก!L224"")"),1500)</f>
        <v>1500</v>
      </c>
      <c r="BM22" s="97">
        <f ca="1">IFERROR(__xludf.DUMMYFUNCTION("IMPORTRANGE(""https://docs.google.com/spreadsheets/d/1JtRfZkJMHtEhI5RdRHxYUG4FIZHqKDpNyIuN7A1Q0_k/edit?usp=sharing"",""พิษณุโลก!N224"")"),0)</f>
        <v>0</v>
      </c>
      <c r="BN22" s="98">
        <f t="shared" ca="1" si="116"/>
        <v>0</v>
      </c>
      <c r="BO22" s="97">
        <f ca="1">IFERROR(__xludf.DUMMYFUNCTION("IMPORTRANGE(""https://docs.google.com/spreadsheets/d/1JtRfZkJMHtEhI5RdRHxYUG4FIZHqKDpNyIuN7A1Q0_k/edit?usp=sharing"",""พิษณุโลก!I228"")"),50000)</f>
        <v>50000</v>
      </c>
      <c r="BP22" s="97">
        <f ca="1">IFERROR(__xludf.DUMMYFUNCTION("IMPORTRANGE(""https://docs.google.com/spreadsheets/d/1JtRfZkJMHtEhI5RdRHxYUG4FIZHqKDpNyIuN7A1Q0_k/edit?usp=sharing"",""พิษณุโลก!J228"")"),0)</f>
        <v>0</v>
      </c>
      <c r="BQ22" s="98">
        <f t="shared" ca="1" si="118"/>
        <v>0</v>
      </c>
      <c r="BR22" s="97">
        <f ca="1">IFERROR(__xludf.DUMMYFUNCTION("IMPORTRANGE(""https://docs.google.com/spreadsheets/d/1JtRfZkJMHtEhI5RdRHxYUG4FIZHqKDpNyIuN7A1Q0_k/edit?usp=sharing"",""พิษณุโลก!I229"")"),50000)</f>
        <v>50000</v>
      </c>
      <c r="BS22" s="97">
        <f ca="1">IFERROR(__xludf.DUMMYFUNCTION("IMPORTRANGE(""https://docs.google.com/spreadsheets/d/1JtRfZkJMHtEhI5RdRHxYUG4FIZHqKDpNyIuN7A1Q0_k/edit?usp=sharing"",""พิษณุโลก!J229"")"),0)</f>
        <v>0</v>
      </c>
      <c r="BT22" s="98">
        <f t="shared" ca="1" si="120"/>
        <v>0</v>
      </c>
      <c r="BU22" s="97">
        <f ca="1">IFERROR(__xludf.DUMMYFUNCTION("IMPORTRANGE(""https://docs.google.com/spreadsheets/d/1JtRfZkJMHtEhI5RdRHxYUG4FIZHqKDpNyIuN7A1Q0_k/edit?usp=sharing"",""พิษณุโลก!I230"")"),0)</f>
        <v>0</v>
      </c>
      <c r="BV22" s="97">
        <f ca="1">IFERROR(__xludf.DUMMYFUNCTION("IMPORTRANGE(""https://docs.google.com/spreadsheets/d/1JtRfZkJMHtEhI5RdRHxYUG4FIZHqKDpNyIuN7A1Q0_k/edit?usp=sharing"",""พิษณุโลก!J230"")"),0)</f>
        <v>0</v>
      </c>
      <c r="BW22" s="98">
        <f t="shared" ca="1" si="122"/>
        <v>0</v>
      </c>
      <c r="BX22" s="97">
        <f ca="1">IFERROR(__xludf.DUMMYFUNCTION("IMPORTRANGE(""https://docs.google.com/spreadsheets/d/1JtRfZkJMHtEhI5RdRHxYUG4FIZHqKDpNyIuN7A1Q0_k/edit?usp=sharing"",""พิษณุโลก!L233"")"),0)</f>
        <v>0</v>
      </c>
      <c r="BY22" s="97">
        <f ca="1">IFERROR(__xludf.DUMMYFUNCTION("IMPORTRANGE(""https://docs.google.com/spreadsheets/d/1JtRfZkJMHtEhI5RdRHxYUG4FIZHqKDpNyIuN7A1Q0_k/edit?usp=sharing"",""พิษณุโลก!N233"")"),0)</f>
        <v>0</v>
      </c>
      <c r="BZ22" s="98">
        <f t="shared" ca="1" si="124"/>
        <v>0</v>
      </c>
      <c r="CA22" s="97">
        <f ca="1">IFERROR(__xludf.DUMMYFUNCTION("IMPORTRANGE(""https://docs.google.com/spreadsheets/d/1JtRfZkJMHtEhI5RdRHxYUG4FIZHqKDpNyIuN7A1Q0_k/edit?usp=sharing"",""พิษณุโลก!L234"")"),0)</f>
        <v>0</v>
      </c>
      <c r="CB22" s="97">
        <f ca="1">IFERROR(__xludf.DUMMYFUNCTION("IMPORTRANGE(""https://docs.google.com/spreadsheets/d/1JtRfZkJMHtEhI5RdRHxYUG4FIZHqKDpNyIuN7A1Q0_k/edit?usp=sharing"",""พิษณุโลก!N234"")"),0)</f>
        <v>0</v>
      </c>
      <c r="CC22" s="98">
        <f t="shared" ca="1" si="126"/>
        <v>0</v>
      </c>
      <c r="CD22" s="97">
        <f ca="1">IFERROR(__xludf.DUMMYFUNCTION("IMPORTRANGE(""https://docs.google.com/spreadsheets/d/1JtRfZkJMHtEhI5RdRHxYUG4FIZHqKDpNyIuN7A1Q0_k/edit?usp=sharing"",""พิษณุโลก!L235"")"),0)</f>
        <v>0</v>
      </c>
      <c r="CE22" s="97">
        <f ca="1">IFERROR(__xludf.DUMMYFUNCTION("IMPORTRANGE(""https://docs.google.com/spreadsheets/d/1JtRfZkJMHtEhI5RdRHxYUG4FIZHqKDpNyIuN7A1Q0_k/edit?usp=sharing"",""พิษณุโลก!N235"")"),0)</f>
        <v>0</v>
      </c>
      <c r="CF22" s="98">
        <f t="shared" ca="1" si="128"/>
        <v>0</v>
      </c>
      <c r="CG22" s="97">
        <f ca="1">IFERROR(__xludf.DUMMYFUNCTION("IMPORTRANGE(""https://docs.google.com/spreadsheets/d/1JtRfZkJMHtEhI5RdRHxYUG4FIZHqKDpNyIuN7A1Q0_k/edit?usp=sharing"",""พิษณุโลก!L236"")"),0)</f>
        <v>0</v>
      </c>
      <c r="CH22" s="97">
        <f ca="1">IFERROR(__xludf.DUMMYFUNCTION("IMPORTRANGE(""https://docs.google.com/spreadsheets/d/1JtRfZkJMHtEhI5RdRHxYUG4FIZHqKDpNyIuN7A1Q0_k/edit?usp=sharing"",""พิษณุโลก!N236"")"),0)</f>
        <v>0</v>
      </c>
      <c r="CI22" s="98">
        <f t="shared" ca="1" si="130"/>
        <v>0</v>
      </c>
      <c r="CJ22" s="97">
        <f ca="1">IFERROR(__xludf.DUMMYFUNCTION("IMPORTRANGE(""https://docs.google.com/spreadsheets/d/1JtRfZkJMHtEhI5RdRHxYUG4FIZHqKDpNyIuN7A1Q0_k/edit?usp=sharing"",""พิษณุโลก!I238"")"),0)</f>
        <v>0</v>
      </c>
      <c r="CK22" s="97">
        <f ca="1">IFERROR(__xludf.DUMMYFUNCTION("IMPORTRANGE(""https://docs.google.com/spreadsheets/d/1JtRfZkJMHtEhI5RdRHxYUG4FIZHqKDpNyIuN7A1Q0_k/edit?usp=sharing"",""พิษณุโลก!J238"")"),0)</f>
        <v>0</v>
      </c>
      <c r="CL22" s="98">
        <f t="shared" ca="1" si="132"/>
        <v>0</v>
      </c>
      <c r="CM22" s="97">
        <f ca="1">IFERROR(__xludf.DUMMYFUNCTION("IMPORTRANGE(""https://docs.google.com/spreadsheets/d/1JtRfZkJMHtEhI5RdRHxYUG4FIZHqKDpNyIuN7A1Q0_k/edit?usp=sharing"",""พิษณุโลก!J240"")"),0)</f>
        <v>0</v>
      </c>
      <c r="CN22" s="97">
        <f ca="1">IFERROR(__xludf.DUMMYFUNCTION("IMPORTRANGE(""https://docs.google.com/spreadsheets/d/1JtRfZkJMHtEhI5RdRHxYUG4FIZHqKDpNyIuN7A1Q0_k/edit?usp=sharing"",""พิษณุโลก!J241"")"),0)</f>
        <v>0</v>
      </c>
    </row>
    <row r="23" spans="1:92" ht="24" customHeight="1" x14ac:dyDescent="0.3">
      <c r="A23" s="89">
        <v>10</v>
      </c>
      <c r="B23" s="90" t="s">
        <v>49</v>
      </c>
      <c r="C23" s="174">
        <f t="shared" ca="1" si="80"/>
        <v>198500</v>
      </c>
      <c r="D23" s="175">
        <f t="shared" ca="1" si="134"/>
        <v>198500</v>
      </c>
      <c r="E23" s="176">
        <f ca="1">IFERROR(__xludf.DUMMYFUNCTION("IMPORTRANGE(""https://docs.google.com/spreadsheets/d/1-uDff_7J0KD5mKrp0Vvzr7lt3OU09vwQwhkpOPPYv2Y/edit?usp=sharing"",""งบพรบ!CV23"")"),91000)</f>
        <v>91000</v>
      </c>
      <c r="F23" s="176">
        <f ca="1">IFERROR(__xludf.DUMMYFUNCTION("IMPORTRANGE(""https://docs.google.com/spreadsheets/d/1-uDff_7J0KD5mKrp0Vvzr7lt3OU09vwQwhkpOPPYv2Y/edit?usp=sharing"",""งบพรบ!CW23"")"),107500)</f>
        <v>107500</v>
      </c>
      <c r="G23" s="176">
        <f ca="1">IFERROR(__xludf.DUMMYFUNCTION("IMPORTRANGE(""https://docs.google.com/spreadsheets/d/1-uDff_7J0KD5mKrp0Vvzr7lt3OU09vwQwhkpOPPYv2Y/edit?usp=sharing"",""งบพรบ!CX23"")"),0)</f>
        <v>0</v>
      </c>
      <c r="H23" s="176">
        <f ca="1">IFERROR(__xludf.DUMMYFUNCTION("IMPORTRANGE(""https://docs.google.com/spreadsheets/d/1-uDff_7J0KD5mKrp0Vvzr7lt3OU09vwQwhkpOPPYv2Y/edit?usp=sharing"",""งบพรบ!CZ23"")"),204200)</f>
        <v>204200</v>
      </c>
      <c r="I23" s="176">
        <f ca="1">IFERROR(__xludf.DUMMYFUNCTION("IMPORTRANGE(""https://docs.google.com/spreadsheets/d/1-uDff_7J0KD5mKrp0Vvzr7lt3OU09vwQwhkpOPPYv2Y/edit?usp=sharing"",""งบพรบ!DA23"")"),0)</f>
        <v>0</v>
      </c>
      <c r="J23" s="176">
        <f t="shared" ca="1" si="82"/>
        <v>45060</v>
      </c>
      <c r="K23" s="179">
        <f t="shared" ca="1" si="83"/>
        <v>22.700251889168765</v>
      </c>
      <c r="L23" s="176">
        <f ca="1">IFERROR(__xludf.DUMMYFUNCTION("IMPORTRANGE(""https://docs.google.com/spreadsheets/d/1-uDff_7J0KD5mKrp0Vvzr7lt3OU09vwQwhkpOPPYv2Y/edit?usp=sharing"",""งบพรบ!DB23"")"),45060)</f>
        <v>45060</v>
      </c>
      <c r="M23" s="87">
        <f t="shared" ca="1" si="84"/>
        <v>22.700251889168765</v>
      </c>
      <c r="N23" s="87">
        <f t="shared" ca="1" si="85"/>
        <v>22.066601371204701</v>
      </c>
      <c r="O23" s="86">
        <f ca="1">IFERROR(__xludf.DUMMYFUNCTION("IMPORTRANGE(""https://docs.google.com/spreadsheets/d/1-uDff_7J0KD5mKrp0Vvzr7lt3OU09vwQwhkpOPPYv2Y/edit?usp=sharing"",""งบพรบ!DC23"")"),0)</f>
        <v>0</v>
      </c>
      <c r="P23" s="86">
        <f t="shared" ca="1" si="86"/>
        <v>0</v>
      </c>
      <c r="Q23" s="87">
        <f t="shared" ca="1" si="87"/>
        <v>0</v>
      </c>
      <c r="R23" s="241">
        <f ca="1">IFERROR(__xludf.DUMMYFUNCTION("IMPORTRANGE(""https://docs.google.com/spreadsheets/d/1xlcVZWUNn6SuWm0c307h32SiGkd9BaeQWlAktfD3KO8/edit?usp=sharing"",""เพชรบูรณ์!Q186"")"),127400)</f>
        <v>127400</v>
      </c>
      <c r="S23" s="242">
        <f ca="1">IFERROR(__xludf.DUMMYFUNCTION("IMPORTRANGE(""https://docs.google.com/spreadsheets/d/1xlcVZWUNn6SuWm0c307h32SiGkd9BaeQWlAktfD3KO8/edit?usp=sharing"",""เพชรบูรณ์!R186"")"),0)</f>
        <v>0</v>
      </c>
      <c r="T23" s="242">
        <f ca="1">IFERROR(__xludf.DUMMYFUNCTION("IMPORTRANGE(""https://docs.google.com/spreadsheets/d/1xlcVZWUNn6SuWm0c307h32SiGkd9BaeQWlAktfD3KO8/edit?usp=sharing"",""เพชรบูรณ์!S186"")"),0)</f>
        <v>0</v>
      </c>
      <c r="U23" s="243">
        <f t="shared" ca="1" si="89"/>
        <v>0</v>
      </c>
      <c r="V23" s="243">
        <f t="shared" ca="1" si="90"/>
        <v>0</v>
      </c>
      <c r="W23" s="97">
        <f ca="1">IFERROR(__xludf.DUMMYFUNCTION("IMPORTRANGE(""https://docs.google.com/spreadsheets/d/1xlcVZWUNn6SuWm0c307h32SiGkd9BaeQWlAktfD3KO8/edit?usp=sharing"",""เพชรบูรณ์!L196"")"),6000)</f>
        <v>6000</v>
      </c>
      <c r="X23" s="97">
        <f ca="1">IFERROR(__xludf.DUMMYFUNCTION("IMPORTRANGE(""https://docs.google.com/spreadsheets/d/1xlcVZWUNn6SuWm0c307h32SiGkd9BaeQWlAktfD3KO8/edit?usp=sharing"",""เพชรบูรณ์!N196"")"),360)</f>
        <v>360</v>
      </c>
      <c r="Y23" s="98">
        <f t="shared" ca="1" si="92"/>
        <v>6</v>
      </c>
      <c r="Z23" s="97">
        <f ca="1">IFERROR(__xludf.DUMMYFUNCTION("IMPORTRANGE(""https://docs.google.com/spreadsheets/d/1xlcVZWUNn6SuWm0c307h32SiGkd9BaeQWlAktfD3KO8/edit?usp=sharing"",""เพชรบูรณ์!I198"")"),4)</f>
        <v>4</v>
      </c>
      <c r="AA23" s="97">
        <f ca="1">IFERROR(__xludf.DUMMYFUNCTION("IMPORTRANGE(""https://docs.google.com/spreadsheets/d/1xlcVZWUNn6SuWm0c307h32SiGkd9BaeQWlAktfD3KO8/edit?usp=sharing"",""เพชรบูรณ์!J198"")"),1)</f>
        <v>1</v>
      </c>
      <c r="AB23" s="98">
        <f t="shared" ca="1" si="94"/>
        <v>25</v>
      </c>
      <c r="AC23" s="97">
        <f ca="1">IFERROR(__xludf.DUMMYFUNCTION("IMPORTRANGE(""https://docs.google.com/spreadsheets/d/1xlcVZWUNn6SuWm0c307h32SiGkd9BaeQWlAktfD3KO8/edit?usp=sharing"",""เพชรบูรณ์!J199"")"),1)</f>
        <v>1</v>
      </c>
      <c r="AD23" s="97">
        <f ca="1">IFERROR(__xludf.DUMMYFUNCTION("IMPORTRANGE(""https://docs.google.com/spreadsheets/d/1xlcVZWUNn6SuWm0c307h32SiGkd9BaeQWlAktfD3KO8/edit?usp=sharing"",""เพชรบูรณ์!J200"")"),1)</f>
        <v>1</v>
      </c>
      <c r="AE23" s="97">
        <f ca="1">IFERROR(__xludf.DUMMYFUNCTION("IMPORTRANGE(""https://docs.google.com/spreadsheets/d/1xlcVZWUNn6SuWm0c307h32SiGkd9BaeQWlAktfD3KO8/edit?usp=sharing"",""เพชรบูรณ์!J201"")"),0)</f>
        <v>0</v>
      </c>
      <c r="AF23" s="97">
        <f ca="1">IFERROR(__xludf.DUMMYFUNCTION("IMPORTRANGE(""https://docs.google.com/spreadsheets/d/1xlcVZWUNn6SuWm0c307h32SiGkd9BaeQWlAktfD3KO8/edit?usp=sharing"",""เพชรบูรณ์!L204"")"),4000)</f>
        <v>4000</v>
      </c>
      <c r="AG23" s="97">
        <f ca="1">IFERROR(__xludf.DUMMYFUNCTION("IMPORTRANGE(""https://docs.google.com/spreadsheets/d/1xlcVZWUNn6SuWm0c307h32SiGkd9BaeQWlAktfD3KO8/edit?usp=sharing"",""เพชรบูรณ์!N204"")"),0)</f>
        <v>0</v>
      </c>
      <c r="AH23" s="98">
        <f t="shared" ca="1" si="96"/>
        <v>0</v>
      </c>
      <c r="AI23" s="97">
        <f ca="1">IFERROR(__xludf.DUMMYFUNCTION("IMPORTRANGE(""https://docs.google.com/spreadsheets/d/1xlcVZWUNn6SuWm0c307h32SiGkd9BaeQWlAktfD3KO8/edit?usp=sharing"",""เพชรบูรณ์!L206"")"),32000)</f>
        <v>32000</v>
      </c>
      <c r="AJ23" s="97">
        <f ca="1">IFERROR(__xludf.DUMMYFUNCTION("IMPORTRANGE(""https://docs.google.com/spreadsheets/d/1xlcVZWUNn6SuWm0c307h32SiGkd9BaeQWlAktfD3KO8/edit?usp=sharing"",""เพชรบูรณ์!N206"")"),0)</f>
        <v>0</v>
      </c>
      <c r="AK23" s="98">
        <f t="shared" ca="1" si="98"/>
        <v>0</v>
      </c>
      <c r="AL23" s="97">
        <f ca="1">IFERROR(__xludf.DUMMYFUNCTION("IMPORTRANGE(""https://docs.google.com/spreadsheets/d/1xlcVZWUNn6SuWm0c307h32SiGkd9BaeQWlAktfD3KO8/edit?usp=sharing"",""เพชรบูรณ์!L207"")"),21000)</f>
        <v>21000</v>
      </c>
      <c r="AM23" s="97">
        <f ca="1">IFERROR(__xludf.DUMMYFUNCTION("IMPORTRANGE(""https://docs.google.com/spreadsheets/d/1xlcVZWUNn6SuWm0c307h32SiGkd9BaeQWlAktfD3KO8/edit?usp=sharing"",""เพชรบูรณ์!N207"")"),0)</f>
        <v>0</v>
      </c>
      <c r="AN23" s="98">
        <f t="shared" ca="1" si="100"/>
        <v>0</v>
      </c>
      <c r="AO23" s="97">
        <f ca="1">IFERROR(__xludf.DUMMYFUNCTION("IMPORTRANGE(""https://docs.google.com/spreadsheets/d/1xlcVZWUNn6SuWm0c307h32SiGkd9BaeQWlAktfD3KO8/edit?usp=sharing"",""เพชรบูรณ์!I209"")"),4)</f>
        <v>4</v>
      </c>
      <c r="AP23" s="97">
        <f ca="1">IFERROR(__xludf.DUMMYFUNCTION("IMPORTRANGE(""https://docs.google.com/spreadsheets/d/1xlcVZWUNn6SuWm0c307h32SiGkd9BaeQWlAktfD3KO8/edit?usp=sharing"",""เพชรบูรณ์!J209"")"),0)</f>
        <v>0</v>
      </c>
      <c r="AQ23" s="98">
        <f t="shared" ca="1" si="102"/>
        <v>0</v>
      </c>
      <c r="AR23" s="97">
        <f ca="1">IFERROR(__xludf.DUMMYFUNCTION("IMPORTRANGE(""https://docs.google.com/spreadsheets/d/1xlcVZWUNn6SuWm0c307h32SiGkd9BaeQWlAktfD3KO8/edit?usp=sharing"",""เพชรบูรณ์!J211"")"),0)</f>
        <v>0</v>
      </c>
      <c r="AS23" s="97">
        <f ca="1">IFERROR(__xludf.DUMMYFUNCTION("IMPORTRANGE(""https://docs.google.com/spreadsheets/d/1xlcVZWUNn6SuWm0c307h32SiGkd9BaeQWlAktfD3KO8/edit?usp=sharing"",""เพชรบูรณ์!J212"")"),0)</f>
        <v>0</v>
      </c>
      <c r="AT23" s="97">
        <f ca="1">IFERROR(__xludf.DUMMYFUNCTION("IMPORTRANGE(""https://docs.google.com/spreadsheets/d/1xlcVZWUNn6SuWm0c307h32SiGkd9BaeQWlAktfD3KO8/edit?usp=sharing"",""เพชรบูรณ์!L215"")"),2000)</f>
        <v>2000</v>
      </c>
      <c r="AU23" s="97">
        <f ca="1">IFERROR(__xludf.DUMMYFUNCTION("IMPORTRANGE(""https://docs.google.com/spreadsheets/d/1xlcVZWUNn6SuWm0c307h32SiGkd9BaeQWlAktfD3KO8/edit?usp=sharing"",""เพชรบูรณ์!N215"")"),0)</f>
        <v>0</v>
      </c>
      <c r="AV23" s="98">
        <f t="shared" ca="1" si="104"/>
        <v>0</v>
      </c>
      <c r="AW23" s="97">
        <f ca="1">IFERROR(__xludf.DUMMYFUNCTION("IMPORTRANGE(""https://docs.google.com/spreadsheets/d/1xlcVZWUNn6SuWm0c307h32SiGkd9BaeQWlAktfD3KO8/edit?usp=sharing"",""เพชรบูรณ์!L216"")"),10000)</f>
        <v>10000</v>
      </c>
      <c r="AX23" s="97">
        <f ca="1">IFERROR(__xludf.DUMMYFUNCTION("IMPORTRANGE(""https://docs.google.com/spreadsheets/d/1xlcVZWUNn6SuWm0c307h32SiGkd9BaeQWlAktfD3KO8/edit?usp=sharing"",""เพชรบูรณ์!N216"")"),0)</f>
        <v>0</v>
      </c>
      <c r="AY23" s="98">
        <f t="shared" ca="1" si="106"/>
        <v>0</v>
      </c>
      <c r="AZ23" s="97">
        <f ca="1">IFERROR(__xludf.DUMMYFUNCTION("IMPORTRANGE(""https://docs.google.com/spreadsheets/d/1xlcVZWUNn6SuWm0c307h32SiGkd9BaeQWlAktfD3KO8/edit?usp=sharing"",""เพชรบูรณ์!L217"")"),16000)</f>
        <v>16000</v>
      </c>
      <c r="BA23" s="97">
        <f ca="1">IFERROR(__xludf.DUMMYFUNCTION("IMPORTRANGE(""https://docs.google.com/spreadsheets/d/1xlcVZWUNn6SuWm0c307h32SiGkd9BaeQWlAktfD3KO8/edit?usp=sharing"",""เพชรบูรณ์!N217"")"),0)</f>
        <v>0</v>
      </c>
      <c r="BB23" s="98">
        <f t="shared" ca="1" si="108"/>
        <v>0</v>
      </c>
      <c r="BC23" s="97">
        <f ca="1">IFERROR(__xludf.DUMMYFUNCTION("IMPORTRANGE(""https://docs.google.com/spreadsheets/d/1xlcVZWUNn6SuWm0c307h32SiGkd9BaeQWlAktfD3KO8/edit?usp=sharing"",""เพชรบูรณ์!I219"")"),2)</f>
        <v>2</v>
      </c>
      <c r="BD23" s="97">
        <f ca="1">IFERROR(__xludf.DUMMYFUNCTION("IMPORTRANGE(""https://docs.google.com/spreadsheets/d/1xlcVZWUNn6SuWm0c307h32SiGkd9BaeQWlAktfD3KO8/edit?usp=sharing"",""เพชรบูรณ์!J219"")"),0)</f>
        <v>0</v>
      </c>
      <c r="BE23" s="98">
        <f t="shared" ca="1" si="110"/>
        <v>0</v>
      </c>
      <c r="BF23" s="97">
        <f ca="1">IFERROR(__xludf.DUMMYFUNCTION("IMPORTRANGE(""https://docs.google.com/spreadsheets/d/1xlcVZWUNn6SuWm0c307h32SiGkd9BaeQWlAktfD3KO8/edit?usp=sharing"",""เพชรบูรณ์!I220"")"),2)</f>
        <v>2</v>
      </c>
      <c r="BG23" s="97">
        <f ca="1">IFERROR(__xludf.DUMMYFUNCTION("IMPORTRANGE(""https://docs.google.com/spreadsheets/d/1xlcVZWUNn6SuWm0c307h32SiGkd9BaeQWlAktfD3KO8/edit?usp=sharing"",""เพชรบูรณ์!J220"")"),0)</f>
        <v>0</v>
      </c>
      <c r="BH23" s="98">
        <f t="shared" ca="1" si="112"/>
        <v>0</v>
      </c>
      <c r="BI23" s="97">
        <f ca="1">IFERROR(__xludf.DUMMYFUNCTION("IMPORTRANGE(""https://docs.google.com/spreadsheets/d/1xlcVZWUNn6SuWm0c307h32SiGkd9BaeQWlAktfD3KO8/edit?usp=sharing"",""เพชรบูรณ์!L223"")"),15000)</f>
        <v>15000</v>
      </c>
      <c r="BJ23" s="97">
        <f ca="1">IFERROR(__xludf.DUMMYFUNCTION("IMPORTRANGE(""https://docs.google.com/spreadsheets/d/1xlcVZWUNn6SuWm0c307h32SiGkd9BaeQWlAktfD3KO8/edit?usp=sharing"",""เพชรบูรณ์!N223"")"),0)</f>
        <v>0</v>
      </c>
      <c r="BK23" s="98">
        <f t="shared" ca="1" si="114"/>
        <v>0</v>
      </c>
      <c r="BL23" s="97">
        <f ca="1">IFERROR(__xludf.DUMMYFUNCTION("IMPORTRANGE(""https://docs.google.com/spreadsheets/d/1xlcVZWUNn6SuWm0c307h32SiGkd9BaeQWlAktfD3KO8/edit?usp=sharing"",""เพชรบูรณ์!L224"")"),1500)</f>
        <v>1500</v>
      </c>
      <c r="BM23" s="97">
        <f ca="1">IFERROR(__xludf.DUMMYFUNCTION("IMPORTRANGE(""https://docs.google.com/spreadsheets/d/1xlcVZWUNn6SuWm0c307h32SiGkd9BaeQWlAktfD3KO8/edit?usp=sharing"",""เพชรบูรณ์!N224"")"),0)</f>
        <v>0</v>
      </c>
      <c r="BN23" s="98">
        <f t="shared" ca="1" si="116"/>
        <v>0</v>
      </c>
      <c r="BO23" s="97">
        <f ca="1">IFERROR(__xludf.DUMMYFUNCTION("IMPORTRANGE(""https://docs.google.com/spreadsheets/d/1xlcVZWUNn6SuWm0c307h32SiGkd9BaeQWlAktfD3KO8/edit?usp=sharing"",""เพชรบูรณ์!I228"")"),128000)</f>
        <v>128000</v>
      </c>
      <c r="BP23" s="97">
        <f ca="1">IFERROR(__xludf.DUMMYFUNCTION("IMPORTRANGE(""https://docs.google.com/spreadsheets/d/1xlcVZWUNn6SuWm0c307h32SiGkd9BaeQWlAktfD3KO8/edit?usp=sharing"",""เพชรบูรณ์!J228"")"),0)</f>
        <v>0</v>
      </c>
      <c r="BQ23" s="98">
        <f t="shared" ca="1" si="118"/>
        <v>0</v>
      </c>
      <c r="BR23" s="97">
        <f ca="1">IFERROR(__xludf.DUMMYFUNCTION("IMPORTRANGE(""https://docs.google.com/spreadsheets/d/1xlcVZWUNn6SuWm0c307h32SiGkd9BaeQWlAktfD3KO8/edit?usp=sharing"",""เพชรบูรณ์!I229"")"),128000)</f>
        <v>128000</v>
      </c>
      <c r="BS23" s="97">
        <f ca="1">IFERROR(__xludf.DUMMYFUNCTION("IMPORTRANGE(""https://docs.google.com/spreadsheets/d/1xlcVZWUNn6SuWm0c307h32SiGkd9BaeQWlAktfD3KO8/edit?usp=sharing"",""เพชรบูรณ์!J229"")"),0)</f>
        <v>0</v>
      </c>
      <c r="BT23" s="98">
        <f t="shared" ca="1" si="120"/>
        <v>0</v>
      </c>
      <c r="BU23" s="97">
        <f ca="1">IFERROR(__xludf.DUMMYFUNCTION("IMPORTRANGE(""https://docs.google.com/spreadsheets/d/1xlcVZWUNn6SuWm0c307h32SiGkd9BaeQWlAktfD3KO8/edit?usp=sharing"",""เพชรบูรณ์!I230"")"),0)</f>
        <v>0</v>
      </c>
      <c r="BV23" s="97">
        <f ca="1">IFERROR(__xludf.DUMMYFUNCTION("IMPORTRANGE(""https://docs.google.com/spreadsheets/d/1xlcVZWUNn6SuWm0c307h32SiGkd9BaeQWlAktfD3KO8/edit?usp=sharing"",""เพชรบูรณ์!J230"")"),0)</f>
        <v>0</v>
      </c>
      <c r="BW23" s="98">
        <f t="shared" ca="1" si="122"/>
        <v>0</v>
      </c>
      <c r="BX23" s="97">
        <f ca="1">IFERROR(__xludf.DUMMYFUNCTION("IMPORTRANGE(""https://docs.google.com/spreadsheets/d/1xlcVZWUNn6SuWm0c307h32SiGkd9BaeQWlAktfD3KO8/edit?usp=sharing"",""เพชรบูรณ์!L233"")"),0)</f>
        <v>0</v>
      </c>
      <c r="BY23" s="97">
        <f ca="1">IFERROR(__xludf.DUMMYFUNCTION("IMPORTRANGE(""https://docs.google.com/spreadsheets/d/1xlcVZWUNn6SuWm0c307h32SiGkd9BaeQWlAktfD3KO8/edit?usp=sharing"",""เพชรบูรณ์!N233"")"),0)</f>
        <v>0</v>
      </c>
      <c r="BZ23" s="98">
        <f t="shared" ca="1" si="124"/>
        <v>0</v>
      </c>
      <c r="CA23" s="97">
        <f ca="1">IFERROR(__xludf.DUMMYFUNCTION("IMPORTRANGE(""https://docs.google.com/spreadsheets/d/1xlcVZWUNn6SuWm0c307h32SiGkd9BaeQWlAktfD3KO8/edit?usp=sharing"",""เพชรบูรณ์!L234"")"),0)</f>
        <v>0</v>
      </c>
      <c r="CB23" s="97">
        <f ca="1">IFERROR(__xludf.DUMMYFUNCTION("IMPORTRANGE(""https://docs.google.com/spreadsheets/d/1xlcVZWUNn6SuWm0c307h32SiGkd9BaeQWlAktfD3KO8/edit?usp=sharing"",""เพชรบูรณ์!N234"")"),0)</f>
        <v>0</v>
      </c>
      <c r="CC23" s="98">
        <f t="shared" ca="1" si="126"/>
        <v>0</v>
      </c>
      <c r="CD23" s="97">
        <f ca="1">IFERROR(__xludf.DUMMYFUNCTION("IMPORTRANGE(""https://docs.google.com/spreadsheets/d/1xlcVZWUNn6SuWm0c307h32SiGkd9BaeQWlAktfD3KO8/edit?usp=sharing"",""เพชรบูรณ์!L235"")"),0)</f>
        <v>0</v>
      </c>
      <c r="CE23" s="97">
        <f ca="1">IFERROR(__xludf.DUMMYFUNCTION("IMPORTRANGE(""https://docs.google.com/spreadsheets/d/1xlcVZWUNn6SuWm0c307h32SiGkd9BaeQWlAktfD3KO8/edit?usp=sharing"",""เพชรบูรณ์!N235"")"),0)</f>
        <v>0</v>
      </c>
      <c r="CF23" s="98">
        <f t="shared" ca="1" si="128"/>
        <v>0</v>
      </c>
      <c r="CG23" s="97">
        <f ca="1">IFERROR(__xludf.DUMMYFUNCTION("IMPORTRANGE(""https://docs.google.com/spreadsheets/d/1xlcVZWUNn6SuWm0c307h32SiGkd9BaeQWlAktfD3KO8/edit?usp=sharing"",""เพชรบูรณ์!L236"")"),0)</f>
        <v>0</v>
      </c>
      <c r="CH23" s="97">
        <f ca="1">IFERROR(__xludf.DUMMYFUNCTION("IMPORTRANGE(""https://docs.google.com/spreadsheets/d/1xlcVZWUNn6SuWm0c307h32SiGkd9BaeQWlAktfD3KO8/edit?usp=sharing"",""เพชรบูรณ์!N236"")"),0)</f>
        <v>0</v>
      </c>
      <c r="CI23" s="98">
        <f t="shared" ca="1" si="130"/>
        <v>0</v>
      </c>
      <c r="CJ23" s="97">
        <f ca="1">IFERROR(__xludf.DUMMYFUNCTION("IMPORTRANGE(""https://docs.google.com/spreadsheets/d/1xlcVZWUNn6SuWm0c307h32SiGkd9BaeQWlAktfD3KO8/edit?usp=sharing"",""เพชรบูรณ์!I238"")"),0)</f>
        <v>0</v>
      </c>
      <c r="CK23" s="97">
        <f ca="1">IFERROR(__xludf.DUMMYFUNCTION("IMPORTRANGE(""https://docs.google.com/spreadsheets/d/1xlcVZWUNn6SuWm0c307h32SiGkd9BaeQWlAktfD3KO8/edit?usp=sharing"",""เพชรบูรณ์!J238"")"),0)</f>
        <v>0</v>
      </c>
      <c r="CL23" s="98">
        <f t="shared" ca="1" si="132"/>
        <v>0</v>
      </c>
      <c r="CM23" s="97">
        <f ca="1">IFERROR(__xludf.DUMMYFUNCTION("IMPORTRANGE(""https://docs.google.com/spreadsheets/d/1xlcVZWUNn6SuWm0c307h32SiGkd9BaeQWlAktfD3KO8/edit?usp=sharing"",""เพชรบูรณ์!J240"")"),0)</f>
        <v>0</v>
      </c>
      <c r="CN23" s="97">
        <f ca="1">IFERROR(__xludf.DUMMYFUNCTION("IMPORTRANGE(""https://docs.google.com/spreadsheets/d/1xlcVZWUNn6SuWm0c307h32SiGkd9BaeQWlAktfD3KO8/edit?usp=sharing"",""เพชรบูรณ์!J241"")"),0)</f>
        <v>0</v>
      </c>
    </row>
    <row r="24" spans="1:92" ht="24" customHeight="1" x14ac:dyDescent="0.3">
      <c r="A24" s="89">
        <v>11</v>
      </c>
      <c r="B24" s="90" t="s">
        <v>50</v>
      </c>
      <c r="C24" s="174">
        <f t="shared" ca="1" si="80"/>
        <v>140500</v>
      </c>
      <c r="D24" s="175">
        <f t="shared" ca="1" si="134"/>
        <v>140500</v>
      </c>
      <c r="E24" s="176">
        <f ca="1">IFERROR(__xludf.DUMMYFUNCTION("IMPORTRANGE(""https://docs.google.com/spreadsheets/d/1-uDff_7J0KD5mKrp0Vvzr7lt3OU09vwQwhkpOPPYv2Y/edit?usp=sharing"",""งบพรบ!CV24"")"),91000)</f>
        <v>91000</v>
      </c>
      <c r="F24" s="176">
        <f ca="1">IFERROR(__xludf.DUMMYFUNCTION("IMPORTRANGE(""https://docs.google.com/spreadsheets/d/1-uDff_7J0KD5mKrp0Vvzr7lt3OU09vwQwhkpOPPYv2Y/edit?usp=sharing"",""งบพรบ!CW24"")"),49500)</f>
        <v>49500</v>
      </c>
      <c r="G24" s="176">
        <f ca="1">IFERROR(__xludf.DUMMYFUNCTION("IMPORTRANGE(""https://docs.google.com/spreadsheets/d/1-uDff_7J0KD5mKrp0Vvzr7lt3OU09vwQwhkpOPPYv2Y/edit?usp=sharing"",""งบพรบ!CX24"")"),0)</f>
        <v>0</v>
      </c>
      <c r="H24" s="176">
        <f ca="1">IFERROR(__xludf.DUMMYFUNCTION("IMPORTRANGE(""https://docs.google.com/spreadsheets/d/1-uDff_7J0KD5mKrp0Vvzr7lt3OU09vwQwhkpOPPYv2Y/edit?usp=sharing"",""งบพรบ!CZ24"")"),140500)</f>
        <v>140500</v>
      </c>
      <c r="I24" s="176">
        <f ca="1">IFERROR(__xludf.DUMMYFUNCTION("IMPORTRANGE(""https://docs.google.com/spreadsheets/d/1-uDff_7J0KD5mKrp0Vvzr7lt3OU09vwQwhkpOPPYv2Y/edit?usp=sharing"",""งบพรบ!DA24"")"),0)</f>
        <v>0</v>
      </c>
      <c r="J24" s="176">
        <f t="shared" ca="1" si="82"/>
        <v>45134</v>
      </c>
      <c r="K24" s="179">
        <f t="shared" ca="1" si="83"/>
        <v>32.123843416370107</v>
      </c>
      <c r="L24" s="176">
        <f ca="1">IFERROR(__xludf.DUMMYFUNCTION("IMPORTRANGE(""https://docs.google.com/spreadsheets/d/1-uDff_7J0KD5mKrp0Vvzr7lt3OU09vwQwhkpOPPYv2Y/edit?usp=sharing"",""งบพรบ!DB24"")"),45134)</f>
        <v>45134</v>
      </c>
      <c r="M24" s="87">
        <f t="shared" ca="1" si="84"/>
        <v>32.123843416370107</v>
      </c>
      <c r="N24" s="87">
        <f t="shared" ca="1" si="85"/>
        <v>32.123843416370107</v>
      </c>
      <c r="O24" s="86">
        <f ca="1">IFERROR(__xludf.DUMMYFUNCTION("IMPORTRANGE(""https://docs.google.com/spreadsheets/d/1-uDff_7J0KD5mKrp0Vvzr7lt3OU09vwQwhkpOPPYv2Y/edit?usp=sharing"",""งบพรบ!DC24"")"),0)</f>
        <v>0</v>
      </c>
      <c r="P24" s="86">
        <f t="shared" ca="1" si="86"/>
        <v>0</v>
      </c>
      <c r="Q24" s="87">
        <f t="shared" ca="1" si="87"/>
        <v>0</v>
      </c>
      <c r="R24" s="241">
        <f ca="1">IFERROR(__xludf.DUMMYFUNCTION("IMPORTRANGE(""https://docs.google.com/spreadsheets/d/1lOVebEIsI9qjGXl6EX66luk7wiuP2tBaryw-wKvv4e0/edit?usp=sharing"",""แพร่!Q186"")"),28000)</f>
        <v>28000</v>
      </c>
      <c r="S24" s="242">
        <f ca="1">IFERROR(__xludf.DUMMYFUNCTION("IMPORTRANGE(""https://docs.google.com/spreadsheets/d/1lOVebEIsI9qjGXl6EX66luk7wiuP2tBaryw-wKvv4e0/edit?usp=sharing"",""แพร่!R186"")"),0)</f>
        <v>0</v>
      </c>
      <c r="T24" s="242">
        <f ca="1">IFERROR(__xludf.DUMMYFUNCTION("IMPORTRANGE(""https://docs.google.com/spreadsheets/d/1lOVebEIsI9qjGXl6EX66luk7wiuP2tBaryw-wKvv4e0/edit?usp=sharing"",""แพร่!S186"")"),0)</f>
        <v>0</v>
      </c>
      <c r="U24" s="243">
        <f t="shared" ca="1" si="89"/>
        <v>0</v>
      </c>
      <c r="V24" s="243">
        <f t="shared" ca="1" si="90"/>
        <v>0</v>
      </c>
      <c r="W24" s="97">
        <f ca="1">IFERROR(__xludf.DUMMYFUNCTION("IMPORTRANGE(""https://docs.google.com/spreadsheets/d/1lOVebEIsI9qjGXl6EX66luk7wiuP2tBaryw-wKvv4e0/edit?usp=sharing"",""แพร่!L196"")"),6000)</f>
        <v>6000</v>
      </c>
      <c r="X24" s="97">
        <f ca="1">IFERROR(__xludf.DUMMYFUNCTION("IMPORTRANGE(""https://docs.google.com/spreadsheets/d/1lOVebEIsI9qjGXl6EX66luk7wiuP2tBaryw-wKvv4e0/edit?usp=sharing"",""แพร่!N196"")"),0)</f>
        <v>0</v>
      </c>
      <c r="Y24" s="98">
        <f t="shared" ca="1" si="92"/>
        <v>0</v>
      </c>
      <c r="Z24" s="97">
        <f ca="1">IFERROR(__xludf.DUMMYFUNCTION("IMPORTRANGE(""https://docs.google.com/spreadsheets/d/1lOVebEIsI9qjGXl6EX66luk7wiuP2tBaryw-wKvv4e0/edit?usp=sharing"",""แพร่!I198"")"),4)</f>
        <v>4</v>
      </c>
      <c r="AA24" s="97">
        <f ca="1">IFERROR(__xludf.DUMMYFUNCTION("IMPORTRANGE(""https://docs.google.com/spreadsheets/d/1lOVebEIsI9qjGXl6EX66luk7wiuP2tBaryw-wKvv4e0/edit?usp=sharing"",""แพร่!J198"")"),1)</f>
        <v>1</v>
      </c>
      <c r="AB24" s="98">
        <f t="shared" ca="1" si="94"/>
        <v>25</v>
      </c>
      <c r="AC24" s="97">
        <f ca="1">IFERROR(__xludf.DUMMYFUNCTION("IMPORTRANGE(""https://docs.google.com/spreadsheets/d/1lOVebEIsI9qjGXl6EX66luk7wiuP2tBaryw-wKvv4e0/edit?usp=sharing"",""แพร่!J199"")"),30)</f>
        <v>30</v>
      </c>
      <c r="AD24" s="97">
        <f ca="1">IFERROR(__xludf.DUMMYFUNCTION("IMPORTRANGE(""https://docs.google.com/spreadsheets/d/1lOVebEIsI9qjGXl6EX66luk7wiuP2tBaryw-wKvv4e0/edit?usp=sharing"",""แพร่!J200"")"),30)</f>
        <v>30</v>
      </c>
      <c r="AE24" s="97">
        <f ca="1">IFERROR(__xludf.DUMMYFUNCTION("IMPORTRANGE(""https://docs.google.com/spreadsheets/d/1lOVebEIsI9qjGXl6EX66luk7wiuP2tBaryw-wKvv4e0/edit?usp=sharing"",""แพร่!J201"")"),0)</f>
        <v>0</v>
      </c>
      <c r="AF24" s="97">
        <f ca="1">IFERROR(__xludf.DUMMYFUNCTION("IMPORTRANGE(""https://docs.google.com/spreadsheets/d/1lOVebEIsI9qjGXl6EX66luk7wiuP2tBaryw-wKvv4e0/edit?usp=sharing"",""แพร่!L204"")"),2000)</f>
        <v>2000</v>
      </c>
      <c r="AG24" s="97">
        <f ca="1">IFERROR(__xludf.DUMMYFUNCTION("IMPORTRANGE(""https://docs.google.com/spreadsheets/d/1lOVebEIsI9qjGXl6EX66luk7wiuP2tBaryw-wKvv4e0/edit?usp=sharing"",""แพร่!N204"")"),0)</f>
        <v>0</v>
      </c>
      <c r="AH24" s="98">
        <f t="shared" ca="1" si="96"/>
        <v>0</v>
      </c>
      <c r="AI24" s="97">
        <f ca="1">IFERROR(__xludf.DUMMYFUNCTION("IMPORTRANGE(""https://docs.google.com/spreadsheets/d/1lOVebEIsI9qjGXl6EX66luk7wiuP2tBaryw-wKvv4e0/edit?usp=sharing"",""แพร่!L206"")"),16000)</f>
        <v>16000</v>
      </c>
      <c r="AJ24" s="97">
        <f ca="1">IFERROR(__xludf.DUMMYFUNCTION("IMPORTRANGE(""https://docs.google.com/spreadsheets/d/1lOVebEIsI9qjGXl6EX66luk7wiuP2tBaryw-wKvv4e0/edit?usp=sharing"",""แพร่!N206"")"),0)</f>
        <v>0</v>
      </c>
      <c r="AK24" s="98">
        <f t="shared" ca="1" si="98"/>
        <v>0</v>
      </c>
      <c r="AL24" s="97">
        <f ca="1">IFERROR(__xludf.DUMMYFUNCTION("IMPORTRANGE(""https://docs.google.com/spreadsheets/d/1lOVebEIsI9qjGXl6EX66luk7wiuP2tBaryw-wKvv4e0/edit?usp=sharing"",""แพร่!L207"")"),13000)</f>
        <v>13000</v>
      </c>
      <c r="AM24" s="97">
        <f ca="1">IFERROR(__xludf.DUMMYFUNCTION("IMPORTRANGE(""https://docs.google.com/spreadsheets/d/1lOVebEIsI9qjGXl6EX66luk7wiuP2tBaryw-wKvv4e0/edit?usp=sharing"",""แพร่!N207"")"),0)</f>
        <v>0</v>
      </c>
      <c r="AN24" s="98">
        <f t="shared" ca="1" si="100"/>
        <v>0</v>
      </c>
      <c r="AO24" s="97">
        <f ca="1">IFERROR(__xludf.DUMMYFUNCTION("IMPORTRANGE(""https://docs.google.com/spreadsheets/d/1lOVebEIsI9qjGXl6EX66luk7wiuP2tBaryw-wKvv4e0/edit?usp=sharing"",""แพร่!I209"")"),2)</f>
        <v>2</v>
      </c>
      <c r="AP24" s="97">
        <f ca="1">IFERROR(__xludf.DUMMYFUNCTION("IMPORTRANGE(""https://docs.google.com/spreadsheets/d/1lOVebEIsI9qjGXl6EX66luk7wiuP2tBaryw-wKvv4e0/edit?usp=sharing"",""แพร่!J209"")"),0)</f>
        <v>0</v>
      </c>
      <c r="AQ24" s="98">
        <f t="shared" ca="1" si="102"/>
        <v>0</v>
      </c>
      <c r="AR24" s="97">
        <f ca="1">IFERROR(__xludf.DUMMYFUNCTION("IMPORTRANGE(""https://docs.google.com/spreadsheets/d/1lOVebEIsI9qjGXl6EX66luk7wiuP2tBaryw-wKvv4e0/edit?usp=sharing"",""แพร่!J211"")"),0)</f>
        <v>0</v>
      </c>
      <c r="AS24" s="97">
        <f ca="1">IFERROR(__xludf.DUMMYFUNCTION("IMPORTRANGE(""https://docs.google.com/spreadsheets/d/1lOVebEIsI9qjGXl6EX66luk7wiuP2tBaryw-wKvv4e0/edit?usp=sharing"",""แพร่!J212"")"),0)</f>
        <v>0</v>
      </c>
      <c r="AT24" s="97">
        <f ca="1">IFERROR(__xludf.DUMMYFUNCTION("IMPORTRANGE(""https://docs.google.com/spreadsheets/d/1lOVebEIsI9qjGXl6EX66luk7wiuP2tBaryw-wKvv4e0/edit?usp=sharing"",""แพร่!L215"")"),0)</f>
        <v>0</v>
      </c>
      <c r="AU24" s="97">
        <f ca="1">IFERROR(__xludf.DUMMYFUNCTION("IMPORTRANGE(""https://docs.google.com/spreadsheets/d/1lOVebEIsI9qjGXl6EX66luk7wiuP2tBaryw-wKvv4e0/edit?usp=sharing"",""แพร่!N215"")"),0)</f>
        <v>0</v>
      </c>
      <c r="AV24" s="98">
        <f t="shared" ca="1" si="104"/>
        <v>0</v>
      </c>
      <c r="AW24" s="97">
        <f ca="1">IFERROR(__xludf.DUMMYFUNCTION("IMPORTRANGE(""https://docs.google.com/spreadsheets/d/1lOVebEIsI9qjGXl6EX66luk7wiuP2tBaryw-wKvv4e0/edit?usp=sharing"",""แพร่!L216"")"),0)</f>
        <v>0</v>
      </c>
      <c r="AX24" s="97">
        <f ca="1">IFERROR(__xludf.DUMMYFUNCTION("IMPORTRANGE(""https://docs.google.com/spreadsheets/d/1lOVebEIsI9qjGXl6EX66luk7wiuP2tBaryw-wKvv4e0/edit?usp=sharing"",""แพร่!N216"")"),0)</f>
        <v>0</v>
      </c>
      <c r="AY24" s="98">
        <f t="shared" ca="1" si="106"/>
        <v>0</v>
      </c>
      <c r="AZ24" s="97">
        <f ca="1">IFERROR(__xludf.DUMMYFUNCTION("IMPORTRANGE(""https://docs.google.com/spreadsheets/d/1lOVebEIsI9qjGXl6EX66luk7wiuP2tBaryw-wKvv4e0/edit?usp=sharing"",""แพร่!L217"")"),0)</f>
        <v>0</v>
      </c>
      <c r="BA24" s="97">
        <f ca="1">IFERROR(__xludf.DUMMYFUNCTION("IMPORTRANGE(""https://docs.google.com/spreadsheets/d/1lOVebEIsI9qjGXl6EX66luk7wiuP2tBaryw-wKvv4e0/edit?usp=sharing"",""แพร่!N217"")"),0)</f>
        <v>0</v>
      </c>
      <c r="BB24" s="98">
        <f t="shared" ca="1" si="108"/>
        <v>0</v>
      </c>
      <c r="BC24" s="97">
        <f ca="1">IFERROR(__xludf.DUMMYFUNCTION("IMPORTRANGE(""https://docs.google.com/spreadsheets/d/1lOVebEIsI9qjGXl6EX66luk7wiuP2tBaryw-wKvv4e0/edit?usp=sharing"",""แพร่!I219"")"),0)</f>
        <v>0</v>
      </c>
      <c r="BD24" s="97">
        <f ca="1">IFERROR(__xludf.DUMMYFUNCTION("IMPORTRANGE(""https://docs.google.com/spreadsheets/d/1lOVebEIsI9qjGXl6EX66luk7wiuP2tBaryw-wKvv4e0/edit?usp=sharing"",""แพร่!J219"")"),0)</f>
        <v>0</v>
      </c>
      <c r="BE24" s="98">
        <f t="shared" ca="1" si="110"/>
        <v>0</v>
      </c>
      <c r="BF24" s="97">
        <f ca="1">IFERROR(__xludf.DUMMYFUNCTION("IMPORTRANGE(""https://docs.google.com/spreadsheets/d/1lOVebEIsI9qjGXl6EX66luk7wiuP2tBaryw-wKvv4e0/edit?usp=sharing"",""แพร่!I220"")"),0)</f>
        <v>0</v>
      </c>
      <c r="BG24" s="97">
        <f ca="1">IFERROR(__xludf.DUMMYFUNCTION("IMPORTRANGE(""https://docs.google.com/spreadsheets/d/1lOVebEIsI9qjGXl6EX66luk7wiuP2tBaryw-wKvv4e0/edit?usp=sharing"",""แพร่!J220"")"),0)</f>
        <v>0</v>
      </c>
      <c r="BH24" s="98">
        <f t="shared" ca="1" si="112"/>
        <v>0</v>
      </c>
      <c r="BI24" s="97">
        <f ca="1">IFERROR(__xludf.DUMMYFUNCTION("IMPORTRANGE(""https://docs.google.com/spreadsheets/d/1lOVebEIsI9qjGXl6EX66luk7wiuP2tBaryw-wKvv4e0/edit?usp=sharing"",""แพร่!L223"")"),11000)</f>
        <v>11000</v>
      </c>
      <c r="BJ24" s="97">
        <f ca="1">IFERROR(__xludf.DUMMYFUNCTION("IMPORTRANGE(""https://docs.google.com/spreadsheets/d/1lOVebEIsI9qjGXl6EX66luk7wiuP2tBaryw-wKvv4e0/edit?usp=sharing"",""แพร่!N223"")"),0)</f>
        <v>0</v>
      </c>
      <c r="BK24" s="98">
        <f t="shared" ca="1" si="114"/>
        <v>0</v>
      </c>
      <c r="BL24" s="97">
        <f ca="1">IFERROR(__xludf.DUMMYFUNCTION("IMPORTRANGE(""https://docs.google.com/spreadsheets/d/1lOVebEIsI9qjGXl6EX66luk7wiuP2tBaryw-wKvv4e0/edit?usp=sharing"",""แพร่!L224"")"),1500)</f>
        <v>1500</v>
      </c>
      <c r="BM24" s="97">
        <f ca="1">IFERROR(__xludf.DUMMYFUNCTION("IMPORTRANGE(""https://docs.google.com/spreadsheets/d/1lOVebEIsI9qjGXl6EX66luk7wiuP2tBaryw-wKvv4e0/edit?usp=sharing"",""แพร่!N224"")"),0)</f>
        <v>0</v>
      </c>
      <c r="BN24" s="98">
        <f t="shared" ca="1" si="116"/>
        <v>0</v>
      </c>
      <c r="BO24" s="97">
        <f ca="1">IFERROR(__xludf.DUMMYFUNCTION("IMPORTRANGE(""https://docs.google.com/spreadsheets/d/1lOVebEIsI9qjGXl6EX66luk7wiuP2tBaryw-wKvv4e0/edit?usp=sharing"",""แพร่!I228"")"),100000)</f>
        <v>100000</v>
      </c>
      <c r="BP24" s="97">
        <f ca="1">IFERROR(__xludf.DUMMYFUNCTION("IMPORTRANGE(""https://docs.google.com/spreadsheets/d/1lOVebEIsI9qjGXl6EX66luk7wiuP2tBaryw-wKvv4e0/edit?usp=sharing"",""แพร่!J228"")"),0)</f>
        <v>0</v>
      </c>
      <c r="BQ24" s="98">
        <f t="shared" ca="1" si="118"/>
        <v>0</v>
      </c>
      <c r="BR24" s="97">
        <f ca="1">IFERROR(__xludf.DUMMYFUNCTION("IMPORTRANGE(""https://docs.google.com/spreadsheets/d/1lOVebEIsI9qjGXl6EX66luk7wiuP2tBaryw-wKvv4e0/edit?usp=sharing"",""แพร่!I229"")"),100000)</f>
        <v>100000</v>
      </c>
      <c r="BS24" s="97">
        <f ca="1">IFERROR(__xludf.DUMMYFUNCTION("IMPORTRANGE(""https://docs.google.com/spreadsheets/d/1lOVebEIsI9qjGXl6EX66luk7wiuP2tBaryw-wKvv4e0/edit?usp=sharing"",""แพร่!J229"")"),0)</f>
        <v>0</v>
      </c>
      <c r="BT24" s="98">
        <f t="shared" ca="1" si="120"/>
        <v>0</v>
      </c>
      <c r="BU24" s="97">
        <f ca="1">IFERROR(__xludf.DUMMYFUNCTION("IMPORTRANGE(""https://docs.google.com/spreadsheets/d/1lOVebEIsI9qjGXl6EX66luk7wiuP2tBaryw-wKvv4e0/edit?usp=sharing"",""แพร่!I230"")"),0)</f>
        <v>0</v>
      </c>
      <c r="BV24" s="97">
        <f ca="1">IFERROR(__xludf.DUMMYFUNCTION("IMPORTRANGE(""https://docs.google.com/spreadsheets/d/1lOVebEIsI9qjGXl6EX66luk7wiuP2tBaryw-wKvv4e0/edit?usp=sharing"",""แพร่!J230"")"),0)</f>
        <v>0</v>
      </c>
      <c r="BW24" s="98">
        <f t="shared" ca="1" si="122"/>
        <v>0</v>
      </c>
      <c r="BX24" s="97">
        <f ca="1">IFERROR(__xludf.DUMMYFUNCTION("IMPORTRANGE(""https://docs.google.com/spreadsheets/d/1lOVebEIsI9qjGXl6EX66luk7wiuP2tBaryw-wKvv4e0/edit?usp=sharing"",""แพร่!L233"")"),0)</f>
        <v>0</v>
      </c>
      <c r="BY24" s="97">
        <f ca="1">IFERROR(__xludf.DUMMYFUNCTION("IMPORTRANGE(""https://docs.google.com/spreadsheets/d/1lOVebEIsI9qjGXl6EX66luk7wiuP2tBaryw-wKvv4e0/edit?usp=sharing"",""แพร่!N233"")"),0)</f>
        <v>0</v>
      </c>
      <c r="BZ24" s="98">
        <f t="shared" ca="1" si="124"/>
        <v>0</v>
      </c>
      <c r="CA24" s="97">
        <f ca="1">IFERROR(__xludf.DUMMYFUNCTION("IMPORTRANGE(""https://docs.google.com/spreadsheets/d/1lOVebEIsI9qjGXl6EX66luk7wiuP2tBaryw-wKvv4e0/edit?usp=sharing"",""แพร่!L234"")"),0)</f>
        <v>0</v>
      </c>
      <c r="CB24" s="97">
        <f ca="1">IFERROR(__xludf.DUMMYFUNCTION("IMPORTRANGE(""https://docs.google.com/spreadsheets/d/1lOVebEIsI9qjGXl6EX66luk7wiuP2tBaryw-wKvv4e0/edit?usp=sharing"",""แพร่!N234"")"),0)</f>
        <v>0</v>
      </c>
      <c r="CC24" s="98">
        <f t="shared" ca="1" si="126"/>
        <v>0</v>
      </c>
      <c r="CD24" s="97">
        <f ca="1">IFERROR(__xludf.DUMMYFUNCTION("IMPORTRANGE(""https://docs.google.com/spreadsheets/d/1lOVebEIsI9qjGXl6EX66luk7wiuP2tBaryw-wKvv4e0/edit?usp=sharing"",""แพร่!L235"")"),0)</f>
        <v>0</v>
      </c>
      <c r="CE24" s="97">
        <f ca="1">IFERROR(__xludf.DUMMYFUNCTION("IMPORTRANGE(""https://docs.google.com/spreadsheets/d/1lOVebEIsI9qjGXl6EX66luk7wiuP2tBaryw-wKvv4e0/edit?usp=sharing"",""แพร่!N235"")"),0)</f>
        <v>0</v>
      </c>
      <c r="CF24" s="98">
        <f t="shared" ca="1" si="128"/>
        <v>0</v>
      </c>
      <c r="CG24" s="97">
        <f ca="1">IFERROR(__xludf.DUMMYFUNCTION("IMPORTRANGE(""https://docs.google.com/spreadsheets/d/1lOVebEIsI9qjGXl6EX66luk7wiuP2tBaryw-wKvv4e0/edit?usp=sharing"",""แพร่!L236"")"),0)</f>
        <v>0</v>
      </c>
      <c r="CH24" s="97">
        <f ca="1">IFERROR(__xludf.DUMMYFUNCTION("IMPORTRANGE(""https://docs.google.com/spreadsheets/d/1lOVebEIsI9qjGXl6EX66luk7wiuP2tBaryw-wKvv4e0/edit?usp=sharing"",""แพร่!N236"")"),0)</f>
        <v>0</v>
      </c>
      <c r="CI24" s="98">
        <f t="shared" ca="1" si="130"/>
        <v>0</v>
      </c>
      <c r="CJ24" s="97">
        <f ca="1">IFERROR(__xludf.DUMMYFUNCTION("IMPORTRANGE(""https://docs.google.com/spreadsheets/d/1lOVebEIsI9qjGXl6EX66luk7wiuP2tBaryw-wKvv4e0/edit?usp=sharing"",""แพร่!I238"")"),0)</f>
        <v>0</v>
      </c>
      <c r="CK24" s="97">
        <f ca="1">IFERROR(__xludf.DUMMYFUNCTION("IMPORTRANGE(""https://docs.google.com/spreadsheets/d/1lOVebEIsI9qjGXl6EX66luk7wiuP2tBaryw-wKvv4e0/edit?usp=sharing"",""แพร่!J238"")"),0)</f>
        <v>0</v>
      </c>
      <c r="CL24" s="98">
        <f t="shared" ca="1" si="132"/>
        <v>0</v>
      </c>
      <c r="CM24" s="97">
        <f ca="1">IFERROR(__xludf.DUMMYFUNCTION("IMPORTRANGE(""https://docs.google.com/spreadsheets/d/1lOVebEIsI9qjGXl6EX66luk7wiuP2tBaryw-wKvv4e0/edit?usp=sharing"",""แพร่!J240"")"),0)</f>
        <v>0</v>
      </c>
      <c r="CN24" s="97">
        <f ca="1">IFERROR(__xludf.DUMMYFUNCTION("IMPORTRANGE(""https://docs.google.com/spreadsheets/d/1lOVebEIsI9qjGXl6EX66luk7wiuP2tBaryw-wKvv4e0/edit?usp=sharing"",""แพร่!J241"")"),0)</f>
        <v>0</v>
      </c>
    </row>
    <row r="25" spans="1:92" ht="24" customHeight="1" x14ac:dyDescent="0.3">
      <c r="A25" s="89">
        <v>12</v>
      </c>
      <c r="B25" s="90" t="s">
        <v>51</v>
      </c>
      <c r="C25" s="174">
        <f t="shared" ca="1" si="80"/>
        <v>122500</v>
      </c>
      <c r="D25" s="175">
        <f t="shared" ca="1" si="134"/>
        <v>122500</v>
      </c>
      <c r="E25" s="176">
        <f ca="1">IFERROR(__xludf.DUMMYFUNCTION("IMPORTRANGE(""https://docs.google.com/spreadsheets/d/1-uDff_7J0KD5mKrp0Vvzr7lt3OU09vwQwhkpOPPYv2Y/edit?usp=sharing"",""งบพรบ!CV25"")"),91000)</f>
        <v>91000</v>
      </c>
      <c r="F25" s="176">
        <f ca="1">IFERROR(__xludf.DUMMYFUNCTION("IMPORTRANGE(""https://docs.google.com/spreadsheets/d/1-uDff_7J0KD5mKrp0Vvzr7lt3OU09vwQwhkpOPPYv2Y/edit?usp=sharing"",""งบพรบ!CW25"")"),31500)</f>
        <v>31500</v>
      </c>
      <c r="G25" s="176">
        <f ca="1">IFERROR(__xludf.DUMMYFUNCTION("IMPORTRANGE(""https://docs.google.com/spreadsheets/d/1-uDff_7J0KD5mKrp0Vvzr7lt3OU09vwQwhkpOPPYv2Y/edit?usp=sharing"",""งบพรบ!CX25"")"),0)</f>
        <v>0</v>
      </c>
      <c r="H25" s="176">
        <f ca="1">IFERROR(__xludf.DUMMYFUNCTION("IMPORTRANGE(""https://docs.google.com/spreadsheets/d/1-uDff_7J0KD5mKrp0Vvzr7lt3OU09vwQwhkpOPPYv2Y/edit?usp=sharing"",""งบพรบ!CZ25"")"),132200)</f>
        <v>132200</v>
      </c>
      <c r="I25" s="176">
        <f ca="1">IFERROR(__xludf.DUMMYFUNCTION("IMPORTRANGE(""https://docs.google.com/spreadsheets/d/1-uDff_7J0KD5mKrp0Vvzr7lt3OU09vwQwhkpOPPYv2Y/edit?usp=sharing"",""งบพรบ!DA25"")"),0)</f>
        <v>0</v>
      </c>
      <c r="J25" s="176">
        <f t="shared" ca="1" si="82"/>
        <v>40517</v>
      </c>
      <c r="K25" s="179">
        <f t="shared" ca="1" si="83"/>
        <v>33.075102040816326</v>
      </c>
      <c r="L25" s="176">
        <f ca="1">IFERROR(__xludf.DUMMYFUNCTION("IMPORTRANGE(""https://docs.google.com/spreadsheets/d/1-uDff_7J0KD5mKrp0Vvzr7lt3OU09vwQwhkpOPPYv2Y/edit?usp=sharing"",""งบพรบ!DB25"")"),40517)</f>
        <v>40517</v>
      </c>
      <c r="M25" s="87">
        <f t="shared" ca="1" si="84"/>
        <v>33.075102040816326</v>
      </c>
      <c r="N25" s="87">
        <f t="shared" ca="1" si="85"/>
        <v>30.648260211800302</v>
      </c>
      <c r="O25" s="86">
        <f ca="1">IFERROR(__xludf.DUMMYFUNCTION("IMPORTRANGE(""https://docs.google.com/spreadsheets/d/1-uDff_7J0KD5mKrp0Vvzr7lt3OU09vwQwhkpOPPYv2Y/edit?usp=sharing"",""งบพรบ!DC25"")"),0)</f>
        <v>0</v>
      </c>
      <c r="P25" s="86">
        <f t="shared" ca="1" si="86"/>
        <v>0</v>
      </c>
      <c r="Q25" s="87">
        <f t="shared" ca="1" si="87"/>
        <v>0</v>
      </c>
      <c r="R25" s="241">
        <f ca="1">IFERROR(__xludf.DUMMYFUNCTION("IMPORTRANGE(""https://docs.google.com/spreadsheets/d/1dQrvX0vEcN7Gu0fnZ0B5S90AeR19zth4XlExFBeExMY/edit?usp=sharing"",""แม่ฮ่องสอน!Q186"")"),20000)</f>
        <v>20000</v>
      </c>
      <c r="S25" s="242">
        <f ca="1">IFERROR(__xludf.DUMMYFUNCTION("IMPORTRANGE(""https://docs.google.com/spreadsheets/d/1dQrvX0vEcN7Gu0fnZ0B5S90AeR19zth4XlExFBeExMY/edit?usp=sharing"",""แม่ฮ่องสอน!R186"")"),0)</f>
        <v>0</v>
      </c>
      <c r="T25" s="242">
        <f ca="1">IFERROR(__xludf.DUMMYFUNCTION("IMPORTRANGE(""https://docs.google.com/spreadsheets/d/1dQrvX0vEcN7Gu0fnZ0B5S90AeR19zth4XlExFBeExMY/edit?usp=sharing"",""แม่ฮ่องสอน!S186"")"),0)</f>
        <v>0</v>
      </c>
      <c r="U25" s="243">
        <f t="shared" ca="1" si="89"/>
        <v>0</v>
      </c>
      <c r="V25" s="243">
        <f t="shared" ca="1" si="90"/>
        <v>0</v>
      </c>
      <c r="W25" s="97">
        <f ca="1">IFERROR(__xludf.DUMMYFUNCTION("IMPORTRANGE(""https://docs.google.com/spreadsheets/d/1dQrvX0vEcN7Gu0fnZ0B5S90AeR19zth4XlExFBeExMY/edit?usp=sharing"",""แม่ฮ่องสอน!L196"")"),6000)</f>
        <v>6000</v>
      </c>
      <c r="X25" s="97">
        <f ca="1">IFERROR(__xludf.DUMMYFUNCTION("IMPORTRANGE(""https://docs.google.com/spreadsheets/d/1dQrvX0vEcN7Gu0fnZ0B5S90AeR19zth4XlExFBeExMY/edit?usp=sharing"",""แม่ฮ่องสอน!N196"")"),0)</f>
        <v>0</v>
      </c>
      <c r="Y25" s="98">
        <f t="shared" ca="1" si="92"/>
        <v>0</v>
      </c>
      <c r="Z25" s="97">
        <f ca="1">IFERROR(__xludf.DUMMYFUNCTION("IMPORTRANGE(""https://docs.google.com/spreadsheets/d/1dQrvX0vEcN7Gu0fnZ0B5S90AeR19zth4XlExFBeExMY/edit?usp=sharing"",""แม่ฮ่องสอน!I198"")"),4)</f>
        <v>4</v>
      </c>
      <c r="AA25" s="97">
        <f ca="1">IFERROR(__xludf.DUMMYFUNCTION("IMPORTRANGE(""https://docs.google.com/spreadsheets/d/1dQrvX0vEcN7Gu0fnZ0B5S90AeR19zth4XlExFBeExMY/edit?usp=sharing"",""แม่ฮ่องสอน!J198"")"),1)</f>
        <v>1</v>
      </c>
      <c r="AB25" s="98">
        <f t="shared" ca="1" si="94"/>
        <v>25</v>
      </c>
      <c r="AC25" s="97">
        <f ca="1">IFERROR(__xludf.DUMMYFUNCTION("IMPORTRANGE(""https://docs.google.com/spreadsheets/d/1dQrvX0vEcN7Gu0fnZ0B5S90AeR19zth4XlExFBeExMY/edit?usp=sharing"",""แม่ฮ่องสอน!J199"")"),0)</f>
        <v>0</v>
      </c>
      <c r="AD25" s="97">
        <f ca="1">IFERROR(__xludf.DUMMYFUNCTION("IMPORTRANGE(""https://docs.google.com/spreadsheets/d/1dQrvX0vEcN7Gu0fnZ0B5S90AeR19zth4XlExFBeExMY/edit?usp=sharing"",""แม่ฮ่องสอน!J200"")"),0)</f>
        <v>0</v>
      </c>
      <c r="AE25" s="97">
        <f ca="1">IFERROR(__xludf.DUMMYFUNCTION("IMPORTRANGE(""https://docs.google.com/spreadsheets/d/1dQrvX0vEcN7Gu0fnZ0B5S90AeR19zth4XlExFBeExMY/edit?usp=sharing"",""แม่ฮ่องสอน!J201"")"),0)</f>
        <v>0</v>
      </c>
      <c r="AF25" s="97">
        <f ca="1">IFERROR(__xludf.DUMMYFUNCTION("IMPORTRANGE(""https://docs.google.com/spreadsheets/d/1dQrvX0vEcN7Gu0fnZ0B5S90AeR19zth4XlExFBeExMY/edit?usp=sharing"",""แม่ฮ่องสอน!L204"")"),1000)</f>
        <v>1000</v>
      </c>
      <c r="AG25" s="97">
        <f ca="1">IFERROR(__xludf.DUMMYFUNCTION("IMPORTRANGE(""https://docs.google.com/spreadsheets/d/1dQrvX0vEcN7Gu0fnZ0B5S90AeR19zth4XlExFBeExMY/edit?usp=sharing"",""แม่ฮ่องสอน!N204"")"),0)</f>
        <v>0</v>
      </c>
      <c r="AH25" s="98">
        <f t="shared" ca="1" si="96"/>
        <v>0</v>
      </c>
      <c r="AI25" s="97">
        <f ca="1">IFERROR(__xludf.DUMMYFUNCTION("IMPORTRANGE(""https://docs.google.com/spreadsheets/d/1dQrvX0vEcN7Gu0fnZ0B5S90AeR19zth4XlExFBeExMY/edit?usp=sharing"",""แม่ฮ่องสอน!L206"")"),8000)</f>
        <v>8000</v>
      </c>
      <c r="AJ25" s="97">
        <f ca="1">IFERROR(__xludf.DUMMYFUNCTION("IMPORTRANGE(""https://docs.google.com/spreadsheets/d/1dQrvX0vEcN7Gu0fnZ0B5S90AeR19zth4XlExFBeExMY/edit?usp=sharing"",""แม่ฮ่องสอน!N206"")"),8000)</f>
        <v>8000</v>
      </c>
      <c r="AK25" s="98">
        <f t="shared" ca="1" si="98"/>
        <v>100</v>
      </c>
      <c r="AL25" s="97">
        <f ca="1">IFERROR(__xludf.DUMMYFUNCTION("IMPORTRANGE(""https://docs.google.com/spreadsheets/d/1dQrvX0vEcN7Gu0fnZ0B5S90AeR19zth4XlExFBeExMY/edit?usp=sharing"",""แม่ฮ่องสอน!L207"")"),4000)</f>
        <v>4000</v>
      </c>
      <c r="AM25" s="97">
        <f ca="1">IFERROR(__xludf.DUMMYFUNCTION("IMPORTRANGE(""https://docs.google.com/spreadsheets/d/1dQrvX0vEcN7Gu0fnZ0B5S90AeR19zth4XlExFBeExMY/edit?usp=sharing"",""แม่ฮ่องสอน!N207"")"),0)</f>
        <v>0</v>
      </c>
      <c r="AN25" s="98">
        <f t="shared" ca="1" si="100"/>
        <v>0</v>
      </c>
      <c r="AO25" s="97">
        <f ca="1">IFERROR(__xludf.DUMMYFUNCTION("IMPORTRANGE(""https://docs.google.com/spreadsheets/d/1dQrvX0vEcN7Gu0fnZ0B5S90AeR19zth4XlExFBeExMY/edit?usp=sharing"",""แม่ฮ่องสอน!I209"")"),1)</f>
        <v>1</v>
      </c>
      <c r="AP25" s="97">
        <f ca="1">IFERROR(__xludf.DUMMYFUNCTION("IMPORTRANGE(""https://docs.google.com/spreadsheets/d/1dQrvX0vEcN7Gu0fnZ0B5S90AeR19zth4XlExFBeExMY/edit?usp=sharing"",""แม่ฮ่องสอน!J209"")"),1)</f>
        <v>1</v>
      </c>
      <c r="AQ25" s="98">
        <f t="shared" ca="1" si="102"/>
        <v>100</v>
      </c>
      <c r="AR25" s="97">
        <f ca="1">IFERROR(__xludf.DUMMYFUNCTION("IMPORTRANGE(""https://docs.google.com/spreadsheets/d/1dQrvX0vEcN7Gu0fnZ0B5S90AeR19zth4XlExFBeExMY/edit?usp=sharing"",""แม่ฮ่องสอน!J211"")"),0)</f>
        <v>0</v>
      </c>
      <c r="AS25" s="97">
        <f ca="1">IFERROR(__xludf.DUMMYFUNCTION("IMPORTRANGE(""https://docs.google.com/spreadsheets/d/1dQrvX0vEcN7Gu0fnZ0B5S90AeR19zth4XlExFBeExMY/edit?usp=sharing"",""แม่ฮ่องสอน!J212"")"),0)</f>
        <v>0</v>
      </c>
      <c r="AT25" s="97">
        <f ca="1">IFERROR(__xludf.DUMMYFUNCTION("IMPORTRANGE(""https://docs.google.com/spreadsheets/d/1dQrvX0vEcN7Gu0fnZ0B5S90AeR19zth4XlExFBeExMY/edit?usp=sharing"",""แม่ฮ่องสอน!L215"")"),0)</f>
        <v>0</v>
      </c>
      <c r="AU25" s="97">
        <f ca="1">IFERROR(__xludf.DUMMYFUNCTION("IMPORTRANGE(""https://docs.google.com/spreadsheets/d/1dQrvX0vEcN7Gu0fnZ0B5S90AeR19zth4XlExFBeExMY/edit?usp=sharing"",""แม่ฮ่องสอน!N215"")"),0)</f>
        <v>0</v>
      </c>
      <c r="AV25" s="98">
        <f t="shared" ca="1" si="104"/>
        <v>0</v>
      </c>
      <c r="AW25" s="97">
        <f ca="1">IFERROR(__xludf.DUMMYFUNCTION("IMPORTRANGE(""https://docs.google.com/spreadsheets/d/1dQrvX0vEcN7Gu0fnZ0B5S90AeR19zth4XlExFBeExMY/edit?usp=sharing"",""แม่ฮ่องสอน!L216"")"),0)</f>
        <v>0</v>
      </c>
      <c r="AX25" s="97">
        <f ca="1">IFERROR(__xludf.DUMMYFUNCTION("IMPORTRANGE(""https://docs.google.com/spreadsheets/d/1dQrvX0vEcN7Gu0fnZ0B5S90AeR19zth4XlExFBeExMY/edit?usp=sharing"",""แม่ฮ่องสอน!N216"")"),0)</f>
        <v>0</v>
      </c>
      <c r="AY25" s="98">
        <f t="shared" ca="1" si="106"/>
        <v>0</v>
      </c>
      <c r="AZ25" s="97">
        <f ca="1">IFERROR(__xludf.DUMMYFUNCTION("IMPORTRANGE(""https://docs.google.com/spreadsheets/d/1dQrvX0vEcN7Gu0fnZ0B5S90AeR19zth4XlExFBeExMY/edit?usp=sharing"",""แม่ฮ่องสอน!L217"")"),0)</f>
        <v>0</v>
      </c>
      <c r="BA25" s="97">
        <f ca="1">IFERROR(__xludf.DUMMYFUNCTION("IMPORTRANGE(""https://docs.google.com/spreadsheets/d/1dQrvX0vEcN7Gu0fnZ0B5S90AeR19zth4XlExFBeExMY/edit?usp=sharing"",""แม่ฮ่องสอน!N217"")"),0)</f>
        <v>0</v>
      </c>
      <c r="BB25" s="98">
        <f t="shared" ca="1" si="108"/>
        <v>0</v>
      </c>
      <c r="BC25" s="97">
        <f ca="1">IFERROR(__xludf.DUMMYFUNCTION("IMPORTRANGE(""https://docs.google.com/spreadsheets/d/1dQrvX0vEcN7Gu0fnZ0B5S90AeR19zth4XlExFBeExMY/edit?usp=sharing"",""แม่ฮ่องสอน!I219"")"),0)</f>
        <v>0</v>
      </c>
      <c r="BD25" s="97">
        <f ca="1">IFERROR(__xludf.DUMMYFUNCTION("IMPORTRANGE(""https://docs.google.com/spreadsheets/d/1dQrvX0vEcN7Gu0fnZ0B5S90AeR19zth4XlExFBeExMY/edit?usp=sharing"",""แม่ฮ่องสอน!J219"")"),0)</f>
        <v>0</v>
      </c>
      <c r="BE25" s="98">
        <f t="shared" ca="1" si="110"/>
        <v>0</v>
      </c>
      <c r="BF25" s="97">
        <f ca="1">IFERROR(__xludf.DUMMYFUNCTION("IMPORTRANGE(""https://docs.google.com/spreadsheets/d/1dQrvX0vEcN7Gu0fnZ0B5S90AeR19zth4XlExFBeExMY/edit?usp=sharing"",""แม่ฮ่องสอน!I220"")"),0)</f>
        <v>0</v>
      </c>
      <c r="BG25" s="97">
        <f ca="1">IFERROR(__xludf.DUMMYFUNCTION("IMPORTRANGE(""https://docs.google.com/spreadsheets/d/1dQrvX0vEcN7Gu0fnZ0B5S90AeR19zth4XlExFBeExMY/edit?usp=sharing"",""แม่ฮ่องสอน!J220"")"),0)</f>
        <v>0</v>
      </c>
      <c r="BH25" s="98">
        <f t="shared" ca="1" si="112"/>
        <v>0</v>
      </c>
      <c r="BI25" s="97">
        <f ca="1">IFERROR(__xludf.DUMMYFUNCTION("IMPORTRANGE(""https://docs.google.com/spreadsheets/d/1dQrvX0vEcN7Gu0fnZ0B5S90AeR19zth4XlExFBeExMY/edit?usp=sharing"",""แม่ฮ่องสอน!L223"")"),11000)</f>
        <v>11000</v>
      </c>
      <c r="BJ25" s="97">
        <f ca="1">IFERROR(__xludf.DUMMYFUNCTION("IMPORTRANGE(""https://docs.google.com/spreadsheets/d/1dQrvX0vEcN7Gu0fnZ0B5S90AeR19zth4XlExFBeExMY/edit?usp=sharing"",""แม่ฮ่องสอน!N223"")"),0)</f>
        <v>0</v>
      </c>
      <c r="BK25" s="98">
        <f t="shared" ca="1" si="114"/>
        <v>0</v>
      </c>
      <c r="BL25" s="97">
        <f ca="1">IFERROR(__xludf.DUMMYFUNCTION("IMPORTRANGE(""https://docs.google.com/spreadsheets/d/1dQrvX0vEcN7Gu0fnZ0B5S90AeR19zth4XlExFBeExMY/edit?usp=sharing"",""แม่ฮ่องสอน!L224"")"),1500)</f>
        <v>1500</v>
      </c>
      <c r="BM25" s="97">
        <f ca="1">IFERROR(__xludf.DUMMYFUNCTION("IMPORTRANGE(""https://docs.google.com/spreadsheets/d/1dQrvX0vEcN7Gu0fnZ0B5S90AeR19zth4XlExFBeExMY/edit?usp=sharing"",""แม่ฮ่องสอน!N224"")"),0)</f>
        <v>0</v>
      </c>
      <c r="BN25" s="98">
        <f t="shared" ca="1" si="116"/>
        <v>0</v>
      </c>
      <c r="BO25" s="97">
        <f ca="1">IFERROR(__xludf.DUMMYFUNCTION("IMPORTRANGE(""https://docs.google.com/spreadsheets/d/1dQrvX0vEcN7Gu0fnZ0B5S90AeR19zth4XlExFBeExMY/edit?usp=sharing"",""แม่ฮ่องสอน!I228"")"),100000)</f>
        <v>100000</v>
      </c>
      <c r="BP25" s="97">
        <f ca="1">IFERROR(__xludf.DUMMYFUNCTION("IMPORTRANGE(""https://docs.google.com/spreadsheets/d/1dQrvX0vEcN7Gu0fnZ0B5S90AeR19zth4XlExFBeExMY/edit?usp=sharing"",""แม่ฮ่องสอน!J228"")"),0)</f>
        <v>0</v>
      </c>
      <c r="BQ25" s="98">
        <f t="shared" ca="1" si="118"/>
        <v>0</v>
      </c>
      <c r="BR25" s="97">
        <f ca="1">IFERROR(__xludf.DUMMYFUNCTION("IMPORTRANGE(""https://docs.google.com/spreadsheets/d/1dQrvX0vEcN7Gu0fnZ0B5S90AeR19zth4XlExFBeExMY/edit?usp=sharing"",""แม่ฮ่องสอน!I229"")"),100000)</f>
        <v>100000</v>
      </c>
      <c r="BS25" s="97">
        <f ca="1">IFERROR(__xludf.DUMMYFUNCTION("IMPORTRANGE(""https://docs.google.com/spreadsheets/d/1dQrvX0vEcN7Gu0fnZ0B5S90AeR19zth4XlExFBeExMY/edit?usp=sharing"",""แม่ฮ่องสอน!J229"")"),0)</f>
        <v>0</v>
      </c>
      <c r="BT25" s="98">
        <f t="shared" ca="1" si="120"/>
        <v>0</v>
      </c>
      <c r="BU25" s="97">
        <f ca="1">IFERROR(__xludf.DUMMYFUNCTION("IMPORTRANGE(""https://docs.google.com/spreadsheets/d/1dQrvX0vEcN7Gu0fnZ0B5S90AeR19zth4XlExFBeExMY/edit?usp=sharing"",""แม่ฮ่องสอน!I230"")"),0)</f>
        <v>0</v>
      </c>
      <c r="BV25" s="97">
        <f ca="1">IFERROR(__xludf.DUMMYFUNCTION("IMPORTRANGE(""https://docs.google.com/spreadsheets/d/1dQrvX0vEcN7Gu0fnZ0B5S90AeR19zth4XlExFBeExMY/edit?usp=sharing"",""แม่ฮ่องสอน!J230"")"),0)</f>
        <v>0</v>
      </c>
      <c r="BW25" s="98">
        <f t="shared" ca="1" si="122"/>
        <v>0</v>
      </c>
      <c r="BX25" s="97">
        <f ca="1">IFERROR(__xludf.DUMMYFUNCTION("IMPORTRANGE(""https://docs.google.com/spreadsheets/d/1dQrvX0vEcN7Gu0fnZ0B5S90AeR19zth4XlExFBeExMY/edit?usp=sharing"",""แม่ฮ่องสอน!L233"")"),0)</f>
        <v>0</v>
      </c>
      <c r="BY25" s="97">
        <f ca="1">IFERROR(__xludf.DUMMYFUNCTION("IMPORTRANGE(""https://docs.google.com/spreadsheets/d/1dQrvX0vEcN7Gu0fnZ0B5S90AeR19zth4XlExFBeExMY/edit?usp=sharing"",""แม่ฮ่องสอน!N233"")"),0)</f>
        <v>0</v>
      </c>
      <c r="BZ25" s="98">
        <f t="shared" ca="1" si="124"/>
        <v>0</v>
      </c>
      <c r="CA25" s="97">
        <f ca="1">IFERROR(__xludf.DUMMYFUNCTION("IMPORTRANGE(""https://docs.google.com/spreadsheets/d/1dQrvX0vEcN7Gu0fnZ0B5S90AeR19zth4XlExFBeExMY/edit?usp=sharing"",""แม่ฮ่องสอน!L234"")"),0)</f>
        <v>0</v>
      </c>
      <c r="CB25" s="97">
        <f ca="1">IFERROR(__xludf.DUMMYFUNCTION("IMPORTRANGE(""https://docs.google.com/spreadsheets/d/1dQrvX0vEcN7Gu0fnZ0B5S90AeR19zth4XlExFBeExMY/edit?usp=sharing"",""แม่ฮ่องสอน!N234"")"),0)</f>
        <v>0</v>
      </c>
      <c r="CC25" s="98">
        <f t="shared" ca="1" si="126"/>
        <v>0</v>
      </c>
      <c r="CD25" s="97">
        <f ca="1">IFERROR(__xludf.DUMMYFUNCTION("IMPORTRANGE(""https://docs.google.com/spreadsheets/d/1dQrvX0vEcN7Gu0fnZ0B5S90AeR19zth4XlExFBeExMY/edit?usp=sharing"",""แม่ฮ่องสอน!L235"")"),0)</f>
        <v>0</v>
      </c>
      <c r="CE25" s="97">
        <f ca="1">IFERROR(__xludf.DUMMYFUNCTION("IMPORTRANGE(""https://docs.google.com/spreadsheets/d/1dQrvX0vEcN7Gu0fnZ0B5S90AeR19zth4XlExFBeExMY/edit?usp=sharing"",""แม่ฮ่องสอน!N235"")"),0)</f>
        <v>0</v>
      </c>
      <c r="CF25" s="98">
        <f t="shared" ca="1" si="128"/>
        <v>0</v>
      </c>
      <c r="CG25" s="97">
        <f ca="1">IFERROR(__xludf.DUMMYFUNCTION("IMPORTRANGE(""https://docs.google.com/spreadsheets/d/1dQrvX0vEcN7Gu0fnZ0B5S90AeR19zth4XlExFBeExMY/edit?usp=sharing"",""แม่ฮ่องสอน!L236"")"),0)</f>
        <v>0</v>
      </c>
      <c r="CH25" s="97">
        <f ca="1">IFERROR(__xludf.DUMMYFUNCTION("IMPORTRANGE(""https://docs.google.com/spreadsheets/d/1dQrvX0vEcN7Gu0fnZ0B5S90AeR19zth4XlExFBeExMY/edit?usp=sharing"",""แม่ฮ่องสอน!N236"")"),0)</f>
        <v>0</v>
      </c>
      <c r="CI25" s="98">
        <f t="shared" ca="1" si="130"/>
        <v>0</v>
      </c>
      <c r="CJ25" s="97">
        <f ca="1">IFERROR(__xludf.DUMMYFUNCTION("IMPORTRANGE(""https://docs.google.com/spreadsheets/d/1dQrvX0vEcN7Gu0fnZ0B5S90AeR19zth4XlExFBeExMY/edit?usp=sharing"",""แม่ฮ่องสอน!I238"")"),0)</f>
        <v>0</v>
      </c>
      <c r="CK25" s="97">
        <f ca="1">IFERROR(__xludf.DUMMYFUNCTION("IMPORTRANGE(""https://docs.google.com/spreadsheets/d/1dQrvX0vEcN7Gu0fnZ0B5S90AeR19zth4XlExFBeExMY/edit?usp=sharing"",""แม่ฮ่องสอน!J238"")"),0)</f>
        <v>0</v>
      </c>
      <c r="CL25" s="98">
        <f t="shared" ca="1" si="132"/>
        <v>0</v>
      </c>
      <c r="CM25" s="97">
        <f ca="1">IFERROR(__xludf.DUMMYFUNCTION("IMPORTRANGE(""https://docs.google.com/spreadsheets/d/1dQrvX0vEcN7Gu0fnZ0B5S90AeR19zth4XlExFBeExMY/edit?usp=sharing"",""แม่ฮ่องสอน!J240"")"),0)</f>
        <v>0</v>
      </c>
      <c r="CN25" s="97">
        <f ca="1">IFERROR(__xludf.DUMMYFUNCTION("IMPORTRANGE(""https://docs.google.com/spreadsheets/d/1dQrvX0vEcN7Gu0fnZ0B5S90AeR19zth4XlExFBeExMY/edit?usp=sharing"",""แม่ฮ่องสอน!J241"")"),0)</f>
        <v>0</v>
      </c>
    </row>
    <row r="26" spans="1:92" ht="24" customHeight="1" x14ac:dyDescent="0.3">
      <c r="A26" s="89">
        <v>13</v>
      </c>
      <c r="B26" s="90" t="s">
        <v>52</v>
      </c>
      <c r="C26" s="174">
        <f t="shared" ca="1" si="80"/>
        <v>121500</v>
      </c>
      <c r="D26" s="175">
        <f t="shared" ca="1" si="134"/>
        <v>121500</v>
      </c>
      <c r="E26" s="176">
        <f ca="1">IFERROR(__xludf.DUMMYFUNCTION("IMPORTRANGE(""https://docs.google.com/spreadsheets/d/1-uDff_7J0KD5mKrp0Vvzr7lt3OU09vwQwhkpOPPYv2Y/edit?usp=sharing"",""งบพรบ!CV26"")"),91000)</f>
        <v>91000</v>
      </c>
      <c r="F26" s="176">
        <f ca="1">IFERROR(__xludf.DUMMYFUNCTION("IMPORTRANGE(""https://docs.google.com/spreadsheets/d/1-uDff_7J0KD5mKrp0Vvzr7lt3OU09vwQwhkpOPPYv2Y/edit?usp=sharing"",""งบพรบ!CW26"")"),30500)</f>
        <v>30500</v>
      </c>
      <c r="G26" s="176">
        <f ca="1">IFERROR(__xludf.DUMMYFUNCTION("IMPORTRANGE(""https://docs.google.com/spreadsheets/d/1-uDff_7J0KD5mKrp0Vvzr7lt3OU09vwQwhkpOPPYv2Y/edit?usp=sharing"",""งบพรบ!CX26"")"),0)</f>
        <v>0</v>
      </c>
      <c r="H26" s="176">
        <f ca="1">IFERROR(__xludf.DUMMYFUNCTION("IMPORTRANGE(""https://docs.google.com/spreadsheets/d/1-uDff_7J0KD5mKrp0Vvzr7lt3OU09vwQwhkpOPPYv2Y/edit?usp=sharing"",""งบพรบ!CZ26"")"),121500)</f>
        <v>121500</v>
      </c>
      <c r="I26" s="176">
        <f ca="1">IFERROR(__xludf.DUMMYFUNCTION("IMPORTRANGE(""https://docs.google.com/spreadsheets/d/1-uDff_7J0KD5mKrp0Vvzr7lt3OU09vwQwhkpOPPYv2Y/edit?usp=sharing"",""งบพรบ!DA26"")"),0)</f>
        <v>0</v>
      </c>
      <c r="J26" s="176">
        <f t="shared" ca="1" si="82"/>
        <v>38133.339999999997</v>
      </c>
      <c r="K26" s="179">
        <f t="shared" ca="1" si="83"/>
        <v>31.385465020576127</v>
      </c>
      <c r="L26" s="176">
        <f ca="1">IFERROR(__xludf.DUMMYFUNCTION("IMPORTRANGE(""https://docs.google.com/spreadsheets/d/1-uDff_7J0KD5mKrp0Vvzr7lt3OU09vwQwhkpOPPYv2Y/edit?usp=sharing"",""งบพรบ!DB26"")"),38133.34)</f>
        <v>38133.339999999997</v>
      </c>
      <c r="M26" s="87">
        <f t="shared" ca="1" si="84"/>
        <v>31.385465020576127</v>
      </c>
      <c r="N26" s="87">
        <f t="shared" ca="1" si="85"/>
        <v>31.385465020576127</v>
      </c>
      <c r="O26" s="86">
        <f ca="1">IFERROR(__xludf.DUMMYFUNCTION("IMPORTRANGE(""https://docs.google.com/spreadsheets/d/1-uDff_7J0KD5mKrp0Vvzr7lt3OU09vwQwhkpOPPYv2Y/edit?usp=sharing"",""งบพรบ!DC26"")"),0)</f>
        <v>0</v>
      </c>
      <c r="P26" s="86">
        <f t="shared" ca="1" si="86"/>
        <v>0</v>
      </c>
      <c r="Q26" s="87">
        <f t="shared" ca="1" si="87"/>
        <v>0</v>
      </c>
      <c r="R26" s="241">
        <f ca="1">IFERROR(__xludf.DUMMYFUNCTION("IMPORTRANGE(""https://docs.google.com/spreadsheets/d/1DY4XTNNwjluuxqdfdn6qvOSlMRrZqUtmYcZR0ttFiG4/edit?usp=sharing"",""ลำปาง!Q186"")"),28000)</f>
        <v>28000</v>
      </c>
      <c r="S26" s="242">
        <f ca="1">IFERROR(__xludf.DUMMYFUNCTION("IMPORTRANGE(""https://docs.google.com/spreadsheets/d/1DY4XTNNwjluuxqdfdn6qvOSlMRrZqUtmYcZR0ttFiG4/edit?usp=sharing"",""ลำปาง!R186"")"),0)</f>
        <v>0</v>
      </c>
      <c r="T26" s="242">
        <f ca="1">IFERROR(__xludf.DUMMYFUNCTION("IMPORTRANGE(""https://docs.google.com/spreadsheets/d/1DY4XTNNwjluuxqdfdn6qvOSlMRrZqUtmYcZR0ttFiG4/edit?usp=sharing"",""ลำปาง!S186"")"),0)</f>
        <v>0</v>
      </c>
      <c r="U26" s="243">
        <f t="shared" ca="1" si="89"/>
        <v>0</v>
      </c>
      <c r="V26" s="243">
        <f t="shared" ca="1" si="90"/>
        <v>0</v>
      </c>
      <c r="W26" s="97">
        <f ca="1">IFERROR(__xludf.DUMMYFUNCTION("IMPORTRANGE(""https://docs.google.com/spreadsheets/d/1DY4XTNNwjluuxqdfdn6qvOSlMRrZqUtmYcZR0ttFiG4/edit?usp=sharing"",""ลำปาง!L196"")"),6000)</f>
        <v>6000</v>
      </c>
      <c r="X26" s="97">
        <f ca="1">IFERROR(__xludf.DUMMYFUNCTION("IMPORTRANGE(""https://docs.google.com/spreadsheets/d/1DY4XTNNwjluuxqdfdn6qvOSlMRrZqUtmYcZR0ttFiG4/edit?usp=sharing"",""ลำปาง!N196"")"),0)</f>
        <v>0</v>
      </c>
      <c r="Y26" s="98">
        <f t="shared" ca="1" si="92"/>
        <v>0</v>
      </c>
      <c r="Z26" s="97">
        <f ca="1">IFERROR(__xludf.DUMMYFUNCTION("IMPORTRANGE(""https://docs.google.com/spreadsheets/d/1DY4XTNNwjluuxqdfdn6qvOSlMRrZqUtmYcZR0ttFiG4/edit?usp=sharing"",""ลำปาง!I198"")"),4)</f>
        <v>4</v>
      </c>
      <c r="AA26" s="97">
        <f ca="1">IFERROR(__xludf.DUMMYFUNCTION("IMPORTRANGE(""https://docs.google.com/spreadsheets/d/1DY4XTNNwjluuxqdfdn6qvOSlMRrZqUtmYcZR0ttFiG4/edit?usp=sharing"",""ลำปาง!J198"")"),2)</f>
        <v>2</v>
      </c>
      <c r="AB26" s="98">
        <f t="shared" ca="1" si="94"/>
        <v>50</v>
      </c>
      <c r="AC26" s="97">
        <f ca="1">IFERROR(__xludf.DUMMYFUNCTION("IMPORTRANGE(""https://docs.google.com/spreadsheets/d/1DY4XTNNwjluuxqdfdn6qvOSlMRrZqUtmYcZR0ttFiG4/edit?usp=sharing"",""ลำปาง!J199"")"),50)</f>
        <v>50</v>
      </c>
      <c r="AD26" s="97">
        <f ca="1">IFERROR(__xludf.DUMMYFUNCTION("IMPORTRANGE(""https://docs.google.com/spreadsheets/d/1DY4XTNNwjluuxqdfdn6qvOSlMRrZqUtmYcZR0ttFiG4/edit?usp=sharing"",""ลำปาง!J200"")"),50)</f>
        <v>50</v>
      </c>
      <c r="AE26" s="97">
        <f ca="1">IFERROR(__xludf.DUMMYFUNCTION("IMPORTRANGE(""https://docs.google.com/spreadsheets/d/1DY4XTNNwjluuxqdfdn6qvOSlMRrZqUtmYcZR0ttFiG4/edit?usp=sharing"",""ลำปาง!J201"")"),0)</f>
        <v>0</v>
      </c>
      <c r="AF26" s="97">
        <f ca="1">IFERROR(__xludf.DUMMYFUNCTION("IMPORTRANGE(""https://docs.google.com/spreadsheets/d/1DY4XTNNwjluuxqdfdn6qvOSlMRrZqUtmYcZR0ttFiG4/edit?usp=sharing"",""ลำปาง!L204"")"),1000)</f>
        <v>1000</v>
      </c>
      <c r="AG26" s="97">
        <f ca="1">IFERROR(__xludf.DUMMYFUNCTION("IMPORTRANGE(""https://docs.google.com/spreadsheets/d/1DY4XTNNwjluuxqdfdn6qvOSlMRrZqUtmYcZR0ttFiG4/edit?usp=sharing"",""ลำปาง!N204"")"),0)</f>
        <v>0</v>
      </c>
      <c r="AH26" s="98">
        <f t="shared" ca="1" si="96"/>
        <v>0</v>
      </c>
      <c r="AI26" s="97">
        <f ca="1">IFERROR(__xludf.DUMMYFUNCTION("IMPORTRANGE(""https://docs.google.com/spreadsheets/d/1DY4XTNNwjluuxqdfdn6qvOSlMRrZqUtmYcZR0ttFiG4/edit?usp=sharing"",""ลำปาง!L206"")"),8000)</f>
        <v>8000</v>
      </c>
      <c r="AJ26" s="97">
        <f ca="1">IFERROR(__xludf.DUMMYFUNCTION("IMPORTRANGE(""https://docs.google.com/spreadsheets/d/1DY4XTNNwjluuxqdfdn6qvOSlMRrZqUtmYcZR0ttFiG4/edit?usp=sharing"",""ลำปาง!N206"")"),0)</f>
        <v>0</v>
      </c>
      <c r="AK26" s="98">
        <f t="shared" ca="1" si="98"/>
        <v>0</v>
      </c>
      <c r="AL26" s="97">
        <f ca="1">IFERROR(__xludf.DUMMYFUNCTION("IMPORTRANGE(""https://docs.google.com/spreadsheets/d/1DY4XTNNwjluuxqdfdn6qvOSlMRrZqUtmYcZR0ttFiG4/edit?usp=sharing"",""ลำปาง!L207"")"),7000)</f>
        <v>7000</v>
      </c>
      <c r="AM26" s="97">
        <f ca="1">IFERROR(__xludf.DUMMYFUNCTION("IMPORTRANGE(""https://docs.google.com/spreadsheets/d/1DY4XTNNwjluuxqdfdn6qvOSlMRrZqUtmYcZR0ttFiG4/edit?usp=sharing"",""ลำปาง!N207"")"),0)</f>
        <v>0</v>
      </c>
      <c r="AN26" s="98">
        <f t="shared" ca="1" si="100"/>
        <v>0</v>
      </c>
      <c r="AO26" s="97">
        <f ca="1">IFERROR(__xludf.DUMMYFUNCTION("IMPORTRANGE(""https://docs.google.com/spreadsheets/d/1DY4XTNNwjluuxqdfdn6qvOSlMRrZqUtmYcZR0ttFiG4/edit?usp=sharing"",""ลำปาง!I209"")"),1)</f>
        <v>1</v>
      </c>
      <c r="AP26" s="97">
        <f ca="1">IFERROR(__xludf.DUMMYFUNCTION("IMPORTRANGE(""https://docs.google.com/spreadsheets/d/1DY4XTNNwjluuxqdfdn6qvOSlMRrZqUtmYcZR0ttFiG4/edit?usp=sharing"",""ลำปาง!J209"")"),0)</f>
        <v>0</v>
      </c>
      <c r="AQ26" s="98">
        <f t="shared" ca="1" si="102"/>
        <v>0</v>
      </c>
      <c r="AR26" s="97">
        <f ca="1">IFERROR(__xludf.DUMMYFUNCTION("IMPORTRANGE(""https://docs.google.com/spreadsheets/d/1DY4XTNNwjluuxqdfdn6qvOSlMRrZqUtmYcZR0ttFiG4/edit?usp=sharing"",""ลำปาง!J211"")"),0)</f>
        <v>0</v>
      </c>
      <c r="AS26" s="97">
        <f ca="1">IFERROR(__xludf.DUMMYFUNCTION("IMPORTRANGE(""https://docs.google.com/spreadsheets/d/1DY4XTNNwjluuxqdfdn6qvOSlMRrZqUtmYcZR0ttFiG4/edit?usp=sharing"",""ลำปาง!J212"")"),0)</f>
        <v>0</v>
      </c>
      <c r="AT26" s="97">
        <f ca="1">IFERROR(__xludf.DUMMYFUNCTION("IMPORTRANGE(""https://docs.google.com/spreadsheets/d/1DY4XTNNwjluuxqdfdn6qvOSlMRrZqUtmYcZR0ttFiG4/edit?usp=sharing"",""ลำปาง!L215"")"),0)</f>
        <v>0</v>
      </c>
      <c r="AU26" s="97">
        <f ca="1">IFERROR(__xludf.DUMMYFUNCTION("IMPORTRANGE(""https://docs.google.com/spreadsheets/d/1DY4XTNNwjluuxqdfdn6qvOSlMRrZqUtmYcZR0ttFiG4/edit?usp=sharing"",""ลำปาง!N215"")"),0)</f>
        <v>0</v>
      </c>
      <c r="AV26" s="98">
        <f t="shared" ca="1" si="104"/>
        <v>0</v>
      </c>
      <c r="AW26" s="97">
        <f ca="1">IFERROR(__xludf.DUMMYFUNCTION("IMPORTRANGE(""https://docs.google.com/spreadsheets/d/1DY4XTNNwjluuxqdfdn6qvOSlMRrZqUtmYcZR0ttFiG4/edit?usp=sharing"",""ลำปาง!L216"")"),0)</f>
        <v>0</v>
      </c>
      <c r="AX26" s="97">
        <f ca="1">IFERROR(__xludf.DUMMYFUNCTION("IMPORTRANGE(""https://docs.google.com/spreadsheets/d/1DY4XTNNwjluuxqdfdn6qvOSlMRrZqUtmYcZR0ttFiG4/edit?usp=sharing"",""ลำปาง!N216"")"),0)</f>
        <v>0</v>
      </c>
      <c r="AY26" s="98">
        <f t="shared" ca="1" si="106"/>
        <v>0</v>
      </c>
      <c r="AZ26" s="97">
        <f ca="1">IFERROR(__xludf.DUMMYFUNCTION("IMPORTRANGE(""https://docs.google.com/spreadsheets/d/1DY4XTNNwjluuxqdfdn6qvOSlMRrZqUtmYcZR0ttFiG4/edit?usp=sharing"",""ลำปาง!L217"")"),0)</f>
        <v>0</v>
      </c>
      <c r="BA26" s="97">
        <f ca="1">IFERROR(__xludf.DUMMYFUNCTION("IMPORTRANGE(""https://docs.google.com/spreadsheets/d/1DY4XTNNwjluuxqdfdn6qvOSlMRrZqUtmYcZR0ttFiG4/edit?usp=sharing"",""ลำปาง!N217"")"),0)</f>
        <v>0</v>
      </c>
      <c r="BB26" s="98">
        <f t="shared" ca="1" si="108"/>
        <v>0</v>
      </c>
      <c r="BC26" s="97">
        <f ca="1">IFERROR(__xludf.DUMMYFUNCTION("IMPORTRANGE(""https://docs.google.com/spreadsheets/d/1DY4XTNNwjluuxqdfdn6qvOSlMRrZqUtmYcZR0ttFiG4/edit?usp=sharing"",""ลำปาง!I219"")"),0)</f>
        <v>0</v>
      </c>
      <c r="BD26" s="97">
        <f ca="1">IFERROR(__xludf.DUMMYFUNCTION("IMPORTRANGE(""https://docs.google.com/spreadsheets/d/1DY4XTNNwjluuxqdfdn6qvOSlMRrZqUtmYcZR0ttFiG4/edit?usp=sharing"",""ลำปาง!J219"")"),0)</f>
        <v>0</v>
      </c>
      <c r="BE26" s="98">
        <f t="shared" ca="1" si="110"/>
        <v>0</v>
      </c>
      <c r="BF26" s="97">
        <f ca="1">IFERROR(__xludf.DUMMYFUNCTION("IMPORTRANGE(""https://docs.google.com/spreadsheets/d/1DY4XTNNwjluuxqdfdn6qvOSlMRrZqUtmYcZR0ttFiG4/edit?usp=sharing"",""ลำปาง!I220"")"),0)</f>
        <v>0</v>
      </c>
      <c r="BG26" s="97">
        <f ca="1">IFERROR(__xludf.DUMMYFUNCTION("IMPORTRANGE(""https://docs.google.com/spreadsheets/d/1DY4XTNNwjluuxqdfdn6qvOSlMRrZqUtmYcZR0ttFiG4/edit?usp=sharing"",""ลำปาง!J220"")"),0)</f>
        <v>0</v>
      </c>
      <c r="BH26" s="98">
        <f t="shared" ca="1" si="112"/>
        <v>0</v>
      </c>
      <c r="BI26" s="97">
        <f ca="1">IFERROR(__xludf.DUMMYFUNCTION("IMPORTRANGE(""https://docs.google.com/spreadsheets/d/1DY4XTNNwjluuxqdfdn6qvOSlMRrZqUtmYcZR0ttFiG4/edit?usp=sharing"",""ลำปาง!L223"")"),7000)</f>
        <v>7000</v>
      </c>
      <c r="BJ26" s="97">
        <f ca="1">IFERROR(__xludf.DUMMYFUNCTION("IMPORTRANGE(""https://docs.google.com/spreadsheets/d/1DY4XTNNwjluuxqdfdn6qvOSlMRrZqUtmYcZR0ttFiG4/edit?usp=sharing"",""ลำปาง!N223"")"),0)</f>
        <v>0</v>
      </c>
      <c r="BK26" s="98">
        <f t="shared" ca="1" si="114"/>
        <v>0</v>
      </c>
      <c r="BL26" s="97">
        <f ca="1">IFERROR(__xludf.DUMMYFUNCTION("IMPORTRANGE(""https://docs.google.com/spreadsheets/d/1DY4XTNNwjluuxqdfdn6qvOSlMRrZqUtmYcZR0ttFiG4/edit?usp=sharing"",""ลำปาง!L224"")"),1500)</f>
        <v>1500</v>
      </c>
      <c r="BM26" s="97">
        <f ca="1">IFERROR(__xludf.DUMMYFUNCTION("IMPORTRANGE(""https://docs.google.com/spreadsheets/d/1DY4XTNNwjluuxqdfdn6qvOSlMRrZqUtmYcZR0ttFiG4/edit?usp=sharing"",""ลำปาง!N224"")"),0)</f>
        <v>0</v>
      </c>
      <c r="BN26" s="98">
        <f t="shared" ca="1" si="116"/>
        <v>0</v>
      </c>
      <c r="BO26" s="97">
        <f ca="1">IFERROR(__xludf.DUMMYFUNCTION("IMPORTRANGE(""https://docs.google.com/spreadsheets/d/1DY4XTNNwjluuxqdfdn6qvOSlMRrZqUtmYcZR0ttFiG4/edit?usp=sharing"",""ลำปาง!I228"")"),50000)</f>
        <v>50000</v>
      </c>
      <c r="BP26" s="97">
        <f ca="1">IFERROR(__xludf.DUMMYFUNCTION("IMPORTRANGE(""https://docs.google.com/spreadsheets/d/1DY4XTNNwjluuxqdfdn6qvOSlMRrZqUtmYcZR0ttFiG4/edit?usp=sharing"",""ลำปาง!J228"")"),0)</f>
        <v>0</v>
      </c>
      <c r="BQ26" s="98">
        <f t="shared" ca="1" si="118"/>
        <v>0</v>
      </c>
      <c r="BR26" s="97">
        <f ca="1">IFERROR(__xludf.DUMMYFUNCTION("IMPORTRANGE(""https://docs.google.com/spreadsheets/d/1DY4XTNNwjluuxqdfdn6qvOSlMRrZqUtmYcZR0ttFiG4/edit?usp=sharing"",""ลำปาง!I229"")"),50000)</f>
        <v>50000</v>
      </c>
      <c r="BS26" s="97">
        <f ca="1">IFERROR(__xludf.DUMMYFUNCTION("IMPORTRANGE(""https://docs.google.com/spreadsheets/d/1DY4XTNNwjluuxqdfdn6qvOSlMRrZqUtmYcZR0ttFiG4/edit?usp=sharing"",""ลำปาง!J229"")"),0)</f>
        <v>0</v>
      </c>
      <c r="BT26" s="98">
        <f t="shared" ca="1" si="120"/>
        <v>0</v>
      </c>
      <c r="BU26" s="97">
        <f ca="1">IFERROR(__xludf.DUMMYFUNCTION("IMPORTRANGE(""https://docs.google.com/spreadsheets/d/1DY4XTNNwjluuxqdfdn6qvOSlMRrZqUtmYcZR0ttFiG4/edit?usp=sharing"",""ลำปาง!I230"")"),0)</f>
        <v>0</v>
      </c>
      <c r="BV26" s="97">
        <f ca="1">IFERROR(__xludf.DUMMYFUNCTION("IMPORTRANGE(""https://docs.google.com/spreadsheets/d/1DY4XTNNwjluuxqdfdn6qvOSlMRrZqUtmYcZR0ttFiG4/edit?usp=sharing"",""ลำปาง!J230"")"),0)</f>
        <v>0</v>
      </c>
      <c r="BW26" s="98">
        <f t="shared" ca="1" si="122"/>
        <v>0</v>
      </c>
      <c r="BX26" s="97">
        <f ca="1">IFERROR(__xludf.DUMMYFUNCTION("IMPORTRANGE(""https://docs.google.com/spreadsheets/d/1DY4XTNNwjluuxqdfdn6qvOSlMRrZqUtmYcZR0ttFiG4/edit?usp=sharing"",""ลำปาง!L233"")"),0)</f>
        <v>0</v>
      </c>
      <c r="BY26" s="97">
        <f ca="1">IFERROR(__xludf.DUMMYFUNCTION("IMPORTRANGE(""https://docs.google.com/spreadsheets/d/1DY4XTNNwjluuxqdfdn6qvOSlMRrZqUtmYcZR0ttFiG4/edit?usp=sharing"",""ลำปาง!N233"")"),0)</f>
        <v>0</v>
      </c>
      <c r="BZ26" s="98">
        <f t="shared" ca="1" si="124"/>
        <v>0</v>
      </c>
      <c r="CA26" s="97">
        <f ca="1">IFERROR(__xludf.DUMMYFUNCTION("IMPORTRANGE(""https://docs.google.com/spreadsheets/d/1DY4XTNNwjluuxqdfdn6qvOSlMRrZqUtmYcZR0ttFiG4/edit?usp=sharing"",""ลำปาง!L234"")"),0)</f>
        <v>0</v>
      </c>
      <c r="CB26" s="97">
        <f ca="1">IFERROR(__xludf.DUMMYFUNCTION("IMPORTRANGE(""https://docs.google.com/spreadsheets/d/1DY4XTNNwjluuxqdfdn6qvOSlMRrZqUtmYcZR0ttFiG4/edit?usp=sharing"",""ลำปาง!N234"")"),0)</f>
        <v>0</v>
      </c>
      <c r="CC26" s="98">
        <f t="shared" ca="1" si="126"/>
        <v>0</v>
      </c>
      <c r="CD26" s="97">
        <f ca="1">IFERROR(__xludf.DUMMYFUNCTION("IMPORTRANGE(""https://docs.google.com/spreadsheets/d/1DY4XTNNwjluuxqdfdn6qvOSlMRrZqUtmYcZR0ttFiG4/edit?usp=sharing"",""ลำปาง!L235"")"),0)</f>
        <v>0</v>
      </c>
      <c r="CE26" s="97">
        <f ca="1">IFERROR(__xludf.DUMMYFUNCTION("IMPORTRANGE(""https://docs.google.com/spreadsheets/d/1DY4XTNNwjluuxqdfdn6qvOSlMRrZqUtmYcZR0ttFiG4/edit?usp=sharing"",""ลำปาง!N235"")"),0)</f>
        <v>0</v>
      </c>
      <c r="CF26" s="98">
        <f t="shared" ca="1" si="128"/>
        <v>0</v>
      </c>
      <c r="CG26" s="97">
        <f ca="1">IFERROR(__xludf.DUMMYFUNCTION("IMPORTRANGE(""https://docs.google.com/spreadsheets/d/1DY4XTNNwjluuxqdfdn6qvOSlMRrZqUtmYcZR0ttFiG4/edit?usp=sharing"",""ลำปาง!L236"")"),0)</f>
        <v>0</v>
      </c>
      <c r="CH26" s="97">
        <f ca="1">IFERROR(__xludf.DUMMYFUNCTION("IMPORTRANGE(""https://docs.google.com/spreadsheets/d/1DY4XTNNwjluuxqdfdn6qvOSlMRrZqUtmYcZR0ttFiG4/edit?usp=sharing"",""ลำปาง!N236"")"),0)</f>
        <v>0</v>
      </c>
      <c r="CI26" s="98">
        <f t="shared" ca="1" si="130"/>
        <v>0</v>
      </c>
      <c r="CJ26" s="97">
        <f ca="1">IFERROR(__xludf.DUMMYFUNCTION("IMPORTRANGE(""https://docs.google.com/spreadsheets/d/1DY4XTNNwjluuxqdfdn6qvOSlMRrZqUtmYcZR0ttFiG4/edit?usp=sharing"",""ลำปาง!I238"")"),0)</f>
        <v>0</v>
      </c>
      <c r="CK26" s="97">
        <f ca="1">IFERROR(__xludf.DUMMYFUNCTION("IMPORTRANGE(""https://docs.google.com/spreadsheets/d/1DY4XTNNwjluuxqdfdn6qvOSlMRrZqUtmYcZR0ttFiG4/edit?usp=sharing"",""ลำปาง!J238"")"),0)</f>
        <v>0</v>
      </c>
      <c r="CL26" s="98">
        <f t="shared" ca="1" si="132"/>
        <v>0</v>
      </c>
      <c r="CM26" s="97">
        <f ca="1">IFERROR(__xludf.DUMMYFUNCTION("IMPORTRANGE(""https://docs.google.com/spreadsheets/d/1DY4XTNNwjluuxqdfdn6qvOSlMRrZqUtmYcZR0ttFiG4/edit?usp=sharing"",""ลำปาง!J240"")"),0)</f>
        <v>0</v>
      </c>
      <c r="CN26" s="97">
        <f ca="1">IFERROR(__xludf.DUMMYFUNCTION("IMPORTRANGE(""https://docs.google.com/spreadsheets/d/1DY4XTNNwjluuxqdfdn6qvOSlMRrZqUtmYcZR0ttFiG4/edit?usp=sharing"",""ลำปาง!J241"")"),0)</f>
        <v>0</v>
      </c>
    </row>
    <row r="27" spans="1:92" ht="24" customHeight="1" x14ac:dyDescent="0.3">
      <c r="A27" s="89">
        <v>14</v>
      </c>
      <c r="B27" s="90" t="s">
        <v>53</v>
      </c>
      <c r="C27" s="174">
        <f t="shared" ca="1" si="80"/>
        <v>452600</v>
      </c>
      <c r="D27" s="175">
        <f t="shared" ca="1" si="134"/>
        <v>452600</v>
      </c>
      <c r="E27" s="176">
        <f ca="1">IFERROR(__xludf.DUMMYFUNCTION("IMPORTRANGE(""https://docs.google.com/spreadsheets/d/1-uDff_7J0KD5mKrp0Vvzr7lt3OU09vwQwhkpOPPYv2Y/edit?usp=sharing"",""งบพรบ!CV27"")"),0)</f>
        <v>0</v>
      </c>
      <c r="F27" s="176">
        <f ca="1">IFERROR(__xludf.DUMMYFUNCTION("IMPORTRANGE(""https://docs.google.com/spreadsheets/d/1-uDff_7J0KD5mKrp0Vvzr7lt3OU09vwQwhkpOPPYv2Y/edit?usp=sharing"",""งบพรบ!CW27"")"),452600)</f>
        <v>452600</v>
      </c>
      <c r="G27" s="176">
        <f ca="1">IFERROR(__xludf.DUMMYFUNCTION("IMPORTRANGE(""https://docs.google.com/spreadsheets/d/1-uDff_7J0KD5mKrp0Vvzr7lt3OU09vwQwhkpOPPYv2Y/edit?usp=sharing"",""งบพรบ!CX27"")"),0)</f>
        <v>0</v>
      </c>
      <c r="H27" s="176">
        <f ca="1">IFERROR(__xludf.DUMMYFUNCTION("IMPORTRANGE(""https://docs.google.com/spreadsheets/d/1-uDff_7J0KD5mKrp0Vvzr7lt3OU09vwQwhkpOPPYv2Y/edit?usp=sharing"",""งบพรบ!CZ27"")"),460800)</f>
        <v>460800</v>
      </c>
      <c r="I27" s="176">
        <f ca="1">IFERROR(__xludf.DUMMYFUNCTION("IMPORTRANGE(""https://docs.google.com/spreadsheets/d/1-uDff_7J0KD5mKrp0Vvzr7lt3OU09vwQwhkpOPPYv2Y/edit?usp=sharing"",""งบพรบ!DA27"")"),0)</f>
        <v>0</v>
      </c>
      <c r="J27" s="176">
        <f t="shared" ca="1" si="82"/>
        <v>138040</v>
      </c>
      <c r="K27" s="179">
        <f t="shared" ca="1" si="83"/>
        <v>30.499337163057888</v>
      </c>
      <c r="L27" s="176">
        <f ca="1">IFERROR(__xludf.DUMMYFUNCTION("IMPORTRANGE(""https://docs.google.com/spreadsheets/d/1-uDff_7J0KD5mKrp0Vvzr7lt3OU09vwQwhkpOPPYv2Y/edit?usp=sharing"",""งบพรบ!DB27"")"),138040)</f>
        <v>138040</v>
      </c>
      <c r="M27" s="87">
        <f t="shared" ca="1" si="84"/>
        <v>30.499337163057888</v>
      </c>
      <c r="N27" s="87">
        <f t="shared" ca="1" si="85"/>
        <v>29.956597222222221</v>
      </c>
      <c r="O27" s="86">
        <f ca="1">IFERROR(__xludf.DUMMYFUNCTION("IMPORTRANGE(""https://docs.google.com/spreadsheets/d/1-uDff_7J0KD5mKrp0Vvzr7lt3OU09vwQwhkpOPPYv2Y/edit?usp=sharing"",""งบพรบ!DC27"")"),0)</f>
        <v>0</v>
      </c>
      <c r="P27" s="86">
        <f t="shared" ca="1" si="86"/>
        <v>0</v>
      </c>
      <c r="Q27" s="87">
        <f t="shared" ca="1" si="87"/>
        <v>0</v>
      </c>
      <c r="R27" s="241">
        <f ca="1">IFERROR(__xludf.DUMMYFUNCTION("IMPORTRANGE(""https://docs.google.com/spreadsheets/d/1ICwG78r0OFT8biBlxnBF8r7she7gNSzOvJ958PWT09c/edit?usp=sharing"",""ลำพูน!Q186"")"),28000)</f>
        <v>28000</v>
      </c>
      <c r="S27" s="242">
        <f ca="1">IFERROR(__xludf.DUMMYFUNCTION("IMPORTRANGE(""https://docs.google.com/spreadsheets/d/1ICwG78r0OFT8biBlxnBF8r7she7gNSzOvJ958PWT09c/edit?usp=sharing"",""ลำพูน!R186"")"),0)</f>
        <v>0</v>
      </c>
      <c r="T27" s="242">
        <f ca="1">IFERROR(__xludf.DUMMYFUNCTION("IMPORTRANGE(""https://docs.google.com/spreadsheets/d/1ICwG78r0OFT8biBlxnBF8r7she7gNSzOvJ958PWT09c/edit?usp=sharing"",""ลำพูน!S186"")"),0)</f>
        <v>0</v>
      </c>
      <c r="U27" s="243">
        <f t="shared" ca="1" si="89"/>
        <v>0</v>
      </c>
      <c r="V27" s="243">
        <f t="shared" ca="1" si="90"/>
        <v>0</v>
      </c>
      <c r="W27" s="97">
        <f ca="1">IFERROR(__xludf.DUMMYFUNCTION("IMPORTRANGE(""https://docs.google.com/spreadsheets/d/1ICwG78r0OFT8biBlxnBF8r7she7gNSzOvJ958PWT09c/edit?usp=sharing"",""ลำพูน!L196"")"),6000)</f>
        <v>6000</v>
      </c>
      <c r="X27" s="97">
        <f ca="1">IFERROR(__xludf.DUMMYFUNCTION("IMPORTRANGE(""https://docs.google.com/spreadsheets/d/1ICwG78r0OFT8biBlxnBF8r7she7gNSzOvJ958PWT09c/edit?usp=sharing"",""ลำพูน!N196"")"),0)</f>
        <v>0</v>
      </c>
      <c r="Y27" s="98">
        <f t="shared" ca="1" si="92"/>
        <v>0</v>
      </c>
      <c r="Z27" s="97">
        <f ca="1">IFERROR(__xludf.DUMMYFUNCTION("IMPORTRANGE(""https://docs.google.com/spreadsheets/d/1ICwG78r0OFT8biBlxnBF8r7she7gNSzOvJ958PWT09c/edit?usp=sharing"",""ลำพูน!I198"")"),4)</f>
        <v>4</v>
      </c>
      <c r="AA27" s="97">
        <f ca="1">IFERROR(__xludf.DUMMYFUNCTION("IMPORTRANGE(""https://docs.google.com/spreadsheets/d/1ICwG78r0OFT8biBlxnBF8r7she7gNSzOvJ958PWT09c/edit?usp=sharing"",""ลำพูน!J198"")"),0)</f>
        <v>0</v>
      </c>
      <c r="AB27" s="98">
        <f t="shared" ca="1" si="94"/>
        <v>0</v>
      </c>
      <c r="AC27" s="97">
        <f ca="1">IFERROR(__xludf.DUMMYFUNCTION("IMPORTRANGE(""https://docs.google.com/spreadsheets/d/1ICwG78r0OFT8biBlxnBF8r7she7gNSzOvJ958PWT09c/edit?usp=sharing"",""ลำพูน!J199"")"),0)</f>
        <v>0</v>
      </c>
      <c r="AD27" s="97">
        <f ca="1">IFERROR(__xludf.DUMMYFUNCTION("IMPORTRANGE(""https://docs.google.com/spreadsheets/d/1ICwG78r0OFT8biBlxnBF8r7she7gNSzOvJ958PWT09c/edit?usp=sharing"",""ลำพูน!J200"")"),0)</f>
        <v>0</v>
      </c>
      <c r="AE27" s="97">
        <f ca="1">IFERROR(__xludf.DUMMYFUNCTION("IMPORTRANGE(""https://docs.google.com/spreadsheets/d/1ICwG78r0OFT8biBlxnBF8r7she7gNSzOvJ958PWT09c/edit?usp=sharing"",""ลำพูน!J201"")"),0)</f>
        <v>0</v>
      </c>
      <c r="AF27" s="97">
        <f ca="1">IFERROR(__xludf.DUMMYFUNCTION("IMPORTRANGE(""https://docs.google.com/spreadsheets/d/1ICwG78r0OFT8biBlxnBF8r7she7gNSzOvJ958PWT09c/edit?usp=sharing"",""ลำพูน!L204"")"),2000)</f>
        <v>2000</v>
      </c>
      <c r="AG27" s="97">
        <f ca="1">IFERROR(__xludf.DUMMYFUNCTION("IMPORTRANGE(""https://docs.google.com/spreadsheets/d/1ICwG78r0OFT8biBlxnBF8r7she7gNSzOvJ958PWT09c/edit?usp=sharing"",""ลำพูน!N204"")"),0)</f>
        <v>0</v>
      </c>
      <c r="AH27" s="98">
        <f t="shared" ca="1" si="96"/>
        <v>0</v>
      </c>
      <c r="AI27" s="97">
        <f ca="1">IFERROR(__xludf.DUMMYFUNCTION("IMPORTRANGE(""https://docs.google.com/spreadsheets/d/1ICwG78r0OFT8biBlxnBF8r7she7gNSzOvJ958PWT09c/edit?usp=sharing"",""ลำพูน!L206"")"),16000)</f>
        <v>16000</v>
      </c>
      <c r="AJ27" s="97">
        <f ca="1">IFERROR(__xludf.DUMMYFUNCTION("IMPORTRANGE(""https://docs.google.com/spreadsheets/d/1ICwG78r0OFT8biBlxnBF8r7she7gNSzOvJ958PWT09c/edit?usp=sharing"",""ลำพูน!N206"")"),0)</f>
        <v>0</v>
      </c>
      <c r="AK27" s="98">
        <f t="shared" ca="1" si="98"/>
        <v>0</v>
      </c>
      <c r="AL27" s="97">
        <f ca="1">IFERROR(__xludf.DUMMYFUNCTION("IMPORTRANGE(""https://docs.google.com/spreadsheets/d/1ICwG78r0OFT8biBlxnBF8r7she7gNSzOvJ958PWT09c/edit?usp=sharing"",""ลำพูน!L207"")"),13000)</f>
        <v>13000</v>
      </c>
      <c r="AM27" s="97">
        <f ca="1">IFERROR(__xludf.DUMMYFUNCTION("IMPORTRANGE(""https://docs.google.com/spreadsheets/d/1ICwG78r0OFT8biBlxnBF8r7she7gNSzOvJ958PWT09c/edit?usp=sharing"",""ลำพูน!N207"")"),0)</f>
        <v>0</v>
      </c>
      <c r="AN27" s="98">
        <f t="shared" ca="1" si="100"/>
        <v>0</v>
      </c>
      <c r="AO27" s="97">
        <f ca="1">IFERROR(__xludf.DUMMYFUNCTION("IMPORTRANGE(""https://docs.google.com/spreadsheets/d/1ICwG78r0OFT8biBlxnBF8r7she7gNSzOvJ958PWT09c/edit?usp=sharing"",""ลำพูน!I209"")"),2)</f>
        <v>2</v>
      </c>
      <c r="AP27" s="97">
        <f ca="1">IFERROR(__xludf.DUMMYFUNCTION("IMPORTRANGE(""https://docs.google.com/spreadsheets/d/1ICwG78r0OFT8biBlxnBF8r7she7gNSzOvJ958PWT09c/edit?usp=sharing"",""ลำพูน!J209"")"),0)</f>
        <v>0</v>
      </c>
      <c r="AQ27" s="98">
        <f t="shared" ca="1" si="102"/>
        <v>0</v>
      </c>
      <c r="AR27" s="97">
        <f ca="1">IFERROR(__xludf.DUMMYFUNCTION("IMPORTRANGE(""https://docs.google.com/spreadsheets/d/1ICwG78r0OFT8biBlxnBF8r7she7gNSzOvJ958PWT09c/edit?usp=sharing"",""ลำพูน!J211"")"),0)</f>
        <v>0</v>
      </c>
      <c r="AS27" s="97">
        <f ca="1">IFERROR(__xludf.DUMMYFUNCTION("IMPORTRANGE(""https://docs.google.com/spreadsheets/d/1ICwG78r0OFT8biBlxnBF8r7she7gNSzOvJ958PWT09c/edit?usp=sharing"",""ลำพูน!J212"")"),0)</f>
        <v>0</v>
      </c>
      <c r="AT27" s="97">
        <f ca="1">IFERROR(__xludf.DUMMYFUNCTION("IMPORTRANGE(""https://docs.google.com/spreadsheets/d/1ICwG78r0OFT8biBlxnBF8r7she7gNSzOvJ958PWT09c/edit?usp=sharing"",""ลำพูน!L215"")"),0)</f>
        <v>0</v>
      </c>
      <c r="AU27" s="97">
        <f ca="1">IFERROR(__xludf.DUMMYFUNCTION("IMPORTRANGE(""https://docs.google.com/spreadsheets/d/1ICwG78r0OFT8biBlxnBF8r7she7gNSzOvJ958PWT09c/edit?usp=sharing"",""ลำพูน!N215"")"),0)</f>
        <v>0</v>
      </c>
      <c r="AV27" s="98">
        <f t="shared" ca="1" si="104"/>
        <v>0</v>
      </c>
      <c r="AW27" s="97">
        <f ca="1">IFERROR(__xludf.DUMMYFUNCTION("IMPORTRANGE(""https://docs.google.com/spreadsheets/d/1ICwG78r0OFT8biBlxnBF8r7she7gNSzOvJ958PWT09c/edit?usp=sharing"",""ลำพูน!L216"")"),0)</f>
        <v>0</v>
      </c>
      <c r="AX27" s="97">
        <f ca="1">IFERROR(__xludf.DUMMYFUNCTION("IMPORTRANGE(""https://docs.google.com/spreadsheets/d/1ICwG78r0OFT8biBlxnBF8r7she7gNSzOvJ958PWT09c/edit?usp=sharing"",""ลำพูน!N216"")"),0)</f>
        <v>0</v>
      </c>
      <c r="AY27" s="98">
        <f t="shared" ca="1" si="106"/>
        <v>0</v>
      </c>
      <c r="AZ27" s="97">
        <f ca="1">IFERROR(__xludf.DUMMYFUNCTION("IMPORTRANGE(""https://docs.google.com/spreadsheets/d/1ICwG78r0OFT8biBlxnBF8r7she7gNSzOvJ958PWT09c/edit?usp=sharing"",""ลำพูน!L217"")"),0)</f>
        <v>0</v>
      </c>
      <c r="BA27" s="97">
        <f ca="1">IFERROR(__xludf.DUMMYFUNCTION("IMPORTRANGE(""https://docs.google.com/spreadsheets/d/1ICwG78r0OFT8biBlxnBF8r7she7gNSzOvJ958PWT09c/edit?usp=sharing"",""ลำพูน!N217"")"),0)</f>
        <v>0</v>
      </c>
      <c r="BB27" s="98">
        <f t="shared" ca="1" si="108"/>
        <v>0</v>
      </c>
      <c r="BC27" s="97">
        <f ca="1">IFERROR(__xludf.DUMMYFUNCTION("IMPORTRANGE(""https://docs.google.com/spreadsheets/d/1ICwG78r0OFT8biBlxnBF8r7she7gNSzOvJ958PWT09c/edit?usp=sharing"",""ลำพูน!I219"")"),0)</f>
        <v>0</v>
      </c>
      <c r="BD27" s="97">
        <f ca="1">IFERROR(__xludf.DUMMYFUNCTION("IMPORTRANGE(""https://docs.google.com/spreadsheets/d/1ICwG78r0OFT8biBlxnBF8r7she7gNSzOvJ958PWT09c/edit?usp=sharing"",""ลำพูน!J219"")"),0)</f>
        <v>0</v>
      </c>
      <c r="BE27" s="98">
        <f t="shared" ca="1" si="110"/>
        <v>0</v>
      </c>
      <c r="BF27" s="97">
        <f ca="1">IFERROR(__xludf.DUMMYFUNCTION("IMPORTRANGE(""https://docs.google.com/spreadsheets/d/1ICwG78r0OFT8biBlxnBF8r7she7gNSzOvJ958PWT09c/edit?usp=sharing"",""ลำพูน!I220"")"),0)</f>
        <v>0</v>
      </c>
      <c r="BG27" s="97">
        <f ca="1">IFERROR(__xludf.DUMMYFUNCTION("IMPORTRANGE(""https://docs.google.com/spreadsheets/d/1ICwG78r0OFT8biBlxnBF8r7she7gNSzOvJ958PWT09c/edit?usp=sharing"",""ลำพูน!J220"")"),0)</f>
        <v>0</v>
      </c>
      <c r="BH27" s="98">
        <f t="shared" ca="1" si="112"/>
        <v>0</v>
      </c>
      <c r="BI27" s="97">
        <f ca="1">IFERROR(__xludf.DUMMYFUNCTION("IMPORTRANGE(""https://docs.google.com/spreadsheets/d/1ICwG78r0OFT8biBlxnBF8r7she7gNSzOvJ958PWT09c/edit?usp=sharing"",""ลำพูน!L223"")"),11000)</f>
        <v>11000</v>
      </c>
      <c r="BJ27" s="97">
        <f ca="1">IFERROR(__xludf.DUMMYFUNCTION("IMPORTRANGE(""https://docs.google.com/spreadsheets/d/1ICwG78r0OFT8biBlxnBF8r7she7gNSzOvJ958PWT09c/edit?usp=sharing"",""ลำพูน!N223"")"),0)</f>
        <v>0</v>
      </c>
      <c r="BK27" s="98">
        <f t="shared" ca="1" si="114"/>
        <v>0</v>
      </c>
      <c r="BL27" s="97">
        <f ca="1">IFERROR(__xludf.DUMMYFUNCTION("IMPORTRANGE(""https://docs.google.com/spreadsheets/d/1ICwG78r0OFT8biBlxnBF8r7she7gNSzOvJ958PWT09c/edit?usp=sharing"",""ลำพูน!L224"")"),1500)</f>
        <v>1500</v>
      </c>
      <c r="BM27" s="97">
        <f ca="1">IFERROR(__xludf.DUMMYFUNCTION("IMPORTRANGE(""https://docs.google.com/spreadsheets/d/1ICwG78r0OFT8biBlxnBF8r7she7gNSzOvJ958PWT09c/edit?usp=sharing"",""ลำพูน!N224"")"),0)</f>
        <v>0</v>
      </c>
      <c r="BN27" s="98">
        <f t="shared" ca="1" si="116"/>
        <v>0</v>
      </c>
      <c r="BO27" s="97">
        <f ca="1">IFERROR(__xludf.DUMMYFUNCTION("IMPORTRANGE(""https://docs.google.com/spreadsheets/d/1ICwG78r0OFT8biBlxnBF8r7she7gNSzOvJ958PWT09c/edit?usp=sharing"",""ลำพูน!I228"")"),100000)</f>
        <v>100000</v>
      </c>
      <c r="BP27" s="97">
        <f ca="1">IFERROR(__xludf.DUMMYFUNCTION("IMPORTRANGE(""https://docs.google.com/spreadsheets/d/1ICwG78r0OFT8biBlxnBF8r7she7gNSzOvJ958PWT09c/edit?usp=sharing"",""ลำพูน!J228"")"),0)</f>
        <v>0</v>
      </c>
      <c r="BQ27" s="98">
        <f t="shared" ca="1" si="118"/>
        <v>0</v>
      </c>
      <c r="BR27" s="97">
        <f ca="1">IFERROR(__xludf.DUMMYFUNCTION("IMPORTRANGE(""https://docs.google.com/spreadsheets/d/1ICwG78r0OFT8biBlxnBF8r7she7gNSzOvJ958PWT09c/edit?usp=sharing"",""ลำพูน!I229"")"),100000)</f>
        <v>100000</v>
      </c>
      <c r="BS27" s="97">
        <f ca="1">IFERROR(__xludf.DUMMYFUNCTION("IMPORTRANGE(""https://docs.google.com/spreadsheets/d/1ICwG78r0OFT8biBlxnBF8r7she7gNSzOvJ958PWT09c/edit?usp=sharing"",""ลำพูน!J229"")"),0)</f>
        <v>0</v>
      </c>
      <c r="BT27" s="98">
        <f t="shared" ca="1" si="120"/>
        <v>0</v>
      </c>
      <c r="BU27" s="97">
        <f ca="1">IFERROR(__xludf.DUMMYFUNCTION("IMPORTRANGE(""https://docs.google.com/spreadsheets/d/1ICwG78r0OFT8biBlxnBF8r7she7gNSzOvJ958PWT09c/edit?usp=sharing"",""ลำพูน!I230"")"),0)</f>
        <v>0</v>
      </c>
      <c r="BV27" s="97">
        <f ca="1">IFERROR(__xludf.DUMMYFUNCTION("IMPORTRANGE(""https://docs.google.com/spreadsheets/d/1ICwG78r0OFT8biBlxnBF8r7she7gNSzOvJ958PWT09c/edit?usp=sharing"",""ลำพูน!J230"")"),0)</f>
        <v>0</v>
      </c>
      <c r="BW27" s="98">
        <f t="shared" ca="1" si="122"/>
        <v>0</v>
      </c>
      <c r="BX27" s="97">
        <f ca="1">IFERROR(__xludf.DUMMYFUNCTION("IMPORTRANGE(""https://docs.google.com/spreadsheets/d/1ICwG78r0OFT8biBlxnBF8r7she7gNSzOvJ958PWT09c/edit?usp=sharing"",""ลำพูน!L233"")"),257900)</f>
        <v>257900</v>
      </c>
      <c r="BY27" s="97">
        <f ca="1">IFERROR(__xludf.DUMMYFUNCTION("IMPORTRANGE(""https://docs.google.com/spreadsheets/d/1ICwG78r0OFT8biBlxnBF8r7she7gNSzOvJ958PWT09c/edit?usp=sharing"",""ลำพูน!N233"")"),0)</f>
        <v>0</v>
      </c>
      <c r="BZ27" s="98">
        <f t="shared" ca="1" si="124"/>
        <v>0</v>
      </c>
      <c r="CA27" s="97">
        <f ca="1">IFERROR(__xludf.DUMMYFUNCTION("IMPORTRANGE(""https://docs.google.com/spreadsheets/d/1ICwG78r0OFT8biBlxnBF8r7she7gNSzOvJ958PWT09c/edit?usp=sharing"",""ลำพูน!L234"")"),5000)</f>
        <v>5000</v>
      </c>
      <c r="CB27" s="97">
        <f ca="1">IFERROR(__xludf.DUMMYFUNCTION("IMPORTRANGE(""https://docs.google.com/spreadsheets/d/1ICwG78r0OFT8biBlxnBF8r7she7gNSzOvJ958PWT09c/edit?usp=sharing"",""ลำพูน!N234"")"),0)</f>
        <v>0</v>
      </c>
      <c r="CC27" s="98">
        <f t="shared" ca="1" si="126"/>
        <v>0</v>
      </c>
      <c r="CD27" s="97">
        <f ca="1">IFERROR(__xludf.DUMMYFUNCTION("IMPORTRANGE(""https://docs.google.com/spreadsheets/d/1ICwG78r0OFT8biBlxnBF8r7she7gNSzOvJ958PWT09c/edit?usp=sharing"",""ลำพูน!L235"")"),87200)</f>
        <v>87200</v>
      </c>
      <c r="CE27" s="97">
        <f ca="1">IFERROR(__xludf.DUMMYFUNCTION("IMPORTRANGE(""https://docs.google.com/spreadsheets/d/1ICwG78r0OFT8biBlxnBF8r7she7gNSzOvJ958PWT09c/edit?usp=sharing"",""ลำพูน!N235"")"),0)</f>
        <v>0</v>
      </c>
      <c r="CF27" s="98">
        <f t="shared" ca="1" si="128"/>
        <v>0</v>
      </c>
      <c r="CG27" s="97">
        <f ca="1">IFERROR(__xludf.DUMMYFUNCTION("IMPORTRANGE(""https://docs.google.com/spreadsheets/d/1ICwG78r0OFT8biBlxnBF8r7she7gNSzOvJ958PWT09c/edit?usp=sharing"",""ลำพูน!L236"")"),53000)</f>
        <v>53000</v>
      </c>
      <c r="CH27" s="97">
        <f ca="1">IFERROR(__xludf.DUMMYFUNCTION("IMPORTRANGE(""https://docs.google.com/spreadsheets/d/1ICwG78r0OFT8biBlxnBF8r7she7gNSzOvJ958PWT09c/edit?usp=sharing"",""ลำพูน!N236"")"),0)</f>
        <v>0</v>
      </c>
      <c r="CI27" s="98">
        <f t="shared" ca="1" si="130"/>
        <v>0</v>
      </c>
      <c r="CJ27" s="97">
        <f ca="1">IFERROR(__xludf.DUMMYFUNCTION("IMPORTRANGE(""https://docs.google.com/spreadsheets/d/1ICwG78r0OFT8biBlxnBF8r7she7gNSzOvJ958PWT09c/edit?usp=sharing"",""ลำพูน!I238"")"),40)</f>
        <v>40</v>
      </c>
      <c r="CK27" s="97">
        <f ca="1">IFERROR(__xludf.DUMMYFUNCTION("IMPORTRANGE(""https://docs.google.com/spreadsheets/d/1ICwG78r0OFT8biBlxnBF8r7she7gNSzOvJ958PWT09c/edit?usp=sharing"",""ลำพูน!J238"")"),10)</f>
        <v>10</v>
      </c>
      <c r="CL27" s="98">
        <f t="shared" ca="1" si="132"/>
        <v>25</v>
      </c>
      <c r="CM27" s="97">
        <f ca="1">IFERROR(__xludf.DUMMYFUNCTION("IMPORTRANGE(""https://docs.google.com/spreadsheets/d/1ICwG78r0OFT8biBlxnBF8r7she7gNSzOvJ958PWT09c/edit?usp=sharing"",""ลำพูน!J240"")"),0)</f>
        <v>0</v>
      </c>
      <c r="CN27" s="97">
        <f ca="1">IFERROR(__xludf.DUMMYFUNCTION("IMPORTRANGE(""https://docs.google.com/spreadsheets/d/1ICwG78r0OFT8biBlxnBF8r7she7gNSzOvJ958PWT09c/edit?usp=sharing"",""ลำพูน!J241"")"),0)</f>
        <v>0</v>
      </c>
    </row>
    <row r="28" spans="1:92" ht="24" customHeight="1" x14ac:dyDescent="0.3">
      <c r="A28" s="89">
        <v>15</v>
      </c>
      <c r="B28" s="90" t="s">
        <v>54</v>
      </c>
      <c r="C28" s="174">
        <f t="shared" ca="1" si="80"/>
        <v>66500</v>
      </c>
      <c r="D28" s="175">
        <f t="shared" ca="1" si="134"/>
        <v>66500</v>
      </c>
      <c r="E28" s="176">
        <f ca="1">IFERROR(__xludf.DUMMYFUNCTION("IMPORTRANGE(""https://docs.google.com/spreadsheets/d/1-uDff_7J0KD5mKrp0Vvzr7lt3OU09vwQwhkpOPPYv2Y/edit?usp=sharing"",""งบพรบ!CV28"")"),0)</f>
        <v>0</v>
      </c>
      <c r="F28" s="176">
        <f ca="1">IFERROR(__xludf.DUMMYFUNCTION("IMPORTRANGE(""https://docs.google.com/spreadsheets/d/1-uDff_7J0KD5mKrp0Vvzr7lt3OU09vwQwhkpOPPYv2Y/edit?usp=sharing"",""งบพรบ!CW28"")"),66500)</f>
        <v>66500</v>
      </c>
      <c r="G28" s="176">
        <f ca="1">IFERROR(__xludf.DUMMYFUNCTION("IMPORTRANGE(""https://docs.google.com/spreadsheets/d/1-uDff_7J0KD5mKrp0Vvzr7lt3OU09vwQwhkpOPPYv2Y/edit?usp=sharing"",""งบพรบ!CX28"")"),0)</f>
        <v>0</v>
      </c>
      <c r="H28" s="176">
        <f ca="1">IFERROR(__xludf.DUMMYFUNCTION("IMPORTRANGE(""https://docs.google.com/spreadsheets/d/1-uDff_7J0KD5mKrp0Vvzr7lt3OU09vwQwhkpOPPYv2Y/edit?usp=sharing"",""งบพรบ!CZ28"")"),66500)</f>
        <v>66500</v>
      </c>
      <c r="I28" s="176">
        <f ca="1">IFERROR(__xludf.DUMMYFUNCTION("IMPORTRANGE(""https://docs.google.com/spreadsheets/d/1-uDff_7J0KD5mKrp0Vvzr7lt3OU09vwQwhkpOPPYv2Y/edit?usp=sharing"",""งบพรบ!DA28"")"),0)</f>
        <v>0</v>
      </c>
      <c r="J28" s="176">
        <f t="shared" ca="1" si="82"/>
        <v>0</v>
      </c>
      <c r="K28" s="179">
        <f t="shared" ca="1" si="83"/>
        <v>0</v>
      </c>
      <c r="L28" s="176">
        <f ca="1">IFERROR(__xludf.DUMMYFUNCTION("IMPORTRANGE(""https://docs.google.com/spreadsheets/d/1-uDff_7J0KD5mKrp0Vvzr7lt3OU09vwQwhkpOPPYv2Y/edit?usp=sharing"",""งบพรบ!DB28"")"),0)</f>
        <v>0</v>
      </c>
      <c r="M28" s="87">
        <f t="shared" ca="1" si="84"/>
        <v>0</v>
      </c>
      <c r="N28" s="87">
        <f t="shared" ca="1" si="85"/>
        <v>0</v>
      </c>
      <c r="O28" s="86">
        <f ca="1">IFERROR(__xludf.DUMMYFUNCTION("IMPORTRANGE(""https://docs.google.com/spreadsheets/d/1-uDff_7J0KD5mKrp0Vvzr7lt3OU09vwQwhkpOPPYv2Y/edit?usp=sharing"",""งบพรบ!DC28"")"),0)</f>
        <v>0</v>
      </c>
      <c r="P28" s="86">
        <f t="shared" ca="1" si="86"/>
        <v>0</v>
      </c>
      <c r="Q28" s="87">
        <f t="shared" ca="1" si="87"/>
        <v>0</v>
      </c>
      <c r="R28" s="241">
        <f ca="1">IFERROR(__xludf.DUMMYFUNCTION("IMPORTRANGE(""https://docs.google.com/spreadsheets/d/1B0f2xJpZUC6Z0xXnqKlZtEPzsf6L84eP1r1Q15seqRM/edit?usp=sharing"",""สุโขทัย!Q186"")"),56000)</f>
        <v>56000</v>
      </c>
      <c r="S28" s="242">
        <f ca="1">IFERROR(__xludf.DUMMYFUNCTION("IMPORTRANGE(""https://docs.google.com/spreadsheets/d/1B0f2xJpZUC6Z0xXnqKlZtEPzsf6L84eP1r1Q15seqRM/edit?usp=sharing"",""สุโขทัย!R186"")"),0)</f>
        <v>0</v>
      </c>
      <c r="T28" s="242">
        <f ca="1">IFERROR(__xludf.DUMMYFUNCTION("IMPORTRANGE(""https://docs.google.com/spreadsheets/d/1B0f2xJpZUC6Z0xXnqKlZtEPzsf6L84eP1r1Q15seqRM/edit?usp=sharing"",""สุโขทัย!S186"")"),0)</f>
        <v>0</v>
      </c>
      <c r="U28" s="243">
        <f t="shared" ca="1" si="89"/>
        <v>0</v>
      </c>
      <c r="V28" s="243">
        <f t="shared" ca="1" si="90"/>
        <v>0</v>
      </c>
      <c r="W28" s="97">
        <f ca="1">IFERROR(__xludf.DUMMYFUNCTION("IMPORTRANGE(""https://docs.google.com/spreadsheets/d/1B0f2xJpZUC6Z0xXnqKlZtEPzsf6L84eP1r1Q15seqRM/edit?usp=sharing"",""สุโขทัย!L196"")"),6000)</f>
        <v>6000</v>
      </c>
      <c r="X28" s="97">
        <f ca="1">IFERROR(__xludf.DUMMYFUNCTION("IMPORTRANGE(""https://docs.google.com/spreadsheets/d/1B0f2xJpZUC6Z0xXnqKlZtEPzsf6L84eP1r1Q15seqRM/edit?usp=sharing"",""สุโขทัย!N196"")"),0)</f>
        <v>0</v>
      </c>
      <c r="Y28" s="98">
        <f t="shared" ca="1" si="92"/>
        <v>0</v>
      </c>
      <c r="Z28" s="97">
        <f ca="1">IFERROR(__xludf.DUMMYFUNCTION("IMPORTRANGE(""https://docs.google.com/spreadsheets/d/1B0f2xJpZUC6Z0xXnqKlZtEPzsf6L84eP1r1Q15seqRM/edit?usp=sharing"",""สุโขทัย!I198"")"),4)</f>
        <v>4</v>
      </c>
      <c r="AA28" s="97">
        <f ca="1">IFERROR(__xludf.DUMMYFUNCTION("IMPORTRANGE(""https://docs.google.com/spreadsheets/d/1B0f2xJpZUC6Z0xXnqKlZtEPzsf6L84eP1r1Q15seqRM/edit?usp=sharing"",""สุโขทัย!J198"")"),0)</f>
        <v>0</v>
      </c>
      <c r="AB28" s="98">
        <f t="shared" ca="1" si="94"/>
        <v>0</v>
      </c>
      <c r="AC28" s="97">
        <f ca="1">IFERROR(__xludf.DUMMYFUNCTION("IMPORTRANGE(""https://docs.google.com/spreadsheets/d/1B0f2xJpZUC6Z0xXnqKlZtEPzsf6L84eP1r1Q15seqRM/edit?usp=sharing"",""สุโขทัย!J199"")"),0)</f>
        <v>0</v>
      </c>
      <c r="AD28" s="97">
        <f ca="1">IFERROR(__xludf.DUMMYFUNCTION("IMPORTRANGE(""https://docs.google.com/spreadsheets/d/1B0f2xJpZUC6Z0xXnqKlZtEPzsf6L84eP1r1Q15seqRM/edit?usp=sharing"",""สุโขทัย!J200"")"),0)</f>
        <v>0</v>
      </c>
      <c r="AE28" s="97">
        <f ca="1">IFERROR(__xludf.DUMMYFUNCTION("IMPORTRANGE(""https://docs.google.com/spreadsheets/d/1B0f2xJpZUC6Z0xXnqKlZtEPzsf6L84eP1r1Q15seqRM/edit?usp=sharing"",""สุโขทัย!J201"")"),0)</f>
        <v>0</v>
      </c>
      <c r="AF28" s="97">
        <f ca="1">IFERROR(__xludf.DUMMYFUNCTION("IMPORTRANGE(""https://docs.google.com/spreadsheets/d/1B0f2xJpZUC6Z0xXnqKlZtEPzsf6L84eP1r1Q15seqRM/edit?usp=sharing"",""สุโขทัย!L204"")"),4000)</f>
        <v>4000</v>
      </c>
      <c r="AG28" s="97">
        <f ca="1">IFERROR(__xludf.DUMMYFUNCTION("IMPORTRANGE(""https://docs.google.com/spreadsheets/d/1B0f2xJpZUC6Z0xXnqKlZtEPzsf6L84eP1r1Q15seqRM/edit?usp=sharing"",""สุโขทัย!N204"")"),0)</f>
        <v>0</v>
      </c>
      <c r="AH28" s="98">
        <f t="shared" ca="1" si="96"/>
        <v>0</v>
      </c>
      <c r="AI28" s="97">
        <f ca="1">IFERROR(__xludf.DUMMYFUNCTION("IMPORTRANGE(""https://docs.google.com/spreadsheets/d/1B0f2xJpZUC6Z0xXnqKlZtEPzsf6L84eP1r1Q15seqRM/edit?usp=sharing"",""สุโขทัย!L206"")"),32000)</f>
        <v>32000</v>
      </c>
      <c r="AJ28" s="97">
        <f ca="1">IFERROR(__xludf.DUMMYFUNCTION("IMPORTRANGE(""https://docs.google.com/spreadsheets/d/1B0f2xJpZUC6Z0xXnqKlZtEPzsf6L84eP1r1Q15seqRM/edit?usp=sharing"",""สุโขทัย!N206"")"),0)</f>
        <v>0</v>
      </c>
      <c r="AK28" s="98">
        <f t="shared" ca="1" si="98"/>
        <v>0</v>
      </c>
      <c r="AL28" s="97">
        <f ca="1">IFERROR(__xludf.DUMMYFUNCTION("IMPORTRANGE(""https://docs.google.com/spreadsheets/d/1B0f2xJpZUC6Z0xXnqKlZtEPzsf6L84eP1r1Q15seqRM/edit?usp=sharing"",""สุโขทัย!L207"")"),16000)</f>
        <v>16000</v>
      </c>
      <c r="AM28" s="97">
        <f ca="1">IFERROR(__xludf.DUMMYFUNCTION("IMPORTRANGE(""https://docs.google.com/spreadsheets/d/1B0f2xJpZUC6Z0xXnqKlZtEPzsf6L84eP1r1Q15seqRM/edit?usp=sharing"",""สุโขทัย!N207"")"),0)</f>
        <v>0</v>
      </c>
      <c r="AN28" s="98">
        <f t="shared" ca="1" si="100"/>
        <v>0</v>
      </c>
      <c r="AO28" s="97">
        <f ca="1">IFERROR(__xludf.DUMMYFUNCTION("IMPORTRANGE(""https://docs.google.com/spreadsheets/d/1B0f2xJpZUC6Z0xXnqKlZtEPzsf6L84eP1r1Q15seqRM/edit?usp=sharing"",""สุโขทัย!I209"")"),4)</f>
        <v>4</v>
      </c>
      <c r="AP28" s="97">
        <f ca="1">IFERROR(__xludf.DUMMYFUNCTION("IMPORTRANGE(""https://docs.google.com/spreadsheets/d/1B0f2xJpZUC6Z0xXnqKlZtEPzsf6L84eP1r1Q15seqRM/edit?usp=sharing"",""สุโขทัย!J209"")"),0)</f>
        <v>0</v>
      </c>
      <c r="AQ28" s="98">
        <f t="shared" ca="1" si="102"/>
        <v>0</v>
      </c>
      <c r="AR28" s="97">
        <f ca="1">IFERROR(__xludf.DUMMYFUNCTION("IMPORTRANGE(""https://docs.google.com/spreadsheets/d/1B0f2xJpZUC6Z0xXnqKlZtEPzsf6L84eP1r1Q15seqRM/edit?usp=sharing"",""สุโขทัย!J211"")"),0)</f>
        <v>0</v>
      </c>
      <c r="AS28" s="97">
        <f ca="1">IFERROR(__xludf.DUMMYFUNCTION("IMPORTRANGE(""https://docs.google.com/spreadsheets/d/1B0f2xJpZUC6Z0xXnqKlZtEPzsf6L84eP1r1Q15seqRM/edit?usp=sharing"",""สุโขทัย!J212"")"),0)</f>
        <v>0</v>
      </c>
      <c r="AT28" s="97">
        <f ca="1">IFERROR(__xludf.DUMMYFUNCTION("IMPORTRANGE(""https://docs.google.com/spreadsheets/d/1B0f2xJpZUC6Z0xXnqKlZtEPzsf6L84eP1r1Q15seqRM/edit?usp=sharing"",""สุโขทัย!L215"")"),0)</f>
        <v>0</v>
      </c>
      <c r="AU28" s="97">
        <f ca="1">IFERROR(__xludf.DUMMYFUNCTION("IMPORTRANGE(""https://docs.google.com/spreadsheets/d/1B0f2xJpZUC6Z0xXnqKlZtEPzsf6L84eP1r1Q15seqRM/edit?usp=sharing"",""สุโขทัย!N215"")"),0)</f>
        <v>0</v>
      </c>
      <c r="AV28" s="98">
        <f t="shared" ca="1" si="104"/>
        <v>0</v>
      </c>
      <c r="AW28" s="97">
        <f ca="1">IFERROR(__xludf.DUMMYFUNCTION("IMPORTRANGE(""https://docs.google.com/spreadsheets/d/1B0f2xJpZUC6Z0xXnqKlZtEPzsf6L84eP1r1Q15seqRM/edit?usp=sharing"",""สุโขทัย!L216"")"),0)</f>
        <v>0</v>
      </c>
      <c r="AX28" s="97">
        <f ca="1">IFERROR(__xludf.DUMMYFUNCTION("IMPORTRANGE(""https://docs.google.com/spreadsheets/d/1B0f2xJpZUC6Z0xXnqKlZtEPzsf6L84eP1r1Q15seqRM/edit?usp=sharing"",""สุโขทัย!N216"")"),0)</f>
        <v>0</v>
      </c>
      <c r="AY28" s="98">
        <f t="shared" ca="1" si="106"/>
        <v>0</v>
      </c>
      <c r="AZ28" s="97">
        <f ca="1">IFERROR(__xludf.DUMMYFUNCTION("IMPORTRANGE(""https://docs.google.com/spreadsheets/d/1B0f2xJpZUC6Z0xXnqKlZtEPzsf6L84eP1r1Q15seqRM/edit?usp=sharing"",""สุโขทัย!L217"")"),0)</f>
        <v>0</v>
      </c>
      <c r="BA28" s="97">
        <f ca="1">IFERROR(__xludf.DUMMYFUNCTION("IMPORTRANGE(""https://docs.google.com/spreadsheets/d/1B0f2xJpZUC6Z0xXnqKlZtEPzsf6L84eP1r1Q15seqRM/edit?usp=sharing"",""สุโขทัย!N217"")"),0)</f>
        <v>0</v>
      </c>
      <c r="BB28" s="98">
        <f t="shared" ca="1" si="108"/>
        <v>0</v>
      </c>
      <c r="BC28" s="97">
        <f ca="1">IFERROR(__xludf.DUMMYFUNCTION("IMPORTRANGE(""https://docs.google.com/spreadsheets/d/1B0f2xJpZUC6Z0xXnqKlZtEPzsf6L84eP1r1Q15seqRM/edit?usp=sharing"",""สุโขทัย!I219"")"),0)</f>
        <v>0</v>
      </c>
      <c r="BD28" s="97">
        <f ca="1">IFERROR(__xludf.DUMMYFUNCTION("IMPORTRANGE(""https://docs.google.com/spreadsheets/d/1B0f2xJpZUC6Z0xXnqKlZtEPzsf6L84eP1r1Q15seqRM/edit?usp=sharing"",""สุโขทัย!J219"")"),0)</f>
        <v>0</v>
      </c>
      <c r="BE28" s="98">
        <f t="shared" ca="1" si="110"/>
        <v>0</v>
      </c>
      <c r="BF28" s="97">
        <f ca="1">IFERROR(__xludf.DUMMYFUNCTION("IMPORTRANGE(""https://docs.google.com/spreadsheets/d/1B0f2xJpZUC6Z0xXnqKlZtEPzsf6L84eP1r1Q15seqRM/edit?usp=sharing"",""สุโขทัย!I220"")"),0)</f>
        <v>0</v>
      </c>
      <c r="BG28" s="97">
        <f ca="1">IFERROR(__xludf.DUMMYFUNCTION("IMPORTRANGE(""https://docs.google.com/spreadsheets/d/1B0f2xJpZUC6Z0xXnqKlZtEPzsf6L84eP1r1Q15seqRM/edit?usp=sharing"",""สุโขทัย!J220"")"),0)</f>
        <v>0</v>
      </c>
      <c r="BH28" s="98">
        <f t="shared" ca="1" si="112"/>
        <v>0</v>
      </c>
      <c r="BI28" s="97">
        <f ca="1">IFERROR(__xludf.DUMMYFUNCTION("IMPORTRANGE(""https://docs.google.com/spreadsheets/d/1B0f2xJpZUC6Z0xXnqKlZtEPzsf6L84eP1r1Q15seqRM/edit?usp=sharing"",""สุโขทัย!L223"")"),7000)</f>
        <v>7000</v>
      </c>
      <c r="BJ28" s="97">
        <f ca="1">IFERROR(__xludf.DUMMYFUNCTION("IMPORTRANGE(""https://docs.google.com/spreadsheets/d/1B0f2xJpZUC6Z0xXnqKlZtEPzsf6L84eP1r1Q15seqRM/edit?usp=sharing"",""สุโขทัย!N223"")"),0)</f>
        <v>0</v>
      </c>
      <c r="BK28" s="98">
        <f t="shared" ca="1" si="114"/>
        <v>0</v>
      </c>
      <c r="BL28" s="97">
        <f ca="1">IFERROR(__xludf.DUMMYFUNCTION("IMPORTRANGE(""https://docs.google.com/spreadsheets/d/1B0f2xJpZUC6Z0xXnqKlZtEPzsf6L84eP1r1Q15seqRM/edit?usp=sharing"",""สุโขทัย!L224"")"),1500)</f>
        <v>1500</v>
      </c>
      <c r="BM28" s="97">
        <f ca="1">IFERROR(__xludf.DUMMYFUNCTION("IMPORTRANGE(""https://docs.google.com/spreadsheets/d/1B0f2xJpZUC6Z0xXnqKlZtEPzsf6L84eP1r1Q15seqRM/edit?usp=sharing"",""สุโขทัย!N224"")"),0)</f>
        <v>0</v>
      </c>
      <c r="BN28" s="98">
        <f t="shared" ca="1" si="116"/>
        <v>0</v>
      </c>
      <c r="BO28" s="97">
        <f ca="1">IFERROR(__xludf.DUMMYFUNCTION("IMPORTRANGE(""https://docs.google.com/spreadsheets/d/1B0f2xJpZUC6Z0xXnqKlZtEPzsf6L84eP1r1Q15seqRM/edit?usp=sharing"",""สุโขทัย!I228"")"),50000)</f>
        <v>50000</v>
      </c>
      <c r="BP28" s="97">
        <f ca="1">IFERROR(__xludf.DUMMYFUNCTION("IMPORTRANGE(""https://docs.google.com/spreadsheets/d/1B0f2xJpZUC6Z0xXnqKlZtEPzsf6L84eP1r1Q15seqRM/edit?usp=sharing"",""สุโขทัย!J228"")"),0)</f>
        <v>0</v>
      </c>
      <c r="BQ28" s="98">
        <f t="shared" ca="1" si="118"/>
        <v>0</v>
      </c>
      <c r="BR28" s="97">
        <f ca="1">IFERROR(__xludf.DUMMYFUNCTION("IMPORTRANGE(""https://docs.google.com/spreadsheets/d/1B0f2xJpZUC6Z0xXnqKlZtEPzsf6L84eP1r1Q15seqRM/edit?usp=sharing"",""สุโขทัย!I229"")"),50000)</f>
        <v>50000</v>
      </c>
      <c r="BS28" s="97">
        <f ca="1">IFERROR(__xludf.DUMMYFUNCTION("IMPORTRANGE(""https://docs.google.com/spreadsheets/d/1B0f2xJpZUC6Z0xXnqKlZtEPzsf6L84eP1r1Q15seqRM/edit?usp=sharing"",""สุโขทัย!J229"")"),0)</f>
        <v>0</v>
      </c>
      <c r="BT28" s="98">
        <f t="shared" ca="1" si="120"/>
        <v>0</v>
      </c>
      <c r="BU28" s="97">
        <f ca="1">IFERROR(__xludf.DUMMYFUNCTION("IMPORTRANGE(""https://docs.google.com/spreadsheets/d/1B0f2xJpZUC6Z0xXnqKlZtEPzsf6L84eP1r1Q15seqRM/edit?usp=sharing"",""สุโขทัย!I230"")"),0)</f>
        <v>0</v>
      </c>
      <c r="BV28" s="97">
        <f ca="1">IFERROR(__xludf.DUMMYFUNCTION("IMPORTRANGE(""https://docs.google.com/spreadsheets/d/1B0f2xJpZUC6Z0xXnqKlZtEPzsf6L84eP1r1Q15seqRM/edit?usp=sharing"",""สุโขทัย!J230"")"),0)</f>
        <v>0</v>
      </c>
      <c r="BW28" s="98">
        <f t="shared" ca="1" si="122"/>
        <v>0</v>
      </c>
      <c r="BX28" s="97">
        <f ca="1">IFERROR(__xludf.DUMMYFUNCTION("IMPORTRANGE(""https://docs.google.com/spreadsheets/d/1B0f2xJpZUC6Z0xXnqKlZtEPzsf6L84eP1r1Q15seqRM/edit?usp=sharing"",""สุโขทัย!L233"")"),0)</f>
        <v>0</v>
      </c>
      <c r="BY28" s="97">
        <f ca="1">IFERROR(__xludf.DUMMYFUNCTION("IMPORTRANGE(""https://docs.google.com/spreadsheets/d/1B0f2xJpZUC6Z0xXnqKlZtEPzsf6L84eP1r1Q15seqRM/edit?usp=sharing"",""สุโขทัย!N233"")"),0)</f>
        <v>0</v>
      </c>
      <c r="BZ28" s="98">
        <f t="shared" ca="1" si="124"/>
        <v>0</v>
      </c>
      <c r="CA28" s="97">
        <f ca="1">IFERROR(__xludf.DUMMYFUNCTION("IMPORTRANGE(""https://docs.google.com/spreadsheets/d/1B0f2xJpZUC6Z0xXnqKlZtEPzsf6L84eP1r1Q15seqRM/edit?usp=sharing"",""สุโขทัย!L234"")"),0)</f>
        <v>0</v>
      </c>
      <c r="CB28" s="97">
        <f ca="1">IFERROR(__xludf.DUMMYFUNCTION("IMPORTRANGE(""https://docs.google.com/spreadsheets/d/1B0f2xJpZUC6Z0xXnqKlZtEPzsf6L84eP1r1Q15seqRM/edit?usp=sharing"",""สุโขทัย!N234"")"),0)</f>
        <v>0</v>
      </c>
      <c r="CC28" s="98">
        <f t="shared" ca="1" si="126"/>
        <v>0</v>
      </c>
      <c r="CD28" s="97">
        <f ca="1">IFERROR(__xludf.DUMMYFUNCTION("IMPORTRANGE(""https://docs.google.com/spreadsheets/d/1B0f2xJpZUC6Z0xXnqKlZtEPzsf6L84eP1r1Q15seqRM/edit?usp=sharing"",""สุโขทัย!L235"")"),0)</f>
        <v>0</v>
      </c>
      <c r="CE28" s="97">
        <f ca="1">IFERROR(__xludf.DUMMYFUNCTION("IMPORTRANGE(""https://docs.google.com/spreadsheets/d/1B0f2xJpZUC6Z0xXnqKlZtEPzsf6L84eP1r1Q15seqRM/edit?usp=sharing"",""สุโขทัย!N235"")"),0)</f>
        <v>0</v>
      </c>
      <c r="CF28" s="98">
        <f t="shared" ca="1" si="128"/>
        <v>0</v>
      </c>
      <c r="CG28" s="97">
        <f ca="1">IFERROR(__xludf.DUMMYFUNCTION("IMPORTRANGE(""https://docs.google.com/spreadsheets/d/1B0f2xJpZUC6Z0xXnqKlZtEPzsf6L84eP1r1Q15seqRM/edit?usp=sharing"",""สุโขทัย!L236"")"),0)</f>
        <v>0</v>
      </c>
      <c r="CH28" s="97">
        <f ca="1">IFERROR(__xludf.DUMMYFUNCTION("IMPORTRANGE(""https://docs.google.com/spreadsheets/d/1B0f2xJpZUC6Z0xXnqKlZtEPzsf6L84eP1r1Q15seqRM/edit?usp=sharing"",""สุโขทัย!N236"")"),0)</f>
        <v>0</v>
      </c>
      <c r="CI28" s="98">
        <f t="shared" ca="1" si="130"/>
        <v>0</v>
      </c>
      <c r="CJ28" s="97">
        <f ca="1">IFERROR(__xludf.DUMMYFUNCTION("IMPORTRANGE(""https://docs.google.com/spreadsheets/d/1B0f2xJpZUC6Z0xXnqKlZtEPzsf6L84eP1r1Q15seqRM/edit?usp=sharing"",""สุโขทัย!I238"")"),0)</f>
        <v>0</v>
      </c>
      <c r="CK28" s="97">
        <f ca="1">IFERROR(__xludf.DUMMYFUNCTION("IMPORTRANGE(""https://docs.google.com/spreadsheets/d/1B0f2xJpZUC6Z0xXnqKlZtEPzsf6L84eP1r1Q15seqRM/edit?usp=sharing"",""สุโขทัย!J238"")"),0)</f>
        <v>0</v>
      </c>
      <c r="CL28" s="98">
        <f t="shared" ca="1" si="132"/>
        <v>0</v>
      </c>
      <c r="CM28" s="97">
        <f ca="1">IFERROR(__xludf.DUMMYFUNCTION("IMPORTRANGE(""https://docs.google.com/spreadsheets/d/1B0f2xJpZUC6Z0xXnqKlZtEPzsf6L84eP1r1Q15seqRM/edit?usp=sharing"",""สุโขทัย!J240"")"),0)</f>
        <v>0</v>
      </c>
      <c r="CN28" s="97">
        <f ca="1">IFERROR(__xludf.DUMMYFUNCTION("IMPORTRANGE(""https://docs.google.com/spreadsheets/d/1B0f2xJpZUC6Z0xXnqKlZtEPzsf6L84eP1r1Q15seqRM/edit?usp=sharing"",""สุโขทัย!J241"")"),0)</f>
        <v>0</v>
      </c>
    </row>
    <row r="29" spans="1:92" ht="24" customHeight="1" x14ac:dyDescent="0.3">
      <c r="A29" s="89">
        <v>16</v>
      </c>
      <c r="B29" s="90" t="s">
        <v>55</v>
      </c>
      <c r="C29" s="174">
        <f t="shared" ca="1" si="80"/>
        <v>161500</v>
      </c>
      <c r="D29" s="175">
        <f t="shared" ca="1" si="134"/>
        <v>161500</v>
      </c>
      <c r="E29" s="176">
        <f ca="1">IFERROR(__xludf.DUMMYFUNCTION("IMPORTRANGE(""https://docs.google.com/spreadsheets/d/1-uDff_7J0KD5mKrp0Vvzr7lt3OU09vwQwhkpOPPYv2Y/edit?usp=sharing"",""งบพรบ!CV29"")"),91000)</f>
        <v>91000</v>
      </c>
      <c r="F29" s="176">
        <f ca="1">IFERROR(__xludf.DUMMYFUNCTION("IMPORTRANGE(""https://docs.google.com/spreadsheets/d/1-uDff_7J0KD5mKrp0Vvzr7lt3OU09vwQwhkpOPPYv2Y/edit?usp=sharing"",""งบพรบ!CW29"")"),70500)</f>
        <v>70500</v>
      </c>
      <c r="G29" s="176">
        <f ca="1">IFERROR(__xludf.DUMMYFUNCTION("IMPORTRANGE(""https://docs.google.com/spreadsheets/d/1-uDff_7J0KD5mKrp0Vvzr7lt3OU09vwQwhkpOPPYv2Y/edit?usp=sharing"",""งบพรบ!CX29"")"),0)</f>
        <v>0</v>
      </c>
      <c r="H29" s="176">
        <f ca="1">IFERROR(__xludf.DUMMYFUNCTION("IMPORTRANGE(""https://docs.google.com/spreadsheets/d/1-uDff_7J0KD5mKrp0Vvzr7lt3OU09vwQwhkpOPPYv2Y/edit?usp=sharing"",""งบพรบ!CZ29"")"),161500)</f>
        <v>161500</v>
      </c>
      <c r="I29" s="176">
        <f ca="1">IFERROR(__xludf.DUMMYFUNCTION("IMPORTRANGE(""https://docs.google.com/spreadsheets/d/1-uDff_7J0KD5mKrp0Vvzr7lt3OU09vwQwhkpOPPYv2Y/edit?usp=sharing"",""งบพรบ!DA29"")"),0)</f>
        <v>0</v>
      </c>
      <c r="J29" s="176">
        <f t="shared" ca="1" si="82"/>
        <v>46870</v>
      </c>
      <c r="K29" s="179">
        <f t="shared" ca="1" si="83"/>
        <v>29.021671826625386</v>
      </c>
      <c r="L29" s="176">
        <f ca="1">IFERROR(__xludf.DUMMYFUNCTION("IMPORTRANGE(""https://docs.google.com/spreadsheets/d/1-uDff_7J0KD5mKrp0Vvzr7lt3OU09vwQwhkpOPPYv2Y/edit?usp=sharing"",""งบพรบ!DB29"")"),46870)</f>
        <v>46870</v>
      </c>
      <c r="M29" s="87">
        <f t="shared" ca="1" si="84"/>
        <v>29.021671826625386</v>
      </c>
      <c r="N29" s="87">
        <f t="shared" ca="1" si="85"/>
        <v>29.021671826625386</v>
      </c>
      <c r="O29" s="86">
        <f ca="1">IFERROR(__xludf.DUMMYFUNCTION("IMPORTRANGE(""https://docs.google.com/spreadsheets/d/1-uDff_7J0KD5mKrp0Vvzr7lt3OU09vwQwhkpOPPYv2Y/edit?usp=sharing"",""งบพรบ!DC29"")"),0)</f>
        <v>0</v>
      </c>
      <c r="P29" s="86">
        <f t="shared" ca="1" si="86"/>
        <v>0</v>
      </c>
      <c r="Q29" s="87">
        <f t="shared" ca="1" si="87"/>
        <v>0</v>
      </c>
      <c r="R29" s="241">
        <f ca="1">IFERROR(__xludf.DUMMYFUNCTION("IMPORTRANGE(""https://docs.google.com/spreadsheets/d/1v0b9pFQCsKUVExMei7AgY2yQkdeNQvtOssygGsXbiKo/edit?usp=sharing"",""อุตรดิตถ์!Q186"")"),91700)</f>
        <v>91700</v>
      </c>
      <c r="S29" s="242">
        <f ca="1">IFERROR(__xludf.DUMMYFUNCTION("IMPORTRANGE(""https://docs.google.com/spreadsheets/d/1v0b9pFQCsKUVExMei7AgY2yQkdeNQvtOssygGsXbiKo/edit?usp=sharing"",""อุตรดิตถ์!R186"")"),0)</f>
        <v>0</v>
      </c>
      <c r="T29" s="242">
        <f ca="1">IFERROR(__xludf.DUMMYFUNCTION("IMPORTRANGE(""https://docs.google.com/spreadsheets/d/1v0b9pFQCsKUVExMei7AgY2yQkdeNQvtOssygGsXbiKo/edit?usp=sharing"",""อุตรดิตถ์!S186"")"),0)</f>
        <v>0</v>
      </c>
      <c r="U29" s="243">
        <f t="shared" ca="1" si="89"/>
        <v>0</v>
      </c>
      <c r="V29" s="243">
        <f t="shared" ca="1" si="90"/>
        <v>0</v>
      </c>
      <c r="W29" s="97">
        <f ca="1">IFERROR(__xludf.DUMMYFUNCTION("IMPORTRANGE(""https://docs.google.com/spreadsheets/d/1v0b9pFQCsKUVExMei7AgY2yQkdeNQvtOssygGsXbiKo/edit?usp=sharing"",""อุตรดิตถ์!L196"")"),6000)</f>
        <v>6000</v>
      </c>
      <c r="X29" s="97">
        <f ca="1">IFERROR(__xludf.DUMMYFUNCTION("IMPORTRANGE(""https://docs.google.com/spreadsheets/d/1v0b9pFQCsKUVExMei7AgY2yQkdeNQvtOssygGsXbiKo/edit?usp=sharing"",""อุตรดิตถ์!N196"")"),0)</f>
        <v>0</v>
      </c>
      <c r="Y29" s="98">
        <f t="shared" ca="1" si="92"/>
        <v>0</v>
      </c>
      <c r="Z29" s="97">
        <f ca="1">IFERROR(__xludf.DUMMYFUNCTION("IMPORTRANGE(""https://docs.google.com/spreadsheets/d/1v0b9pFQCsKUVExMei7AgY2yQkdeNQvtOssygGsXbiKo/edit?usp=sharing"",""อุตรดิตถ์!I198"")"),4)</f>
        <v>4</v>
      </c>
      <c r="AA29" s="97">
        <f ca="1">IFERROR(__xludf.DUMMYFUNCTION("IMPORTRANGE(""https://docs.google.com/spreadsheets/d/1v0b9pFQCsKUVExMei7AgY2yQkdeNQvtOssygGsXbiKo/edit?usp=sharing"",""อุตรดิตถ์!J198"")"),0)</f>
        <v>0</v>
      </c>
      <c r="AB29" s="98">
        <f t="shared" ca="1" si="94"/>
        <v>0</v>
      </c>
      <c r="AC29" s="97">
        <f ca="1">IFERROR(__xludf.DUMMYFUNCTION("IMPORTRANGE(""https://docs.google.com/spreadsheets/d/1v0b9pFQCsKUVExMei7AgY2yQkdeNQvtOssygGsXbiKo/edit?usp=sharing"",""อุตรดิตถ์!J199"")"),0)</f>
        <v>0</v>
      </c>
      <c r="AD29" s="97">
        <f ca="1">IFERROR(__xludf.DUMMYFUNCTION("IMPORTRANGE(""https://docs.google.com/spreadsheets/d/1v0b9pFQCsKUVExMei7AgY2yQkdeNQvtOssygGsXbiKo/edit?usp=sharing"",""อุตรดิตถ์!J200"")"),0)</f>
        <v>0</v>
      </c>
      <c r="AE29" s="97">
        <f ca="1">IFERROR(__xludf.DUMMYFUNCTION("IMPORTRANGE(""https://docs.google.com/spreadsheets/d/1v0b9pFQCsKUVExMei7AgY2yQkdeNQvtOssygGsXbiKo/edit?usp=sharing"",""อุตรดิตถ์!J201"")"),0)</f>
        <v>0</v>
      </c>
      <c r="AF29" s="97">
        <f ca="1">IFERROR(__xludf.DUMMYFUNCTION("IMPORTRANGE(""https://docs.google.com/spreadsheets/d/1v0b9pFQCsKUVExMei7AgY2yQkdeNQvtOssygGsXbiKo/edit?usp=sharing"",""อุตรดิตถ์!L204"")"),3000)</f>
        <v>3000</v>
      </c>
      <c r="AG29" s="97">
        <f ca="1">IFERROR(__xludf.DUMMYFUNCTION("IMPORTRANGE(""https://docs.google.com/spreadsheets/d/1v0b9pFQCsKUVExMei7AgY2yQkdeNQvtOssygGsXbiKo/edit?usp=sharing"",""อุตรดิตถ์!N204"")"),0)</f>
        <v>0</v>
      </c>
      <c r="AH29" s="98">
        <f t="shared" ca="1" si="96"/>
        <v>0</v>
      </c>
      <c r="AI29" s="97">
        <f ca="1">IFERROR(__xludf.DUMMYFUNCTION("IMPORTRANGE(""https://docs.google.com/spreadsheets/d/1v0b9pFQCsKUVExMei7AgY2yQkdeNQvtOssygGsXbiKo/edit?usp=sharing"",""อุตรดิตถ์!L206"")"),24000)</f>
        <v>24000</v>
      </c>
      <c r="AJ29" s="97">
        <f ca="1">IFERROR(__xludf.DUMMYFUNCTION("IMPORTRANGE(""https://docs.google.com/spreadsheets/d/1v0b9pFQCsKUVExMei7AgY2yQkdeNQvtOssygGsXbiKo/edit?usp=sharing"",""อุตรดิตถ์!N206"")"),0)</f>
        <v>0</v>
      </c>
      <c r="AK29" s="98">
        <f t="shared" ca="1" si="98"/>
        <v>0</v>
      </c>
      <c r="AL29" s="97">
        <f ca="1">IFERROR(__xludf.DUMMYFUNCTION("IMPORTRANGE(""https://docs.google.com/spreadsheets/d/1v0b9pFQCsKUVExMei7AgY2yQkdeNQvtOssygGsXbiKo/edit?usp=sharing"",""อุตรดิตถ์!L207"")"),17000)</f>
        <v>17000</v>
      </c>
      <c r="AM29" s="97">
        <f ca="1">IFERROR(__xludf.DUMMYFUNCTION("IMPORTRANGE(""https://docs.google.com/spreadsheets/d/1v0b9pFQCsKUVExMei7AgY2yQkdeNQvtOssygGsXbiKo/edit?usp=sharing"",""อุตรดิตถ์!N207"")"),0)</f>
        <v>0</v>
      </c>
      <c r="AN29" s="98">
        <f t="shared" ca="1" si="100"/>
        <v>0</v>
      </c>
      <c r="AO29" s="97">
        <f ca="1">IFERROR(__xludf.DUMMYFUNCTION("IMPORTRANGE(""https://docs.google.com/spreadsheets/d/1v0b9pFQCsKUVExMei7AgY2yQkdeNQvtOssygGsXbiKo/edit?usp=sharing"",""อุตรดิตถ์!I209"")"),3)</f>
        <v>3</v>
      </c>
      <c r="AP29" s="97">
        <f ca="1">IFERROR(__xludf.DUMMYFUNCTION("IMPORTRANGE(""https://docs.google.com/spreadsheets/d/1v0b9pFQCsKUVExMei7AgY2yQkdeNQvtOssygGsXbiKo/edit?usp=sharing"",""อุตรดิตถ์!J209"")"),0)</f>
        <v>0</v>
      </c>
      <c r="AQ29" s="98">
        <f t="shared" ca="1" si="102"/>
        <v>0</v>
      </c>
      <c r="AR29" s="97">
        <f ca="1">IFERROR(__xludf.DUMMYFUNCTION("IMPORTRANGE(""https://docs.google.com/spreadsheets/d/1v0b9pFQCsKUVExMei7AgY2yQkdeNQvtOssygGsXbiKo/edit?usp=sharing"",""อุตรดิตถ์!J211"")"),0)</f>
        <v>0</v>
      </c>
      <c r="AS29" s="97">
        <f ca="1">IFERROR(__xludf.DUMMYFUNCTION("IMPORTRANGE(""https://docs.google.com/spreadsheets/d/1v0b9pFQCsKUVExMei7AgY2yQkdeNQvtOssygGsXbiKo/edit?usp=sharing"",""อุตรดิตถ์!J212"")"),0)</f>
        <v>0</v>
      </c>
      <c r="AT29" s="97">
        <f ca="1">IFERROR(__xludf.DUMMYFUNCTION("IMPORTRANGE(""https://docs.google.com/spreadsheets/d/1v0b9pFQCsKUVExMei7AgY2yQkdeNQvtOssygGsXbiKo/edit?usp=sharing"",""อุตรดิตถ์!L215"")"),1000)</f>
        <v>1000</v>
      </c>
      <c r="AU29" s="97">
        <f ca="1">IFERROR(__xludf.DUMMYFUNCTION("IMPORTRANGE(""https://docs.google.com/spreadsheets/d/1v0b9pFQCsKUVExMei7AgY2yQkdeNQvtOssygGsXbiKo/edit?usp=sharing"",""อุตรดิตถ์!N215"")"),0)</f>
        <v>0</v>
      </c>
      <c r="AV29" s="98">
        <f t="shared" ca="1" si="104"/>
        <v>0</v>
      </c>
      <c r="AW29" s="97">
        <f ca="1">IFERROR(__xludf.DUMMYFUNCTION("IMPORTRANGE(""https://docs.google.com/spreadsheets/d/1v0b9pFQCsKUVExMei7AgY2yQkdeNQvtOssygGsXbiKo/edit?usp=sharing"",""อุตรดิตถ์!L216"")"),5000)</f>
        <v>5000</v>
      </c>
      <c r="AX29" s="97">
        <f ca="1">IFERROR(__xludf.DUMMYFUNCTION("IMPORTRANGE(""https://docs.google.com/spreadsheets/d/1v0b9pFQCsKUVExMei7AgY2yQkdeNQvtOssygGsXbiKo/edit?usp=sharing"",""อุตรดิตถ์!N216"")"),0)</f>
        <v>0</v>
      </c>
      <c r="AY29" s="98">
        <f t="shared" ca="1" si="106"/>
        <v>0</v>
      </c>
      <c r="AZ29" s="97">
        <f ca="1">IFERROR(__xludf.DUMMYFUNCTION("IMPORTRANGE(""https://docs.google.com/spreadsheets/d/1v0b9pFQCsKUVExMei7AgY2yQkdeNQvtOssygGsXbiKo/edit?usp=sharing"",""อุตรดิตถ์!L217"")"),8000)</f>
        <v>8000</v>
      </c>
      <c r="BA29" s="97">
        <f ca="1">IFERROR(__xludf.DUMMYFUNCTION("IMPORTRANGE(""https://docs.google.com/spreadsheets/d/1v0b9pFQCsKUVExMei7AgY2yQkdeNQvtOssygGsXbiKo/edit?usp=sharing"",""อุตรดิตถ์!N217"")"),0)</f>
        <v>0</v>
      </c>
      <c r="BB29" s="98">
        <f t="shared" ca="1" si="108"/>
        <v>0</v>
      </c>
      <c r="BC29" s="97">
        <f ca="1">IFERROR(__xludf.DUMMYFUNCTION("IMPORTRANGE(""https://docs.google.com/spreadsheets/d/1v0b9pFQCsKUVExMei7AgY2yQkdeNQvtOssygGsXbiKo/edit?usp=sharing"",""อุตรดิตถ์!I219"")"),1)</f>
        <v>1</v>
      </c>
      <c r="BD29" s="97">
        <f ca="1">IFERROR(__xludf.DUMMYFUNCTION("IMPORTRANGE(""https://docs.google.com/spreadsheets/d/1v0b9pFQCsKUVExMei7AgY2yQkdeNQvtOssygGsXbiKo/edit?usp=sharing"",""อุตรดิตถ์!J219"")"),0)</f>
        <v>0</v>
      </c>
      <c r="BE29" s="98">
        <f t="shared" ca="1" si="110"/>
        <v>0</v>
      </c>
      <c r="BF29" s="97">
        <f ca="1">IFERROR(__xludf.DUMMYFUNCTION("IMPORTRANGE(""https://docs.google.com/spreadsheets/d/1v0b9pFQCsKUVExMei7AgY2yQkdeNQvtOssygGsXbiKo/edit?usp=sharing"",""อุตรดิตถ์!I220"")"),1)</f>
        <v>1</v>
      </c>
      <c r="BG29" s="97">
        <f ca="1">IFERROR(__xludf.DUMMYFUNCTION("IMPORTRANGE(""https://docs.google.com/spreadsheets/d/1v0b9pFQCsKUVExMei7AgY2yQkdeNQvtOssygGsXbiKo/edit?usp=sharing"",""อุตรดิตถ์!J220"")"),0)</f>
        <v>0</v>
      </c>
      <c r="BH29" s="98">
        <f t="shared" ca="1" si="112"/>
        <v>0</v>
      </c>
      <c r="BI29" s="97">
        <f ca="1">IFERROR(__xludf.DUMMYFUNCTION("IMPORTRANGE(""https://docs.google.com/spreadsheets/d/1v0b9pFQCsKUVExMei7AgY2yQkdeNQvtOssygGsXbiKo/edit?usp=sharing"",""อุตรดิตถ์!L223"")"),5000)</f>
        <v>5000</v>
      </c>
      <c r="BJ29" s="97">
        <f ca="1">IFERROR(__xludf.DUMMYFUNCTION("IMPORTRANGE(""https://docs.google.com/spreadsheets/d/1v0b9pFQCsKUVExMei7AgY2yQkdeNQvtOssygGsXbiKo/edit?usp=sharing"",""อุตรดิตถ์!N223"")"),0)</f>
        <v>0</v>
      </c>
      <c r="BK29" s="98">
        <f t="shared" ca="1" si="114"/>
        <v>0</v>
      </c>
      <c r="BL29" s="97">
        <f ca="1">IFERROR(__xludf.DUMMYFUNCTION("IMPORTRANGE(""https://docs.google.com/spreadsheets/d/1v0b9pFQCsKUVExMei7AgY2yQkdeNQvtOssygGsXbiKo/edit?usp=sharing"",""อุตรดิตถ์!L224"")"),1500)</f>
        <v>1500</v>
      </c>
      <c r="BM29" s="97">
        <f ca="1">IFERROR(__xludf.DUMMYFUNCTION("IMPORTRANGE(""https://docs.google.com/spreadsheets/d/1v0b9pFQCsKUVExMei7AgY2yQkdeNQvtOssygGsXbiKo/edit?usp=sharing"",""อุตรดิตถ์!N224"")"),0)</f>
        <v>0</v>
      </c>
      <c r="BN29" s="98">
        <f t="shared" ca="1" si="116"/>
        <v>0</v>
      </c>
      <c r="BO29" s="97">
        <f ca="1">IFERROR(__xludf.DUMMYFUNCTION("IMPORTRANGE(""https://docs.google.com/spreadsheets/d/1v0b9pFQCsKUVExMei7AgY2yQkdeNQvtOssygGsXbiKo/edit?usp=sharing"",""อุตรดิตถ์!I228"")"),30000)</f>
        <v>30000</v>
      </c>
      <c r="BP29" s="97">
        <f ca="1">IFERROR(__xludf.DUMMYFUNCTION("IMPORTRANGE(""https://docs.google.com/spreadsheets/d/1v0b9pFQCsKUVExMei7AgY2yQkdeNQvtOssygGsXbiKo/edit?usp=sharing"",""อุตรดิตถ์!J228"")"),0)</f>
        <v>0</v>
      </c>
      <c r="BQ29" s="98">
        <f t="shared" ca="1" si="118"/>
        <v>0</v>
      </c>
      <c r="BR29" s="97">
        <f ca="1">IFERROR(__xludf.DUMMYFUNCTION("IMPORTRANGE(""https://docs.google.com/spreadsheets/d/1v0b9pFQCsKUVExMei7AgY2yQkdeNQvtOssygGsXbiKo/edit?usp=sharing"",""อุตรดิตถ์!I229"")"),30000)</f>
        <v>30000</v>
      </c>
      <c r="BS29" s="97">
        <f ca="1">IFERROR(__xludf.DUMMYFUNCTION("IMPORTRANGE(""https://docs.google.com/spreadsheets/d/1v0b9pFQCsKUVExMei7AgY2yQkdeNQvtOssygGsXbiKo/edit?usp=sharing"",""อุตรดิตถ์!J229"")"),0)</f>
        <v>0</v>
      </c>
      <c r="BT29" s="98">
        <f t="shared" ca="1" si="120"/>
        <v>0</v>
      </c>
      <c r="BU29" s="97">
        <f ca="1">IFERROR(__xludf.DUMMYFUNCTION("IMPORTRANGE(""https://docs.google.com/spreadsheets/d/1v0b9pFQCsKUVExMei7AgY2yQkdeNQvtOssygGsXbiKo/edit?usp=sharing"",""อุตรดิตถ์!I230"")"),0)</f>
        <v>0</v>
      </c>
      <c r="BV29" s="97">
        <f ca="1">IFERROR(__xludf.DUMMYFUNCTION("IMPORTRANGE(""https://docs.google.com/spreadsheets/d/1v0b9pFQCsKUVExMei7AgY2yQkdeNQvtOssygGsXbiKo/edit?usp=sharing"",""อุตรดิตถ์!J230"")"),0)</f>
        <v>0</v>
      </c>
      <c r="BW29" s="98">
        <f t="shared" ca="1" si="122"/>
        <v>0</v>
      </c>
      <c r="BX29" s="97">
        <f ca="1">IFERROR(__xludf.DUMMYFUNCTION("IMPORTRANGE(""https://docs.google.com/spreadsheets/d/1v0b9pFQCsKUVExMei7AgY2yQkdeNQvtOssygGsXbiKo/edit?usp=sharing"",""อุตรดิตถ์!L233"")"),0)</f>
        <v>0</v>
      </c>
      <c r="BY29" s="97">
        <f ca="1">IFERROR(__xludf.DUMMYFUNCTION("IMPORTRANGE(""https://docs.google.com/spreadsheets/d/1v0b9pFQCsKUVExMei7AgY2yQkdeNQvtOssygGsXbiKo/edit?usp=sharing"",""อุตรดิตถ์!N233"")"),0)</f>
        <v>0</v>
      </c>
      <c r="BZ29" s="98">
        <f t="shared" ca="1" si="124"/>
        <v>0</v>
      </c>
      <c r="CA29" s="97">
        <f ca="1">IFERROR(__xludf.DUMMYFUNCTION("IMPORTRANGE(""https://docs.google.com/spreadsheets/d/1v0b9pFQCsKUVExMei7AgY2yQkdeNQvtOssygGsXbiKo/edit?usp=sharing"",""อุตรดิตถ์!L234"")"),0)</f>
        <v>0</v>
      </c>
      <c r="CB29" s="97">
        <f ca="1">IFERROR(__xludf.DUMMYFUNCTION("IMPORTRANGE(""https://docs.google.com/spreadsheets/d/1v0b9pFQCsKUVExMei7AgY2yQkdeNQvtOssygGsXbiKo/edit?usp=sharing"",""อุตรดิตถ์!N234"")"),0)</f>
        <v>0</v>
      </c>
      <c r="CC29" s="98">
        <f t="shared" ca="1" si="126"/>
        <v>0</v>
      </c>
      <c r="CD29" s="97">
        <f ca="1">IFERROR(__xludf.DUMMYFUNCTION("IMPORTRANGE(""https://docs.google.com/spreadsheets/d/1v0b9pFQCsKUVExMei7AgY2yQkdeNQvtOssygGsXbiKo/edit?usp=sharing"",""อุตรดิตถ์!L235"")"),0)</f>
        <v>0</v>
      </c>
      <c r="CE29" s="97">
        <f ca="1">IFERROR(__xludf.DUMMYFUNCTION("IMPORTRANGE(""https://docs.google.com/spreadsheets/d/1v0b9pFQCsKUVExMei7AgY2yQkdeNQvtOssygGsXbiKo/edit?usp=sharing"",""อุตรดิตถ์!N235"")"),0)</f>
        <v>0</v>
      </c>
      <c r="CF29" s="98">
        <f t="shared" ca="1" si="128"/>
        <v>0</v>
      </c>
      <c r="CG29" s="97">
        <f ca="1">IFERROR(__xludf.DUMMYFUNCTION("IMPORTRANGE(""https://docs.google.com/spreadsheets/d/1v0b9pFQCsKUVExMei7AgY2yQkdeNQvtOssygGsXbiKo/edit?usp=sharing"",""อุตรดิตถ์!L236"")"),0)</f>
        <v>0</v>
      </c>
      <c r="CH29" s="97">
        <f ca="1">IFERROR(__xludf.DUMMYFUNCTION("IMPORTRANGE(""https://docs.google.com/spreadsheets/d/1v0b9pFQCsKUVExMei7AgY2yQkdeNQvtOssygGsXbiKo/edit?usp=sharing"",""อุตรดิตถ์!N236"")"),0)</f>
        <v>0</v>
      </c>
      <c r="CI29" s="98">
        <f t="shared" ca="1" si="130"/>
        <v>0</v>
      </c>
      <c r="CJ29" s="97">
        <f ca="1">IFERROR(__xludf.DUMMYFUNCTION("IMPORTRANGE(""https://docs.google.com/spreadsheets/d/1v0b9pFQCsKUVExMei7AgY2yQkdeNQvtOssygGsXbiKo/edit?usp=sharing"",""อุตรดิตถ์!I238"")"),0)</f>
        <v>0</v>
      </c>
      <c r="CK29" s="97">
        <f ca="1">IFERROR(__xludf.DUMMYFUNCTION("IMPORTRANGE(""https://docs.google.com/spreadsheets/d/1v0b9pFQCsKUVExMei7AgY2yQkdeNQvtOssygGsXbiKo/edit?usp=sharing"",""อุตรดิตถ์!J238"")"),0)</f>
        <v>0</v>
      </c>
      <c r="CL29" s="98">
        <f t="shared" ca="1" si="132"/>
        <v>0</v>
      </c>
      <c r="CM29" s="97">
        <f ca="1">IFERROR(__xludf.DUMMYFUNCTION("IMPORTRANGE(""https://docs.google.com/spreadsheets/d/1v0b9pFQCsKUVExMei7AgY2yQkdeNQvtOssygGsXbiKo/edit?usp=sharing"",""อุตรดิตถ์!J240"")"),0)</f>
        <v>0</v>
      </c>
      <c r="CN29" s="97">
        <f ca="1">IFERROR(__xludf.DUMMYFUNCTION("IMPORTRANGE(""https://docs.google.com/spreadsheets/d/1v0b9pFQCsKUVExMei7AgY2yQkdeNQvtOssygGsXbiKo/edit?usp=sharing"",""อุตรดิตถ์!J241"")"),0)</f>
        <v>0</v>
      </c>
    </row>
    <row r="30" spans="1:92" ht="24" customHeight="1" x14ac:dyDescent="0.3">
      <c r="A30" s="100">
        <v>17</v>
      </c>
      <c r="B30" s="101" t="s">
        <v>56</v>
      </c>
      <c r="C30" s="182">
        <f t="shared" ca="1" si="80"/>
        <v>40500</v>
      </c>
      <c r="D30" s="183">
        <f t="shared" ca="1" si="134"/>
        <v>40500</v>
      </c>
      <c r="E30" s="184">
        <f ca="1">IFERROR(__xludf.DUMMYFUNCTION("IMPORTRANGE(""https://docs.google.com/spreadsheets/d/1-uDff_7J0KD5mKrp0Vvzr7lt3OU09vwQwhkpOPPYv2Y/edit?usp=sharing"",""งบพรบ!CV30"")"),0)</f>
        <v>0</v>
      </c>
      <c r="F30" s="184">
        <f ca="1">IFERROR(__xludf.DUMMYFUNCTION("IMPORTRANGE(""https://docs.google.com/spreadsheets/d/1-uDff_7J0KD5mKrp0Vvzr7lt3OU09vwQwhkpOPPYv2Y/edit?usp=sharing"",""งบพรบ!CW30"")"),40500)</f>
        <v>40500</v>
      </c>
      <c r="G30" s="184">
        <f ca="1">IFERROR(__xludf.DUMMYFUNCTION("IMPORTRANGE(""https://docs.google.com/spreadsheets/d/1-uDff_7J0KD5mKrp0Vvzr7lt3OU09vwQwhkpOPPYv2Y/edit?usp=sharing"",""งบพรบ!CX30"")"),0)</f>
        <v>0</v>
      </c>
      <c r="H30" s="184">
        <f ca="1">IFERROR(__xludf.DUMMYFUNCTION("IMPORTRANGE(""https://docs.google.com/spreadsheets/d/1-uDff_7J0KD5mKrp0Vvzr7lt3OU09vwQwhkpOPPYv2Y/edit?usp=sharing"",""งบพรบ!CZ30"")"),44160)</f>
        <v>44160</v>
      </c>
      <c r="I30" s="184">
        <f ca="1">IFERROR(__xludf.DUMMYFUNCTION("IMPORTRANGE(""https://docs.google.com/spreadsheets/d/1-uDff_7J0KD5mKrp0Vvzr7lt3OU09vwQwhkpOPPYv2Y/edit?usp=sharing"",""งบพรบ!DA30"")"),0)</f>
        <v>0</v>
      </c>
      <c r="J30" s="184">
        <f t="shared" ca="1" si="82"/>
        <v>1000</v>
      </c>
      <c r="K30" s="185">
        <f t="shared" ca="1" si="83"/>
        <v>2.4691358024691357</v>
      </c>
      <c r="L30" s="184">
        <f ca="1">IFERROR(__xludf.DUMMYFUNCTION("IMPORTRANGE(""https://docs.google.com/spreadsheets/d/1-uDff_7J0KD5mKrp0Vvzr7lt3OU09vwQwhkpOPPYv2Y/edit?usp=sharing"",""งบพรบ!DB30"")"),1000)</f>
        <v>1000</v>
      </c>
      <c r="M30" s="109">
        <f t="shared" ca="1" si="84"/>
        <v>2.4691358024691357</v>
      </c>
      <c r="N30" s="109">
        <f t="shared" ca="1" si="85"/>
        <v>2.2644927536231885</v>
      </c>
      <c r="O30" s="108">
        <f ca="1">IFERROR(__xludf.DUMMYFUNCTION("IMPORTRANGE(""https://docs.google.com/spreadsheets/d/1-uDff_7J0KD5mKrp0Vvzr7lt3OU09vwQwhkpOPPYv2Y/edit?usp=sharing"",""งบพรบ!DC30"")"),0)</f>
        <v>0</v>
      </c>
      <c r="P30" s="108">
        <f t="shared" ca="1" si="86"/>
        <v>0</v>
      </c>
      <c r="Q30" s="109">
        <f t="shared" ca="1" si="87"/>
        <v>0</v>
      </c>
      <c r="R30" s="244">
        <f ca="1">IFERROR(__xludf.DUMMYFUNCTION("IMPORTRANGE(""https://docs.google.com/spreadsheets/d/1UsNK1e-WWiCo2PvGqdNfdme4m17_Ezd3J69EeeiQPD0/edit?usp=sharing"",""อุทัยธานี!Q186"")"),42000)</f>
        <v>42000</v>
      </c>
      <c r="S30" s="245">
        <f ca="1">IFERROR(__xludf.DUMMYFUNCTION("IMPORTRANGE(""https://docs.google.com/spreadsheets/d/1UsNK1e-WWiCo2PvGqdNfdme4m17_Ezd3J69EeeiQPD0/edit?usp=sharing"",""อุทัยธานี!R186"")"),0)</f>
        <v>0</v>
      </c>
      <c r="T30" s="245">
        <f ca="1">IFERROR(__xludf.DUMMYFUNCTION("IMPORTRANGE(""https://docs.google.com/spreadsheets/d/1UsNK1e-WWiCo2PvGqdNfdme4m17_Ezd3J69EeeiQPD0/edit?usp=sharing"",""อุทัยธานี!S186"")"),0)</f>
        <v>0</v>
      </c>
      <c r="U30" s="246">
        <f t="shared" ca="1" si="89"/>
        <v>0</v>
      </c>
      <c r="V30" s="246">
        <f t="shared" ca="1" si="90"/>
        <v>0</v>
      </c>
      <c r="W30" s="110">
        <f ca="1">IFERROR(__xludf.DUMMYFUNCTION("IMPORTRANGE(""https://docs.google.com/spreadsheets/d/1UsNK1e-WWiCo2PvGqdNfdme4m17_Ezd3J69EeeiQPD0/edit?usp=sharing"",""อุทัยธานี!L196"")"),6000)</f>
        <v>6000</v>
      </c>
      <c r="X30" s="110">
        <f ca="1">IFERROR(__xludf.DUMMYFUNCTION("IMPORTRANGE(""https://docs.google.com/spreadsheets/d/1UsNK1e-WWiCo2PvGqdNfdme4m17_Ezd3J69EeeiQPD0/edit?usp=sharing"",""อุทัยธานี!N196"")"),0)</f>
        <v>0</v>
      </c>
      <c r="Y30" s="111">
        <f t="shared" ca="1" si="92"/>
        <v>0</v>
      </c>
      <c r="Z30" s="110">
        <f ca="1">IFERROR(__xludf.DUMMYFUNCTION("IMPORTRANGE(""https://docs.google.com/spreadsheets/d/1UsNK1e-WWiCo2PvGqdNfdme4m17_Ezd3J69EeeiQPD0/edit?usp=sharing"",""อุทัยธานี!I198"")"),4)</f>
        <v>4</v>
      </c>
      <c r="AA30" s="110">
        <f ca="1">IFERROR(__xludf.DUMMYFUNCTION("IMPORTRANGE(""https://docs.google.com/spreadsheets/d/1UsNK1e-WWiCo2PvGqdNfdme4m17_Ezd3J69EeeiQPD0/edit?usp=sharing"",""อุทัยธานี!J198"")"),1)</f>
        <v>1</v>
      </c>
      <c r="AB30" s="111">
        <f t="shared" ca="1" si="94"/>
        <v>25</v>
      </c>
      <c r="AC30" s="110">
        <f ca="1">IFERROR(__xludf.DUMMYFUNCTION("IMPORTRANGE(""https://docs.google.com/spreadsheets/d/1UsNK1e-WWiCo2PvGqdNfdme4m17_Ezd3J69EeeiQPD0/edit?usp=sharing"",""อุทัยธานี!J199"")"),0)</f>
        <v>0</v>
      </c>
      <c r="AD30" s="110">
        <f ca="1">IFERROR(__xludf.DUMMYFUNCTION("IMPORTRANGE(""https://docs.google.com/spreadsheets/d/1UsNK1e-WWiCo2PvGqdNfdme4m17_Ezd3J69EeeiQPD0/edit?usp=sharing"",""อุทัยธานี!J200"")"),0)</f>
        <v>0</v>
      </c>
      <c r="AE30" s="110">
        <f ca="1">IFERROR(__xludf.DUMMYFUNCTION("IMPORTRANGE(""https://docs.google.com/spreadsheets/d/1UsNK1e-WWiCo2PvGqdNfdme4m17_Ezd3J69EeeiQPD0/edit?usp=sharing"",""อุทัยธานี!J201"")"),0)</f>
        <v>0</v>
      </c>
      <c r="AF30" s="110">
        <f ca="1">IFERROR(__xludf.DUMMYFUNCTION("IMPORTRANGE(""https://docs.google.com/spreadsheets/d/1UsNK1e-WWiCo2PvGqdNfdme4m17_Ezd3J69EeeiQPD0/edit?usp=sharing"",""อุทัยธานี!L204"")"),2000)</f>
        <v>2000</v>
      </c>
      <c r="AG30" s="110">
        <f ca="1">IFERROR(__xludf.DUMMYFUNCTION("IMPORTRANGE(""https://docs.google.com/spreadsheets/d/1UsNK1e-WWiCo2PvGqdNfdme4m17_Ezd3J69EeeiQPD0/edit?usp=sharing"",""อุทัยธานี!N204"")"),0)</f>
        <v>0</v>
      </c>
      <c r="AH30" s="111">
        <f t="shared" ca="1" si="96"/>
        <v>0</v>
      </c>
      <c r="AI30" s="110">
        <f ca="1">IFERROR(__xludf.DUMMYFUNCTION("IMPORTRANGE(""https://docs.google.com/spreadsheets/d/1UsNK1e-WWiCo2PvGqdNfdme4m17_Ezd3J69EeeiQPD0/edit?usp=sharing"",""อุทัยธานี!L206"")"),16000)</f>
        <v>16000</v>
      </c>
      <c r="AJ30" s="110">
        <f ca="1">IFERROR(__xludf.DUMMYFUNCTION("IMPORTRANGE(""https://docs.google.com/spreadsheets/d/1UsNK1e-WWiCo2PvGqdNfdme4m17_Ezd3J69EeeiQPD0/edit?usp=sharing"",""อุทัยธานี!N206"")"),0)</f>
        <v>0</v>
      </c>
      <c r="AK30" s="111">
        <f t="shared" ca="1" si="98"/>
        <v>0</v>
      </c>
      <c r="AL30" s="110">
        <f ca="1">IFERROR(__xludf.DUMMYFUNCTION("IMPORTRANGE(""https://docs.google.com/spreadsheets/d/1UsNK1e-WWiCo2PvGqdNfdme4m17_Ezd3J69EeeiQPD0/edit?usp=sharing"",""อุทัยธานี!L207"")"),8000)</f>
        <v>8000</v>
      </c>
      <c r="AM30" s="110">
        <f ca="1">IFERROR(__xludf.DUMMYFUNCTION("IMPORTRANGE(""https://docs.google.com/spreadsheets/d/1UsNK1e-WWiCo2PvGqdNfdme4m17_Ezd3J69EeeiQPD0/edit?usp=sharing"",""อุทัยธานี!N207"")"),0)</f>
        <v>0</v>
      </c>
      <c r="AN30" s="111">
        <f t="shared" ca="1" si="100"/>
        <v>0</v>
      </c>
      <c r="AO30" s="110">
        <f ca="1">IFERROR(__xludf.DUMMYFUNCTION("IMPORTRANGE(""https://docs.google.com/spreadsheets/d/1UsNK1e-WWiCo2PvGqdNfdme4m17_Ezd3J69EeeiQPD0/edit?usp=sharing"",""อุทัยธานี!I209"")"),2)</f>
        <v>2</v>
      </c>
      <c r="AP30" s="110">
        <f ca="1">IFERROR(__xludf.DUMMYFUNCTION("IMPORTRANGE(""https://docs.google.com/spreadsheets/d/1UsNK1e-WWiCo2PvGqdNfdme4m17_Ezd3J69EeeiQPD0/edit?usp=sharing"",""อุทัยธานี!J209"")"),0)</f>
        <v>0</v>
      </c>
      <c r="AQ30" s="111">
        <f t="shared" ca="1" si="102"/>
        <v>0</v>
      </c>
      <c r="AR30" s="110">
        <f ca="1">IFERROR(__xludf.DUMMYFUNCTION("IMPORTRANGE(""https://docs.google.com/spreadsheets/d/1UsNK1e-WWiCo2PvGqdNfdme4m17_Ezd3J69EeeiQPD0/edit?usp=sharing"",""อุทัยธานี!J211"")"),0)</f>
        <v>0</v>
      </c>
      <c r="AS30" s="110">
        <f ca="1">IFERROR(__xludf.DUMMYFUNCTION("IMPORTRANGE(""https://docs.google.com/spreadsheets/d/1UsNK1e-WWiCo2PvGqdNfdme4m17_Ezd3J69EeeiQPD0/edit?usp=sharing"",""อุทัยธานี!J212"")"),0)</f>
        <v>0</v>
      </c>
      <c r="AT30" s="110">
        <f ca="1">IFERROR(__xludf.DUMMYFUNCTION("IMPORTRANGE(""https://docs.google.com/spreadsheets/d/1UsNK1e-WWiCo2PvGqdNfdme4m17_Ezd3J69EeeiQPD0/edit?usp=sharing"",""อุทัยธานี!L215"")"),0)</f>
        <v>0</v>
      </c>
      <c r="AU30" s="110">
        <f ca="1">IFERROR(__xludf.DUMMYFUNCTION("IMPORTRANGE(""https://docs.google.com/spreadsheets/d/1UsNK1e-WWiCo2PvGqdNfdme4m17_Ezd3J69EeeiQPD0/edit?usp=sharing"",""อุทัยธานี!N215"")"),0)</f>
        <v>0</v>
      </c>
      <c r="AV30" s="111">
        <f t="shared" ca="1" si="104"/>
        <v>0</v>
      </c>
      <c r="AW30" s="110">
        <f ca="1">IFERROR(__xludf.DUMMYFUNCTION("IMPORTRANGE(""https://docs.google.com/spreadsheets/d/1UsNK1e-WWiCo2PvGqdNfdme4m17_Ezd3J69EeeiQPD0/edit?usp=sharing"",""อุทัยธานี!L216"")"),0)</f>
        <v>0</v>
      </c>
      <c r="AX30" s="110">
        <f ca="1">IFERROR(__xludf.DUMMYFUNCTION("IMPORTRANGE(""https://docs.google.com/spreadsheets/d/1UsNK1e-WWiCo2PvGqdNfdme4m17_Ezd3J69EeeiQPD0/edit?usp=sharing"",""อุทัยธานี!N216"")"),0)</f>
        <v>0</v>
      </c>
      <c r="AY30" s="111">
        <f t="shared" ca="1" si="106"/>
        <v>0</v>
      </c>
      <c r="AZ30" s="110">
        <f ca="1">IFERROR(__xludf.DUMMYFUNCTION("IMPORTRANGE(""https://docs.google.com/spreadsheets/d/1UsNK1e-WWiCo2PvGqdNfdme4m17_Ezd3J69EeeiQPD0/edit?usp=sharing"",""อุทัยธานี!L217"")"),0)</f>
        <v>0</v>
      </c>
      <c r="BA30" s="110">
        <f ca="1">IFERROR(__xludf.DUMMYFUNCTION("IMPORTRANGE(""https://docs.google.com/spreadsheets/d/1UsNK1e-WWiCo2PvGqdNfdme4m17_Ezd3J69EeeiQPD0/edit?usp=sharing"",""อุทัยธานี!N217"")"),0)</f>
        <v>0</v>
      </c>
      <c r="BB30" s="111">
        <f t="shared" ca="1" si="108"/>
        <v>0</v>
      </c>
      <c r="BC30" s="110">
        <f ca="1">IFERROR(__xludf.DUMMYFUNCTION("IMPORTRANGE(""https://docs.google.com/spreadsheets/d/1UsNK1e-WWiCo2PvGqdNfdme4m17_Ezd3J69EeeiQPD0/edit?usp=sharing"",""อุทัยธานี!I219"")"),0)</f>
        <v>0</v>
      </c>
      <c r="BD30" s="110">
        <f ca="1">IFERROR(__xludf.DUMMYFUNCTION("IMPORTRANGE(""https://docs.google.com/spreadsheets/d/1UsNK1e-WWiCo2PvGqdNfdme4m17_Ezd3J69EeeiQPD0/edit?usp=sharing"",""อุทัยธานี!J219"")"),0)</f>
        <v>0</v>
      </c>
      <c r="BE30" s="111">
        <f t="shared" ca="1" si="110"/>
        <v>0</v>
      </c>
      <c r="BF30" s="110">
        <f ca="1">IFERROR(__xludf.DUMMYFUNCTION("IMPORTRANGE(""https://docs.google.com/spreadsheets/d/1UsNK1e-WWiCo2PvGqdNfdme4m17_Ezd3J69EeeiQPD0/edit?usp=sharing"",""อุทัยธานี!I220"")"),0)</f>
        <v>0</v>
      </c>
      <c r="BG30" s="110">
        <f ca="1">IFERROR(__xludf.DUMMYFUNCTION("IMPORTRANGE(""https://docs.google.com/spreadsheets/d/1UsNK1e-WWiCo2PvGqdNfdme4m17_Ezd3J69EeeiQPD0/edit?usp=sharing"",""อุทัยธานี!J220"")"),0)</f>
        <v>0</v>
      </c>
      <c r="BH30" s="111">
        <f t="shared" ca="1" si="112"/>
        <v>0</v>
      </c>
      <c r="BI30" s="110">
        <f ca="1">IFERROR(__xludf.DUMMYFUNCTION("IMPORTRANGE(""https://docs.google.com/spreadsheets/d/1UsNK1e-WWiCo2PvGqdNfdme4m17_Ezd3J69EeeiQPD0/edit?usp=sharing"",""อุทัยธานี!L223"")"),7000)</f>
        <v>7000</v>
      </c>
      <c r="BJ30" s="110">
        <f ca="1">IFERROR(__xludf.DUMMYFUNCTION("IMPORTRANGE(""https://docs.google.com/spreadsheets/d/1UsNK1e-WWiCo2PvGqdNfdme4m17_Ezd3J69EeeiQPD0/edit?usp=sharing"",""อุทัยธานี!N223"")"),0)</f>
        <v>0</v>
      </c>
      <c r="BK30" s="111">
        <f t="shared" ca="1" si="114"/>
        <v>0</v>
      </c>
      <c r="BL30" s="110">
        <f ca="1">IFERROR(__xludf.DUMMYFUNCTION("IMPORTRANGE(""https://docs.google.com/spreadsheets/d/1UsNK1e-WWiCo2PvGqdNfdme4m17_Ezd3J69EeeiQPD0/edit?usp=sharing"",""อุทัยธานี!L224"")"),1500)</f>
        <v>1500</v>
      </c>
      <c r="BM30" s="110">
        <f ca="1">IFERROR(__xludf.DUMMYFUNCTION("IMPORTRANGE(""https://docs.google.com/spreadsheets/d/1UsNK1e-WWiCo2PvGqdNfdme4m17_Ezd3J69EeeiQPD0/edit?usp=sharing"",""อุทัยธานี!N224"")"),0)</f>
        <v>0</v>
      </c>
      <c r="BN30" s="111">
        <f t="shared" ca="1" si="116"/>
        <v>0</v>
      </c>
      <c r="BO30" s="110">
        <f ca="1">IFERROR(__xludf.DUMMYFUNCTION("IMPORTRANGE(""https://docs.google.com/spreadsheets/d/1UsNK1e-WWiCo2PvGqdNfdme4m17_Ezd3J69EeeiQPD0/edit?usp=sharing"",""อุทัยธานี!I228"")"),50000)</f>
        <v>50000</v>
      </c>
      <c r="BP30" s="110">
        <f ca="1">IFERROR(__xludf.DUMMYFUNCTION("IMPORTRANGE(""https://docs.google.com/spreadsheets/d/1UsNK1e-WWiCo2PvGqdNfdme4m17_Ezd3J69EeeiQPD0/edit?usp=sharing"",""อุทัยธานี!J228"")"),0)</f>
        <v>0</v>
      </c>
      <c r="BQ30" s="111">
        <f t="shared" ca="1" si="118"/>
        <v>0</v>
      </c>
      <c r="BR30" s="110">
        <f ca="1">IFERROR(__xludf.DUMMYFUNCTION("IMPORTRANGE(""https://docs.google.com/spreadsheets/d/1UsNK1e-WWiCo2PvGqdNfdme4m17_Ezd3J69EeeiQPD0/edit?usp=sharing"",""อุทัยธานี!I229"")"),50000)</f>
        <v>50000</v>
      </c>
      <c r="BS30" s="110">
        <f ca="1">IFERROR(__xludf.DUMMYFUNCTION("IMPORTRANGE(""https://docs.google.com/spreadsheets/d/1UsNK1e-WWiCo2PvGqdNfdme4m17_Ezd3J69EeeiQPD0/edit?usp=sharing"",""อุทัยธานี!J229"")"),0)</f>
        <v>0</v>
      </c>
      <c r="BT30" s="111">
        <f t="shared" ca="1" si="120"/>
        <v>0</v>
      </c>
      <c r="BU30" s="110">
        <f ca="1">IFERROR(__xludf.DUMMYFUNCTION("IMPORTRANGE(""https://docs.google.com/spreadsheets/d/1UsNK1e-WWiCo2PvGqdNfdme4m17_Ezd3J69EeeiQPD0/edit?usp=sharing"",""อุทัยธานี!I230"")"),0)</f>
        <v>0</v>
      </c>
      <c r="BV30" s="110">
        <f ca="1">IFERROR(__xludf.DUMMYFUNCTION("IMPORTRANGE(""https://docs.google.com/spreadsheets/d/1UsNK1e-WWiCo2PvGqdNfdme4m17_Ezd3J69EeeiQPD0/edit?usp=sharing"",""อุทัยธานี!J230"")"),0)</f>
        <v>0</v>
      </c>
      <c r="BW30" s="111">
        <f t="shared" ca="1" si="122"/>
        <v>0</v>
      </c>
      <c r="BX30" s="110">
        <f ca="1">IFERROR(__xludf.DUMMYFUNCTION("IMPORTRANGE(""https://docs.google.com/spreadsheets/d/1UsNK1e-WWiCo2PvGqdNfdme4m17_Ezd3J69EeeiQPD0/edit?usp=sharing"",""อุทัยธานี!L233"")"),0)</f>
        <v>0</v>
      </c>
      <c r="BY30" s="110">
        <f ca="1">IFERROR(__xludf.DUMMYFUNCTION("IMPORTRANGE(""https://docs.google.com/spreadsheets/d/1UsNK1e-WWiCo2PvGqdNfdme4m17_Ezd3J69EeeiQPD0/edit?usp=sharing"",""อุทัยธานี!N233"")"),0)</f>
        <v>0</v>
      </c>
      <c r="BZ30" s="111">
        <f t="shared" ca="1" si="124"/>
        <v>0</v>
      </c>
      <c r="CA30" s="110">
        <f ca="1">IFERROR(__xludf.DUMMYFUNCTION("IMPORTRANGE(""https://docs.google.com/spreadsheets/d/1UsNK1e-WWiCo2PvGqdNfdme4m17_Ezd3J69EeeiQPD0/edit?usp=sharing"",""อุทัยธานี!L234"")"),0)</f>
        <v>0</v>
      </c>
      <c r="CB30" s="110">
        <f ca="1">IFERROR(__xludf.DUMMYFUNCTION("IMPORTRANGE(""https://docs.google.com/spreadsheets/d/1UsNK1e-WWiCo2PvGqdNfdme4m17_Ezd3J69EeeiQPD0/edit?usp=sharing"",""อุทัยธานี!N234"")"),0)</f>
        <v>0</v>
      </c>
      <c r="CC30" s="111">
        <f t="shared" ca="1" si="126"/>
        <v>0</v>
      </c>
      <c r="CD30" s="110">
        <f ca="1">IFERROR(__xludf.DUMMYFUNCTION("IMPORTRANGE(""https://docs.google.com/spreadsheets/d/1UsNK1e-WWiCo2PvGqdNfdme4m17_Ezd3J69EeeiQPD0/edit?usp=sharing"",""อุทัยธานี!L235"")"),0)</f>
        <v>0</v>
      </c>
      <c r="CE30" s="110">
        <f ca="1">IFERROR(__xludf.DUMMYFUNCTION("IMPORTRANGE(""https://docs.google.com/spreadsheets/d/1UsNK1e-WWiCo2PvGqdNfdme4m17_Ezd3J69EeeiQPD0/edit?usp=sharing"",""อุทัยธานี!N235"")"),0)</f>
        <v>0</v>
      </c>
      <c r="CF30" s="111">
        <f t="shared" ca="1" si="128"/>
        <v>0</v>
      </c>
      <c r="CG30" s="110">
        <f ca="1">IFERROR(__xludf.DUMMYFUNCTION("IMPORTRANGE(""https://docs.google.com/spreadsheets/d/1UsNK1e-WWiCo2PvGqdNfdme4m17_Ezd3J69EeeiQPD0/edit?usp=sharing"",""อุทัยธานี!L236"")"),0)</f>
        <v>0</v>
      </c>
      <c r="CH30" s="110">
        <f ca="1">IFERROR(__xludf.DUMMYFUNCTION("IMPORTRANGE(""https://docs.google.com/spreadsheets/d/1UsNK1e-WWiCo2PvGqdNfdme4m17_Ezd3J69EeeiQPD0/edit?usp=sharing"",""อุทัยธานี!N236"")"),0)</f>
        <v>0</v>
      </c>
      <c r="CI30" s="111">
        <f t="shared" ca="1" si="130"/>
        <v>0</v>
      </c>
      <c r="CJ30" s="110">
        <f ca="1">IFERROR(__xludf.DUMMYFUNCTION("IMPORTRANGE(""https://docs.google.com/spreadsheets/d/1UsNK1e-WWiCo2PvGqdNfdme4m17_Ezd3J69EeeiQPD0/edit?usp=sharing"",""อุทัยธานี!I238"")"),0)</f>
        <v>0</v>
      </c>
      <c r="CK30" s="110">
        <f ca="1">IFERROR(__xludf.DUMMYFUNCTION("IMPORTRANGE(""https://docs.google.com/spreadsheets/d/1UsNK1e-WWiCo2PvGqdNfdme4m17_Ezd3J69EeeiQPD0/edit?usp=sharing"",""อุทัยธานี!J238"")"),0)</f>
        <v>0</v>
      </c>
      <c r="CL30" s="111">
        <f t="shared" ca="1" si="132"/>
        <v>0</v>
      </c>
      <c r="CM30" s="110">
        <f ca="1">IFERROR(__xludf.DUMMYFUNCTION("IMPORTRANGE(""https://docs.google.com/spreadsheets/d/1UsNK1e-WWiCo2PvGqdNfdme4m17_Ezd3J69EeeiQPD0/edit?usp=sharing"",""อุทัยธานี!J240"")"),0)</f>
        <v>0</v>
      </c>
      <c r="CN30" s="110">
        <f ca="1">IFERROR(__xludf.DUMMYFUNCTION("IMPORTRANGE(""https://docs.google.com/spreadsheets/d/1UsNK1e-WWiCo2PvGqdNfdme4m17_Ezd3J69EeeiQPD0/edit?usp=sharing"",""อุทัยธานี!J241"")"),0)</f>
        <v>0</v>
      </c>
    </row>
    <row r="31" spans="1:92" ht="21" customHeight="1" x14ac:dyDescent="0.3">
      <c r="A31" s="625" t="s">
        <v>57</v>
      </c>
      <c r="B31" s="626"/>
      <c r="C31" s="161">
        <f t="shared" ca="1" si="80"/>
        <v>3091200</v>
      </c>
      <c r="D31" s="161">
        <f t="shared" ref="D31:I31" ca="1" si="135">SUM(D32:D51)</f>
        <v>3091200</v>
      </c>
      <c r="E31" s="161">
        <f t="shared" ca="1" si="135"/>
        <v>1543800</v>
      </c>
      <c r="F31" s="161">
        <f t="shared" ca="1" si="135"/>
        <v>1547400</v>
      </c>
      <c r="G31" s="161">
        <f t="shared" ca="1" si="135"/>
        <v>0</v>
      </c>
      <c r="H31" s="161">
        <f t="shared" ca="1" si="135"/>
        <v>3140260</v>
      </c>
      <c r="I31" s="161">
        <f t="shared" ca="1" si="135"/>
        <v>0</v>
      </c>
      <c r="J31" s="161">
        <f t="shared" ca="1" si="82"/>
        <v>856446.96</v>
      </c>
      <c r="K31" s="162">
        <f t="shared" ca="1" si="83"/>
        <v>27.705970496894409</v>
      </c>
      <c r="L31" s="161">
        <f ca="1">SUM(L32:L51)</f>
        <v>856446.96</v>
      </c>
      <c r="M31" s="40">
        <f t="shared" ca="1" si="84"/>
        <v>27.705970496894409</v>
      </c>
      <c r="N31" s="40">
        <f t="shared" ca="1" si="85"/>
        <v>27.273122607682165</v>
      </c>
      <c r="O31" s="39">
        <f ca="1">SUM(O32:O51)</f>
        <v>0</v>
      </c>
      <c r="P31" s="39">
        <f t="shared" ca="1" si="86"/>
        <v>0</v>
      </c>
      <c r="Q31" s="40">
        <f t="shared" ca="1" si="87"/>
        <v>0</v>
      </c>
      <c r="R31" s="232">
        <f t="shared" ref="R31:T31" ca="1" si="136">SUM(R32:R51)</f>
        <v>2175500</v>
      </c>
      <c r="S31" s="233">
        <f t="shared" ca="1" si="136"/>
        <v>0</v>
      </c>
      <c r="T31" s="233">
        <f t="shared" ca="1" si="136"/>
        <v>0</v>
      </c>
      <c r="U31" s="234">
        <f t="shared" ca="1" si="89"/>
        <v>0</v>
      </c>
      <c r="V31" s="234">
        <f t="shared" ca="1" si="90"/>
        <v>0</v>
      </c>
      <c r="W31" s="71">
        <f t="shared" ref="W31:X31" ca="1" si="137">SUM(W32:W51)</f>
        <v>120000</v>
      </c>
      <c r="X31" s="71">
        <f t="shared" ca="1" si="137"/>
        <v>3860</v>
      </c>
      <c r="Y31" s="114">
        <f t="shared" ca="1" si="92"/>
        <v>3.2166666666666668</v>
      </c>
      <c r="Z31" s="71">
        <f t="shared" ref="Z31:AA31" ca="1" si="138">SUM(Z32:Z51)</f>
        <v>80</v>
      </c>
      <c r="AA31" s="71">
        <f t="shared" ca="1" si="138"/>
        <v>9</v>
      </c>
      <c r="AB31" s="114">
        <f t="shared" ca="1" si="94"/>
        <v>11.25</v>
      </c>
      <c r="AC31" s="71">
        <f t="shared" ref="AC31:AG31" ca="1" si="139">SUM(AC32:AC51)</f>
        <v>165</v>
      </c>
      <c r="AD31" s="71">
        <f t="shared" ca="1" si="139"/>
        <v>165</v>
      </c>
      <c r="AE31" s="71">
        <f t="shared" ca="1" si="139"/>
        <v>0</v>
      </c>
      <c r="AF31" s="71">
        <f t="shared" ca="1" si="139"/>
        <v>44000</v>
      </c>
      <c r="AG31" s="71">
        <f t="shared" ca="1" si="139"/>
        <v>0</v>
      </c>
      <c r="AH31" s="114">
        <f t="shared" ca="1" si="96"/>
        <v>0</v>
      </c>
      <c r="AI31" s="71">
        <f t="shared" ref="AI31:AJ31" ca="1" si="140">SUM(AI32:AI51)</f>
        <v>352000</v>
      </c>
      <c r="AJ31" s="71">
        <f t="shared" ca="1" si="140"/>
        <v>0</v>
      </c>
      <c r="AK31" s="114">
        <f t="shared" ca="1" si="98"/>
        <v>0</v>
      </c>
      <c r="AL31" s="71">
        <f t="shared" ref="AL31:AM31" ca="1" si="141">SUM(AL32:AL51)</f>
        <v>214000</v>
      </c>
      <c r="AM31" s="71">
        <f t="shared" ca="1" si="141"/>
        <v>0</v>
      </c>
      <c r="AN31" s="114">
        <f t="shared" ca="1" si="100"/>
        <v>0</v>
      </c>
      <c r="AO31" s="71">
        <f t="shared" ref="AO31:AP31" ca="1" si="142">SUM(AO32:AO51)</f>
        <v>44</v>
      </c>
      <c r="AP31" s="71">
        <f t="shared" ca="1" si="142"/>
        <v>0</v>
      </c>
      <c r="AQ31" s="114">
        <f t="shared" ca="1" si="102"/>
        <v>0</v>
      </c>
      <c r="AR31" s="71">
        <f t="shared" ref="AR31:AU31" ca="1" si="143">SUM(AR32:AR51)</f>
        <v>0</v>
      </c>
      <c r="AS31" s="71">
        <f t="shared" ca="1" si="143"/>
        <v>0</v>
      </c>
      <c r="AT31" s="71">
        <f t="shared" ca="1" si="143"/>
        <v>22000</v>
      </c>
      <c r="AU31" s="71">
        <f t="shared" ca="1" si="143"/>
        <v>0</v>
      </c>
      <c r="AV31" s="114">
        <f t="shared" ca="1" si="104"/>
        <v>0</v>
      </c>
      <c r="AW31" s="71">
        <f t="shared" ref="AW31:AX31" ca="1" si="144">SUM(AW32:AW51)</f>
        <v>110000</v>
      </c>
      <c r="AX31" s="71">
        <f t="shared" ca="1" si="144"/>
        <v>0</v>
      </c>
      <c r="AY31" s="114">
        <f t="shared" ca="1" si="106"/>
        <v>0</v>
      </c>
      <c r="AZ31" s="71">
        <f t="shared" ref="AZ31:BA31" ca="1" si="145">SUM(AZ32:AZ51)</f>
        <v>176000</v>
      </c>
      <c r="BA31" s="71">
        <f t="shared" ca="1" si="145"/>
        <v>0</v>
      </c>
      <c r="BB31" s="114">
        <f t="shared" ca="1" si="108"/>
        <v>0</v>
      </c>
      <c r="BC31" s="71">
        <f t="shared" ref="BC31:BD31" ca="1" si="146">SUM(BC32:BC51)</f>
        <v>22</v>
      </c>
      <c r="BD31" s="71">
        <f t="shared" ca="1" si="146"/>
        <v>0</v>
      </c>
      <c r="BE31" s="114">
        <f t="shared" ca="1" si="110"/>
        <v>0</v>
      </c>
      <c r="BF31" s="71">
        <f t="shared" ref="BF31:BG31" ca="1" si="147">SUM(BF32:BF51)</f>
        <v>22</v>
      </c>
      <c r="BG31" s="71">
        <f t="shared" ca="1" si="147"/>
        <v>0</v>
      </c>
      <c r="BH31" s="114">
        <f t="shared" ca="1" si="112"/>
        <v>0</v>
      </c>
      <c r="BI31" s="71">
        <f t="shared" ref="BI31:BJ31" ca="1" si="148">SUM(BI32:BI51)</f>
        <v>124000</v>
      </c>
      <c r="BJ31" s="71">
        <f t="shared" ca="1" si="148"/>
        <v>0</v>
      </c>
      <c r="BK31" s="114">
        <f t="shared" ca="1" si="114"/>
        <v>0</v>
      </c>
      <c r="BL31" s="71">
        <f t="shared" ref="BL31:BM31" ca="1" si="149">SUM(BL32:BL51)</f>
        <v>30000</v>
      </c>
      <c r="BM31" s="71">
        <f t="shared" ca="1" si="149"/>
        <v>0</v>
      </c>
      <c r="BN31" s="114">
        <f t="shared" ca="1" si="116"/>
        <v>0</v>
      </c>
      <c r="BO31" s="71">
        <f t="shared" ref="BO31:BP31" ca="1" si="150">SUM(BO32:BO51)</f>
        <v>887800</v>
      </c>
      <c r="BP31" s="71">
        <f t="shared" ca="1" si="150"/>
        <v>0</v>
      </c>
      <c r="BQ31" s="114">
        <f t="shared" ca="1" si="118"/>
        <v>0</v>
      </c>
      <c r="BR31" s="71">
        <f t="shared" ref="BR31:BS31" ca="1" si="151">SUM(BR32:BR51)</f>
        <v>887800</v>
      </c>
      <c r="BS31" s="71">
        <f t="shared" ca="1" si="151"/>
        <v>0</v>
      </c>
      <c r="BT31" s="114">
        <f t="shared" ca="1" si="120"/>
        <v>0</v>
      </c>
      <c r="BU31" s="71">
        <f t="shared" ref="BU31:BV31" ca="1" si="152">SUM(BU32:BU51)</f>
        <v>0</v>
      </c>
      <c r="BV31" s="71">
        <f t="shared" ca="1" si="152"/>
        <v>0</v>
      </c>
      <c r="BW31" s="114">
        <f t="shared" ca="1" si="122"/>
        <v>0</v>
      </c>
      <c r="BX31" s="71">
        <f t="shared" ref="BX31:BY31" ca="1" si="153">SUM(BX32:BX51)</f>
        <v>111000</v>
      </c>
      <c r="BY31" s="71">
        <f t="shared" ca="1" si="153"/>
        <v>0</v>
      </c>
      <c r="BZ31" s="114">
        <f t="shared" ca="1" si="124"/>
        <v>0</v>
      </c>
      <c r="CA31" s="71">
        <f t="shared" ref="CA31:CB31" ca="1" si="154">SUM(CA32:CA51)</f>
        <v>6000</v>
      </c>
      <c r="CB31" s="71">
        <f t="shared" ca="1" si="154"/>
        <v>0</v>
      </c>
      <c r="CC31" s="114">
        <f t="shared" ca="1" si="126"/>
        <v>0</v>
      </c>
      <c r="CD31" s="71">
        <f t="shared" ref="CD31:CE31" ca="1" si="155">SUM(CD32:CD51)</f>
        <v>172400</v>
      </c>
      <c r="CE31" s="71">
        <f t="shared" ca="1" si="155"/>
        <v>0</v>
      </c>
      <c r="CF31" s="114">
        <f t="shared" ca="1" si="128"/>
        <v>0</v>
      </c>
      <c r="CG31" s="71">
        <f t="shared" ref="CG31:CH31" ca="1" si="156">SUM(CG32:CG51)</f>
        <v>66000</v>
      </c>
      <c r="CH31" s="71">
        <f t="shared" ca="1" si="156"/>
        <v>0</v>
      </c>
      <c r="CI31" s="114">
        <f t="shared" ca="1" si="130"/>
        <v>0</v>
      </c>
      <c r="CJ31" s="71">
        <f t="shared" ref="CJ31:CK31" ca="1" si="157">SUM(CJ32:CJ51)</f>
        <v>80</v>
      </c>
      <c r="CK31" s="71">
        <f t="shared" ca="1" si="157"/>
        <v>0</v>
      </c>
      <c r="CL31" s="114">
        <f t="shared" ca="1" si="132"/>
        <v>0</v>
      </c>
      <c r="CM31" s="71">
        <f t="shared" ref="CM31:CN31" ca="1" si="158">SUM(CM32:CM51)</f>
        <v>0</v>
      </c>
      <c r="CN31" s="71">
        <f t="shared" ca="1" si="158"/>
        <v>0</v>
      </c>
    </row>
    <row r="32" spans="1:92" ht="21" customHeight="1" x14ac:dyDescent="0.3">
      <c r="A32" s="77">
        <v>1</v>
      </c>
      <c r="B32" s="78" t="s">
        <v>58</v>
      </c>
      <c r="C32" s="174">
        <f t="shared" ca="1" si="80"/>
        <v>228500</v>
      </c>
      <c r="D32" s="175">
        <f t="shared" ref="D32:D51" ca="1" si="159">+E32+F32</f>
        <v>228500</v>
      </c>
      <c r="E32" s="176">
        <f ca="1">IFERROR(__xludf.DUMMYFUNCTION("IMPORTRANGE(""https://docs.google.com/spreadsheets/d/1-uDff_7J0KD5mKrp0Vvzr7lt3OU09vwQwhkpOPPYv2Y/edit?usp=sharing"",""งบพรบ!CV32"")"),182000)</f>
        <v>182000</v>
      </c>
      <c r="F32" s="176">
        <f ca="1">IFERROR(__xludf.DUMMYFUNCTION("IMPORTRANGE(""https://docs.google.com/spreadsheets/d/1-uDff_7J0KD5mKrp0Vvzr7lt3OU09vwQwhkpOPPYv2Y/edit?usp=sharing"",""งบพรบ!CW32"")"),46500)</f>
        <v>46500</v>
      </c>
      <c r="G32" s="177">
        <f ca="1">IFERROR(__xludf.DUMMYFUNCTION("IMPORTRANGE(""https://docs.google.com/spreadsheets/d/1-uDff_7J0KD5mKrp0Vvzr7lt3OU09vwQwhkpOPPYv2Y/edit?usp=sharing"",""งบพรบ!CX32"")"),0)</f>
        <v>0</v>
      </c>
      <c r="H32" s="177">
        <f ca="1">IFERROR(__xludf.DUMMYFUNCTION("IMPORTRANGE(""https://docs.google.com/spreadsheets/d/1-uDff_7J0KD5mKrp0Vvzr7lt3OU09vwQwhkpOPPYv2Y/edit?usp=sharing"",""งบพรบ!CZ32"")"),228500)</f>
        <v>228500</v>
      </c>
      <c r="I32" s="177">
        <f ca="1">IFERROR(__xludf.DUMMYFUNCTION("IMPORTRANGE(""https://docs.google.com/spreadsheets/d/1-uDff_7J0KD5mKrp0Vvzr7lt3OU09vwQwhkpOPPYv2Y/edit?usp=sharing"",""งบพรบ!DA32"")"),0)</f>
        <v>0</v>
      </c>
      <c r="J32" s="177">
        <f t="shared" ca="1" si="82"/>
        <v>78000</v>
      </c>
      <c r="K32" s="178">
        <f t="shared" ca="1" si="83"/>
        <v>34.135667396061272</v>
      </c>
      <c r="L32" s="177">
        <f ca="1">IFERROR(__xludf.DUMMYFUNCTION("IMPORTRANGE(""https://docs.google.com/spreadsheets/d/1-uDff_7J0KD5mKrp0Vvzr7lt3OU09vwQwhkpOPPYv2Y/edit?usp=sharing"",""งบพรบ!DB32"")"),78000)</f>
        <v>78000</v>
      </c>
      <c r="M32" s="87">
        <f t="shared" ca="1" si="84"/>
        <v>34.135667396061272</v>
      </c>
      <c r="N32" s="87">
        <f t="shared" ca="1" si="85"/>
        <v>34.135667396061272</v>
      </c>
      <c r="O32" s="86">
        <f ca="1">IFERROR(__xludf.DUMMYFUNCTION("IMPORTRANGE(""https://docs.google.com/spreadsheets/d/1-uDff_7J0KD5mKrp0Vvzr7lt3OU09vwQwhkpOPPYv2Y/edit?usp=sharing"",""งบพรบ!DC32"")"),0)</f>
        <v>0</v>
      </c>
      <c r="P32" s="86">
        <f t="shared" ca="1" si="86"/>
        <v>0</v>
      </c>
      <c r="Q32" s="87">
        <f t="shared" ca="1" si="87"/>
        <v>0</v>
      </c>
      <c r="R32" s="241">
        <f ca="1">IFERROR(__xludf.DUMMYFUNCTION("IMPORTRANGE(""https://docs.google.com/spreadsheets/d/1yhBcrRPreicbMKl9Bu_Snb2-OcQAF62RKfhTLhJ2eAA/edit?usp=sharing"",""กาฬสินธุ์!Q186"")"),42000)</f>
        <v>42000</v>
      </c>
      <c r="S32" s="242">
        <f ca="1">IFERROR(__xludf.DUMMYFUNCTION("IMPORTRANGE(""https://docs.google.com/spreadsheets/d/1yhBcrRPreicbMKl9Bu_Snb2-OcQAF62RKfhTLhJ2eAA/edit?usp=sharing"",""กาฬสินธุ์!R186"")"),0)</f>
        <v>0</v>
      </c>
      <c r="T32" s="242">
        <f ca="1">IFERROR(__xludf.DUMMYFUNCTION("IMPORTRANGE(""https://docs.google.com/spreadsheets/d/1yhBcrRPreicbMKl9Bu_Snb2-OcQAF62RKfhTLhJ2eAA/edit?usp=sharing"",""กาฬสินธุ์!S186"")"),0)</f>
        <v>0</v>
      </c>
      <c r="U32" s="243">
        <f t="shared" ca="1" si="89"/>
        <v>0</v>
      </c>
      <c r="V32" s="243">
        <f t="shared" ca="1" si="90"/>
        <v>0</v>
      </c>
      <c r="W32" s="82">
        <f ca="1">IFERROR(__xludf.DUMMYFUNCTION("IMPORTRANGE(""https://docs.google.com/spreadsheets/d/1yhBcrRPreicbMKl9Bu_Snb2-OcQAF62RKfhTLhJ2eAA/edit?usp=sharing"",""กาฬสินธุ์!L196"")"),6000)</f>
        <v>6000</v>
      </c>
      <c r="X32" s="82">
        <f ca="1">IFERROR(__xludf.DUMMYFUNCTION("IMPORTRANGE(""https://docs.google.com/spreadsheets/d/1yhBcrRPreicbMKl9Bu_Snb2-OcQAF62RKfhTLhJ2eAA/edit?usp=sharing"",""กาฬสินธุ์!N196"")"),0)</f>
        <v>0</v>
      </c>
      <c r="Y32" s="88">
        <f t="shared" ca="1" si="92"/>
        <v>0</v>
      </c>
      <c r="Z32" s="82">
        <f ca="1">IFERROR(__xludf.DUMMYFUNCTION("IMPORTRANGE(""https://docs.google.com/spreadsheets/d/1yhBcrRPreicbMKl9Bu_Snb2-OcQAF62RKfhTLhJ2eAA/edit?usp=sharing"",""กาฬสินธุ์!I198"")"),4)</f>
        <v>4</v>
      </c>
      <c r="AA32" s="82">
        <f ca="1">IFERROR(__xludf.DUMMYFUNCTION("IMPORTRANGE(""https://docs.google.com/spreadsheets/d/1yhBcrRPreicbMKl9Bu_Snb2-OcQAF62RKfhTLhJ2eAA/edit?usp=sharing"",""กาฬสินธุ์!J198"")"),1)</f>
        <v>1</v>
      </c>
      <c r="AB32" s="88">
        <f t="shared" ca="1" si="94"/>
        <v>25</v>
      </c>
      <c r="AC32" s="82">
        <f ca="1">IFERROR(__xludf.DUMMYFUNCTION("IMPORTRANGE(""https://docs.google.com/spreadsheets/d/1yhBcrRPreicbMKl9Bu_Snb2-OcQAF62RKfhTLhJ2eAA/edit?usp=sharing"",""กาฬสินธุ์!J199"")"),0)</f>
        <v>0</v>
      </c>
      <c r="AD32" s="82">
        <f ca="1">IFERROR(__xludf.DUMMYFUNCTION("IMPORTRANGE(""https://docs.google.com/spreadsheets/d/1yhBcrRPreicbMKl9Bu_Snb2-OcQAF62RKfhTLhJ2eAA/edit?usp=sharing"",""กาฬสินธุ์!J200"")"),0)</f>
        <v>0</v>
      </c>
      <c r="AE32" s="82">
        <f ca="1">IFERROR(__xludf.DUMMYFUNCTION("IMPORTRANGE(""https://docs.google.com/spreadsheets/d/1yhBcrRPreicbMKl9Bu_Snb2-OcQAF62RKfhTLhJ2eAA/edit?usp=sharing"",""กาฬสินธุ์!J201"")"),0)</f>
        <v>0</v>
      </c>
      <c r="AF32" s="82">
        <f ca="1">IFERROR(__xludf.DUMMYFUNCTION("IMPORTRANGE(""https://docs.google.com/spreadsheets/d/1yhBcrRPreicbMKl9Bu_Snb2-OcQAF62RKfhTLhJ2eAA/edit?usp=sharing"",""กาฬสินธุ์!L204"")"),2000)</f>
        <v>2000</v>
      </c>
      <c r="AG32" s="82">
        <f ca="1">IFERROR(__xludf.DUMMYFUNCTION("IMPORTRANGE(""https://docs.google.com/spreadsheets/d/1yhBcrRPreicbMKl9Bu_Snb2-OcQAF62RKfhTLhJ2eAA/edit?usp=sharing"",""กาฬสินธุ์!N204"")"),0)</f>
        <v>0</v>
      </c>
      <c r="AH32" s="88">
        <f t="shared" ca="1" si="96"/>
        <v>0</v>
      </c>
      <c r="AI32" s="82">
        <f ca="1">IFERROR(__xludf.DUMMYFUNCTION("IMPORTRANGE(""https://docs.google.com/spreadsheets/d/1yhBcrRPreicbMKl9Bu_Snb2-OcQAF62RKfhTLhJ2eAA/edit?usp=sharing"",""กาฬสินธุ์!L206"")"),16000)</f>
        <v>16000</v>
      </c>
      <c r="AJ32" s="82">
        <f ca="1">IFERROR(__xludf.DUMMYFUNCTION("IMPORTRANGE(""https://docs.google.com/spreadsheets/d/1yhBcrRPreicbMKl9Bu_Snb2-OcQAF62RKfhTLhJ2eAA/edit?usp=sharing"",""กาฬสินธุ์!N206"")"),0)</f>
        <v>0</v>
      </c>
      <c r="AK32" s="88">
        <f t="shared" ca="1" si="98"/>
        <v>0</v>
      </c>
      <c r="AL32" s="82">
        <f ca="1">IFERROR(__xludf.DUMMYFUNCTION("IMPORTRANGE(""https://docs.google.com/spreadsheets/d/1yhBcrRPreicbMKl9Bu_Snb2-OcQAF62RKfhTLhJ2eAA/edit?usp=sharing"",""กาฬสินธุ์!L207"")"),8000)</f>
        <v>8000</v>
      </c>
      <c r="AM32" s="82">
        <f ca="1">IFERROR(__xludf.DUMMYFUNCTION("IMPORTRANGE(""https://docs.google.com/spreadsheets/d/1yhBcrRPreicbMKl9Bu_Snb2-OcQAF62RKfhTLhJ2eAA/edit?usp=sharing"",""กาฬสินธุ์!N207"")"),0)</f>
        <v>0</v>
      </c>
      <c r="AN32" s="88">
        <f t="shared" ca="1" si="100"/>
        <v>0</v>
      </c>
      <c r="AO32" s="82">
        <f ca="1">IFERROR(__xludf.DUMMYFUNCTION("IMPORTRANGE(""https://docs.google.com/spreadsheets/d/1yhBcrRPreicbMKl9Bu_Snb2-OcQAF62RKfhTLhJ2eAA/edit?usp=sharing"",""กาฬสินธุ์!I209"")"),2)</f>
        <v>2</v>
      </c>
      <c r="AP32" s="82">
        <f ca="1">IFERROR(__xludf.DUMMYFUNCTION("IMPORTRANGE(""https://docs.google.com/spreadsheets/d/1yhBcrRPreicbMKl9Bu_Snb2-OcQAF62RKfhTLhJ2eAA/edit?usp=sharing"",""กาฬสินธุ์!J209"")"),0)</f>
        <v>0</v>
      </c>
      <c r="AQ32" s="88">
        <f t="shared" ca="1" si="102"/>
        <v>0</v>
      </c>
      <c r="AR32" s="82">
        <f ca="1">IFERROR(__xludf.DUMMYFUNCTION("IMPORTRANGE(""https://docs.google.com/spreadsheets/d/1yhBcrRPreicbMKl9Bu_Snb2-OcQAF62RKfhTLhJ2eAA/edit?usp=sharing"",""กาฬสินธุ์!J211"")"),0)</f>
        <v>0</v>
      </c>
      <c r="AS32" s="82">
        <f ca="1">IFERROR(__xludf.DUMMYFUNCTION("IMPORTRANGE(""https://docs.google.com/spreadsheets/d/1yhBcrRPreicbMKl9Bu_Snb2-OcQAF62RKfhTLhJ2eAA/edit?usp=sharing"",""กาฬสินธุ์!J212"")"),0)</f>
        <v>0</v>
      </c>
      <c r="AT32" s="82">
        <f ca="1">IFERROR(__xludf.DUMMYFUNCTION("IMPORTRANGE(""https://docs.google.com/spreadsheets/d/1yhBcrRPreicbMKl9Bu_Snb2-OcQAF62RKfhTLhJ2eAA/edit?usp=sharing"",""กาฬสินธุ์!L215"")"),0)</f>
        <v>0</v>
      </c>
      <c r="AU32" s="82">
        <f ca="1">IFERROR(__xludf.DUMMYFUNCTION("IMPORTRANGE(""https://docs.google.com/spreadsheets/d/1yhBcrRPreicbMKl9Bu_Snb2-OcQAF62RKfhTLhJ2eAA/edit?usp=sharing"",""กาฬสินธุ์!N215"")"),0)</f>
        <v>0</v>
      </c>
      <c r="AV32" s="88">
        <f t="shared" ca="1" si="104"/>
        <v>0</v>
      </c>
      <c r="AW32" s="82">
        <f ca="1">IFERROR(__xludf.DUMMYFUNCTION("IMPORTRANGE(""https://docs.google.com/spreadsheets/d/1yhBcrRPreicbMKl9Bu_Snb2-OcQAF62RKfhTLhJ2eAA/edit?usp=sharing"",""กาฬสินธุ์!L216"")"),0)</f>
        <v>0</v>
      </c>
      <c r="AX32" s="82">
        <f ca="1">IFERROR(__xludf.DUMMYFUNCTION("IMPORTRANGE(""https://docs.google.com/spreadsheets/d/1yhBcrRPreicbMKl9Bu_Snb2-OcQAF62RKfhTLhJ2eAA/edit?usp=sharing"",""กาฬสินธุ์!N216"")"),0)</f>
        <v>0</v>
      </c>
      <c r="AY32" s="88">
        <f t="shared" ca="1" si="106"/>
        <v>0</v>
      </c>
      <c r="AZ32" s="82">
        <f ca="1">IFERROR(__xludf.DUMMYFUNCTION("IMPORTRANGE(""https://docs.google.com/spreadsheets/d/1yhBcrRPreicbMKl9Bu_Snb2-OcQAF62RKfhTLhJ2eAA/edit?usp=sharing"",""กาฬสินธุ์!L217"")"),0)</f>
        <v>0</v>
      </c>
      <c r="BA32" s="82">
        <f ca="1">IFERROR(__xludf.DUMMYFUNCTION("IMPORTRANGE(""https://docs.google.com/spreadsheets/d/1yhBcrRPreicbMKl9Bu_Snb2-OcQAF62RKfhTLhJ2eAA/edit?usp=sharing"",""กาฬสินธุ์!N217"")"),0)</f>
        <v>0</v>
      </c>
      <c r="BB32" s="88">
        <f t="shared" ca="1" si="108"/>
        <v>0</v>
      </c>
      <c r="BC32" s="82">
        <f ca="1">IFERROR(__xludf.DUMMYFUNCTION("IMPORTRANGE(""https://docs.google.com/spreadsheets/d/1yhBcrRPreicbMKl9Bu_Snb2-OcQAF62RKfhTLhJ2eAA/edit?usp=sharing"",""กาฬสินธุ์!I219"")"),0)</f>
        <v>0</v>
      </c>
      <c r="BD32" s="82">
        <f ca="1">IFERROR(__xludf.DUMMYFUNCTION("IMPORTRANGE(""https://docs.google.com/spreadsheets/d/1yhBcrRPreicbMKl9Bu_Snb2-OcQAF62RKfhTLhJ2eAA/edit?usp=sharing"",""กาฬสินธุ์!J219"")"),0)</f>
        <v>0</v>
      </c>
      <c r="BE32" s="88">
        <f t="shared" ca="1" si="110"/>
        <v>0</v>
      </c>
      <c r="BF32" s="82">
        <f ca="1">IFERROR(__xludf.DUMMYFUNCTION("IMPORTRANGE(""https://docs.google.com/spreadsheets/d/1yhBcrRPreicbMKl9Bu_Snb2-OcQAF62RKfhTLhJ2eAA/edit?usp=sharing"",""กาฬสินธุ์!I220"")"),0)</f>
        <v>0</v>
      </c>
      <c r="BG32" s="82">
        <f ca="1">IFERROR(__xludf.DUMMYFUNCTION("IMPORTRANGE(""https://docs.google.com/spreadsheets/d/1yhBcrRPreicbMKl9Bu_Snb2-OcQAF62RKfhTLhJ2eAA/edit?usp=sharing"",""กาฬสินธุ์!J220"")"),0)</f>
        <v>0</v>
      </c>
      <c r="BH32" s="88">
        <f t="shared" ca="1" si="112"/>
        <v>0</v>
      </c>
      <c r="BI32" s="82">
        <f ca="1">IFERROR(__xludf.DUMMYFUNCTION("IMPORTRANGE(""https://docs.google.com/spreadsheets/d/1yhBcrRPreicbMKl9Bu_Snb2-OcQAF62RKfhTLhJ2eAA/edit?usp=sharing"",""กาฬสินธุ์!L223"")"),13000)</f>
        <v>13000</v>
      </c>
      <c r="BJ32" s="82">
        <f ca="1">IFERROR(__xludf.DUMMYFUNCTION("IMPORTRANGE(""https://docs.google.com/spreadsheets/d/1yhBcrRPreicbMKl9Bu_Snb2-OcQAF62RKfhTLhJ2eAA/edit?usp=sharing"",""กาฬสินธุ์!N223"")"),0)</f>
        <v>0</v>
      </c>
      <c r="BK32" s="88">
        <f t="shared" ca="1" si="114"/>
        <v>0</v>
      </c>
      <c r="BL32" s="82">
        <f ca="1">IFERROR(__xludf.DUMMYFUNCTION("IMPORTRANGE(""https://docs.google.com/spreadsheets/d/1yhBcrRPreicbMKl9Bu_Snb2-OcQAF62RKfhTLhJ2eAA/edit?usp=sharing"",""กาฬสินธุ์!L224"")"),1500)</f>
        <v>1500</v>
      </c>
      <c r="BM32" s="82">
        <f ca="1">IFERROR(__xludf.DUMMYFUNCTION("IMPORTRANGE(""https://docs.google.com/spreadsheets/d/1yhBcrRPreicbMKl9Bu_Snb2-OcQAF62RKfhTLhJ2eAA/edit?usp=sharing"",""กาฬสินธุ์!N224"")"),0)</f>
        <v>0</v>
      </c>
      <c r="BN32" s="88">
        <f t="shared" ca="1" si="116"/>
        <v>0</v>
      </c>
      <c r="BO32" s="82">
        <f ca="1">IFERROR(__xludf.DUMMYFUNCTION("IMPORTRANGE(""https://docs.google.com/spreadsheets/d/1yhBcrRPreicbMKl9Bu_Snb2-OcQAF62RKfhTLhJ2eAA/edit?usp=sharing"",""กาฬสินธุ์!I228"")"),123000)</f>
        <v>123000</v>
      </c>
      <c r="BP32" s="82">
        <f ca="1">IFERROR(__xludf.DUMMYFUNCTION("IMPORTRANGE(""https://docs.google.com/spreadsheets/d/1yhBcrRPreicbMKl9Bu_Snb2-OcQAF62RKfhTLhJ2eAA/edit?usp=sharing"",""กาฬสินธุ์!J228"")"),0)</f>
        <v>0</v>
      </c>
      <c r="BQ32" s="88">
        <f t="shared" ca="1" si="118"/>
        <v>0</v>
      </c>
      <c r="BR32" s="82">
        <f ca="1">IFERROR(__xludf.DUMMYFUNCTION("IMPORTRANGE(""https://docs.google.com/spreadsheets/d/1yhBcrRPreicbMKl9Bu_Snb2-OcQAF62RKfhTLhJ2eAA/edit?usp=sharing"",""กาฬสินธุ์!I229"")"),123000)</f>
        <v>123000</v>
      </c>
      <c r="BS32" s="82">
        <f ca="1">IFERROR(__xludf.DUMMYFUNCTION("IMPORTRANGE(""https://docs.google.com/spreadsheets/d/1yhBcrRPreicbMKl9Bu_Snb2-OcQAF62RKfhTLhJ2eAA/edit?usp=sharing"",""กาฬสินธุ์!J229"")"),0)</f>
        <v>0</v>
      </c>
      <c r="BT32" s="88">
        <f t="shared" ca="1" si="120"/>
        <v>0</v>
      </c>
      <c r="BU32" s="82">
        <f ca="1">IFERROR(__xludf.DUMMYFUNCTION("IMPORTRANGE(""https://docs.google.com/spreadsheets/d/1yhBcrRPreicbMKl9Bu_Snb2-OcQAF62RKfhTLhJ2eAA/edit?usp=sharing"",""กาฬสินธุ์!I230"")"),0)</f>
        <v>0</v>
      </c>
      <c r="BV32" s="82">
        <f ca="1">IFERROR(__xludf.DUMMYFUNCTION("IMPORTRANGE(""https://docs.google.com/spreadsheets/d/1yhBcrRPreicbMKl9Bu_Snb2-OcQAF62RKfhTLhJ2eAA/edit?usp=sharing"",""กาฬสินธุ์!J230"")"),0)</f>
        <v>0</v>
      </c>
      <c r="BW32" s="88">
        <f t="shared" ca="1" si="122"/>
        <v>0</v>
      </c>
      <c r="BX32" s="82">
        <f ca="1">IFERROR(__xludf.DUMMYFUNCTION("IMPORTRANGE(""https://docs.google.com/spreadsheets/d/1yhBcrRPreicbMKl9Bu_Snb2-OcQAF62RKfhTLhJ2eAA/edit?usp=sharing"",""กาฬสินธุ์!L233"")"),0)</f>
        <v>0</v>
      </c>
      <c r="BY32" s="82">
        <f ca="1">IFERROR(__xludf.DUMMYFUNCTION("IMPORTRANGE(""https://docs.google.com/spreadsheets/d/1yhBcrRPreicbMKl9Bu_Snb2-OcQAF62RKfhTLhJ2eAA/edit?usp=sharing"",""กาฬสินธุ์!N233"")"),0)</f>
        <v>0</v>
      </c>
      <c r="BZ32" s="88">
        <f t="shared" ca="1" si="124"/>
        <v>0</v>
      </c>
      <c r="CA32" s="82">
        <f ca="1">IFERROR(__xludf.DUMMYFUNCTION("IMPORTRANGE(""https://docs.google.com/spreadsheets/d/1yhBcrRPreicbMKl9Bu_Snb2-OcQAF62RKfhTLhJ2eAA/edit?usp=sharing"",""กาฬสินธุ์!L234"")"),0)</f>
        <v>0</v>
      </c>
      <c r="CB32" s="82">
        <f ca="1">IFERROR(__xludf.DUMMYFUNCTION("IMPORTRANGE(""https://docs.google.com/spreadsheets/d/1yhBcrRPreicbMKl9Bu_Snb2-OcQAF62RKfhTLhJ2eAA/edit?usp=sharing"",""กาฬสินธุ์!N234"")"),0)</f>
        <v>0</v>
      </c>
      <c r="CC32" s="88">
        <f t="shared" ca="1" si="126"/>
        <v>0</v>
      </c>
      <c r="CD32" s="82">
        <f ca="1">IFERROR(__xludf.DUMMYFUNCTION("IMPORTRANGE(""https://docs.google.com/spreadsheets/d/1yhBcrRPreicbMKl9Bu_Snb2-OcQAF62RKfhTLhJ2eAA/edit?usp=sharing"",""กาฬสินธุ์!L235"")"),0)</f>
        <v>0</v>
      </c>
      <c r="CE32" s="82">
        <f ca="1">IFERROR(__xludf.DUMMYFUNCTION("IMPORTRANGE(""https://docs.google.com/spreadsheets/d/1yhBcrRPreicbMKl9Bu_Snb2-OcQAF62RKfhTLhJ2eAA/edit?usp=sharing"",""กาฬสินธุ์!N235"")"),0)</f>
        <v>0</v>
      </c>
      <c r="CF32" s="88">
        <f t="shared" ca="1" si="128"/>
        <v>0</v>
      </c>
      <c r="CG32" s="82">
        <f ca="1">IFERROR(__xludf.DUMMYFUNCTION("IMPORTRANGE(""https://docs.google.com/spreadsheets/d/1yhBcrRPreicbMKl9Bu_Snb2-OcQAF62RKfhTLhJ2eAA/edit?usp=sharing"",""กาฬสินธุ์!L236"")"),0)</f>
        <v>0</v>
      </c>
      <c r="CH32" s="82">
        <f ca="1">IFERROR(__xludf.DUMMYFUNCTION("IMPORTRANGE(""https://docs.google.com/spreadsheets/d/1yhBcrRPreicbMKl9Bu_Snb2-OcQAF62RKfhTLhJ2eAA/edit?usp=sharing"",""กาฬสินธุ์!N236"")"),0)</f>
        <v>0</v>
      </c>
      <c r="CI32" s="88">
        <f t="shared" ca="1" si="130"/>
        <v>0</v>
      </c>
      <c r="CJ32" s="82">
        <f ca="1">IFERROR(__xludf.DUMMYFUNCTION("IMPORTRANGE(""https://docs.google.com/spreadsheets/d/1yhBcrRPreicbMKl9Bu_Snb2-OcQAF62RKfhTLhJ2eAA/edit?usp=sharing"",""กาฬสินธุ์!I238"")"),0)</f>
        <v>0</v>
      </c>
      <c r="CK32" s="82">
        <f ca="1">IFERROR(__xludf.DUMMYFUNCTION("IMPORTRANGE(""https://docs.google.com/spreadsheets/d/1yhBcrRPreicbMKl9Bu_Snb2-OcQAF62RKfhTLhJ2eAA/edit?usp=sharing"",""กาฬสินธุ์!J238"")"),0)</f>
        <v>0</v>
      </c>
      <c r="CL32" s="88">
        <f t="shared" ca="1" si="132"/>
        <v>0</v>
      </c>
      <c r="CM32" s="82">
        <f ca="1">IFERROR(__xludf.DUMMYFUNCTION("IMPORTRANGE(""https://docs.google.com/spreadsheets/d/1yhBcrRPreicbMKl9Bu_Snb2-OcQAF62RKfhTLhJ2eAA/edit?usp=sharing"",""กาฬสินธุ์!J240"")"),0)</f>
        <v>0</v>
      </c>
      <c r="CN32" s="82">
        <f ca="1">IFERROR(__xludf.DUMMYFUNCTION("IMPORTRANGE(""https://docs.google.com/spreadsheets/d/1yhBcrRPreicbMKl9Bu_Snb2-OcQAF62RKfhTLhJ2eAA/edit?usp=sharing"",""กาฬสินธุ์!J241"")"),0)</f>
        <v>0</v>
      </c>
    </row>
    <row r="33" spans="1:92" ht="21" customHeight="1" x14ac:dyDescent="0.3">
      <c r="A33" s="89">
        <v>2</v>
      </c>
      <c r="B33" s="90" t="s">
        <v>59</v>
      </c>
      <c r="C33" s="174">
        <f t="shared" ca="1" si="80"/>
        <v>40500</v>
      </c>
      <c r="D33" s="175">
        <f t="shared" ca="1" si="159"/>
        <v>40500</v>
      </c>
      <c r="E33" s="176">
        <f ca="1">IFERROR(__xludf.DUMMYFUNCTION("IMPORTRANGE(""https://docs.google.com/spreadsheets/d/1-uDff_7J0KD5mKrp0Vvzr7lt3OU09vwQwhkpOPPYv2Y/edit?usp=sharing"",""งบพรบ!CV33"")"),0)</f>
        <v>0</v>
      </c>
      <c r="F33" s="176">
        <f ca="1">IFERROR(__xludf.DUMMYFUNCTION("IMPORTRANGE(""https://docs.google.com/spreadsheets/d/1-uDff_7J0KD5mKrp0Vvzr7lt3OU09vwQwhkpOPPYv2Y/edit?usp=sharing"",""งบพรบ!CW33"")"),40500)</f>
        <v>40500</v>
      </c>
      <c r="G33" s="176">
        <f ca="1">IFERROR(__xludf.DUMMYFUNCTION("IMPORTRANGE(""https://docs.google.com/spreadsheets/d/1-uDff_7J0KD5mKrp0Vvzr7lt3OU09vwQwhkpOPPYv2Y/edit?usp=sharing"",""งบพรบ!CX33"")"),0)</f>
        <v>0</v>
      </c>
      <c r="H33" s="176">
        <f ca="1">IFERROR(__xludf.DUMMYFUNCTION("IMPORTRANGE(""https://docs.google.com/spreadsheets/d/1-uDff_7J0KD5mKrp0Vvzr7lt3OU09vwQwhkpOPPYv2Y/edit?usp=sharing"",""งบพรบ!CZ33"")"),40500)</f>
        <v>40500</v>
      </c>
      <c r="I33" s="176">
        <f ca="1">IFERROR(__xludf.DUMMYFUNCTION("IMPORTRANGE(""https://docs.google.com/spreadsheets/d/1-uDff_7J0KD5mKrp0Vvzr7lt3OU09vwQwhkpOPPYv2Y/edit?usp=sharing"",""งบพรบ!DA33"")"),0)</f>
        <v>0</v>
      </c>
      <c r="J33" s="176">
        <f t="shared" ca="1" si="82"/>
        <v>2040</v>
      </c>
      <c r="K33" s="179">
        <f t="shared" ca="1" si="83"/>
        <v>5.0370370370370372</v>
      </c>
      <c r="L33" s="176">
        <f ca="1">IFERROR(__xludf.DUMMYFUNCTION("IMPORTRANGE(""https://docs.google.com/spreadsheets/d/1-uDff_7J0KD5mKrp0Vvzr7lt3OU09vwQwhkpOPPYv2Y/edit?usp=sharing"",""งบพรบ!DB33"")"),2040)</f>
        <v>2040</v>
      </c>
      <c r="M33" s="87">
        <f t="shared" ca="1" si="84"/>
        <v>5.0370370370370372</v>
      </c>
      <c r="N33" s="87">
        <f t="shared" ca="1" si="85"/>
        <v>5.0370370370370372</v>
      </c>
      <c r="O33" s="86">
        <f ca="1">IFERROR(__xludf.DUMMYFUNCTION("IMPORTRANGE(""https://docs.google.com/spreadsheets/d/1-uDff_7J0KD5mKrp0Vvzr7lt3OU09vwQwhkpOPPYv2Y/edit?usp=sharing"",""งบพรบ!DC33"")"),0)</f>
        <v>0</v>
      </c>
      <c r="P33" s="86">
        <f t="shared" ca="1" si="86"/>
        <v>0</v>
      </c>
      <c r="Q33" s="87">
        <f t="shared" ca="1" si="87"/>
        <v>0</v>
      </c>
      <c r="R33" s="241">
        <f ca="1">IFERROR(__xludf.DUMMYFUNCTION("IMPORTRANGE(""https://docs.google.com/spreadsheets/d/1aHkj4IaQMThhwWwevcOymEh837vdxeC_PycurhTbGFA/edit?usp=sharing"",""ขอนแก่น!Q186"")"),42000)</f>
        <v>42000</v>
      </c>
      <c r="S33" s="242">
        <f ca="1">IFERROR(__xludf.DUMMYFUNCTION("IMPORTRANGE(""https://docs.google.com/spreadsheets/d/1aHkj4IaQMThhwWwevcOymEh837vdxeC_PycurhTbGFA/edit?usp=sharing"",""ขอนแก่น!R186"")"),0)</f>
        <v>0</v>
      </c>
      <c r="T33" s="242">
        <f ca="1">IFERROR(__xludf.DUMMYFUNCTION("IMPORTRANGE(""https://docs.google.com/spreadsheets/d/1aHkj4IaQMThhwWwevcOymEh837vdxeC_PycurhTbGFA/edit?usp=sharing"",""ขอนแก่น!S186"")"),0)</f>
        <v>0</v>
      </c>
      <c r="U33" s="243">
        <f t="shared" ca="1" si="89"/>
        <v>0</v>
      </c>
      <c r="V33" s="243">
        <f t="shared" ca="1" si="90"/>
        <v>0</v>
      </c>
      <c r="W33" s="97">
        <f ca="1">IFERROR(__xludf.DUMMYFUNCTION("IMPORTRANGE(""https://docs.google.com/spreadsheets/d/1aHkj4IaQMThhwWwevcOymEh837vdxeC_PycurhTbGFA/edit?usp=sharing"",""ขอนแก่น!L196"")"),6000)</f>
        <v>6000</v>
      </c>
      <c r="X33" s="97">
        <f ca="1">IFERROR(__xludf.DUMMYFUNCTION("IMPORTRANGE(""https://docs.google.com/spreadsheets/d/1aHkj4IaQMThhwWwevcOymEh837vdxeC_PycurhTbGFA/edit?usp=sharing"",""ขอนแก่น!N196"")"),0)</f>
        <v>0</v>
      </c>
      <c r="Y33" s="98">
        <f t="shared" ca="1" si="92"/>
        <v>0</v>
      </c>
      <c r="Z33" s="97">
        <f ca="1">IFERROR(__xludf.DUMMYFUNCTION("IMPORTRANGE(""https://docs.google.com/spreadsheets/d/1aHkj4IaQMThhwWwevcOymEh837vdxeC_PycurhTbGFA/edit?usp=sharing"",""ขอนแก่น!I198"")"),4)</f>
        <v>4</v>
      </c>
      <c r="AA33" s="97">
        <f ca="1">IFERROR(__xludf.DUMMYFUNCTION("IMPORTRANGE(""https://docs.google.com/spreadsheets/d/1aHkj4IaQMThhwWwevcOymEh837vdxeC_PycurhTbGFA/edit?usp=sharing"",""ขอนแก่น!J198"")"),2)</f>
        <v>2</v>
      </c>
      <c r="AB33" s="98">
        <f t="shared" ca="1" si="94"/>
        <v>50</v>
      </c>
      <c r="AC33" s="97">
        <f ca="1">IFERROR(__xludf.DUMMYFUNCTION("IMPORTRANGE(""https://docs.google.com/spreadsheets/d/1aHkj4IaQMThhwWwevcOymEh837vdxeC_PycurhTbGFA/edit?usp=sharing"",""ขอนแก่น!J199"")"),0)</f>
        <v>0</v>
      </c>
      <c r="AD33" s="97">
        <f ca="1">IFERROR(__xludf.DUMMYFUNCTION("IMPORTRANGE(""https://docs.google.com/spreadsheets/d/1aHkj4IaQMThhwWwevcOymEh837vdxeC_PycurhTbGFA/edit?usp=sharing"",""ขอนแก่น!J200"")"),0)</f>
        <v>0</v>
      </c>
      <c r="AE33" s="97">
        <f ca="1">IFERROR(__xludf.DUMMYFUNCTION("IMPORTRANGE(""https://docs.google.com/spreadsheets/d/1aHkj4IaQMThhwWwevcOymEh837vdxeC_PycurhTbGFA/edit?usp=sharing"",""ขอนแก่น!J201"")"),0)</f>
        <v>0</v>
      </c>
      <c r="AF33" s="97">
        <f ca="1">IFERROR(__xludf.DUMMYFUNCTION("IMPORTRANGE(""https://docs.google.com/spreadsheets/d/1aHkj4IaQMThhwWwevcOymEh837vdxeC_PycurhTbGFA/edit?usp=sharing"",""ขอนแก่น!L204"")"),2000)</f>
        <v>2000</v>
      </c>
      <c r="AG33" s="97">
        <f ca="1">IFERROR(__xludf.DUMMYFUNCTION("IMPORTRANGE(""https://docs.google.com/spreadsheets/d/1aHkj4IaQMThhwWwevcOymEh837vdxeC_PycurhTbGFA/edit?usp=sharing"",""ขอนแก่น!N204"")"),0)</f>
        <v>0</v>
      </c>
      <c r="AH33" s="98">
        <f t="shared" ca="1" si="96"/>
        <v>0</v>
      </c>
      <c r="AI33" s="97">
        <f ca="1">IFERROR(__xludf.DUMMYFUNCTION("IMPORTRANGE(""https://docs.google.com/spreadsheets/d/1aHkj4IaQMThhwWwevcOymEh837vdxeC_PycurhTbGFA/edit?usp=sharing"",""ขอนแก่น!L206"")"),16000)</f>
        <v>16000</v>
      </c>
      <c r="AJ33" s="97">
        <f ca="1">IFERROR(__xludf.DUMMYFUNCTION("IMPORTRANGE(""https://docs.google.com/spreadsheets/d/1aHkj4IaQMThhwWwevcOymEh837vdxeC_PycurhTbGFA/edit?usp=sharing"",""ขอนแก่น!N206"")"),0)</f>
        <v>0</v>
      </c>
      <c r="AK33" s="98">
        <f t="shared" ca="1" si="98"/>
        <v>0</v>
      </c>
      <c r="AL33" s="97">
        <f ca="1">IFERROR(__xludf.DUMMYFUNCTION("IMPORTRANGE(""https://docs.google.com/spreadsheets/d/1aHkj4IaQMThhwWwevcOymEh837vdxeC_PycurhTbGFA/edit?usp=sharing"",""ขอนแก่น!L207"")"),8000)</f>
        <v>8000</v>
      </c>
      <c r="AM33" s="97">
        <f ca="1">IFERROR(__xludf.DUMMYFUNCTION("IMPORTRANGE(""https://docs.google.com/spreadsheets/d/1aHkj4IaQMThhwWwevcOymEh837vdxeC_PycurhTbGFA/edit?usp=sharing"",""ขอนแก่น!N207"")"),0)</f>
        <v>0</v>
      </c>
      <c r="AN33" s="98">
        <f t="shared" ca="1" si="100"/>
        <v>0</v>
      </c>
      <c r="AO33" s="97">
        <f ca="1">IFERROR(__xludf.DUMMYFUNCTION("IMPORTRANGE(""https://docs.google.com/spreadsheets/d/1aHkj4IaQMThhwWwevcOymEh837vdxeC_PycurhTbGFA/edit?usp=sharing"",""ขอนแก่น!I209"")"),2)</f>
        <v>2</v>
      </c>
      <c r="AP33" s="97">
        <f ca="1">IFERROR(__xludf.DUMMYFUNCTION("IMPORTRANGE(""https://docs.google.com/spreadsheets/d/1aHkj4IaQMThhwWwevcOymEh837vdxeC_PycurhTbGFA/edit?usp=sharing"",""ขอนแก่น!J209"")"),0)</f>
        <v>0</v>
      </c>
      <c r="AQ33" s="98">
        <f t="shared" ca="1" si="102"/>
        <v>0</v>
      </c>
      <c r="AR33" s="97">
        <f ca="1">IFERROR(__xludf.DUMMYFUNCTION("IMPORTRANGE(""https://docs.google.com/spreadsheets/d/1aHkj4IaQMThhwWwevcOymEh837vdxeC_PycurhTbGFA/edit?usp=sharing"",""ขอนแก่น!J211"")"),0)</f>
        <v>0</v>
      </c>
      <c r="AS33" s="97">
        <f ca="1">IFERROR(__xludf.DUMMYFUNCTION("IMPORTRANGE(""https://docs.google.com/spreadsheets/d/1aHkj4IaQMThhwWwevcOymEh837vdxeC_PycurhTbGFA/edit?usp=sharing"",""ขอนแก่น!J212"")"),0)</f>
        <v>0</v>
      </c>
      <c r="AT33" s="97">
        <f ca="1">IFERROR(__xludf.DUMMYFUNCTION("IMPORTRANGE(""https://docs.google.com/spreadsheets/d/1aHkj4IaQMThhwWwevcOymEh837vdxeC_PycurhTbGFA/edit?usp=sharing"",""ขอนแก่น!L215"")"),0)</f>
        <v>0</v>
      </c>
      <c r="AU33" s="97">
        <f ca="1">IFERROR(__xludf.DUMMYFUNCTION("IMPORTRANGE(""https://docs.google.com/spreadsheets/d/1aHkj4IaQMThhwWwevcOymEh837vdxeC_PycurhTbGFA/edit?usp=sharing"",""ขอนแก่น!N215"")"),0)</f>
        <v>0</v>
      </c>
      <c r="AV33" s="98">
        <f t="shared" ca="1" si="104"/>
        <v>0</v>
      </c>
      <c r="AW33" s="97">
        <f ca="1">IFERROR(__xludf.DUMMYFUNCTION("IMPORTRANGE(""https://docs.google.com/spreadsheets/d/1aHkj4IaQMThhwWwevcOymEh837vdxeC_PycurhTbGFA/edit?usp=sharing"",""ขอนแก่น!L216"")"),0)</f>
        <v>0</v>
      </c>
      <c r="AX33" s="97">
        <f ca="1">IFERROR(__xludf.DUMMYFUNCTION("IMPORTRANGE(""https://docs.google.com/spreadsheets/d/1aHkj4IaQMThhwWwevcOymEh837vdxeC_PycurhTbGFA/edit?usp=sharing"",""ขอนแก่น!N216"")"),0)</f>
        <v>0</v>
      </c>
      <c r="AY33" s="98">
        <f t="shared" ca="1" si="106"/>
        <v>0</v>
      </c>
      <c r="AZ33" s="97">
        <f ca="1">IFERROR(__xludf.DUMMYFUNCTION("IMPORTRANGE(""https://docs.google.com/spreadsheets/d/1aHkj4IaQMThhwWwevcOymEh837vdxeC_PycurhTbGFA/edit?usp=sharing"",""ขอนแก่น!L217"")"),0)</f>
        <v>0</v>
      </c>
      <c r="BA33" s="97">
        <f ca="1">IFERROR(__xludf.DUMMYFUNCTION("IMPORTRANGE(""https://docs.google.com/spreadsheets/d/1aHkj4IaQMThhwWwevcOymEh837vdxeC_PycurhTbGFA/edit?usp=sharing"",""ขอนแก่น!N217"")"),0)</f>
        <v>0</v>
      </c>
      <c r="BB33" s="98">
        <f t="shared" ca="1" si="108"/>
        <v>0</v>
      </c>
      <c r="BC33" s="97">
        <f ca="1">IFERROR(__xludf.DUMMYFUNCTION("IMPORTRANGE(""https://docs.google.com/spreadsheets/d/1aHkj4IaQMThhwWwevcOymEh837vdxeC_PycurhTbGFA/edit?usp=sharing"",""ขอนแก่น!I219"")"),0)</f>
        <v>0</v>
      </c>
      <c r="BD33" s="97">
        <f ca="1">IFERROR(__xludf.DUMMYFUNCTION("IMPORTRANGE(""https://docs.google.com/spreadsheets/d/1aHkj4IaQMThhwWwevcOymEh837vdxeC_PycurhTbGFA/edit?usp=sharing"",""ขอนแก่น!J219"")"),0)</f>
        <v>0</v>
      </c>
      <c r="BE33" s="98">
        <f t="shared" ca="1" si="110"/>
        <v>0</v>
      </c>
      <c r="BF33" s="97">
        <f ca="1">IFERROR(__xludf.DUMMYFUNCTION("IMPORTRANGE(""https://docs.google.com/spreadsheets/d/1aHkj4IaQMThhwWwevcOymEh837vdxeC_PycurhTbGFA/edit?usp=sharing"",""ขอนแก่น!I220"")"),0)</f>
        <v>0</v>
      </c>
      <c r="BG33" s="97">
        <f ca="1">IFERROR(__xludf.DUMMYFUNCTION("IMPORTRANGE(""https://docs.google.com/spreadsheets/d/1aHkj4IaQMThhwWwevcOymEh837vdxeC_PycurhTbGFA/edit?usp=sharing"",""ขอนแก่น!J220"")"),0)</f>
        <v>0</v>
      </c>
      <c r="BH33" s="98">
        <f t="shared" ca="1" si="112"/>
        <v>0</v>
      </c>
      <c r="BI33" s="97">
        <f ca="1">IFERROR(__xludf.DUMMYFUNCTION("IMPORTRANGE(""https://docs.google.com/spreadsheets/d/1aHkj4IaQMThhwWwevcOymEh837vdxeC_PycurhTbGFA/edit?usp=sharing"",""ขอนแก่น!L223"")"),7000)</f>
        <v>7000</v>
      </c>
      <c r="BJ33" s="97">
        <f ca="1">IFERROR(__xludf.DUMMYFUNCTION("IMPORTRANGE(""https://docs.google.com/spreadsheets/d/1aHkj4IaQMThhwWwevcOymEh837vdxeC_PycurhTbGFA/edit?usp=sharing"",""ขอนแก่น!N223"")"),0)</f>
        <v>0</v>
      </c>
      <c r="BK33" s="98">
        <f t="shared" ca="1" si="114"/>
        <v>0</v>
      </c>
      <c r="BL33" s="97">
        <f ca="1">IFERROR(__xludf.DUMMYFUNCTION("IMPORTRANGE(""https://docs.google.com/spreadsheets/d/1aHkj4IaQMThhwWwevcOymEh837vdxeC_PycurhTbGFA/edit?usp=sharing"",""ขอนแก่น!L224"")"),1500)</f>
        <v>1500</v>
      </c>
      <c r="BM33" s="97">
        <f ca="1">IFERROR(__xludf.DUMMYFUNCTION("IMPORTRANGE(""https://docs.google.com/spreadsheets/d/1aHkj4IaQMThhwWwevcOymEh837vdxeC_PycurhTbGFA/edit?usp=sharing"",""ขอนแก่น!N224"")"),0)</f>
        <v>0</v>
      </c>
      <c r="BN33" s="98">
        <f t="shared" ca="1" si="116"/>
        <v>0</v>
      </c>
      <c r="BO33" s="97">
        <f ca="1">IFERROR(__xludf.DUMMYFUNCTION("IMPORTRANGE(""https://docs.google.com/spreadsheets/d/1aHkj4IaQMThhwWwevcOymEh837vdxeC_PycurhTbGFA/edit?usp=sharing"",""ขอนแก่น!I228"")"),50000)</f>
        <v>50000</v>
      </c>
      <c r="BP33" s="97">
        <f ca="1">IFERROR(__xludf.DUMMYFUNCTION("IMPORTRANGE(""https://docs.google.com/spreadsheets/d/1aHkj4IaQMThhwWwevcOymEh837vdxeC_PycurhTbGFA/edit?usp=sharing"",""ขอนแก่น!J228"")"),0)</f>
        <v>0</v>
      </c>
      <c r="BQ33" s="98">
        <f t="shared" ca="1" si="118"/>
        <v>0</v>
      </c>
      <c r="BR33" s="97">
        <f ca="1">IFERROR(__xludf.DUMMYFUNCTION("IMPORTRANGE(""https://docs.google.com/spreadsheets/d/1aHkj4IaQMThhwWwevcOymEh837vdxeC_PycurhTbGFA/edit?usp=sharing"",""ขอนแก่น!I229"")"),50000)</f>
        <v>50000</v>
      </c>
      <c r="BS33" s="97">
        <f ca="1">IFERROR(__xludf.DUMMYFUNCTION("IMPORTRANGE(""https://docs.google.com/spreadsheets/d/1aHkj4IaQMThhwWwevcOymEh837vdxeC_PycurhTbGFA/edit?usp=sharing"",""ขอนแก่น!J229"")"),0)</f>
        <v>0</v>
      </c>
      <c r="BT33" s="98">
        <f t="shared" ca="1" si="120"/>
        <v>0</v>
      </c>
      <c r="BU33" s="97">
        <f ca="1">IFERROR(__xludf.DUMMYFUNCTION("IMPORTRANGE(""https://docs.google.com/spreadsheets/d/1aHkj4IaQMThhwWwevcOymEh837vdxeC_PycurhTbGFA/edit?usp=sharing"",""ขอนแก่น!I230"")"),0)</f>
        <v>0</v>
      </c>
      <c r="BV33" s="97">
        <f ca="1">IFERROR(__xludf.DUMMYFUNCTION("IMPORTRANGE(""https://docs.google.com/spreadsheets/d/1aHkj4IaQMThhwWwevcOymEh837vdxeC_PycurhTbGFA/edit?usp=sharing"",""ขอนแก่น!J230"")"),0)</f>
        <v>0</v>
      </c>
      <c r="BW33" s="98">
        <f t="shared" ca="1" si="122"/>
        <v>0</v>
      </c>
      <c r="BX33" s="97">
        <f ca="1">IFERROR(__xludf.DUMMYFUNCTION("IMPORTRANGE(""https://docs.google.com/spreadsheets/d/1aHkj4IaQMThhwWwevcOymEh837vdxeC_PycurhTbGFA/edit?usp=sharing"",""ขอนแก่น!L233"")"),0)</f>
        <v>0</v>
      </c>
      <c r="BY33" s="97">
        <f ca="1">IFERROR(__xludf.DUMMYFUNCTION("IMPORTRANGE(""https://docs.google.com/spreadsheets/d/1aHkj4IaQMThhwWwevcOymEh837vdxeC_PycurhTbGFA/edit?usp=sharing"",""ขอนแก่น!N233"")"),0)</f>
        <v>0</v>
      </c>
      <c r="BZ33" s="98">
        <f t="shared" ca="1" si="124"/>
        <v>0</v>
      </c>
      <c r="CA33" s="97">
        <f ca="1">IFERROR(__xludf.DUMMYFUNCTION("IMPORTRANGE(""https://docs.google.com/spreadsheets/d/1aHkj4IaQMThhwWwevcOymEh837vdxeC_PycurhTbGFA/edit?usp=sharing"",""ขอนแก่น!L234"")"),0)</f>
        <v>0</v>
      </c>
      <c r="CB33" s="97">
        <f ca="1">IFERROR(__xludf.DUMMYFUNCTION("IMPORTRANGE(""https://docs.google.com/spreadsheets/d/1aHkj4IaQMThhwWwevcOymEh837vdxeC_PycurhTbGFA/edit?usp=sharing"",""ขอนแก่น!N234"")"),0)</f>
        <v>0</v>
      </c>
      <c r="CC33" s="98">
        <f t="shared" ca="1" si="126"/>
        <v>0</v>
      </c>
      <c r="CD33" s="97">
        <f ca="1">IFERROR(__xludf.DUMMYFUNCTION("IMPORTRANGE(""https://docs.google.com/spreadsheets/d/1aHkj4IaQMThhwWwevcOymEh837vdxeC_PycurhTbGFA/edit?usp=sharing"",""ขอนแก่น!L235"")"),0)</f>
        <v>0</v>
      </c>
      <c r="CE33" s="97">
        <f ca="1">IFERROR(__xludf.DUMMYFUNCTION("IMPORTRANGE(""https://docs.google.com/spreadsheets/d/1aHkj4IaQMThhwWwevcOymEh837vdxeC_PycurhTbGFA/edit?usp=sharing"",""ขอนแก่น!N235"")"),0)</f>
        <v>0</v>
      </c>
      <c r="CF33" s="98">
        <f t="shared" ca="1" si="128"/>
        <v>0</v>
      </c>
      <c r="CG33" s="97">
        <f ca="1">IFERROR(__xludf.DUMMYFUNCTION("IMPORTRANGE(""https://docs.google.com/spreadsheets/d/1aHkj4IaQMThhwWwevcOymEh837vdxeC_PycurhTbGFA/edit?usp=sharing"",""ขอนแก่น!L236"")"),0)</f>
        <v>0</v>
      </c>
      <c r="CH33" s="97">
        <f ca="1">IFERROR(__xludf.DUMMYFUNCTION("IMPORTRANGE(""https://docs.google.com/spreadsheets/d/1aHkj4IaQMThhwWwevcOymEh837vdxeC_PycurhTbGFA/edit?usp=sharing"",""ขอนแก่น!N236"")"),0)</f>
        <v>0</v>
      </c>
      <c r="CI33" s="98">
        <f t="shared" ca="1" si="130"/>
        <v>0</v>
      </c>
      <c r="CJ33" s="97">
        <f ca="1">IFERROR(__xludf.DUMMYFUNCTION("IMPORTRANGE(""https://docs.google.com/spreadsheets/d/1aHkj4IaQMThhwWwevcOymEh837vdxeC_PycurhTbGFA/edit?usp=sharing"",""ขอนแก่น!I238"")"),0)</f>
        <v>0</v>
      </c>
      <c r="CK33" s="97">
        <f ca="1">IFERROR(__xludf.DUMMYFUNCTION("IMPORTRANGE(""https://docs.google.com/spreadsheets/d/1aHkj4IaQMThhwWwevcOymEh837vdxeC_PycurhTbGFA/edit?usp=sharing"",""ขอนแก่น!J238"")"),0)</f>
        <v>0</v>
      </c>
      <c r="CL33" s="98">
        <f t="shared" ca="1" si="132"/>
        <v>0</v>
      </c>
      <c r="CM33" s="97">
        <f ca="1">IFERROR(__xludf.DUMMYFUNCTION("IMPORTRANGE(""https://docs.google.com/spreadsheets/d/1aHkj4IaQMThhwWwevcOymEh837vdxeC_PycurhTbGFA/edit?usp=sharing"",""ขอนแก่น!J240"")"),0)</f>
        <v>0</v>
      </c>
      <c r="CN33" s="97">
        <f ca="1">IFERROR(__xludf.DUMMYFUNCTION("IMPORTRANGE(""https://docs.google.com/spreadsheets/d/1aHkj4IaQMThhwWwevcOymEh837vdxeC_PycurhTbGFA/edit?usp=sharing"",""ขอนแก่น!J241"")"),0)</f>
        <v>0</v>
      </c>
    </row>
    <row r="34" spans="1:92" ht="21" customHeight="1" x14ac:dyDescent="0.3">
      <c r="A34" s="89">
        <v>3</v>
      </c>
      <c r="B34" s="90" t="s">
        <v>60</v>
      </c>
      <c r="C34" s="174">
        <f t="shared" ca="1" si="80"/>
        <v>222500</v>
      </c>
      <c r="D34" s="175">
        <f t="shared" ca="1" si="159"/>
        <v>222500</v>
      </c>
      <c r="E34" s="176">
        <f ca="1">IFERROR(__xludf.DUMMYFUNCTION("IMPORTRANGE(""https://docs.google.com/spreadsheets/d/1-uDff_7J0KD5mKrp0Vvzr7lt3OU09vwQwhkpOPPYv2Y/edit?usp=sharing"",""งบพรบ!CV34"")"),182000)</f>
        <v>182000</v>
      </c>
      <c r="F34" s="176">
        <f ca="1">IFERROR(__xludf.DUMMYFUNCTION("IMPORTRANGE(""https://docs.google.com/spreadsheets/d/1-uDff_7J0KD5mKrp0Vvzr7lt3OU09vwQwhkpOPPYv2Y/edit?usp=sharing"",""งบพรบ!CW34"")"),40500)</f>
        <v>40500</v>
      </c>
      <c r="G34" s="176">
        <f ca="1">IFERROR(__xludf.DUMMYFUNCTION("IMPORTRANGE(""https://docs.google.com/spreadsheets/d/1-uDff_7J0KD5mKrp0Vvzr7lt3OU09vwQwhkpOPPYv2Y/edit?usp=sharing"",""งบพรบ!CX34"")"),0)</f>
        <v>0</v>
      </c>
      <c r="H34" s="176">
        <f ca="1">IFERROR(__xludf.DUMMYFUNCTION("IMPORTRANGE(""https://docs.google.com/spreadsheets/d/1-uDff_7J0KD5mKrp0Vvzr7lt3OU09vwQwhkpOPPYv2Y/edit?usp=sharing"",""งบพรบ!CZ34"")"),222500)</f>
        <v>222500</v>
      </c>
      <c r="I34" s="176">
        <f ca="1">IFERROR(__xludf.DUMMYFUNCTION("IMPORTRANGE(""https://docs.google.com/spreadsheets/d/1-uDff_7J0KD5mKrp0Vvzr7lt3OU09vwQwhkpOPPYv2Y/edit?usp=sharing"",""งบพรบ!DA34"")"),0)</f>
        <v>0</v>
      </c>
      <c r="J34" s="176">
        <f t="shared" ca="1" si="82"/>
        <v>57360</v>
      </c>
      <c r="K34" s="179">
        <f t="shared" ca="1" si="83"/>
        <v>25.779775280898875</v>
      </c>
      <c r="L34" s="176">
        <f ca="1">IFERROR(__xludf.DUMMYFUNCTION("IMPORTRANGE(""https://docs.google.com/spreadsheets/d/1-uDff_7J0KD5mKrp0Vvzr7lt3OU09vwQwhkpOPPYv2Y/edit?usp=sharing"",""งบพรบ!DB34"")"),57360)</f>
        <v>57360</v>
      </c>
      <c r="M34" s="87">
        <f t="shared" ca="1" si="84"/>
        <v>25.779775280898875</v>
      </c>
      <c r="N34" s="87">
        <f t="shared" ca="1" si="85"/>
        <v>25.779775280898875</v>
      </c>
      <c r="O34" s="86">
        <f ca="1">IFERROR(__xludf.DUMMYFUNCTION("IMPORTRANGE(""https://docs.google.com/spreadsheets/d/1-uDff_7J0KD5mKrp0Vvzr7lt3OU09vwQwhkpOPPYv2Y/edit?usp=sharing"",""งบพรบ!DC34"")"),0)</f>
        <v>0</v>
      </c>
      <c r="P34" s="86">
        <f t="shared" ca="1" si="86"/>
        <v>0</v>
      </c>
      <c r="Q34" s="87">
        <f t="shared" ca="1" si="87"/>
        <v>0</v>
      </c>
      <c r="R34" s="241">
        <f ca="1">IFERROR(__xludf.DUMMYFUNCTION("IMPORTRANGE(""https://docs.google.com/spreadsheets/d/1FvTu2DsIWUjP6WCWra38Bkj_oOl_sOMf14r5Fg5srxU/edit?usp=sharing"",""ชัยภูมิ!Q186"")"),56000)</f>
        <v>56000</v>
      </c>
      <c r="S34" s="242">
        <f ca="1">IFERROR(__xludf.DUMMYFUNCTION("IMPORTRANGE(""https://docs.google.com/spreadsheets/d/1FvTu2DsIWUjP6WCWra38Bkj_oOl_sOMf14r5Fg5srxU/edit?usp=sharing"",""ชัยภูมิ!R186"")"),0)</f>
        <v>0</v>
      </c>
      <c r="T34" s="242">
        <f ca="1">IFERROR(__xludf.DUMMYFUNCTION("IMPORTRANGE(""https://docs.google.com/spreadsheets/d/1FvTu2DsIWUjP6WCWra38Bkj_oOl_sOMf14r5Fg5srxU/edit?usp=sharing"",""ชัยภูมิ!S186"")"),0)</f>
        <v>0</v>
      </c>
      <c r="U34" s="243">
        <f t="shared" ca="1" si="89"/>
        <v>0</v>
      </c>
      <c r="V34" s="243">
        <f t="shared" ca="1" si="90"/>
        <v>0</v>
      </c>
      <c r="W34" s="97">
        <f ca="1">IFERROR(__xludf.DUMMYFUNCTION("IMPORTRANGE(""https://docs.google.com/spreadsheets/d/1FvTu2DsIWUjP6WCWra38Bkj_oOl_sOMf14r5Fg5srxU/edit?usp=sharing"",""ชัยภูมิ!L196"")"),6000)</f>
        <v>6000</v>
      </c>
      <c r="X34" s="97">
        <f ca="1">IFERROR(__xludf.DUMMYFUNCTION("IMPORTRANGE(""https://docs.google.com/spreadsheets/d/1FvTu2DsIWUjP6WCWra38Bkj_oOl_sOMf14r5Fg5srxU/edit?usp=sharing"",""ชัยภูมิ!N196"")"),0)</f>
        <v>0</v>
      </c>
      <c r="Y34" s="98">
        <f t="shared" ca="1" si="92"/>
        <v>0</v>
      </c>
      <c r="Z34" s="97">
        <f ca="1">IFERROR(__xludf.DUMMYFUNCTION("IMPORTRANGE(""https://docs.google.com/spreadsheets/d/1FvTu2DsIWUjP6WCWra38Bkj_oOl_sOMf14r5Fg5srxU/edit?usp=sharing"",""ชัยภูมิ!I198"")"),4)</f>
        <v>4</v>
      </c>
      <c r="AA34" s="97">
        <f ca="1">IFERROR(__xludf.DUMMYFUNCTION("IMPORTRANGE(""https://docs.google.com/spreadsheets/d/1FvTu2DsIWUjP6WCWra38Bkj_oOl_sOMf14r5Fg5srxU/edit?usp=sharing"",""ชัยภูมิ!J198"")"),0)</f>
        <v>0</v>
      </c>
      <c r="AB34" s="98">
        <f t="shared" ca="1" si="94"/>
        <v>0</v>
      </c>
      <c r="AC34" s="97">
        <f ca="1">IFERROR(__xludf.DUMMYFUNCTION("IMPORTRANGE(""https://docs.google.com/spreadsheets/d/1FvTu2DsIWUjP6WCWra38Bkj_oOl_sOMf14r5Fg5srxU/edit?usp=sharing"",""ชัยภูมิ!J199"")"),0)</f>
        <v>0</v>
      </c>
      <c r="AD34" s="97">
        <f ca="1">IFERROR(__xludf.DUMMYFUNCTION("IMPORTRANGE(""https://docs.google.com/spreadsheets/d/1FvTu2DsIWUjP6WCWra38Bkj_oOl_sOMf14r5Fg5srxU/edit?usp=sharing"",""ชัยภูมิ!J200"")"),0)</f>
        <v>0</v>
      </c>
      <c r="AE34" s="97">
        <f ca="1">IFERROR(__xludf.DUMMYFUNCTION("IMPORTRANGE(""https://docs.google.com/spreadsheets/d/1FvTu2DsIWUjP6WCWra38Bkj_oOl_sOMf14r5Fg5srxU/edit?usp=sharing"",""ชัยภูมิ!J201"")"),0)</f>
        <v>0</v>
      </c>
      <c r="AF34" s="97">
        <f ca="1">IFERROR(__xludf.DUMMYFUNCTION("IMPORTRANGE(""https://docs.google.com/spreadsheets/d/1FvTu2DsIWUjP6WCWra38Bkj_oOl_sOMf14r5Fg5srxU/edit?usp=sharing"",""ชัยภูมิ!L204"")"),2000)</f>
        <v>2000</v>
      </c>
      <c r="AG34" s="97">
        <f ca="1">IFERROR(__xludf.DUMMYFUNCTION("IMPORTRANGE(""https://docs.google.com/spreadsheets/d/1FvTu2DsIWUjP6WCWra38Bkj_oOl_sOMf14r5Fg5srxU/edit?usp=sharing"",""ชัยภูมิ!N204"")"),0)</f>
        <v>0</v>
      </c>
      <c r="AH34" s="98">
        <f t="shared" ca="1" si="96"/>
        <v>0</v>
      </c>
      <c r="AI34" s="97">
        <f ca="1">IFERROR(__xludf.DUMMYFUNCTION("IMPORTRANGE(""https://docs.google.com/spreadsheets/d/1FvTu2DsIWUjP6WCWra38Bkj_oOl_sOMf14r5Fg5srxU/edit?usp=sharing"",""ชัยภูมิ!L206"")"),16000)</f>
        <v>16000</v>
      </c>
      <c r="AJ34" s="97">
        <f ca="1">IFERROR(__xludf.DUMMYFUNCTION("IMPORTRANGE(""https://docs.google.com/spreadsheets/d/1FvTu2DsIWUjP6WCWra38Bkj_oOl_sOMf14r5Fg5srxU/edit?usp=sharing"",""ชัยภูมิ!N206"")"),0)</f>
        <v>0</v>
      </c>
      <c r="AK34" s="98">
        <f t="shared" ca="1" si="98"/>
        <v>0</v>
      </c>
      <c r="AL34" s="97">
        <f ca="1">IFERROR(__xludf.DUMMYFUNCTION("IMPORTRANGE(""https://docs.google.com/spreadsheets/d/1FvTu2DsIWUjP6WCWra38Bkj_oOl_sOMf14r5Fg5srxU/edit?usp=sharing"",""ชัยภูมิ!L207"")"),8000)</f>
        <v>8000</v>
      </c>
      <c r="AM34" s="97">
        <f ca="1">IFERROR(__xludf.DUMMYFUNCTION("IMPORTRANGE(""https://docs.google.com/spreadsheets/d/1FvTu2DsIWUjP6WCWra38Bkj_oOl_sOMf14r5Fg5srxU/edit?usp=sharing"",""ชัยภูมิ!N207"")"),0)</f>
        <v>0</v>
      </c>
      <c r="AN34" s="98">
        <f t="shared" ca="1" si="100"/>
        <v>0</v>
      </c>
      <c r="AO34" s="97">
        <f ca="1">IFERROR(__xludf.DUMMYFUNCTION("IMPORTRANGE(""https://docs.google.com/spreadsheets/d/1FvTu2DsIWUjP6WCWra38Bkj_oOl_sOMf14r5Fg5srxU/edit?usp=sharing"",""ชัยภูมิ!I209"")"),2)</f>
        <v>2</v>
      </c>
      <c r="AP34" s="97">
        <f ca="1">IFERROR(__xludf.DUMMYFUNCTION("IMPORTRANGE(""https://docs.google.com/spreadsheets/d/1FvTu2DsIWUjP6WCWra38Bkj_oOl_sOMf14r5Fg5srxU/edit?usp=sharing"",""ชัยภูมิ!J209"")"),0)</f>
        <v>0</v>
      </c>
      <c r="AQ34" s="98">
        <f t="shared" ca="1" si="102"/>
        <v>0</v>
      </c>
      <c r="AR34" s="97">
        <f ca="1">IFERROR(__xludf.DUMMYFUNCTION("IMPORTRANGE(""https://docs.google.com/spreadsheets/d/1FvTu2DsIWUjP6WCWra38Bkj_oOl_sOMf14r5Fg5srxU/edit?usp=sharing"",""ชัยภูมิ!J211"")"),0)</f>
        <v>0</v>
      </c>
      <c r="AS34" s="97">
        <f ca="1">IFERROR(__xludf.DUMMYFUNCTION("IMPORTRANGE(""https://docs.google.com/spreadsheets/d/1FvTu2DsIWUjP6WCWra38Bkj_oOl_sOMf14r5Fg5srxU/edit?usp=sharing"",""ชัยภูมิ!J212"")"),0)</f>
        <v>0</v>
      </c>
      <c r="AT34" s="97">
        <f ca="1">IFERROR(__xludf.DUMMYFUNCTION("IMPORTRANGE(""https://docs.google.com/spreadsheets/d/1FvTu2DsIWUjP6WCWra38Bkj_oOl_sOMf14r5Fg5srxU/edit?usp=sharing"",""ชัยภูมิ!L215"")"),0)</f>
        <v>0</v>
      </c>
      <c r="AU34" s="97">
        <f ca="1">IFERROR(__xludf.DUMMYFUNCTION("IMPORTRANGE(""https://docs.google.com/spreadsheets/d/1FvTu2DsIWUjP6WCWra38Bkj_oOl_sOMf14r5Fg5srxU/edit?usp=sharing"",""ชัยภูมิ!N215"")"),0)</f>
        <v>0</v>
      </c>
      <c r="AV34" s="98">
        <f t="shared" ca="1" si="104"/>
        <v>0</v>
      </c>
      <c r="AW34" s="97">
        <f ca="1">IFERROR(__xludf.DUMMYFUNCTION("IMPORTRANGE(""https://docs.google.com/spreadsheets/d/1FvTu2DsIWUjP6WCWra38Bkj_oOl_sOMf14r5Fg5srxU/edit?usp=sharing"",""ชัยภูมิ!L216"")"),0)</f>
        <v>0</v>
      </c>
      <c r="AX34" s="97">
        <f ca="1">IFERROR(__xludf.DUMMYFUNCTION("IMPORTRANGE(""https://docs.google.com/spreadsheets/d/1FvTu2DsIWUjP6WCWra38Bkj_oOl_sOMf14r5Fg5srxU/edit?usp=sharing"",""ชัยภูมิ!N216"")"),0)</f>
        <v>0</v>
      </c>
      <c r="AY34" s="98">
        <f t="shared" ca="1" si="106"/>
        <v>0</v>
      </c>
      <c r="AZ34" s="97">
        <f ca="1">IFERROR(__xludf.DUMMYFUNCTION("IMPORTRANGE(""https://docs.google.com/spreadsheets/d/1FvTu2DsIWUjP6WCWra38Bkj_oOl_sOMf14r5Fg5srxU/edit?usp=sharing"",""ชัยภูมิ!L217"")"),0)</f>
        <v>0</v>
      </c>
      <c r="BA34" s="97">
        <f ca="1">IFERROR(__xludf.DUMMYFUNCTION("IMPORTRANGE(""https://docs.google.com/spreadsheets/d/1FvTu2DsIWUjP6WCWra38Bkj_oOl_sOMf14r5Fg5srxU/edit?usp=sharing"",""ชัยภูมิ!N217"")"),0)</f>
        <v>0</v>
      </c>
      <c r="BB34" s="98">
        <f t="shared" ca="1" si="108"/>
        <v>0</v>
      </c>
      <c r="BC34" s="97">
        <f ca="1">IFERROR(__xludf.DUMMYFUNCTION("IMPORTRANGE(""https://docs.google.com/spreadsheets/d/1FvTu2DsIWUjP6WCWra38Bkj_oOl_sOMf14r5Fg5srxU/edit?usp=sharing"",""ชัยภูมิ!I219"")"),0)</f>
        <v>0</v>
      </c>
      <c r="BD34" s="97">
        <f ca="1">IFERROR(__xludf.DUMMYFUNCTION("IMPORTRANGE(""https://docs.google.com/spreadsheets/d/1FvTu2DsIWUjP6WCWra38Bkj_oOl_sOMf14r5Fg5srxU/edit?usp=sharing"",""ชัยภูมิ!J219"")"),0)</f>
        <v>0</v>
      </c>
      <c r="BE34" s="98">
        <f t="shared" ca="1" si="110"/>
        <v>0</v>
      </c>
      <c r="BF34" s="97">
        <f ca="1">IFERROR(__xludf.DUMMYFUNCTION("IMPORTRANGE(""https://docs.google.com/spreadsheets/d/1FvTu2DsIWUjP6WCWra38Bkj_oOl_sOMf14r5Fg5srxU/edit?usp=sharing"",""ชัยภูมิ!I220"")"),0)</f>
        <v>0</v>
      </c>
      <c r="BG34" s="97">
        <f ca="1">IFERROR(__xludf.DUMMYFUNCTION("IMPORTRANGE(""https://docs.google.com/spreadsheets/d/1FvTu2DsIWUjP6WCWra38Bkj_oOl_sOMf14r5Fg5srxU/edit?usp=sharing"",""ชัยภูมิ!J220"")"),0)</f>
        <v>0</v>
      </c>
      <c r="BH34" s="98">
        <f t="shared" ca="1" si="112"/>
        <v>0</v>
      </c>
      <c r="BI34" s="97">
        <f ca="1">IFERROR(__xludf.DUMMYFUNCTION("IMPORTRANGE(""https://docs.google.com/spreadsheets/d/1FvTu2DsIWUjP6WCWra38Bkj_oOl_sOMf14r5Fg5srxU/edit?usp=sharing"",""ชัยภูมิ!L223"")"),7000)</f>
        <v>7000</v>
      </c>
      <c r="BJ34" s="97">
        <f ca="1">IFERROR(__xludf.DUMMYFUNCTION("IMPORTRANGE(""https://docs.google.com/spreadsheets/d/1FvTu2DsIWUjP6WCWra38Bkj_oOl_sOMf14r5Fg5srxU/edit?usp=sharing"",""ชัยภูมิ!N223"")"),0)</f>
        <v>0</v>
      </c>
      <c r="BK34" s="98">
        <f t="shared" ca="1" si="114"/>
        <v>0</v>
      </c>
      <c r="BL34" s="97">
        <f ca="1">IFERROR(__xludf.DUMMYFUNCTION("IMPORTRANGE(""https://docs.google.com/spreadsheets/d/1FvTu2DsIWUjP6WCWra38Bkj_oOl_sOMf14r5Fg5srxU/edit?usp=sharing"",""ชัยภูมิ!L224"")"),1500)</f>
        <v>1500</v>
      </c>
      <c r="BM34" s="97">
        <f ca="1">IFERROR(__xludf.DUMMYFUNCTION("IMPORTRANGE(""https://docs.google.com/spreadsheets/d/1FvTu2DsIWUjP6WCWra38Bkj_oOl_sOMf14r5Fg5srxU/edit?usp=sharing"",""ชัยภูมิ!N224"")"),0)</f>
        <v>0</v>
      </c>
      <c r="BN34" s="98">
        <f t="shared" ca="1" si="116"/>
        <v>0</v>
      </c>
      <c r="BO34" s="97">
        <f ca="1">IFERROR(__xludf.DUMMYFUNCTION("IMPORTRANGE(""https://docs.google.com/spreadsheets/d/1FvTu2DsIWUjP6WCWra38Bkj_oOl_sOMf14r5Fg5srxU/edit?usp=sharing"",""ชัยภูมิ!I228"")"),50000)</f>
        <v>50000</v>
      </c>
      <c r="BP34" s="97">
        <f ca="1">IFERROR(__xludf.DUMMYFUNCTION("IMPORTRANGE(""https://docs.google.com/spreadsheets/d/1FvTu2DsIWUjP6WCWra38Bkj_oOl_sOMf14r5Fg5srxU/edit?usp=sharing"",""ชัยภูมิ!J228"")"),0)</f>
        <v>0</v>
      </c>
      <c r="BQ34" s="98">
        <f t="shared" ca="1" si="118"/>
        <v>0</v>
      </c>
      <c r="BR34" s="97">
        <f ca="1">IFERROR(__xludf.DUMMYFUNCTION("IMPORTRANGE(""https://docs.google.com/spreadsheets/d/1FvTu2DsIWUjP6WCWra38Bkj_oOl_sOMf14r5Fg5srxU/edit?usp=sharing"",""ชัยภูมิ!I229"")"),50000)</f>
        <v>50000</v>
      </c>
      <c r="BS34" s="97">
        <f ca="1">IFERROR(__xludf.DUMMYFUNCTION("IMPORTRANGE(""https://docs.google.com/spreadsheets/d/1FvTu2DsIWUjP6WCWra38Bkj_oOl_sOMf14r5Fg5srxU/edit?usp=sharing"",""ชัยภูมิ!J229"")"),0)</f>
        <v>0</v>
      </c>
      <c r="BT34" s="98">
        <f t="shared" ca="1" si="120"/>
        <v>0</v>
      </c>
      <c r="BU34" s="97">
        <f ca="1">IFERROR(__xludf.DUMMYFUNCTION("IMPORTRANGE(""https://docs.google.com/spreadsheets/d/1FvTu2DsIWUjP6WCWra38Bkj_oOl_sOMf14r5Fg5srxU/edit?usp=sharing"",""ชัยภูมิ!I230"")"),0)</f>
        <v>0</v>
      </c>
      <c r="BV34" s="97">
        <f ca="1">IFERROR(__xludf.DUMMYFUNCTION("IMPORTRANGE(""https://docs.google.com/spreadsheets/d/1FvTu2DsIWUjP6WCWra38Bkj_oOl_sOMf14r5Fg5srxU/edit?usp=sharing"",""ชัยภูมิ!J230"")"),0)</f>
        <v>0</v>
      </c>
      <c r="BW34" s="98">
        <f t="shared" ca="1" si="122"/>
        <v>0</v>
      </c>
      <c r="BX34" s="97">
        <f ca="1">IFERROR(__xludf.DUMMYFUNCTION("IMPORTRANGE(""https://docs.google.com/spreadsheets/d/1FvTu2DsIWUjP6WCWra38Bkj_oOl_sOMf14r5Fg5srxU/edit?usp=sharing"",""ชัยภูมิ!L233"")"),0)</f>
        <v>0</v>
      </c>
      <c r="BY34" s="97">
        <f ca="1">IFERROR(__xludf.DUMMYFUNCTION("IMPORTRANGE(""https://docs.google.com/spreadsheets/d/1FvTu2DsIWUjP6WCWra38Bkj_oOl_sOMf14r5Fg5srxU/edit?usp=sharing"",""ชัยภูมิ!N233"")"),0)</f>
        <v>0</v>
      </c>
      <c r="BZ34" s="98">
        <f t="shared" ca="1" si="124"/>
        <v>0</v>
      </c>
      <c r="CA34" s="97">
        <f ca="1">IFERROR(__xludf.DUMMYFUNCTION("IMPORTRANGE(""https://docs.google.com/spreadsheets/d/1FvTu2DsIWUjP6WCWra38Bkj_oOl_sOMf14r5Fg5srxU/edit?usp=sharing"",""ชัยภูมิ!L234"")"),0)</f>
        <v>0</v>
      </c>
      <c r="CB34" s="97">
        <f ca="1">IFERROR(__xludf.DUMMYFUNCTION("IMPORTRANGE(""https://docs.google.com/spreadsheets/d/1FvTu2DsIWUjP6WCWra38Bkj_oOl_sOMf14r5Fg5srxU/edit?usp=sharing"",""ชัยภูมิ!N234"")"),0)</f>
        <v>0</v>
      </c>
      <c r="CC34" s="98">
        <f t="shared" ca="1" si="126"/>
        <v>0</v>
      </c>
      <c r="CD34" s="97">
        <f ca="1">IFERROR(__xludf.DUMMYFUNCTION("IMPORTRANGE(""https://docs.google.com/spreadsheets/d/1FvTu2DsIWUjP6WCWra38Bkj_oOl_sOMf14r5Fg5srxU/edit?usp=sharing"",""ชัยภูมิ!L235"")"),0)</f>
        <v>0</v>
      </c>
      <c r="CE34" s="97">
        <f ca="1">IFERROR(__xludf.DUMMYFUNCTION("IMPORTRANGE(""https://docs.google.com/spreadsheets/d/1FvTu2DsIWUjP6WCWra38Bkj_oOl_sOMf14r5Fg5srxU/edit?usp=sharing"",""ชัยภูมิ!N235"")"),0)</f>
        <v>0</v>
      </c>
      <c r="CF34" s="98">
        <f t="shared" ca="1" si="128"/>
        <v>0</v>
      </c>
      <c r="CG34" s="97">
        <f ca="1">IFERROR(__xludf.DUMMYFUNCTION("IMPORTRANGE(""https://docs.google.com/spreadsheets/d/1FvTu2DsIWUjP6WCWra38Bkj_oOl_sOMf14r5Fg5srxU/edit?usp=sharing"",""ชัยภูมิ!L236"")"),0)</f>
        <v>0</v>
      </c>
      <c r="CH34" s="97">
        <f ca="1">IFERROR(__xludf.DUMMYFUNCTION("IMPORTRANGE(""https://docs.google.com/spreadsheets/d/1FvTu2DsIWUjP6WCWra38Bkj_oOl_sOMf14r5Fg5srxU/edit?usp=sharing"",""ชัยภูมิ!N236"")"),0)</f>
        <v>0</v>
      </c>
      <c r="CI34" s="98">
        <f t="shared" ca="1" si="130"/>
        <v>0</v>
      </c>
      <c r="CJ34" s="97">
        <f ca="1">IFERROR(__xludf.DUMMYFUNCTION("IMPORTRANGE(""https://docs.google.com/spreadsheets/d/1FvTu2DsIWUjP6WCWra38Bkj_oOl_sOMf14r5Fg5srxU/edit?usp=sharing"",""ชัยภูมิ!I238"")"),0)</f>
        <v>0</v>
      </c>
      <c r="CK34" s="97">
        <f ca="1">IFERROR(__xludf.DUMMYFUNCTION("IMPORTRANGE(""https://docs.google.com/spreadsheets/d/1FvTu2DsIWUjP6WCWra38Bkj_oOl_sOMf14r5Fg5srxU/edit?usp=sharing"",""ชัยภูมิ!J238"")"),0)</f>
        <v>0</v>
      </c>
      <c r="CL34" s="98">
        <f t="shared" ca="1" si="132"/>
        <v>0</v>
      </c>
      <c r="CM34" s="97">
        <f ca="1">IFERROR(__xludf.DUMMYFUNCTION("IMPORTRANGE(""https://docs.google.com/spreadsheets/d/1FvTu2DsIWUjP6WCWra38Bkj_oOl_sOMf14r5Fg5srxU/edit?usp=sharing"",""ชัยภูมิ!J240"")"),0)</f>
        <v>0</v>
      </c>
      <c r="CN34" s="97">
        <f ca="1">IFERROR(__xludf.DUMMYFUNCTION("IMPORTRANGE(""https://docs.google.com/spreadsheets/d/1FvTu2DsIWUjP6WCWra38Bkj_oOl_sOMf14r5Fg5srxU/edit?usp=sharing"",""ชัยภูมิ!J241"")"),0)</f>
        <v>0</v>
      </c>
    </row>
    <row r="35" spans="1:92" ht="21" customHeight="1" x14ac:dyDescent="0.3">
      <c r="A35" s="89">
        <v>4</v>
      </c>
      <c r="B35" s="90" t="s">
        <v>61</v>
      </c>
      <c r="C35" s="174">
        <f t="shared" ca="1" si="80"/>
        <v>63500</v>
      </c>
      <c r="D35" s="175">
        <f t="shared" ca="1" si="159"/>
        <v>63500</v>
      </c>
      <c r="E35" s="176">
        <f ca="1">IFERROR(__xludf.DUMMYFUNCTION("IMPORTRANGE(""https://docs.google.com/spreadsheets/d/1-uDff_7J0KD5mKrp0Vvzr7lt3OU09vwQwhkpOPPYv2Y/edit?usp=sharing"",""งบพรบ!CV35"")"),0)</f>
        <v>0</v>
      </c>
      <c r="F35" s="176">
        <f ca="1">IFERROR(__xludf.DUMMYFUNCTION("IMPORTRANGE(""https://docs.google.com/spreadsheets/d/1-uDff_7J0KD5mKrp0Vvzr7lt3OU09vwQwhkpOPPYv2Y/edit?usp=sharing"",""งบพรบ!CW35"")"),63500)</f>
        <v>63500</v>
      </c>
      <c r="G35" s="176">
        <f ca="1">IFERROR(__xludf.DUMMYFUNCTION("IMPORTRANGE(""https://docs.google.com/spreadsheets/d/1-uDff_7J0KD5mKrp0Vvzr7lt3OU09vwQwhkpOPPYv2Y/edit?usp=sharing"",""งบพรบ!CX35"")"),0)</f>
        <v>0</v>
      </c>
      <c r="H35" s="176">
        <f ca="1">IFERROR(__xludf.DUMMYFUNCTION("IMPORTRANGE(""https://docs.google.com/spreadsheets/d/1-uDff_7J0KD5mKrp0Vvzr7lt3OU09vwQwhkpOPPYv2Y/edit?usp=sharing"",""งบพรบ!CZ35"")"),63500)</f>
        <v>63500</v>
      </c>
      <c r="I35" s="176">
        <f ca="1">IFERROR(__xludf.DUMMYFUNCTION("IMPORTRANGE(""https://docs.google.com/spreadsheets/d/1-uDff_7J0KD5mKrp0Vvzr7lt3OU09vwQwhkpOPPYv2Y/edit?usp=sharing"",""งบพรบ!DA35"")"),0)</f>
        <v>0</v>
      </c>
      <c r="J35" s="176">
        <f t="shared" ca="1" si="82"/>
        <v>0</v>
      </c>
      <c r="K35" s="179">
        <f t="shared" ca="1" si="83"/>
        <v>0</v>
      </c>
      <c r="L35" s="176">
        <f ca="1">IFERROR(__xludf.DUMMYFUNCTION("IMPORTRANGE(""https://docs.google.com/spreadsheets/d/1-uDff_7J0KD5mKrp0Vvzr7lt3OU09vwQwhkpOPPYv2Y/edit?usp=sharing"",""งบพรบ!DB35"")"),0)</f>
        <v>0</v>
      </c>
      <c r="M35" s="87">
        <f t="shared" ca="1" si="84"/>
        <v>0</v>
      </c>
      <c r="N35" s="87">
        <f t="shared" ca="1" si="85"/>
        <v>0</v>
      </c>
      <c r="O35" s="86">
        <f ca="1">IFERROR(__xludf.DUMMYFUNCTION("IMPORTRANGE(""https://docs.google.com/spreadsheets/d/1-uDff_7J0KD5mKrp0Vvzr7lt3OU09vwQwhkpOPPYv2Y/edit?usp=sharing"",""งบพรบ!DC35"")"),0)</f>
        <v>0</v>
      </c>
      <c r="P35" s="86">
        <f t="shared" ca="1" si="86"/>
        <v>0</v>
      </c>
      <c r="Q35" s="87">
        <f t="shared" ca="1" si="87"/>
        <v>0</v>
      </c>
      <c r="R35" s="241">
        <f ca="1">IFERROR(__xludf.DUMMYFUNCTION("IMPORTRANGE(""https://docs.google.com/spreadsheets/d/1XVB7oCJ3pr-vBUdflwPQ8Z2LlzhnCvZaaYjAfP-647E/edit?usp=sharing"",""นครพนม!Q186"")"),91700)</f>
        <v>91700</v>
      </c>
      <c r="S35" s="242">
        <f ca="1">IFERROR(__xludf.DUMMYFUNCTION("IMPORTRANGE(""https://docs.google.com/spreadsheets/d/1XVB7oCJ3pr-vBUdflwPQ8Z2LlzhnCvZaaYjAfP-647E/edit?usp=sharing"",""นครพนม!R186"")"),0)</f>
        <v>0</v>
      </c>
      <c r="T35" s="242">
        <f ca="1">IFERROR(__xludf.DUMMYFUNCTION("IMPORTRANGE(""https://docs.google.com/spreadsheets/d/1XVB7oCJ3pr-vBUdflwPQ8Z2LlzhnCvZaaYjAfP-647E/edit?usp=sharing"",""นครพนม!S186"")"),0)</f>
        <v>0</v>
      </c>
      <c r="U35" s="243">
        <f t="shared" ca="1" si="89"/>
        <v>0</v>
      </c>
      <c r="V35" s="243">
        <f t="shared" ca="1" si="90"/>
        <v>0</v>
      </c>
      <c r="W35" s="97">
        <f ca="1">IFERROR(__xludf.DUMMYFUNCTION("IMPORTRANGE(""https://docs.google.com/spreadsheets/d/1XVB7oCJ3pr-vBUdflwPQ8Z2LlzhnCvZaaYjAfP-647E/edit?usp=sharing"",""นครพนม!L196"")"),6000)</f>
        <v>6000</v>
      </c>
      <c r="X35" s="97">
        <f ca="1">IFERROR(__xludf.DUMMYFUNCTION("IMPORTRANGE(""https://docs.google.com/spreadsheets/d/1XVB7oCJ3pr-vBUdflwPQ8Z2LlzhnCvZaaYjAfP-647E/edit?usp=sharing"",""นครพนม!N196"")"),0)</f>
        <v>0</v>
      </c>
      <c r="Y35" s="98">
        <f t="shared" ca="1" si="92"/>
        <v>0</v>
      </c>
      <c r="Z35" s="97">
        <f ca="1">IFERROR(__xludf.DUMMYFUNCTION("IMPORTRANGE(""https://docs.google.com/spreadsheets/d/1XVB7oCJ3pr-vBUdflwPQ8Z2LlzhnCvZaaYjAfP-647E/edit?usp=sharing"",""นครพนม!I198"")"),4)</f>
        <v>4</v>
      </c>
      <c r="AA35" s="97">
        <f ca="1">IFERROR(__xludf.DUMMYFUNCTION("IMPORTRANGE(""https://docs.google.com/spreadsheets/d/1XVB7oCJ3pr-vBUdflwPQ8Z2LlzhnCvZaaYjAfP-647E/edit?usp=sharing"",""นครพนม!J198"")"),1)</f>
        <v>1</v>
      </c>
      <c r="AB35" s="98">
        <f t="shared" ca="1" si="94"/>
        <v>25</v>
      </c>
      <c r="AC35" s="97">
        <f ca="1">IFERROR(__xludf.DUMMYFUNCTION("IMPORTRANGE(""https://docs.google.com/spreadsheets/d/1XVB7oCJ3pr-vBUdflwPQ8Z2LlzhnCvZaaYjAfP-647E/edit?usp=sharing"",""นครพนม!J199"")"),0)</f>
        <v>0</v>
      </c>
      <c r="AD35" s="97">
        <f ca="1">IFERROR(__xludf.DUMMYFUNCTION("IMPORTRANGE(""https://docs.google.com/spreadsheets/d/1XVB7oCJ3pr-vBUdflwPQ8Z2LlzhnCvZaaYjAfP-647E/edit?usp=sharing"",""นครพนม!J200"")"),0)</f>
        <v>0</v>
      </c>
      <c r="AE35" s="97">
        <f ca="1">IFERROR(__xludf.DUMMYFUNCTION("IMPORTRANGE(""https://docs.google.com/spreadsheets/d/1XVB7oCJ3pr-vBUdflwPQ8Z2LlzhnCvZaaYjAfP-647E/edit?usp=sharing"",""นครพนม!J201"")"),0)</f>
        <v>0</v>
      </c>
      <c r="AF35" s="97">
        <f ca="1">IFERROR(__xludf.DUMMYFUNCTION("IMPORTRANGE(""https://docs.google.com/spreadsheets/d/1XVB7oCJ3pr-vBUdflwPQ8Z2LlzhnCvZaaYjAfP-647E/edit?usp=sharing"",""นครพนม!L204"")"),3000)</f>
        <v>3000</v>
      </c>
      <c r="AG35" s="97">
        <f ca="1">IFERROR(__xludf.DUMMYFUNCTION("IMPORTRANGE(""https://docs.google.com/spreadsheets/d/1XVB7oCJ3pr-vBUdflwPQ8Z2LlzhnCvZaaYjAfP-647E/edit?usp=sharing"",""นครพนม!N204"")"),0)</f>
        <v>0</v>
      </c>
      <c r="AH35" s="98">
        <f t="shared" ca="1" si="96"/>
        <v>0</v>
      </c>
      <c r="AI35" s="97">
        <f ca="1">IFERROR(__xludf.DUMMYFUNCTION("IMPORTRANGE(""https://docs.google.com/spreadsheets/d/1XVB7oCJ3pr-vBUdflwPQ8Z2LlzhnCvZaaYjAfP-647E/edit?usp=sharing"",""นครพนม!L206"")"),24000)</f>
        <v>24000</v>
      </c>
      <c r="AJ35" s="97">
        <f ca="1">IFERROR(__xludf.DUMMYFUNCTION("IMPORTRANGE(""https://docs.google.com/spreadsheets/d/1XVB7oCJ3pr-vBUdflwPQ8Z2LlzhnCvZaaYjAfP-647E/edit?usp=sharing"",""นครพนม!N206"")"),0)</f>
        <v>0</v>
      </c>
      <c r="AK35" s="98">
        <f t="shared" ca="1" si="98"/>
        <v>0</v>
      </c>
      <c r="AL35" s="97">
        <f ca="1">IFERROR(__xludf.DUMMYFUNCTION("IMPORTRANGE(""https://docs.google.com/spreadsheets/d/1XVB7oCJ3pr-vBUdflwPQ8Z2LlzhnCvZaaYjAfP-647E/edit?usp=sharing"",""นครพนม!L207"")"),12000)</f>
        <v>12000</v>
      </c>
      <c r="AM35" s="97">
        <f ca="1">IFERROR(__xludf.DUMMYFUNCTION("IMPORTRANGE(""https://docs.google.com/spreadsheets/d/1XVB7oCJ3pr-vBUdflwPQ8Z2LlzhnCvZaaYjAfP-647E/edit?usp=sharing"",""นครพนม!N207"")"),0)</f>
        <v>0</v>
      </c>
      <c r="AN35" s="98">
        <f t="shared" ca="1" si="100"/>
        <v>0</v>
      </c>
      <c r="AO35" s="97">
        <f ca="1">IFERROR(__xludf.DUMMYFUNCTION("IMPORTRANGE(""https://docs.google.com/spreadsheets/d/1XVB7oCJ3pr-vBUdflwPQ8Z2LlzhnCvZaaYjAfP-647E/edit?usp=sharing"",""นครพนม!I209"")"),3)</f>
        <v>3</v>
      </c>
      <c r="AP35" s="97">
        <f ca="1">IFERROR(__xludf.DUMMYFUNCTION("IMPORTRANGE(""https://docs.google.com/spreadsheets/d/1XVB7oCJ3pr-vBUdflwPQ8Z2LlzhnCvZaaYjAfP-647E/edit?usp=sharing"",""นครพนม!J209"")"),0)</f>
        <v>0</v>
      </c>
      <c r="AQ35" s="98">
        <f t="shared" ca="1" si="102"/>
        <v>0</v>
      </c>
      <c r="AR35" s="97">
        <f ca="1">IFERROR(__xludf.DUMMYFUNCTION("IMPORTRANGE(""https://docs.google.com/spreadsheets/d/1XVB7oCJ3pr-vBUdflwPQ8Z2LlzhnCvZaaYjAfP-647E/edit?usp=sharing"",""นครพนม!J211"")"),0)</f>
        <v>0</v>
      </c>
      <c r="AS35" s="97">
        <f ca="1">IFERROR(__xludf.DUMMYFUNCTION("IMPORTRANGE(""https://docs.google.com/spreadsheets/d/1XVB7oCJ3pr-vBUdflwPQ8Z2LlzhnCvZaaYjAfP-647E/edit?usp=sharing"",""นครพนม!J212"")"),0)</f>
        <v>0</v>
      </c>
      <c r="AT35" s="97">
        <f ca="1">IFERROR(__xludf.DUMMYFUNCTION("IMPORTRANGE(""https://docs.google.com/spreadsheets/d/1XVB7oCJ3pr-vBUdflwPQ8Z2LlzhnCvZaaYjAfP-647E/edit?usp=sharing"",""นครพนม!L215"")"),1000)</f>
        <v>1000</v>
      </c>
      <c r="AU35" s="97">
        <f ca="1">IFERROR(__xludf.DUMMYFUNCTION("IMPORTRANGE(""https://docs.google.com/spreadsheets/d/1XVB7oCJ3pr-vBUdflwPQ8Z2LlzhnCvZaaYjAfP-647E/edit?usp=sharing"",""นครพนม!N215"")"),0)</f>
        <v>0</v>
      </c>
      <c r="AV35" s="98">
        <f t="shared" ca="1" si="104"/>
        <v>0</v>
      </c>
      <c r="AW35" s="97">
        <f ca="1">IFERROR(__xludf.DUMMYFUNCTION("IMPORTRANGE(""https://docs.google.com/spreadsheets/d/1XVB7oCJ3pr-vBUdflwPQ8Z2LlzhnCvZaaYjAfP-647E/edit?usp=sharing"",""นครพนม!L216"")"),5000)</f>
        <v>5000</v>
      </c>
      <c r="AX35" s="97">
        <f ca="1">IFERROR(__xludf.DUMMYFUNCTION("IMPORTRANGE(""https://docs.google.com/spreadsheets/d/1XVB7oCJ3pr-vBUdflwPQ8Z2LlzhnCvZaaYjAfP-647E/edit?usp=sharing"",""นครพนม!N216"")"),0)</f>
        <v>0</v>
      </c>
      <c r="AY35" s="98">
        <f t="shared" ca="1" si="106"/>
        <v>0</v>
      </c>
      <c r="AZ35" s="97">
        <f ca="1">IFERROR(__xludf.DUMMYFUNCTION("IMPORTRANGE(""https://docs.google.com/spreadsheets/d/1XVB7oCJ3pr-vBUdflwPQ8Z2LlzhnCvZaaYjAfP-647E/edit?usp=sharing"",""นครพนม!L217"")"),8000)</f>
        <v>8000</v>
      </c>
      <c r="BA35" s="97">
        <f ca="1">IFERROR(__xludf.DUMMYFUNCTION("IMPORTRANGE(""https://docs.google.com/spreadsheets/d/1XVB7oCJ3pr-vBUdflwPQ8Z2LlzhnCvZaaYjAfP-647E/edit?usp=sharing"",""นครพนม!N217"")"),0)</f>
        <v>0</v>
      </c>
      <c r="BB35" s="98">
        <f t="shared" ca="1" si="108"/>
        <v>0</v>
      </c>
      <c r="BC35" s="97">
        <f ca="1">IFERROR(__xludf.DUMMYFUNCTION("IMPORTRANGE(""https://docs.google.com/spreadsheets/d/1XVB7oCJ3pr-vBUdflwPQ8Z2LlzhnCvZaaYjAfP-647E/edit?usp=sharing"",""นครพนม!I219"")"),1)</f>
        <v>1</v>
      </c>
      <c r="BD35" s="97">
        <f ca="1">IFERROR(__xludf.DUMMYFUNCTION("IMPORTRANGE(""https://docs.google.com/spreadsheets/d/1XVB7oCJ3pr-vBUdflwPQ8Z2LlzhnCvZaaYjAfP-647E/edit?usp=sharing"",""นครพนม!J219"")"),0)</f>
        <v>0</v>
      </c>
      <c r="BE35" s="98">
        <f t="shared" ca="1" si="110"/>
        <v>0</v>
      </c>
      <c r="BF35" s="97">
        <f ca="1">IFERROR(__xludf.DUMMYFUNCTION("IMPORTRANGE(""https://docs.google.com/spreadsheets/d/1XVB7oCJ3pr-vBUdflwPQ8Z2LlzhnCvZaaYjAfP-647E/edit?usp=sharing"",""นครพนม!I220"")"),1)</f>
        <v>1</v>
      </c>
      <c r="BG35" s="97">
        <f ca="1">IFERROR(__xludf.DUMMYFUNCTION("IMPORTRANGE(""https://docs.google.com/spreadsheets/d/1XVB7oCJ3pr-vBUdflwPQ8Z2LlzhnCvZaaYjAfP-647E/edit?usp=sharing"",""นครพนม!J220"")"),0)</f>
        <v>0</v>
      </c>
      <c r="BH35" s="98">
        <f t="shared" ca="1" si="112"/>
        <v>0</v>
      </c>
      <c r="BI35" s="97">
        <f ca="1">IFERROR(__xludf.DUMMYFUNCTION("IMPORTRANGE(""https://docs.google.com/spreadsheets/d/1XVB7oCJ3pr-vBUdflwPQ8Z2LlzhnCvZaaYjAfP-647E/edit?usp=sharing"",""นครพนม!L223"")"),3000)</f>
        <v>3000</v>
      </c>
      <c r="BJ35" s="97">
        <f ca="1">IFERROR(__xludf.DUMMYFUNCTION("IMPORTRANGE(""https://docs.google.com/spreadsheets/d/1XVB7oCJ3pr-vBUdflwPQ8Z2LlzhnCvZaaYjAfP-647E/edit?usp=sharing"",""นครพนม!N223"")"),0)</f>
        <v>0</v>
      </c>
      <c r="BK35" s="98">
        <f t="shared" ca="1" si="114"/>
        <v>0</v>
      </c>
      <c r="BL35" s="97">
        <f ca="1">IFERROR(__xludf.DUMMYFUNCTION("IMPORTRANGE(""https://docs.google.com/spreadsheets/d/1XVB7oCJ3pr-vBUdflwPQ8Z2LlzhnCvZaaYjAfP-647E/edit?usp=sharing"",""นครพนม!L224"")"),1500)</f>
        <v>1500</v>
      </c>
      <c r="BM35" s="97">
        <f ca="1">IFERROR(__xludf.DUMMYFUNCTION("IMPORTRANGE(""https://docs.google.com/spreadsheets/d/1XVB7oCJ3pr-vBUdflwPQ8Z2LlzhnCvZaaYjAfP-647E/edit?usp=sharing"",""นครพนม!N224"")"),0)</f>
        <v>0</v>
      </c>
      <c r="BN35" s="98">
        <f t="shared" ca="1" si="116"/>
        <v>0</v>
      </c>
      <c r="BO35" s="97">
        <f ca="1">IFERROR(__xludf.DUMMYFUNCTION("IMPORTRANGE(""https://docs.google.com/spreadsheets/d/1XVB7oCJ3pr-vBUdflwPQ8Z2LlzhnCvZaaYjAfP-647E/edit?usp=sharing"",""นครพนม!I228"")"),10000)</f>
        <v>10000</v>
      </c>
      <c r="BP35" s="97">
        <f ca="1">IFERROR(__xludf.DUMMYFUNCTION("IMPORTRANGE(""https://docs.google.com/spreadsheets/d/1XVB7oCJ3pr-vBUdflwPQ8Z2LlzhnCvZaaYjAfP-647E/edit?usp=sharing"",""นครพนม!J228"")"),0)</f>
        <v>0</v>
      </c>
      <c r="BQ35" s="98">
        <f t="shared" ca="1" si="118"/>
        <v>0</v>
      </c>
      <c r="BR35" s="97">
        <f ca="1">IFERROR(__xludf.DUMMYFUNCTION("IMPORTRANGE(""https://docs.google.com/spreadsheets/d/1XVB7oCJ3pr-vBUdflwPQ8Z2LlzhnCvZaaYjAfP-647E/edit?usp=sharing"",""นครพนม!I229"")"),10000)</f>
        <v>10000</v>
      </c>
      <c r="BS35" s="97">
        <f ca="1">IFERROR(__xludf.DUMMYFUNCTION("IMPORTRANGE(""https://docs.google.com/spreadsheets/d/1XVB7oCJ3pr-vBUdflwPQ8Z2LlzhnCvZaaYjAfP-647E/edit?usp=sharing"",""นครพนม!J229"")"),0)</f>
        <v>0</v>
      </c>
      <c r="BT35" s="98">
        <f t="shared" ca="1" si="120"/>
        <v>0</v>
      </c>
      <c r="BU35" s="97">
        <f ca="1">IFERROR(__xludf.DUMMYFUNCTION("IMPORTRANGE(""https://docs.google.com/spreadsheets/d/1XVB7oCJ3pr-vBUdflwPQ8Z2LlzhnCvZaaYjAfP-647E/edit?usp=sharing"",""นครพนม!I230"")"),0)</f>
        <v>0</v>
      </c>
      <c r="BV35" s="97">
        <f ca="1">IFERROR(__xludf.DUMMYFUNCTION("IMPORTRANGE(""https://docs.google.com/spreadsheets/d/1XVB7oCJ3pr-vBUdflwPQ8Z2LlzhnCvZaaYjAfP-647E/edit?usp=sharing"",""นครพนม!J230"")"),0)</f>
        <v>0</v>
      </c>
      <c r="BW35" s="98">
        <f t="shared" ca="1" si="122"/>
        <v>0</v>
      </c>
      <c r="BX35" s="97">
        <f ca="1">IFERROR(__xludf.DUMMYFUNCTION("IMPORTRANGE(""https://docs.google.com/spreadsheets/d/1XVB7oCJ3pr-vBUdflwPQ8Z2LlzhnCvZaaYjAfP-647E/edit?usp=sharing"",""นครพนม!L233"")"),0)</f>
        <v>0</v>
      </c>
      <c r="BY35" s="97">
        <f ca="1">IFERROR(__xludf.DUMMYFUNCTION("IMPORTRANGE(""https://docs.google.com/spreadsheets/d/1XVB7oCJ3pr-vBUdflwPQ8Z2LlzhnCvZaaYjAfP-647E/edit?usp=sharing"",""นครพนม!N233"")"),0)</f>
        <v>0</v>
      </c>
      <c r="BZ35" s="98">
        <f t="shared" ca="1" si="124"/>
        <v>0</v>
      </c>
      <c r="CA35" s="97">
        <f ca="1">IFERROR(__xludf.DUMMYFUNCTION("IMPORTRANGE(""https://docs.google.com/spreadsheets/d/1XVB7oCJ3pr-vBUdflwPQ8Z2LlzhnCvZaaYjAfP-647E/edit?usp=sharing"",""นครพนม!L234"")"),0)</f>
        <v>0</v>
      </c>
      <c r="CB35" s="97">
        <f ca="1">IFERROR(__xludf.DUMMYFUNCTION("IMPORTRANGE(""https://docs.google.com/spreadsheets/d/1XVB7oCJ3pr-vBUdflwPQ8Z2LlzhnCvZaaYjAfP-647E/edit?usp=sharing"",""นครพนม!N234"")"),0)</f>
        <v>0</v>
      </c>
      <c r="CC35" s="98">
        <f t="shared" ca="1" si="126"/>
        <v>0</v>
      </c>
      <c r="CD35" s="97">
        <f ca="1">IFERROR(__xludf.DUMMYFUNCTION("IMPORTRANGE(""https://docs.google.com/spreadsheets/d/1XVB7oCJ3pr-vBUdflwPQ8Z2LlzhnCvZaaYjAfP-647E/edit?usp=sharing"",""นครพนม!L235"")"),0)</f>
        <v>0</v>
      </c>
      <c r="CE35" s="97">
        <f ca="1">IFERROR(__xludf.DUMMYFUNCTION("IMPORTRANGE(""https://docs.google.com/spreadsheets/d/1XVB7oCJ3pr-vBUdflwPQ8Z2LlzhnCvZaaYjAfP-647E/edit?usp=sharing"",""นครพนม!N235"")"),0)</f>
        <v>0</v>
      </c>
      <c r="CF35" s="98">
        <f t="shared" ca="1" si="128"/>
        <v>0</v>
      </c>
      <c r="CG35" s="97">
        <f ca="1">IFERROR(__xludf.DUMMYFUNCTION("IMPORTRANGE(""https://docs.google.com/spreadsheets/d/1XVB7oCJ3pr-vBUdflwPQ8Z2LlzhnCvZaaYjAfP-647E/edit?usp=sharing"",""นครพนม!L236"")"),0)</f>
        <v>0</v>
      </c>
      <c r="CH35" s="97">
        <f ca="1">IFERROR(__xludf.DUMMYFUNCTION("IMPORTRANGE(""https://docs.google.com/spreadsheets/d/1XVB7oCJ3pr-vBUdflwPQ8Z2LlzhnCvZaaYjAfP-647E/edit?usp=sharing"",""นครพนม!N236"")"),0)</f>
        <v>0</v>
      </c>
      <c r="CI35" s="98">
        <f t="shared" ca="1" si="130"/>
        <v>0</v>
      </c>
      <c r="CJ35" s="97">
        <f ca="1">IFERROR(__xludf.DUMMYFUNCTION("IMPORTRANGE(""https://docs.google.com/spreadsheets/d/1XVB7oCJ3pr-vBUdflwPQ8Z2LlzhnCvZaaYjAfP-647E/edit?usp=sharing"",""นครพนม!I238"")"),0)</f>
        <v>0</v>
      </c>
      <c r="CK35" s="97">
        <f ca="1">IFERROR(__xludf.DUMMYFUNCTION("IMPORTRANGE(""https://docs.google.com/spreadsheets/d/1XVB7oCJ3pr-vBUdflwPQ8Z2LlzhnCvZaaYjAfP-647E/edit?usp=sharing"",""นครพนม!J238"")"),0)</f>
        <v>0</v>
      </c>
      <c r="CL35" s="98">
        <f t="shared" ca="1" si="132"/>
        <v>0</v>
      </c>
      <c r="CM35" s="97">
        <f ca="1">IFERROR(__xludf.DUMMYFUNCTION("IMPORTRANGE(""https://docs.google.com/spreadsheets/d/1XVB7oCJ3pr-vBUdflwPQ8Z2LlzhnCvZaaYjAfP-647E/edit?usp=sharing"",""นครพนม!J240"")"),0)</f>
        <v>0</v>
      </c>
      <c r="CN35" s="97">
        <f ca="1">IFERROR(__xludf.DUMMYFUNCTION("IMPORTRANGE(""https://docs.google.com/spreadsheets/d/1XVB7oCJ3pr-vBUdflwPQ8Z2LlzhnCvZaaYjAfP-647E/edit?usp=sharing"",""นครพนม!J241"")"),0)</f>
        <v>0</v>
      </c>
    </row>
    <row r="36" spans="1:92" ht="21" customHeight="1" x14ac:dyDescent="0.3">
      <c r="A36" s="89">
        <v>5</v>
      </c>
      <c r="B36" s="90" t="s">
        <v>62</v>
      </c>
      <c r="C36" s="174">
        <f t="shared" ca="1" si="80"/>
        <v>255500</v>
      </c>
      <c r="D36" s="175">
        <f t="shared" ca="1" si="159"/>
        <v>255500</v>
      </c>
      <c r="E36" s="176">
        <f ca="1">IFERROR(__xludf.DUMMYFUNCTION("IMPORTRANGE(""https://docs.google.com/spreadsheets/d/1-uDff_7J0KD5mKrp0Vvzr7lt3OU09vwQwhkpOPPYv2Y/edit?usp=sharing"",""งบพรบ!CV36"")"),182000)</f>
        <v>182000</v>
      </c>
      <c r="F36" s="176">
        <f ca="1">IFERROR(__xludf.DUMMYFUNCTION("IMPORTRANGE(""https://docs.google.com/spreadsheets/d/1-uDff_7J0KD5mKrp0Vvzr7lt3OU09vwQwhkpOPPYv2Y/edit?usp=sharing"",""งบพรบ!CW36"")"),73500)</f>
        <v>73500</v>
      </c>
      <c r="G36" s="176">
        <f ca="1">IFERROR(__xludf.DUMMYFUNCTION("IMPORTRANGE(""https://docs.google.com/spreadsheets/d/1-uDff_7J0KD5mKrp0Vvzr7lt3OU09vwQwhkpOPPYv2Y/edit?usp=sharing"",""งบพรบ!CX36"")"),0)</f>
        <v>0</v>
      </c>
      <c r="H36" s="176">
        <f ca="1">IFERROR(__xludf.DUMMYFUNCTION("IMPORTRANGE(""https://docs.google.com/spreadsheets/d/1-uDff_7J0KD5mKrp0Vvzr7lt3OU09vwQwhkpOPPYv2Y/edit?usp=sharing"",""งบพรบ!CZ36"")"),259660)</f>
        <v>259660</v>
      </c>
      <c r="I36" s="176">
        <f ca="1">IFERROR(__xludf.DUMMYFUNCTION("IMPORTRANGE(""https://docs.google.com/spreadsheets/d/1-uDff_7J0KD5mKrp0Vvzr7lt3OU09vwQwhkpOPPYv2Y/edit?usp=sharing"",""งบพรบ!DA36"")"),0)</f>
        <v>0</v>
      </c>
      <c r="J36" s="176">
        <f t="shared" ca="1" si="82"/>
        <v>80580</v>
      </c>
      <c r="K36" s="179">
        <f t="shared" ca="1" si="83"/>
        <v>31.538160469667318</v>
      </c>
      <c r="L36" s="176">
        <f ca="1">IFERROR(__xludf.DUMMYFUNCTION("IMPORTRANGE(""https://docs.google.com/spreadsheets/d/1-uDff_7J0KD5mKrp0Vvzr7lt3OU09vwQwhkpOPPYv2Y/edit?usp=sharing"",""งบพรบ!DB36"")"),80580)</f>
        <v>80580</v>
      </c>
      <c r="M36" s="87">
        <f t="shared" ca="1" si="84"/>
        <v>31.538160469667318</v>
      </c>
      <c r="N36" s="87">
        <f t="shared" ca="1" si="85"/>
        <v>31.032889162751289</v>
      </c>
      <c r="O36" s="86">
        <f ca="1">IFERROR(__xludf.DUMMYFUNCTION("IMPORTRANGE(""https://docs.google.com/spreadsheets/d/1-uDff_7J0KD5mKrp0Vvzr7lt3OU09vwQwhkpOPPYv2Y/edit?usp=sharing"",""งบพรบ!DC36"")"),0)</f>
        <v>0</v>
      </c>
      <c r="P36" s="86">
        <f t="shared" ca="1" si="86"/>
        <v>0</v>
      </c>
      <c r="Q36" s="87">
        <f t="shared" ca="1" si="87"/>
        <v>0</v>
      </c>
      <c r="R36" s="241">
        <f ca="1">IFERROR(__xludf.DUMMYFUNCTION("IMPORTRANGE(""https://docs.google.com/spreadsheets/d/1Mnpb-8PYAgn85W6KOTD40hc_Xc55CaLfHoGAbrZ8tls/edit?usp=sharing"",""นครราชสีมา!Q186"")"),28000)</f>
        <v>28000</v>
      </c>
      <c r="S36" s="242">
        <f ca="1">IFERROR(__xludf.DUMMYFUNCTION("IMPORTRANGE(""https://docs.google.com/spreadsheets/d/1Mnpb-8PYAgn85W6KOTD40hc_Xc55CaLfHoGAbrZ8tls/edit?usp=sharing"",""นครราชสีมา!R186"")"),0)</f>
        <v>0</v>
      </c>
      <c r="T36" s="242">
        <f ca="1">IFERROR(__xludf.DUMMYFUNCTION("IMPORTRANGE(""https://docs.google.com/spreadsheets/d/1Mnpb-8PYAgn85W6KOTD40hc_Xc55CaLfHoGAbrZ8tls/edit?usp=sharing"",""นครราชสีมา!S186"")"),0)</f>
        <v>0</v>
      </c>
      <c r="U36" s="243">
        <f t="shared" ca="1" si="89"/>
        <v>0</v>
      </c>
      <c r="V36" s="243">
        <f t="shared" ca="1" si="90"/>
        <v>0</v>
      </c>
      <c r="W36" s="97">
        <f ca="1">IFERROR(__xludf.DUMMYFUNCTION("IMPORTRANGE(""https://docs.google.com/spreadsheets/d/1Mnpb-8PYAgn85W6KOTD40hc_Xc55CaLfHoGAbrZ8tls/edit?usp=sharing"",""นครราชสีมา!L196"")"),6000)</f>
        <v>6000</v>
      </c>
      <c r="X36" s="97">
        <f ca="1">IFERROR(__xludf.DUMMYFUNCTION("IMPORTRANGE(""https://docs.google.com/spreadsheets/d/1Mnpb-8PYAgn85W6KOTD40hc_Xc55CaLfHoGAbrZ8tls/edit?usp=sharing"",""นครราชสีมา!N196"")"),0)</f>
        <v>0</v>
      </c>
      <c r="Y36" s="98">
        <f t="shared" ca="1" si="92"/>
        <v>0</v>
      </c>
      <c r="Z36" s="97">
        <f ca="1">IFERROR(__xludf.DUMMYFUNCTION("IMPORTRANGE(""https://docs.google.com/spreadsheets/d/1Mnpb-8PYAgn85W6KOTD40hc_Xc55CaLfHoGAbrZ8tls/edit?usp=sharing"",""นครราชสีมา!I198"")"),4)</f>
        <v>4</v>
      </c>
      <c r="AA36" s="97">
        <f ca="1">IFERROR(__xludf.DUMMYFUNCTION("IMPORTRANGE(""https://docs.google.com/spreadsheets/d/1Mnpb-8PYAgn85W6KOTD40hc_Xc55CaLfHoGAbrZ8tls/edit?usp=sharing"",""นครราชสีมา!J198"")"),0)</f>
        <v>0</v>
      </c>
      <c r="AB36" s="98">
        <f t="shared" ca="1" si="94"/>
        <v>0</v>
      </c>
      <c r="AC36" s="97">
        <f ca="1">IFERROR(__xludf.DUMMYFUNCTION("IMPORTRANGE(""https://docs.google.com/spreadsheets/d/1Mnpb-8PYAgn85W6KOTD40hc_Xc55CaLfHoGAbrZ8tls/edit?usp=sharing"",""นครราชสีมา!J199"")"),0)</f>
        <v>0</v>
      </c>
      <c r="AD36" s="97">
        <f ca="1">IFERROR(__xludf.DUMMYFUNCTION("IMPORTRANGE(""https://docs.google.com/spreadsheets/d/1Mnpb-8PYAgn85W6KOTD40hc_Xc55CaLfHoGAbrZ8tls/edit?usp=sharing"",""นครราชสีมา!J200"")"),0)</f>
        <v>0</v>
      </c>
      <c r="AE36" s="97">
        <f ca="1">IFERROR(__xludf.DUMMYFUNCTION("IMPORTRANGE(""https://docs.google.com/spreadsheets/d/1Mnpb-8PYAgn85W6KOTD40hc_Xc55CaLfHoGAbrZ8tls/edit?usp=sharing"",""นครราชสีมา!J201"")"),0)</f>
        <v>0</v>
      </c>
      <c r="AF36" s="97">
        <f ca="1">IFERROR(__xludf.DUMMYFUNCTION("IMPORTRANGE(""https://docs.google.com/spreadsheets/d/1Mnpb-8PYAgn85W6KOTD40hc_Xc55CaLfHoGAbrZ8tls/edit?usp=sharing"",""นครราชสีมา!L204"")"),4000)</f>
        <v>4000</v>
      </c>
      <c r="AG36" s="97">
        <f ca="1">IFERROR(__xludf.DUMMYFUNCTION("IMPORTRANGE(""https://docs.google.com/spreadsheets/d/1Mnpb-8PYAgn85W6KOTD40hc_Xc55CaLfHoGAbrZ8tls/edit?usp=sharing"",""นครราชสีมา!N204"")"),0)</f>
        <v>0</v>
      </c>
      <c r="AH36" s="98">
        <f t="shared" ca="1" si="96"/>
        <v>0</v>
      </c>
      <c r="AI36" s="97">
        <f ca="1">IFERROR(__xludf.DUMMYFUNCTION("IMPORTRANGE(""https://docs.google.com/spreadsheets/d/1Mnpb-8PYAgn85W6KOTD40hc_Xc55CaLfHoGAbrZ8tls/edit?usp=sharing"",""นครราชสีมา!L206"")"),32000)</f>
        <v>32000</v>
      </c>
      <c r="AJ36" s="97">
        <f ca="1">IFERROR(__xludf.DUMMYFUNCTION("IMPORTRANGE(""https://docs.google.com/spreadsheets/d/1Mnpb-8PYAgn85W6KOTD40hc_Xc55CaLfHoGAbrZ8tls/edit?usp=sharing"",""นครราชสีมา!N206"")"),0)</f>
        <v>0</v>
      </c>
      <c r="AK36" s="98">
        <f t="shared" ca="1" si="98"/>
        <v>0</v>
      </c>
      <c r="AL36" s="97">
        <f ca="1">IFERROR(__xludf.DUMMYFUNCTION("IMPORTRANGE(""https://docs.google.com/spreadsheets/d/1Mnpb-8PYAgn85W6KOTD40hc_Xc55CaLfHoGAbrZ8tls/edit?usp=sharing"",""นครราชสีมา!L207"")"),21000)</f>
        <v>21000</v>
      </c>
      <c r="AM36" s="97">
        <f ca="1">IFERROR(__xludf.DUMMYFUNCTION("IMPORTRANGE(""https://docs.google.com/spreadsheets/d/1Mnpb-8PYAgn85W6KOTD40hc_Xc55CaLfHoGAbrZ8tls/edit?usp=sharing"",""นครราชสีมา!N207"")"),0)</f>
        <v>0</v>
      </c>
      <c r="AN36" s="98">
        <f t="shared" ca="1" si="100"/>
        <v>0</v>
      </c>
      <c r="AO36" s="97">
        <f ca="1">IFERROR(__xludf.DUMMYFUNCTION("IMPORTRANGE(""https://docs.google.com/spreadsheets/d/1Mnpb-8PYAgn85W6KOTD40hc_Xc55CaLfHoGAbrZ8tls/edit?usp=sharing"",""นครราชสีมา!I209"")"),4)</f>
        <v>4</v>
      </c>
      <c r="AP36" s="97">
        <f ca="1">IFERROR(__xludf.DUMMYFUNCTION("IMPORTRANGE(""https://docs.google.com/spreadsheets/d/1Mnpb-8PYAgn85W6KOTD40hc_Xc55CaLfHoGAbrZ8tls/edit?usp=sharing"",""นครราชสีมา!J209"")"),0)</f>
        <v>0</v>
      </c>
      <c r="AQ36" s="98">
        <f t="shared" ca="1" si="102"/>
        <v>0</v>
      </c>
      <c r="AR36" s="97">
        <f ca="1">IFERROR(__xludf.DUMMYFUNCTION("IMPORTRANGE(""https://docs.google.com/spreadsheets/d/1Mnpb-8PYAgn85W6KOTD40hc_Xc55CaLfHoGAbrZ8tls/edit?usp=sharing"",""นครราชสีมา!J211"")"),0)</f>
        <v>0</v>
      </c>
      <c r="AS36" s="97">
        <f ca="1">IFERROR(__xludf.DUMMYFUNCTION("IMPORTRANGE(""https://docs.google.com/spreadsheets/d/1Mnpb-8PYAgn85W6KOTD40hc_Xc55CaLfHoGAbrZ8tls/edit?usp=sharing"",""นครราชสีมา!J212"")"),0)</f>
        <v>0</v>
      </c>
      <c r="AT36" s="97">
        <f ca="1">IFERROR(__xludf.DUMMYFUNCTION("IMPORTRANGE(""https://docs.google.com/spreadsheets/d/1Mnpb-8PYAgn85W6KOTD40hc_Xc55CaLfHoGAbrZ8tls/edit?usp=sharing"",""นครราชสีมา!L215"")"),0)</f>
        <v>0</v>
      </c>
      <c r="AU36" s="97">
        <f ca="1">IFERROR(__xludf.DUMMYFUNCTION("IMPORTRANGE(""https://docs.google.com/spreadsheets/d/1Mnpb-8PYAgn85W6KOTD40hc_Xc55CaLfHoGAbrZ8tls/edit?usp=sharing"",""นครราชสีมา!N215"")"),0)</f>
        <v>0</v>
      </c>
      <c r="AV36" s="98">
        <f t="shared" ca="1" si="104"/>
        <v>0</v>
      </c>
      <c r="AW36" s="97">
        <f ca="1">IFERROR(__xludf.DUMMYFUNCTION("IMPORTRANGE(""https://docs.google.com/spreadsheets/d/1Mnpb-8PYAgn85W6KOTD40hc_Xc55CaLfHoGAbrZ8tls/edit?usp=sharing"",""นครราชสีมา!L216"")"),0)</f>
        <v>0</v>
      </c>
      <c r="AX36" s="97">
        <f ca="1">IFERROR(__xludf.DUMMYFUNCTION("IMPORTRANGE(""https://docs.google.com/spreadsheets/d/1Mnpb-8PYAgn85W6KOTD40hc_Xc55CaLfHoGAbrZ8tls/edit?usp=sharing"",""นครราชสีมา!N216"")"),0)</f>
        <v>0</v>
      </c>
      <c r="AY36" s="98">
        <f t="shared" ca="1" si="106"/>
        <v>0</v>
      </c>
      <c r="AZ36" s="97">
        <f ca="1">IFERROR(__xludf.DUMMYFUNCTION("IMPORTRANGE(""https://docs.google.com/spreadsheets/d/1Mnpb-8PYAgn85W6KOTD40hc_Xc55CaLfHoGAbrZ8tls/edit?usp=sharing"",""นครราชสีมา!L217"")"),0)</f>
        <v>0</v>
      </c>
      <c r="BA36" s="97">
        <f ca="1">IFERROR(__xludf.DUMMYFUNCTION("IMPORTRANGE(""https://docs.google.com/spreadsheets/d/1Mnpb-8PYAgn85W6KOTD40hc_Xc55CaLfHoGAbrZ8tls/edit?usp=sharing"",""นครราชสีมา!N217"")"),0)</f>
        <v>0</v>
      </c>
      <c r="BB36" s="98">
        <f t="shared" ca="1" si="108"/>
        <v>0</v>
      </c>
      <c r="BC36" s="97">
        <f ca="1">IFERROR(__xludf.DUMMYFUNCTION("IMPORTRANGE(""https://docs.google.com/spreadsheets/d/1Mnpb-8PYAgn85W6KOTD40hc_Xc55CaLfHoGAbrZ8tls/edit?usp=sharing"",""นครราชสีมา!I219"")"),0)</f>
        <v>0</v>
      </c>
      <c r="BD36" s="97">
        <f ca="1">IFERROR(__xludf.DUMMYFUNCTION("IMPORTRANGE(""https://docs.google.com/spreadsheets/d/1Mnpb-8PYAgn85W6KOTD40hc_Xc55CaLfHoGAbrZ8tls/edit?usp=sharing"",""นครราชสีมา!J219"")"),0)</f>
        <v>0</v>
      </c>
      <c r="BE36" s="98">
        <f t="shared" ca="1" si="110"/>
        <v>0</v>
      </c>
      <c r="BF36" s="97">
        <f ca="1">IFERROR(__xludf.DUMMYFUNCTION("IMPORTRANGE(""https://docs.google.com/spreadsheets/d/1Mnpb-8PYAgn85W6KOTD40hc_Xc55CaLfHoGAbrZ8tls/edit?usp=sharing"",""นครราชสีมา!I220"")"),0)</f>
        <v>0</v>
      </c>
      <c r="BG36" s="97">
        <f ca="1">IFERROR(__xludf.DUMMYFUNCTION("IMPORTRANGE(""https://docs.google.com/spreadsheets/d/1Mnpb-8PYAgn85W6KOTD40hc_Xc55CaLfHoGAbrZ8tls/edit?usp=sharing"",""นครราชสีมา!J220"")"),0)</f>
        <v>0</v>
      </c>
      <c r="BH36" s="98">
        <f t="shared" ca="1" si="112"/>
        <v>0</v>
      </c>
      <c r="BI36" s="97">
        <f ca="1">IFERROR(__xludf.DUMMYFUNCTION("IMPORTRANGE(""https://docs.google.com/spreadsheets/d/1Mnpb-8PYAgn85W6KOTD40hc_Xc55CaLfHoGAbrZ8tls/edit?usp=sharing"",""นครราชสีมา!L223"")"),9000)</f>
        <v>9000</v>
      </c>
      <c r="BJ36" s="97">
        <f ca="1">IFERROR(__xludf.DUMMYFUNCTION("IMPORTRANGE(""https://docs.google.com/spreadsheets/d/1Mnpb-8PYAgn85W6KOTD40hc_Xc55CaLfHoGAbrZ8tls/edit?usp=sharing"",""นครราชสีมา!N223"")"),0)</f>
        <v>0</v>
      </c>
      <c r="BK36" s="98">
        <f t="shared" ca="1" si="114"/>
        <v>0</v>
      </c>
      <c r="BL36" s="97">
        <f ca="1">IFERROR(__xludf.DUMMYFUNCTION("IMPORTRANGE(""https://docs.google.com/spreadsheets/d/1Mnpb-8PYAgn85W6KOTD40hc_Xc55CaLfHoGAbrZ8tls/edit?usp=sharing"",""นครราชสีมา!L224"")"),1500)</f>
        <v>1500</v>
      </c>
      <c r="BM36" s="97">
        <f ca="1">IFERROR(__xludf.DUMMYFUNCTION("IMPORTRANGE(""https://docs.google.com/spreadsheets/d/1Mnpb-8PYAgn85W6KOTD40hc_Xc55CaLfHoGAbrZ8tls/edit?usp=sharing"",""นครราชสีมา!N224"")"),0)</f>
        <v>0</v>
      </c>
      <c r="BN36" s="98">
        <f t="shared" ca="1" si="116"/>
        <v>0</v>
      </c>
      <c r="BO36" s="97">
        <f ca="1">IFERROR(__xludf.DUMMYFUNCTION("IMPORTRANGE(""https://docs.google.com/spreadsheets/d/1Mnpb-8PYAgn85W6KOTD40hc_Xc55CaLfHoGAbrZ8tls/edit?usp=sharing"",""นครราชสีมา!I228"")"),70000)</f>
        <v>70000</v>
      </c>
      <c r="BP36" s="97">
        <f ca="1">IFERROR(__xludf.DUMMYFUNCTION("IMPORTRANGE(""https://docs.google.com/spreadsheets/d/1Mnpb-8PYAgn85W6KOTD40hc_Xc55CaLfHoGAbrZ8tls/edit?usp=sharing"",""นครราชสีมา!J228"")"),0)</f>
        <v>0</v>
      </c>
      <c r="BQ36" s="98">
        <f t="shared" ca="1" si="118"/>
        <v>0</v>
      </c>
      <c r="BR36" s="97">
        <f ca="1">IFERROR(__xludf.DUMMYFUNCTION("IMPORTRANGE(""https://docs.google.com/spreadsheets/d/1Mnpb-8PYAgn85W6KOTD40hc_Xc55CaLfHoGAbrZ8tls/edit?usp=sharing"",""นครราชสีมา!I229"")"),70000)</f>
        <v>70000</v>
      </c>
      <c r="BS36" s="97">
        <f ca="1">IFERROR(__xludf.DUMMYFUNCTION("IMPORTRANGE(""https://docs.google.com/spreadsheets/d/1Mnpb-8PYAgn85W6KOTD40hc_Xc55CaLfHoGAbrZ8tls/edit?usp=sharing"",""นครราชสีมา!J229"")"),0)</f>
        <v>0</v>
      </c>
      <c r="BT36" s="98">
        <f t="shared" ca="1" si="120"/>
        <v>0</v>
      </c>
      <c r="BU36" s="97">
        <f ca="1">IFERROR(__xludf.DUMMYFUNCTION("IMPORTRANGE(""https://docs.google.com/spreadsheets/d/1Mnpb-8PYAgn85W6KOTD40hc_Xc55CaLfHoGAbrZ8tls/edit?usp=sharing"",""นครราชสีมา!I230"")"),0)</f>
        <v>0</v>
      </c>
      <c r="BV36" s="97">
        <f ca="1">IFERROR(__xludf.DUMMYFUNCTION("IMPORTRANGE(""https://docs.google.com/spreadsheets/d/1Mnpb-8PYAgn85W6KOTD40hc_Xc55CaLfHoGAbrZ8tls/edit?usp=sharing"",""นครราชสีมา!J230"")"),0)</f>
        <v>0</v>
      </c>
      <c r="BW36" s="98">
        <f t="shared" ca="1" si="122"/>
        <v>0</v>
      </c>
      <c r="BX36" s="97">
        <f ca="1">IFERROR(__xludf.DUMMYFUNCTION("IMPORTRANGE(""https://docs.google.com/spreadsheets/d/1Mnpb-8PYAgn85W6KOTD40hc_Xc55CaLfHoGAbrZ8tls/edit?usp=sharing"",""นครราชสีมา!L233"")"),0)</f>
        <v>0</v>
      </c>
      <c r="BY36" s="97">
        <f ca="1">IFERROR(__xludf.DUMMYFUNCTION("IMPORTRANGE(""https://docs.google.com/spreadsheets/d/1Mnpb-8PYAgn85W6KOTD40hc_Xc55CaLfHoGAbrZ8tls/edit?usp=sharing"",""นครราชสีมา!N233"")"),0)</f>
        <v>0</v>
      </c>
      <c r="BZ36" s="98">
        <f t="shared" ca="1" si="124"/>
        <v>0</v>
      </c>
      <c r="CA36" s="97">
        <f ca="1">IFERROR(__xludf.DUMMYFUNCTION("IMPORTRANGE(""https://docs.google.com/spreadsheets/d/1Mnpb-8PYAgn85W6KOTD40hc_Xc55CaLfHoGAbrZ8tls/edit?usp=sharing"",""นครราชสีมา!L234"")"),0)</f>
        <v>0</v>
      </c>
      <c r="CB36" s="97">
        <f ca="1">IFERROR(__xludf.DUMMYFUNCTION("IMPORTRANGE(""https://docs.google.com/spreadsheets/d/1Mnpb-8PYAgn85W6KOTD40hc_Xc55CaLfHoGAbrZ8tls/edit?usp=sharing"",""นครราชสีมา!N234"")"),0)</f>
        <v>0</v>
      </c>
      <c r="CC36" s="98">
        <f t="shared" ca="1" si="126"/>
        <v>0</v>
      </c>
      <c r="CD36" s="97">
        <f ca="1">IFERROR(__xludf.DUMMYFUNCTION("IMPORTRANGE(""https://docs.google.com/spreadsheets/d/1Mnpb-8PYAgn85W6KOTD40hc_Xc55CaLfHoGAbrZ8tls/edit?usp=sharing"",""นครราชสีมา!L235"")"),0)</f>
        <v>0</v>
      </c>
      <c r="CE36" s="97">
        <f ca="1">IFERROR(__xludf.DUMMYFUNCTION("IMPORTRANGE(""https://docs.google.com/spreadsheets/d/1Mnpb-8PYAgn85W6KOTD40hc_Xc55CaLfHoGAbrZ8tls/edit?usp=sharing"",""นครราชสีมา!N235"")"),0)</f>
        <v>0</v>
      </c>
      <c r="CF36" s="98">
        <f t="shared" ca="1" si="128"/>
        <v>0</v>
      </c>
      <c r="CG36" s="97">
        <f ca="1">IFERROR(__xludf.DUMMYFUNCTION("IMPORTRANGE(""https://docs.google.com/spreadsheets/d/1Mnpb-8PYAgn85W6KOTD40hc_Xc55CaLfHoGAbrZ8tls/edit?usp=sharing"",""นครราชสีมา!L236"")"),0)</f>
        <v>0</v>
      </c>
      <c r="CH36" s="97">
        <f ca="1">IFERROR(__xludf.DUMMYFUNCTION("IMPORTRANGE(""https://docs.google.com/spreadsheets/d/1Mnpb-8PYAgn85W6KOTD40hc_Xc55CaLfHoGAbrZ8tls/edit?usp=sharing"",""นครราชสีมา!N236"")"),0)</f>
        <v>0</v>
      </c>
      <c r="CI36" s="98">
        <f t="shared" ca="1" si="130"/>
        <v>0</v>
      </c>
      <c r="CJ36" s="97">
        <f ca="1">IFERROR(__xludf.DUMMYFUNCTION("IMPORTRANGE(""https://docs.google.com/spreadsheets/d/1Mnpb-8PYAgn85W6KOTD40hc_Xc55CaLfHoGAbrZ8tls/edit?usp=sharing"",""นครราชสีมา!I238"")"),0)</f>
        <v>0</v>
      </c>
      <c r="CK36" s="97">
        <f ca="1">IFERROR(__xludf.DUMMYFUNCTION("IMPORTRANGE(""https://docs.google.com/spreadsheets/d/1Mnpb-8PYAgn85W6KOTD40hc_Xc55CaLfHoGAbrZ8tls/edit?usp=sharing"",""นครราชสีมา!J238"")"),0)</f>
        <v>0</v>
      </c>
      <c r="CL36" s="98">
        <f t="shared" ca="1" si="132"/>
        <v>0</v>
      </c>
      <c r="CM36" s="97">
        <f ca="1">IFERROR(__xludf.DUMMYFUNCTION("IMPORTRANGE(""https://docs.google.com/spreadsheets/d/1Mnpb-8PYAgn85W6KOTD40hc_Xc55CaLfHoGAbrZ8tls/edit?usp=sharing"",""นครราชสีมา!J240"")"),0)</f>
        <v>0</v>
      </c>
      <c r="CN36" s="97">
        <f ca="1">IFERROR(__xludf.DUMMYFUNCTION("IMPORTRANGE(""https://docs.google.com/spreadsheets/d/1Mnpb-8PYAgn85W6KOTD40hc_Xc55CaLfHoGAbrZ8tls/edit?usp=sharing"",""นครราชสีมา!J241"")"),0)</f>
        <v>0</v>
      </c>
    </row>
    <row r="37" spans="1:92" ht="21" customHeight="1" x14ac:dyDescent="0.3">
      <c r="A37" s="89">
        <v>6</v>
      </c>
      <c r="B37" s="90" t="s">
        <v>63</v>
      </c>
      <c r="C37" s="174">
        <f t="shared" ca="1" si="80"/>
        <v>163500</v>
      </c>
      <c r="D37" s="175">
        <f t="shared" ca="1" si="159"/>
        <v>163500</v>
      </c>
      <c r="E37" s="176">
        <f ca="1">IFERROR(__xludf.DUMMYFUNCTION("IMPORTRANGE(""https://docs.google.com/spreadsheets/d/1-uDff_7J0KD5mKrp0Vvzr7lt3OU09vwQwhkpOPPYv2Y/edit?usp=sharing"",""งบพรบ!CV37"")"),91000)</f>
        <v>91000</v>
      </c>
      <c r="F37" s="176">
        <f ca="1">IFERROR(__xludf.DUMMYFUNCTION("IMPORTRANGE(""https://docs.google.com/spreadsheets/d/1-uDff_7J0KD5mKrp0Vvzr7lt3OU09vwQwhkpOPPYv2Y/edit?usp=sharing"",""งบพรบ!CW37"")"),72500)</f>
        <v>72500</v>
      </c>
      <c r="G37" s="176">
        <f ca="1">IFERROR(__xludf.DUMMYFUNCTION("IMPORTRANGE(""https://docs.google.com/spreadsheets/d/1-uDff_7J0KD5mKrp0Vvzr7lt3OU09vwQwhkpOPPYv2Y/edit?usp=sharing"",""งบพรบ!CX37"")"),0)</f>
        <v>0</v>
      </c>
      <c r="H37" s="176">
        <f ca="1">IFERROR(__xludf.DUMMYFUNCTION("IMPORTRANGE(""https://docs.google.com/spreadsheets/d/1-uDff_7J0KD5mKrp0Vvzr7lt3OU09vwQwhkpOPPYv2Y/edit?usp=sharing"",""งบพรบ!CZ37"")"),163500)</f>
        <v>163500</v>
      </c>
      <c r="I37" s="176">
        <f ca="1">IFERROR(__xludf.DUMMYFUNCTION("IMPORTRANGE(""https://docs.google.com/spreadsheets/d/1-uDff_7J0KD5mKrp0Vvzr7lt3OU09vwQwhkpOPPYv2Y/edit?usp=sharing"",""งบพรบ!DA37"")"),0)</f>
        <v>0</v>
      </c>
      <c r="J37" s="176">
        <f t="shared" ca="1" si="82"/>
        <v>38728</v>
      </c>
      <c r="K37" s="179">
        <f t="shared" ca="1" si="83"/>
        <v>23.686850152905198</v>
      </c>
      <c r="L37" s="176">
        <f ca="1">IFERROR(__xludf.DUMMYFUNCTION("IMPORTRANGE(""https://docs.google.com/spreadsheets/d/1-uDff_7J0KD5mKrp0Vvzr7lt3OU09vwQwhkpOPPYv2Y/edit?usp=sharing"",""งบพรบ!DB37"")"),38728)</f>
        <v>38728</v>
      </c>
      <c r="M37" s="87">
        <f t="shared" ca="1" si="84"/>
        <v>23.686850152905198</v>
      </c>
      <c r="N37" s="87">
        <f t="shared" ca="1" si="85"/>
        <v>23.686850152905198</v>
      </c>
      <c r="O37" s="86">
        <f ca="1">IFERROR(__xludf.DUMMYFUNCTION("IMPORTRANGE(""https://docs.google.com/spreadsheets/d/1-uDff_7J0KD5mKrp0Vvzr7lt3OU09vwQwhkpOPPYv2Y/edit?usp=sharing"",""งบพรบ!DC37"")"),0)</f>
        <v>0</v>
      </c>
      <c r="P37" s="86">
        <f t="shared" ca="1" si="86"/>
        <v>0</v>
      </c>
      <c r="Q37" s="87">
        <f t="shared" ca="1" si="87"/>
        <v>0</v>
      </c>
      <c r="R37" s="241">
        <f ca="1">IFERROR(__xludf.DUMMYFUNCTION("IMPORTRANGE(""https://docs.google.com/spreadsheets/d/1xoDLGBv9CYbyosIhki0kTq6IpYNj-gpjxfobnaDiut0/edit?usp=sharing"",""บึงกาฬ!Q186"")"),127400)</f>
        <v>127400</v>
      </c>
      <c r="S37" s="242">
        <f ca="1">IFERROR(__xludf.DUMMYFUNCTION("IMPORTRANGE(""https://docs.google.com/spreadsheets/d/1xoDLGBv9CYbyosIhki0kTq6IpYNj-gpjxfobnaDiut0/edit?usp=sharing"",""บึงกาฬ!R186"")"),0)</f>
        <v>0</v>
      </c>
      <c r="T37" s="242">
        <f ca="1">IFERROR(__xludf.DUMMYFUNCTION("IMPORTRANGE(""https://docs.google.com/spreadsheets/d/1xoDLGBv9CYbyosIhki0kTq6IpYNj-gpjxfobnaDiut0/edit?usp=sharing"",""บึงกาฬ!S186"")"),0)</f>
        <v>0</v>
      </c>
      <c r="U37" s="243">
        <f t="shared" ca="1" si="89"/>
        <v>0</v>
      </c>
      <c r="V37" s="243">
        <f t="shared" ca="1" si="90"/>
        <v>0</v>
      </c>
      <c r="W37" s="97">
        <f ca="1">IFERROR(__xludf.DUMMYFUNCTION("IMPORTRANGE(""https://docs.google.com/spreadsheets/d/1xoDLGBv9CYbyosIhki0kTq6IpYNj-gpjxfobnaDiut0/edit?usp=sharing"",""บึงกาฬ!L196"")"),6000)</f>
        <v>6000</v>
      </c>
      <c r="X37" s="97">
        <f ca="1">IFERROR(__xludf.DUMMYFUNCTION("IMPORTRANGE(""https://docs.google.com/spreadsheets/d/1xoDLGBv9CYbyosIhki0kTq6IpYNj-gpjxfobnaDiut0/edit?usp=sharing"",""บึงกาฬ!N196"")"),0)</f>
        <v>0</v>
      </c>
      <c r="Y37" s="98">
        <f t="shared" ca="1" si="92"/>
        <v>0</v>
      </c>
      <c r="Z37" s="97">
        <f ca="1">IFERROR(__xludf.DUMMYFUNCTION("IMPORTRANGE(""https://docs.google.com/spreadsheets/d/1xoDLGBv9CYbyosIhki0kTq6IpYNj-gpjxfobnaDiut0/edit?usp=sharing"",""บึงกาฬ!I198"")"),4)</f>
        <v>4</v>
      </c>
      <c r="AA37" s="97">
        <f ca="1">IFERROR(__xludf.DUMMYFUNCTION("IMPORTRANGE(""https://docs.google.com/spreadsheets/d/1xoDLGBv9CYbyosIhki0kTq6IpYNj-gpjxfobnaDiut0/edit?usp=sharing"",""บึงกาฬ!J198"")"),0)</f>
        <v>0</v>
      </c>
      <c r="AB37" s="98">
        <f t="shared" ca="1" si="94"/>
        <v>0</v>
      </c>
      <c r="AC37" s="97">
        <f ca="1">IFERROR(__xludf.DUMMYFUNCTION("IMPORTRANGE(""https://docs.google.com/spreadsheets/d/1xoDLGBv9CYbyosIhki0kTq6IpYNj-gpjxfobnaDiut0/edit?usp=sharing"",""บึงกาฬ!J199"")"),0)</f>
        <v>0</v>
      </c>
      <c r="AD37" s="97">
        <f ca="1">IFERROR(__xludf.DUMMYFUNCTION("IMPORTRANGE(""https://docs.google.com/spreadsheets/d/1xoDLGBv9CYbyosIhki0kTq6IpYNj-gpjxfobnaDiut0/edit?usp=sharing"",""บึงกาฬ!J200"")"),0)</f>
        <v>0</v>
      </c>
      <c r="AE37" s="97">
        <f ca="1">IFERROR(__xludf.DUMMYFUNCTION("IMPORTRANGE(""https://docs.google.com/spreadsheets/d/1xoDLGBv9CYbyosIhki0kTq6IpYNj-gpjxfobnaDiut0/edit?usp=sharing"",""บึงกาฬ!J201"")"),0)</f>
        <v>0</v>
      </c>
      <c r="AF37" s="97">
        <f ca="1">IFERROR(__xludf.DUMMYFUNCTION("IMPORTRANGE(""https://docs.google.com/spreadsheets/d/1xoDLGBv9CYbyosIhki0kTq6IpYNj-gpjxfobnaDiut0/edit?usp=sharing"",""บึงกาฬ!L204"")"),2000)</f>
        <v>2000</v>
      </c>
      <c r="AG37" s="97">
        <f ca="1">IFERROR(__xludf.DUMMYFUNCTION("IMPORTRANGE(""https://docs.google.com/spreadsheets/d/1xoDLGBv9CYbyosIhki0kTq6IpYNj-gpjxfobnaDiut0/edit?usp=sharing"",""บึงกาฬ!N204"")"),0)</f>
        <v>0</v>
      </c>
      <c r="AH37" s="98">
        <f t="shared" ca="1" si="96"/>
        <v>0</v>
      </c>
      <c r="AI37" s="97">
        <f ca="1">IFERROR(__xludf.DUMMYFUNCTION("IMPORTRANGE(""https://docs.google.com/spreadsheets/d/1xoDLGBv9CYbyosIhki0kTq6IpYNj-gpjxfobnaDiut0/edit?usp=sharing"",""บึงกาฬ!L206"")"),16000)</f>
        <v>16000</v>
      </c>
      <c r="AJ37" s="97">
        <f ca="1">IFERROR(__xludf.DUMMYFUNCTION("IMPORTRANGE(""https://docs.google.com/spreadsheets/d/1xoDLGBv9CYbyosIhki0kTq6IpYNj-gpjxfobnaDiut0/edit?usp=sharing"",""บึงกาฬ!N206"")"),0)</f>
        <v>0</v>
      </c>
      <c r="AK37" s="98">
        <f t="shared" ca="1" si="98"/>
        <v>0</v>
      </c>
      <c r="AL37" s="97">
        <f ca="1">IFERROR(__xludf.DUMMYFUNCTION("IMPORTRANGE(""https://docs.google.com/spreadsheets/d/1xoDLGBv9CYbyosIhki0kTq6IpYNj-gpjxfobnaDiut0/edit?usp=sharing"",""บึงกาฬ!L207"")"),16000)</f>
        <v>16000</v>
      </c>
      <c r="AM37" s="97">
        <f ca="1">IFERROR(__xludf.DUMMYFUNCTION("IMPORTRANGE(""https://docs.google.com/spreadsheets/d/1xoDLGBv9CYbyosIhki0kTq6IpYNj-gpjxfobnaDiut0/edit?usp=sharing"",""บึงกาฬ!N207"")"),0)</f>
        <v>0</v>
      </c>
      <c r="AN37" s="98">
        <f t="shared" ca="1" si="100"/>
        <v>0</v>
      </c>
      <c r="AO37" s="97">
        <f ca="1">IFERROR(__xludf.DUMMYFUNCTION("IMPORTRANGE(""https://docs.google.com/spreadsheets/d/1xoDLGBv9CYbyosIhki0kTq6IpYNj-gpjxfobnaDiut0/edit?usp=sharing"",""บึงกาฬ!I209"")"),2)</f>
        <v>2</v>
      </c>
      <c r="AP37" s="97">
        <f ca="1">IFERROR(__xludf.DUMMYFUNCTION("IMPORTRANGE(""https://docs.google.com/spreadsheets/d/1xoDLGBv9CYbyosIhki0kTq6IpYNj-gpjxfobnaDiut0/edit?usp=sharing"",""บึงกาฬ!J209"")"),0)</f>
        <v>0</v>
      </c>
      <c r="AQ37" s="98">
        <f t="shared" ca="1" si="102"/>
        <v>0</v>
      </c>
      <c r="AR37" s="97">
        <f ca="1">IFERROR(__xludf.DUMMYFUNCTION("IMPORTRANGE(""https://docs.google.com/spreadsheets/d/1xoDLGBv9CYbyosIhki0kTq6IpYNj-gpjxfobnaDiut0/edit?usp=sharing"",""บึงกาฬ!J211"")"),0)</f>
        <v>0</v>
      </c>
      <c r="AS37" s="97">
        <f ca="1">IFERROR(__xludf.DUMMYFUNCTION("IMPORTRANGE(""https://docs.google.com/spreadsheets/d/1xoDLGBv9CYbyosIhki0kTq6IpYNj-gpjxfobnaDiut0/edit?usp=sharing"",""บึงกาฬ!J212"")"),0)</f>
        <v>0</v>
      </c>
      <c r="AT37" s="97">
        <f ca="1">IFERROR(__xludf.DUMMYFUNCTION("IMPORTRANGE(""https://docs.google.com/spreadsheets/d/1xoDLGBv9CYbyosIhki0kTq6IpYNj-gpjxfobnaDiut0/edit?usp=sharing"",""บึงกาฬ!L215"")"),2000)</f>
        <v>2000</v>
      </c>
      <c r="AU37" s="97">
        <f ca="1">IFERROR(__xludf.DUMMYFUNCTION("IMPORTRANGE(""https://docs.google.com/spreadsheets/d/1xoDLGBv9CYbyosIhki0kTq6IpYNj-gpjxfobnaDiut0/edit?usp=sharing"",""บึงกาฬ!N215"")"),0)</f>
        <v>0</v>
      </c>
      <c r="AV37" s="98">
        <f t="shared" ca="1" si="104"/>
        <v>0</v>
      </c>
      <c r="AW37" s="97">
        <f ca="1">IFERROR(__xludf.DUMMYFUNCTION("IMPORTRANGE(""https://docs.google.com/spreadsheets/d/1xoDLGBv9CYbyosIhki0kTq6IpYNj-gpjxfobnaDiut0/edit?usp=sharing"",""บึงกาฬ!L216"")"),10000)</f>
        <v>10000</v>
      </c>
      <c r="AX37" s="97">
        <f ca="1">IFERROR(__xludf.DUMMYFUNCTION("IMPORTRANGE(""https://docs.google.com/spreadsheets/d/1xoDLGBv9CYbyosIhki0kTq6IpYNj-gpjxfobnaDiut0/edit?usp=sharing"",""บึงกาฬ!N216"")"),0)</f>
        <v>0</v>
      </c>
      <c r="AY37" s="98">
        <f t="shared" ca="1" si="106"/>
        <v>0</v>
      </c>
      <c r="AZ37" s="97">
        <f ca="1">IFERROR(__xludf.DUMMYFUNCTION("IMPORTRANGE(""https://docs.google.com/spreadsheets/d/1xoDLGBv9CYbyosIhki0kTq6IpYNj-gpjxfobnaDiut0/edit?usp=sharing"",""บึงกาฬ!L217"")"),16000)</f>
        <v>16000</v>
      </c>
      <c r="BA37" s="97">
        <f ca="1">IFERROR(__xludf.DUMMYFUNCTION("IMPORTRANGE(""https://docs.google.com/spreadsheets/d/1xoDLGBv9CYbyosIhki0kTq6IpYNj-gpjxfobnaDiut0/edit?usp=sharing"",""บึงกาฬ!N217"")"),0)</f>
        <v>0</v>
      </c>
      <c r="BB37" s="98">
        <f t="shared" ca="1" si="108"/>
        <v>0</v>
      </c>
      <c r="BC37" s="97">
        <f ca="1">IFERROR(__xludf.DUMMYFUNCTION("IMPORTRANGE(""https://docs.google.com/spreadsheets/d/1xoDLGBv9CYbyosIhki0kTq6IpYNj-gpjxfobnaDiut0/edit?usp=sharing"",""บึงกาฬ!I219"")"),2)</f>
        <v>2</v>
      </c>
      <c r="BD37" s="97">
        <f ca="1">IFERROR(__xludf.DUMMYFUNCTION("IMPORTRANGE(""https://docs.google.com/spreadsheets/d/1xoDLGBv9CYbyosIhki0kTq6IpYNj-gpjxfobnaDiut0/edit?usp=sharing"",""บึงกาฬ!J219"")"),0)</f>
        <v>0</v>
      </c>
      <c r="BE37" s="98">
        <f t="shared" ca="1" si="110"/>
        <v>0</v>
      </c>
      <c r="BF37" s="97">
        <f ca="1">IFERROR(__xludf.DUMMYFUNCTION("IMPORTRANGE(""https://docs.google.com/spreadsheets/d/1xoDLGBv9CYbyosIhki0kTq6IpYNj-gpjxfobnaDiut0/edit?usp=sharing"",""บึงกาฬ!I220"")"),2)</f>
        <v>2</v>
      </c>
      <c r="BG37" s="97">
        <f ca="1">IFERROR(__xludf.DUMMYFUNCTION("IMPORTRANGE(""https://docs.google.com/spreadsheets/d/1xoDLGBv9CYbyosIhki0kTq6IpYNj-gpjxfobnaDiut0/edit?usp=sharing"",""บึงกาฬ!J220"")"),0)</f>
        <v>0</v>
      </c>
      <c r="BH37" s="98">
        <f t="shared" ca="1" si="112"/>
        <v>0</v>
      </c>
      <c r="BI37" s="97">
        <f ca="1">IFERROR(__xludf.DUMMYFUNCTION("IMPORTRANGE(""https://docs.google.com/spreadsheets/d/1xoDLGBv9CYbyosIhki0kTq6IpYNj-gpjxfobnaDiut0/edit?usp=sharing"",""บึงกาฬ!L223"")"),3000)</f>
        <v>3000</v>
      </c>
      <c r="BJ37" s="97">
        <f ca="1">IFERROR(__xludf.DUMMYFUNCTION("IMPORTRANGE(""https://docs.google.com/spreadsheets/d/1xoDLGBv9CYbyosIhki0kTq6IpYNj-gpjxfobnaDiut0/edit?usp=sharing"",""บึงกาฬ!N223"")"),0)</f>
        <v>0</v>
      </c>
      <c r="BK37" s="98">
        <f t="shared" ca="1" si="114"/>
        <v>0</v>
      </c>
      <c r="BL37" s="97">
        <f ca="1">IFERROR(__xludf.DUMMYFUNCTION("IMPORTRANGE(""https://docs.google.com/spreadsheets/d/1xoDLGBv9CYbyosIhki0kTq6IpYNj-gpjxfobnaDiut0/edit?usp=sharing"",""บึงกาฬ!L224"")"),1500)</f>
        <v>1500</v>
      </c>
      <c r="BM37" s="97">
        <f ca="1">IFERROR(__xludf.DUMMYFUNCTION("IMPORTRANGE(""https://docs.google.com/spreadsheets/d/1xoDLGBv9CYbyosIhki0kTq6IpYNj-gpjxfobnaDiut0/edit?usp=sharing"",""บึงกาฬ!N224"")"),0)</f>
        <v>0</v>
      </c>
      <c r="BN37" s="98">
        <f t="shared" ca="1" si="116"/>
        <v>0</v>
      </c>
      <c r="BO37" s="97">
        <f ca="1">IFERROR(__xludf.DUMMYFUNCTION("IMPORTRANGE(""https://docs.google.com/spreadsheets/d/1xoDLGBv9CYbyosIhki0kTq6IpYNj-gpjxfobnaDiut0/edit?usp=sharing"",""บึงกาฬ!I228"")"),20000)</f>
        <v>20000</v>
      </c>
      <c r="BP37" s="97">
        <f ca="1">IFERROR(__xludf.DUMMYFUNCTION("IMPORTRANGE(""https://docs.google.com/spreadsheets/d/1xoDLGBv9CYbyosIhki0kTq6IpYNj-gpjxfobnaDiut0/edit?usp=sharing"",""บึงกาฬ!J228"")"),0)</f>
        <v>0</v>
      </c>
      <c r="BQ37" s="98">
        <f t="shared" ca="1" si="118"/>
        <v>0</v>
      </c>
      <c r="BR37" s="97">
        <f ca="1">IFERROR(__xludf.DUMMYFUNCTION("IMPORTRANGE(""https://docs.google.com/spreadsheets/d/1xoDLGBv9CYbyosIhki0kTq6IpYNj-gpjxfobnaDiut0/edit?usp=sharing"",""บึงกาฬ!I229"")"),20000)</f>
        <v>20000</v>
      </c>
      <c r="BS37" s="97">
        <f ca="1">IFERROR(__xludf.DUMMYFUNCTION("IMPORTRANGE(""https://docs.google.com/spreadsheets/d/1xoDLGBv9CYbyosIhki0kTq6IpYNj-gpjxfobnaDiut0/edit?usp=sharing"",""บึงกาฬ!J229"")"),0)</f>
        <v>0</v>
      </c>
      <c r="BT37" s="98">
        <f t="shared" ca="1" si="120"/>
        <v>0</v>
      </c>
      <c r="BU37" s="97">
        <f ca="1">IFERROR(__xludf.DUMMYFUNCTION("IMPORTRANGE(""https://docs.google.com/spreadsheets/d/1xoDLGBv9CYbyosIhki0kTq6IpYNj-gpjxfobnaDiut0/edit?usp=sharing"",""บึงกาฬ!I230"")"),0)</f>
        <v>0</v>
      </c>
      <c r="BV37" s="97">
        <f ca="1">IFERROR(__xludf.DUMMYFUNCTION("IMPORTRANGE(""https://docs.google.com/spreadsheets/d/1xoDLGBv9CYbyosIhki0kTq6IpYNj-gpjxfobnaDiut0/edit?usp=sharing"",""บึงกาฬ!J230"")"),0)</f>
        <v>0</v>
      </c>
      <c r="BW37" s="98">
        <f t="shared" ca="1" si="122"/>
        <v>0</v>
      </c>
      <c r="BX37" s="97">
        <f ca="1">IFERROR(__xludf.DUMMYFUNCTION("IMPORTRANGE(""https://docs.google.com/spreadsheets/d/1xoDLGBv9CYbyosIhki0kTq6IpYNj-gpjxfobnaDiut0/edit?usp=sharing"",""บึงกาฬ!L233"")"),0)</f>
        <v>0</v>
      </c>
      <c r="BY37" s="97">
        <f ca="1">IFERROR(__xludf.DUMMYFUNCTION("IMPORTRANGE(""https://docs.google.com/spreadsheets/d/1xoDLGBv9CYbyosIhki0kTq6IpYNj-gpjxfobnaDiut0/edit?usp=sharing"",""บึงกาฬ!N233"")"),0)</f>
        <v>0</v>
      </c>
      <c r="BZ37" s="98">
        <f t="shared" ca="1" si="124"/>
        <v>0</v>
      </c>
      <c r="CA37" s="97">
        <f ca="1">IFERROR(__xludf.DUMMYFUNCTION("IMPORTRANGE(""https://docs.google.com/spreadsheets/d/1xoDLGBv9CYbyosIhki0kTq6IpYNj-gpjxfobnaDiut0/edit?usp=sharing"",""บึงกาฬ!L234"")"),0)</f>
        <v>0</v>
      </c>
      <c r="CB37" s="97">
        <f ca="1">IFERROR(__xludf.DUMMYFUNCTION("IMPORTRANGE(""https://docs.google.com/spreadsheets/d/1xoDLGBv9CYbyosIhki0kTq6IpYNj-gpjxfobnaDiut0/edit?usp=sharing"",""บึงกาฬ!N234"")"),0)</f>
        <v>0</v>
      </c>
      <c r="CC37" s="98">
        <f t="shared" ca="1" si="126"/>
        <v>0</v>
      </c>
      <c r="CD37" s="97">
        <f ca="1">IFERROR(__xludf.DUMMYFUNCTION("IMPORTRANGE(""https://docs.google.com/spreadsheets/d/1xoDLGBv9CYbyosIhki0kTq6IpYNj-gpjxfobnaDiut0/edit?usp=sharing"",""บึงกาฬ!L235"")"),0)</f>
        <v>0</v>
      </c>
      <c r="CE37" s="97">
        <f ca="1">IFERROR(__xludf.DUMMYFUNCTION("IMPORTRANGE(""https://docs.google.com/spreadsheets/d/1xoDLGBv9CYbyosIhki0kTq6IpYNj-gpjxfobnaDiut0/edit?usp=sharing"",""บึงกาฬ!N235"")"),0)</f>
        <v>0</v>
      </c>
      <c r="CF37" s="98">
        <f t="shared" ca="1" si="128"/>
        <v>0</v>
      </c>
      <c r="CG37" s="97">
        <f ca="1">IFERROR(__xludf.DUMMYFUNCTION("IMPORTRANGE(""https://docs.google.com/spreadsheets/d/1xoDLGBv9CYbyosIhki0kTq6IpYNj-gpjxfobnaDiut0/edit?usp=sharing"",""บึงกาฬ!L236"")"),0)</f>
        <v>0</v>
      </c>
      <c r="CH37" s="97">
        <f ca="1">IFERROR(__xludf.DUMMYFUNCTION("IMPORTRANGE(""https://docs.google.com/spreadsheets/d/1xoDLGBv9CYbyosIhki0kTq6IpYNj-gpjxfobnaDiut0/edit?usp=sharing"",""บึงกาฬ!N236"")"),0)</f>
        <v>0</v>
      </c>
      <c r="CI37" s="98">
        <f t="shared" ca="1" si="130"/>
        <v>0</v>
      </c>
      <c r="CJ37" s="97">
        <f ca="1">IFERROR(__xludf.DUMMYFUNCTION("IMPORTRANGE(""https://docs.google.com/spreadsheets/d/1xoDLGBv9CYbyosIhki0kTq6IpYNj-gpjxfobnaDiut0/edit?usp=sharing"",""บึงกาฬ!I238"")"),0)</f>
        <v>0</v>
      </c>
      <c r="CK37" s="97">
        <f ca="1">IFERROR(__xludf.DUMMYFUNCTION("IMPORTRANGE(""https://docs.google.com/spreadsheets/d/1xoDLGBv9CYbyosIhki0kTq6IpYNj-gpjxfobnaDiut0/edit?usp=sharing"",""บึงกาฬ!J238"")"),0)</f>
        <v>0</v>
      </c>
      <c r="CL37" s="98">
        <f t="shared" ca="1" si="132"/>
        <v>0</v>
      </c>
      <c r="CM37" s="97">
        <f ca="1">IFERROR(__xludf.DUMMYFUNCTION("IMPORTRANGE(""https://docs.google.com/spreadsheets/d/1xoDLGBv9CYbyosIhki0kTq6IpYNj-gpjxfobnaDiut0/edit?usp=sharing"",""บึงกาฬ!J240"")"),0)</f>
        <v>0</v>
      </c>
      <c r="CN37" s="97">
        <f ca="1">IFERROR(__xludf.DUMMYFUNCTION("IMPORTRANGE(""https://docs.google.com/spreadsheets/d/1xoDLGBv9CYbyosIhki0kTq6IpYNj-gpjxfobnaDiut0/edit?usp=sharing"",""บึงกาฬ!J241"")"),0)</f>
        <v>0</v>
      </c>
    </row>
    <row r="38" spans="1:92" ht="21" customHeight="1" x14ac:dyDescent="0.3">
      <c r="A38" s="89">
        <v>7</v>
      </c>
      <c r="B38" s="90" t="s">
        <v>64</v>
      </c>
      <c r="C38" s="174">
        <f t="shared" ca="1" si="80"/>
        <v>245500</v>
      </c>
      <c r="D38" s="175">
        <f t="shared" ca="1" si="159"/>
        <v>245500</v>
      </c>
      <c r="E38" s="176">
        <f ca="1">IFERROR(__xludf.DUMMYFUNCTION("IMPORTRANGE(""https://docs.google.com/spreadsheets/d/1-uDff_7J0KD5mKrp0Vvzr7lt3OU09vwQwhkpOPPYv2Y/edit?usp=sharing"",""งบพรบ!CV38"")"),182000)</f>
        <v>182000</v>
      </c>
      <c r="F38" s="176">
        <f ca="1">IFERROR(__xludf.DUMMYFUNCTION("IMPORTRANGE(""https://docs.google.com/spreadsheets/d/1-uDff_7J0KD5mKrp0Vvzr7lt3OU09vwQwhkpOPPYv2Y/edit?usp=sharing"",""งบพรบ!CW38"")"),63500)</f>
        <v>63500</v>
      </c>
      <c r="G38" s="176">
        <f ca="1">IFERROR(__xludf.DUMMYFUNCTION("IMPORTRANGE(""https://docs.google.com/spreadsheets/d/1-uDff_7J0KD5mKrp0Vvzr7lt3OU09vwQwhkpOPPYv2Y/edit?usp=sharing"",""งบพรบ!CX38"")"),0)</f>
        <v>0</v>
      </c>
      <c r="H38" s="176">
        <f ca="1">IFERROR(__xludf.DUMMYFUNCTION("IMPORTRANGE(""https://docs.google.com/spreadsheets/d/1-uDff_7J0KD5mKrp0Vvzr7lt3OU09vwQwhkpOPPYv2Y/edit?usp=sharing"",""งบพรบ!CZ38"")"),245500)</f>
        <v>245500</v>
      </c>
      <c r="I38" s="176">
        <f ca="1">IFERROR(__xludf.DUMMYFUNCTION("IMPORTRANGE(""https://docs.google.com/spreadsheets/d/1-uDff_7J0KD5mKrp0Vvzr7lt3OU09vwQwhkpOPPYv2Y/edit?usp=sharing"",""งบพรบ!DA38"")"),0)</f>
        <v>0</v>
      </c>
      <c r="J38" s="176">
        <f t="shared" ca="1" si="82"/>
        <v>100060</v>
      </c>
      <c r="K38" s="179">
        <f t="shared" ca="1" si="83"/>
        <v>40.757637474541752</v>
      </c>
      <c r="L38" s="176">
        <f ca="1">IFERROR(__xludf.DUMMYFUNCTION("IMPORTRANGE(""https://docs.google.com/spreadsheets/d/1-uDff_7J0KD5mKrp0Vvzr7lt3OU09vwQwhkpOPPYv2Y/edit?usp=sharing"",""งบพรบ!DB38"")"),100060)</f>
        <v>100060</v>
      </c>
      <c r="M38" s="87">
        <f t="shared" ca="1" si="84"/>
        <v>40.757637474541752</v>
      </c>
      <c r="N38" s="87">
        <f t="shared" ca="1" si="85"/>
        <v>40.757637474541752</v>
      </c>
      <c r="O38" s="86">
        <f ca="1">IFERROR(__xludf.DUMMYFUNCTION("IMPORTRANGE(""https://docs.google.com/spreadsheets/d/1-uDff_7J0KD5mKrp0Vvzr7lt3OU09vwQwhkpOPPYv2Y/edit?usp=sharing"",""งบพรบ!DC38"")"),0)</f>
        <v>0</v>
      </c>
      <c r="P38" s="86">
        <f t="shared" ca="1" si="86"/>
        <v>0</v>
      </c>
      <c r="Q38" s="87">
        <f t="shared" ca="1" si="87"/>
        <v>0</v>
      </c>
      <c r="R38" s="241">
        <f ca="1">IFERROR(__xludf.DUMMYFUNCTION("IMPORTRANGE(""https://docs.google.com/spreadsheets/d/1MMPq-JyI6DSgQETxuSiXkesP-P7JHuemnE6QJIa-Nlw/edit?usp=sharing"",""บุรีรัมย์!Q186"")"),91700)</f>
        <v>91700</v>
      </c>
      <c r="S38" s="242">
        <f ca="1">IFERROR(__xludf.DUMMYFUNCTION("IMPORTRANGE(""https://docs.google.com/spreadsheets/d/1MMPq-JyI6DSgQETxuSiXkesP-P7JHuemnE6QJIa-Nlw/edit?usp=sharing"",""บุรีรัมย์!R186"")"),0)</f>
        <v>0</v>
      </c>
      <c r="T38" s="242">
        <f ca="1">IFERROR(__xludf.DUMMYFUNCTION("IMPORTRANGE(""https://docs.google.com/spreadsheets/d/1MMPq-JyI6DSgQETxuSiXkesP-P7JHuemnE6QJIa-Nlw/edit?usp=sharing"",""บุรีรัมย์!S186"")"),0)</f>
        <v>0</v>
      </c>
      <c r="U38" s="243">
        <f t="shared" ca="1" si="89"/>
        <v>0</v>
      </c>
      <c r="V38" s="243">
        <f t="shared" ca="1" si="90"/>
        <v>0</v>
      </c>
      <c r="W38" s="97">
        <f ca="1">IFERROR(__xludf.DUMMYFUNCTION("IMPORTRANGE(""https://docs.google.com/spreadsheets/d/1MMPq-JyI6DSgQETxuSiXkesP-P7JHuemnE6QJIa-Nlw/edit?usp=sharing"",""บุรีรัมย์!L196"")"),6000)</f>
        <v>6000</v>
      </c>
      <c r="X38" s="97">
        <f ca="1">IFERROR(__xludf.DUMMYFUNCTION("IMPORTRANGE(""https://docs.google.com/spreadsheets/d/1MMPq-JyI6DSgQETxuSiXkesP-P7JHuemnE6QJIa-Nlw/edit?usp=sharing"",""บุรีรัมย์!N196"")"),0)</f>
        <v>0</v>
      </c>
      <c r="Y38" s="98">
        <f t="shared" ca="1" si="92"/>
        <v>0</v>
      </c>
      <c r="Z38" s="97">
        <f ca="1">IFERROR(__xludf.DUMMYFUNCTION("IMPORTRANGE(""https://docs.google.com/spreadsheets/d/1MMPq-JyI6DSgQETxuSiXkesP-P7JHuemnE6QJIa-Nlw/edit?usp=sharing"",""บุรีรัมย์!I198"")"),4)</f>
        <v>4</v>
      </c>
      <c r="AA38" s="97">
        <f ca="1">IFERROR(__xludf.DUMMYFUNCTION("IMPORTRANGE(""https://docs.google.com/spreadsheets/d/1MMPq-JyI6DSgQETxuSiXkesP-P7JHuemnE6QJIa-Nlw/edit?usp=sharing"",""บุรีรัมย์!J198"")"),1)</f>
        <v>1</v>
      </c>
      <c r="AB38" s="98">
        <f t="shared" ca="1" si="94"/>
        <v>25</v>
      </c>
      <c r="AC38" s="97">
        <f ca="1">IFERROR(__xludf.DUMMYFUNCTION("IMPORTRANGE(""https://docs.google.com/spreadsheets/d/1MMPq-JyI6DSgQETxuSiXkesP-P7JHuemnE6QJIa-Nlw/edit?usp=sharing"",""บุรีรัมย์!J199"")"),42)</f>
        <v>42</v>
      </c>
      <c r="AD38" s="97">
        <f ca="1">IFERROR(__xludf.DUMMYFUNCTION("IMPORTRANGE(""https://docs.google.com/spreadsheets/d/1MMPq-JyI6DSgQETxuSiXkesP-P7JHuemnE6QJIa-Nlw/edit?usp=sharing"",""บุรีรัมย์!J200"")"),42)</f>
        <v>42</v>
      </c>
      <c r="AE38" s="97">
        <f ca="1">IFERROR(__xludf.DUMMYFUNCTION("IMPORTRANGE(""https://docs.google.com/spreadsheets/d/1MMPq-JyI6DSgQETxuSiXkesP-P7JHuemnE6QJIa-Nlw/edit?usp=sharing"",""บุรีรัมย์!J201"")"),0)</f>
        <v>0</v>
      </c>
      <c r="AF38" s="97">
        <f ca="1">IFERROR(__xludf.DUMMYFUNCTION("IMPORTRANGE(""https://docs.google.com/spreadsheets/d/1MMPq-JyI6DSgQETxuSiXkesP-P7JHuemnE6QJIa-Nlw/edit?usp=sharing"",""บุรีรัมย์!L204"")"),2000)</f>
        <v>2000</v>
      </c>
      <c r="AG38" s="97">
        <f ca="1">IFERROR(__xludf.DUMMYFUNCTION("IMPORTRANGE(""https://docs.google.com/spreadsheets/d/1MMPq-JyI6DSgQETxuSiXkesP-P7JHuemnE6QJIa-Nlw/edit?usp=sharing"",""บุรีรัมย์!N204"")"),0)</f>
        <v>0</v>
      </c>
      <c r="AH38" s="98">
        <f t="shared" ca="1" si="96"/>
        <v>0</v>
      </c>
      <c r="AI38" s="97">
        <f ca="1">IFERROR(__xludf.DUMMYFUNCTION("IMPORTRANGE(""https://docs.google.com/spreadsheets/d/1MMPq-JyI6DSgQETxuSiXkesP-P7JHuemnE6QJIa-Nlw/edit?usp=sharing"",""บุรีรัมย์!L206"")"),16000)</f>
        <v>16000</v>
      </c>
      <c r="AJ38" s="97">
        <f ca="1">IFERROR(__xludf.DUMMYFUNCTION("IMPORTRANGE(""https://docs.google.com/spreadsheets/d/1MMPq-JyI6DSgQETxuSiXkesP-P7JHuemnE6QJIa-Nlw/edit?usp=sharing"",""บุรีรัมย์!N206"")"),0)</f>
        <v>0</v>
      </c>
      <c r="AK38" s="98">
        <f t="shared" ca="1" si="98"/>
        <v>0</v>
      </c>
      <c r="AL38" s="97">
        <f ca="1">IFERROR(__xludf.DUMMYFUNCTION("IMPORTRANGE(""https://docs.google.com/spreadsheets/d/1MMPq-JyI6DSgQETxuSiXkesP-P7JHuemnE6QJIa-Nlw/edit?usp=sharing"",""บุรีรัมย์!L207"")"),13000)</f>
        <v>13000</v>
      </c>
      <c r="AM38" s="97">
        <f ca="1">IFERROR(__xludf.DUMMYFUNCTION("IMPORTRANGE(""https://docs.google.com/spreadsheets/d/1MMPq-JyI6DSgQETxuSiXkesP-P7JHuemnE6QJIa-Nlw/edit?usp=sharing"",""บุรีรัมย์!N207"")"),0)</f>
        <v>0</v>
      </c>
      <c r="AN38" s="98">
        <f t="shared" ca="1" si="100"/>
        <v>0</v>
      </c>
      <c r="AO38" s="97">
        <f ca="1">IFERROR(__xludf.DUMMYFUNCTION("IMPORTRANGE(""https://docs.google.com/spreadsheets/d/1MMPq-JyI6DSgQETxuSiXkesP-P7JHuemnE6QJIa-Nlw/edit?usp=sharing"",""บุรีรัมย์!I209"")"),2)</f>
        <v>2</v>
      </c>
      <c r="AP38" s="97">
        <f ca="1">IFERROR(__xludf.DUMMYFUNCTION("IMPORTRANGE(""https://docs.google.com/spreadsheets/d/1MMPq-JyI6DSgQETxuSiXkesP-P7JHuemnE6QJIa-Nlw/edit?usp=sharing"",""บุรีรัมย์!J209"")"),0)</f>
        <v>0</v>
      </c>
      <c r="AQ38" s="98">
        <f t="shared" ca="1" si="102"/>
        <v>0</v>
      </c>
      <c r="AR38" s="97">
        <f ca="1">IFERROR(__xludf.DUMMYFUNCTION("IMPORTRANGE(""https://docs.google.com/spreadsheets/d/1MMPq-JyI6DSgQETxuSiXkesP-P7JHuemnE6QJIa-Nlw/edit?usp=sharing"",""บุรีรัมย์!J211"")"),0)</f>
        <v>0</v>
      </c>
      <c r="AS38" s="97">
        <f ca="1">IFERROR(__xludf.DUMMYFUNCTION("IMPORTRANGE(""https://docs.google.com/spreadsheets/d/1MMPq-JyI6DSgQETxuSiXkesP-P7JHuemnE6QJIa-Nlw/edit?usp=sharing"",""บุรีรัมย์!J212"")"),0)</f>
        <v>0</v>
      </c>
      <c r="AT38" s="97">
        <f ca="1">IFERROR(__xludf.DUMMYFUNCTION("IMPORTRANGE(""https://docs.google.com/spreadsheets/d/1MMPq-JyI6DSgQETxuSiXkesP-P7JHuemnE6QJIa-Nlw/edit?usp=sharing"",""บุรีรัมย์!L215"")"),1000)</f>
        <v>1000</v>
      </c>
      <c r="AU38" s="97">
        <f ca="1">IFERROR(__xludf.DUMMYFUNCTION("IMPORTRANGE(""https://docs.google.com/spreadsheets/d/1MMPq-JyI6DSgQETxuSiXkesP-P7JHuemnE6QJIa-Nlw/edit?usp=sharing"",""บุรีรัมย์!N215"")"),0)</f>
        <v>0</v>
      </c>
      <c r="AV38" s="98">
        <f t="shared" ca="1" si="104"/>
        <v>0</v>
      </c>
      <c r="AW38" s="97">
        <f ca="1">IFERROR(__xludf.DUMMYFUNCTION("IMPORTRANGE(""https://docs.google.com/spreadsheets/d/1MMPq-JyI6DSgQETxuSiXkesP-P7JHuemnE6QJIa-Nlw/edit?usp=sharing"",""บุรีรัมย์!L216"")"),5000)</f>
        <v>5000</v>
      </c>
      <c r="AX38" s="97">
        <f ca="1">IFERROR(__xludf.DUMMYFUNCTION("IMPORTRANGE(""https://docs.google.com/spreadsheets/d/1MMPq-JyI6DSgQETxuSiXkesP-P7JHuemnE6QJIa-Nlw/edit?usp=sharing"",""บุรีรัมย์!N216"")"),0)</f>
        <v>0</v>
      </c>
      <c r="AY38" s="98">
        <f t="shared" ca="1" si="106"/>
        <v>0</v>
      </c>
      <c r="AZ38" s="97">
        <f ca="1">IFERROR(__xludf.DUMMYFUNCTION("IMPORTRANGE(""https://docs.google.com/spreadsheets/d/1MMPq-JyI6DSgQETxuSiXkesP-P7JHuemnE6QJIa-Nlw/edit?usp=sharing"",""บุรีรัมย์!L217"")"),8000)</f>
        <v>8000</v>
      </c>
      <c r="BA38" s="97">
        <f ca="1">IFERROR(__xludf.DUMMYFUNCTION("IMPORTRANGE(""https://docs.google.com/spreadsheets/d/1MMPq-JyI6DSgQETxuSiXkesP-P7JHuemnE6QJIa-Nlw/edit?usp=sharing"",""บุรีรัมย์!N217"")"),0)</f>
        <v>0</v>
      </c>
      <c r="BB38" s="98">
        <f t="shared" ca="1" si="108"/>
        <v>0</v>
      </c>
      <c r="BC38" s="97">
        <f ca="1">IFERROR(__xludf.DUMMYFUNCTION("IMPORTRANGE(""https://docs.google.com/spreadsheets/d/1MMPq-JyI6DSgQETxuSiXkesP-P7JHuemnE6QJIa-Nlw/edit?usp=sharing"",""บุรีรัมย์!I219"")"),1)</f>
        <v>1</v>
      </c>
      <c r="BD38" s="97">
        <f ca="1">IFERROR(__xludf.DUMMYFUNCTION("IMPORTRANGE(""https://docs.google.com/spreadsheets/d/1MMPq-JyI6DSgQETxuSiXkesP-P7JHuemnE6QJIa-Nlw/edit?usp=sharing"",""บุรีรัมย์!J219"")"),0)</f>
        <v>0</v>
      </c>
      <c r="BE38" s="98">
        <f t="shared" ca="1" si="110"/>
        <v>0</v>
      </c>
      <c r="BF38" s="97">
        <f ca="1">IFERROR(__xludf.DUMMYFUNCTION("IMPORTRANGE(""https://docs.google.com/spreadsheets/d/1MMPq-JyI6DSgQETxuSiXkesP-P7JHuemnE6QJIa-Nlw/edit?usp=sharing"",""บุรีรัมย์!I220"")"),1)</f>
        <v>1</v>
      </c>
      <c r="BG38" s="97">
        <f ca="1">IFERROR(__xludf.DUMMYFUNCTION("IMPORTRANGE(""https://docs.google.com/spreadsheets/d/1MMPq-JyI6DSgQETxuSiXkesP-P7JHuemnE6QJIa-Nlw/edit?usp=sharing"",""บุรีรัมย์!J220"")"),0)</f>
        <v>0</v>
      </c>
      <c r="BH38" s="98">
        <f t="shared" ca="1" si="112"/>
        <v>0</v>
      </c>
      <c r="BI38" s="97">
        <f ca="1">IFERROR(__xludf.DUMMYFUNCTION("IMPORTRANGE(""https://docs.google.com/spreadsheets/d/1MMPq-JyI6DSgQETxuSiXkesP-P7JHuemnE6QJIa-Nlw/edit?usp=sharing"",""บุรีรัมย์!L223"")"),11000)</f>
        <v>11000</v>
      </c>
      <c r="BJ38" s="97">
        <f ca="1">IFERROR(__xludf.DUMMYFUNCTION("IMPORTRANGE(""https://docs.google.com/spreadsheets/d/1MMPq-JyI6DSgQETxuSiXkesP-P7JHuemnE6QJIa-Nlw/edit?usp=sharing"",""บุรีรัมย์!N223"")"),0)</f>
        <v>0</v>
      </c>
      <c r="BK38" s="98">
        <f t="shared" ca="1" si="114"/>
        <v>0</v>
      </c>
      <c r="BL38" s="97">
        <f ca="1">IFERROR(__xludf.DUMMYFUNCTION("IMPORTRANGE(""https://docs.google.com/spreadsheets/d/1MMPq-JyI6DSgQETxuSiXkesP-P7JHuemnE6QJIa-Nlw/edit?usp=sharing"",""บุรีรัมย์!L224"")"),1500)</f>
        <v>1500</v>
      </c>
      <c r="BM38" s="97">
        <f ca="1">IFERROR(__xludf.DUMMYFUNCTION("IMPORTRANGE(""https://docs.google.com/spreadsheets/d/1MMPq-JyI6DSgQETxuSiXkesP-P7JHuemnE6QJIa-Nlw/edit?usp=sharing"",""บุรีรัมย์!N224"")"),0)</f>
        <v>0</v>
      </c>
      <c r="BN38" s="98">
        <f t="shared" ca="1" si="116"/>
        <v>0</v>
      </c>
      <c r="BO38" s="97">
        <f ca="1">IFERROR(__xludf.DUMMYFUNCTION("IMPORTRANGE(""https://docs.google.com/spreadsheets/d/1MMPq-JyI6DSgQETxuSiXkesP-P7JHuemnE6QJIa-Nlw/edit?usp=sharing"",""บุรีรัมย์!I228"")"),100000)</f>
        <v>100000</v>
      </c>
      <c r="BP38" s="97">
        <f ca="1">IFERROR(__xludf.DUMMYFUNCTION("IMPORTRANGE(""https://docs.google.com/spreadsheets/d/1MMPq-JyI6DSgQETxuSiXkesP-P7JHuemnE6QJIa-Nlw/edit?usp=sharing"",""บุรีรัมย์!J228"")"),0)</f>
        <v>0</v>
      </c>
      <c r="BQ38" s="98">
        <f t="shared" ca="1" si="118"/>
        <v>0</v>
      </c>
      <c r="BR38" s="97">
        <f ca="1">IFERROR(__xludf.DUMMYFUNCTION("IMPORTRANGE(""https://docs.google.com/spreadsheets/d/1MMPq-JyI6DSgQETxuSiXkesP-P7JHuemnE6QJIa-Nlw/edit?usp=sharing"",""บุรีรัมย์!I229"")"),100000)</f>
        <v>100000</v>
      </c>
      <c r="BS38" s="97">
        <f ca="1">IFERROR(__xludf.DUMMYFUNCTION("IMPORTRANGE(""https://docs.google.com/spreadsheets/d/1MMPq-JyI6DSgQETxuSiXkesP-P7JHuemnE6QJIa-Nlw/edit?usp=sharing"",""บุรีรัมย์!J229"")"),0)</f>
        <v>0</v>
      </c>
      <c r="BT38" s="98">
        <f t="shared" ca="1" si="120"/>
        <v>0</v>
      </c>
      <c r="BU38" s="97">
        <f ca="1">IFERROR(__xludf.DUMMYFUNCTION("IMPORTRANGE(""https://docs.google.com/spreadsheets/d/1MMPq-JyI6DSgQETxuSiXkesP-P7JHuemnE6QJIa-Nlw/edit?usp=sharing"",""บุรีรัมย์!I230"")"),0)</f>
        <v>0</v>
      </c>
      <c r="BV38" s="97">
        <f ca="1">IFERROR(__xludf.DUMMYFUNCTION("IMPORTRANGE(""https://docs.google.com/spreadsheets/d/1MMPq-JyI6DSgQETxuSiXkesP-P7JHuemnE6QJIa-Nlw/edit?usp=sharing"",""บุรีรัมย์!J230"")"),0)</f>
        <v>0</v>
      </c>
      <c r="BW38" s="98">
        <f t="shared" ca="1" si="122"/>
        <v>0</v>
      </c>
      <c r="BX38" s="97">
        <f ca="1">IFERROR(__xludf.DUMMYFUNCTION("IMPORTRANGE(""https://docs.google.com/spreadsheets/d/1MMPq-JyI6DSgQETxuSiXkesP-P7JHuemnE6QJIa-Nlw/edit?usp=sharing"",""บุรีรัมย์!L233"")"),0)</f>
        <v>0</v>
      </c>
      <c r="BY38" s="97">
        <f ca="1">IFERROR(__xludf.DUMMYFUNCTION("IMPORTRANGE(""https://docs.google.com/spreadsheets/d/1MMPq-JyI6DSgQETxuSiXkesP-P7JHuemnE6QJIa-Nlw/edit?usp=sharing"",""บุรีรัมย์!N233"")"),0)</f>
        <v>0</v>
      </c>
      <c r="BZ38" s="98">
        <f t="shared" ca="1" si="124"/>
        <v>0</v>
      </c>
      <c r="CA38" s="97">
        <f ca="1">IFERROR(__xludf.DUMMYFUNCTION("IMPORTRANGE(""https://docs.google.com/spreadsheets/d/1MMPq-JyI6DSgQETxuSiXkesP-P7JHuemnE6QJIa-Nlw/edit?usp=sharing"",""บุรีรัมย์!L234"")"),0)</f>
        <v>0</v>
      </c>
      <c r="CB38" s="97">
        <f ca="1">IFERROR(__xludf.DUMMYFUNCTION("IMPORTRANGE(""https://docs.google.com/spreadsheets/d/1MMPq-JyI6DSgQETxuSiXkesP-P7JHuemnE6QJIa-Nlw/edit?usp=sharing"",""บุรีรัมย์!N234"")"),0)</f>
        <v>0</v>
      </c>
      <c r="CC38" s="98">
        <f t="shared" ca="1" si="126"/>
        <v>0</v>
      </c>
      <c r="CD38" s="97">
        <f ca="1">IFERROR(__xludf.DUMMYFUNCTION("IMPORTRANGE(""https://docs.google.com/spreadsheets/d/1MMPq-JyI6DSgQETxuSiXkesP-P7JHuemnE6QJIa-Nlw/edit?usp=sharing"",""บุรีรัมย์!L235"")"),0)</f>
        <v>0</v>
      </c>
      <c r="CE38" s="97">
        <f ca="1">IFERROR(__xludf.DUMMYFUNCTION("IMPORTRANGE(""https://docs.google.com/spreadsheets/d/1MMPq-JyI6DSgQETxuSiXkesP-P7JHuemnE6QJIa-Nlw/edit?usp=sharing"",""บุรีรัมย์!N235"")"),0)</f>
        <v>0</v>
      </c>
      <c r="CF38" s="98">
        <f t="shared" ca="1" si="128"/>
        <v>0</v>
      </c>
      <c r="CG38" s="97">
        <f ca="1">IFERROR(__xludf.DUMMYFUNCTION("IMPORTRANGE(""https://docs.google.com/spreadsheets/d/1MMPq-JyI6DSgQETxuSiXkesP-P7JHuemnE6QJIa-Nlw/edit?usp=sharing"",""บุรีรัมย์!L236"")"),0)</f>
        <v>0</v>
      </c>
      <c r="CH38" s="97">
        <f ca="1">IFERROR(__xludf.DUMMYFUNCTION("IMPORTRANGE(""https://docs.google.com/spreadsheets/d/1MMPq-JyI6DSgQETxuSiXkesP-P7JHuemnE6QJIa-Nlw/edit?usp=sharing"",""บุรีรัมย์!N236"")"),0)</f>
        <v>0</v>
      </c>
      <c r="CI38" s="98">
        <f t="shared" ca="1" si="130"/>
        <v>0</v>
      </c>
      <c r="CJ38" s="97">
        <f ca="1">IFERROR(__xludf.DUMMYFUNCTION("IMPORTRANGE(""https://docs.google.com/spreadsheets/d/1MMPq-JyI6DSgQETxuSiXkesP-P7JHuemnE6QJIa-Nlw/edit?usp=sharing"",""บุรีรัมย์!I238"")"),0)</f>
        <v>0</v>
      </c>
      <c r="CK38" s="97">
        <f ca="1">IFERROR(__xludf.DUMMYFUNCTION("IMPORTRANGE(""https://docs.google.com/spreadsheets/d/1MMPq-JyI6DSgQETxuSiXkesP-P7JHuemnE6QJIa-Nlw/edit?usp=sharing"",""บุรีรัมย์!J238"")"),0)</f>
        <v>0</v>
      </c>
      <c r="CL38" s="98">
        <f t="shared" ca="1" si="132"/>
        <v>0</v>
      </c>
      <c r="CM38" s="97">
        <f ca="1">IFERROR(__xludf.DUMMYFUNCTION("IMPORTRANGE(""https://docs.google.com/spreadsheets/d/1MMPq-JyI6DSgQETxuSiXkesP-P7JHuemnE6QJIa-Nlw/edit?usp=sharing"",""บุรีรัมย์!J240"")"),0)</f>
        <v>0</v>
      </c>
      <c r="CN38" s="97">
        <f ca="1">IFERROR(__xludf.DUMMYFUNCTION("IMPORTRANGE(""https://docs.google.com/spreadsheets/d/1MMPq-JyI6DSgQETxuSiXkesP-P7JHuemnE6QJIa-Nlw/edit?usp=sharing"",""บุรีรัมย์!J241"")"),0)</f>
        <v>0</v>
      </c>
    </row>
    <row r="39" spans="1:92" ht="21" customHeight="1" x14ac:dyDescent="0.3">
      <c r="A39" s="89">
        <v>8</v>
      </c>
      <c r="B39" s="90" t="s">
        <v>65</v>
      </c>
      <c r="C39" s="174">
        <f t="shared" ca="1" si="80"/>
        <v>43500</v>
      </c>
      <c r="D39" s="175">
        <f t="shared" ca="1" si="159"/>
        <v>43500</v>
      </c>
      <c r="E39" s="176">
        <f ca="1">IFERROR(__xludf.DUMMYFUNCTION("IMPORTRANGE(""https://docs.google.com/spreadsheets/d/1-uDff_7J0KD5mKrp0Vvzr7lt3OU09vwQwhkpOPPYv2Y/edit?usp=sharing"",""งบพรบ!CV39"")"),0)</f>
        <v>0</v>
      </c>
      <c r="F39" s="176">
        <f ca="1">IFERROR(__xludf.DUMMYFUNCTION("IMPORTRANGE(""https://docs.google.com/spreadsheets/d/1-uDff_7J0KD5mKrp0Vvzr7lt3OU09vwQwhkpOPPYv2Y/edit?usp=sharing"",""งบพรบ!CW39"")"),43500)</f>
        <v>43500</v>
      </c>
      <c r="G39" s="176">
        <f ca="1">IFERROR(__xludf.DUMMYFUNCTION("IMPORTRANGE(""https://docs.google.com/spreadsheets/d/1-uDff_7J0KD5mKrp0Vvzr7lt3OU09vwQwhkpOPPYv2Y/edit?usp=sharing"",""งบพรบ!CX39"")"),0)</f>
        <v>0</v>
      </c>
      <c r="H39" s="176">
        <f ca="1">IFERROR(__xludf.DUMMYFUNCTION("IMPORTRANGE(""https://docs.google.com/spreadsheets/d/1-uDff_7J0KD5mKrp0Vvzr7lt3OU09vwQwhkpOPPYv2Y/edit?usp=sharing"",""งบพรบ!CZ39"")"),43500)</f>
        <v>43500</v>
      </c>
      <c r="I39" s="176">
        <f ca="1">IFERROR(__xludf.DUMMYFUNCTION("IMPORTRANGE(""https://docs.google.com/spreadsheets/d/1-uDff_7J0KD5mKrp0Vvzr7lt3OU09vwQwhkpOPPYv2Y/edit?usp=sharing"",""งบพรบ!DA39"")"),0)</f>
        <v>0</v>
      </c>
      <c r="J39" s="176">
        <f t="shared" ca="1" si="82"/>
        <v>760</v>
      </c>
      <c r="K39" s="179">
        <f t="shared" ca="1" si="83"/>
        <v>1.7471264367816093</v>
      </c>
      <c r="L39" s="176">
        <f ca="1">IFERROR(__xludf.DUMMYFUNCTION("IMPORTRANGE(""https://docs.google.com/spreadsheets/d/1-uDff_7J0KD5mKrp0Vvzr7lt3OU09vwQwhkpOPPYv2Y/edit?usp=sharing"",""งบพรบ!DB39"")"),760)</f>
        <v>760</v>
      </c>
      <c r="M39" s="87">
        <f t="shared" ca="1" si="84"/>
        <v>1.7471264367816093</v>
      </c>
      <c r="N39" s="87">
        <f t="shared" ca="1" si="85"/>
        <v>1.7471264367816093</v>
      </c>
      <c r="O39" s="86">
        <f ca="1">IFERROR(__xludf.DUMMYFUNCTION("IMPORTRANGE(""https://docs.google.com/spreadsheets/d/1-uDff_7J0KD5mKrp0Vvzr7lt3OU09vwQwhkpOPPYv2Y/edit?usp=sharing"",""งบพรบ!DC39"")"),0)</f>
        <v>0</v>
      </c>
      <c r="P39" s="86">
        <f t="shared" ca="1" si="86"/>
        <v>0</v>
      </c>
      <c r="Q39" s="87">
        <f t="shared" ca="1" si="87"/>
        <v>0</v>
      </c>
      <c r="R39" s="241">
        <f ca="1">IFERROR(__xludf.DUMMYFUNCTION("IMPORTRANGE(""https://docs.google.com/spreadsheets/d/1l6IZ8xUPgMrESzcTYwhA1k_tPjeQjJPTqlm8Gd9eU5g/edit?usp=sharing"",""มหาสารคาม!Q186"")"),28000)</f>
        <v>28000</v>
      </c>
      <c r="S39" s="242">
        <f ca="1">IFERROR(__xludf.DUMMYFUNCTION("IMPORTRANGE(""https://docs.google.com/spreadsheets/d/1l6IZ8xUPgMrESzcTYwhA1k_tPjeQjJPTqlm8Gd9eU5g/edit?usp=sharing"",""มหาสารคาม!R186"")"),0)</f>
        <v>0</v>
      </c>
      <c r="T39" s="242">
        <f ca="1">IFERROR(__xludf.DUMMYFUNCTION("IMPORTRANGE(""https://docs.google.com/spreadsheets/d/1l6IZ8xUPgMrESzcTYwhA1k_tPjeQjJPTqlm8Gd9eU5g/edit?usp=sharing"",""มหาสารคาม!S186"")"),0)</f>
        <v>0</v>
      </c>
      <c r="U39" s="243">
        <f t="shared" ca="1" si="89"/>
        <v>0</v>
      </c>
      <c r="V39" s="243">
        <f t="shared" ca="1" si="90"/>
        <v>0</v>
      </c>
      <c r="W39" s="97">
        <f ca="1">IFERROR(__xludf.DUMMYFUNCTION("IMPORTRANGE(""https://docs.google.com/spreadsheets/d/1l6IZ8xUPgMrESzcTYwhA1k_tPjeQjJPTqlm8Gd9eU5g/edit?usp=sharing"",""มหาสารคาม!L196"")"),6000)</f>
        <v>6000</v>
      </c>
      <c r="X39" s="97">
        <f ca="1">IFERROR(__xludf.DUMMYFUNCTION("IMPORTRANGE(""https://docs.google.com/spreadsheets/d/1l6IZ8xUPgMrESzcTYwhA1k_tPjeQjJPTqlm8Gd9eU5g/edit?usp=sharing"",""มหาสารคาม!N196"")"),2860)</f>
        <v>2860</v>
      </c>
      <c r="Y39" s="98">
        <f t="shared" ca="1" si="92"/>
        <v>47.666666666666664</v>
      </c>
      <c r="Z39" s="97">
        <f ca="1">IFERROR(__xludf.DUMMYFUNCTION("IMPORTRANGE(""https://docs.google.com/spreadsheets/d/1l6IZ8xUPgMrESzcTYwhA1k_tPjeQjJPTqlm8Gd9eU5g/edit?usp=sharing"",""มหาสารคาม!I198"")"),4)</f>
        <v>4</v>
      </c>
      <c r="AA39" s="97">
        <f ca="1">IFERROR(__xludf.DUMMYFUNCTION("IMPORTRANGE(""https://docs.google.com/spreadsheets/d/1l6IZ8xUPgMrESzcTYwhA1k_tPjeQjJPTqlm8Gd9eU5g/edit?usp=sharing"",""มหาสารคาม!J198"")"),2)</f>
        <v>2</v>
      </c>
      <c r="AB39" s="98">
        <f t="shared" ca="1" si="94"/>
        <v>50</v>
      </c>
      <c r="AC39" s="97">
        <f ca="1">IFERROR(__xludf.DUMMYFUNCTION("IMPORTRANGE(""https://docs.google.com/spreadsheets/d/1l6IZ8xUPgMrESzcTYwhA1k_tPjeQjJPTqlm8Gd9eU5g/edit?usp=sharing"",""มหาสารคาม!J199"")"),84)</f>
        <v>84</v>
      </c>
      <c r="AD39" s="97">
        <f ca="1">IFERROR(__xludf.DUMMYFUNCTION("IMPORTRANGE(""https://docs.google.com/spreadsheets/d/1l6IZ8xUPgMrESzcTYwhA1k_tPjeQjJPTqlm8Gd9eU5g/edit?usp=sharing"",""มหาสารคาม!J200"")"),84)</f>
        <v>84</v>
      </c>
      <c r="AE39" s="97">
        <f ca="1">IFERROR(__xludf.DUMMYFUNCTION("IMPORTRANGE(""https://docs.google.com/spreadsheets/d/1l6IZ8xUPgMrESzcTYwhA1k_tPjeQjJPTqlm8Gd9eU5g/edit?usp=sharing"",""มหาสารคาม!J201"")"),0)</f>
        <v>0</v>
      </c>
      <c r="AF39" s="97">
        <f ca="1">IFERROR(__xludf.DUMMYFUNCTION("IMPORTRANGE(""https://docs.google.com/spreadsheets/d/1l6IZ8xUPgMrESzcTYwhA1k_tPjeQjJPTqlm8Gd9eU5g/edit?usp=sharing"",""มหาสารคาม!L204"")"),2000)</f>
        <v>2000</v>
      </c>
      <c r="AG39" s="97">
        <f ca="1">IFERROR(__xludf.DUMMYFUNCTION("IMPORTRANGE(""https://docs.google.com/spreadsheets/d/1l6IZ8xUPgMrESzcTYwhA1k_tPjeQjJPTqlm8Gd9eU5g/edit?usp=sharing"",""มหาสารคาม!N204"")"),0)</f>
        <v>0</v>
      </c>
      <c r="AH39" s="98">
        <f t="shared" ca="1" si="96"/>
        <v>0</v>
      </c>
      <c r="AI39" s="97">
        <f ca="1">IFERROR(__xludf.DUMMYFUNCTION("IMPORTRANGE(""https://docs.google.com/spreadsheets/d/1l6IZ8xUPgMrESzcTYwhA1k_tPjeQjJPTqlm8Gd9eU5g/edit?usp=sharing"",""มหาสารคาม!L206"")"),16000)</f>
        <v>16000</v>
      </c>
      <c r="AJ39" s="97">
        <f ca="1">IFERROR(__xludf.DUMMYFUNCTION("IMPORTRANGE(""https://docs.google.com/spreadsheets/d/1l6IZ8xUPgMrESzcTYwhA1k_tPjeQjJPTqlm8Gd9eU5g/edit?usp=sharing"",""มหาสารคาม!N206"")"),0)</f>
        <v>0</v>
      </c>
      <c r="AK39" s="98">
        <f t="shared" ca="1" si="98"/>
        <v>0</v>
      </c>
      <c r="AL39" s="97">
        <f ca="1">IFERROR(__xludf.DUMMYFUNCTION("IMPORTRANGE(""https://docs.google.com/spreadsheets/d/1l6IZ8xUPgMrESzcTYwhA1k_tPjeQjJPTqlm8Gd9eU5g/edit?usp=sharing"",""มหาสารคาม!L207"")"),11000)</f>
        <v>11000</v>
      </c>
      <c r="AM39" s="97">
        <f ca="1">IFERROR(__xludf.DUMMYFUNCTION("IMPORTRANGE(""https://docs.google.com/spreadsheets/d/1l6IZ8xUPgMrESzcTYwhA1k_tPjeQjJPTqlm8Gd9eU5g/edit?usp=sharing"",""มหาสารคาม!N207"")"),0)</f>
        <v>0</v>
      </c>
      <c r="AN39" s="98">
        <f t="shared" ca="1" si="100"/>
        <v>0</v>
      </c>
      <c r="AO39" s="97">
        <f ca="1">IFERROR(__xludf.DUMMYFUNCTION("IMPORTRANGE(""https://docs.google.com/spreadsheets/d/1l6IZ8xUPgMrESzcTYwhA1k_tPjeQjJPTqlm8Gd9eU5g/edit?usp=sharing"",""มหาสารคาม!I209"")"),2)</f>
        <v>2</v>
      </c>
      <c r="AP39" s="97">
        <f ca="1">IFERROR(__xludf.DUMMYFUNCTION("IMPORTRANGE(""https://docs.google.com/spreadsheets/d/1l6IZ8xUPgMrESzcTYwhA1k_tPjeQjJPTqlm8Gd9eU5g/edit?usp=sharing"",""มหาสารคาม!J209"")"),0)</f>
        <v>0</v>
      </c>
      <c r="AQ39" s="98">
        <f t="shared" ca="1" si="102"/>
        <v>0</v>
      </c>
      <c r="AR39" s="97">
        <f ca="1">IFERROR(__xludf.DUMMYFUNCTION("IMPORTRANGE(""https://docs.google.com/spreadsheets/d/1l6IZ8xUPgMrESzcTYwhA1k_tPjeQjJPTqlm8Gd9eU5g/edit?usp=sharing"",""มหาสารคาม!J211"")"),0)</f>
        <v>0</v>
      </c>
      <c r="AS39" s="97">
        <f ca="1">IFERROR(__xludf.DUMMYFUNCTION("IMPORTRANGE(""https://docs.google.com/spreadsheets/d/1l6IZ8xUPgMrESzcTYwhA1k_tPjeQjJPTqlm8Gd9eU5g/edit?usp=sharing"",""มหาสารคาม!J212"")"),0)</f>
        <v>0</v>
      </c>
      <c r="AT39" s="97">
        <f ca="1">IFERROR(__xludf.DUMMYFUNCTION("IMPORTRANGE(""https://docs.google.com/spreadsheets/d/1l6IZ8xUPgMrESzcTYwhA1k_tPjeQjJPTqlm8Gd9eU5g/edit?usp=sharing"",""มหาสารคาม!L215"")"),0)</f>
        <v>0</v>
      </c>
      <c r="AU39" s="97">
        <f ca="1">IFERROR(__xludf.DUMMYFUNCTION("IMPORTRANGE(""https://docs.google.com/spreadsheets/d/1l6IZ8xUPgMrESzcTYwhA1k_tPjeQjJPTqlm8Gd9eU5g/edit?usp=sharing"",""มหาสารคาม!N215"")"),0)</f>
        <v>0</v>
      </c>
      <c r="AV39" s="98">
        <f t="shared" ca="1" si="104"/>
        <v>0</v>
      </c>
      <c r="AW39" s="97">
        <f ca="1">IFERROR(__xludf.DUMMYFUNCTION("IMPORTRANGE(""https://docs.google.com/spreadsheets/d/1l6IZ8xUPgMrESzcTYwhA1k_tPjeQjJPTqlm8Gd9eU5g/edit?usp=sharing"",""มหาสารคาม!L216"")"),0)</f>
        <v>0</v>
      </c>
      <c r="AX39" s="97">
        <f ca="1">IFERROR(__xludf.DUMMYFUNCTION("IMPORTRANGE(""https://docs.google.com/spreadsheets/d/1l6IZ8xUPgMrESzcTYwhA1k_tPjeQjJPTqlm8Gd9eU5g/edit?usp=sharing"",""มหาสารคาม!N216"")"),0)</f>
        <v>0</v>
      </c>
      <c r="AY39" s="98">
        <f t="shared" ca="1" si="106"/>
        <v>0</v>
      </c>
      <c r="AZ39" s="97">
        <f ca="1">IFERROR(__xludf.DUMMYFUNCTION("IMPORTRANGE(""https://docs.google.com/spreadsheets/d/1l6IZ8xUPgMrESzcTYwhA1k_tPjeQjJPTqlm8Gd9eU5g/edit?usp=sharing"",""มหาสารคาม!L217"")"),0)</f>
        <v>0</v>
      </c>
      <c r="BA39" s="97">
        <f ca="1">IFERROR(__xludf.DUMMYFUNCTION("IMPORTRANGE(""https://docs.google.com/spreadsheets/d/1l6IZ8xUPgMrESzcTYwhA1k_tPjeQjJPTqlm8Gd9eU5g/edit?usp=sharing"",""มหาสารคาม!N217"")"),0)</f>
        <v>0</v>
      </c>
      <c r="BB39" s="98">
        <f t="shared" ca="1" si="108"/>
        <v>0</v>
      </c>
      <c r="BC39" s="97">
        <f ca="1">IFERROR(__xludf.DUMMYFUNCTION("IMPORTRANGE(""https://docs.google.com/spreadsheets/d/1l6IZ8xUPgMrESzcTYwhA1k_tPjeQjJPTqlm8Gd9eU5g/edit?usp=sharing"",""มหาสารคาม!I219"")"),0)</f>
        <v>0</v>
      </c>
      <c r="BD39" s="97">
        <f ca="1">IFERROR(__xludf.DUMMYFUNCTION("IMPORTRANGE(""https://docs.google.com/spreadsheets/d/1l6IZ8xUPgMrESzcTYwhA1k_tPjeQjJPTqlm8Gd9eU5g/edit?usp=sharing"",""มหาสารคาม!J219"")"),0)</f>
        <v>0</v>
      </c>
      <c r="BE39" s="98">
        <f t="shared" ca="1" si="110"/>
        <v>0</v>
      </c>
      <c r="BF39" s="97">
        <f ca="1">IFERROR(__xludf.DUMMYFUNCTION("IMPORTRANGE(""https://docs.google.com/spreadsheets/d/1l6IZ8xUPgMrESzcTYwhA1k_tPjeQjJPTqlm8Gd9eU5g/edit?usp=sharing"",""มหาสารคาม!I220"")"),0)</f>
        <v>0</v>
      </c>
      <c r="BG39" s="97">
        <f ca="1">IFERROR(__xludf.DUMMYFUNCTION("IMPORTRANGE(""https://docs.google.com/spreadsheets/d/1l6IZ8xUPgMrESzcTYwhA1k_tPjeQjJPTqlm8Gd9eU5g/edit?usp=sharing"",""มหาสารคาม!J220"")"),0)</f>
        <v>0</v>
      </c>
      <c r="BH39" s="98">
        <f t="shared" ca="1" si="112"/>
        <v>0</v>
      </c>
      <c r="BI39" s="97">
        <f ca="1">IFERROR(__xludf.DUMMYFUNCTION("IMPORTRANGE(""https://docs.google.com/spreadsheets/d/1l6IZ8xUPgMrESzcTYwhA1k_tPjeQjJPTqlm8Gd9eU5g/edit?usp=sharing"",""มหาสารคาม!L223"")"),7000)</f>
        <v>7000</v>
      </c>
      <c r="BJ39" s="97">
        <f ca="1">IFERROR(__xludf.DUMMYFUNCTION("IMPORTRANGE(""https://docs.google.com/spreadsheets/d/1l6IZ8xUPgMrESzcTYwhA1k_tPjeQjJPTqlm8Gd9eU5g/edit?usp=sharing"",""มหาสารคาม!N223"")"),0)</f>
        <v>0</v>
      </c>
      <c r="BK39" s="98">
        <f t="shared" ca="1" si="114"/>
        <v>0</v>
      </c>
      <c r="BL39" s="97">
        <f ca="1">IFERROR(__xludf.DUMMYFUNCTION("IMPORTRANGE(""https://docs.google.com/spreadsheets/d/1l6IZ8xUPgMrESzcTYwhA1k_tPjeQjJPTqlm8Gd9eU5g/edit?usp=sharing"",""มหาสารคาม!L224"")"),1500)</f>
        <v>1500</v>
      </c>
      <c r="BM39" s="97">
        <f ca="1">IFERROR(__xludf.DUMMYFUNCTION("IMPORTRANGE(""https://docs.google.com/spreadsheets/d/1l6IZ8xUPgMrESzcTYwhA1k_tPjeQjJPTqlm8Gd9eU5g/edit?usp=sharing"",""มหาสารคาม!N224"")"),0)</f>
        <v>0</v>
      </c>
      <c r="BN39" s="98">
        <f t="shared" ca="1" si="116"/>
        <v>0</v>
      </c>
      <c r="BO39" s="97">
        <f ca="1">IFERROR(__xludf.DUMMYFUNCTION("IMPORTRANGE(""https://docs.google.com/spreadsheets/d/1l6IZ8xUPgMrESzcTYwhA1k_tPjeQjJPTqlm8Gd9eU5g/edit?usp=sharing"",""มหาสารคาม!I228"")"),50000)</f>
        <v>50000</v>
      </c>
      <c r="BP39" s="97">
        <f ca="1">IFERROR(__xludf.DUMMYFUNCTION("IMPORTRANGE(""https://docs.google.com/spreadsheets/d/1l6IZ8xUPgMrESzcTYwhA1k_tPjeQjJPTqlm8Gd9eU5g/edit?usp=sharing"",""มหาสารคาม!J228"")"),0)</f>
        <v>0</v>
      </c>
      <c r="BQ39" s="98">
        <f t="shared" ca="1" si="118"/>
        <v>0</v>
      </c>
      <c r="BR39" s="97">
        <f ca="1">IFERROR(__xludf.DUMMYFUNCTION("IMPORTRANGE(""https://docs.google.com/spreadsheets/d/1l6IZ8xUPgMrESzcTYwhA1k_tPjeQjJPTqlm8Gd9eU5g/edit?usp=sharing"",""มหาสารคาม!I229"")"),50000)</f>
        <v>50000</v>
      </c>
      <c r="BS39" s="97">
        <f ca="1">IFERROR(__xludf.DUMMYFUNCTION("IMPORTRANGE(""https://docs.google.com/spreadsheets/d/1l6IZ8xUPgMrESzcTYwhA1k_tPjeQjJPTqlm8Gd9eU5g/edit?usp=sharing"",""มหาสารคาม!J229"")"),0)</f>
        <v>0</v>
      </c>
      <c r="BT39" s="98">
        <f t="shared" ca="1" si="120"/>
        <v>0</v>
      </c>
      <c r="BU39" s="97">
        <f ca="1">IFERROR(__xludf.DUMMYFUNCTION("IMPORTRANGE(""https://docs.google.com/spreadsheets/d/1l6IZ8xUPgMrESzcTYwhA1k_tPjeQjJPTqlm8Gd9eU5g/edit?usp=sharing"",""มหาสารคาม!I230"")"),0)</f>
        <v>0</v>
      </c>
      <c r="BV39" s="97">
        <f ca="1">IFERROR(__xludf.DUMMYFUNCTION("IMPORTRANGE(""https://docs.google.com/spreadsheets/d/1l6IZ8xUPgMrESzcTYwhA1k_tPjeQjJPTqlm8Gd9eU5g/edit?usp=sharing"",""มหาสารคาม!J230"")"),0)</f>
        <v>0</v>
      </c>
      <c r="BW39" s="98">
        <f t="shared" ca="1" si="122"/>
        <v>0</v>
      </c>
      <c r="BX39" s="97">
        <f ca="1">IFERROR(__xludf.DUMMYFUNCTION("IMPORTRANGE(""https://docs.google.com/spreadsheets/d/1l6IZ8xUPgMrESzcTYwhA1k_tPjeQjJPTqlm8Gd9eU5g/edit?usp=sharing"",""มหาสารคาม!L233"")"),0)</f>
        <v>0</v>
      </c>
      <c r="BY39" s="97">
        <f ca="1">IFERROR(__xludf.DUMMYFUNCTION("IMPORTRANGE(""https://docs.google.com/spreadsheets/d/1l6IZ8xUPgMrESzcTYwhA1k_tPjeQjJPTqlm8Gd9eU5g/edit?usp=sharing"",""มหาสารคาม!N233"")"),0)</f>
        <v>0</v>
      </c>
      <c r="BZ39" s="98">
        <f t="shared" ca="1" si="124"/>
        <v>0</v>
      </c>
      <c r="CA39" s="97">
        <f ca="1">IFERROR(__xludf.DUMMYFUNCTION("IMPORTRANGE(""https://docs.google.com/spreadsheets/d/1l6IZ8xUPgMrESzcTYwhA1k_tPjeQjJPTqlm8Gd9eU5g/edit?usp=sharing"",""มหาสารคาม!L234"")"),0)</f>
        <v>0</v>
      </c>
      <c r="CB39" s="97">
        <f ca="1">IFERROR(__xludf.DUMMYFUNCTION("IMPORTRANGE(""https://docs.google.com/spreadsheets/d/1l6IZ8xUPgMrESzcTYwhA1k_tPjeQjJPTqlm8Gd9eU5g/edit?usp=sharing"",""มหาสารคาม!N234"")"),0)</f>
        <v>0</v>
      </c>
      <c r="CC39" s="98">
        <f t="shared" ca="1" si="126"/>
        <v>0</v>
      </c>
      <c r="CD39" s="97">
        <f ca="1">IFERROR(__xludf.DUMMYFUNCTION("IMPORTRANGE(""https://docs.google.com/spreadsheets/d/1l6IZ8xUPgMrESzcTYwhA1k_tPjeQjJPTqlm8Gd9eU5g/edit?usp=sharing"",""มหาสารคาม!L235"")"),0)</f>
        <v>0</v>
      </c>
      <c r="CE39" s="97">
        <f ca="1">IFERROR(__xludf.DUMMYFUNCTION("IMPORTRANGE(""https://docs.google.com/spreadsheets/d/1l6IZ8xUPgMrESzcTYwhA1k_tPjeQjJPTqlm8Gd9eU5g/edit?usp=sharing"",""มหาสารคาม!N235"")"),0)</f>
        <v>0</v>
      </c>
      <c r="CF39" s="98">
        <f t="shared" ca="1" si="128"/>
        <v>0</v>
      </c>
      <c r="CG39" s="97">
        <f ca="1">IFERROR(__xludf.DUMMYFUNCTION("IMPORTRANGE(""https://docs.google.com/spreadsheets/d/1l6IZ8xUPgMrESzcTYwhA1k_tPjeQjJPTqlm8Gd9eU5g/edit?usp=sharing"",""มหาสารคาม!L236"")"),0)</f>
        <v>0</v>
      </c>
      <c r="CH39" s="97">
        <f ca="1">IFERROR(__xludf.DUMMYFUNCTION("IMPORTRANGE(""https://docs.google.com/spreadsheets/d/1l6IZ8xUPgMrESzcTYwhA1k_tPjeQjJPTqlm8Gd9eU5g/edit?usp=sharing"",""มหาสารคาม!N236"")"),0)</f>
        <v>0</v>
      </c>
      <c r="CI39" s="98">
        <f t="shared" ca="1" si="130"/>
        <v>0</v>
      </c>
      <c r="CJ39" s="97">
        <f ca="1">IFERROR(__xludf.DUMMYFUNCTION("IMPORTRANGE(""https://docs.google.com/spreadsheets/d/1l6IZ8xUPgMrESzcTYwhA1k_tPjeQjJPTqlm8Gd9eU5g/edit?usp=sharing"",""มหาสารคาม!I238"")"),0)</f>
        <v>0</v>
      </c>
      <c r="CK39" s="97">
        <f ca="1">IFERROR(__xludf.DUMMYFUNCTION("IMPORTRANGE(""https://docs.google.com/spreadsheets/d/1l6IZ8xUPgMrESzcTYwhA1k_tPjeQjJPTqlm8Gd9eU5g/edit?usp=sharing"",""มหาสารคาม!J238"")"),0)</f>
        <v>0</v>
      </c>
      <c r="CL39" s="98">
        <f t="shared" ca="1" si="132"/>
        <v>0</v>
      </c>
      <c r="CM39" s="97">
        <f ca="1">IFERROR(__xludf.DUMMYFUNCTION("IMPORTRANGE(""https://docs.google.com/spreadsheets/d/1l6IZ8xUPgMrESzcTYwhA1k_tPjeQjJPTqlm8Gd9eU5g/edit?usp=sharing"",""มหาสารคาม!J240"")"),0)</f>
        <v>0</v>
      </c>
      <c r="CN39" s="97">
        <f ca="1">IFERROR(__xludf.DUMMYFUNCTION("IMPORTRANGE(""https://docs.google.com/spreadsheets/d/1l6IZ8xUPgMrESzcTYwhA1k_tPjeQjJPTqlm8Gd9eU5g/edit?usp=sharing"",""มหาสารคาม!J241"")"),0)</f>
        <v>0</v>
      </c>
    </row>
    <row r="40" spans="1:92" ht="21" customHeight="1" x14ac:dyDescent="0.3">
      <c r="A40" s="89">
        <v>9</v>
      </c>
      <c r="B40" s="90" t="s">
        <v>66</v>
      </c>
      <c r="C40" s="174">
        <f t="shared" ca="1" si="80"/>
        <v>156500</v>
      </c>
      <c r="D40" s="175">
        <f t="shared" ca="1" si="159"/>
        <v>156500</v>
      </c>
      <c r="E40" s="176">
        <f ca="1">IFERROR(__xludf.DUMMYFUNCTION("IMPORTRANGE(""https://docs.google.com/spreadsheets/d/1-uDff_7J0KD5mKrp0Vvzr7lt3OU09vwQwhkpOPPYv2Y/edit?usp=sharing"",""งบพรบ!CV40"")"),91000)</f>
        <v>91000</v>
      </c>
      <c r="F40" s="176">
        <f ca="1">IFERROR(__xludf.DUMMYFUNCTION("IMPORTRANGE(""https://docs.google.com/spreadsheets/d/1-uDff_7J0KD5mKrp0Vvzr7lt3OU09vwQwhkpOPPYv2Y/edit?usp=sharing"",""งบพรบ!CW40"")"),65500)</f>
        <v>65500</v>
      </c>
      <c r="G40" s="176">
        <f ca="1">IFERROR(__xludf.DUMMYFUNCTION("IMPORTRANGE(""https://docs.google.com/spreadsheets/d/1-uDff_7J0KD5mKrp0Vvzr7lt3OU09vwQwhkpOPPYv2Y/edit?usp=sharing"",""งบพรบ!CX40"")"),0)</f>
        <v>0</v>
      </c>
      <c r="H40" s="176">
        <f ca="1">IFERROR(__xludf.DUMMYFUNCTION("IMPORTRANGE(""https://docs.google.com/spreadsheets/d/1-uDff_7J0KD5mKrp0Vvzr7lt3OU09vwQwhkpOPPYv2Y/edit?usp=sharing"",""งบพรบ!CZ40"")"),163700)</f>
        <v>163700</v>
      </c>
      <c r="I40" s="176">
        <f ca="1">IFERROR(__xludf.DUMMYFUNCTION("IMPORTRANGE(""https://docs.google.com/spreadsheets/d/1-uDff_7J0KD5mKrp0Vvzr7lt3OU09vwQwhkpOPPYv2Y/edit?usp=sharing"",""งบพรบ!DA40"")"),0)</f>
        <v>0</v>
      </c>
      <c r="J40" s="176">
        <f t="shared" ca="1" si="82"/>
        <v>39000</v>
      </c>
      <c r="K40" s="179">
        <f t="shared" ca="1" si="83"/>
        <v>24.920127795527158</v>
      </c>
      <c r="L40" s="176">
        <f ca="1">IFERROR(__xludf.DUMMYFUNCTION("IMPORTRANGE(""https://docs.google.com/spreadsheets/d/1-uDff_7J0KD5mKrp0Vvzr7lt3OU09vwQwhkpOPPYv2Y/edit?usp=sharing"",""งบพรบ!DB40"")"),39000)</f>
        <v>39000</v>
      </c>
      <c r="M40" s="87">
        <f t="shared" ca="1" si="84"/>
        <v>24.920127795527158</v>
      </c>
      <c r="N40" s="87">
        <f t="shared" ca="1" si="85"/>
        <v>23.824068417837509</v>
      </c>
      <c r="O40" s="86">
        <f ca="1">IFERROR(__xludf.DUMMYFUNCTION("IMPORTRANGE(""https://docs.google.com/spreadsheets/d/1-uDff_7J0KD5mKrp0Vvzr7lt3OU09vwQwhkpOPPYv2Y/edit?usp=sharing"",""งบพรบ!DC40"")"),0)</f>
        <v>0</v>
      </c>
      <c r="P40" s="86">
        <f t="shared" ca="1" si="86"/>
        <v>0</v>
      </c>
      <c r="Q40" s="87">
        <f t="shared" ca="1" si="87"/>
        <v>0</v>
      </c>
      <c r="R40" s="241">
        <f ca="1">IFERROR(__xludf.DUMMYFUNCTION("IMPORTRANGE(""https://docs.google.com/spreadsheets/d/1uB74YLqNjWX6FObjekfB2NtSYigTQyR2rq9u4Ub2Sq4/edit?usp=sharing"",""มุกดาหาร!Q186"")"),91700)</f>
        <v>91700</v>
      </c>
      <c r="S40" s="242">
        <f ca="1">IFERROR(__xludf.DUMMYFUNCTION("IMPORTRANGE(""https://docs.google.com/spreadsheets/d/1uB74YLqNjWX6FObjekfB2NtSYigTQyR2rq9u4Ub2Sq4/edit?usp=sharing"",""มุกดาหาร!R186"")"),0)</f>
        <v>0</v>
      </c>
      <c r="T40" s="242">
        <f ca="1">IFERROR(__xludf.DUMMYFUNCTION("IMPORTRANGE(""https://docs.google.com/spreadsheets/d/1uB74YLqNjWX6FObjekfB2NtSYigTQyR2rq9u4Ub2Sq4/edit?usp=sharing"",""มุกดาหาร!S186"")"),0)</f>
        <v>0</v>
      </c>
      <c r="U40" s="243">
        <f t="shared" ca="1" si="89"/>
        <v>0</v>
      </c>
      <c r="V40" s="243">
        <f t="shared" ca="1" si="90"/>
        <v>0</v>
      </c>
      <c r="W40" s="97">
        <f ca="1">IFERROR(__xludf.DUMMYFUNCTION("IMPORTRANGE(""https://docs.google.com/spreadsheets/d/1uB74YLqNjWX6FObjekfB2NtSYigTQyR2rq9u4Ub2Sq4/edit?usp=sharing"",""มุกดาหาร!L196"")"),6000)</f>
        <v>6000</v>
      </c>
      <c r="X40" s="97">
        <f ca="1">IFERROR(__xludf.DUMMYFUNCTION("IMPORTRANGE(""https://docs.google.com/spreadsheets/d/1uB74YLqNjWX6FObjekfB2NtSYigTQyR2rq9u4Ub2Sq4/edit?usp=sharing"",""มุกดาหาร!N196"")"),0)</f>
        <v>0</v>
      </c>
      <c r="Y40" s="98">
        <f t="shared" ca="1" si="92"/>
        <v>0</v>
      </c>
      <c r="Z40" s="97">
        <f ca="1">IFERROR(__xludf.DUMMYFUNCTION("IMPORTRANGE(""https://docs.google.com/spreadsheets/d/1uB74YLqNjWX6FObjekfB2NtSYigTQyR2rq9u4Ub2Sq4/edit?usp=sharing"",""มุกดาหาร!I198"")"),4)</f>
        <v>4</v>
      </c>
      <c r="AA40" s="97">
        <f ca="1">IFERROR(__xludf.DUMMYFUNCTION("IMPORTRANGE(""https://docs.google.com/spreadsheets/d/1uB74YLqNjWX6FObjekfB2NtSYigTQyR2rq9u4Ub2Sq4/edit?usp=sharing"",""มุกดาหาร!J198"")"),0)</f>
        <v>0</v>
      </c>
      <c r="AB40" s="98">
        <f t="shared" ca="1" si="94"/>
        <v>0</v>
      </c>
      <c r="AC40" s="97">
        <f ca="1">IFERROR(__xludf.DUMMYFUNCTION("IMPORTRANGE(""https://docs.google.com/spreadsheets/d/1uB74YLqNjWX6FObjekfB2NtSYigTQyR2rq9u4Ub2Sq4/edit?usp=sharing"",""มุกดาหาร!J199"")"),0)</f>
        <v>0</v>
      </c>
      <c r="AD40" s="97">
        <f ca="1">IFERROR(__xludf.DUMMYFUNCTION("IMPORTRANGE(""https://docs.google.com/spreadsheets/d/1uB74YLqNjWX6FObjekfB2NtSYigTQyR2rq9u4Ub2Sq4/edit?usp=sharing"",""มุกดาหาร!J200"")"),0)</f>
        <v>0</v>
      </c>
      <c r="AE40" s="97">
        <f ca="1">IFERROR(__xludf.DUMMYFUNCTION("IMPORTRANGE(""https://docs.google.com/spreadsheets/d/1uB74YLqNjWX6FObjekfB2NtSYigTQyR2rq9u4Ub2Sq4/edit?usp=sharing"",""มุกดาหาร!J201"")"),0)</f>
        <v>0</v>
      </c>
      <c r="AF40" s="97">
        <f ca="1">IFERROR(__xludf.DUMMYFUNCTION("IMPORTRANGE(""https://docs.google.com/spreadsheets/d/1uB74YLqNjWX6FObjekfB2NtSYigTQyR2rq9u4Ub2Sq4/edit?usp=sharing"",""มุกดาหาร!L204"")"),3000)</f>
        <v>3000</v>
      </c>
      <c r="AG40" s="97">
        <f ca="1">IFERROR(__xludf.DUMMYFUNCTION("IMPORTRANGE(""https://docs.google.com/spreadsheets/d/1uB74YLqNjWX6FObjekfB2NtSYigTQyR2rq9u4Ub2Sq4/edit?usp=sharing"",""มุกดาหาร!N204"")"),0)</f>
        <v>0</v>
      </c>
      <c r="AH40" s="98">
        <f t="shared" ca="1" si="96"/>
        <v>0</v>
      </c>
      <c r="AI40" s="97">
        <f ca="1">IFERROR(__xludf.DUMMYFUNCTION("IMPORTRANGE(""https://docs.google.com/spreadsheets/d/1uB74YLqNjWX6FObjekfB2NtSYigTQyR2rq9u4Ub2Sq4/edit?usp=sharing"",""มุกดาหาร!L206"")"),24000)</f>
        <v>24000</v>
      </c>
      <c r="AJ40" s="97">
        <f ca="1">IFERROR(__xludf.DUMMYFUNCTION("IMPORTRANGE(""https://docs.google.com/spreadsheets/d/1uB74YLqNjWX6FObjekfB2NtSYigTQyR2rq9u4Ub2Sq4/edit?usp=sharing"",""มุกดาหาร!N206"")"),0)</f>
        <v>0</v>
      </c>
      <c r="AK40" s="98">
        <f t="shared" ca="1" si="98"/>
        <v>0</v>
      </c>
      <c r="AL40" s="97">
        <f ca="1">IFERROR(__xludf.DUMMYFUNCTION("IMPORTRANGE(""https://docs.google.com/spreadsheets/d/1uB74YLqNjWX6FObjekfB2NtSYigTQyR2rq9u4Ub2Sq4/edit?usp=sharing"",""มุกดาหาร!L207"")"),12000)</f>
        <v>12000</v>
      </c>
      <c r="AM40" s="97">
        <f ca="1">IFERROR(__xludf.DUMMYFUNCTION("IMPORTRANGE(""https://docs.google.com/spreadsheets/d/1uB74YLqNjWX6FObjekfB2NtSYigTQyR2rq9u4Ub2Sq4/edit?usp=sharing"",""มุกดาหาร!N207"")"),0)</f>
        <v>0</v>
      </c>
      <c r="AN40" s="98">
        <f t="shared" ca="1" si="100"/>
        <v>0</v>
      </c>
      <c r="AO40" s="97">
        <f ca="1">IFERROR(__xludf.DUMMYFUNCTION("IMPORTRANGE(""https://docs.google.com/spreadsheets/d/1uB74YLqNjWX6FObjekfB2NtSYigTQyR2rq9u4Ub2Sq4/edit?usp=sharing"",""มุกดาหาร!I209"")"),3)</f>
        <v>3</v>
      </c>
      <c r="AP40" s="97">
        <f ca="1">IFERROR(__xludf.DUMMYFUNCTION("IMPORTRANGE(""https://docs.google.com/spreadsheets/d/1uB74YLqNjWX6FObjekfB2NtSYigTQyR2rq9u4Ub2Sq4/edit?usp=sharing"",""มุกดาหาร!J209"")"),0)</f>
        <v>0</v>
      </c>
      <c r="AQ40" s="98">
        <f t="shared" ca="1" si="102"/>
        <v>0</v>
      </c>
      <c r="AR40" s="97">
        <f ca="1">IFERROR(__xludf.DUMMYFUNCTION("IMPORTRANGE(""https://docs.google.com/spreadsheets/d/1uB74YLqNjWX6FObjekfB2NtSYigTQyR2rq9u4Ub2Sq4/edit?usp=sharing"",""มุกดาหาร!J211"")"),0)</f>
        <v>0</v>
      </c>
      <c r="AS40" s="97">
        <f ca="1">IFERROR(__xludf.DUMMYFUNCTION("IMPORTRANGE(""https://docs.google.com/spreadsheets/d/1uB74YLqNjWX6FObjekfB2NtSYigTQyR2rq9u4Ub2Sq4/edit?usp=sharing"",""มุกดาหาร!J212"")"),0)</f>
        <v>0</v>
      </c>
      <c r="AT40" s="97">
        <f ca="1">IFERROR(__xludf.DUMMYFUNCTION("IMPORTRANGE(""https://docs.google.com/spreadsheets/d/1uB74YLqNjWX6FObjekfB2NtSYigTQyR2rq9u4Ub2Sq4/edit?usp=sharing"",""มุกดาหาร!L215"")"),1000)</f>
        <v>1000</v>
      </c>
      <c r="AU40" s="97">
        <f ca="1">IFERROR(__xludf.DUMMYFUNCTION("IMPORTRANGE(""https://docs.google.com/spreadsheets/d/1uB74YLqNjWX6FObjekfB2NtSYigTQyR2rq9u4Ub2Sq4/edit?usp=sharing"",""มุกดาหาร!N215"")"),0)</f>
        <v>0</v>
      </c>
      <c r="AV40" s="98">
        <f t="shared" ca="1" si="104"/>
        <v>0</v>
      </c>
      <c r="AW40" s="97">
        <f ca="1">IFERROR(__xludf.DUMMYFUNCTION("IMPORTRANGE(""https://docs.google.com/spreadsheets/d/1uB74YLqNjWX6FObjekfB2NtSYigTQyR2rq9u4Ub2Sq4/edit?usp=sharing"",""มุกดาหาร!L216"")"),5000)</f>
        <v>5000</v>
      </c>
      <c r="AX40" s="97">
        <f ca="1">IFERROR(__xludf.DUMMYFUNCTION("IMPORTRANGE(""https://docs.google.com/spreadsheets/d/1uB74YLqNjWX6FObjekfB2NtSYigTQyR2rq9u4Ub2Sq4/edit?usp=sharing"",""มุกดาหาร!N216"")"),0)</f>
        <v>0</v>
      </c>
      <c r="AY40" s="98">
        <f t="shared" ca="1" si="106"/>
        <v>0</v>
      </c>
      <c r="AZ40" s="97">
        <f ca="1">IFERROR(__xludf.DUMMYFUNCTION("IMPORTRANGE(""https://docs.google.com/spreadsheets/d/1uB74YLqNjWX6FObjekfB2NtSYigTQyR2rq9u4Ub2Sq4/edit?usp=sharing"",""มุกดาหาร!L217"")"),8000)</f>
        <v>8000</v>
      </c>
      <c r="BA40" s="97">
        <f ca="1">IFERROR(__xludf.DUMMYFUNCTION("IMPORTRANGE(""https://docs.google.com/spreadsheets/d/1uB74YLqNjWX6FObjekfB2NtSYigTQyR2rq9u4Ub2Sq4/edit?usp=sharing"",""มุกดาหาร!N217"")"),0)</f>
        <v>0</v>
      </c>
      <c r="BB40" s="98">
        <f t="shared" ca="1" si="108"/>
        <v>0</v>
      </c>
      <c r="BC40" s="97">
        <f ca="1">IFERROR(__xludf.DUMMYFUNCTION("IMPORTRANGE(""https://docs.google.com/spreadsheets/d/1uB74YLqNjWX6FObjekfB2NtSYigTQyR2rq9u4Ub2Sq4/edit?usp=sharing"",""มุกดาหาร!I219"")"),1)</f>
        <v>1</v>
      </c>
      <c r="BD40" s="97">
        <f ca="1">IFERROR(__xludf.DUMMYFUNCTION("IMPORTRANGE(""https://docs.google.com/spreadsheets/d/1uB74YLqNjWX6FObjekfB2NtSYigTQyR2rq9u4Ub2Sq4/edit?usp=sharing"",""มุกดาหาร!J219"")"),0)</f>
        <v>0</v>
      </c>
      <c r="BE40" s="98">
        <f t="shared" ca="1" si="110"/>
        <v>0</v>
      </c>
      <c r="BF40" s="97">
        <f ca="1">IFERROR(__xludf.DUMMYFUNCTION("IMPORTRANGE(""https://docs.google.com/spreadsheets/d/1uB74YLqNjWX6FObjekfB2NtSYigTQyR2rq9u4Ub2Sq4/edit?usp=sharing"",""มุกดาหาร!I220"")"),1)</f>
        <v>1</v>
      </c>
      <c r="BG40" s="97">
        <f ca="1">IFERROR(__xludf.DUMMYFUNCTION("IMPORTRANGE(""https://docs.google.com/spreadsheets/d/1uB74YLqNjWX6FObjekfB2NtSYigTQyR2rq9u4Ub2Sq4/edit?usp=sharing"",""มุกดาหาร!J220"")"),0)</f>
        <v>0</v>
      </c>
      <c r="BH40" s="98">
        <f t="shared" ca="1" si="112"/>
        <v>0</v>
      </c>
      <c r="BI40" s="97">
        <f ca="1">IFERROR(__xludf.DUMMYFUNCTION("IMPORTRANGE(""https://docs.google.com/spreadsheets/d/1uB74YLqNjWX6FObjekfB2NtSYigTQyR2rq9u4Ub2Sq4/edit?usp=sharing"",""มุกดาหาร!L223"")"),5000)</f>
        <v>5000</v>
      </c>
      <c r="BJ40" s="97">
        <f ca="1">IFERROR(__xludf.DUMMYFUNCTION("IMPORTRANGE(""https://docs.google.com/spreadsheets/d/1uB74YLqNjWX6FObjekfB2NtSYigTQyR2rq9u4Ub2Sq4/edit?usp=sharing"",""มุกดาหาร!N223"")"),0)</f>
        <v>0</v>
      </c>
      <c r="BK40" s="98">
        <f t="shared" ca="1" si="114"/>
        <v>0</v>
      </c>
      <c r="BL40" s="97">
        <f ca="1">IFERROR(__xludf.DUMMYFUNCTION("IMPORTRANGE(""https://docs.google.com/spreadsheets/d/1uB74YLqNjWX6FObjekfB2NtSYigTQyR2rq9u4Ub2Sq4/edit?usp=sharing"",""มุกดาหาร!L224"")"),1500)</f>
        <v>1500</v>
      </c>
      <c r="BM40" s="97">
        <f ca="1">IFERROR(__xludf.DUMMYFUNCTION("IMPORTRANGE(""https://docs.google.com/spreadsheets/d/1uB74YLqNjWX6FObjekfB2NtSYigTQyR2rq9u4Ub2Sq4/edit?usp=sharing"",""มุกดาหาร!N224"")"),0)</f>
        <v>0</v>
      </c>
      <c r="BN40" s="98">
        <f t="shared" ca="1" si="116"/>
        <v>0</v>
      </c>
      <c r="BO40" s="97">
        <f ca="1">IFERROR(__xludf.DUMMYFUNCTION("IMPORTRANGE(""https://docs.google.com/spreadsheets/d/1uB74YLqNjWX6FObjekfB2NtSYigTQyR2rq9u4Ub2Sq4/edit?usp=sharing"",""มุกดาหาร!I228"")"),45000)</f>
        <v>45000</v>
      </c>
      <c r="BP40" s="97">
        <f ca="1">IFERROR(__xludf.DUMMYFUNCTION("IMPORTRANGE(""https://docs.google.com/spreadsheets/d/1uB74YLqNjWX6FObjekfB2NtSYigTQyR2rq9u4Ub2Sq4/edit?usp=sharing"",""มุกดาหาร!J228"")"),0)</f>
        <v>0</v>
      </c>
      <c r="BQ40" s="98">
        <f t="shared" ca="1" si="118"/>
        <v>0</v>
      </c>
      <c r="BR40" s="97">
        <f ca="1">IFERROR(__xludf.DUMMYFUNCTION("IMPORTRANGE(""https://docs.google.com/spreadsheets/d/1uB74YLqNjWX6FObjekfB2NtSYigTQyR2rq9u4Ub2Sq4/edit?usp=sharing"",""มุกดาหาร!I229"")"),45000)</f>
        <v>45000</v>
      </c>
      <c r="BS40" s="97">
        <f ca="1">IFERROR(__xludf.DUMMYFUNCTION("IMPORTRANGE(""https://docs.google.com/spreadsheets/d/1uB74YLqNjWX6FObjekfB2NtSYigTQyR2rq9u4Ub2Sq4/edit?usp=sharing"",""มุกดาหาร!J229"")"),0)</f>
        <v>0</v>
      </c>
      <c r="BT40" s="98">
        <f t="shared" ca="1" si="120"/>
        <v>0</v>
      </c>
      <c r="BU40" s="97">
        <f ca="1">IFERROR(__xludf.DUMMYFUNCTION("IMPORTRANGE(""https://docs.google.com/spreadsheets/d/1uB74YLqNjWX6FObjekfB2NtSYigTQyR2rq9u4Ub2Sq4/edit?usp=sharing"",""มุกดาหาร!I230"")"),0)</f>
        <v>0</v>
      </c>
      <c r="BV40" s="97">
        <f ca="1">IFERROR(__xludf.DUMMYFUNCTION("IMPORTRANGE(""https://docs.google.com/spreadsheets/d/1uB74YLqNjWX6FObjekfB2NtSYigTQyR2rq9u4Ub2Sq4/edit?usp=sharing"",""มุกดาหาร!J230"")"),0)</f>
        <v>0</v>
      </c>
      <c r="BW40" s="98">
        <f t="shared" ca="1" si="122"/>
        <v>0</v>
      </c>
      <c r="BX40" s="97">
        <f ca="1">IFERROR(__xludf.DUMMYFUNCTION("IMPORTRANGE(""https://docs.google.com/spreadsheets/d/1uB74YLqNjWX6FObjekfB2NtSYigTQyR2rq9u4Ub2Sq4/edit?usp=sharing"",""มุกดาหาร!L233"")"),0)</f>
        <v>0</v>
      </c>
      <c r="BY40" s="97">
        <f ca="1">IFERROR(__xludf.DUMMYFUNCTION("IMPORTRANGE(""https://docs.google.com/spreadsheets/d/1uB74YLqNjWX6FObjekfB2NtSYigTQyR2rq9u4Ub2Sq4/edit?usp=sharing"",""มุกดาหาร!N233"")"),0)</f>
        <v>0</v>
      </c>
      <c r="BZ40" s="98">
        <f t="shared" ca="1" si="124"/>
        <v>0</v>
      </c>
      <c r="CA40" s="97">
        <f ca="1">IFERROR(__xludf.DUMMYFUNCTION("IMPORTRANGE(""https://docs.google.com/spreadsheets/d/1uB74YLqNjWX6FObjekfB2NtSYigTQyR2rq9u4Ub2Sq4/edit?usp=sharing"",""มุกดาหาร!L234"")"),0)</f>
        <v>0</v>
      </c>
      <c r="CB40" s="97">
        <f ca="1">IFERROR(__xludf.DUMMYFUNCTION("IMPORTRANGE(""https://docs.google.com/spreadsheets/d/1uB74YLqNjWX6FObjekfB2NtSYigTQyR2rq9u4Ub2Sq4/edit?usp=sharing"",""มุกดาหาร!N234"")"),0)</f>
        <v>0</v>
      </c>
      <c r="CC40" s="98">
        <f t="shared" ca="1" si="126"/>
        <v>0</v>
      </c>
      <c r="CD40" s="97">
        <f ca="1">IFERROR(__xludf.DUMMYFUNCTION("IMPORTRANGE(""https://docs.google.com/spreadsheets/d/1uB74YLqNjWX6FObjekfB2NtSYigTQyR2rq9u4Ub2Sq4/edit?usp=sharing"",""มุกดาหาร!L235"")"),0)</f>
        <v>0</v>
      </c>
      <c r="CE40" s="97">
        <f ca="1">IFERROR(__xludf.DUMMYFUNCTION("IMPORTRANGE(""https://docs.google.com/spreadsheets/d/1uB74YLqNjWX6FObjekfB2NtSYigTQyR2rq9u4Ub2Sq4/edit?usp=sharing"",""มุกดาหาร!N235"")"),0)</f>
        <v>0</v>
      </c>
      <c r="CF40" s="98">
        <f t="shared" ca="1" si="128"/>
        <v>0</v>
      </c>
      <c r="CG40" s="97">
        <f ca="1">IFERROR(__xludf.DUMMYFUNCTION("IMPORTRANGE(""https://docs.google.com/spreadsheets/d/1uB74YLqNjWX6FObjekfB2NtSYigTQyR2rq9u4Ub2Sq4/edit?usp=sharing"",""มุกดาหาร!L236"")"),0)</f>
        <v>0</v>
      </c>
      <c r="CH40" s="97">
        <f ca="1">IFERROR(__xludf.DUMMYFUNCTION("IMPORTRANGE(""https://docs.google.com/spreadsheets/d/1uB74YLqNjWX6FObjekfB2NtSYigTQyR2rq9u4Ub2Sq4/edit?usp=sharing"",""มุกดาหาร!N236"")"),0)</f>
        <v>0</v>
      </c>
      <c r="CI40" s="98">
        <f t="shared" ca="1" si="130"/>
        <v>0</v>
      </c>
      <c r="CJ40" s="97">
        <f ca="1">IFERROR(__xludf.DUMMYFUNCTION("IMPORTRANGE(""https://docs.google.com/spreadsheets/d/1uB74YLqNjWX6FObjekfB2NtSYigTQyR2rq9u4Ub2Sq4/edit?usp=sharing"",""มุกดาหาร!I238"")"),0)</f>
        <v>0</v>
      </c>
      <c r="CK40" s="97">
        <f ca="1">IFERROR(__xludf.DUMMYFUNCTION("IMPORTRANGE(""https://docs.google.com/spreadsheets/d/1uB74YLqNjWX6FObjekfB2NtSYigTQyR2rq9u4Ub2Sq4/edit?usp=sharing"",""มุกดาหาร!J238"")"),0)</f>
        <v>0</v>
      </c>
      <c r="CL40" s="98">
        <f t="shared" ca="1" si="132"/>
        <v>0</v>
      </c>
      <c r="CM40" s="97">
        <f ca="1">IFERROR(__xludf.DUMMYFUNCTION("IMPORTRANGE(""https://docs.google.com/spreadsheets/d/1uB74YLqNjWX6FObjekfB2NtSYigTQyR2rq9u4Ub2Sq4/edit?usp=sharing"",""มุกดาหาร!J240"")"),0)</f>
        <v>0</v>
      </c>
      <c r="CN40" s="97">
        <f ca="1">IFERROR(__xludf.DUMMYFUNCTION("IMPORTRANGE(""https://docs.google.com/spreadsheets/d/1uB74YLqNjWX6FObjekfB2NtSYigTQyR2rq9u4Ub2Sq4/edit?usp=sharing"",""มุกดาหาร!J241"")"),0)</f>
        <v>0</v>
      </c>
    </row>
    <row r="41" spans="1:92" ht="21" customHeight="1" x14ac:dyDescent="0.3">
      <c r="A41" s="89">
        <v>10</v>
      </c>
      <c r="B41" s="90" t="s">
        <v>67</v>
      </c>
      <c r="C41" s="174">
        <f t="shared" ca="1" si="80"/>
        <v>52500</v>
      </c>
      <c r="D41" s="175">
        <f t="shared" ca="1" si="159"/>
        <v>52500</v>
      </c>
      <c r="E41" s="176">
        <f ca="1">IFERROR(__xludf.DUMMYFUNCTION("IMPORTRANGE(""https://docs.google.com/spreadsheets/d/1-uDff_7J0KD5mKrp0Vvzr7lt3OU09vwQwhkpOPPYv2Y/edit?usp=sharing"",""งบพรบ!CV41"")"),0)</f>
        <v>0</v>
      </c>
      <c r="F41" s="176">
        <f ca="1">IFERROR(__xludf.DUMMYFUNCTION("IMPORTRANGE(""https://docs.google.com/spreadsheets/d/1-uDff_7J0KD5mKrp0Vvzr7lt3OU09vwQwhkpOPPYv2Y/edit?usp=sharing"",""งบพรบ!CW41"")"),52500)</f>
        <v>52500</v>
      </c>
      <c r="G41" s="176">
        <f ca="1">IFERROR(__xludf.DUMMYFUNCTION("IMPORTRANGE(""https://docs.google.com/spreadsheets/d/1-uDff_7J0KD5mKrp0Vvzr7lt3OU09vwQwhkpOPPYv2Y/edit?usp=sharing"",""งบพรบ!CX41"")"),0)</f>
        <v>0</v>
      </c>
      <c r="H41" s="176">
        <f ca="1">IFERROR(__xludf.DUMMYFUNCTION("IMPORTRANGE(""https://docs.google.com/spreadsheets/d/1-uDff_7J0KD5mKrp0Vvzr7lt3OU09vwQwhkpOPPYv2Y/edit?usp=sharing"",""งบพรบ!CZ41"")"),52500)</f>
        <v>52500</v>
      </c>
      <c r="I41" s="176">
        <f ca="1">IFERROR(__xludf.DUMMYFUNCTION("IMPORTRANGE(""https://docs.google.com/spreadsheets/d/1-uDff_7J0KD5mKrp0Vvzr7lt3OU09vwQwhkpOPPYv2Y/edit?usp=sharing"",""งบพรบ!DA41"")"),0)</f>
        <v>0</v>
      </c>
      <c r="J41" s="176">
        <f t="shared" ca="1" si="82"/>
        <v>0</v>
      </c>
      <c r="K41" s="179">
        <f t="shared" ca="1" si="83"/>
        <v>0</v>
      </c>
      <c r="L41" s="176">
        <f ca="1">IFERROR(__xludf.DUMMYFUNCTION("IMPORTRANGE(""https://docs.google.com/spreadsheets/d/1-uDff_7J0KD5mKrp0Vvzr7lt3OU09vwQwhkpOPPYv2Y/edit?usp=sharing"",""งบพรบ!DB41"")"),0)</f>
        <v>0</v>
      </c>
      <c r="M41" s="87">
        <f t="shared" ca="1" si="84"/>
        <v>0</v>
      </c>
      <c r="N41" s="87">
        <f t="shared" ca="1" si="85"/>
        <v>0</v>
      </c>
      <c r="O41" s="86">
        <f ca="1">IFERROR(__xludf.DUMMYFUNCTION("IMPORTRANGE(""https://docs.google.com/spreadsheets/d/1-uDff_7J0KD5mKrp0Vvzr7lt3OU09vwQwhkpOPPYv2Y/edit?usp=sharing"",""งบพรบ!DC41"")"),0)</f>
        <v>0</v>
      </c>
      <c r="P41" s="86">
        <f t="shared" ca="1" si="86"/>
        <v>0</v>
      </c>
      <c r="Q41" s="87">
        <f t="shared" ca="1" si="87"/>
        <v>0</v>
      </c>
      <c r="R41" s="241">
        <f ca="1">IFERROR(__xludf.DUMMYFUNCTION("IMPORTRANGE(""https://docs.google.com/spreadsheets/d/1NexK3geCPxCTO1fzNF8dPec7yZyUx3OaWkFBC9HsQOo/edit?usp=sharing"",""ยโสธร!Q186"")"),91700)</f>
        <v>91700</v>
      </c>
      <c r="S41" s="242">
        <f ca="1">IFERROR(__xludf.DUMMYFUNCTION("IMPORTRANGE(""https://docs.google.com/spreadsheets/d/1NexK3geCPxCTO1fzNF8dPec7yZyUx3OaWkFBC9HsQOo/edit?usp=sharing"",""ยโสธร!R186"")"),0)</f>
        <v>0</v>
      </c>
      <c r="T41" s="242">
        <f ca="1">IFERROR(__xludf.DUMMYFUNCTION("IMPORTRANGE(""https://docs.google.com/spreadsheets/d/1NexK3geCPxCTO1fzNF8dPec7yZyUx3OaWkFBC9HsQOo/edit?usp=sharing"",""ยโสธร!S186"")"),0)</f>
        <v>0</v>
      </c>
      <c r="U41" s="243">
        <f t="shared" ca="1" si="89"/>
        <v>0</v>
      </c>
      <c r="V41" s="243">
        <f t="shared" ca="1" si="90"/>
        <v>0</v>
      </c>
      <c r="W41" s="97">
        <f ca="1">IFERROR(__xludf.DUMMYFUNCTION("IMPORTRANGE(""https://docs.google.com/spreadsheets/d/1NexK3geCPxCTO1fzNF8dPec7yZyUx3OaWkFBC9HsQOo/edit?usp=sharing"",""ยโสธร!L196"")"),6000)</f>
        <v>6000</v>
      </c>
      <c r="X41" s="97">
        <f ca="1">IFERROR(__xludf.DUMMYFUNCTION("IMPORTRANGE(""https://docs.google.com/spreadsheets/d/1NexK3geCPxCTO1fzNF8dPec7yZyUx3OaWkFBC9HsQOo/edit?usp=sharing"",""ยโสธร!N196"")"),0)</f>
        <v>0</v>
      </c>
      <c r="Y41" s="98">
        <f t="shared" ca="1" si="92"/>
        <v>0</v>
      </c>
      <c r="Z41" s="97">
        <f ca="1">IFERROR(__xludf.DUMMYFUNCTION("IMPORTRANGE(""https://docs.google.com/spreadsheets/d/1NexK3geCPxCTO1fzNF8dPec7yZyUx3OaWkFBC9HsQOo/edit?usp=sharing"",""ยโสธร!I198"")"),4)</f>
        <v>4</v>
      </c>
      <c r="AA41" s="97">
        <f ca="1">IFERROR(__xludf.DUMMYFUNCTION("IMPORTRANGE(""https://docs.google.com/spreadsheets/d/1NexK3geCPxCTO1fzNF8dPec7yZyUx3OaWkFBC9HsQOo/edit?usp=sharing"",""ยโสธร!J198"")"),0)</f>
        <v>0</v>
      </c>
      <c r="AB41" s="98">
        <f t="shared" ca="1" si="94"/>
        <v>0</v>
      </c>
      <c r="AC41" s="97">
        <f ca="1">IFERROR(__xludf.DUMMYFUNCTION("IMPORTRANGE(""https://docs.google.com/spreadsheets/d/1NexK3geCPxCTO1fzNF8dPec7yZyUx3OaWkFBC9HsQOo/edit?usp=sharing"",""ยโสธร!J199"")"),0)</f>
        <v>0</v>
      </c>
      <c r="AD41" s="97">
        <f ca="1">IFERROR(__xludf.DUMMYFUNCTION("IMPORTRANGE(""https://docs.google.com/spreadsheets/d/1NexK3geCPxCTO1fzNF8dPec7yZyUx3OaWkFBC9HsQOo/edit?usp=sharing"",""ยโสธร!J200"")"),0)</f>
        <v>0</v>
      </c>
      <c r="AE41" s="97">
        <f ca="1">IFERROR(__xludf.DUMMYFUNCTION("IMPORTRANGE(""https://docs.google.com/spreadsheets/d/1NexK3geCPxCTO1fzNF8dPec7yZyUx3OaWkFBC9HsQOo/edit?usp=sharing"",""ยโสธร!J201"")"),0)</f>
        <v>0</v>
      </c>
      <c r="AF41" s="97">
        <f ca="1">IFERROR(__xludf.DUMMYFUNCTION("IMPORTRANGE(""https://docs.google.com/spreadsheets/d/1NexK3geCPxCTO1fzNF8dPec7yZyUx3OaWkFBC9HsQOo/edit?usp=sharing"",""ยโสธร!L204"")"),2000)</f>
        <v>2000</v>
      </c>
      <c r="AG41" s="97">
        <f ca="1">IFERROR(__xludf.DUMMYFUNCTION("IMPORTRANGE(""https://docs.google.com/spreadsheets/d/1NexK3geCPxCTO1fzNF8dPec7yZyUx3OaWkFBC9HsQOo/edit?usp=sharing"",""ยโสธร!N204"")"),0)</f>
        <v>0</v>
      </c>
      <c r="AH41" s="98">
        <f t="shared" ca="1" si="96"/>
        <v>0</v>
      </c>
      <c r="AI41" s="97">
        <f ca="1">IFERROR(__xludf.DUMMYFUNCTION("IMPORTRANGE(""https://docs.google.com/spreadsheets/d/1NexK3geCPxCTO1fzNF8dPec7yZyUx3OaWkFBC9HsQOo/edit?usp=sharing"",""ยโสธร!L206"")"),16000)</f>
        <v>16000</v>
      </c>
      <c r="AJ41" s="97">
        <f ca="1">IFERROR(__xludf.DUMMYFUNCTION("IMPORTRANGE(""https://docs.google.com/spreadsheets/d/1NexK3geCPxCTO1fzNF8dPec7yZyUx3OaWkFBC9HsQOo/edit?usp=sharing"",""ยโสธร!N206"")"),0)</f>
        <v>0</v>
      </c>
      <c r="AK41" s="98">
        <f t="shared" ca="1" si="98"/>
        <v>0</v>
      </c>
      <c r="AL41" s="97">
        <f ca="1">IFERROR(__xludf.DUMMYFUNCTION("IMPORTRANGE(""https://docs.google.com/spreadsheets/d/1NexK3geCPxCTO1fzNF8dPec7yZyUx3OaWkFBC9HsQOo/edit?usp=sharing"",""ยโสธร!L207"")"),8000)</f>
        <v>8000</v>
      </c>
      <c r="AM41" s="97">
        <f ca="1">IFERROR(__xludf.DUMMYFUNCTION("IMPORTRANGE(""https://docs.google.com/spreadsheets/d/1NexK3geCPxCTO1fzNF8dPec7yZyUx3OaWkFBC9HsQOo/edit?usp=sharing"",""ยโสธร!N207"")"),0)</f>
        <v>0</v>
      </c>
      <c r="AN41" s="98">
        <f t="shared" ca="1" si="100"/>
        <v>0</v>
      </c>
      <c r="AO41" s="97">
        <f ca="1">IFERROR(__xludf.DUMMYFUNCTION("IMPORTRANGE(""https://docs.google.com/spreadsheets/d/1NexK3geCPxCTO1fzNF8dPec7yZyUx3OaWkFBC9HsQOo/edit?usp=sharing"",""ยโสธร!I209"")"),2)</f>
        <v>2</v>
      </c>
      <c r="AP41" s="97">
        <f ca="1">IFERROR(__xludf.DUMMYFUNCTION("IMPORTRANGE(""https://docs.google.com/spreadsheets/d/1NexK3geCPxCTO1fzNF8dPec7yZyUx3OaWkFBC9HsQOo/edit?usp=sharing"",""ยโสธร!J209"")"),0)</f>
        <v>0</v>
      </c>
      <c r="AQ41" s="98">
        <f t="shared" ca="1" si="102"/>
        <v>0</v>
      </c>
      <c r="AR41" s="97">
        <f ca="1">IFERROR(__xludf.DUMMYFUNCTION("IMPORTRANGE(""https://docs.google.com/spreadsheets/d/1NexK3geCPxCTO1fzNF8dPec7yZyUx3OaWkFBC9HsQOo/edit?usp=sharing"",""ยโสธร!J211"")"),0)</f>
        <v>0</v>
      </c>
      <c r="AS41" s="97">
        <f ca="1">IFERROR(__xludf.DUMMYFUNCTION("IMPORTRANGE(""https://docs.google.com/spreadsheets/d/1NexK3geCPxCTO1fzNF8dPec7yZyUx3OaWkFBC9HsQOo/edit?usp=sharing"",""ยโสธร!J212"")"),0)</f>
        <v>0</v>
      </c>
      <c r="AT41" s="97">
        <f ca="1">IFERROR(__xludf.DUMMYFUNCTION("IMPORTRANGE(""https://docs.google.com/spreadsheets/d/1NexK3geCPxCTO1fzNF8dPec7yZyUx3OaWkFBC9HsQOo/edit?usp=sharing"",""ยโสธร!L215"")"),1000)</f>
        <v>1000</v>
      </c>
      <c r="AU41" s="97">
        <f ca="1">IFERROR(__xludf.DUMMYFUNCTION("IMPORTRANGE(""https://docs.google.com/spreadsheets/d/1NexK3geCPxCTO1fzNF8dPec7yZyUx3OaWkFBC9HsQOo/edit?usp=sharing"",""ยโสธร!N215"")"),0)</f>
        <v>0</v>
      </c>
      <c r="AV41" s="98">
        <f t="shared" ca="1" si="104"/>
        <v>0</v>
      </c>
      <c r="AW41" s="97">
        <f ca="1">IFERROR(__xludf.DUMMYFUNCTION("IMPORTRANGE(""https://docs.google.com/spreadsheets/d/1NexK3geCPxCTO1fzNF8dPec7yZyUx3OaWkFBC9HsQOo/edit?usp=sharing"",""ยโสธร!L216"")"),5000)</f>
        <v>5000</v>
      </c>
      <c r="AX41" s="97">
        <f ca="1">IFERROR(__xludf.DUMMYFUNCTION("IMPORTRANGE(""https://docs.google.com/spreadsheets/d/1NexK3geCPxCTO1fzNF8dPec7yZyUx3OaWkFBC9HsQOo/edit?usp=sharing"",""ยโสธร!N216"")"),0)</f>
        <v>0</v>
      </c>
      <c r="AY41" s="98">
        <f t="shared" ca="1" si="106"/>
        <v>0</v>
      </c>
      <c r="AZ41" s="97">
        <f ca="1">IFERROR(__xludf.DUMMYFUNCTION("IMPORTRANGE(""https://docs.google.com/spreadsheets/d/1NexK3geCPxCTO1fzNF8dPec7yZyUx3OaWkFBC9HsQOo/edit?usp=sharing"",""ยโสธร!L217"")"),8000)</f>
        <v>8000</v>
      </c>
      <c r="BA41" s="97">
        <f ca="1">IFERROR(__xludf.DUMMYFUNCTION("IMPORTRANGE(""https://docs.google.com/spreadsheets/d/1NexK3geCPxCTO1fzNF8dPec7yZyUx3OaWkFBC9HsQOo/edit?usp=sharing"",""ยโสธร!N217"")"),0)</f>
        <v>0</v>
      </c>
      <c r="BB41" s="98">
        <f t="shared" ca="1" si="108"/>
        <v>0</v>
      </c>
      <c r="BC41" s="97">
        <f ca="1">IFERROR(__xludf.DUMMYFUNCTION("IMPORTRANGE(""https://docs.google.com/spreadsheets/d/1NexK3geCPxCTO1fzNF8dPec7yZyUx3OaWkFBC9HsQOo/edit?usp=sharing"",""ยโสธร!I219"")"),1)</f>
        <v>1</v>
      </c>
      <c r="BD41" s="97">
        <f ca="1">IFERROR(__xludf.DUMMYFUNCTION("IMPORTRANGE(""https://docs.google.com/spreadsheets/d/1NexK3geCPxCTO1fzNF8dPec7yZyUx3OaWkFBC9HsQOo/edit?usp=sharing"",""ยโสธร!J219"")"),0)</f>
        <v>0</v>
      </c>
      <c r="BE41" s="98">
        <f t="shared" ca="1" si="110"/>
        <v>0</v>
      </c>
      <c r="BF41" s="97">
        <f ca="1">IFERROR(__xludf.DUMMYFUNCTION("IMPORTRANGE(""https://docs.google.com/spreadsheets/d/1NexK3geCPxCTO1fzNF8dPec7yZyUx3OaWkFBC9HsQOo/edit?usp=sharing"",""ยโสธร!I220"")"),1)</f>
        <v>1</v>
      </c>
      <c r="BG41" s="97">
        <f ca="1">IFERROR(__xludf.DUMMYFUNCTION("IMPORTRANGE(""https://docs.google.com/spreadsheets/d/1NexK3geCPxCTO1fzNF8dPec7yZyUx3OaWkFBC9HsQOo/edit?usp=sharing"",""ยโสธร!J220"")"),0)</f>
        <v>0</v>
      </c>
      <c r="BH41" s="98">
        <f t="shared" ca="1" si="112"/>
        <v>0</v>
      </c>
      <c r="BI41" s="97">
        <f ca="1">IFERROR(__xludf.DUMMYFUNCTION("IMPORTRANGE(""https://docs.google.com/spreadsheets/d/1NexK3geCPxCTO1fzNF8dPec7yZyUx3OaWkFBC9HsQOo/edit?usp=sharing"",""ยโสธร!L223"")"),5000)</f>
        <v>5000</v>
      </c>
      <c r="BJ41" s="97">
        <f ca="1">IFERROR(__xludf.DUMMYFUNCTION("IMPORTRANGE(""https://docs.google.com/spreadsheets/d/1NexK3geCPxCTO1fzNF8dPec7yZyUx3OaWkFBC9HsQOo/edit?usp=sharing"",""ยโสธร!N223"")"),0)</f>
        <v>0</v>
      </c>
      <c r="BK41" s="98">
        <f t="shared" ca="1" si="114"/>
        <v>0</v>
      </c>
      <c r="BL41" s="97">
        <f ca="1">IFERROR(__xludf.DUMMYFUNCTION("IMPORTRANGE(""https://docs.google.com/spreadsheets/d/1NexK3geCPxCTO1fzNF8dPec7yZyUx3OaWkFBC9HsQOo/edit?usp=sharing"",""ยโสธร!L224"")"),1500)</f>
        <v>1500</v>
      </c>
      <c r="BM41" s="97">
        <f ca="1">IFERROR(__xludf.DUMMYFUNCTION("IMPORTRANGE(""https://docs.google.com/spreadsheets/d/1NexK3geCPxCTO1fzNF8dPec7yZyUx3OaWkFBC9HsQOo/edit?usp=sharing"",""ยโสธร!N224"")"),0)</f>
        <v>0</v>
      </c>
      <c r="BN41" s="98">
        <f t="shared" ca="1" si="116"/>
        <v>0</v>
      </c>
      <c r="BO41" s="97">
        <f ca="1">IFERROR(__xludf.DUMMYFUNCTION("IMPORTRANGE(""https://docs.google.com/spreadsheets/d/1NexK3geCPxCTO1fzNF8dPec7yZyUx3OaWkFBC9HsQOo/edit?usp=sharing"",""ยโสธร!I228"")"),30000)</f>
        <v>30000</v>
      </c>
      <c r="BP41" s="97">
        <f ca="1">IFERROR(__xludf.DUMMYFUNCTION("IMPORTRANGE(""https://docs.google.com/spreadsheets/d/1NexK3geCPxCTO1fzNF8dPec7yZyUx3OaWkFBC9HsQOo/edit?usp=sharing"",""ยโสธร!J228"")"),0)</f>
        <v>0</v>
      </c>
      <c r="BQ41" s="98">
        <f t="shared" ca="1" si="118"/>
        <v>0</v>
      </c>
      <c r="BR41" s="97">
        <f ca="1">IFERROR(__xludf.DUMMYFUNCTION("IMPORTRANGE(""https://docs.google.com/spreadsheets/d/1NexK3geCPxCTO1fzNF8dPec7yZyUx3OaWkFBC9HsQOo/edit?usp=sharing"",""ยโสธร!I229"")"),30000)</f>
        <v>30000</v>
      </c>
      <c r="BS41" s="97">
        <f ca="1">IFERROR(__xludf.DUMMYFUNCTION("IMPORTRANGE(""https://docs.google.com/spreadsheets/d/1NexK3geCPxCTO1fzNF8dPec7yZyUx3OaWkFBC9HsQOo/edit?usp=sharing"",""ยโสธร!J229"")"),0)</f>
        <v>0</v>
      </c>
      <c r="BT41" s="98">
        <f t="shared" ca="1" si="120"/>
        <v>0</v>
      </c>
      <c r="BU41" s="97">
        <f ca="1">IFERROR(__xludf.DUMMYFUNCTION("IMPORTRANGE(""https://docs.google.com/spreadsheets/d/1NexK3geCPxCTO1fzNF8dPec7yZyUx3OaWkFBC9HsQOo/edit?usp=sharing"",""ยโสธร!I230"")"),0)</f>
        <v>0</v>
      </c>
      <c r="BV41" s="97">
        <f ca="1">IFERROR(__xludf.DUMMYFUNCTION("IMPORTRANGE(""https://docs.google.com/spreadsheets/d/1NexK3geCPxCTO1fzNF8dPec7yZyUx3OaWkFBC9HsQOo/edit?usp=sharing"",""ยโสธร!J230"")"),0)</f>
        <v>0</v>
      </c>
      <c r="BW41" s="98">
        <f t="shared" ca="1" si="122"/>
        <v>0</v>
      </c>
      <c r="BX41" s="97">
        <f ca="1">IFERROR(__xludf.DUMMYFUNCTION("IMPORTRANGE(""https://docs.google.com/spreadsheets/d/1NexK3geCPxCTO1fzNF8dPec7yZyUx3OaWkFBC9HsQOo/edit?usp=sharing"",""ยโสธร!L233"")"),0)</f>
        <v>0</v>
      </c>
      <c r="BY41" s="97">
        <f ca="1">IFERROR(__xludf.DUMMYFUNCTION("IMPORTRANGE(""https://docs.google.com/spreadsheets/d/1NexK3geCPxCTO1fzNF8dPec7yZyUx3OaWkFBC9HsQOo/edit?usp=sharing"",""ยโสธร!N233"")"),0)</f>
        <v>0</v>
      </c>
      <c r="BZ41" s="98">
        <f t="shared" ca="1" si="124"/>
        <v>0</v>
      </c>
      <c r="CA41" s="97">
        <f ca="1">IFERROR(__xludf.DUMMYFUNCTION("IMPORTRANGE(""https://docs.google.com/spreadsheets/d/1NexK3geCPxCTO1fzNF8dPec7yZyUx3OaWkFBC9HsQOo/edit?usp=sharing"",""ยโสธร!L234"")"),0)</f>
        <v>0</v>
      </c>
      <c r="CB41" s="97">
        <f ca="1">IFERROR(__xludf.DUMMYFUNCTION("IMPORTRANGE(""https://docs.google.com/spreadsheets/d/1NexK3geCPxCTO1fzNF8dPec7yZyUx3OaWkFBC9HsQOo/edit?usp=sharing"",""ยโสธร!N234"")"),0)</f>
        <v>0</v>
      </c>
      <c r="CC41" s="98">
        <f t="shared" ca="1" si="126"/>
        <v>0</v>
      </c>
      <c r="CD41" s="97">
        <f ca="1">IFERROR(__xludf.DUMMYFUNCTION("IMPORTRANGE(""https://docs.google.com/spreadsheets/d/1NexK3geCPxCTO1fzNF8dPec7yZyUx3OaWkFBC9HsQOo/edit?usp=sharing"",""ยโสธร!L235"")"),0)</f>
        <v>0</v>
      </c>
      <c r="CE41" s="97">
        <f ca="1">IFERROR(__xludf.DUMMYFUNCTION("IMPORTRANGE(""https://docs.google.com/spreadsheets/d/1NexK3geCPxCTO1fzNF8dPec7yZyUx3OaWkFBC9HsQOo/edit?usp=sharing"",""ยโสธร!N235"")"),0)</f>
        <v>0</v>
      </c>
      <c r="CF41" s="98">
        <f t="shared" ca="1" si="128"/>
        <v>0</v>
      </c>
      <c r="CG41" s="97">
        <f ca="1">IFERROR(__xludf.DUMMYFUNCTION("IMPORTRANGE(""https://docs.google.com/spreadsheets/d/1NexK3geCPxCTO1fzNF8dPec7yZyUx3OaWkFBC9HsQOo/edit?usp=sharing"",""ยโสธร!L236"")"),0)</f>
        <v>0</v>
      </c>
      <c r="CH41" s="97">
        <f ca="1">IFERROR(__xludf.DUMMYFUNCTION("IMPORTRANGE(""https://docs.google.com/spreadsheets/d/1NexK3geCPxCTO1fzNF8dPec7yZyUx3OaWkFBC9HsQOo/edit?usp=sharing"",""ยโสธร!N236"")"),0)</f>
        <v>0</v>
      </c>
      <c r="CI41" s="98">
        <f t="shared" ca="1" si="130"/>
        <v>0</v>
      </c>
      <c r="CJ41" s="97">
        <f ca="1">IFERROR(__xludf.DUMMYFUNCTION("IMPORTRANGE(""https://docs.google.com/spreadsheets/d/1NexK3geCPxCTO1fzNF8dPec7yZyUx3OaWkFBC9HsQOo/edit?usp=sharing"",""ยโสธร!I238"")"),0)</f>
        <v>0</v>
      </c>
      <c r="CK41" s="97">
        <f ca="1">IFERROR(__xludf.DUMMYFUNCTION("IMPORTRANGE(""https://docs.google.com/spreadsheets/d/1NexK3geCPxCTO1fzNF8dPec7yZyUx3OaWkFBC9HsQOo/edit?usp=sharing"",""ยโสธร!J238"")"),0)</f>
        <v>0</v>
      </c>
      <c r="CL41" s="98">
        <f t="shared" ca="1" si="132"/>
        <v>0</v>
      </c>
      <c r="CM41" s="97">
        <f ca="1">IFERROR(__xludf.DUMMYFUNCTION("IMPORTRANGE(""https://docs.google.com/spreadsheets/d/1NexK3geCPxCTO1fzNF8dPec7yZyUx3OaWkFBC9HsQOo/edit?usp=sharing"",""ยโสธร!J240"")"),0)</f>
        <v>0</v>
      </c>
      <c r="CN41" s="97">
        <f ca="1">IFERROR(__xludf.DUMMYFUNCTION("IMPORTRANGE(""https://docs.google.com/spreadsheets/d/1NexK3geCPxCTO1fzNF8dPec7yZyUx3OaWkFBC9HsQOo/edit?usp=sharing"",""ยโสธร!J241"")"),0)</f>
        <v>0</v>
      </c>
    </row>
    <row r="42" spans="1:92" ht="21" customHeight="1" x14ac:dyDescent="0.3">
      <c r="A42" s="89">
        <v>11</v>
      </c>
      <c r="B42" s="90" t="s">
        <v>68</v>
      </c>
      <c r="C42" s="174">
        <f t="shared" ca="1" si="80"/>
        <v>42500</v>
      </c>
      <c r="D42" s="175">
        <f t="shared" ca="1" si="159"/>
        <v>42500</v>
      </c>
      <c r="E42" s="176">
        <f ca="1">IFERROR(__xludf.DUMMYFUNCTION("IMPORTRANGE(""https://docs.google.com/spreadsheets/d/1-uDff_7J0KD5mKrp0Vvzr7lt3OU09vwQwhkpOPPYv2Y/edit?usp=sharing"",""งบพรบ!CV42"")"),0)</f>
        <v>0</v>
      </c>
      <c r="F42" s="176">
        <f ca="1">IFERROR(__xludf.DUMMYFUNCTION("IMPORTRANGE(""https://docs.google.com/spreadsheets/d/1-uDff_7J0KD5mKrp0Vvzr7lt3OU09vwQwhkpOPPYv2Y/edit?usp=sharing"",""งบพรบ!CW42"")"),42500)</f>
        <v>42500</v>
      </c>
      <c r="G42" s="176">
        <f ca="1">IFERROR(__xludf.DUMMYFUNCTION("IMPORTRANGE(""https://docs.google.com/spreadsheets/d/1-uDff_7J0KD5mKrp0Vvzr7lt3OU09vwQwhkpOPPYv2Y/edit?usp=sharing"",""งบพรบ!CX42"")"),0)</f>
        <v>0</v>
      </c>
      <c r="H42" s="176">
        <f ca="1">IFERROR(__xludf.DUMMYFUNCTION("IMPORTRANGE(""https://docs.google.com/spreadsheets/d/1-uDff_7J0KD5mKrp0Vvzr7lt3OU09vwQwhkpOPPYv2Y/edit?usp=sharing"",""งบพรบ!CZ42"")"),42500)</f>
        <v>42500</v>
      </c>
      <c r="I42" s="176">
        <f ca="1">IFERROR(__xludf.DUMMYFUNCTION("IMPORTRANGE(""https://docs.google.com/spreadsheets/d/1-uDff_7J0KD5mKrp0Vvzr7lt3OU09vwQwhkpOPPYv2Y/edit?usp=sharing"",""งบพรบ!DA42"")"),0)</f>
        <v>0</v>
      </c>
      <c r="J42" s="176">
        <f t="shared" ca="1" si="82"/>
        <v>6368</v>
      </c>
      <c r="K42" s="179">
        <f t="shared" ca="1" si="83"/>
        <v>14.983529411764707</v>
      </c>
      <c r="L42" s="176">
        <f ca="1">IFERROR(__xludf.DUMMYFUNCTION("IMPORTRANGE(""https://docs.google.com/spreadsheets/d/1-uDff_7J0KD5mKrp0Vvzr7lt3OU09vwQwhkpOPPYv2Y/edit?usp=sharing"",""งบพรบ!DB42"")"),6368)</f>
        <v>6368</v>
      </c>
      <c r="M42" s="87">
        <f t="shared" ca="1" si="84"/>
        <v>14.983529411764707</v>
      </c>
      <c r="N42" s="87">
        <f t="shared" ca="1" si="85"/>
        <v>14.983529411764707</v>
      </c>
      <c r="O42" s="86">
        <f ca="1">IFERROR(__xludf.DUMMYFUNCTION("IMPORTRANGE(""https://docs.google.com/spreadsheets/d/1-uDff_7J0KD5mKrp0Vvzr7lt3OU09vwQwhkpOPPYv2Y/edit?usp=sharing"",""งบพรบ!DC42"")"),0)</f>
        <v>0</v>
      </c>
      <c r="P42" s="86">
        <f t="shared" ca="1" si="86"/>
        <v>0</v>
      </c>
      <c r="Q42" s="87">
        <f t="shared" ca="1" si="87"/>
        <v>0</v>
      </c>
      <c r="R42" s="241">
        <f ca="1">IFERROR(__xludf.DUMMYFUNCTION("IMPORTRANGE(""https://docs.google.com/spreadsheets/d/1v_cJrbBlyqmnHPReHk44g9NrMRdENNlSy_E_c5M9fIg/edit?usp=sharing"",""ร้อยเอ็ด!Q186"")"),42000)</f>
        <v>42000</v>
      </c>
      <c r="S42" s="242">
        <f ca="1">IFERROR(__xludf.DUMMYFUNCTION("IMPORTRANGE(""https://docs.google.com/spreadsheets/d/1v_cJrbBlyqmnHPReHk44g9NrMRdENNlSy_E_c5M9fIg/edit?usp=sharing"",""ร้อยเอ็ด!R186"")"),0)</f>
        <v>0</v>
      </c>
      <c r="T42" s="242">
        <f ca="1">IFERROR(__xludf.DUMMYFUNCTION("IMPORTRANGE(""https://docs.google.com/spreadsheets/d/1v_cJrbBlyqmnHPReHk44g9NrMRdENNlSy_E_c5M9fIg/edit?usp=sharing"",""ร้อยเอ็ด!S186"")"),0)</f>
        <v>0</v>
      </c>
      <c r="U42" s="243">
        <f t="shared" ca="1" si="89"/>
        <v>0</v>
      </c>
      <c r="V42" s="243">
        <f t="shared" ca="1" si="90"/>
        <v>0</v>
      </c>
      <c r="W42" s="97">
        <f ca="1">IFERROR(__xludf.DUMMYFUNCTION("IMPORTRANGE(""https://docs.google.com/spreadsheets/d/1v_cJrbBlyqmnHPReHk44g9NrMRdENNlSy_E_c5M9fIg/edit?usp=sharing"",""ร้อยเอ็ด!L196"")"),6000)</f>
        <v>6000</v>
      </c>
      <c r="X42" s="97">
        <f ca="1">IFERROR(__xludf.DUMMYFUNCTION("IMPORTRANGE(""https://docs.google.com/spreadsheets/d/1v_cJrbBlyqmnHPReHk44g9NrMRdENNlSy_E_c5M9fIg/edit?usp=sharing"",""ร้อยเอ็ด!N196"")"),0)</f>
        <v>0</v>
      </c>
      <c r="Y42" s="98">
        <f t="shared" ca="1" si="92"/>
        <v>0</v>
      </c>
      <c r="Z42" s="97">
        <f ca="1">IFERROR(__xludf.DUMMYFUNCTION("IMPORTRANGE(""https://docs.google.com/spreadsheets/d/1v_cJrbBlyqmnHPReHk44g9NrMRdENNlSy_E_c5M9fIg/edit?usp=sharing"",""ร้อยเอ็ด!I198"")"),4)</f>
        <v>4</v>
      </c>
      <c r="AA42" s="97">
        <f ca="1">IFERROR(__xludf.DUMMYFUNCTION("IMPORTRANGE(""https://docs.google.com/spreadsheets/d/1v_cJrbBlyqmnHPReHk44g9NrMRdENNlSy_E_c5M9fIg/edit?usp=sharing"",""ร้อยเอ็ด!J198"")"),1)</f>
        <v>1</v>
      </c>
      <c r="AB42" s="98">
        <f t="shared" ca="1" si="94"/>
        <v>25</v>
      </c>
      <c r="AC42" s="97">
        <f ca="1">IFERROR(__xludf.DUMMYFUNCTION("IMPORTRANGE(""https://docs.google.com/spreadsheets/d/1v_cJrbBlyqmnHPReHk44g9NrMRdENNlSy_E_c5M9fIg/edit?usp=sharing"",""ร้อยเอ็ด!J199"")"),19)</f>
        <v>19</v>
      </c>
      <c r="AD42" s="97">
        <f ca="1">IFERROR(__xludf.DUMMYFUNCTION("IMPORTRANGE(""https://docs.google.com/spreadsheets/d/1v_cJrbBlyqmnHPReHk44g9NrMRdENNlSy_E_c5M9fIg/edit?usp=sharing"",""ร้อยเอ็ด!J200"")"),19)</f>
        <v>19</v>
      </c>
      <c r="AE42" s="97">
        <f ca="1">IFERROR(__xludf.DUMMYFUNCTION("IMPORTRANGE(""https://docs.google.com/spreadsheets/d/1v_cJrbBlyqmnHPReHk44g9NrMRdENNlSy_E_c5M9fIg/edit?usp=sharing"",""ร้อยเอ็ด!J201"")"),0)</f>
        <v>0</v>
      </c>
      <c r="AF42" s="97">
        <f ca="1">IFERROR(__xludf.DUMMYFUNCTION("IMPORTRANGE(""https://docs.google.com/spreadsheets/d/1v_cJrbBlyqmnHPReHk44g9NrMRdENNlSy_E_c5M9fIg/edit?usp=sharing"",""ร้อยเอ็ด!L204"")"),2000)</f>
        <v>2000</v>
      </c>
      <c r="AG42" s="97">
        <f ca="1">IFERROR(__xludf.DUMMYFUNCTION("IMPORTRANGE(""https://docs.google.com/spreadsheets/d/1v_cJrbBlyqmnHPReHk44g9NrMRdENNlSy_E_c5M9fIg/edit?usp=sharing"",""ร้อยเอ็ด!N204"")"),0)</f>
        <v>0</v>
      </c>
      <c r="AH42" s="98">
        <f t="shared" ca="1" si="96"/>
        <v>0</v>
      </c>
      <c r="AI42" s="97">
        <f ca="1">IFERROR(__xludf.DUMMYFUNCTION("IMPORTRANGE(""https://docs.google.com/spreadsheets/d/1v_cJrbBlyqmnHPReHk44g9NrMRdENNlSy_E_c5M9fIg/edit?usp=sharing"",""ร้อยเอ็ด!L206"")"),16000)</f>
        <v>16000</v>
      </c>
      <c r="AJ42" s="97">
        <f ca="1">IFERROR(__xludf.DUMMYFUNCTION("IMPORTRANGE(""https://docs.google.com/spreadsheets/d/1v_cJrbBlyqmnHPReHk44g9NrMRdENNlSy_E_c5M9fIg/edit?usp=sharing"",""ร้อยเอ็ด!N206"")"),0)</f>
        <v>0</v>
      </c>
      <c r="AK42" s="98">
        <f t="shared" ca="1" si="98"/>
        <v>0</v>
      </c>
      <c r="AL42" s="97">
        <f ca="1">IFERROR(__xludf.DUMMYFUNCTION("IMPORTRANGE(""https://docs.google.com/spreadsheets/d/1v_cJrbBlyqmnHPReHk44g9NrMRdENNlSy_E_c5M9fIg/edit?usp=sharing"",""ร้อยเอ็ด!L207"")"),8000)</f>
        <v>8000</v>
      </c>
      <c r="AM42" s="97">
        <f ca="1">IFERROR(__xludf.DUMMYFUNCTION("IMPORTRANGE(""https://docs.google.com/spreadsheets/d/1v_cJrbBlyqmnHPReHk44g9NrMRdENNlSy_E_c5M9fIg/edit?usp=sharing"",""ร้อยเอ็ด!N207"")"),0)</f>
        <v>0</v>
      </c>
      <c r="AN42" s="98">
        <f t="shared" ca="1" si="100"/>
        <v>0</v>
      </c>
      <c r="AO42" s="97">
        <f ca="1">IFERROR(__xludf.DUMMYFUNCTION("IMPORTRANGE(""https://docs.google.com/spreadsheets/d/1v_cJrbBlyqmnHPReHk44g9NrMRdENNlSy_E_c5M9fIg/edit?usp=sharing"",""ร้อยเอ็ด!I209"")"),2)</f>
        <v>2</v>
      </c>
      <c r="AP42" s="97">
        <f ca="1">IFERROR(__xludf.DUMMYFUNCTION("IMPORTRANGE(""https://docs.google.com/spreadsheets/d/1v_cJrbBlyqmnHPReHk44g9NrMRdENNlSy_E_c5M9fIg/edit?usp=sharing"",""ร้อยเอ็ด!J209"")"),0)</f>
        <v>0</v>
      </c>
      <c r="AQ42" s="98">
        <f t="shared" ca="1" si="102"/>
        <v>0</v>
      </c>
      <c r="AR42" s="97">
        <f ca="1">IFERROR(__xludf.DUMMYFUNCTION("IMPORTRANGE(""https://docs.google.com/spreadsheets/d/1v_cJrbBlyqmnHPReHk44g9NrMRdENNlSy_E_c5M9fIg/edit?usp=sharing"",""ร้อยเอ็ด!J211"")"),0)</f>
        <v>0</v>
      </c>
      <c r="AS42" s="97">
        <f ca="1">IFERROR(__xludf.DUMMYFUNCTION("IMPORTRANGE(""https://docs.google.com/spreadsheets/d/1v_cJrbBlyqmnHPReHk44g9NrMRdENNlSy_E_c5M9fIg/edit?usp=sharing"",""ร้อยเอ็ด!J212"")"),0)</f>
        <v>0</v>
      </c>
      <c r="AT42" s="97">
        <f ca="1">IFERROR(__xludf.DUMMYFUNCTION("IMPORTRANGE(""https://docs.google.com/spreadsheets/d/1v_cJrbBlyqmnHPReHk44g9NrMRdENNlSy_E_c5M9fIg/edit?usp=sharing"",""ร้อยเอ็ด!L215"")"),0)</f>
        <v>0</v>
      </c>
      <c r="AU42" s="97">
        <f ca="1">IFERROR(__xludf.DUMMYFUNCTION("IMPORTRANGE(""https://docs.google.com/spreadsheets/d/1v_cJrbBlyqmnHPReHk44g9NrMRdENNlSy_E_c5M9fIg/edit?usp=sharing"",""ร้อยเอ็ด!N215"")"),0)</f>
        <v>0</v>
      </c>
      <c r="AV42" s="98">
        <f t="shared" ca="1" si="104"/>
        <v>0</v>
      </c>
      <c r="AW42" s="97">
        <f ca="1">IFERROR(__xludf.DUMMYFUNCTION("IMPORTRANGE(""https://docs.google.com/spreadsheets/d/1v_cJrbBlyqmnHPReHk44g9NrMRdENNlSy_E_c5M9fIg/edit?usp=sharing"",""ร้อยเอ็ด!L216"")"),0)</f>
        <v>0</v>
      </c>
      <c r="AX42" s="97">
        <f ca="1">IFERROR(__xludf.DUMMYFUNCTION("IMPORTRANGE(""https://docs.google.com/spreadsheets/d/1v_cJrbBlyqmnHPReHk44g9NrMRdENNlSy_E_c5M9fIg/edit?usp=sharing"",""ร้อยเอ็ด!N216"")"),0)</f>
        <v>0</v>
      </c>
      <c r="AY42" s="98">
        <f t="shared" ca="1" si="106"/>
        <v>0</v>
      </c>
      <c r="AZ42" s="97">
        <f ca="1">IFERROR(__xludf.DUMMYFUNCTION("IMPORTRANGE(""https://docs.google.com/spreadsheets/d/1v_cJrbBlyqmnHPReHk44g9NrMRdENNlSy_E_c5M9fIg/edit?usp=sharing"",""ร้อยเอ็ด!L217"")"),0)</f>
        <v>0</v>
      </c>
      <c r="BA42" s="97">
        <f ca="1">IFERROR(__xludf.DUMMYFUNCTION("IMPORTRANGE(""https://docs.google.com/spreadsheets/d/1v_cJrbBlyqmnHPReHk44g9NrMRdENNlSy_E_c5M9fIg/edit?usp=sharing"",""ร้อยเอ็ด!N217"")"),0)</f>
        <v>0</v>
      </c>
      <c r="BB42" s="98">
        <f t="shared" ca="1" si="108"/>
        <v>0</v>
      </c>
      <c r="BC42" s="97">
        <f ca="1">IFERROR(__xludf.DUMMYFUNCTION("IMPORTRANGE(""https://docs.google.com/spreadsheets/d/1v_cJrbBlyqmnHPReHk44g9NrMRdENNlSy_E_c5M9fIg/edit?usp=sharing"",""ร้อยเอ็ด!I219"")"),0)</f>
        <v>0</v>
      </c>
      <c r="BD42" s="97">
        <f ca="1">IFERROR(__xludf.DUMMYFUNCTION("IMPORTRANGE(""https://docs.google.com/spreadsheets/d/1v_cJrbBlyqmnHPReHk44g9NrMRdENNlSy_E_c5M9fIg/edit?usp=sharing"",""ร้อยเอ็ด!J219"")"),0)</f>
        <v>0</v>
      </c>
      <c r="BE42" s="98">
        <f t="shared" ca="1" si="110"/>
        <v>0</v>
      </c>
      <c r="BF42" s="97">
        <f ca="1">IFERROR(__xludf.DUMMYFUNCTION("IMPORTRANGE(""https://docs.google.com/spreadsheets/d/1v_cJrbBlyqmnHPReHk44g9NrMRdENNlSy_E_c5M9fIg/edit?usp=sharing"",""ร้อยเอ็ด!I220"")"),0)</f>
        <v>0</v>
      </c>
      <c r="BG42" s="97">
        <f ca="1">IFERROR(__xludf.DUMMYFUNCTION("IMPORTRANGE(""https://docs.google.com/spreadsheets/d/1v_cJrbBlyqmnHPReHk44g9NrMRdENNlSy_E_c5M9fIg/edit?usp=sharing"",""ร้อยเอ็ด!J220"")"),0)</f>
        <v>0</v>
      </c>
      <c r="BH42" s="98">
        <f t="shared" ca="1" si="112"/>
        <v>0</v>
      </c>
      <c r="BI42" s="97">
        <f ca="1">IFERROR(__xludf.DUMMYFUNCTION("IMPORTRANGE(""https://docs.google.com/spreadsheets/d/1v_cJrbBlyqmnHPReHk44g9NrMRdENNlSy_E_c5M9fIg/edit?usp=sharing"",""ร้อยเอ็ด!L223"")"),9000)</f>
        <v>9000</v>
      </c>
      <c r="BJ42" s="97">
        <f ca="1">IFERROR(__xludf.DUMMYFUNCTION("IMPORTRANGE(""https://docs.google.com/spreadsheets/d/1v_cJrbBlyqmnHPReHk44g9NrMRdENNlSy_E_c5M9fIg/edit?usp=sharing"",""ร้อยเอ็ด!N223"")"),0)</f>
        <v>0</v>
      </c>
      <c r="BK42" s="98">
        <f t="shared" ca="1" si="114"/>
        <v>0</v>
      </c>
      <c r="BL42" s="97">
        <f ca="1">IFERROR(__xludf.DUMMYFUNCTION("IMPORTRANGE(""https://docs.google.com/spreadsheets/d/1v_cJrbBlyqmnHPReHk44g9NrMRdENNlSy_E_c5M9fIg/edit?usp=sharing"",""ร้อยเอ็ด!L224"")"),1500)</f>
        <v>1500</v>
      </c>
      <c r="BM42" s="97">
        <f ca="1">IFERROR(__xludf.DUMMYFUNCTION("IMPORTRANGE(""https://docs.google.com/spreadsheets/d/1v_cJrbBlyqmnHPReHk44g9NrMRdENNlSy_E_c5M9fIg/edit?usp=sharing"",""ร้อยเอ็ด!N224"")"),0)</f>
        <v>0</v>
      </c>
      <c r="BN42" s="98">
        <f t="shared" ca="1" si="116"/>
        <v>0</v>
      </c>
      <c r="BO42" s="97">
        <f ca="1">IFERROR(__xludf.DUMMYFUNCTION("IMPORTRANGE(""https://docs.google.com/spreadsheets/d/1v_cJrbBlyqmnHPReHk44g9NrMRdENNlSy_E_c5M9fIg/edit?usp=sharing"",""ร้อยเอ็ด!I228"")"),64000)</f>
        <v>64000</v>
      </c>
      <c r="BP42" s="97">
        <f ca="1">IFERROR(__xludf.DUMMYFUNCTION("IMPORTRANGE(""https://docs.google.com/spreadsheets/d/1v_cJrbBlyqmnHPReHk44g9NrMRdENNlSy_E_c5M9fIg/edit?usp=sharing"",""ร้อยเอ็ด!J228"")"),0)</f>
        <v>0</v>
      </c>
      <c r="BQ42" s="98">
        <f t="shared" ca="1" si="118"/>
        <v>0</v>
      </c>
      <c r="BR42" s="97">
        <f ca="1">IFERROR(__xludf.DUMMYFUNCTION("IMPORTRANGE(""https://docs.google.com/spreadsheets/d/1v_cJrbBlyqmnHPReHk44g9NrMRdENNlSy_E_c5M9fIg/edit?usp=sharing"",""ร้อยเอ็ด!I229"")"),64000)</f>
        <v>64000</v>
      </c>
      <c r="BS42" s="97">
        <f ca="1">IFERROR(__xludf.DUMMYFUNCTION("IMPORTRANGE(""https://docs.google.com/spreadsheets/d/1v_cJrbBlyqmnHPReHk44g9NrMRdENNlSy_E_c5M9fIg/edit?usp=sharing"",""ร้อยเอ็ด!J229"")"),0)</f>
        <v>0</v>
      </c>
      <c r="BT42" s="98">
        <f t="shared" ca="1" si="120"/>
        <v>0</v>
      </c>
      <c r="BU42" s="97">
        <f ca="1">IFERROR(__xludf.DUMMYFUNCTION("IMPORTRANGE(""https://docs.google.com/spreadsheets/d/1v_cJrbBlyqmnHPReHk44g9NrMRdENNlSy_E_c5M9fIg/edit?usp=sharing"",""ร้อยเอ็ด!I230"")"),0)</f>
        <v>0</v>
      </c>
      <c r="BV42" s="97">
        <f ca="1">IFERROR(__xludf.DUMMYFUNCTION("IMPORTRANGE(""https://docs.google.com/spreadsheets/d/1v_cJrbBlyqmnHPReHk44g9NrMRdENNlSy_E_c5M9fIg/edit?usp=sharing"",""ร้อยเอ็ด!J230"")"),0)</f>
        <v>0</v>
      </c>
      <c r="BW42" s="98">
        <f t="shared" ca="1" si="122"/>
        <v>0</v>
      </c>
      <c r="BX42" s="97">
        <f ca="1">IFERROR(__xludf.DUMMYFUNCTION("IMPORTRANGE(""https://docs.google.com/spreadsheets/d/1v_cJrbBlyqmnHPReHk44g9NrMRdENNlSy_E_c5M9fIg/edit?usp=sharing"",""ร้อยเอ็ด!L233"")"),0)</f>
        <v>0</v>
      </c>
      <c r="BY42" s="97">
        <f ca="1">IFERROR(__xludf.DUMMYFUNCTION("IMPORTRANGE(""https://docs.google.com/spreadsheets/d/1v_cJrbBlyqmnHPReHk44g9NrMRdENNlSy_E_c5M9fIg/edit?usp=sharing"",""ร้อยเอ็ด!N233"")"),0)</f>
        <v>0</v>
      </c>
      <c r="BZ42" s="98">
        <f t="shared" ca="1" si="124"/>
        <v>0</v>
      </c>
      <c r="CA42" s="97">
        <f ca="1">IFERROR(__xludf.DUMMYFUNCTION("IMPORTRANGE(""https://docs.google.com/spreadsheets/d/1v_cJrbBlyqmnHPReHk44g9NrMRdENNlSy_E_c5M9fIg/edit?usp=sharing"",""ร้อยเอ็ด!L234"")"),0)</f>
        <v>0</v>
      </c>
      <c r="CB42" s="97">
        <f ca="1">IFERROR(__xludf.DUMMYFUNCTION("IMPORTRANGE(""https://docs.google.com/spreadsheets/d/1v_cJrbBlyqmnHPReHk44g9NrMRdENNlSy_E_c5M9fIg/edit?usp=sharing"",""ร้อยเอ็ด!N234"")"),0)</f>
        <v>0</v>
      </c>
      <c r="CC42" s="98">
        <f t="shared" ca="1" si="126"/>
        <v>0</v>
      </c>
      <c r="CD42" s="97">
        <f ca="1">IFERROR(__xludf.DUMMYFUNCTION("IMPORTRANGE(""https://docs.google.com/spreadsheets/d/1v_cJrbBlyqmnHPReHk44g9NrMRdENNlSy_E_c5M9fIg/edit?usp=sharing"",""ร้อยเอ็ด!L235"")"),0)</f>
        <v>0</v>
      </c>
      <c r="CE42" s="97">
        <f ca="1">IFERROR(__xludf.DUMMYFUNCTION("IMPORTRANGE(""https://docs.google.com/spreadsheets/d/1v_cJrbBlyqmnHPReHk44g9NrMRdENNlSy_E_c5M9fIg/edit?usp=sharing"",""ร้อยเอ็ด!N235"")"),0)</f>
        <v>0</v>
      </c>
      <c r="CF42" s="98">
        <f t="shared" ca="1" si="128"/>
        <v>0</v>
      </c>
      <c r="CG42" s="97">
        <f ca="1">IFERROR(__xludf.DUMMYFUNCTION("IMPORTRANGE(""https://docs.google.com/spreadsheets/d/1v_cJrbBlyqmnHPReHk44g9NrMRdENNlSy_E_c5M9fIg/edit?usp=sharing"",""ร้อยเอ็ด!L236"")"),0)</f>
        <v>0</v>
      </c>
      <c r="CH42" s="97">
        <f ca="1">IFERROR(__xludf.DUMMYFUNCTION("IMPORTRANGE(""https://docs.google.com/spreadsheets/d/1v_cJrbBlyqmnHPReHk44g9NrMRdENNlSy_E_c5M9fIg/edit?usp=sharing"",""ร้อยเอ็ด!N236"")"),0)</f>
        <v>0</v>
      </c>
      <c r="CI42" s="98">
        <f t="shared" ca="1" si="130"/>
        <v>0</v>
      </c>
      <c r="CJ42" s="97">
        <f ca="1">IFERROR(__xludf.DUMMYFUNCTION("IMPORTRANGE(""https://docs.google.com/spreadsheets/d/1v_cJrbBlyqmnHPReHk44g9NrMRdENNlSy_E_c5M9fIg/edit?usp=sharing"",""ร้อยเอ็ด!I238"")"),0)</f>
        <v>0</v>
      </c>
      <c r="CK42" s="97">
        <f ca="1">IFERROR(__xludf.DUMMYFUNCTION("IMPORTRANGE(""https://docs.google.com/spreadsheets/d/1v_cJrbBlyqmnHPReHk44g9NrMRdENNlSy_E_c5M9fIg/edit?usp=sharing"",""ร้อยเอ็ด!J238"")"),0)</f>
        <v>0</v>
      </c>
      <c r="CL42" s="98">
        <f t="shared" ca="1" si="132"/>
        <v>0</v>
      </c>
      <c r="CM42" s="97">
        <f ca="1">IFERROR(__xludf.DUMMYFUNCTION("IMPORTRANGE(""https://docs.google.com/spreadsheets/d/1v_cJrbBlyqmnHPReHk44g9NrMRdENNlSy_E_c5M9fIg/edit?usp=sharing"",""ร้อยเอ็ด!J240"")"),0)</f>
        <v>0</v>
      </c>
      <c r="CN42" s="97">
        <f ca="1">IFERROR(__xludf.DUMMYFUNCTION("IMPORTRANGE(""https://docs.google.com/spreadsheets/d/1v_cJrbBlyqmnHPReHk44g9NrMRdENNlSy_E_c5M9fIg/edit?usp=sharing"",""ร้อยเอ็ด!J241"")"),0)</f>
        <v>0</v>
      </c>
    </row>
    <row r="43" spans="1:92" ht="21" customHeight="1" x14ac:dyDescent="0.3">
      <c r="A43" s="89">
        <v>12</v>
      </c>
      <c r="B43" s="90" t="s">
        <v>69</v>
      </c>
      <c r="C43" s="174">
        <f t="shared" ca="1" si="80"/>
        <v>92500</v>
      </c>
      <c r="D43" s="175">
        <f t="shared" ca="1" si="159"/>
        <v>92500</v>
      </c>
      <c r="E43" s="176">
        <f ca="1">IFERROR(__xludf.DUMMYFUNCTION("IMPORTRANGE(""https://docs.google.com/spreadsheets/d/1-uDff_7J0KD5mKrp0Vvzr7lt3OU09vwQwhkpOPPYv2Y/edit?usp=sharing"",""งบพรบ!CV43"")"),0)</f>
        <v>0</v>
      </c>
      <c r="F43" s="176">
        <f ca="1">IFERROR(__xludf.DUMMYFUNCTION("IMPORTRANGE(""https://docs.google.com/spreadsheets/d/1-uDff_7J0KD5mKrp0Vvzr7lt3OU09vwQwhkpOPPYv2Y/edit?usp=sharing"",""งบพรบ!CW43"")"),92500)</f>
        <v>92500</v>
      </c>
      <c r="G43" s="176">
        <f ca="1">IFERROR(__xludf.DUMMYFUNCTION("IMPORTRANGE(""https://docs.google.com/spreadsheets/d/1-uDff_7J0KD5mKrp0Vvzr7lt3OU09vwQwhkpOPPYv2Y/edit?usp=sharing"",""งบพรบ!CX43"")"),0)</f>
        <v>0</v>
      </c>
      <c r="H43" s="176">
        <f ca="1">IFERROR(__xludf.DUMMYFUNCTION("IMPORTRANGE(""https://docs.google.com/spreadsheets/d/1-uDff_7J0KD5mKrp0Vvzr7lt3OU09vwQwhkpOPPYv2Y/edit?usp=sharing"",""งบพรบ!CZ43"")"),99200)</f>
        <v>99200</v>
      </c>
      <c r="I43" s="176">
        <f ca="1">IFERROR(__xludf.DUMMYFUNCTION("IMPORTRANGE(""https://docs.google.com/spreadsheets/d/1-uDff_7J0KD5mKrp0Vvzr7lt3OU09vwQwhkpOPPYv2Y/edit?usp=sharing"",""งบพรบ!DA43"")"),0)</f>
        <v>0</v>
      </c>
      <c r="J43" s="176">
        <f t="shared" ca="1" si="82"/>
        <v>3340</v>
      </c>
      <c r="K43" s="179">
        <f t="shared" ca="1" si="83"/>
        <v>3.6108108108108108</v>
      </c>
      <c r="L43" s="176">
        <f ca="1">IFERROR(__xludf.DUMMYFUNCTION("IMPORTRANGE(""https://docs.google.com/spreadsheets/d/1-uDff_7J0KD5mKrp0Vvzr7lt3OU09vwQwhkpOPPYv2Y/edit?usp=sharing"",""งบพรบ!DB43"")"),3340)</f>
        <v>3340</v>
      </c>
      <c r="M43" s="87">
        <f t="shared" ca="1" si="84"/>
        <v>3.6108108108108108</v>
      </c>
      <c r="N43" s="87">
        <f t="shared" ca="1" si="85"/>
        <v>3.3669354838709675</v>
      </c>
      <c r="O43" s="86">
        <f ca="1">IFERROR(__xludf.DUMMYFUNCTION("IMPORTRANGE(""https://docs.google.com/spreadsheets/d/1-uDff_7J0KD5mKrp0Vvzr7lt3OU09vwQwhkpOPPYv2Y/edit?usp=sharing"",""งบพรบ!DC43"")"),0)</f>
        <v>0</v>
      </c>
      <c r="P43" s="86">
        <f t="shared" ca="1" si="86"/>
        <v>0</v>
      </c>
      <c r="Q43" s="87">
        <f t="shared" ca="1" si="87"/>
        <v>0</v>
      </c>
      <c r="R43" s="241">
        <f ca="1">IFERROR(__xludf.DUMMYFUNCTION("IMPORTRANGE(""https://docs.google.com/spreadsheets/d/1Ul4RCpCX66NxYADU1QpwAPjOmBzW64SsT11s1wzXw_c/edit?usp=sharing"",""เลย!Q186"")"),127400)</f>
        <v>127400</v>
      </c>
      <c r="S43" s="242">
        <f ca="1">IFERROR(__xludf.DUMMYFUNCTION("IMPORTRANGE(""https://docs.google.com/spreadsheets/d/1Ul4RCpCX66NxYADU1QpwAPjOmBzW64SsT11s1wzXw_c/edit?usp=sharing"",""เลย!R186"")"),0)</f>
        <v>0</v>
      </c>
      <c r="T43" s="242">
        <f ca="1">IFERROR(__xludf.DUMMYFUNCTION("IMPORTRANGE(""https://docs.google.com/spreadsheets/d/1Ul4RCpCX66NxYADU1QpwAPjOmBzW64SsT11s1wzXw_c/edit?usp=sharing"",""เลย!S186"")"),0)</f>
        <v>0</v>
      </c>
      <c r="U43" s="243">
        <f t="shared" ca="1" si="89"/>
        <v>0</v>
      </c>
      <c r="V43" s="243">
        <f t="shared" ca="1" si="90"/>
        <v>0</v>
      </c>
      <c r="W43" s="97">
        <f ca="1">IFERROR(__xludf.DUMMYFUNCTION("IMPORTRANGE(""https://docs.google.com/spreadsheets/d/1Ul4RCpCX66NxYADU1QpwAPjOmBzW64SsT11s1wzXw_c/edit?usp=sharing"",""เลย!L196"")"),6000)</f>
        <v>6000</v>
      </c>
      <c r="X43" s="97">
        <f ca="1">IFERROR(__xludf.DUMMYFUNCTION("IMPORTRANGE(""https://docs.google.com/spreadsheets/d/1Ul4RCpCX66NxYADU1QpwAPjOmBzW64SsT11s1wzXw_c/edit?usp=sharing"",""เลย!N196"")"),0)</f>
        <v>0</v>
      </c>
      <c r="Y43" s="98">
        <f t="shared" ca="1" si="92"/>
        <v>0</v>
      </c>
      <c r="Z43" s="97">
        <f ca="1">IFERROR(__xludf.DUMMYFUNCTION("IMPORTRANGE(""https://docs.google.com/spreadsheets/d/1Ul4RCpCX66NxYADU1QpwAPjOmBzW64SsT11s1wzXw_c/edit?usp=sharing"",""เลย!I198"")"),4)</f>
        <v>4</v>
      </c>
      <c r="AA43" s="97">
        <f ca="1">IFERROR(__xludf.DUMMYFUNCTION("IMPORTRANGE(""https://docs.google.com/spreadsheets/d/1Ul4RCpCX66NxYADU1QpwAPjOmBzW64SsT11s1wzXw_c/edit?usp=sharing"",""เลย!J198"")"),1)</f>
        <v>1</v>
      </c>
      <c r="AB43" s="98">
        <f t="shared" ca="1" si="94"/>
        <v>25</v>
      </c>
      <c r="AC43" s="97">
        <f ca="1">IFERROR(__xludf.DUMMYFUNCTION("IMPORTRANGE(""https://docs.google.com/spreadsheets/d/1Ul4RCpCX66NxYADU1QpwAPjOmBzW64SsT11s1wzXw_c/edit?usp=sharing"",""เลย!J199"")"),20)</f>
        <v>20</v>
      </c>
      <c r="AD43" s="97">
        <f ca="1">IFERROR(__xludf.DUMMYFUNCTION("IMPORTRANGE(""https://docs.google.com/spreadsheets/d/1Ul4RCpCX66NxYADU1QpwAPjOmBzW64SsT11s1wzXw_c/edit?usp=sharing"",""เลย!J200"")"),20)</f>
        <v>20</v>
      </c>
      <c r="AE43" s="97">
        <f ca="1">IFERROR(__xludf.DUMMYFUNCTION("IMPORTRANGE(""https://docs.google.com/spreadsheets/d/1Ul4RCpCX66NxYADU1QpwAPjOmBzW64SsT11s1wzXw_c/edit?usp=sharing"",""เลย!J201"")"),0)</f>
        <v>0</v>
      </c>
      <c r="AF43" s="97">
        <f ca="1">IFERROR(__xludf.DUMMYFUNCTION("IMPORTRANGE(""https://docs.google.com/spreadsheets/d/1Ul4RCpCX66NxYADU1QpwAPjOmBzW64SsT11s1wzXw_c/edit?usp=sharing"",""เลย!L204"")"),3000)</f>
        <v>3000</v>
      </c>
      <c r="AG43" s="97">
        <f ca="1">IFERROR(__xludf.DUMMYFUNCTION("IMPORTRANGE(""https://docs.google.com/spreadsheets/d/1Ul4RCpCX66NxYADU1QpwAPjOmBzW64SsT11s1wzXw_c/edit?usp=sharing"",""เลย!N204"")"),0)</f>
        <v>0</v>
      </c>
      <c r="AH43" s="98">
        <f t="shared" ca="1" si="96"/>
        <v>0</v>
      </c>
      <c r="AI43" s="97">
        <f ca="1">IFERROR(__xludf.DUMMYFUNCTION("IMPORTRANGE(""https://docs.google.com/spreadsheets/d/1Ul4RCpCX66NxYADU1QpwAPjOmBzW64SsT11s1wzXw_c/edit?usp=sharing"",""เลย!L206"")"),24000)</f>
        <v>24000</v>
      </c>
      <c r="AJ43" s="97">
        <f ca="1">IFERROR(__xludf.DUMMYFUNCTION("IMPORTRANGE(""https://docs.google.com/spreadsheets/d/1Ul4RCpCX66NxYADU1QpwAPjOmBzW64SsT11s1wzXw_c/edit?usp=sharing"",""เลย!N206"")"),0)</f>
        <v>0</v>
      </c>
      <c r="AK43" s="98">
        <f t="shared" ca="1" si="98"/>
        <v>0</v>
      </c>
      <c r="AL43" s="97">
        <f ca="1">IFERROR(__xludf.DUMMYFUNCTION("IMPORTRANGE(""https://docs.google.com/spreadsheets/d/1Ul4RCpCX66NxYADU1QpwAPjOmBzW64SsT11s1wzXw_c/edit?usp=sharing"",""เลย!L207"")"),15000)</f>
        <v>15000</v>
      </c>
      <c r="AM43" s="97">
        <f ca="1">IFERROR(__xludf.DUMMYFUNCTION("IMPORTRANGE(""https://docs.google.com/spreadsheets/d/1Ul4RCpCX66NxYADU1QpwAPjOmBzW64SsT11s1wzXw_c/edit?usp=sharing"",""เลย!N207"")"),0)</f>
        <v>0</v>
      </c>
      <c r="AN43" s="98">
        <f t="shared" ca="1" si="100"/>
        <v>0</v>
      </c>
      <c r="AO43" s="97">
        <f ca="1">IFERROR(__xludf.DUMMYFUNCTION("IMPORTRANGE(""https://docs.google.com/spreadsheets/d/1Ul4RCpCX66NxYADU1QpwAPjOmBzW64SsT11s1wzXw_c/edit?usp=sharing"",""เลย!I209"")"),3)</f>
        <v>3</v>
      </c>
      <c r="AP43" s="97">
        <f ca="1">IFERROR(__xludf.DUMMYFUNCTION("IMPORTRANGE(""https://docs.google.com/spreadsheets/d/1Ul4RCpCX66NxYADU1QpwAPjOmBzW64SsT11s1wzXw_c/edit?usp=sharing"",""เลย!J209"")"),0)</f>
        <v>0</v>
      </c>
      <c r="AQ43" s="98">
        <f t="shared" ca="1" si="102"/>
        <v>0</v>
      </c>
      <c r="AR43" s="97">
        <f ca="1">IFERROR(__xludf.DUMMYFUNCTION("IMPORTRANGE(""https://docs.google.com/spreadsheets/d/1Ul4RCpCX66NxYADU1QpwAPjOmBzW64SsT11s1wzXw_c/edit?usp=sharing"",""เลย!J211"")"),0)</f>
        <v>0</v>
      </c>
      <c r="AS43" s="97">
        <f ca="1">IFERROR(__xludf.DUMMYFUNCTION("IMPORTRANGE(""https://docs.google.com/spreadsheets/d/1Ul4RCpCX66NxYADU1QpwAPjOmBzW64SsT11s1wzXw_c/edit?usp=sharing"",""เลย!J212"")"),0)</f>
        <v>0</v>
      </c>
      <c r="AT43" s="97">
        <f ca="1">IFERROR(__xludf.DUMMYFUNCTION("IMPORTRANGE(""https://docs.google.com/spreadsheets/d/1Ul4RCpCX66NxYADU1QpwAPjOmBzW64SsT11s1wzXw_c/edit?usp=sharing"",""เลย!L215"")"),2000)</f>
        <v>2000</v>
      </c>
      <c r="AU43" s="97">
        <f ca="1">IFERROR(__xludf.DUMMYFUNCTION("IMPORTRANGE(""https://docs.google.com/spreadsheets/d/1Ul4RCpCX66NxYADU1QpwAPjOmBzW64SsT11s1wzXw_c/edit?usp=sharing"",""เลย!N215"")"),0)</f>
        <v>0</v>
      </c>
      <c r="AV43" s="98">
        <f t="shared" ca="1" si="104"/>
        <v>0</v>
      </c>
      <c r="AW43" s="97">
        <f ca="1">IFERROR(__xludf.DUMMYFUNCTION("IMPORTRANGE(""https://docs.google.com/spreadsheets/d/1Ul4RCpCX66NxYADU1QpwAPjOmBzW64SsT11s1wzXw_c/edit?usp=sharing"",""เลย!L216"")"),10000)</f>
        <v>10000</v>
      </c>
      <c r="AX43" s="97">
        <f ca="1">IFERROR(__xludf.DUMMYFUNCTION("IMPORTRANGE(""https://docs.google.com/spreadsheets/d/1Ul4RCpCX66NxYADU1QpwAPjOmBzW64SsT11s1wzXw_c/edit?usp=sharing"",""เลย!N216"")"),0)</f>
        <v>0</v>
      </c>
      <c r="AY43" s="98">
        <f t="shared" ca="1" si="106"/>
        <v>0</v>
      </c>
      <c r="AZ43" s="97">
        <f ca="1">IFERROR(__xludf.DUMMYFUNCTION("IMPORTRANGE(""https://docs.google.com/spreadsheets/d/1Ul4RCpCX66NxYADU1QpwAPjOmBzW64SsT11s1wzXw_c/edit?usp=sharing"",""เลย!L217"")"),16000)</f>
        <v>16000</v>
      </c>
      <c r="BA43" s="97">
        <f ca="1">IFERROR(__xludf.DUMMYFUNCTION("IMPORTRANGE(""https://docs.google.com/spreadsheets/d/1Ul4RCpCX66NxYADU1QpwAPjOmBzW64SsT11s1wzXw_c/edit?usp=sharing"",""เลย!N217"")"),0)</f>
        <v>0</v>
      </c>
      <c r="BB43" s="98">
        <f t="shared" ca="1" si="108"/>
        <v>0</v>
      </c>
      <c r="BC43" s="97">
        <f ca="1">IFERROR(__xludf.DUMMYFUNCTION("IMPORTRANGE(""https://docs.google.com/spreadsheets/d/1Ul4RCpCX66NxYADU1QpwAPjOmBzW64SsT11s1wzXw_c/edit?usp=sharing"",""เลย!I219"")"),2)</f>
        <v>2</v>
      </c>
      <c r="BD43" s="97">
        <f ca="1">IFERROR(__xludf.DUMMYFUNCTION("IMPORTRANGE(""https://docs.google.com/spreadsheets/d/1Ul4RCpCX66NxYADU1QpwAPjOmBzW64SsT11s1wzXw_c/edit?usp=sharing"",""เลย!J219"")"),0)</f>
        <v>0</v>
      </c>
      <c r="BE43" s="98">
        <f t="shared" ca="1" si="110"/>
        <v>0</v>
      </c>
      <c r="BF43" s="97">
        <f ca="1">IFERROR(__xludf.DUMMYFUNCTION("IMPORTRANGE(""https://docs.google.com/spreadsheets/d/1Ul4RCpCX66NxYADU1QpwAPjOmBzW64SsT11s1wzXw_c/edit?usp=sharing"",""เลย!I220"")"),2)</f>
        <v>2</v>
      </c>
      <c r="BG43" s="97">
        <f ca="1">IFERROR(__xludf.DUMMYFUNCTION("IMPORTRANGE(""https://docs.google.com/spreadsheets/d/1Ul4RCpCX66NxYADU1QpwAPjOmBzW64SsT11s1wzXw_c/edit?usp=sharing"",""เลย!J220"")"),0)</f>
        <v>0</v>
      </c>
      <c r="BH43" s="98">
        <f t="shared" ca="1" si="112"/>
        <v>0</v>
      </c>
      <c r="BI43" s="97">
        <f ca="1">IFERROR(__xludf.DUMMYFUNCTION("IMPORTRANGE(""https://docs.google.com/spreadsheets/d/1Ul4RCpCX66NxYADU1QpwAPjOmBzW64SsT11s1wzXw_c/edit?usp=sharing"",""เลย!L223"")"),15000)</f>
        <v>15000</v>
      </c>
      <c r="BJ43" s="97">
        <f ca="1">IFERROR(__xludf.DUMMYFUNCTION("IMPORTRANGE(""https://docs.google.com/spreadsheets/d/1Ul4RCpCX66NxYADU1QpwAPjOmBzW64SsT11s1wzXw_c/edit?usp=sharing"",""เลย!N223"")"),0)</f>
        <v>0</v>
      </c>
      <c r="BK43" s="98">
        <f t="shared" ca="1" si="114"/>
        <v>0</v>
      </c>
      <c r="BL43" s="97">
        <f ca="1">IFERROR(__xludf.DUMMYFUNCTION("IMPORTRANGE(""https://docs.google.com/spreadsheets/d/1Ul4RCpCX66NxYADU1QpwAPjOmBzW64SsT11s1wzXw_c/edit?usp=sharing"",""เลย!L224"")"),1500)</f>
        <v>1500</v>
      </c>
      <c r="BM43" s="97">
        <f ca="1">IFERROR(__xludf.DUMMYFUNCTION("IMPORTRANGE(""https://docs.google.com/spreadsheets/d/1Ul4RCpCX66NxYADU1QpwAPjOmBzW64SsT11s1wzXw_c/edit?usp=sharing"",""เลย!N224"")"),0)</f>
        <v>0</v>
      </c>
      <c r="BN43" s="98">
        <f t="shared" ca="1" si="116"/>
        <v>0</v>
      </c>
      <c r="BO43" s="97">
        <f ca="1">IFERROR(__xludf.DUMMYFUNCTION("IMPORTRANGE(""https://docs.google.com/spreadsheets/d/1Ul4RCpCX66NxYADU1QpwAPjOmBzW64SsT11s1wzXw_c/edit?usp=sharing"",""เลย!I228"")"),128000)</f>
        <v>128000</v>
      </c>
      <c r="BP43" s="97">
        <f ca="1">IFERROR(__xludf.DUMMYFUNCTION("IMPORTRANGE(""https://docs.google.com/spreadsheets/d/1Ul4RCpCX66NxYADU1QpwAPjOmBzW64SsT11s1wzXw_c/edit?usp=sharing"",""เลย!J228"")"),0)</f>
        <v>0</v>
      </c>
      <c r="BQ43" s="98">
        <f t="shared" ca="1" si="118"/>
        <v>0</v>
      </c>
      <c r="BR43" s="97">
        <f ca="1">IFERROR(__xludf.DUMMYFUNCTION("IMPORTRANGE(""https://docs.google.com/spreadsheets/d/1Ul4RCpCX66NxYADU1QpwAPjOmBzW64SsT11s1wzXw_c/edit?usp=sharing"",""เลย!I229"")"),128000)</f>
        <v>128000</v>
      </c>
      <c r="BS43" s="97">
        <f ca="1">IFERROR(__xludf.DUMMYFUNCTION("IMPORTRANGE(""https://docs.google.com/spreadsheets/d/1Ul4RCpCX66NxYADU1QpwAPjOmBzW64SsT11s1wzXw_c/edit?usp=sharing"",""เลย!J229"")"),0)</f>
        <v>0</v>
      </c>
      <c r="BT43" s="98">
        <f t="shared" ca="1" si="120"/>
        <v>0</v>
      </c>
      <c r="BU43" s="97">
        <f ca="1">IFERROR(__xludf.DUMMYFUNCTION("IMPORTRANGE(""https://docs.google.com/spreadsheets/d/1Ul4RCpCX66NxYADU1QpwAPjOmBzW64SsT11s1wzXw_c/edit?usp=sharing"",""เลย!I230"")"),0)</f>
        <v>0</v>
      </c>
      <c r="BV43" s="97">
        <f ca="1">IFERROR(__xludf.DUMMYFUNCTION("IMPORTRANGE(""https://docs.google.com/spreadsheets/d/1Ul4RCpCX66NxYADU1QpwAPjOmBzW64SsT11s1wzXw_c/edit?usp=sharing"",""เลย!J230"")"),0)</f>
        <v>0</v>
      </c>
      <c r="BW43" s="98">
        <f t="shared" ca="1" si="122"/>
        <v>0</v>
      </c>
      <c r="BX43" s="97">
        <f ca="1">IFERROR(__xludf.DUMMYFUNCTION("IMPORTRANGE(""https://docs.google.com/spreadsheets/d/1Ul4RCpCX66NxYADU1QpwAPjOmBzW64SsT11s1wzXw_c/edit?usp=sharing"",""เลย!L233"")"),0)</f>
        <v>0</v>
      </c>
      <c r="BY43" s="97">
        <f ca="1">IFERROR(__xludf.DUMMYFUNCTION("IMPORTRANGE(""https://docs.google.com/spreadsheets/d/1Ul4RCpCX66NxYADU1QpwAPjOmBzW64SsT11s1wzXw_c/edit?usp=sharing"",""เลย!N233"")"),0)</f>
        <v>0</v>
      </c>
      <c r="BZ43" s="98">
        <f t="shared" ca="1" si="124"/>
        <v>0</v>
      </c>
      <c r="CA43" s="97">
        <f ca="1">IFERROR(__xludf.DUMMYFUNCTION("IMPORTRANGE(""https://docs.google.com/spreadsheets/d/1Ul4RCpCX66NxYADU1QpwAPjOmBzW64SsT11s1wzXw_c/edit?usp=sharing"",""เลย!L234"")"),0)</f>
        <v>0</v>
      </c>
      <c r="CB43" s="97">
        <f ca="1">IFERROR(__xludf.DUMMYFUNCTION("IMPORTRANGE(""https://docs.google.com/spreadsheets/d/1Ul4RCpCX66NxYADU1QpwAPjOmBzW64SsT11s1wzXw_c/edit?usp=sharing"",""เลย!N234"")"),0)</f>
        <v>0</v>
      </c>
      <c r="CC43" s="98">
        <f t="shared" ca="1" si="126"/>
        <v>0</v>
      </c>
      <c r="CD43" s="97">
        <f ca="1">IFERROR(__xludf.DUMMYFUNCTION("IMPORTRANGE(""https://docs.google.com/spreadsheets/d/1Ul4RCpCX66NxYADU1QpwAPjOmBzW64SsT11s1wzXw_c/edit?usp=sharing"",""เลย!L235"")"),0)</f>
        <v>0</v>
      </c>
      <c r="CE43" s="97">
        <f ca="1">IFERROR(__xludf.DUMMYFUNCTION("IMPORTRANGE(""https://docs.google.com/spreadsheets/d/1Ul4RCpCX66NxYADU1QpwAPjOmBzW64SsT11s1wzXw_c/edit?usp=sharing"",""เลย!N235"")"),0)</f>
        <v>0</v>
      </c>
      <c r="CF43" s="98">
        <f t="shared" ca="1" si="128"/>
        <v>0</v>
      </c>
      <c r="CG43" s="97">
        <f ca="1">IFERROR(__xludf.DUMMYFUNCTION("IMPORTRANGE(""https://docs.google.com/spreadsheets/d/1Ul4RCpCX66NxYADU1QpwAPjOmBzW64SsT11s1wzXw_c/edit?usp=sharing"",""เลย!L236"")"),0)</f>
        <v>0</v>
      </c>
      <c r="CH43" s="97">
        <f ca="1">IFERROR(__xludf.DUMMYFUNCTION("IMPORTRANGE(""https://docs.google.com/spreadsheets/d/1Ul4RCpCX66NxYADU1QpwAPjOmBzW64SsT11s1wzXw_c/edit?usp=sharing"",""เลย!N236"")"),0)</f>
        <v>0</v>
      </c>
      <c r="CI43" s="98">
        <f t="shared" ca="1" si="130"/>
        <v>0</v>
      </c>
      <c r="CJ43" s="97">
        <f ca="1">IFERROR(__xludf.DUMMYFUNCTION("IMPORTRANGE(""https://docs.google.com/spreadsheets/d/1Ul4RCpCX66NxYADU1QpwAPjOmBzW64SsT11s1wzXw_c/edit?usp=sharing"",""เลย!I238"")"),0)</f>
        <v>0</v>
      </c>
      <c r="CK43" s="97">
        <f ca="1">IFERROR(__xludf.DUMMYFUNCTION("IMPORTRANGE(""https://docs.google.com/spreadsheets/d/1Ul4RCpCX66NxYADU1QpwAPjOmBzW64SsT11s1wzXw_c/edit?usp=sharing"",""เลย!J238"")"),0)</f>
        <v>0</v>
      </c>
      <c r="CL43" s="98">
        <f t="shared" ca="1" si="132"/>
        <v>0</v>
      </c>
      <c r="CM43" s="97">
        <f ca="1">IFERROR(__xludf.DUMMYFUNCTION("IMPORTRANGE(""https://docs.google.com/spreadsheets/d/1Ul4RCpCX66NxYADU1QpwAPjOmBzW64SsT11s1wzXw_c/edit?usp=sharing"",""เลย!J240"")"),0)</f>
        <v>0</v>
      </c>
      <c r="CN43" s="97">
        <f ca="1">IFERROR(__xludf.DUMMYFUNCTION("IMPORTRANGE(""https://docs.google.com/spreadsheets/d/1Ul4RCpCX66NxYADU1QpwAPjOmBzW64SsT11s1wzXw_c/edit?usp=sharing"",""เลย!J241"")"),0)</f>
        <v>0</v>
      </c>
    </row>
    <row r="44" spans="1:92" ht="21" customHeight="1" x14ac:dyDescent="0.3">
      <c r="A44" s="89">
        <v>13</v>
      </c>
      <c r="B44" s="90" t="s">
        <v>70</v>
      </c>
      <c r="C44" s="174">
        <f t="shared" ca="1" si="80"/>
        <v>177300</v>
      </c>
      <c r="D44" s="175">
        <f t="shared" ca="1" si="159"/>
        <v>177300</v>
      </c>
      <c r="E44" s="176">
        <f ca="1">IFERROR(__xludf.DUMMYFUNCTION("IMPORTRANGE(""https://docs.google.com/spreadsheets/d/1-uDff_7J0KD5mKrp0Vvzr7lt3OU09vwQwhkpOPPYv2Y/edit?usp=sharing"",""งบพรบ!CV44"")"),87800)</f>
        <v>87800</v>
      </c>
      <c r="F44" s="176">
        <f ca="1">IFERROR(__xludf.DUMMYFUNCTION("IMPORTRANGE(""https://docs.google.com/spreadsheets/d/1-uDff_7J0KD5mKrp0Vvzr7lt3OU09vwQwhkpOPPYv2Y/edit?usp=sharing"",""งบพรบ!CW44"")"),89500)</f>
        <v>89500</v>
      </c>
      <c r="G44" s="176">
        <f ca="1">IFERROR(__xludf.DUMMYFUNCTION("IMPORTRANGE(""https://docs.google.com/spreadsheets/d/1-uDff_7J0KD5mKrp0Vvzr7lt3OU09vwQwhkpOPPYv2Y/edit?usp=sharing"",""งบพรบ!CX44"")"),0)</f>
        <v>0</v>
      </c>
      <c r="H44" s="176">
        <f ca="1">IFERROR(__xludf.DUMMYFUNCTION("IMPORTRANGE(""https://docs.google.com/spreadsheets/d/1-uDff_7J0KD5mKrp0Vvzr7lt3OU09vwQwhkpOPPYv2Y/edit?usp=sharing"",""งบพรบ!CZ44"")"),177300)</f>
        <v>177300</v>
      </c>
      <c r="I44" s="176">
        <f ca="1">IFERROR(__xludf.DUMMYFUNCTION("IMPORTRANGE(""https://docs.google.com/spreadsheets/d/1-uDff_7J0KD5mKrp0Vvzr7lt3OU09vwQwhkpOPPYv2Y/edit?usp=sharing"",""งบพรบ!DA44"")"),0)</f>
        <v>0</v>
      </c>
      <c r="J44" s="176">
        <f t="shared" ca="1" si="82"/>
        <v>42920</v>
      </c>
      <c r="K44" s="179">
        <f t="shared" ca="1" si="83"/>
        <v>24.207557811618724</v>
      </c>
      <c r="L44" s="176">
        <f ca="1">IFERROR(__xludf.DUMMYFUNCTION("IMPORTRANGE(""https://docs.google.com/spreadsheets/d/1-uDff_7J0KD5mKrp0Vvzr7lt3OU09vwQwhkpOPPYv2Y/edit?usp=sharing"",""งบพรบ!DB44"")"),42920)</f>
        <v>42920</v>
      </c>
      <c r="M44" s="87">
        <f t="shared" ca="1" si="84"/>
        <v>24.207557811618724</v>
      </c>
      <c r="N44" s="87">
        <f t="shared" ca="1" si="85"/>
        <v>24.207557811618724</v>
      </c>
      <c r="O44" s="86">
        <f ca="1">IFERROR(__xludf.DUMMYFUNCTION("IMPORTRANGE(""https://docs.google.com/spreadsheets/d/1-uDff_7J0KD5mKrp0Vvzr7lt3OU09vwQwhkpOPPYv2Y/edit?usp=sharing"",""งบพรบ!DC44"")"),0)</f>
        <v>0</v>
      </c>
      <c r="P44" s="86">
        <f t="shared" ca="1" si="86"/>
        <v>0</v>
      </c>
      <c r="Q44" s="87">
        <f t="shared" ca="1" si="87"/>
        <v>0</v>
      </c>
      <c r="R44" s="241">
        <f ca="1">IFERROR(__xludf.DUMMYFUNCTION("IMPORTRANGE(""https://docs.google.com/spreadsheets/d/1bRrNKwbHDVktQG10isr5vbWRtt5spIZPpkOSWgbT5ug/edit?usp=sharing"",""ศรีสะเกษ!Q186"")"),105700)</f>
        <v>105700</v>
      </c>
      <c r="S44" s="242">
        <f ca="1">IFERROR(__xludf.DUMMYFUNCTION("IMPORTRANGE(""https://docs.google.com/spreadsheets/d/1bRrNKwbHDVktQG10isr5vbWRtt5spIZPpkOSWgbT5ug/edit?usp=sharing"",""ศรีสะเกษ!R186"")"),0)</f>
        <v>0</v>
      </c>
      <c r="T44" s="242">
        <f ca="1">IFERROR(__xludf.DUMMYFUNCTION("IMPORTRANGE(""https://docs.google.com/spreadsheets/d/1bRrNKwbHDVktQG10isr5vbWRtt5spIZPpkOSWgbT5ug/edit?usp=sharing"",""ศรีสะเกษ!S186"")"),0)</f>
        <v>0</v>
      </c>
      <c r="U44" s="243">
        <f t="shared" ca="1" si="89"/>
        <v>0</v>
      </c>
      <c r="V44" s="243">
        <f t="shared" ca="1" si="90"/>
        <v>0</v>
      </c>
      <c r="W44" s="97">
        <f ca="1">IFERROR(__xludf.DUMMYFUNCTION("IMPORTRANGE(""https://docs.google.com/spreadsheets/d/1bRrNKwbHDVktQG10isr5vbWRtt5spIZPpkOSWgbT5ug/edit?usp=sharing"",""ศรีสะเกษ!L196"")"),6000)</f>
        <v>6000</v>
      </c>
      <c r="X44" s="97">
        <f ca="1">IFERROR(__xludf.DUMMYFUNCTION("IMPORTRANGE(""https://docs.google.com/spreadsheets/d/1bRrNKwbHDVktQG10isr5vbWRtt5spIZPpkOSWgbT5ug/edit?usp=sharing"",""ศรีสะเกษ!N196"")"),0)</f>
        <v>0</v>
      </c>
      <c r="Y44" s="98">
        <f t="shared" ca="1" si="92"/>
        <v>0</v>
      </c>
      <c r="Z44" s="97">
        <f ca="1">IFERROR(__xludf.DUMMYFUNCTION("IMPORTRANGE(""https://docs.google.com/spreadsheets/d/1bRrNKwbHDVktQG10isr5vbWRtt5spIZPpkOSWgbT5ug/edit?usp=sharing"",""ศรีสะเกษ!I198"")"),4)</f>
        <v>4</v>
      </c>
      <c r="AA44" s="97">
        <f ca="1">IFERROR(__xludf.DUMMYFUNCTION("IMPORTRANGE(""https://docs.google.com/spreadsheets/d/1bRrNKwbHDVktQG10isr5vbWRtt5spIZPpkOSWgbT5ug/edit?usp=sharing"",""ศรีสะเกษ!J198"")"),0)</f>
        <v>0</v>
      </c>
      <c r="AB44" s="98">
        <f t="shared" ca="1" si="94"/>
        <v>0</v>
      </c>
      <c r="AC44" s="97">
        <f ca="1">IFERROR(__xludf.DUMMYFUNCTION("IMPORTRANGE(""https://docs.google.com/spreadsheets/d/1bRrNKwbHDVktQG10isr5vbWRtt5spIZPpkOSWgbT5ug/edit?usp=sharing"",""ศรีสะเกษ!J199"")"),0)</f>
        <v>0</v>
      </c>
      <c r="AD44" s="97">
        <f ca="1">IFERROR(__xludf.DUMMYFUNCTION("IMPORTRANGE(""https://docs.google.com/spreadsheets/d/1bRrNKwbHDVktQG10isr5vbWRtt5spIZPpkOSWgbT5ug/edit?usp=sharing"",""ศรีสะเกษ!J200"")"),0)</f>
        <v>0</v>
      </c>
      <c r="AE44" s="97">
        <f ca="1">IFERROR(__xludf.DUMMYFUNCTION("IMPORTRANGE(""https://docs.google.com/spreadsheets/d/1bRrNKwbHDVktQG10isr5vbWRtt5spIZPpkOSWgbT5ug/edit?usp=sharing"",""ศรีสะเกษ!J201"")"),0)</f>
        <v>0</v>
      </c>
      <c r="AF44" s="97">
        <f ca="1">IFERROR(__xludf.DUMMYFUNCTION("IMPORTRANGE(""https://docs.google.com/spreadsheets/d/1bRrNKwbHDVktQG10isr5vbWRtt5spIZPpkOSWgbT5ug/edit?usp=sharing"",""ศรีสะเกษ!L204"")"),5000)</f>
        <v>5000</v>
      </c>
      <c r="AG44" s="97">
        <f ca="1">IFERROR(__xludf.DUMMYFUNCTION("IMPORTRANGE(""https://docs.google.com/spreadsheets/d/1bRrNKwbHDVktQG10isr5vbWRtt5spIZPpkOSWgbT5ug/edit?usp=sharing"",""ศรีสะเกษ!N204"")"),0)</f>
        <v>0</v>
      </c>
      <c r="AH44" s="98">
        <f t="shared" ca="1" si="96"/>
        <v>0</v>
      </c>
      <c r="AI44" s="97">
        <f ca="1">IFERROR(__xludf.DUMMYFUNCTION("IMPORTRANGE(""https://docs.google.com/spreadsheets/d/1bRrNKwbHDVktQG10isr5vbWRtt5spIZPpkOSWgbT5ug/edit?usp=sharing"",""ศรีสะเกษ!L206"")"),40000)</f>
        <v>40000</v>
      </c>
      <c r="AJ44" s="97">
        <f ca="1">IFERROR(__xludf.DUMMYFUNCTION("IMPORTRANGE(""https://docs.google.com/spreadsheets/d/1bRrNKwbHDVktQG10isr5vbWRtt5spIZPpkOSWgbT5ug/edit?usp=sharing"",""ศรีสะเกษ!N206"")"),0)</f>
        <v>0</v>
      </c>
      <c r="AK44" s="98">
        <f t="shared" ca="1" si="98"/>
        <v>0</v>
      </c>
      <c r="AL44" s="97">
        <f ca="1">IFERROR(__xludf.DUMMYFUNCTION("IMPORTRANGE(""https://docs.google.com/spreadsheets/d/1bRrNKwbHDVktQG10isr5vbWRtt5spIZPpkOSWgbT5ug/edit?usp=sharing"",""ศรีสะเกษ!L207"")"),20000)</f>
        <v>20000</v>
      </c>
      <c r="AM44" s="97">
        <f ca="1">IFERROR(__xludf.DUMMYFUNCTION("IMPORTRANGE(""https://docs.google.com/spreadsheets/d/1bRrNKwbHDVktQG10isr5vbWRtt5spIZPpkOSWgbT5ug/edit?usp=sharing"",""ศรีสะเกษ!N207"")"),0)</f>
        <v>0</v>
      </c>
      <c r="AN44" s="98">
        <f t="shared" ca="1" si="100"/>
        <v>0</v>
      </c>
      <c r="AO44" s="97">
        <f ca="1">IFERROR(__xludf.DUMMYFUNCTION("IMPORTRANGE(""https://docs.google.com/spreadsheets/d/1bRrNKwbHDVktQG10isr5vbWRtt5spIZPpkOSWgbT5ug/edit?usp=sharing"",""ศรีสะเกษ!I209"")"),5)</f>
        <v>5</v>
      </c>
      <c r="AP44" s="97">
        <f ca="1">IFERROR(__xludf.DUMMYFUNCTION("IMPORTRANGE(""https://docs.google.com/spreadsheets/d/1bRrNKwbHDVktQG10isr5vbWRtt5spIZPpkOSWgbT5ug/edit?usp=sharing"",""ศรีสะเกษ!J209"")"),0)</f>
        <v>0</v>
      </c>
      <c r="AQ44" s="98">
        <f t="shared" ca="1" si="102"/>
        <v>0</v>
      </c>
      <c r="AR44" s="97">
        <f ca="1">IFERROR(__xludf.DUMMYFUNCTION("IMPORTRANGE(""https://docs.google.com/spreadsheets/d/1bRrNKwbHDVktQG10isr5vbWRtt5spIZPpkOSWgbT5ug/edit?usp=sharing"",""ศรีสะเกษ!J211"")"),0)</f>
        <v>0</v>
      </c>
      <c r="AS44" s="97">
        <f ca="1">IFERROR(__xludf.DUMMYFUNCTION("IMPORTRANGE(""https://docs.google.com/spreadsheets/d/1bRrNKwbHDVktQG10isr5vbWRtt5spIZPpkOSWgbT5ug/edit?usp=sharing"",""ศรีสะเกษ!J212"")"),0)</f>
        <v>0</v>
      </c>
      <c r="AT44" s="97">
        <f ca="1">IFERROR(__xludf.DUMMYFUNCTION("IMPORTRANGE(""https://docs.google.com/spreadsheets/d/1bRrNKwbHDVktQG10isr5vbWRtt5spIZPpkOSWgbT5ug/edit?usp=sharing"",""ศรีสะเกษ!L215"")"),1000)</f>
        <v>1000</v>
      </c>
      <c r="AU44" s="97">
        <f ca="1">IFERROR(__xludf.DUMMYFUNCTION("IMPORTRANGE(""https://docs.google.com/spreadsheets/d/1bRrNKwbHDVktQG10isr5vbWRtt5spIZPpkOSWgbT5ug/edit?usp=sharing"",""ศรีสะเกษ!N215"")"),0)</f>
        <v>0</v>
      </c>
      <c r="AV44" s="98">
        <f t="shared" ca="1" si="104"/>
        <v>0</v>
      </c>
      <c r="AW44" s="97">
        <f ca="1">IFERROR(__xludf.DUMMYFUNCTION("IMPORTRANGE(""https://docs.google.com/spreadsheets/d/1bRrNKwbHDVktQG10isr5vbWRtt5spIZPpkOSWgbT5ug/edit?usp=sharing"",""ศรีสะเกษ!L216"")"),5000)</f>
        <v>5000</v>
      </c>
      <c r="AX44" s="97">
        <f ca="1">IFERROR(__xludf.DUMMYFUNCTION("IMPORTRANGE(""https://docs.google.com/spreadsheets/d/1bRrNKwbHDVktQG10isr5vbWRtt5spIZPpkOSWgbT5ug/edit?usp=sharing"",""ศรีสะเกษ!N216"")"),0)</f>
        <v>0</v>
      </c>
      <c r="AY44" s="98">
        <f t="shared" ca="1" si="106"/>
        <v>0</v>
      </c>
      <c r="AZ44" s="97">
        <f ca="1">IFERROR(__xludf.DUMMYFUNCTION("IMPORTRANGE(""https://docs.google.com/spreadsheets/d/1bRrNKwbHDVktQG10isr5vbWRtt5spIZPpkOSWgbT5ug/edit?usp=sharing"",""ศรีสะเกษ!L217"")"),8000)</f>
        <v>8000</v>
      </c>
      <c r="BA44" s="97">
        <f ca="1">IFERROR(__xludf.DUMMYFUNCTION("IMPORTRANGE(""https://docs.google.com/spreadsheets/d/1bRrNKwbHDVktQG10isr5vbWRtt5spIZPpkOSWgbT5ug/edit?usp=sharing"",""ศรีสะเกษ!N217"")"),0)</f>
        <v>0</v>
      </c>
      <c r="BB44" s="98">
        <f t="shared" ca="1" si="108"/>
        <v>0</v>
      </c>
      <c r="BC44" s="97">
        <f ca="1">IFERROR(__xludf.DUMMYFUNCTION("IMPORTRANGE(""https://docs.google.com/spreadsheets/d/1bRrNKwbHDVktQG10isr5vbWRtt5spIZPpkOSWgbT5ug/edit?usp=sharing"",""ศรีสะเกษ!I219"")"),1)</f>
        <v>1</v>
      </c>
      <c r="BD44" s="97">
        <f ca="1">IFERROR(__xludf.DUMMYFUNCTION("IMPORTRANGE(""https://docs.google.com/spreadsheets/d/1bRrNKwbHDVktQG10isr5vbWRtt5spIZPpkOSWgbT5ug/edit?usp=sharing"",""ศรีสะเกษ!J219"")"),0)</f>
        <v>0</v>
      </c>
      <c r="BE44" s="98">
        <f t="shared" ca="1" si="110"/>
        <v>0</v>
      </c>
      <c r="BF44" s="97">
        <f ca="1">IFERROR(__xludf.DUMMYFUNCTION("IMPORTRANGE(""https://docs.google.com/spreadsheets/d/1bRrNKwbHDVktQG10isr5vbWRtt5spIZPpkOSWgbT5ug/edit?usp=sharing"",""ศรีสะเกษ!I220"")"),1)</f>
        <v>1</v>
      </c>
      <c r="BG44" s="97">
        <f ca="1">IFERROR(__xludf.DUMMYFUNCTION("IMPORTRANGE(""https://docs.google.com/spreadsheets/d/1bRrNKwbHDVktQG10isr5vbWRtt5spIZPpkOSWgbT5ug/edit?usp=sharing"",""ศรีสะเกษ!J220"")"),0)</f>
        <v>0</v>
      </c>
      <c r="BH44" s="98">
        <f t="shared" ca="1" si="112"/>
        <v>0</v>
      </c>
      <c r="BI44" s="97">
        <f ca="1">IFERROR(__xludf.DUMMYFUNCTION("IMPORTRANGE(""https://docs.google.com/spreadsheets/d/1bRrNKwbHDVktQG10isr5vbWRtt5spIZPpkOSWgbT5ug/edit?usp=sharing"",""ศรีสะเกษ!L223"")"),3000)</f>
        <v>3000</v>
      </c>
      <c r="BJ44" s="97">
        <f ca="1">IFERROR(__xludf.DUMMYFUNCTION("IMPORTRANGE(""https://docs.google.com/spreadsheets/d/1bRrNKwbHDVktQG10isr5vbWRtt5spIZPpkOSWgbT5ug/edit?usp=sharing"",""ศรีสะเกษ!N223"")"),0)</f>
        <v>0</v>
      </c>
      <c r="BK44" s="98">
        <f t="shared" ca="1" si="114"/>
        <v>0</v>
      </c>
      <c r="BL44" s="97">
        <f ca="1">IFERROR(__xludf.DUMMYFUNCTION("IMPORTRANGE(""https://docs.google.com/spreadsheets/d/1bRrNKwbHDVktQG10isr5vbWRtt5spIZPpkOSWgbT5ug/edit?usp=sharing"",""ศรีสะเกษ!L224"")"),1500)</f>
        <v>1500</v>
      </c>
      <c r="BM44" s="97">
        <f ca="1">IFERROR(__xludf.DUMMYFUNCTION("IMPORTRANGE(""https://docs.google.com/spreadsheets/d/1bRrNKwbHDVktQG10isr5vbWRtt5spIZPpkOSWgbT5ug/edit?usp=sharing"",""ศรีสะเกษ!N224"")"),0)</f>
        <v>0</v>
      </c>
      <c r="BN44" s="98">
        <f t="shared" ca="1" si="116"/>
        <v>0</v>
      </c>
      <c r="BO44" s="97">
        <f ca="1">IFERROR(__xludf.DUMMYFUNCTION("IMPORTRANGE(""https://docs.google.com/spreadsheets/d/1bRrNKwbHDVktQG10isr5vbWRtt5spIZPpkOSWgbT5ug/edit?usp=sharing"",""ศรีสะเกษ!I228"")"),10000)</f>
        <v>10000</v>
      </c>
      <c r="BP44" s="97">
        <f ca="1">IFERROR(__xludf.DUMMYFUNCTION("IMPORTRANGE(""https://docs.google.com/spreadsheets/d/1bRrNKwbHDVktQG10isr5vbWRtt5spIZPpkOSWgbT5ug/edit?usp=sharing"",""ศรีสะเกษ!J228"")"),0)</f>
        <v>0</v>
      </c>
      <c r="BQ44" s="98">
        <f t="shared" ca="1" si="118"/>
        <v>0</v>
      </c>
      <c r="BR44" s="97">
        <f ca="1">IFERROR(__xludf.DUMMYFUNCTION("IMPORTRANGE(""https://docs.google.com/spreadsheets/d/1bRrNKwbHDVktQG10isr5vbWRtt5spIZPpkOSWgbT5ug/edit?usp=sharing"",""ศรีสะเกษ!I229"")"),10000)</f>
        <v>10000</v>
      </c>
      <c r="BS44" s="97">
        <f ca="1">IFERROR(__xludf.DUMMYFUNCTION("IMPORTRANGE(""https://docs.google.com/spreadsheets/d/1bRrNKwbHDVktQG10isr5vbWRtt5spIZPpkOSWgbT5ug/edit?usp=sharing"",""ศรีสะเกษ!J229"")"),0)</f>
        <v>0</v>
      </c>
      <c r="BT44" s="98">
        <f t="shared" ca="1" si="120"/>
        <v>0</v>
      </c>
      <c r="BU44" s="97">
        <f ca="1">IFERROR(__xludf.DUMMYFUNCTION("IMPORTRANGE(""https://docs.google.com/spreadsheets/d/1bRrNKwbHDVktQG10isr5vbWRtt5spIZPpkOSWgbT5ug/edit?usp=sharing"",""ศรีสะเกษ!I230"")"),0)</f>
        <v>0</v>
      </c>
      <c r="BV44" s="97">
        <f ca="1">IFERROR(__xludf.DUMMYFUNCTION("IMPORTRANGE(""https://docs.google.com/spreadsheets/d/1bRrNKwbHDVktQG10isr5vbWRtt5spIZPpkOSWgbT5ug/edit?usp=sharing"",""ศรีสะเกษ!J230"")"),0)</f>
        <v>0</v>
      </c>
      <c r="BW44" s="98">
        <f t="shared" ca="1" si="122"/>
        <v>0</v>
      </c>
      <c r="BX44" s="97">
        <f ca="1">IFERROR(__xludf.DUMMYFUNCTION("IMPORTRANGE(""https://docs.google.com/spreadsheets/d/1bRrNKwbHDVktQG10isr5vbWRtt5spIZPpkOSWgbT5ug/edit?usp=sharing"",""ศรีสะเกษ!L233"")"),0)</f>
        <v>0</v>
      </c>
      <c r="BY44" s="97">
        <f ca="1">IFERROR(__xludf.DUMMYFUNCTION("IMPORTRANGE(""https://docs.google.com/spreadsheets/d/1bRrNKwbHDVktQG10isr5vbWRtt5spIZPpkOSWgbT5ug/edit?usp=sharing"",""ศรีสะเกษ!N233"")"),0)</f>
        <v>0</v>
      </c>
      <c r="BZ44" s="98">
        <f t="shared" ca="1" si="124"/>
        <v>0</v>
      </c>
      <c r="CA44" s="97">
        <f ca="1">IFERROR(__xludf.DUMMYFUNCTION("IMPORTRANGE(""https://docs.google.com/spreadsheets/d/1bRrNKwbHDVktQG10isr5vbWRtt5spIZPpkOSWgbT5ug/edit?usp=sharing"",""ศรีสะเกษ!L234"")"),0)</f>
        <v>0</v>
      </c>
      <c r="CB44" s="97">
        <f ca="1">IFERROR(__xludf.DUMMYFUNCTION("IMPORTRANGE(""https://docs.google.com/spreadsheets/d/1bRrNKwbHDVktQG10isr5vbWRtt5spIZPpkOSWgbT5ug/edit?usp=sharing"",""ศรีสะเกษ!N234"")"),0)</f>
        <v>0</v>
      </c>
      <c r="CC44" s="98">
        <f t="shared" ca="1" si="126"/>
        <v>0</v>
      </c>
      <c r="CD44" s="97">
        <f ca="1">IFERROR(__xludf.DUMMYFUNCTION("IMPORTRANGE(""https://docs.google.com/spreadsheets/d/1bRrNKwbHDVktQG10isr5vbWRtt5spIZPpkOSWgbT5ug/edit?usp=sharing"",""ศรีสะเกษ!L235"")"),0)</f>
        <v>0</v>
      </c>
      <c r="CE44" s="97">
        <f ca="1">IFERROR(__xludf.DUMMYFUNCTION("IMPORTRANGE(""https://docs.google.com/spreadsheets/d/1bRrNKwbHDVktQG10isr5vbWRtt5spIZPpkOSWgbT5ug/edit?usp=sharing"",""ศรีสะเกษ!N235"")"),0)</f>
        <v>0</v>
      </c>
      <c r="CF44" s="98">
        <f t="shared" ca="1" si="128"/>
        <v>0</v>
      </c>
      <c r="CG44" s="97">
        <f ca="1">IFERROR(__xludf.DUMMYFUNCTION("IMPORTRANGE(""https://docs.google.com/spreadsheets/d/1bRrNKwbHDVktQG10isr5vbWRtt5spIZPpkOSWgbT5ug/edit?usp=sharing"",""ศรีสะเกษ!L236"")"),0)</f>
        <v>0</v>
      </c>
      <c r="CH44" s="97">
        <f ca="1">IFERROR(__xludf.DUMMYFUNCTION("IMPORTRANGE(""https://docs.google.com/spreadsheets/d/1bRrNKwbHDVktQG10isr5vbWRtt5spIZPpkOSWgbT5ug/edit?usp=sharing"",""ศรีสะเกษ!N236"")"),0)</f>
        <v>0</v>
      </c>
      <c r="CI44" s="98">
        <f t="shared" ca="1" si="130"/>
        <v>0</v>
      </c>
      <c r="CJ44" s="97">
        <f ca="1">IFERROR(__xludf.DUMMYFUNCTION("IMPORTRANGE(""https://docs.google.com/spreadsheets/d/1bRrNKwbHDVktQG10isr5vbWRtt5spIZPpkOSWgbT5ug/edit?usp=sharing"",""ศรีสะเกษ!I238"")"),0)</f>
        <v>0</v>
      </c>
      <c r="CK44" s="97">
        <f ca="1">IFERROR(__xludf.DUMMYFUNCTION("IMPORTRANGE(""https://docs.google.com/spreadsheets/d/1bRrNKwbHDVktQG10isr5vbWRtt5spIZPpkOSWgbT5ug/edit?usp=sharing"",""ศรีสะเกษ!J238"")"),0)</f>
        <v>0</v>
      </c>
      <c r="CL44" s="98">
        <f t="shared" ca="1" si="132"/>
        <v>0</v>
      </c>
      <c r="CM44" s="97">
        <f ca="1">IFERROR(__xludf.DUMMYFUNCTION("IMPORTRANGE(""https://docs.google.com/spreadsheets/d/1bRrNKwbHDVktQG10isr5vbWRtt5spIZPpkOSWgbT5ug/edit?usp=sharing"",""ศรีสะเกษ!J240"")"),0)</f>
        <v>0</v>
      </c>
      <c r="CN44" s="97">
        <f ca="1">IFERROR(__xludf.DUMMYFUNCTION("IMPORTRANGE(""https://docs.google.com/spreadsheets/d/1bRrNKwbHDVktQG10isr5vbWRtt5spIZPpkOSWgbT5ug/edit?usp=sharing"",""ศรีสะเกษ!J241"")"),0)</f>
        <v>0</v>
      </c>
    </row>
    <row r="45" spans="1:92" ht="21" customHeight="1" x14ac:dyDescent="0.3">
      <c r="A45" s="89">
        <v>14</v>
      </c>
      <c r="B45" s="90" t="s">
        <v>71</v>
      </c>
      <c r="C45" s="174">
        <f t="shared" ca="1" si="80"/>
        <v>391900</v>
      </c>
      <c r="D45" s="175">
        <f t="shared" ca="1" si="159"/>
        <v>391900</v>
      </c>
      <c r="E45" s="176">
        <f ca="1">IFERROR(__xludf.DUMMYFUNCTION("IMPORTRANGE(""https://docs.google.com/spreadsheets/d/1-uDff_7J0KD5mKrp0Vvzr7lt3OU09vwQwhkpOPPYv2Y/edit?usp=sharing"",""งบพรบ!CV45"")"),182000)</f>
        <v>182000</v>
      </c>
      <c r="F45" s="176">
        <f ca="1">IFERROR(__xludf.DUMMYFUNCTION("IMPORTRANGE(""https://docs.google.com/spreadsheets/d/1-uDff_7J0KD5mKrp0Vvzr7lt3OU09vwQwhkpOPPYv2Y/edit?usp=sharing"",""งบพรบ!CW45"")"),209900)</f>
        <v>209900</v>
      </c>
      <c r="G45" s="176">
        <f ca="1">IFERROR(__xludf.DUMMYFUNCTION("IMPORTRANGE(""https://docs.google.com/spreadsheets/d/1-uDff_7J0KD5mKrp0Vvzr7lt3OU09vwQwhkpOPPYv2Y/edit?usp=sharing"",""งบพรบ!CX45"")"),0)</f>
        <v>0</v>
      </c>
      <c r="H45" s="176">
        <f ca="1">IFERROR(__xludf.DUMMYFUNCTION("IMPORTRANGE(""https://docs.google.com/spreadsheets/d/1-uDff_7J0KD5mKrp0Vvzr7lt3OU09vwQwhkpOPPYv2Y/edit?usp=sharing"",""งบพรบ!CZ45"")"),399100)</f>
        <v>399100</v>
      </c>
      <c r="I45" s="176">
        <f ca="1">IFERROR(__xludf.DUMMYFUNCTION("IMPORTRANGE(""https://docs.google.com/spreadsheets/d/1-uDff_7J0KD5mKrp0Vvzr7lt3OU09vwQwhkpOPPYv2Y/edit?usp=sharing"",""งบพรบ!DA45"")"),0)</f>
        <v>0</v>
      </c>
      <c r="J45" s="176">
        <f t="shared" ca="1" si="82"/>
        <v>134299.96</v>
      </c>
      <c r="K45" s="179">
        <f t="shared" ca="1" si="83"/>
        <v>34.268935953049244</v>
      </c>
      <c r="L45" s="176">
        <f ca="1">IFERROR(__xludf.DUMMYFUNCTION("IMPORTRANGE(""https://docs.google.com/spreadsheets/d/1-uDff_7J0KD5mKrp0Vvzr7lt3OU09vwQwhkpOPPYv2Y/edit?usp=sharing"",""งบพรบ!DB45"")"),134299.96)</f>
        <v>134299.96</v>
      </c>
      <c r="M45" s="87">
        <f t="shared" ca="1" si="84"/>
        <v>34.268935953049244</v>
      </c>
      <c r="N45" s="87">
        <f t="shared" ca="1" si="85"/>
        <v>33.650704084189428</v>
      </c>
      <c r="O45" s="86">
        <f ca="1">IFERROR(__xludf.DUMMYFUNCTION("IMPORTRANGE(""https://docs.google.com/spreadsheets/d/1-uDff_7J0KD5mKrp0Vvzr7lt3OU09vwQwhkpOPPYv2Y/edit?usp=sharing"",""งบพรบ!DC45"")"),0)</f>
        <v>0</v>
      </c>
      <c r="P45" s="86">
        <f t="shared" ca="1" si="86"/>
        <v>0</v>
      </c>
      <c r="Q45" s="87">
        <f t="shared" ca="1" si="87"/>
        <v>0</v>
      </c>
      <c r="R45" s="241">
        <f ca="1">IFERROR(__xludf.DUMMYFUNCTION("IMPORTRANGE(""https://docs.google.com/spreadsheets/d/17P34_Ow5kFBfdQD0qspb2UuPX5zpi6WMrQzslghyvrI/edit?usp=sharing"",""สกลนคร!Q186"")"),276400)</f>
        <v>276400</v>
      </c>
      <c r="S45" s="242">
        <f ca="1">IFERROR(__xludf.DUMMYFUNCTION("IMPORTRANGE(""https://docs.google.com/spreadsheets/d/17P34_Ow5kFBfdQD0qspb2UuPX5zpi6WMrQzslghyvrI/edit?usp=sharing"",""สกลนคร!R186"")"),0)</f>
        <v>0</v>
      </c>
      <c r="T45" s="242">
        <f ca="1">IFERROR(__xludf.DUMMYFUNCTION("IMPORTRANGE(""https://docs.google.com/spreadsheets/d/17P34_Ow5kFBfdQD0qspb2UuPX5zpi6WMrQzslghyvrI/edit?usp=sharing"",""สกลนคร!S186"")"),0)</f>
        <v>0</v>
      </c>
      <c r="U45" s="243">
        <f t="shared" ca="1" si="89"/>
        <v>0</v>
      </c>
      <c r="V45" s="243">
        <f t="shared" ca="1" si="90"/>
        <v>0</v>
      </c>
      <c r="W45" s="97">
        <f ca="1">IFERROR(__xludf.DUMMYFUNCTION("IMPORTRANGE(""https://docs.google.com/spreadsheets/d/17P34_Ow5kFBfdQD0qspb2UuPX5zpi6WMrQzslghyvrI/edit?usp=sharing"",""สกลนคร!L196"")"),6000)</f>
        <v>6000</v>
      </c>
      <c r="X45" s="97">
        <f ca="1">IFERROR(__xludf.DUMMYFUNCTION("IMPORTRANGE(""https://docs.google.com/spreadsheets/d/17P34_Ow5kFBfdQD0qspb2UuPX5zpi6WMrQzslghyvrI/edit?usp=sharing"",""สกลนคร!N196"")"),0)</f>
        <v>0</v>
      </c>
      <c r="Y45" s="98">
        <f t="shared" ca="1" si="92"/>
        <v>0</v>
      </c>
      <c r="Z45" s="97">
        <f ca="1">IFERROR(__xludf.DUMMYFUNCTION("IMPORTRANGE(""https://docs.google.com/spreadsheets/d/17P34_Ow5kFBfdQD0qspb2UuPX5zpi6WMrQzslghyvrI/edit?usp=sharing"",""สกลนคร!I198"")"),4)</f>
        <v>4</v>
      </c>
      <c r="AA45" s="97">
        <f ca="1">IFERROR(__xludf.DUMMYFUNCTION("IMPORTRANGE(""https://docs.google.com/spreadsheets/d/17P34_Ow5kFBfdQD0qspb2UuPX5zpi6WMrQzslghyvrI/edit?usp=sharing"",""สกลนคร!J198"")"),0)</f>
        <v>0</v>
      </c>
      <c r="AB45" s="98">
        <f t="shared" ca="1" si="94"/>
        <v>0</v>
      </c>
      <c r="AC45" s="97">
        <f ca="1">IFERROR(__xludf.DUMMYFUNCTION("IMPORTRANGE(""https://docs.google.com/spreadsheets/d/17P34_Ow5kFBfdQD0qspb2UuPX5zpi6WMrQzslghyvrI/edit?usp=sharing"",""สกลนคร!J199"")"),0)</f>
        <v>0</v>
      </c>
      <c r="AD45" s="97">
        <f ca="1">IFERROR(__xludf.DUMMYFUNCTION("IMPORTRANGE(""https://docs.google.com/spreadsheets/d/17P34_Ow5kFBfdQD0qspb2UuPX5zpi6WMrQzslghyvrI/edit?usp=sharing"",""สกลนคร!J200"")"),0)</f>
        <v>0</v>
      </c>
      <c r="AE45" s="97">
        <f ca="1">IFERROR(__xludf.DUMMYFUNCTION("IMPORTRANGE(""https://docs.google.com/spreadsheets/d/17P34_Ow5kFBfdQD0qspb2UuPX5zpi6WMrQzslghyvrI/edit?usp=sharing"",""สกลนคร!J201"")"),0)</f>
        <v>0</v>
      </c>
      <c r="AF45" s="97">
        <f ca="1">IFERROR(__xludf.DUMMYFUNCTION("IMPORTRANGE(""https://docs.google.com/spreadsheets/d/17P34_Ow5kFBfdQD0qspb2UuPX5zpi6WMrQzslghyvrI/edit?usp=sharing"",""สกลนคร!L204"")"),2000)</f>
        <v>2000</v>
      </c>
      <c r="AG45" s="97">
        <f ca="1">IFERROR(__xludf.DUMMYFUNCTION("IMPORTRANGE(""https://docs.google.com/spreadsheets/d/17P34_Ow5kFBfdQD0qspb2UuPX5zpi6WMrQzslghyvrI/edit?usp=sharing"",""สกลนคร!N204"")"),0)</f>
        <v>0</v>
      </c>
      <c r="AH45" s="98">
        <f t="shared" ca="1" si="96"/>
        <v>0</v>
      </c>
      <c r="AI45" s="97">
        <f ca="1">IFERROR(__xludf.DUMMYFUNCTION("IMPORTRANGE(""https://docs.google.com/spreadsheets/d/17P34_Ow5kFBfdQD0qspb2UuPX5zpi6WMrQzslghyvrI/edit?usp=sharing"",""สกลนคร!L206"")"),16000)</f>
        <v>16000</v>
      </c>
      <c r="AJ45" s="97">
        <f ca="1">IFERROR(__xludf.DUMMYFUNCTION("IMPORTRANGE(""https://docs.google.com/spreadsheets/d/17P34_Ow5kFBfdQD0qspb2UuPX5zpi6WMrQzslghyvrI/edit?usp=sharing"",""สกลนคร!N206"")"),0)</f>
        <v>0</v>
      </c>
      <c r="AK45" s="98">
        <f t="shared" ca="1" si="98"/>
        <v>0</v>
      </c>
      <c r="AL45" s="97">
        <f ca="1">IFERROR(__xludf.DUMMYFUNCTION("IMPORTRANGE(""https://docs.google.com/spreadsheets/d/17P34_Ow5kFBfdQD0qspb2UuPX5zpi6WMrQzslghyvrI/edit?usp=sharing"",""สกลนคร!L207"")"),11000)</f>
        <v>11000</v>
      </c>
      <c r="AM45" s="97">
        <f ca="1">IFERROR(__xludf.DUMMYFUNCTION("IMPORTRANGE(""https://docs.google.com/spreadsheets/d/17P34_Ow5kFBfdQD0qspb2UuPX5zpi6WMrQzslghyvrI/edit?usp=sharing"",""สกลนคร!N207"")"),0)</f>
        <v>0</v>
      </c>
      <c r="AN45" s="98">
        <f t="shared" ca="1" si="100"/>
        <v>0</v>
      </c>
      <c r="AO45" s="97">
        <f ca="1">IFERROR(__xludf.DUMMYFUNCTION("IMPORTRANGE(""https://docs.google.com/spreadsheets/d/17P34_Ow5kFBfdQD0qspb2UuPX5zpi6WMrQzslghyvrI/edit?usp=sharing"",""สกลนคร!I209"")"),2)</f>
        <v>2</v>
      </c>
      <c r="AP45" s="97">
        <f ca="1">IFERROR(__xludf.DUMMYFUNCTION("IMPORTRANGE(""https://docs.google.com/spreadsheets/d/17P34_Ow5kFBfdQD0qspb2UuPX5zpi6WMrQzslghyvrI/edit?usp=sharing"",""สกลนคร!J209"")"),0)</f>
        <v>0</v>
      </c>
      <c r="AQ45" s="98">
        <f t="shared" ca="1" si="102"/>
        <v>0</v>
      </c>
      <c r="AR45" s="97">
        <f ca="1">IFERROR(__xludf.DUMMYFUNCTION("IMPORTRANGE(""https://docs.google.com/spreadsheets/d/17P34_Ow5kFBfdQD0qspb2UuPX5zpi6WMrQzslghyvrI/edit?usp=sharing"",""สกลนคร!J211"")"),0)</f>
        <v>0</v>
      </c>
      <c r="AS45" s="97">
        <f ca="1">IFERROR(__xludf.DUMMYFUNCTION("IMPORTRANGE(""https://docs.google.com/spreadsheets/d/17P34_Ow5kFBfdQD0qspb2UuPX5zpi6WMrQzslghyvrI/edit?usp=sharing"",""สกลนคร!J212"")"),0)</f>
        <v>0</v>
      </c>
      <c r="AT45" s="97">
        <f ca="1">IFERROR(__xludf.DUMMYFUNCTION("IMPORTRANGE(""https://docs.google.com/spreadsheets/d/17P34_Ow5kFBfdQD0qspb2UuPX5zpi6WMrQzslghyvrI/edit?usp=sharing"",""สกลนคร!L215"")"),0)</f>
        <v>0</v>
      </c>
      <c r="AU45" s="97">
        <f ca="1">IFERROR(__xludf.DUMMYFUNCTION("IMPORTRANGE(""https://docs.google.com/spreadsheets/d/17P34_Ow5kFBfdQD0qspb2UuPX5zpi6WMrQzslghyvrI/edit?usp=sharing"",""สกลนคร!N215"")"),0)</f>
        <v>0</v>
      </c>
      <c r="AV45" s="98">
        <f t="shared" ca="1" si="104"/>
        <v>0</v>
      </c>
      <c r="AW45" s="97">
        <f ca="1">IFERROR(__xludf.DUMMYFUNCTION("IMPORTRANGE(""https://docs.google.com/spreadsheets/d/17P34_Ow5kFBfdQD0qspb2UuPX5zpi6WMrQzslghyvrI/edit?usp=sharing"",""สกลนคร!L216"")"),0)</f>
        <v>0</v>
      </c>
      <c r="AX45" s="97">
        <f ca="1">IFERROR(__xludf.DUMMYFUNCTION("IMPORTRANGE(""https://docs.google.com/spreadsheets/d/17P34_Ow5kFBfdQD0qspb2UuPX5zpi6WMrQzslghyvrI/edit?usp=sharing"",""สกลนคร!N216"")"),0)</f>
        <v>0</v>
      </c>
      <c r="AY45" s="98">
        <f t="shared" ca="1" si="106"/>
        <v>0</v>
      </c>
      <c r="AZ45" s="97">
        <f ca="1">IFERROR(__xludf.DUMMYFUNCTION("IMPORTRANGE(""https://docs.google.com/spreadsheets/d/17P34_Ow5kFBfdQD0qspb2UuPX5zpi6WMrQzslghyvrI/edit?usp=sharing"",""สกลนคร!L217"")"),0)</f>
        <v>0</v>
      </c>
      <c r="BA45" s="97">
        <f ca="1">IFERROR(__xludf.DUMMYFUNCTION("IMPORTRANGE(""https://docs.google.com/spreadsheets/d/17P34_Ow5kFBfdQD0qspb2UuPX5zpi6WMrQzslghyvrI/edit?usp=sharing"",""สกลนคร!N217"")"),0)</f>
        <v>0</v>
      </c>
      <c r="BB45" s="98">
        <f t="shared" ca="1" si="108"/>
        <v>0</v>
      </c>
      <c r="BC45" s="97">
        <f ca="1">IFERROR(__xludf.DUMMYFUNCTION("IMPORTRANGE(""https://docs.google.com/spreadsheets/d/17P34_Ow5kFBfdQD0qspb2UuPX5zpi6WMrQzslghyvrI/edit?usp=sharing"",""สกลนคร!I219"")"),0)</f>
        <v>0</v>
      </c>
      <c r="BD45" s="97">
        <f ca="1">IFERROR(__xludf.DUMMYFUNCTION("IMPORTRANGE(""https://docs.google.com/spreadsheets/d/17P34_Ow5kFBfdQD0qspb2UuPX5zpi6WMrQzslghyvrI/edit?usp=sharing"",""สกลนคร!J219"")"),0)</f>
        <v>0</v>
      </c>
      <c r="BE45" s="98">
        <f t="shared" ca="1" si="110"/>
        <v>0</v>
      </c>
      <c r="BF45" s="97">
        <f ca="1">IFERROR(__xludf.DUMMYFUNCTION("IMPORTRANGE(""https://docs.google.com/spreadsheets/d/17P34_Ow5kFBfdQD0qspb2UuPX5zpi6WMrQzslghyvrI/edit?usp=sharing"",""สกลนคร!I220"")"),0)</f>
        <v>0</v>
      </c>
      <c r="BG45" s="97">
        <f ca="1">IFERROR(__xludf.DUMMYFUNCTION("IMPORTRANGE(""https://docs.google.com/spreadsheets/d/17P34_Ow5kFBfdQD0qspb2UuPX5zpi6WMrQzslghyvrI/edit?usp=sharing"",""สกลนคร!J220"")"),0)</f>
        <v>0</v>
      </c>
      <c r="BH45" s="98">
        <f t="shared" ca="1" si="112"/>
        <v>0</v>
      </c>
      <c r="BI45" s="97">
        <f ca="1">IFERROR(__xludf.DUMMYFUNCTION("IMPORTRANGE(""https://docs.google.com/spreadsheets/d/17P34_Ow5kFBfdQD0qspb2UuPX5zpi6WMrQzslghyvrI/edit?usp=sharing"",""สกลนคร!L223"")"),3000)</f>
        <v>3000</v>
      </c>
      <c r="BJ45" s="97">
        <f ca="1">IFERROR(__xludf.DUMMYFUNCTION("IMPORTRANGE(""https://docs.google.com/spreadsheets/d/17P34_Ow5kFBfdQD0qspb2UuPX5zpi6WMrQzslghyvrI/edit?usp=sharing"",""สกลนคร!N223"")"),0)</f>
        <v>0</v>
      </c>
      <c r="BK45" s="98">
        <f t="shared" ca="1" si="114"/>
        <v>0</v>
      </c>
      <c r="BL45" s="97">
        <f ca="1">IFERROR(__xludf.DUMMYFUNCTION("IMPORTRANGE(""https://docs.google.com/spreadsheets/d/17P34_Ow5kFBfdQD0qspb2UuPX5zpi6WMrQzslghyvrI/edit?usp=sharing"",""สกลนคร!L224"")"),1500)</f>
        <v>1500</v>
      </c>
      <c r="BM45" s="97">
        <f ca="1">IFERROR(__xludf.DUMMYFUNCTION("IMPORTRANGE(""https://docs.google.com/spreadsheets/d/17P34_Ow5kFBfdQD0qspb2UuPX5zpi6WMrQzslghyvrI/edit?usp=sharing"",""สกลนคร!N224"")"),0)</f>
        <v>0</v>
      </c>
      <c r="BN45" s="98">
        <f t="shared" ca="1" si="116"/>
        <v>0</v>
      </c>
      <c r="BO45" s="97">
        <f ca="1">IFERROR(__xludf.DUMMYFUNCTION("IMPORTRANGE(""https://docs.google.com/spreadsheets/d/17P34_Ow5kFBfdQD0qspb2UuPX5zpi6WMrQzslghyvrI/edit?usp=sharing"",""สกลนคร!I228"")"),12800)</f>
        <v>12800</v>
      </c>
      <c r="BP45" s="97">
        <f ca="1">IFERROR(__xludf.DUMMYFUNCTION("IMPORTRANGE(""https://docs.google.com/spreadsheets/d/17P34_Ow5kFBfdQD0qspb2UuPX5zpi6WMrQzslghyvrI/edit?usp=sharing"",""สกลนคร!J228"")"),0)</f>
        <v>0</v>
      </c>
      <c r="BQ45" s="98">
        <f t="shared" ca="1" si="118"/>
        <v>0</v>
      </c>
      <c r="BR45" s="97">
        <f ca="1">IFERROR(__xludf.DUMMYFUNCTION("IMPORTRANGE(""https://docs.google.com/spreadsheets/d/17P34_Ow5kFBfdQD0qspb2UuPX5zpi6WMrQzslghyvrI/edit?usp=sharing"",""สกลนคร!I229"")"),12800)</f>
        <v>12800</v>
      </c>
      <c r="BS45" s="97">
        <f ca="1">IFERROR(__xludf.DUMMYFUNCTION("IMPORTRANGE(""https://docs.google.com/spreadsheets/d/17P34_Ow5kFBfdQD0qspb2UuPX5zpi6WMrQzslghyvrI/edit?usp=sharing"",""สกลนคร!J229"")"),0)</f>
        <v>0</v>
      </c>
      <c r="BT45" s="98">
        <f t="shared" ca="1" si="120"/>
        <v>0</v>
      </c>
      <c r="BU45" s="97">
        <f ca="1">IFERROR(__xludf.DUMMYFUNCTION("IMPORTRANGE(""https://docs.google.com/spreadsheets/d/17P34_Ow5kFBfdQD0qspb2UuPX5zpi6WMrQzslghyvrI/edit?usp=sharing"",""สกลนคร!I230"")"),0)</f>
        <v>0</v>
      </c>
      <c r="BV45" s="97">
        <f ca="1">IFERROR(__xludf.DUMMYFUNCTION("IMPORTRANGE(""https://docs.google.com/spreadsheets/d/17P34_Ow5kFBfdQD0qspb2UuPX5zpi6WMrQzslghyvrI/edit?usp=sharing"",""สกลนคร!J230"")"),0)</f>
        <v>0</v>
      </c>
      <c r="BW45" s="98">
        <f t="shared" ca="1" si="122"/>
        <v>0</v>
      </c>
      <c r="BX45" s="97">
        <f ca="1">IFERROR(__xludf.DUMMYFUNCTION("IMPORTRANGE(""https://docs.google.com/spreadsheets/d/17P34_Ow5kFBfdQD0qspb2UuPX5zpi6WMrQzslghyvrI/edit?usp=sharing"",""สกลนคร!L233"")"),10000)</f>
        <v>10000</v>
      </c>
      <c r="BY45" s="97">
        <f ca="1">IFERROR(__xludf.DUMMYFUNCTION("IMPORTRANGE(""https://docs.google.com/spreadsheets/d/17P34_Ow5kFBfdQD0qspb2UuPX5zpi6WMrQzslghyvrI/edit?usp=sharing"",""สกลนคร!N233"")"),0)</f>
        <v>0</v>
      </c>
      <c r="BZ45" s="98">
        <f t="shared" ca="1" si="124"/>
        <v>0</v>
      </c>
      <c r="CA45" s="97">
        <f ca="1">IFERROR(__xludf.DUMMYFUNCTION("IMPORTRANGE(""https://docs.google.com/spreadsheets/d/17P34_Ow5kFBfdQD0qspb2UuPX5zpi6WMrQzslghyvrI/edit?usp=sharing"",""สกลนคร!L234"")"),3000)</f>
        <v>3000</v>
      </c>
      <c r="CB45" s="97">
        <f ca="1">IFERROR(__xludf.DUMMYFUNCTION("IMPORTRANGE(""https://docs.google.com/spreadsheets/d/17P34_Ow5kFBfdQD0qspb2UuPX5zpi6WMrQzslghyvrI/edit?usp=sharing"",""สกลนคร!N234"")"),0)</f>
        <v>0</v>
      </c>
      <c r="CC45" s="98">
        <f t="shared" ca="1" si="126"/>
        <v>0</v>
      </c>
      <c r="CD45" s="97">
        <f ca="1">IFERROR(__xludf.DUMMYFUNCTION("IMPORTRANGE(""https://docs.google.com/spreadsheets/d/17P34_Ow5kFBfdQD0qspb2UuPX5zpi6WMrQzslghyvrI/edit?usp=sharing"",""สกลนคร!L235"")"),124400)</f>
        <v>124400</v>
      </c>
      <c r="CE45" s="97">
        <f ca="1">IFERROR(__xludf.DUMMYFUNCTION("IMPORTRANGE(""https://docs.google.com/spreadsheets/d/17P34_Ow5kFBfdQD0qspb2UuPX5zpi6WMrQzslghyvrI/edit?usp=sharing"",""สกลนคร!N235"")"),0)</f>
        <v>0</v>
      </c>
      <c r="CF45" s="98">
        <f t="shared" ca="1" si="128"/>
        <v>0</v>
      </c>
      <c r="CG45" s="97">
        <f ca="1">IFERROR(__xludf.DUMMYFUNCTION("IMPORTRANGE(""https://docs.google.com/spreadsheets/d/17P34_Ow5kFBfdQD0qspb2UuPX5zpi6WMrQzslghyvrI/edit?usp=sharing"",""สกลนคร!L236"")"),33000)</f>
        <v>33000</v>
      </c>
      <c r="CH45" s="97">
        <f ca="1">IFERROR(__xludf.DUMMYFUNCTION("IMPORTRANGE(""https://docs.google.com/spreadsheets/d/17P34_Ow5kFBfdQD0qspb2UuPX5zpi6WMrQzslghyvrI/edit?usp=sharing"",""สกลนคร!N236"")"),0)</f>
        <v>0</v>
      </c>
      <c r="CI45" s="98">
        <f t="shared" ca="1" si="130"/>
        <v>0</v>
      </c>
      <c r="CJ45" s="97">
        <f ca="1">IFERROR(__xludf.DUMMYFUNCTION("IMPORTRANGE(""https://docs.google.com/spreadsheets/d/17P34_Ow5kFBfdQD0qspb2UuPX5zpi6WMrQzslghyvrI/edit?usp=sharing"",""สกลนคร!I238"")"),40)</f>
        <v>40</v>
      </c>
      <c r="CK45" s="97">
        <f ca="1">IFERROR(__xludf.DUMMYFUNCTION("IMPORTRANGE(""https://docs.google.com/spreadsheets/d/17P34_Ow5kFBfdQD0qspb2UuPX5zpi6WMrQzslghyvrI/edit?usp=sharing"",""สกลนคร!J238"")"),0)</f>
        <v>0</v>
      </c>
      <c r="CL45" s="98">
        <f t="shared" ca="1" si="132"/>
        <v>0</v>
      </c>
      <c r="CM45" s="97">
        <f ca="1">IFERROR(__xludf.DUMMYFUNCTION("IMPORTRANGE(""https://docs.google.com/spreadsheets/d/17P34_Ow5kFBfdQD0qspb2UuPX5zpi6WMrQzslghyvrI/edit?usp=sharing"",""สกลนคร!J240"")"),0)</f>
        <v>0</v>
      </c>
      <c r="CN45" s="97">
        <f ca="1">IFERROR(__xludf.DUMMYFUNCTION("IMPORTRANGE(""https://docs.google.com/spreadsheets/d/17P34_Ow5kFBfdQD0qspb2UuPX5zpi6WMrQzslghyvrI/edit?usp=sharing"",""สกลนคร!J241"")"),0)</f>
        <v>0</v>
      </c>
    </row>
    <row r="46" spans="1:92" ht="21" customHeight="1" x14ac:dyDescent="0.3">
      <c r="A46" s="89">
        <v>15</v>
      </c>
      <c r="B46" s="90" t="s">
        <v>72</v>
      </c>
      <c r="C46" s="174">
        <f t="shared" ca="1" si="80"/>
        <v>65500</v>
      </c>
      <c r="D46" s="175">
        <f t="shared" ca="1" si="159"/>
        <v>65500</v>
      </c>
      <c r="E46" s="176">
        <f ca="1">IFERROR(__xludf.DUMMYFUNCTION("IMPORTRANGE(""https://docs.google.com/spreadsheets/d/1-uDff_7J0KD5mKrp0Vvzr7lt3OU09vwQwhkpOPPYv2Y/edit?usp=sharing"",""งบพรบ!CV46"")"),0)</f>
        <v>0</v>
      </c>
      <c r="F46" s="176">
        <f ca="1">IFERROR(__xludf.DUMMYFUNCTION("IMPORTRANGE(""https://docs.google.com/spreadsheets/d/1-uDff_7J0KD5mKrp0Vvzr7lt3OU09vwQwhkpOPPYv2Y/edit?usp=sharing"",""งบพรบ!CW46"")"),65500)</f>
        <v>65500</v>
      </c>
      <c r="G46" s="176">
        <f ca="1">IFERROR(__xludf.DUMMYFUNCTION("IMPORTRANGE(""https://docs.google.com/spreadsheets/d/1-uDff_7J0KD5mKrp0Vvzr7lt3OU09vwQwhkpOPPYv2Y/edit?usp=sharing"",""งบพรบ!CX46"")"),0)</f>
        <v>0</v>
      </c>
      <c r="H46" s="176">
        <f ca="1">IFERROR(__xludf.DUMMYFUNCTION("IMPORTRANGE(""https://docs.google.com/spreadsheets/d/1-uDff_7J0KD5mKrp0Vvzr7lt3OU09vwQwhkpOPPYv2Y/edit?usp=sharing"",""งบพรบ!CZ46"")"),72200)</f>
        <v>72200</v>
      </c>
      <c r="I46" s="176">
        <f ca="1">IFERROR(__xludf.DUMMYFUNCTION("IMPORTRANGE(""https://docs.google.com/spreadsheets/d/1-uDff_7J0KD5mKrp0Vvzr7lt3OU09vwQwhkpOPPYv2Y/edit?usp=sharing"",""งบพรบ!DA46"")"),0)</f>
        <v>0</v>
      </c>
      <c r="J46" s="176">
        <f t="shared" ca="1" si="82"/>
        <v>1500</v>
      </c>
      <c r="K46" s="179">
        <f t="shared" ca="1" si="83"/>
        <v>2.2900763358778624</v>
      </c>
      <c r="L46" s="176">
        <f ca="1">IFERROR(__xludf.DUMMYFUNCTION("IMPORTRANGE(""https://docs.google.com/spreadsheets/d/1-uDff_7J0KD5mKrp0Vvzr7lt3OU09vwQwhkpOPPYv2Y/edit?usp=sharing"",""งบพรบ!DB46"")"),1500)</f>
        <v>1500</v>
      </c>
      <c r="M46" s="87">
        <f t="shared" ca="1" si="84"/>
        <v>2.2900763358778624</v>
      </c>
      <c r="N46" s="87">
        <f t="shared" ca="1" si="85"/>
        <v>2.0775623268698062</v>
      </c>
      <c r="O46" s="86">
        <f ca="1">IFERROR(__xludf.DUMMYFUNCTION("IMPORTRANGE(""https://docs.google.com/spreadsheets/d/1-uDff_7J0KD5mKrp0Vvzr7lt3OU09vwQwhkpOPPYv2Y/edit?usp=sharing"",""งบพรบ!DC46"")"),0)</f>
        <v>0</v>
      </c>
      <c r="P46" s="86">
        <f t="shared" ca="1" si="86"/>
        <v>0</v>
      </c>
      <c r="Q46" s="87">
        <f t="shared" ca="1" si="87"/>
        <v>0</v>
      </c>
      <c r="R46" s="241">
        <f ca="1">IFERROR(__xludf.DUMMYFUNCTION("IMPORTRANGE(""https://docs.google.com/spreadsheets/d/1yswqbM3-AEpThF3ZSUa1AcmHnmRTF1vlJ1CZGcJ8YuU/edit?usp=sharing"",""สุรินทร์!Q186"")"),240800)</f>
        <v>240800</v>
      </c>
      <c r="S46" s="242">
        <f ca="1">IFERROR(__xludf.DUMMYFUNCTION("IMPORTRANGE(""https://docs.google.com/spreadsheets/d/1yswqbM3-AEpThF3ZSUa1AcmHnmRTF1vlJ1CZGcJ8YuU/edit?usp=sharing"",""สุรินทร์!R186"")"),0)</f>
        <v>0</v>
      </c>
      <c r="T46" s="242">
        <f ca="1">IFERROR(__xludf.DUMMYFUNCTION("IMPORTRANGE(""https://docs.google.com/spreadsheets/d/1yswqbM3-AEpThF3ZSUa1AcmHnmRTF1vlJ1CZGcJ8YuU/edit?usp=sharing"",""สุรินทร์!S186"")"),0)</f>
        <v>0</v>
      </c>
      <c r="U46" s="243">
        <f t="shared" ca="1" si="89"/>
        <v>0</v>
      </c>
      <c r="V46" s="243">
        <f t="shared" ca="1" si="90"/>
        <v>0</v>
      </c>
      <c r="W46" s="97">
        <f ca="1">IFERROR(__xludf.DUMMYFUNCTION("IMPORTRANGE(""https://docs.google.com/spreadsheets/d/1yswqbM3-AEpThF3ZSUa1AcmHnmRTF1vlJ1CZGcJ8YuU/edit?usp=sharing"",""สุรินทร์!L196"")"),6000)</f>
        <v>6000</v>
      </c>
      <c r="X46" s="97">
        <f ca="1">IFERROR(__xludf.DUMMYFUNCTION("IMPORTRANGE(""https://docs.google.com/spreadsheets/d/1yswqbM3-AEpThF3ZSUa1AcmHnmRTF1vlJ1CZGcJ8YuU/edit?usp=sharing"",""สุรินทร์!N196"")"),0)</f>
        <v>0</v>
      </c>
      <c r="Y46" s="98">
        <f t="shared" ca="1" si="92"/>
        <v>0</v>
      </c>
      <c r="Z46" s="97">
        <f ca="1">IFERROR(__xludf.DUMMYFUNCTION("IMPORTRANGE(""https://docs.google.com/spreadsheets/d/1yswqbM3-AEpThF3ZSUa1AcmHnmRTF1vlJ1CZGcJ8YuU/edit?usp=sharing"",""สุรินทร์!I198"")"),4)</f>
        <v>4</v>
      </c>
      <c r="AA46" s="97">
        <f ca="1">IFERROR(__xludf.DUMMYFUNCTION("IMPORTRANGE(""https://docs.google.com/spreadsheets/d/1yswqbM3-AEpThF3ZSUa1AcmHnmRTF1vlJ1CZGcJ8YuU/edit?usp=sharing"",""สุรินทร์!J198"")"),0)</f>
        <v>0</v>
      </c>
      <c r="AB46" s="98">
        <f t="shared" ca="1" si="94"/>
        <v>0</v>
      </c>
      <c r="AC46" s="97">
        <f ca="1">IFERROR(__xludf.DUMMYFUNCTION("IMPORTRANGE(""https://docs.google.com/spreadsheets/d/1yswqbM3-AEpThF3ZSUa1AcmHnmRTF1vlJ1CZGcJ8YuU/edit?usp=sharing"",""สุรินทร์!J199"")"),0)</f>
        <v>0</v>
      </c>
      <c r="AD46" s="97">
        <f ca="1">IFERROR(__xludf.DUMMYFUNCTION("IMPORTRANGE(""https://docs.google.com/spreadsheets/d/1yswqbM3-AEpThF3ZSUa1AcmHnmRTF1vlJ1CZGcJ8YuU/edit?usp=sharing"",""สุรินทร์!J200"")"),0)</f>
        <v>0</v>
      </c>
      <c r="AE46" s="97">
        <f ca="1">IFERROR(__xludf.DUMMYFUNCTION("IMPORTRANGE(""https://docs.google.com/spreadsheets/d/1yswqbM3-AEpThF3ZSUa1AcmHnmRTF1vlJ1CZGcJ8YuU/edit?usp=sharing"",""สุรินทร์!J201"")"),0)</f>
        <v>0</v>
      </c>
      <c r="AF46" s="97">
        <f ca="1">IFERROR(__xludf.DUMMYFUNCTION("IMPORTRANGE(""https://docs.google.com/spreadsheets/d/1yswqbM3-AEpThF3ZSUa1AcmHnmRTF1vlJ1CZGcJ8YuU/edit?usp=sharing"",""สุรินทร์!L204"")"),1000)</f>
        <v>1000</v>
      </c>
      <c r="AG46" s="97">
        <f ca="1">IFERROR(__xludf.DUMMYFUNCTION("IMPORTRANGE(""https://docs.google.com/spreadsheets/d/1yswqbM3-AEpThF3ZSUa1AcmHnmRTF1vlJ1CZGcJ8YuU/edit?usp=sharing"",""สุรินทร์!N204"")"),0)</f>
        <v>0</v>
      </c>
      <c r="AH46" s="98">
        <f t="shared" ca="1" si="96"/>
        <v>0</v>
      </c>
      <c r="AI46" s="97">
        <f ca="1">IFERROR(__xludf.DUMMYFUNCTION("IMPORTRANGE(""https://docs.google.com/spreadsheets/d/1yswqbM3-AEpThF3ZSUa1AcmHnmRTF1vlJ1CZGcJ8YuU/edit?usp=sharing"",""สุรินทร์!L206"")"),8000)</f>
        <v>8000</v>
      </c>
      <c r="AJ46" s="97">
        <f ca="1">IFERROR(__xludf.DUMMYFUNCTION("IMPORTRANGE(""https://docs.google.com/spreadsheets/d/1yswqbM3-AEpThF3ZSUa1AcmHnmRTF1vlJ1CZGcJ8YuU/edit?usp=sharing"",""สุรินทร์!N206"")"),0)</f>
        <v>0</v>
      </c>
      <c r="AK46" s="98">
        <f t="shared" ca="1" si="98"/>
        <v>0</v>
      </c>
      <c r="AL46" s="97">
        <f ca="1">IFERROR(__xludf.DUMMYFUNCTION("IMPORTRANGE(""https://docs.google.com/spreadsheets/d/1yswqbM3-AEpThF3ZSUa1AcmHnmRTF1vlJ1CZGcJ8YuU/edit?usp=sharing"",""สุรินทร์!L207"")"),4000)</f>
        <v>4000</v>
      </c>
      <c r="AM46" s="97">
        <f ca="1">IFERROR(__xludf.DUMMYFUNCTION("IMPORTRANGE(""https://docs.google.com/spreadsheets/d/1yswqbM3-AEpThF3ZSUa1AcmHnmRTF1vlJ1CZGcJ8YuU/edit?usp=sharing"",""สุรินทร์!N207"")"),0)</f>
        <v>0</v>
      </c>
      <c r="AN46" s="98">
        <f t="shared" ca="1" si="100"/>
        <v>0</v>
      </c>
      <c r="AO46" s="97">
        <f ca="1">IFERROR(__xludf.DUMMYFUNCTION("IMPORTRANGE(""https://docs.google.com/spreadsheets/d/1yswqbM3-AEpThF3ZSUa1AcmHnmRTF1vlJ1CZGcJ8YuU/edit?usp=sharing"",""สุรินทร์!I209"")"),1)</f>
        <v>1</v>
      </c>
      <c r="AP46" s="97">
        <f ca="1">IFERROR(__xludf.DUMMYFUNCTION("IMPORTRANGE(""https://docs.google.com/spreadsheets/d/1yswqbM3-AEpThF3ZSUa1AcmHnmRTF1vlJ1CZGcJ8YuU/edit?usp=sharing"",""สุรินทร์!J209"")"),0)</f>
        <v>0</v>
      </c>
      <c r="AQ46" s="98">
        <f t="shared" ca="1" si="102"/>
        <v>0</v>
      </c>
      <c r="AR46" s="97">
        <f ca="1">IFERROR(__xludf.DUMMYFUNCTION("IMPORTRANGE(""https://docs.google.com/spreadsheets/d/1yswqbM3-AEpThF3ZSUa1AcmHnmRTF1vlJ1CZGcJ8YuU/edit?usp=sharing"",""สุรินทร์!J211"")"),0)</f>
        <v>0</v>
      </c>
      <c r="AS46" s="97">
        <f ca="1">IFERROR(__xludf.DUMMYFUNCTION("IMPORTRANGE(""https://docs.google.com/spreadsheets/d/1yswqbM3-AEpThF3ZSUa1AcmHnmRTF1vlJ1CZGcJ8YuU/edit?usp=sharing"",""สุรินทร์!J212"")"),0)</f>
        <v>0</v>
      </c>
      <c r="AT46" s="97">
        <f ca="1">IFERROR(__xludf.DUMMYFUNCTION("IMPORTRANGE(""https://docs.google.com/spreadsheets/d/1yswqbM3-AEpThF3ZSUa1AcmHnmRTF1vlJ1CZGcJ8YuU/edit?usp=sharing"",""สุรินทร์!L215"")"),3000)</f>
        <v>3000</v>
      </c>
      <c r="AU46" s="97">
        <f ca="1">IFERROR(__xludf.DUMMYFUNCTION("IMPORTRANGE(""https://docs.google.com/spreadsheets/d/1yswqbM3-AEpThF3ZSUa1AcmHnmRTF1vlJ1CZGcJ8YuU/edit?usp=sharing"",""สุรินทร์!N215"")"),0)</f>
        <v>0</v>
      </c>
      <c r="AV46" s="98">
        <f t="shared" ca="1" si="104"/>
        <v>0</v>
      </c>
      <c r="AW46" s="97">
        <f ca="1">IFERROR(__xludf.DUMMYFUNCTION("IMPORTRANGE(""https://docs.google.com/spreadsheets/d/1yswqbM3-AEpThF3ZSUa1AcmHnmRTF1vlJ1CZGcJ8YuU/edit?usp=sharing"",""สุรินทร์!L216"")"),15000)</f>
        <v>15000</v>
      </c>
      <c r="AX46" s="97">
        <f ca="1">IFERROR(__xludf.DUMMYFUNCTION("IMPORTRANGE(""https://docs.google.com/spreadsheets/d/1yswqbM3-AEpThF3ZSUa1AcmHnmRTF1vlJ1CZGcJ8YuU/edit?usp=sharing"",""สุรินทร์!N216"")"),0)</f>
        <v>0</v>
      </c>
      <c r="AY46" s="98">
        <f t="shared" ca="1" si="106"/>
        <v>0</v>
      </c>
      <c r="AZ46" s="97">
        <f ca="1">IFERROR(__xludf.DUMMYFUNCTION("IMPORTRANGE(""https://docs.google.com/spreadsheets/d/1yswqbM3-AEpThF3ZSUa1AcmHnmRTF1vlJ1CZGcJ8YuU/edit?usp=sharing"",""สุรินทร์!L217"")"),24000)</f>
        <v>24000</v>
      </c>
      <c r="BA46" s="97">
        <f ca="1">IFERROR(__xludf.DUMMYFUNCTION("IMPORTRANGE(""https://docs.google.com/spreadsheets/d/1yswqbM3-AEpThF3ZSUa1AcmHnmRTF1vlJ1CZGcJ8YuU/edit?usp=sharing"",""สุรินทร์!N217"")"),0)</f>
        <v>0</v>
      </c>
      <c r="BB46" s="98">
        <f t="shared" ca="1" si="108"/>
        <v>0</v>
      </c>
      <c r="BC46" s="97">
        <f ca="1">IFERROR(__xludf.DUMMYFUNCTION("IMPORTRANGE(""https://docs.google.com/spreadsheets/d/1yswqbM3-AEpThF3ZSUa1AcmHnmRTF1vlJ1CZGcJ8YuU/edit?usp=sharing"",""สุรินทร์!I219"")"),3)</f>
        <v>3</v>
      </c>
      <c r="BD46" s="97">
        <f ca="1">IFERROR(__xludf.DUMMYFUNCTION("IMPORTRANGE(""https://docs.google.com/spreadsheets/d/1yswqbM3-AEpThF3ZSUa1AcmHnmRTF1vlJ1CZGcJ8YuU/edit?usp=sharing"",""สุรินทร์!J219"")"),0)</f>
        <v>0</v>
      </c>
      <c r="BE46" s="98">
        <f t="shared" ca="1" si="110"/>
        <v>0</v>
      </c>
      <c r="BF46" s="97">
        <f ca="1">IFERROR(__xludf.DUMMYFUNCTION("IMPORTRANGE(""https://docs.google.com/spreadsheets/d/1yswqbM3-AEpThF3ZSUa1AcmHnmRTF1vlJ1CZGcJ8YuU/edit?usp=sharing"",""สุรินทร์!I220"")"),3)</f>
        <v>3</v>
      </c>
      <c r="BG46" s="97">
        <f ca="1">IFERROR(__xludf.DUMMYFUNCTION("IMPORTRANGE(""https://docs.google.com/spreadsheets/d/1yswqbM3-AEpThF3ZSUa1AcmHnmRTF1vlJ1CZGcJ8YuU/edit?usp=sharing"",""สุรินทร์!J220"")"),0)</f>
        <v>0</v>
      </c>
      <c r="BH46" s="98">
        <f t="shared" ca="1" si="112"/>
        <v>0</v>
      </c>
      <c r="BI46" s="97">
        <f ca="1">IFERROR(__xludf.DUMMYFUNCTION("IMPORTRANGE(""https://docs.google.com/spreadsheets/d/1yswqbM3-AEpThF3ZSUa1AcmHnmRTF1vlJ1CZGcJ8YuU/edit?usp=sharing"",""สุรินทร์!L223"")"),3000)</f>
        <v>3000</v>
      </c>
      <c r="BJ46" s="97">
        <f ca="1">IFERROR(__xludf.DUMMYFUNCTION("IMPORTRANGE(""https://docs.google.com/spreadsheets/d/1yswqbM3-AEpThF3ZSUa1AcmHnmRTF1vlJ1CZGcJ8YuU/edit?usp=sharing"",""สุรินทร์!N223"")"),0)</f>
        <v>0</v>
      </c>
      <c r="BK46" s="98">
        <f t="shared" ca="1" si="114"/>
        <v>0</v>
      </c>
      <c r="BL46" s="97">
        <f ca="1">IFERROR(__xludf.DUMMYFUNCTION("IMPORTRANGE(""https://docs.google.com/spreadsheets/d/1yswqbM3-AEpThF3ZSUa1AcmHnmRTF1vlJ1CZGcJ8YuU/edit?usp=sharing"",""สุรินทร์!L224"")"),1500)</f>
        <v>1500</v>
      </c>
      <c r="BM46" s="97">
        <f ca="1">IFERROR(__xludf.DUMMYFUNCTION("IMPORTRANGE(""https://docs.google.com/spreadsheets/d/1yswqbM3-AEpThF3ZSUa1AcmHnmRTF1vlJ1CZGcJ8YuU/edit?usp=sharing"",""สุรินทร์!N224"")"),0)</f>
        <v>0</v>
      </c>
      <c r="BN46" s="98">
        <f t="shared" ca="1" si="116"/>
        <v>0</v>
      </c>
      <c r="BO46" s="97">
        <f ca="1">IFERROR(__xludf.DUMMYFUNCTION("IMPORTRANGE(""https://docs.google.com/spreadsheets/d/1yswqbM3-AEpThF3ZSUa1AcmHnmRTF1vlJ1CZGcJ8YuU/edit?usp=sharing"",""สุรินทร์!I228"")"),15000)</f>
        <v>15000</v>
      </c>
      <c r="BP46" s="97">
        <f ca="1">IFERROR(__xludf.DUMMYFUNCTION("IMPORTRANGE(""https://docs.google.com/spreadsheets/d/1yswqbM3-AEpThF3ZSUa1AcmHnmRTF1vlJ1CZGcJ8YuU/edit?usp=sharing"",""สุรินทร์!J228"")"),0)</f>
        <v>0</v>
      </c>
      <c r="BQ46" s="98">
        <f t="shared" ca="1" si="118"/>
        <v>0</v>
      </c>
      <c r="BR46" s="97">
        <f ca="1">IFERROR(__xludf.DUMMYFUNCTION("IMPORTRANGE(""https://docs.google.com/spreadsheets/d/1yswqbM3-AEpThF3ZSUa1AcmHnmRTF1vlJ1CZGcJ8YuU/edit?usp=sharing"",""สุรินทร์!I229"")"),15000)</f>
        <v>15000</v>
      </c>
      <c r="BS46" s="97">
        <f ca="1">IFERROR(__xludf.DUMMYFUNCTION("IMPORTRANGE(""https://docs.google.com/spreadsheets/d/1yswqbM3-AEpThF3ZSUa1AcmHnmRTF1vlJ1CZGcJ8YuU/edit?usp=sharing"",""สุรินทร์!J229"")"),0)</f>
        <v>0</v>
      </c>
      <c r="BT46" s="98">
        <f t="shared" ca="1" si="120"/>
        <v>0</v>
      </c>
      <c r="BU46" s="97">
        <f ca="1">IFERROR(__xludf.DUMMYFUNCTION("IMPORTRANGE(""https://docs.google.com/spreadsheets/d/1yswqbM3-AEpThF3ZSUa1AcmHnmRTF1vlJ1CZGcJ8YuU/edit?usp=sharing"",""สุรินทร์!I230"")"),0)</f>
        <v>0</v>
      </c>
      <c r="BV46" s="97">
        <f ca="1">IFERROR(__xludf.DUMMYFUNCTION("IMPORTRANGE(""https://docs.google.com/spreadsheets/d/1yswqbM3-AEpThF3ZSUa1AcmHnmRTF1vlJ1CZGcJ8YuU/edit?usp=sharing"",""สุรินทร์!J230"")"),0)</f>
        <v>0</v>
      </c>
      <c r="BW46" s="98">
        <f t="shared" ca="1" si="122"/>
        <v>0</v>
      </c>
      <c r="BX46" s="97">
        <f ca="1">IFERROR(__xludf.DUMMYFUNCTION("IMPORTRANGE(""https://docs.google.com/spreadsheets/d/1yswqbM3-AEpThF3ZSUa1AcmHnmRTF1vlJ1CZGcJ8YuU/edit?usp=sharing"",""สุรินทร์!L233"")"),0)</f>
        <v>0</v>
      </c>
      <c r="BY46" s="97">
        <f ca="1">IFERROR(__xludf.DUMMYFUNCTION("IMPORTRANGE(""https://docs.google.com/spreadsheets/d/1yswqbM3-AEpThF3ZSUa1AcmHnmRTF1vlJ1CZGcJ8YuU/edit?usp=sharing"",""สุรินทร์!N233"")"),0)</f>
        <v>0</v>
      </c>
      <c r="BZ46" s="98">
        <f t="shared" ca="1" si="124"/>
        <v>0</v>
      </c>
      <c r="CA46" s="97">
        <f ca="1">IFERROR(__xludf.DUMMYFUNCTION("IMPORTRANGE(""https://docs.google.com/spreadsheets/d/1yswqbM3-AEpThF3ZSUa1AcmHnmRTF1vlJ1CZGcJ8YuU/edit?usp=sharing"",""สุรินทร์!L234"")"),0)</f>
        <v>0</v>
      </c>
      <c r="CB46" s="97">
        <f ca="1">IFERROR(__xludf.DUMMYFUNCTION("IMPORTRANGE(""https://docs.google.com/spreadsheets/d/1yswqbM3-AEpThF3ZSUa1AcmHnmRTF1vlJ1CZGcJ8YuU/edit?usp=sharing"",""สุรินทร์!N234"")"),0)</f>
        <v>0</v>
      </c>
      <c r="CC46" s="98">
        <f t="shared" ca="1" si="126"/>
        <v>0</v>
      </c>
      <c r="CD46" s="97">
        <f ca="1">IFERROR(__xludf.DUMMYFUNCTION("IMPORTRANGE(""https://docs.google.com/spreadsheets/d/1yswqbM3-AEpThF3ZSUa1AcmHnmRTF1vlJ1CZGcJ8YuU/edit?usp=sharing"",""สุรินทร์!L235"")"),0)</f>
        <v>0</v>
      </c>
      <c r="CE46" s="97">
        <f ca="1">IFERROR(__xludf.DUMMYFUNCTION("IMPORTRANGE(""https://docs.google.com/spreadsheets/d/1yswqbM3-AEpThF3ZSUa1AcmHnmRTF1vlJ1CZGcJ8YuU/edit?usp=sharing"",""สุรินทร์!N235"")"),0)</f>
        <v>0</v>
      </c>
      <c r="CF46" s="98">
        <f t="shared" ca="1" si="128"/>
        <v>0</v>
      </c>
      <c r="CG46" s="97">
        <f ca="1">IFERROR(__xludf.DUMMYFUNCTION("IMPORTRANGE(""https://docs.google.com/spreadsheets/d/1yswqbM3-AEpThF3ZSUa1AcmHnmRTF1vlJ1CZGcJ8YuU/edit?usp=sharing"",""สุรินทร์!L236"")"),0)</f>
        <v>0</v>
      </c>
      <c r="CH46" s="97">
        <f ca="1">IFERROR(__xludf.DUMMYFUNCTION("IMPORTRANGE(""https://docs.google.com/spreadsheets/d/1yswqbM3-AEpThF3ZSUa1AcmHnmRTF1vlJ1CZGcJ8YuU/edit?usp=sharing"",""สุรินทร์!N236"")"),0)</f>
        <v>0</v>
      </c>
      <c r="CI46" s="98">
        <f t="shared" ca="1" si="130"/>
        <v>0</v>
      </c>
      <c r="CJ46" s="97">
        <f ca="1">IFERROR(__xludf.DUMMYFUNCTION("IMPORTRANGE(""https://docs.google.com/spreadsheets/d/1yswqbM3-AEpThF3ZSUa1AcmHnmRTF1vlJ1CZGcJ8YuU/edit?usp=sharing"",""สุรินทร์!I238"")"),0)</f>
        <v>0</v>
      </c>
      <c r="CK46" s="97">
        <f ca="1">IFERROR(__xludf.DUMMYFUNCTION("IMPORTRANGE(""https://docs.google.com/spreadsheets/d/1yswqbM3-AEpThF3ZSUa1AcmHnmRTF1vlJ1CZGcJ8YuU/edit?usp=sharing"",""สุรินทร์!J238"")"),0)</f>
        <v>0</v>
      </c>
      <c r="CL46" s="98">
        <f t="shared" ca="1" si="132"/>
        <v>0</v>
      </c>
      <c r="CM46" s="97">
        <f ca="1">IFERROR(__xludf.DUMMYFUNCTION("IMPORTRANGE(""https://docs.google.com/spreadsheets/d/1yswqbM3-AEpThF3ZSUa1AcmHnmRTF1vlJ1CZGcJ8YuU/edit?usp=sharing"",""สุรินทร์!J240"")"),0)</f>
        <v>0</v>
      </c>
      <c r="CN46" s="97">
        <f ca="1">IFERROR(__xludf.DUMMYFUNCTION("IMPORTRANGE(""https://docs.google.com/spreadsheets/d/1yswqbM3-AEpThF3ZSUa1AcmHnmRTF1vlJ1CZGcJ8YuU/edit?usp=sharing"",""สุรินทร์!J241"")"),0)</f>
        <v>0</v>
      </c>
    </row>
    <row r="47" spans="1:92" ht="21" customHeight="1" x14ac:dyDescent="0.3">
      <c r="A47" s="89">
        <v>16</v>
      </c>
      <c r="B47" s="90" t="s">
        <v>73</v>
      </c>
      <c r="C47" s="174">
        <f t="shared" ca="1" si="80"/>
        <v>146500</v>
      </c>
      <c r="D47" s="175">
        <f t="shared" ca="1" si="159"/>
        <v>146500</v>
      </c>
      <c r="E47" s="176">
        <f ca="1">IFERROR(__xludf.DUMMYFUNCTION("IMPORTRANGE(""https://docs.google.com/spreadsheets/d/1-uDff_7J0KD5mKrp0Vvzr7lt3OU09vwQwhkpOPPYv2Y/edit?usp=sharing"",""งบพรบ!CV47"")"),91000)</f>
        <v>91000</v>
      </c>
      <c r="F47" s="176">
        <f ca="1">IFERROR(__xludf.DUMMYFUNCTION("IMPORTRANGE(""https://docs.google.com/spreadsheets/d/1-uDff_7J0KD5mKrp0Vvzr7lt3OU09vwQwhkpOPPYv2Y/edit?usp=sharing"",""งบพรบ!CW47"")"),55500)</f>
        <v>55500</v>
      </c>
      <c r="G47" s="176">
        <f ca="1">IFERROR(__xludf.DUMMYFUNCTION("IMPORTRANGE(""https://docs.google.com/spreadsheets/d/1-uDff_7J0KD5mKrp0Vvzr7lt3OU09vwQwhkpOPPYv2Y/edit?usp=sharing"",""งบพรบ!CX47"")"),0)</f>
        <v>0</v>
      </c>
      <c r="H47" s="176">
        <f ca="1">IFERROR(__xludf.DUMMYFUNCTION("IMPORTRANGE(""https://docs.google.com/spreadsheets/d/1-uDff_7J0KD5mKrp0Vvzr7lt3OU09vwQwhkpOPPYv2Y/edit?usp=sharing"",""งบพรบ!CZ47"")"),146500)</f>
        <v>146500</v>
      </c>
      <c r="I47" s="176">
        <f ca="1">IFERROR(__xludf.DUMMYFUNCTION("IMPORTRANGE(""https://docs.google.com/spreadsheets/d/1-uDff_7J0KD5mKrp0Vvzr7lt3OU09vwQwhkpOPPYv2Y/edit?usp=sharing"",""งบพรบ!DA47"")"),0)</f>
        <v>0</v>
      </c>
      <c r="J47" s="176">
        <f t="shared" ca="1" si="82"/>
        <v>38134</v>
      </c>
      <c r="K47" s="179">
        <f t="shared" ca="1" si="83"/>
        <v>26.030034129692833</v>
      </c>
      <c r="L47" s="176">
        <f ca="1">IFERROR(__xludf.DUMMYFUNCTION("IMPORTRANGE(""https://docs.google.com/spreadsheets/d/1-uDff_7J0KD5mKrp0Vvzr7lt3OU09vwQwhkpOPPYv2Y/edit?usp=sharing"",""งบพรบ!DB47"")"),38134)</f>
        <v>38134</v>
      </c>
      <c r="M47" s="87">
        <f t="shared" ca="1" si="84"/>
        <v>26.030034129692833</v>
      </c>
      <c r="N47" s="87">
        <f t="shared" ca="1" si="85"/>
        <v>26.030034129692833</v>
      </c>
      <c r="O47" s="86">
        <f ca="1">IFERROR(__xludf.DUMMYFUNCTION("IMPORTRANGE(""https://docs.google.com/spreadsheets/d/1-uDff_7J0KD5mKrp0Vvzr7lt3OU09vwQwhkpOPPYv2Y/edit?usp=sharing"",""งบพรบ!DC47"")"),0)</f>
        <v>0</v>
      </c>
      <c r="P47" s="86">
        <f t="shared" ca="1" si="86"/>
        <v>0</v>
      </c>
      <c r="Q47" s="87">
        <f t="shared" ca="1" si="87"/>
        <v>0</v>
      </c>
      <c r="R47" s="241">
        <f ca="1">IFERROR(__xludf.DUMMYFUNCTION("IMPORTRANGE(""https://docs.google.com/spreadsheets/d/13JHU_EFbsQOUQ0JSQ3dWy1VTRosIWcDq6Nc99z2qzdc/edit?usp=sharing"",""หนองคาย!Q186"")"),91700)</f>
        <v>91700</v>
      </c>
      <c r="S47" s="242">
        <f ca="1">IFERROR(__xludf.DUMMYFUNCTION("IMPORTRANGE(""https://docs.google.com/spreadsheets/d/13JHU_EFbsQOUQ0JSQ3dWy1VTRosIWcDq6Nc99z2qzdc/edit?usp=sharing"",""หนองคาย!R186"")"),0)</f>
        <v>0</v>
      </c>
      <c r="T47" s="242">
        <f ca="1">IFERROR(__xludf.DUMMYFUNCTION("IMPORTRANGE(""https://docs.google.com/spreadsheets/d/13JHU_EFbsQOUQ0JSQ3dWy1VTRosIWcDq6Nc99z2qzdc/edit?usp=sharing"",""หนองคาย!S186"")"),0)</f>
        <v>0</v>
      </c>
      <c r="U47" s="243">
        <f t="shared" ca="1" si="89"/>
        <v>0</v>
      </c>
      <c r="V47" s="243">
        <f t="shared" ca="1" si="90"/>
        <v>0</v>
      </c>
      <c r="W47" s="97">
        <f ca="1">IFERROR(__xludf.DUMMYFUNCTION("IMPORTRANGE(""https://docs.google.com/spreadsheets/d/13JHU_EFbsQOUQ0JSQ3dWy1VTRosIWcDq6Nc99z2qzdc/edit?usp=sharing"",""หนองคาย!L196"")"),6000)</f>
        <v>6000</v>
      </c>
      <c r="X47" s="97">
        <f ca="1">IFERROR(__xludf.DUMMYFUNCTION("IMPORTRANGE(""https://docs.google.com/spreadsheets/d/13JHU_EFbsQOUQ0JSQ3dWy1VTRosIWcDq6Nc99z2qzdc/edit?usp=sharing"",""หนองคาย!N196"")"),0)</f>
        <v>0</v>
      </c>
      <c r="Y47" s="98">
        <f t="shared" ca="1" si="92"/>
        <v>0</v>
      </c>
      <c r="Z47" s="97">
        <f ca="1">IFERROR(__xludf.DUMMYFUNCTION("IMPORTRANGE(""https://docs.google.com/spreadsheets/d/13JHU_EFbsQOUQ0JSQ3dWy1VTRosIWcDq6Nc99z2qzdc/edit?usp=sharing"",""หนองคาย!I198"")"),4)</f>
        <v>4</v>
      </c>
      <c r="AA47" s="97">
        <f ca="1">IFERROR(__xludf.DUMMYFUNCTION("IMPORTRANGE(""https://docs.google.com/spreadsheets/d/13JHU_EFbsQOUQ0JSQ3dWy1VTRosIWcDq6Nc99z2qzdc/edit?usp=sharing"",""หนองคาย!J198"")"),0)</f>
        <v>0</v>
      </c>
      <c r="AB47" s="98">
        <f t="shared" ca="1" si="94"/>
        <v>0</v>
      </c>
      <c r="AC47" s="97">
        <f ca="1">IFERROR(__xludf.DUMMYFUNCTION("IMPORTRANGE(""https://docs.google.com/spreadsheets/d/13JHU_EFbsQOUQ0JSQ3dWy1VTRosIWcDq6Nc99z2qzdc/edit?usp=sharing"",""หนองคาย!J199"")"),0)</f>
        <v>0</v>
      </c>
      <c r="AD47" s="97">
        <f ca="1">IFERROR(__xludf.DUMMYFUNCTION("IMPORTRANGE(""https://docs.google.com/spreadsheets/d/13JHU_EFbsQOUQ0JSQ3dWy1VTRosIWcDq6Nc99z2qzdc/edit?usp=sharing"",""หนองคาย!J200"")"),0)</f>
        <v>0</v>
      </c>
      <c r="AE47" s="97">
        <f ca="1">IFERROR(__xludf.DUMMYFUNCTION("IMPORTRANGE(""https://docs.google.com/spreadsheets/d/13JHU_EFbsQOUQ0JSQ3dWy1VTRosIWcDq6Nc99z2qzdc/edit?usp=sharing"",""หนองคาย!J201"")"),0)</f>
        <v>0</v>
      </c>
      <c r="AF47" s="97">
        <f ca="1">IFERROR(__xludf.DUMMYFUNCTION("IMPORTRANGE(""https://docs.google.com/spreadsheets/d/13JHU_EFbsQOUQ0JSQ3dWy1VTRosIWcDq6Nc99z2qzdc/edit?usp=sharing"",""หนองคาย!L204"")"),2000)</f>
        <v>2000</v>
      </c>
      <c r="AG47" s="97">
        <f ca="1">IFERROR(__xludf.DUMMYFUNCTION("IMPORTRANGE(""https://docs.google.com/spreadsheets/d/13JHU_EFbsQOUQ0JSQ3dWy1VTRosIWcDq6Nc99z2qzdc/edit?usp=sharing"",""หนองคาย!N204"")"),0)</f>
        <v>0</v>
      </c>
      <c r="AH47" s="98">
        <f t="shared" ca="1" si="96"/>
        <v>0</v>
      </c>
      <c r="AI47" s="97">
        <f ca="1">IFERROR(__xludf.DUMMYFUNCTION("IMPORTRANGE(""https://docs.google.com/spreadsheets/d/13JHU_EFbsQOUQ0JSQ3dWy1VTRosIWcDq6Nc99z2qzdc/edit?usp=sharing"",""หนองคาย!L206"")"),16000)</f>
        <v>16000</v>
      </c>
      <c r="AJ47" s="97">
        <f ca="1">IFERROR(__xludf.DUMMYFUNCTION("IMPORTRANGE(""https://docs.google.com/spreadsheets/d/13JHU_EFbsQOUQ0JSQ3dWy1VTRosIWcDq6Nc99z2qzdc/edit?usp=sharing"",""หนองคาย!N206"")"),0)</f>
        <v>0</v>
      </c>
      <c r="AK47" s="98">
        <f t="shared" ca="1" si="98"/>
        <v>0</v>
      </c>
      <c r="AL47" s="97">
        <f ca="1">IFERROR(__xludf.DUMMYFUNCTION("IMPORTRANGE(""https://docs.google.com/spreadsheets/d/13JHU_EFbsQOUQ0JSQ3dWy1VTRosIWcDq6Nc99z2qzdc/edit?usp=sharing"",""หนองคาย!L207"")"),11000)</f>
        <v>11000</v>
      </c>
      <c r="AM47" s="97">
        <f ca="1">IFERROR(__xludf.DUMMYFUNCTION("IMPORTRANGE(""https://docs.google.com/spreadsheets/d/13JHU_EFbsQOUQ0JSQ3dWy1VTRosIWcDq6Nc99z2qzdc/edit?usp=sharing"",""หนองคาย!N207"")"),0)</f>
        <v>0</v>
      </c>
      <c r="AN47" s="98">
        <f t="shared" ca="1" si="100"/>
        <v>0</v>
      </c>
      <c r="AO47" s="97">
        <f ca="1">IFERROR(__xludf.DUMMYFUNCTION("IMPORTRANGE(""https://docs.google.com/spreadsheets/d/13JHU_EFbsQOUQ0JSQ3dWy1VTRosIWcDq6Nc99z2qzdc/edit?usp=sharing"",""หนองคาย!I209"")"),2)</f>
        <v>2</v>
      </c>
      <c r="AP47" s="97">
        <f ca="1">IFERROR(__xludf.DUMMYFUNCTION("IMPORTRANGE(""https://docs.google.com/spreadsheets/d/13JHU_EFbsQOUQ0JSQ3dWy1VTRosIWcDq6Nc99z2qzdc/edit?usp=sharing"",""หนองคาย!J209"")"),0)</f>
        <v>0</v>
      </c>
      <c r="AQ47" s="98">
        <f t="shared" ca="1" si="102"/>
        <v>0</v>
      </c>
      <c r="AR47" s="97">
        <f ca="1">IFERROR(__xludf.DUMMYFUNCTION("IMPORTRANGE(""https://docs.google.com/spreadsheets/d/13JHU_EFbsQOUQ0JSQ3dWy1VTRosIWcDq6Nc99z2qzdc/edit?usp=sharing"",""หนองคาย!J211"")"),0)</f>
        <v>0</v>
      </c>
      <c r="AS47" s="97">
        <f ca="1">IFERROR(__xludf.DUMMYFUNCTION("IMPORTRANGE(""https://docs.google.com/spreadsheets/d/13JHU_EFbsQOUQ0JSQ3dWy1VTRosIWcDq6Nc99z2qzdc/edit?usp=sharing"",""หนองคาย!J212"")"),0)</f>
        <v>0</v>
      </c>
      <c r="AT47" s="97">
        <f ca="1">IFERROR(__xludf.DUMMYFUNCTION("IMPORTRANGE(""https://docs.google.com/spreadsheets/d/13JHU_EFbsQOUQ0JSQ3dWy1VTRosIWcDq6Nc99z2qzdc/edit?usp=sharing"",""หนองคาย!L215"")"),1000)</f>
        <v>1000</v>
      </c>
      <c r="AU47" s="97">
        <f ca="1">IFERROR(__xludf.DUMMYFUNCTION("IMPORTRANGE(""https://docs.google.com/spreadsheets/d/13JHU_EFbsQOUQ0JSQ3dWy1VTRosIWcDq6Nc99z2qzdc/edit?usp=sharing"",""หนองคาย!N215"")"),0)</f>
        <v>0</v>
      </c>
      <c r="AV47" s="98">
        <f t="shared" ca="1" si="104"/>
        <v>0</v>
      </c>
      <c r="AW47" s="97">
        <f ca="1">IFERROR(__xludf.DUMMYFUNCTION("IMPORTRANGE(""https://docs.google.com/spreadsheets/d/13JHU_EFbsQOUQ0JSQ3dWy1VTRosIWcDq6Nc99z2qzdc/edit?usp=sharing"",""หนองคาย!L216"")"),5000)</f>
        <v>5000</v>
      </c>
      <c r="AX47" s="97">
        <f ca="1">IFERROR(__xludf.DUMMYFUNCTION("IMPORTRANGE(""https://docs.google.com/spreadsheets/d/13JHU_EFbsQOUQ0JSQ3dWy1VTRosIWcDq6Nc99z2qzdc/edit?usp=sharing"",""หนองคาย!N216"")"),0)</f>
        <v>0</v>
      </c>
      <c r="AY47" s="98">
        <f t="shared" ca="1" si="106"/>
        <v>0</v>
      </c>
      <c r="AZ47" s="97">
        <f ca="1">IFERROR(__xludf.DUMMYFUNCTION("IMPORTRANGE(""https://docs.google.com/spreadsheets/d/13JHU_EFbsQOUQ0JSQ3dWy1VTRosIWcDq6Nc99z2qzdc/edit?usp=sharing"",""หนองคาย!L217"")"),8000)</f>
        <v>8000</v>
      </c>
      <c r="BA47" s="97">
        <f ca="1">IFERROR(__xludf.DUMMYFUNCTION("IMPORTRANGE(""https://docs.google.com/spreadsheets/d/13JHU_EFbsQOUQ0JSQ3dWy1VTRosIWcDq6Nc99z2qzdc/edit?usp=sharing"",""หนองคาย!N217"")"),0)</f>
        <v>0</v>
      </c>
      <c r="BB47" s="98">
        <f t="shared" ca="1" si="108"/>
        <v>0</v>
      </c>
      <c r="BC47" s="97">
        <f ca="1">IFERROR(__xludf.DUMMYFUNCTION("IMPORTRANGE(""https://docs.google.com/spreadsheets/d/13JHU_EFbsQOUQ0JSQ3dWy1VTRosIWcDq6Nc99z2qzdc/edit?usp=sharing"",""หนองคาย!I219"")"),1)</f>
        <v>1</v>
      </c>
      <c r="BD47" s="97">
        <f ca="1">IFERROR(__xludf.DUMMYFUNCTION("IMPORTRANGE(""https://docs.google.com/spreadsheets/d/13JHU_EFbsQOUQ0JSQ3dWy1VTRosIWcDq6Nc99z2qzdc/edit?usp=sharing"",""หนองคาย!J219"")"),0)</f>
        <v>0</v>
      </c>
      <c r="BE47" s="98">
        <f t="shared" ca="1" si="110"/>
        <v>0</v>
      </c>
      <c r="BF47" s="97">
        <f ca="1">IFERROR(__xludf.DUMMYFUNCTION("IMPORTRANGE(""https://docs.google.com/spreadsheets/d/13JHU_EFbsQOUQ0JSQ3dWy1VTRosIWcDq6Nc99z2qzdc/edit?usp=sharing"",""หนองคาย!I220"")"),1)</f>
        <v>1</v>
      </c>
      <c r="BG47" s="97">
        <f ca="1">IFERROR(__xludf.DUMMYFUNCTION("IMPORTRANGE(""https://docs.google.com/spreadsheets/d/13JHU_EFbsQOUQ0JSQ3dWy1VTRosIWcDq6Nc99z2qzdc/edit?usp=sharing"",""หนองคาย!J220"")"),0)</f>
        <v>0</v>
      </c>
      <c r="BH47" s="98">
        <f t="shared" ca="1" si="112"/>
        <v>0</v>
      </c>
      <c r="BI47" s="97">
        <f ca="1">IFERROR(__xludf.DUMMYFUNCTION("IMPORTRANGE(""https://docs.google.com/spreadsheets/d/13JHU_EFbsQOUQ0JSQ3dWy1VTRosIWcDq6Nc99z2qzdc/edit?usp=sharing"",""หนองคาย!L223"")"),5000)</f>
        <v>5000</v>
      </c>
      <c r="BJ47" s="97">
        <f ca="1">IFERROR(__xludf.DUMMYFUNCTION("IMPORTRANGE(""https://docs.google.com/spreadsheets/d/13JHU_EFbsQOUQ0JSQ3dWy1VTRosIWcDq6Nc99z2qzdc/edit?usp=sharing"",""หนองคาย!N223"")"),0)</f>
        <v>0</v>
      </c>
      <c r="BK47" s="98">
        <f t="shared" ca="1" si="114"/>
        <v>0</v>
      </c>
      <c r="BL47" s="97">
        <f ca="1">IFERROR(__xludf.DUMMYFUNCTION("IMPORTRANGE(""https://docs.google.com/spreadsheets/d/13JHU_EFbsQOUQ0JSQ3dWy1VTRosIWcDq6Nc99z2qzdc/edit?usp=sharing"",""หนองคาย!L224"")"),1500)</f>
        <v>1500</v>
      </c>
      <c r="BM47" s="97">
        <f ca="1">IFERROR(__xludf.DUMMYFUNCTION("IMPORTRANGE(""https://docs.google.com/spreadsheets/d/13JHU_EFbsQOUQ0JSQ3dWy1VTRosIWcDq6Nc99z2qzdc/edit?usp=sharing"",""หนองคาย!N224"")"),0)</f>
        <v>0</v>
      </c>
      <c r="BN47" s="98">
        <f t="shared" ca="1" si="116"/>
        <v>0</v>
      </c>
      <c r="BO47" s="97">
        <f ca="1">IFERROR(__xludf.DUMMYFUNCTION("IMPORTRANGE(""https://docs.google.com/spreadsheets/d/13JHU_EFbsQOUQ0JSQ3dWy1VTRosIWcDq6Nc99z2qzdc/edit?usp=sharing"",""หนองคาย!I228"")"),30000)</f>
        <v>30000</v>
      </c>
      <c r="BP47" s="97">
        <f ca="1">IFERROR(__xludf.DUMMYFUNCTION("IMPORTRANGE(""https://docs.google.com/spreadsheets/d/13JHU_EFbsQOUQ0JSQ3dWy1VTRosIWcDq6Nc99z2qzdc/edit?usp=sharing"",""หนองคาย!J228"")"),0)</f>
        <v>0</v>
      </c>
      <c r="BQ47" s="98">
        <f t="shared" ca="1" si="118"/>
        <v>0</v>
      </c>
      <c r="BR47" s="97">
        <f ca="1">IFERROR(__xludf.DUMMYFUNCTION("IMPORTRANGE(""https://docs.google.com/spreadsheets/d/13JHU_EFbsQOUQ0JSQ3dWy1VTRosIWcDq6Nc99z2qzdc/edit?usp=sharing"",""หนองคาย!I229"")"),30000)</f>
        <v>30000</v>
      </c>
      <c r="BS47" s="97">
        <f ca="1">IFERROR(__xludf.DUMMYFUNCTION("IMPORTRANGE(""https://docs.google.com/spreadsheets/d/13JHU_EFbsQOUQ0JSQ3dWy1VTRosIWcDq6Nc99z2qzdc/edit?usp=sharing"",""หนองคาย!J229"")"),0)</f>
        <v>0</v>
      </c>
      <c r="BT47" s="98">
        <f t="shared" ca="1" si="120"/>
        <v>0</v>
      </c>
      <c r="BU47" s="97">
        <f ca="1">IFERROR(__xludf.DUMMYFUNCTION("IMPORTRANGE(""https://docs.google.com/spreadsheets/d/13JHU_EFbsQOUQ0JSQ3dWy1VTRosIWcDq6Nc99z2qzdc/edit?usp=sharing"",""หนองคาย!I230"")"),0)</f>
        <v>0</v>
      </c>
      <c r="BV47" s="97">
        <f ca="1">IFERROR(__xludf.DUMMYFUNCTION("IMPORTRANGE(""https://docs.google.com/spreadsheets/d/13JHU_EFbsQOUQ0JSQ3dWy1VTRosIWcDq6Nc99z2qzdc/edit?usp=sharing"",""หนองคาย!J230"")"),0)</f>
        <v>0</v>
      </c>
      <c r="BW47" s="98">
        <f t="shared" ca="1" si="122"/>
        <v>0</v>
      </c>
      <c r="BX47" s="97">
        <f ca="1">IFERROR(__xludf.DUMMYFUNCTION("IMPORTRANGE(""https://docs.google.com/spreadsheets/d/13JHU_EFbsQOUQ0JSQ3dWy1VTRosIWcDq6Nc99z2qzdc/edit?usp=sharing"",""หนองคาย!L233"")"),0)</f>
        <v>0</v>
      </c>
      <c r="BY47" s="97">
        <f ca="1">IFERROR(__xludf.DUMMYFUNCTION("IMPORTRANGE(""https://docs.google.com/spreadsheets/d/13JHU_EFbsQOUQ0JSQ3dWy1VTRosIWcDq6Nc99z2qzdc/edit?usp=sharing"",""หนองคาย!N233"")"),0)</f>
        <v>0</v>
      </c>
      <c r="BZ47" s="98">
        <f t="shared" ca="1" si="124"/>
        <v>0</v>
      </c>
      <c r="CA47" s="97">
        <f ca="1">IFERROR(__xludf.DUMMYFUNCTION("IMPORTRANGE(""https://docs.google.com/spreadsheets/d/13JHU_EFbsQOUQ0JSQ3dWy1VTRosIWcDq6Nc99z2qzdc/edit?usp=sharing"",""หนองคาย!L234"")"),0)</f>
        <v>0</v>
      </c>
      <c r="CB47" s="97">
        <f ca="1">IFERROR(__xludf.DUMMYFUNCTION("IMPORTRANGE(""https://docs.google.com/spreadsheets/d/13JHU_EFbsQOUQ0JSQ3dWy1VTRosIWcDq6Nc99z2qzdc/edit?usp=sharing"",""หนองคาย!N234"")"),0)</f>
        <v>0</v>
      </c>
      <c r="CC47" s="98">
        <f t="shared" ca="1" si="126"/>
        <v>0</v>
      </c>
      <c r="CD47" s="97">
        <f ca="1">IFERROR(__xludf.DUMMYFUNCTION("IMPORTRANGE(""https://docs.google.com/spreadsheets/d/13JHU_EFbsQOUQ0JSQ3dWy1VTRosIWcDq6Nc99z2qzdc/edit?usp=sharing"",""หนองคาย!L235"")"),0)</f>
        <v>0</v>
      </c>
      <c r="CE47" s="97">
        <f ca="1">IFERROR(__xludf.DUMMYFUNCTION("IMPORTRANGE(""https://docs.google.com/spreadsheets/d/13JHU_EFbsQOUQ0JSQ3dWy1VTRosIWcDq6Nc99z2qzdc/edit?usp=sharing"",""หนองคาย!N235"")"),0)</f>
        <v>0</v>
      </c>
      <c r="CF47" s="98">
        <f t="shared" ca="1" si="128"/>
        <v>0</v>
      </c>
      <c r="CG47" s="97">
        <f ca="1">IFERROR(__xludf.DUMMYFUNCTION("IMPORTRANGE(""https://docs.google.com/spreadsheets/d/13JHU_EFbsQOUQ0JSQ3dWy1VTRosIWcDq6Nc99z2qzdc/edit?usp=sharing"",""หนองคาย!L236"")"),0)</f>
        <v>0</v>
      </c>
      <c r="CH47" s="97">
        <f ca="1">IFERROR(__xludf.DUMMYFUNCTION("IMPORTRANGE(""https://docs.google.com/spreadsheets/d/13JHU_EFbsQOUQ0JSQ3dWy1VTRosIWcDq6Nc99z2qzdc/edit?usp=sharing"",""หนองคาย!N236"")"),0)</f>
        <v>0</v>
      </c>
      <c r="CI47" s="98">
        <f t="shared" ca="1" si="130"/>
        <v>0</v>
      </c>
      <c r="CJ47" s="97">
        <f ca="1">IFERROR(__xludf.DUMMYFUNCTION("IMPORTRANGE(""https://docs.google.com/spreadsheets/d/13JHU_EFbsQOUQ0JSQ3dWy1VTRosIWcDq6Nc99z2qzdc/edit?usp=sharing"",""หนองคาย!I238"")"),0)</f>
        <v>0</v>
      </c>
      <c r="CK47" s="97">
        <f ca="1">IFERROR(__xludf.DUMMYFUNCTION("IMPORTRANGE(""https://docs.google.com/spreadsheets/d/13JHU_EFbsQOUQ0JSQ3dWy1VTRosIWcDq6Nc99z2qzdc/edit?usp=sharing"",""หนองคาย!J238"")"),0)</f>
        <v>0</v>
      </c>
      <c r="CL47" s="98">
        <f t="shared" ca="1" si="132"/>
        <v>0</v>
      </c>
      <c r="CM47" s="97">
        <f ca="1">IFERROR(__xludf.DUMMYFUNCTION("IMPORTRANGE(""https://docs.google.com/spreadsheets/d/13JHU_EFbsQOUQ0JSQ3dWy1VTRosIWcDq6Nc99z2qzdc/edit?usp=sharing"",""หนองคาย!J240"")"),0)</f>
        <v>0</v>
      </c>
      <c r="CN47" s="97">
        <f ca="1">IFERROR(__xludf.DUMMYFUNCTION("IMPORTRANGE(""https://docs.google.com/spreadsheets/d/13JHU_EFbsQOUQ0JSQ3dWy1VTRosIWcDq6Nc99z2qzdc/edit?usp=sharing"",""หนองคาย!J241"")"),0)</f>
        <v>0</v>
      </c>
    </row>
    <row r="48" spans="1:92" ht="21" customHeight="1" x14ac:dyDescent="0.3">
      <c r="A48" s="89">
        <v>17</v>
      </c>
      <c r="B48" s="90" t="s">
        <v>74</v>
      </c>
      <c r="C48" s="174">
        <f t="shared" ca="1" si="80"/>
        <v>161500</v>
      </c>
      <c r="D48" s="175">
        <f t="shared" ca="1" si="159"/>
        <v>161500</v>
      </c>
      <c r="E48" s="176">
        <f ca="1">IFERROR(__xludf.DUMMYFUNCTION("IMPORTRANGE(""https://docs.google.com/spreadsheets/d/1-uDff_7J0KD5mKrp0Vvzr7lt3OU09vwQwhkpOPPYv2Y/edit?usp=sharing"",""งบพรบ!CV48"")"),91000)</f>
        <v>91000</v>
      </c>
      <c r="F48" s="176">
        <f ca="1">IFERROR(__xludf.DUMMYFUNCTION("IMPORTRANGE(""https://docs.google.com/spreadsheets/d/1-uDff_7J0KD5mKrp0Vvzr7lt3OU09vwQwhkpOPPYv2Y/edit?usp=sharing"",""งบพรบ!CW48"")"),70500)</f>
        <v>70500</v>
      </c>
      <c r="G48" s="176">
        <f ca="1">IFERROR(__xludf.DUMMYFUNCTION("IMPORTRANGE(""https://docs.google.com/spreadsheets/d/1-uDff_7J0KD5mKrp0Vvzr7lt3OU09vwQwhkpOPPYv2Y/edit?usp=sharing"",""งบพรบ!CX48"")"),0)</f>
        <v>0</v>
      </c>
      <c r="H48" s="176">
        <f ca="1">IFERROR(__xludf.DUMMYFUNCTION("IMPORTRANGE(""https://docs.google.com/spreadsheets/d/1-uDff_7J0KD5mKrp0Vvzr7lt3OU09vwQwhkpOPPYv2Y/edit?usp=sharing"",""งบพรบ!CZ48"")"),168200)</f>
        <v>168200</v>
      </c>
      <c r="I48" s="176">
        <f ca="1">IFERROR(__xludf.DUMMYFUNCTION("IMPORTRANGE(""https://docs.google.com/spreadsheets/d/1-uDff_7J0KD5mKrp0Vvzr7lt3OU09vwQwhkpOPPYv2Y/edit?usp=sharing"",""งบพรบ!DA48"")"),0)</f>
        <v>0</v>
      </c>
      <c r="J48" s="176">
        <f t="shared" ca="1" si="82"/>
        <v>61000</v>
      </c>
      <c r="K48" s="179">
        <f t="shared" ca="1" si="83"/>
        <v>37.77089783281734</v>
      </c>
      <c r="L48" s="176">
        <f ca="1">IFERROR(__xludf.DUMMYFUNCTION("IMPORTRANGE(""https://docs.google.com/spreadsheets/d/1-uDff_7J0KD5mKrp0Vvzr7lt3OU09vwQwhkpOPPYv2Y/edit?usp=sharing"",""งบพรบ!DB48"")"),61000)</f>
        <v>61000</v>
      </c>
      <c r="M48" s="87">
        <f t="shared" ca="1" si="84"/>
        <v>37.77089783281734</v>
      </c>
      <c r="N48" s="87">
        <f t="shared" ca="1" si="85"/>
        <v>36.266349583828777</v>
      </c>
      <c r="O48" s="86">
        <f ca="1">IFERROR(__xludf.DUMMYFUNCTION("IMPORTRANGE(""https://docs.google.com/spreadsheets/d/1-uDff_7J0KD5mKrp0Vvzr7lt3OU09vwQwhkpOPPYv2Y/edit?usp=sharing"",""งบพรบ!DC48"")"),0)</f>
        <v>0</v>
      </c>
      <c r="P48" s="86">
        <f t="shared" ca="1" si="86"/>
        <v>0</v>
      </c>
      <c r="Q48" s="87">
        <f t="shared" ca="1" si="87"/>
        <v>0</v>
      </c>
      <c r="R48" s="241">
        <f ca="1">IFERROR(__xludf.DUMMYFUNCTION("IMPORTRANGE(""https://docs.google.com/spreadsheets/d/1Hx73zIEgVdDZZaYSTc46Dqv64atFhpr3GelxLbaIN8A/edit?usp=sharing"",""หนองบัวลำภู!Q186"")"),191100)</f>
        <v>191100</v>
      </c>
      <c r="S48" s="242">
        <f ca="1">IFERROR(__xludf.DUMMYFUNCTION("IMPORTRANGE(""https://docs.google.com/spreadsheets/d/1Hx73zIEgVdDZZaYSTc46Dqv64atFhpr3GelxLbaIN8A/edit?usp=sharing"",""หนองบัวลำภู!R186"")"),0)</f>
        <v>0</v>
      </c>
      <c r="T48" s="242">
        <f ca="1">IFERROR(__xludf.DUMMYFUNCTION("IMPORTRANGE(""https://docs.google.com/spreadsheets/d/1Hx73zIEgVdDZZaYSTc46Dqv64atFhpr3GelxLbaIN8A/edit?usp=sharing"",""หนองบัวลำภู!S186"")"),0)</f>
        <v>0</v>
      </c>
      <c r="U48" s="243">
        <f t="shared" ca="1" si="89"/>
        <v>0</v>
      </c>
      <c r="V48" s="243">
        <f t="shared" ca="1" si="90"/>
        <v>0</v>
      </c>
      <c r="W48" s="97">
        <f ca="1">IFERROR(__xludf.DUMMYFUNCTION("IMPORTRANGE(""https://docs.google.com/spreadsheets/d/1Hx73zIEgVdDZZaYSTc46Dqv64atFhpr3GelxLbaIN8A/edit?usp=sharing"",""หนองบัวลำภู!L196"")"),6000)</f>
        <v>6000</v>
      </c>
      <c r="X48" s="97">
        <f ca="1">IFERROR(__xludf.DUMMYFUNCTION("IMPORTRANGE(""https://docs.google.com/spreadsheets/d/1Hx73zIEgVdDZZaYSTc46Dqv64atFhpr3GelxLbaIN8A/edit?usp=sharing"",""หนองบัวลำภู!N196"")"),1000)</f>
        <v>1000</v>
      </c>
      <c r="Y48" s="98">
        <f t="shared" ca="1" si="92"/>
        <v>16.666666666666668</v>
      </c>
      <c r="Z48" s="97">
        <f ca="1">IFERROR(__xludf.DUMMYFUNCTION("IMPORTRANGE(""https://docs.google.com/spreadsheets/d/1Hx73zIEgVdDZZaYSTc46Dqv64atFhpr3GelxLbaIN8A/edit?usp=sharing"",""หนองบัวลำภู!I198"")"),4)</f>
        <v>4</v>
      </c>
      <c r="AA48" s="97">
        <f ca="1">IFERROR(__xludf.DUMMYFUNCTION("IMPORTRANGE(""https://docs.google.com/spreadsheets/d/1Hx73zIEgVdDZZaYSTc46Dqv64atFhpr3GelxLbaIN8A/edit?usp=sharing"",""หนองบัวลำภู!J198"")"),0)</f>
        <v>0</v>
      </c>
      <c r="AB48" s="98">
        <f t="shared" ca="1" si="94"/>
        <v>0</v>
      </c>
      <c r="AC48" s="97">
        <f ca="1">IFERROR(__xludf.DUMMYFUNCTION("IMPORTRANGE(""https://docs.google.com/spreadsheets/d/1Hx73zIEgVdDZZaYSTc46Dqv64atFhpr3GelxLbaIN8A/edit?usp=sharing"",""หนองบัวลำภู!J199"")"),0)</f>
        <v>0</v>
      </c>
      <c r="AD48" s="97">
        <f ca="1">IFERROR(__xludf.DUMMYFUNCTION("IMPORTRANGE(""https://docs.google.com/spreadsheets/d/1Hx73zIEgVdDZZaYSTc46Dqv64atFhpr3GelxLbaIN8A/edit?usp=sharing"",""หนองบัวลำภู!J200"")"),0)</f>
        <v>0</v>
      </c>
      <c r="AE48" s="97">
        <f ca="1">IFERROR(__xludf.DUMMYFUNCTION("IMPORTRANGE(""https://docs.google.com/spreadsheets/d/1Hx73zIEgVdDZZaYSTc46Dqv64atFhpr3GelxLbaIN8A/edit?usp=sharing"",""หนองบัวลำภู!J201"")"),0)</f>
        <v>0</v>
      </c>
      <c r="AF48" s="97">
        <f ca="1">IFERROR(__xludf.DUMMYFUNCTION("IMPORTRANGE(""https://docs.google.com/spreadsheets/d/1Hx73zIEgVdDZZaYSTc46Dqv64atFhpr3GelxLbaIN8A/edit?usp=sharing"",""หนองบัวลำภู!L204"")"),1000)</f>
        <v>1000</v>
      </c>
      <c r="AG48" s="97">
        <f ca="1">IFERROR(__xludf.DUMMYFUNCTION("IMPORTRANGE(""https://docs.google.com/spreadsheets/d/1Hx73zIEgVdDZZaYSTc46Dqv64atFhpr3GelxLbaIN8A/edit?usp=sharing"",""หนองบัวลำภู!N204"")"),0)</f>
        <v>0</v>
      </c>
      <c r="AH48" s="98">
        <f t="shared" ca="1" si="96"/>
        <v>0</v>
      </c>
      <c r="AI48" s="97">
        <f ca="1">IFERROR(__xludf.DUMMYFUNCTION("IMPORTRANGE(""https://docs.google.com/spreadsheets/d/1Hx73zIEgVdDZZaYSTc46Dqv64atFhpr3GelxLbaIN8A/edit?usp=sharing"",""หนองบัวลำภู!L206"")"),8000)</f>
        <v>8000</v>
      </c>
      <c r="AJ48" s="97">
        <f ca="1">IFERROR(__xludf.DUMMYFUNCTION("IMPORTRANGE(""https://docs.google.com/spreadsheets/d/1Hx73zIEgVdDZZaYSTc46Dqv64atFhpr3GelxLbaIN8A/edit?usp=sharing"",""หนองบัวลำภู!N206"")"),0)</f>
        <v>0</v>
      </c>
      <c r="AK48" s="98">
        <f t="shared" ca="1" si="98"/>
        <v>0</v>
      </c>
      <c r="AL48" s="97">
        <f ca="1">IFERROR(__xludf.DUMMYFUNCTION("IMPORTRANGE(""https://docs.google.com/spreadsheets/d/1Hx73zIEgVdDZZaYSTc46Dqv64atFhpr3GelxLbaIN8A/edit?usp=sharing"",""หนองบัวลำภู!L207"")"),9000)</f>
        <v>9000</v>
      </c>
      <c r="AM48" s="97">
        <f ca="1">IFERROR(__xludf.DUMMYFUNCTION("IMPORTRANGE(""https://docs.google.com/spreadsheets/d/1Hx73zIEgVdDZZaYSTc46Dqv64atFhpr3GelxLbaIN8A/edit?usp=sharing"",""หนองบัวลำภู!N207"")"),0)</f>
        <v>0</v>
      </c>
      <c r="AN48" s="98">
        <f t="shared" ca="1" si="100"/>
        <v>0</v>
      </c>
      <c r="AO48" s="97">
        <f ca="1">IFERROR(__xludf.DUMMYFUNCTION("IMPORTRANGE(""https://docs.google.com/spreadsheets/d/1Hx73zIEgVdDZZaYSTc46Dqv64atFhpr3GelxLbaIN8A/edit?usp=sharing"",""หนองบัวลำภู!I209"")"),1)</f>
        <v>1</v>
      </c>
      <c r="AP48" s="97">
        <f ca="1">IFERROR(__xludf.DUMMYFUNCTION("IMPORTRANGE(""https://docs.google.com/spreadsheets/d/1Hx73zIEgVdDZZaYSTc46Dqv64atFhpr3GelxLbaIN8A/edit?usp=sharing"",""หนองบัวลำภู!J209"")"),0)</f>
        <v>0</v>
      </c>
      <c r="AQ48" s="98">
        <f t="shared" ca="1" si="102"/>
        <v>0</v>
      </c>
      <c r="AR48" s="97">
        <f ca="1">IFERROR(__xludf.DUMMYFUNCTION("IMPORTRANGE(""https://docs.google.com/spreadsheets/d/1Hx73zIEgVdDZZaYSTc46Dqv64atFhpr3GelxLbaIN8A/edit?usp=sharing"",""หนองบัวลำภู!J211"")"),0)</f>
        <v>0</v>
      </c>
      <c r="AS48" s="97">
        <f ca="1">IFERROR(__xludf.DUMMYFUNCTION("IMPORTRANGE(""https://docs.google.com/spreadsheets/d/1Hx73zIEgVdDZZaYSTc46Dqv64atFhpr3GelxLbaIN8A/edit?usp=sharing"",""หนองบัวลำภู!J212"")"),0)</f>
        <v>0</v>
      </c>
      <c r="AT48" s="97">
        <f ca="1">IFERROR(__xludf.DUMMYFUNCTION("IMPORTRANGE(""https://docs.google.com/spreadsheets/d/1Hx73zIEgVdDZZaYSTc46Dqv64atFhpr3GelxLbaIN8A/edit?usp=sharing"",""หนองบัวลำภู!L215"")"),3000)</f>
        <v>3000</v>
      </c>
      <c r="AU48" s="97">
        <f ca="1">IFERROR(__xludf.DUMMYFUNCTION("IMPORTRANGE(""https://docs.google.com/spreadsheets/d/1Hx73zIEgVdDZZaYSTc46Dqv64atFhpr3GelxLbaIN8A/edit?usp=sharing"",""หนองบัวลำภู!N215"")"),0)</f>
        <v>0</v>
      </c>
      <c r="AV48" s="98">
        <f t="shared" ca="1" si="104"/>
        <v>0</v>
      </c>
      <c r="AW48" s="97">
        <f ca="1">IFERROR(__xludf.DUMMYFUNCTION("IMPORTRANGE(""https://docs.google.com/spreadsheets/d/1Hx73zIEgVdDZZaYSTc46Dqv64atFhpr3GelxLbaIN8A/edit?usp=sharing"",""หนองบัวลำภู!L216"")"),15000)</f>
        <v>15000</v>
      </c>
      <c r="AX48" s="97">
        <f ca="1">IFERROR(__xludf.DUMMYFUNCTION("IMPORTRANGE(""https://docs.google.com/spreadsheets/d/1Hx73zIEgVdDZZaYSTc46Dqv64atFhpr3GelxLbaIN8A/edit?usp=sharing"",""หนองบัวลำภู!N216"")"),0)</f>
        <v>0</v>
      </c>
      <c r="AY48" s="98">
        <f t="shared" ca="1" si="106"/>
        <v>0</v>
      </c>
      <c r="AZ48" s="97">
        <f ca="1">IFERROR(__xludf.DUMMYFUNCTION("IMPORTRANGE(""https://docs.google.com/spreadsheets/d/1Hx73zIEgVdDZZaYSTc46Dqv64atFhpr3GelxLbaIN8A/edit?usp=sharing"",""หนองบัวลำภู!L217"")"),24000)</f>
        <v>24000</v>
      </c>
      <c r="BA48" s="97">
        <f ca="1">IFERROR(__xludf.DUMMYFUNCTION("IMPORTRANGE(""https://docs.google.com/spreadsheets/d/1Hx73zIEgVdDZZaYSTc46Dqv64atFhpr3GelxLbaIN8A/edit?usp=sharing"",""หนองบัวลำภู!N217"")"),0)</f>
        <v>0</v>
      </c>
      <c r="BB48" s="98">
        <f t="shared" ca="1" si="108"/>
        <v>0</v>
      </c>
      <c r="BC48" s="97">
        <f ca="1">IFERROR(__xludf.DUMMYFUNCTION("IMPORTRANGE(""https://docs.google.com/spreadsheets/d/1Hx73zIEgVdDZZaYSTc46Dqv64atFhpr3GelxLbaIN8A/edit?usp=sharing"",""หนองบัวลำภู!I219"")"),3)</f>
        <v>3</v>
      </c>
      <c r="BD48" s="97">
        <f ca="1">IFERROR(__xludf.DUMMYFUNCTION("IMPORTRANGE(""https://docs.google.com/spreadsheets/d/1Hx73zIEgVdDZZaYSTc46Dqv64atFhpr3GelxLbaIN8A/edit?usp=sharing"",""หนองบัวลำภู!J219"")"),0)</f>
        <v>0</v>
      </c>
      <c r="BE48" s="98">
        <f t="shared" ca="1" si="110"/>
        <v>0</v>
      </c>
      <c r="BF48" s="97">
        <f ca="1">IFERROR(__xludf.DUMMYFUNCTION("IMPORTRANGE(""https://docs.google.com/spreadsheets/d/1Hx73zIEgVdDZZaYSTc46Dqv64atFhpr3GelxLbaIN8A/edit?usp=sharing"",""หนองบัวลำภู!I220"")"),3)</f>
        <v>3</v>
      </c>
      <c r="BG48" s="97">
        <f ca="1">IFERROR(__xludf.DUMMYFUNCTION("IMPORTRANGE(""https://docs.google.com/spreadsheets/d/1Hx73zIEgVdDZZaYSTc46Dqv64atFhpr3GelxLbaIN8A/edit?usp=sharing"",""หนองบัวลำภู!J220"")"),0)</f>
        <v>0</v>
      </c>
      <c r="BH48" s="98">
        <f t="shared" ca="1" si="112"/>
        <v>0</v>
      </c>
      <c r="BI48" s="97">
        <f ca="1">IFERROR(__xludf.DUMMYFUNCTION("IMPORTRANGE(""https://docs.google.com/spreadsheets/d/1Hx73zIEgVdDZZaYSTc46Dqv64atFhpr3GelxLbaIN8A/edit?usp=sharing"",""หนองบัวลำภู!L223"")"),3000)</f>
        <v>3000</v>
      </c>
      <c r="BJ48" s="97">
        <f ca="1">IFERROR(__xludf.DUMMYFUNCTION("IMPORTRANGE(""https://docs.google.com/spreadsheets/d/1Hx73zIEgVdDZZaYSTc46Dqv64atFhpr3GelxLbaIN8A/edit?usp=sharing"",""หนองบัวลำภู!N223"")"),0)</f>
        <v>0</v>
      </c>
      <c r="BK48" s="98">
        <f t="shared" ca="1" si="114"/>
        <v>0</v>
      </c>
      <c r="BL48" s="97">
        <f ca="1">IFERROR(__xludf.DUMMYFUNCTION("IMPORTRANGE(""https://docs.google.com/spreadsheets/d/1Hx73zIEgVdDZZaYSTc46Dqv64atFhpr3GelxLbaIN8A/edit?usp=sharing"",""หนองบัวลำภู!L224"")"),1500)</f>
        <v>1500</v>
      </c>
      <c r="BM48" s="97">
        <f ca="1">IFERROR(__xludf.DUMMYFUNCTION("IMPORTRANGE(""https://docs.google.com/spreadsheets/d/1Hx73zIEgVdDZZaYSTc46Dqv64atFhpr3GelxLbaIN8A/edit?usp=sharing"",""หนองบัวลำภู!N224"")"),0)</f>
        <v>0</v>
      </c>
      <c r="BN48" s="98">
        <f t="shared" ca="1" si="116"/>
        <v>0</v>
      </c>
      <c r="BO48" s="97">
        <f ca="1">IFERROR(__xludf.DUMMYFUNCTION("IMPORTRANGE(""https://docs.google.com/spreadsheets/d/1Hx73zIEgVdDZZaYSTc46Dqv64atFhpr3GelxLbaIN8A/edit?usp=sharing"",""หนองบัวลำภู!I228"")"),10000)</f>
        <v>10000</v>
      </c>
      <c r="BP48" s="97">
        <f ca="1">IFERROR(__xludf.DUMMYFUNCTION("IMPORTRANGE(""https://docs.google.com/spreadsheets/d/1Hx73zIEgVdDZZaYSTc46Dqv64atFhpr3GelxLbaIN8A/edit?usp=sharing"",""หนองบัวลำภู!J228"")"),0)</f>
        <v>0</v>
      </c>
      <c r="BQ48" s="98">
        <f t="shared" ca="1" si="118"/>
        <v>0</v>
      </c>
      <c r="BR48" s="97">
        <f ca="1">IFERROR(__xludf.DUMMYFUNCTION("IMPORTRANGE(""https://docs.google.com/spreadsheets/d/1Hx73zIEgVdDZZaYSTc46Dqv64atFhpr3GelxLbaIN8A/edit?usp=sharing"",""หนองบัวลำภู!I229"")"),10000)</f>
        <v>10000</v>
      </c>
      <c r="BS48" s="97">
        <f ca="1">IFERROR(__xludf.DUMMYFUNCTION("IMPORTRANGE(""https://docs.google.com/spreadsheets/d/1Hx73zIEgVdDZZaYSTc46Dqv64atFhpr3GelxLbaIN8A/edit?usp=sharing"",""หนองบัวลำภู!J229"")"),0)</f>
        <v>0</v>
      </c>
      <c r="BT48" s="98">
        <f t="shared" ca="1" si="120"/>
        <v>0</v>
      </c>
      <c r="BU48" s="97">
        <f ca="1">IFERROR(__xludf.DUMMYFUNCTION("IMPORTRANGE(""https://docs.google.com/spreadsheets/d/1Hx73zIEgVdDZZaYSTc46Dqv64atFhpr3GelxLbaIN8A/edit?usp=sharing"",""หนองบัวลำภู!I230"")"),0)</f>
        <v>0</v>
      </c>
      <c r="BV48" s="97">
        <f ca="1">IFERROR(__xludf.DUMMYFUNCTION("IMPORTRANGE(""https://docs.google.com/spreadsheets/d/1Hx73zIEgVdDZZaYSTc46Dqv64atFhpr3GelxLbaIN8A/edit?usp=sharing"",""หนองบัวลำภู!J230"")"),0)</f>
        <v>0</v>
      </c>
      <c r="BW48" s="98">
        <f t="shared" ca="1" si="122"/>
        <v>0</v>
      </c>
      <c r="BX48" s="97">
        <f ca="1">IFERROR(__xludf.DUMMYFUNCTION("IMPORTRANGE(""https://docs.google.com/spreadsheets/d/1Hx73zIEgVdDZZaYSTc46Dqv64atFhpr3GelxLbaIN8A/edit?usp=sharing"",""หนองบัวลำภู!L233"")"),0)</f>
        <v>0</v>
      </c>
      <c r="BY48" s="97">
        <f ca="1">IFERROR(__xludf.DUMMYFUNCTION("IMPORTRANGE(""https://docs.google.com/spreadsheets/d/1Hx73zIEgVdDZZaYSTc46Dqv64atFhpr3GelxLbaIN8A/edit?usp=sharing"",""หนองบัวลำภู!N233"")"),0)</f>
        <v>0</v>
      </c>
      <c r="BZ48" s="98">
        <f t="shared" ca="1" si="124"/>
        <v>0</v>
      </c>
      <c r="CA48" s="97">
        <f ca="1">IFERROR(__xludf.DUMMYFUNCTION("IMPORTRANGE(""https://docs.google.com/spreadsheets/d/1Hx73zIEgVdDZZaYSTc46Dqv64atFhpr3GelxLbaIN8A/edit?usp=sharing"",""หนองบัวลำภู!L234"")"),0)</f>
        <v>0</v>
      </c>
      <c r="CB48" s="97">
        <f ca="1">IFERROR(__xludf.DUMMYFUNCTION("IMPORTRANGE(""https://docs.google.com/spreadsheets/d/1Hx73zIEgVdDZZaYSTc46Dqv64atFhpr3GelxLbaIN8A/edit?usp=sharing"",""หนองบัวลำภู!N234"")"),0)</f>
        <v>0</v>
      </c>
      <c r="CC48" s="98">
        <f t="shared" ca="1" si="126"/>
        <v>0</v>
      </c>
      <c r="CD48" s="97">
        <f ca="1">IFERROR(__xludf.DUMMYFUNCTION("IMPORTRANGE(""https://docs.google.com/spreadsheets/d/1Hx73zIEgVdDZZaYSTc46Dqv64atFhpr3GelxLbaIN8A/edit?usp=sharing"",""หนองบัวลำภู!L235"")"),0)</f>
        <v>0</v>
      </c>
      <c r="CE48" s="97">
        <f ca="1">IFERROR(__xludf.DUMMYFUNCTION("IMPORTRANGE(""https://docs.google.com/spreadsheets/d/1Hx73zIEgVdDZZaYSTc46Dqv64atFhpr3GelxLbaIN8A/edit?usp=sharing"",""หนองบัวลำภู!N235"")"),0)</f>
        <v>0</v>
      </c>
      <c r="CF48" s="98">
        <f t="shared" ca="1" si="128"/>
        <v>0</v>
      </c>
      <c r="CG48" s="97">
        <f ca="1">IFERROR(__xludf.DUMMYFUNCTION("IMPORTRANGE(""https://docs.google.com/spreadsheets/d/1Hx73zIEgVdDZZaYSTc46Dqv64atFhpr3GelxLbaIN8A/edit?usp=sharing"",""หนองบัวลำภู!L236"")"),0)</f>
        <v>0</v>
      </c>
      <c r="CH48" s="97">
        <f ca="1">IFERROR(__xludf.DUMMYFUNCTION("IMPORTRANGE(""https://docs.google.com/spreadsheets/d/1Hx73zIEgVdDZZaYSTc46Dqv64atFhpr3GelxLbaIN8A/edit?usp=sharing"",""หนองบัวลำภู!N236"")"),0)</f>
        <v>0</v>
      </c>
      <c r="CI48" s="98">
        <f t="shared" ca="1" si="130"/>
        <v>0</v>
      </c>
      <c r="CJ48" s="97">
        <f ca="1">IFERROR(__xludf.DUMMYFUNCTION("IMPORTRANGE(""https://docs.google.com/spreadsheets/d/1Hx73zIEgVdDZZaYSTc46Dqv64atFhpr3GelxLbaIN8A/edit?usp=sharing"",""หนองบัวลำภู!I238"")"),0)</f>
        <v>0</v>
      </c>
      <c r="CK48" s="97">
        <f ca="1">IFERROR(__xludf.DUMMYFUNCTION("IMPORTRANGE(""https://docs.google.com/spreadsheets/d/1Hx73zIEgVdDZZaYSTc46Dqv64atFhpr3GelxLbaIN8A/edit?usp=sharing"",""หนองบัวลำภู!J238"")"),0)</f>
        <v>0</v>
      </c>
      <c r="CL48" s="98">
        <f t="shared" ca="1" si="132"/>
        <v>0</v>
      </c>
      <c r="CM48" s="97">
        <f ca="1">IFERROR(__xludf.DUMMYFUNCTION("IMPORTRANGE(""https://docs.google.com/spreadsheets/d/1Hx73zIEgVdDZZaYSTc46Dqv64atFhpr3GelxLbaIN8A/edit?usp=sharing"",""หนองบัวลำภู!J240"")"),0)</f>
        <v>0</v>
      </c>
      <c r="CN48" s="97">
        <f ca="1">IFERROR(__xludf.DUMMYFUNCTION("IMPORTRANGE(""https://docs.google.com/spreadsheets/d/1Hx73zIEgVdDZZaYSTc46Dqv64atFhpr3GelxLbaIN8A/edit?usp=sharing"",""หนองบัวลำภู!J241"")"),0)</f>
        <v>0</v>
      </c>
    </row>
    <row r="49" spans="1:92" ht="21" customHeight="1" x14ac:dyDescent="0.3">
      <c r="A49" s="89">
        <v>18</v>
      </c>
      <c r="B49" s="90" t="s">
        <v>75</v>
      </c>
      <c r="C49" s="174">
        <f t="shared" ca="1" si="80"/>
        <v>42500</v>
      </c>
      <c r="D49" s="175">
        <f t="shared" ca="1" si="159"/>
        <v>42500</v>
      </c>
      <c r="E49" s="176">
        <f ca="1">IFERROR(__xludf.DUMMYFUNCTION("IMPORTRANGE(""https://docs.google.com/spreadsheets/d/1-uDff_7J0KD5mKrp0Vvzr7lt3OU09vwQwhkpOPPYv2Y/edit?usp=sharing"",""งบพรบ!CV49"")"),0)</f>
        <v>0</v>
      </c>
      <c r="F49" s="176">
        <f ca="1">IFERROR(__xludf.DUMMYFUNCTION("IMPORTRANGE(""https://docs.google.com/spreadsheets/d/1-uDff_7J0KD5mKrp0Vvzr7lt3OU09vwQwhkpOPPYv2Y/edit?usp=sharing"",""งบพรบ!CW49"")"),42500)</f>
        <v>42500</v>
      </c>
      <c r="G49" s="176">
        <f ca="1">IFERROR(__xludf.DUMMYFUNCTION("IMPORTRANGE(""https://docs.google.com/spreadsheets/d/1-uDff_7J0KD5mKrp0Vvzr7lt3OU09vwQwhkpOPPYv2Y/edit?usp=sharing"",""งบพรบ!CX49"")"),0)</f>
        <v>0</v>
      </c>
      <c r="H49" s="176">
        <f ca="1">IFERROR(__xludf.DUMMYFUNCTION("IMPORTRANGE(""https://docs.google.com/spreadsheets/d/1-uDff_7J0KD5mKrp0Vvzr7lt3OU09vwQwhkpOPPYv2Y/edit?usp=sharing"",""งบพรบ!CZ49"")"),42500)</f>
        <v>42500</v>
      </c>
      <c r="I49" s="176">
        <f ca="1">IFERROR(__xludf.DUMMYFUNCTION("IMPORTRANGE(""https://docs.google.com/spreadsheets/d/1-uDff_7J0KD5mKrp0Vvzr7lt3OU09vwQwhkpOPPYv2Y/edit?usp=sharing"",""งบพรบ!DA49"")"),0)</f>
        <v>0</v>
      </c>
      <c r="J49" s="176">
        <f t="shared" ca="1" si="82"/>
        <v>0</v>
      </c>
      <c r="K49" s="179">
        <f t="shared" ca="1" si="83"/>
        <v>0</v>
      </c>
      <c r="L49" s="176">
        <f ca="1">IFERROR(__xludf.DUMMYFUNCTION("IMPORTRANGE(""https://docs.google.com/spreadsheets/d/1-uDff_7J0KD5mKrp0Vvzr7lt3OU09vwQwhkpOPPYv2Y/edit?usp=sharing"",""งบพรบ!DB49"")"),0)</f>
        <v>0</v>
      </c>
      <c r="M49" s="87">
        <f t="shared" ca="1" si="84"/>
        <v>0</v>
      </c>
      <c r="N49" s="87">
        <f t="shared" ca="1" si="85"/>
        <v>0</v>
      </c>
      <c r="O49" s="86">
        <f ca="1">IFERROR(__xludf.DUMMYFUNCTION("IMPORTRANGE(""https://docs.google.com/spreadsheets/d/1-uDff_7J0KD5mKrp0Vvzr7lt3OU09vwQwhkpOPPYv2Y/edit?usp=sharing"",""งบพรบ!DC49"")"),0)</f>
        <v>0</v>
      </c>
      <c r="P49" s="86">
        <f t="shared" ca="1" si="86"/>
        <v>0</v>
      </c>
      <c r="Q49" s="87">
        <f t="shared" ca="1" si="87"/>
        <v>0</v>
      </c>
      <c r="R49" s="241">
        <f ca="1">IFERROR(__xludf.DUMMYFUNCTION("IMPORTRANGE(""https://docs.google.com/spreadsheets/d/1lFxr3ctmjFN90yc-xV6jrQ9Ty8BKYVBWnAZ15wcNIJc/edit?usp=sharing"",""อำนาจเจริญ!Q186"")"),63700)</f>
        <v>63700</v>
      </c>
      <c r="S49" s="242">
        <f ca="1">IFERROR(__xludf.DUMMYFUNCTION("IMPORTRANGE(""https://docs.google.com/spreadsheets/d/1lFxr3ctmjFN90yc-xV6jrQ9Ty8BKYVBWnAZ15wcNIJc/edit?usp=sharing"",""อำนาจเจริญ!R186"")"),0)</f>
        <v>0</v>
      </c>
      <c r="T49" s="242">
        <f ca="1">IFERROR(__xludf.DUMMYFUNCTION("IMPORTRANGE(""https://docs.google.com/spreadsheets/d/1lFxr3ctmjFN90yc-xV6jrQ9Ty8BKYVBWnAZ15wcNIJc/edit?usp=sharing"",""อำนาจเจริญ!S186"")"),0)</f>
        <v>0</v>
      </c>
      <c r="U49" s="243">
        <f t="shared" ca="1" si="89"/>
        <v>0</v>
      </c>
      <c r="V49" s="243">
        <f t="shared" ca="1" si="90"/>
        <v>0</v>
      </c>
      <c r="W49" s="97">
        <f ca="1">IFERROR(__xludf.DUMMYFUNCTION("IMPORTRANGE(""https://docs.google.com/spreadsheets/d/1lFxr3ctmjFN90yc-xV6jrQ9Ty8BKYVBWnAZ15wcNIJc/edit?usp=sharing"",""อำนาจเจริญ!L196"")"),6000)</f>
        <v>6000</v>
      </c>
      <c r="X49" s="97">
        <f ca="1">IFERROR(__xludf.DUMMYFUNCTION("IMPORTRANGE(""https://docs.google.com/spreadsheets/d/1lFxr3ctmjFN90yc-xV6jrQ9Ty8BKYVBWnAZ15wcNIJc/edit?usp=sharing"",""อำนาจเจริญ!N196"")"),0)</f>
        <v>0</v>
      </c>
      <c r="Y49" s="98">
        <f t="shared" ca="1" si="92"/>
        <v>0</v>
      </c>
      <c r="Z49" s="97">
        <f ca="1">IFERROR(__xludf.DUMMYFUNCTION("IMPORTRANGE(""https://docs.google.com/spreadsheets/d/1lFxr3ctmjFN90yc-xV6jrQ9Ty8BKYVBWnAZ15wcNIJc/edit?usp=sharing"",""อำนาจเจริญ!I198"")"),4)</f>
        <v>4</v>
      </c>
      <c r="AA49" s="97">
        <f ca="1">IFERROR(__xludf.DUMMYFUNCTION("IMPORTRANGE(""https://docs.google.com/spreadsheets/d/1lFxr3ctmjFN90yc-xV6jrQ9Ty8BKYVBWnAZ15wcNIJc/edit?usp=sharing"",""อำนาจเจริญ!J198"")"),0)</f>
        <v>0</v>
      </c>
      <c r="AB49" s="98">
        <f t="shared" ca="1" si="94"/>
        <v>0</v>
      </c>
      <c r="AC49" s="97">
        <f ca="1">IFERROR(__xludf.DUMMYFUNCTION("IMPORTRANGE(""https://docs.google.com/spreadsheets/d/1lFxr3ctmjFN90yc-xV6jrQ9Ty8BKYVBWnAZ15wcNIJc/edit?usp=sharing"",""อำนาจเจริญ!J199"")"),0)</f>
        <v>0</v>
      </c>
      <c r="AD49" s="97">
        <f ca="1">IFERROR(__xludf.DUMMYFUNCTION("IMPORTRANGE(""https://docs.google.com/spreadsheets/d/1lFxr3ctmjFN90yc-xV6jrQ9Ty8BKYVBWnAZ15wcNIJc/edit?usp=sharing"",""อำนาจเจริญ!J200"")"),0)</f>
        <v>0</v>
      </c>
      <c r="AE49" s="97">
        <f ca="1">IFERROR(__xludf.DUMMYFUNCTION("IMPORTRANGE(""https://docs.google.com/spreadsheets/d/1lFxr3ctmjFN90yc-xV6jrQ9Ty8BKYVBWnAZ15wcNIJc/edit?usp=sharing"",""อำนาจเจริญ!J201"")"),0)</f>
        <v>0</v>
      </c>
      <c r="AF49" s="97">
        <f ca="1">IFERROR(__xludf.DUMMYFUNCTION("IMPORTRANGE(""https://docs.google.com/spreadsheets/d/1lFxr3ctmjFN90yc-xV6jrQ9Ty8BKYVBWnAZ15wcNIJc/edit?usp=sharing"",""อำนาจเจริญ!L204"")"),1000)</f>
        <v>1000</v>
      </c>
      <c r="AG49" s="97">
        <f ca="1">IFERROR(__xludf.DUMMYFUNCTION("IMPORTRANGE(""https://docs.google.com/spreadsheets/d/1lFxr3ctmjFN90yc-xV6jrQ9Ty8BKYVBWnAZ15wcNIJc/edit?usp=sharing"",""อำนาจเจริญ!N204"")"),0)</f>
        <v>0</v>
      </c>
      <c r="AH49" s="98">
        <f t="shared" ca="1" si="96"/>
        <v>0</v>
      </c>
      <c r="AI49" s="97">
        <f ca="1">IFERROR(__xludf.DUMMYFUNCTION("IMPORTRANGE(""https://docs.google.com/spreadsheets/d/1lFxr3ctmjFN90yc-xV6jrQ9Ty8BKYVBWnAZ15wcNIJc/edit?usp=sharing"",""อำนาจเจริญ!L206"")"),8000)</f>
        <v>8000</v>
      </c>
      <c r="AJ49" s="97">
        <f ca="1">IFERROR(__xludf.DUMMYFUNCTION("IMPORTRANGE(""https://docs.google.com/spreadsheets/d/1lFxr3ctmjFN90yc-xV6jrQ9Ty8BKYVBWnAZ15wcNIJc/edit?usp=sharing"",""อำนาจเจริญ!N206"")"),0)</f>
        <v>0</v>
      </c>
      <c r="AK49" s="98">
        <f t="shared" ca="1" si="98"/>
        <v>0</v>
      </c>
      <c r="AL49" s="97">
        <f ca="1">IFERROR(__xludf.DUMMYFUNCTION("IMPORTRANGE(""https://docs.google.com/spreadsheets/d/1lFxr3ctmjFN90yc-xV6jrQ9Ty8BKYVBWnAZ15wcNIJc/edit?usp=sharing"",""อำนาจเจริญ!L207"")"),7000)</f>
        <v>7000</v>
      </c>
      <c r="AM49" s="97">
        <f ca="1">IFERROR(__xludf.DUMMYFUNCTION("IMPORTRANGE(""https://docs.google.com/spreadsheets/d/1lFxr3ctmjFN90yc-xV6jrQ9Ty8BKYVBWnAZ15wcNIJc/edit?usp=sharing"",""อำนาจเจริญ!N207"")"),0)</f>
        <v>0</v>
      </c>
      <c r="AN49" s="98">
        <f t="shared" ca="1" si="100"/>
        <v>0</v>
      </c>
      <c r="AO49" s="97">
        <f ca="1">IFERROR(__xludf.DUMMYFUNCTION("IMPORTRANGE(""https://docs.google.com/spreadsheets/d/1lFxr3ctmjFN90yc-xV6jrQ9Ty8BKYVBWnAZ15wcNIJc/edit?usp=sharing"",""อำนาจเจริญ!I209"")"),1)</f>
        <v>1</v>
      </c>
      <c r="AP49" s="97">
        <f ca="1">IFERROR(__xludf.DUMMYFUNCTION("IMPORTRANGE(""https://docs.google.com/spreadsheets/d/1lFxr3ctmjFN90yc-xV6jrQ9Ty8BKYVBWnAZ15wcNIJc/edit?usp=sharing"",""อำนาจเจริญ!J209"")"),0)</f>
        <v>0</v>
      </c>
      <c r="AQ49" s="98">
        <f t="shared" ca="1" si="102"/>
        <v>0</v>
      </c>
      <c r="AR49" s="97">
        <f ca="1">IFERROR(__xludf.DUMMYFUNCTION("IMPORTRANGE(""https://docs.google.com/spreadsheets/d/1lFxr3ctmjFN90yc-xV6jrQ9Ty8BKYVBWnAZ15wcNIJc/edit?usp=sharing"",""อำนาจเจริญ!J211"")"),0)</f>
        <v>0</v>
      </c>
      <c r="AS49" s="97">
        <f ca="1">IFERROR(__xludf.DUMMYFUNCTION("IMPORTRANGE(""https://docs.google.com/spreadsheets/d/1lFxr3ctmjFN90yc-xV6jrQ9Ty8BKYVBWnAZ15wcNIJc/edit?usp=sharing"",""อำนาจเจริญ!J212"")"),0)</f>
        <v>0</v>
      </c>
      <c r="AT49" s="97">
        <f ca="1">IFERROR(__xludf.DUMMYFUNCTION("IMPORTRANGE(""https://docs.google.com/spreadsheets/d/1lFxr3ctmjFN90yc-xV6jrQ9Ty8BKYVBWnAZ15wcNIJc/edit?usp=sharing"",""อำนาจเจริญ!L215"")"),1000)</f>
        <v>1000</v>
      </c>
      <c r="AU49" s="97">
        <f ca="1">IFERROR(__xludf.DUMMYFUNCTION("IMPORTRANGE(""https://docs.google.com/spreadsheets/d/1lFxr3ctmjFN90yc-xV6jrQ9Ty8BKYVBWnAZ15wcNIJc/edit?usp=sharing"",""อำนาจเจริญ!N215"")"),0)</f>
        <v>0</v>
      </c>
      <c r="AV49" s="98">
        <f t="shared" ca="1" si="104"/>
        <v>0</v>
      </c>
      <c r="AW49" s="97">
        <f ca="1">IFERROR(__xludf.DUMMYFUNCTION("IMPORTRANGE(""https://docs.google.com/spreadsheets/d/1lFxr3ctmjFN90yc-xV6jrQ9Ty8BKYVBWnAZ15wcNIJc/edit?usp=sharing"",""อำนาจเจริญ!L216"")"),5000)</f>
        <v>5000</v>
      </c>
      <c r="AX49" s="97">
        <f ca="1">IFERROR(__xludf.DUMMYFUNCTION("IMPORTRANGE(""https://docs.google.com/spreadsheets/d/1lFxr3ctmjFN90yc-xV6jrQ9Ty8BKYVBWnAZ15wcNIJc/edit?usp=sharing"",""อำนาจเจริญ!N216"")"),0)</f>
        <v>0</v>
      </c>
      <c r="AY49" s="98">
        <f t="shared" ca="1" si="106"/>
        <v>0</v>
      </c>
      <c r="AZ49" s="97">
        <f ca="1">IFERROR(__xludf.DUMMYFUNCTION("IMPORTRANGE(""https://docs.google.com/spreadsheets/d/1lFxr3ctmjFN90yc-xV6jrQ9Ty8BKYVBWnAZ15wcNIJc/edit?usp=sharing"",""อำนาจเจริญ!L217"")"),8000)</f>
        <v>8000</v>
      </c>
      <c r="BA49" s="97">
        <f ca="1">IFERROR(__xludf.DUMMYFUNCTION("IMPORTRANGE(""https://docs.google.com/spreadsheets/d/1lFxr3ctmjFN90yc-xV6jrQ9Ty8BKYVBWnAZ15wcNIJc/edit?usp=sharing"",""อำนาจเจริญ!N217"")"),0)</f>
        <v>0</v>
      </c>
      <c r="BB49" s="98">
        <f t="shared" ca="1" si="108"/>
        <v>0</v>
      </c>
      <c r="BC49" s="97">
        <f ca="1">IFERROR(__xludf.DUMMYFUNCTION("IMPORTRANGE(""https://docs.google.com/spreadsheets/d/1lFxr3ctmjFN90yc-xV6jrQ9Ty8BKYVBWnAZ15wcNIJc/edit?usp=sharing"",""อำนาจเจริญ!I219"")"),1)</f>
        <v>1</v>
      </c>
      <c r="BD49" s="97">
        <f ca="1">IFERROR(__xludf.DUMMYFUNCTION("IMPORTRANGE(""https://docs.google.com/spreadsheets/d/1lFxr3ctmjFN90yc-xV6jrQ9Ty8BKYVBWnAZ15wcNIJc/edit?usp=sharing"",""อำนาจเจริญ!J219"")"),0)</f>
        <v>0</v>
      </c>
      <c r="BE49" s="98">
        <f t="shared" ca="1" si="110"/>
        <v>0</v>
      </c>
      <c r="BF49" s="97">
        <f ca="1">IFERROR(__xludf.DUMMYFUNCTION("IMPORTRANGE(""https://docs.google.com/spreadsheets/d/1lFxr3ctmjFN90yc-xV6jrQ9Ty8BKYVBWnAZ15wcNIJc/edit?usp=sharing"",""อำนาจเจริญ!I220"")"),1)</f>
        <v>1</v>
      </c>
      <c r="BG49" s="97">
        <f ca="1">IFERROR(__xludf.DUMMYFUNCTION("IMPORTRANGE(""https://docs.google.com/spreadsheets/d/1lFxr3ctmjFN90yc-xV6jrQ9Ty8BKYVBWnAZ15wcNIJc/edit?usp=sharing"",""อำนาจเจริญ!J220"")"),0)</f>
        <v>0</v>
      </c>
      <c r="BH49" s="98">
        <f t="shared" ca="1" si="112"/>
        <v>0</v>
      </c>
      <c r="BI49" s="97">
        <f ca="1">IFERROR(__xludf.DUMMYFUNCTION("IMPORTRANGE(""https://docs.google.com/spreadsheets/d/1lFxr3ctmjFN90yc-xV6jrQ9Ty8BKYVBWnAZ15wcNIJc/edit?usp=sharing"",""อำนาจเจริญ!L223"")"),5000)</f>
        <v>5000</v>
      </c>
      <c r="BJ49" s="97">
        <f ca="1">IFERROR(__xludf.DUMMYFUNCTION("IMPORTRANGE(""https://docs.google.com/spreadsheets/d/1lFxr3ctmjFN90yc-xV6jrQ9Ty8BKYVBWnAZ15wcNIJc/edit?usp=sharing"",""อำนาจเจริญ!N223"")"),0)</f>
        <v>0</v>
      </c>
      <c r="BK49" s="98">
        <f t="shared" ca="1" si="114"/>
        <v>0</v>
      </c>
      <c r="BL49" s="97">
        <f ca="1">IFERROR(__xludf.DUMMYFUNCTION("IMPORTRANGE(""https://docs.google.com/spreadsheets/d/1lFxr3ctmjFN90yc-xV6jrQ9Ty8BKYVBWnAZ15wcNIJc/edit?usp=sharing"",""อำนาจเจริญ!L224"")"),1500)</f>
        <v>1500</v>
      </c>
      <c r="BM49" s="97">
        <f ca="1">IFERROR(__xludf.DUMMYFUNCTION("IMPORTRANGE(""https://docs.google.com/spreadsheets/d/1lFxr3ctmjFN90yc-xV6jrQ9Ty8BKYVBWnAZ15wcNIJc/edit?usp=sharing"",""อำนาจเจริญ!N224"")"),0)</f>
        <v>0</v>
      </c>
      <c r="BN49" s="98">
        <f t="shared" ca="1" si="116"/>
        <v>0</v>
      </c>
      <c r="BO49" s="97">
        <f ca="1">IFERROR(__xludf.DUMMYFUNCTION("IMPORTRANGE(""https://docs.google.com/spreadsheets/d/1lFxr3ctmjFN90yc-xV6jrQ9Ty8BKYVBWnAZ15wcNIJc/edit?usp=sharing"",""อำนาจเจริญ!I228"")"),30000)</f>
        <v>30000</v>
      </c>
      <c r="BP49" s="97">
        <f ca="1">IFERROR(__xludf.DUMMYFUNCTION("IMPORTRANGE(""https://docs.google.com/spreadsheets/d/1lFxr3ctmjFN90yc-xV6jrQ9Ty8BKYVBWnAZ15wcNIJc/edit?usp=sharing"",""อำนาจเจริญ!J228"")"),0)</f>
        <v>0</v>
      </c>
      <c r="BQ49" s="98">
        <f t="shared" ca="1" si="118"/>
        <v>0</v>
      </c>
      <c r="BR49" s="97">
        <f ca="1">IFERROR(__xludf.DUMMYFUNCTION("IMPORTRANGE(""https://docs.google.com/spreadsheets/d/1lFxr3ctmjFN90yc-xV6jrQ9Ty8BKYVBWnAZ15wcNIJc/edit?usp=sharing"",""อำนาจเจริญ!I229"")"),30000)</f>
        <v>30000</v>
      </c>
      <c r="BS49" s="97">
        <f ca="1">IFERROR(__xludf.DUMMYFUNCTION("IMPORTRANGE(""https://docs.google.com/spreadsheets/d/1lFxr3ctmjFN90yc-xV6jrQ9Ty8BKYVBWnAZ15wcNIJc/edit?usp=sharing"",""อำนาจเจริญ!J229"")"),0)</f>
        <v>0</v>
      </c>
      <c r="BT49" s="98">
        <f t="shared" ca="1" si="120"/>
        <v>0</v>
      </c>
      <c r="BU49" s="97">
        <f ca="1">IFERROR(__xludf.DUMMYFUNCTION("IMPORTRANGE(""https://docs.google.com/spreadsheets/d/1lFxr3ctmjFN90yc-xV6jrQ9Ty8BKYVBWnAZ15wcNIJc/edit?usp=sharing"",""อำนาจเจริญ!I230"")"),0)</f>
        <v>0</v>
      </c>
      <c r="BV49" s="97">
        <f ca="1">IFERROR(__xludf.DUMMYFUNCTION("IMPORTRANGE(""https://docs.google.com/spreadsheets/d/1lFxr3ctmjFN90yc-xV6jrQ9Ty8BKYVBWnAZ15wcNIJc/edit?usp=sharing"",""อำนาจเจริญ!J230"")"),0)</f>
        <v>0</v>
      </c>
      <c r="BW49" s="98">
        <f t="shared" ca="1" si="122"/>
        <v>0</v>
      </c>
      <c r="BX49" s="97">
        <f ca="1">IFERROR(__xludf.DUMMYFUNCTION("IMPORTRANGE(""https://docs.google.com/spreadsheets/d/1lFxr3ctmjFN90yc-xV6jrQ9Ty8BKYVBWnAZ15wcNIJc/edit?usp=sharing"",""อำนาจเจริญ!L233"")"),0)</f>
        <v>0</v>
      </c>
      <c r="BY49" s="97">
        <f ca="1">IFERROR(__xludf.DUMMYFUNCTION("IMPORTRANGE(""https://docs.google.com/spreadsheets/d/1lFxr3ctmjFN90yc-xV6jrQ9Ty8BKYVBWnAZ15wcNIJc/edit?usp=sharing"",""อำนาจเจริญ!N233"")"),0)</f>
        <v>0</v>
      </c>
      <c r="BZ49" s="98">
        <f t="shared" ca="1" si="124"/>
        <v>0</v>
      </c>
      <c r="CA49" s="97">
        <f ca="1">IFERROR(__xludf.DUMMYFUNCTION("IMPORTRANGE(""https://docs.google.com/spreadsheets/d/1lFxr3ctmjFN90yc-xV6jrQ9Ty8BKYVBWnAZ15wcNIJc/edit?usp=sharing"",""อำนาจเจริญ!L234"")"),0)</f>
        <v>0</v>
      </c>
      <c r="CB49" s="97">
        <f ca="1">IFERROR(__xludf.DUMMYFUNCTION("IMPORTRANGE(""https://docs.google.com/spreadsheets/d/1lFxr3ctmjFN90yc-xV6jrQ9Ty8BKYVBWnAZ15wcNIJc/edit?usp=sharing"",""อำนาจเจริญ!N234"")"),0)</f>
        <v>0</v>
      </c>
      <c r="CC49" s="98">
        <f t="shared" ca="1" si="126"/>
        <v>0</v>
      </c>
      <c r="CD49" s="97">
        <f ca="1">IFERROR(__xludf.DUMMYFUNCTION("IMPORTRANGE(""https://docs.google.com/spreadsheets/d/1lFxr3ctmjFN90yc-xV6jrQ9Ty8BKYVBWnAZ15wcNIJc/edit?usp=sharing"",""อำนาจเจริญ!L235"")"),0)</f>
        <v>0</v>
      </c>
      <c r="CE49" s="97">
        <f ca="1">IFERROR(__xludf.DUMMYFUNCTION("IMPORTRANGE(""https://docs.google.com/spreadsheets/d/1lFxr3ctmjFN90yc-xV6jrQ9Ty8BKYVBWnAZ15wcNIJc/edit?usp=sharing"",""อำนาจเจริญ!N235"")"),0)</f>
        <v>0</v>
      </c>
      <c r="CF49" s="98">
        <f t="shared" ca="1" si="128"/>
        <v>0</v>
      </c>
      <c r="CG49" s="97">
        <f ca="1">IFERROR(__xludf.DUMMYFUNCTION("IMPORTRANGE(""https://docs.google.com/spreadsheets/d/1lFxr3ctmjFN90yc-xV6jrQ9Ty8BKYVBWnAZ15wcNIJc/edit?usp=sharing"",""อำนาจเจริญ!L236"")"),0)</f>
        <v>0</v>
      </c>
      <c r="CH49" s="97">
        <f ca="1">IFERROR(__xludf.DUMMYFUNCTION("IMPORTRANGE(""https://docs.google.com/spreadsheets/d/1lFxr3ctmjFN90yc-xV6jrQ9Ty8BKYVBWnAZ15wcNIJc/edit?usp=sharing"",""อำนาจเจริญ!N236"")"),0)</f>
        <v>0</v>
      </c>
      <c r="CI49" s="98">
        <f t="shared" ca="1" si="130"/>
        <v>0</v>
      </c>
      <c r="CJ49" s="97">
        <f ca="1">IFERROR(__xludf.DUMMYFUNCTION("IMPORTRANGE(""https://docs.google.com/spreadsheets/d/1lFxr3ctmjFN90yc-xV6jrQ9Ty8BKYVBWnAZ15wcNIJc/edit?usp=sharing"",""อำนาจเจริญ!I238"")"),0)</f>
        <v>0</v>
      </c>
      <c r="CK49" s="97">
        <f ca="1">IFERROR(__xludf.DUMMYFUNCTION("IMPORTRANGE(""https://docs.google.com/spreadsheets/d/1lFxr3ctmjFN90yc-xV6jrQ9Ty8BKYVBWnAZ15wcNIJc/edit?usp=sharing"",""อำนาจเจริญ!J238"")"),0)</f>
        <v>0</v>
      </c>
      <c r="CL49" s="98">
        <f t="shared" ca="1" si="132"/>
        <v>0</v>
      </c>
      <c r="CM49" s="97">
        <f ca="1">IFERROR(__xludf.DUMMYFUNCTION("IMPORTRANGE(""https://docs.google.com/spreadsheets/d/1lFxr3ctmjFN90yc-xV6jrQ9Ty8BKYVBWnAZ15wcNIJc/edit?usp=sharing"",""อำนาจเจริญ!J240"")"),0)</f>
        <v>0</v>
      </c>
      <c r="CN49" s="97">
        <f ca="1">IFERROR(__xludf.DUMMYFUNCTION("IMPORTRANGE(""https://docs.google.com/spreadsheets/d/1lFxr3ctmjFN90yc-xV6jrQ9Ty8BKYVBWnAZ15wcNIJc/edit?usp=sharing"",""อำนาจเจริญ!J241"")"),0)</f>
        <v>0</v>
      </c>
    </row>
    <row r="50" spans="1:92" ht="21" customHeight="1" x14ac:dyDescent="0.3">
      <c r="A50" s="89">
        <v>19</v>
      </c>
      <c r="B50" s="90" t="s">
        <v>76</v>
      </c>
      <c r="C50" s="174">
        <f t="shared" ca="1" si="80"/>
        <v>65500</v>
      </c>
      <c r="D50" s="175">
        <f t="shared" ca="1" si="159"/>
        <v>65500</v>
      </c>
      <c r="E50" s="176">
        <f ca="1">IFERROR(__xludf.DUMMYFUNCTION("IMPORTRANGE(""https://docs.google.com/spreadsheets/d/1-uDff_7J0KD5mKrp0Vvzr7lt3OU09vwQwhkpOPPYv2Y/edit?usp=sharing"",""งบพรบ!CV50"")"),0)</f>
        <v>0</v>
      </c>
      <c r="F50" s="176">
        <f ca="1">IFERROR(__xludf.DUMMYFUNCTION("IMPORTRANGE(""https://docs.google.com/spreadsheets/d/1-uDff_7J0KD5mKrp0Vvzr7lt3OU09vwQwhkpOPPYv2Y/edit?usp=sharing"",""งบพรบ!CW50"")"),65500)</f>
        <v>65500</v>
      </c>
      <c r="G50" s="176">
        <f ca="1">IFERROR(__xludf.DUMMYFUNCTION("IMPORTRANGE(""https://docs.google.com/spreadsheets/d/1-uDff_7J0KD5mKrp0Vvzr7lt3OU09vwQwhkpOPPYv2Y/edit?usp=sharing"",""งบพรบ!CX50"")"),0)</f>
        <v>0</v>
      </c>
      <c r="H50" s="176">
        <f ca="1">IFERROR(__xludf.DUMMYFUNCTION("IMPORTRANGE(""https://docs.google.com/spreadsheets/d/1-uDff_7J0KD5mKrp0Vvzr7lt3OU09vwQwhkpOPPYv2Y/edit?usp=sharing"",""งบพรบ!CZ50"")"),65500)</f>
        <v>65500</v>
      </c>
      <c r="I50" s="176">
        <f ca="1">IFERROR(__xludf.DUMMYFUNCTION("IMPORTRANGE(""https://docs.google.com/spreadsheets/d/1-uDff_7J0KD5mKrp0Vvzr7lt3OU09vwQwhkpOPPYv2Y/edit?usp=sharing"",""งบพรบ!DA50"")"),0)</f>
        <v>0</v>
      </c>
      <c r="J50" s="176">
        <f t="shared" ca="1" si="82"/>
        <v>3745</v>
      </c>
      <c r="K50" s="179">
        <f t="shared" ca="1" si="83"/>
        <v>5.7175572519083966</v>
      </c>
      <c r="L50" s="176">
        <f ca="1">IFERROR(__xludf.DUMMYFUNCTION("IMPORTRANGE(""https://docs.google.com/spreadsheets/d/1-uDff_7J0KD5mKrp0Vvzr7lt3OU09vwQwhkpOPPYv2Y/edit?usp=sharing"",""งบพรบ!DB50"")"),3745)</f>
        <v>3745</v>
      </c>
      <c r="M50" s="87">
        <f t="shared" ca="1" si="84"/>
        <v>5.7175572519083966</v>
      </c>
      <c r="N50" s="87">
        <f t="shared" ca="1" si="85"/>
        <v>5.7175572519083966</v>
      </c>
      <c r="O50" s="86">
        <f ca="1">IFERROR(__xludf.DUMMYFUNCTION("IMPORTRANGE(""https://docs.google.com/spreadsheets/d/1-uDff_7J0KD5mKrp0Vvzr7lt3OU09vwQwhkpOPPYv2Y/edit?usp=sharing"",""งบพรบ!DC50"")"),0)</f>
        <v>0</v>
      </c>
      <c r="P50" s="86">
        <f t="shared" ca="1" si="86"/>
        <v>0</v>
      </c>
      <c r="Q50" s="87">
        <f t="shared" ca="1" si="87"/>
        <v>0</v>
      </c>
      <c r="R50" s="241">
        <f ca="1">IFERROR(__xludf.DUMMYFUNCTION("IMPORTRANGE(""https://docs.google.com/spreadsheets/d/1gF7RJpRnL-1oyjyeWxs5SFWEH7y8ahOZsQlyp2A2e-A/edit?usp=sharing"",""อุดรธานี!Q186"")"),191100)</f>
        <v>191100</v>
      </c>
      <c r="S50" s="242">
        <f ca="1">IFERROR(__xludf.DUMMYFUNCTION("IMPORTRANGE(""https://docs.google.com/spreadsheets/d/1gF7RJpRnL-1oyjyeWxs5SFWEH7y8ahOZsQlyp2A2e-A/edit?usp=sharing"",""อุดรธานี!R186"")"),0)</f>
        <v>0</v>
      </c>
      <c r="T50" s="242">
        <f ca="1">IFERROR(__xludf.DUMMYFUNCTION("IMPORTRANGE(""https://docs.google.com/spreadsheets/d/1gF7RJpRnL-1oyjyeWxs5SFWEH7y8ahOZsQlyp2A2e-A/edit?usp=sharing"",""อุดรธานี!S186"")"),0)</f>
        <v>0</v>
      </c>
      <c r="U50" s="243">
        <f t="shared" ca="1" si="89"/>
        <v>0</v>
      </c>
      <c r="V50" s="243">
        <f t="shared" ca="1" si="90"/>
        <v>0</v>
      </c>
      <c r="W50" s="97">
        <f ca="1">IFERROR(__xludf.DUMMYFUNCTION("IMPORTRANGE(""https://docs.google.com/spreadsheets/d/1gF7RJpRnL-1oyjyeWxs5SFWEH7y8ahOZsQlyp2A2e-A/edit?usp=sharing"",""อุดรธานี!L196"")"),6000)</f>
        <v>6000</v>
      </c>
      <c r="X50" s="97">
        <f ca="1">IFERROR(__xludf.DUMMYFUNCTION("IMPORTRANGE(""https://docs.google.com/spreadsheets/d/1gF7RJpRnL-1oyjyeWxs5SFWEH7y8ahOZsQlyp2A2e-A/edit?usp=sharing"",""อุดรธานี!N196"")"),0)</f>
        <v>0</v>
      </c>
      <c r="Y50" s="98">
        <f t="shared" ca="1" si="92"/>
        <v>0</v>
      </c>
      <c r="Z50" s="97">
        <f ca="1">IFERROR(__xludf.DUMMYFUNCTION("IMPORTRANGE(""https://docs.google.com/spreadsheets/d/1gF7RJpRnL-1oyjyeWxs5SFWEH7y8ahOZsQlyp2A2e-A/edit?usp=sharing"",""อุดรธานี!I198"")"),4)</f>
        <v>4</v>
      </c>
      <c r="AA50" s="97">
        <f ca="1">IFERROR(__xludf.DUMMYFUNCTION("IMPORTRANGE(""https://docs.google.com/spreadsheets/d/1gF7RJpRnL-1oyjyeWxs5SFWEH7y8ahOZsQlyp2A2e-A/edit?usp=sharing"",""อุดรธานี!J198"")"),0)</f>
        <v>0</v>
      </c>
      <c r="AB50" s="98">
        <f t="shared" ca="1" si="94"/>
        <v>0</v>
      </c>
      <c r="AC50" s="97">
        <f ca="1">IFERROR(__xludf.DUMMYFUNCTION("IMPORTRANGE(""https://docs.google.com/spreadsheets/d/1gF7RJpRnL-1oyjyeWxs5SFWEH7y8ahOZsQlyp2A2e-A/edit?usp=sharing"",""อุดรธานี!J199"")"),0)</f>
        <v>0</v>
      </c>
      <c r="AD50" s="97">
        <f ca="1">IFERROR(__xludf.DUMMYFUNCTION("IMPORTRANGE(""https://docs.google.com/spreadsheets/d/1gF7RJpRnL-1oyjyeWxs5SFWEH7y8ahOZsQlyp2A2e-A/edit?usp=sharing"",""อุดรธานี!J200"")"),0)</f>
        <v>0</v>
      </c>
      <c r="AE50" s="97">
        <f ca="1">IFERROR(__xludf.DUMMYFUNCTION("IMPORTRANGE(""https://docs.google.com/spreadsheets/d/1gF7RJpRnL-1oyjyeWxs5SFWEH7y8ahOZsQlyp2A2e-A/edit?usp=sharing"",""อุดรธานี!J201"")"),0)</f>
        <v>0</v>
      </c>
      <c r="AF50" s="97">
        <f ca="1">IFERROR(__xludf.DUMMYFUNCTION("IMPORTRANGE(""https://docs.google.com/spreadsheets/d/1gF7RJpRnL-1oyjyeWxs5SFWEH7y8ahOZsQlyp2A2e-A/edit?usp=sharing"",""อุดรธานี!L204"")"),1000)</f>
        <v>1000</v>
      </c>
      <c r="AG50" s="97">
        <f ca="1">IFERROR(__xludf.DUMMYFUNCTION("IMPORTRANGE(""https://docs.google.com/spreadsheets/d/1gF7RJpRnL-1oyjyeWxs5SFWEH7y8ahOZsQlyp2A2e-A/edit?usp=sharing"",""อุดรธานี!N204"")"),0)</f>
        <v>0</v>
      </c>
      <c r="AH50" s="98">
        <f t="shared" ca="1" si="96"/>
        <v>0</v>
      </c>
      <c r="AI50" s="97">
        <f ca="1">IFERROR(__xludf.DUMMYFUNCTION("IMPORTRANGE(""https://docs.google.com/spreadsheets/d/1gF7RJpRnL-1oyjyeWxs5SFWEH7y8ahOZsQlyp2A2e-A/edit?usp=sharing"",""อุดรธานี!L206"")"),8000)</f>
        <v>8000</v>
      </c>
      <c r="AJ50" s="97">
        <f ca="1">IFERROR(__xludf.DUMMYFUNCTION("IMPORTRANGE(""https://docs.google.com/spreadsheets/d/1gF7RJpRnL-1oyjyeWxs5SFWEH7y8ahOZsQlyp2A2e-A/edit?usp=sharing"",""อุดรธานี!N206"")"),0)</f>
        <v>0</v>
      </c>
      <c r="AK50" s="98">
        <f t="shared" ca="1" si="98"/>
        <v>0</v>
      </c>
      <c r="AL50" s="97">
        <f ca="1">IFERROR(__xludf.DUMMYFUNCTION("IMPORTRANGE(""https://docs.google.com/spreadsheets/d/1gF7RJpRnL-1oyjyeWxs5SFWEH7y8ahOZsQlyp2A2e-A/edit?usp=sharing"",""อุดรธานี!L207"")"),4000)</f>
        <v>4000</v>
      </c>
      <c r="AM50" s="97">
        <f ca="1">IFERROR(__xludf.DUMMYFUNCTION("IMPORTRANGE(""https://docs.google.com/spreadsheets/d/1gF7RJpRnL-1oyjyeWxs5SFWEH7y8ahOZsQlyp2A2e-A/edit?usp=sharing"",""อุดรธานี!N207"")"),0)</f>
        <v>0</v>
      </c>
      <c r="AN50" s="98">
        <f t="shared" ca="1" si="100"/>
        <v>0</v>
      </c>
      <c r="AO50" s="97">
        <f ca="1">IFERROR(__xludf.DUMMYFUNCTION("IMPORTRANGE(""https://docs.google.com/spreadsheets/d/1gF7RJpRnL-1oyjyeWxs5SFWEH7y8ahOZsQlyp2A2e-A/edit?usp=sharing"",""อุดรธานี!I209"")"),1)</f>
        <v>1</v>
      </c>
      <c r="AP50" s="97">
        <f ca="1">IFERROR(__xludf.DUMMYFUNCTION("IMPORTRANGE(""https://docs.google.com/spreadsheets/d/1gF7RJpRnL-1oyjyeWxs5SFWEH7y8ahOZsQlyp2A2e-A/edit?usp=sharing"",""อุดรธานี!J209"")"),0)</f>
        <v>0</v>
      </c>
      <c r="AQ50" s="98">
        <f t="shared" ca="1" si="102"/>
        <v>0</v>
      </c>
      <c r="AR50" s="97">
        <f ca="1">IFERROR(__xludf.DUMMYFUNCTION("IMPORTRANGE(""https://docs.google.com/spreadsheets/d/1gF7RJpRnL-1oyjyeWxs5SFWEH7y8ahOZsQlyp2A2e-A/edit?usp=sharing"",""อุดรธานี!J211"")"),0)</f>
        <v>0</v>
      </c>
      <c r="AS50" s="97">
        <f ca="1">IFERROR(__xludf.DUMMYFUNCTION("IMPORTRANGE(""https://docs.google.com/spreadsheets/d/1gF7RJpRnL-1oyjyeWxs5SFWEH7y8ahOZsQlyp2A2e-A/edit?usp=sharing"",""อุดรธานี!J212"")"),0)</f>
        <v>0</v>
      </c>
      <c r="AT50" s="97">
        <f ca="1">IFERROR(__xludf.DUMMYFUNCTION("IMPORTRANGE(""https://docs.google.com/spreadsheets/d/1gF7RJpRnL-1oyjyeWxs5SFWEH7y8ahOZsQlyp2A2e-A/edit?usp=sharing"",""อุดรธานี!L215"")"),3000)</f>
        <v>3000</v>
      </c>
      <c r="AU50" s="97">
        <f ca="1">IFERROR(__xludf.DUMMYFUNCTION("IMPORTRANGE(""https://docs.google.com/spreadsheets/d/1gF7RJpRnL-1oyjyeWxs5SFWEH7y8ahOZsQlyp2A2e-A/edit?usp=sharing"",""อุดรธานี!N215"")"),0)</f>
        <v>0</v>
      </c>
      <c r="AV50" s="98">
        <f t="shared" ca="1" si="104"/>
        <v>0</v>
      </c>
      <c r="AW50" s="97">
        <f ca="1">IFERROR(__xludf.DUMMYFUNCTION("IMPORTRANGE(""https://docs.google.com/spreadsheets/d/1gF7RJpRnL-1oyjyeWxs5SFWEH7y8ahOZsQlyp2A2e-A/edit?usp=sharing"",""อุดรธานี!L216"")"),15000)</f>
        <v>15000</v>
      </c>
      <c r="AX50" s="97">
        <f ca="1">IFERROR(__xludf.DUMMYFUNCTION("IMPORTRANGE(""https://docs.google.com/spreadsheets/d/1gF7RJpRnL-1oyjyeWxs5SFWEH7y8ahOZsQlyp2A2e-A/edit?usp=sharing"",""อุดรธานี!N216"")"),0)</f>
        <v>0</v>
      </c>
      <c r="AY50" s="98">
        <f t="shared" ca="1" si="106"/>
        <v>0</v>
      </c>
      <c r="AZ50" s="97">
        <f ca="1">IFERROR(__xludf.DUMMYFUNCTION("IMPORTRANGE(""https://docs.google.com/spreadsheets/d/1gF7RJpRnL-1oyjyeWxs5SFWEH7y8ahOZsQlyp2A2e-A/edit?usp=sharing"",""อุดรธานี!L217"")"),24000)</f>
        <v>24000</v>
      </c>
      <c r="BA50" s="97">
        <f ca="1">IFERROR(__xludf.DUMMYFUNCTION("IMPORTRANGE(""https://docs.google.com/spreadsheets/d/1gF7RJpRnL-1oyjyeWxs5SFWEH7y8ahOZsQlyp2A2e-A/edit?usp=sharing"",""อุดรธานี!N217"")"),0)</f>
        <v>0</v>
      </c>
      <c r="BB50" s="98">
        <f t="shared" ca="1" si="108"/>
        <v>0</v>
      </c>
      <c r="BC50" s="97">
        <f ca="1">IFERROR(__xludf.DUMMYFUNCTION("IMPORTRANGE(""https://docs.google.com/spreadsheets/d/1gF7RJpRnL-1oyjyeWxs5SFWEH7y8ahOZsQlyp2A2e-A/edit?usp=sharing"",""อุดรธานี!I219"")"),3)</f>
        <v>3</v>
      </c>
      <c r="BD50" s="97">
        <f ca="1">IFERROR(__xludf.DUMMYFUNCTION("IMPORTRANGE(""https://docs.google.com/spreadsheets/d/1gF7RJpRnL-1oyjyeWxs5SFWEH7y8ahOZsQlyp2A2e-A/edit?usp=sharing"",""อุดรธานี!J219"")"),0)</f>
        <v>0</v>
      </c>
      <c r="BE50" s="98">
        <f t="shared" ca="1" si="110"/>
        <v>0</v>
      </c>
      <c r="BF50" s="97">
        <f ca="1">IFERROR(__xludf.DUMMYFUNCTION("IMPORTRANGE(""https://docs.google.com/spreadsheets/d/1gF7RJpRnL-1oyjyeWxs5SFWEH7y8ahOZsQlyp2A2e-A/edit?usp=sharing"",""อุดรธานี!I220"")"),3)</f>
        <v>3</v>
      </c>
      <c r="BG50" s="97">
        <f ca="1">IFERROR(__xludf.DUMMYFUNCTION("IMPORTRANGE(""https://docs.google.com/spreadsheets/d/1gF7RJpRnL-1oyjyeWxs5SFWEH7y8ahOZsQlyp2A2e-A/edit?usp=sharing"",""อุดรธานี!J220"")"),0)</f>
        <v>0</v>
      </c>
      <c r="BH50" s="98">
        <f t="shared" ca="1" si="112"/>
        <v>0</v>
      </c>
      <c r="BI50" s="97">
        <f ca="1">IFERROR(__xludf.DUMMYFUNCTION("IMPORTRANGE(""https://docs.google.com/spreadsheets/d/1gF7RJpRnL-1oyjyeWxs5SFWEH7y8ahOZsQlyp2A2e-A/edit?usp=sharing"",""อุดรธานี!L223"")"),3000)</f>
        <v>3000</v>
      </c>
      <c r="BJ50" s="97">
        <f ca="1">IFERROR(__xludf.DUMMYFUNCTION("IMPORTRANGE(""https://docs.google.com/spreadsheets/d/1gF7RJpRnL-1oyjyeWxs5SFWEH7y8ahOZsQlyp2A2e-A/edit?usp=sharing"",""อุดรธานี!N223"")"),0)</f>
        <v>0</v>
      </c>
      <c r="BK50" s="98">
        <f t="shared" ca="1" si="114"/>
        <v>0</v>
      </c>
      <c r="BL50" s="97">
        <f ca="1">IFERROR(__xludf.DUMMYFUNCTION("IMPORTRANGE(""https://docs.google.com/spreadsheets/d/1gF7RJpRnL-1oyjyeWxs5SFWEH7y8ahOZsQlyp2A2e-A/edit?usp=sharing"",""อุดรธานี!L224"")"),1500)</f>
        <v>1500</v>
      </c>
      <c r="BM50" s="97">
        <f ca="1">IFERROR(__xludf.DUMMYFUNCTION("IMPORTRANGE(""https://docs.google.com/spreadsheets/d/1gF7RJpRnL-1oyjyeWxs5SFWEH7y8ahOZsQlyp2A2e-A/edit?usp=sharing"",""อุดรธานี!N224"")"),0)</f>
        <v>0</v>
      </c>
      <c r="BN50" s="98">
        <f t="shared" ca="1" si="116"/>
        <v>0</v>
      </c>
      <c r="BO50" s="97">
        <f ca="1">IFERROR(__xludf.DUMMYFUNCTION("IMPORTRANGE(""https://docs.google.com/spreadsheets/d/1gF7RJpRnL-1oyjyeWxs5SFWEH7y8ahOZsQlyp2A2e-A/edit?usp=sharing"",""อุดรธานี!I228"")"),10000)</f>
        <v>10000</v>
      </c>
      <c r="BP50" s="97">
        <f ca="1">IFERROR(__xludf.DUMMYFUNCTION("IMPORTRANGE(""https://docs.google.com/spreadsheets/d/1gF7RJpRnL-1oyjyeWxs5SFWEH7y8ahOZsQlyp2A2e-A/edit?usp=sharing"",""อุดรธานี!J228"")"),0)</f>
        <v>0</v>
      </c>
      <c r="BQ50" s="98">
        <f t="shared" ca="1" si="118"/>
        <v>0</v>
      </c>
      <c r="BR50" s="97">
        <f ca="1">IFERROR(__xludf.DUMMYFUNCTION("IMPORTRANGE(""https://docs.google.com/spreadsheets/d/1gF7RJpRnL-1oyjyeWxs5SFWEH7y8ahOZsQlyp2A2e-A/edit?usp=sharing"",""อุดรธานี!I229"")"),10000)</f>
        <v>10000</v>
      </c>
      <c r="BS50" s="97">
        <f ca="1">IFERROR(__xludf.DUMMYFUNCTION("IMPORTRANGE(""https://docs.google.com/spreadsheets/d/1gF7RJpRnL-1oyjyeWxs5SFWEH7y8ahOZsQlyp2A2e-A/edit?usp=sharing"",""อุดรธานี!J229"")"),0)</f>
        <v>0</v>
      </c>
      <c r="BT50" s="98">
        <f t="shared" ca="1" si="120"/>
        <v>0</v>
      </c>
      <c r="BU50" s="97">
        <f ca="1">IFERROR(__xludf.DUMMYFUNCTION("IMPORTRANGE(""https://docs.google.com/spreadsheets/d/1gF7RJpRnL-1oyjyeWxs5SFWEH7y8ahOZsQlyp2A2e-A/edit?usp=sharing"",""อุดรธานี!I230"")"),0)</f>
        <v>0</v>
      </c>
      <c r="BV50" s="97">
        <f ca="1">IFERROR(__xludf.DUMMYFUNCTION("IMPORTRANGE(""https://docs.google.com/spreadsheets/d/1gF7RJpRnL-1oyjyeWxs5SFWEH7y8ahOZsQlyp2A2e-A/edit?usp=sharing"",""อุดรธานี!J230"")"),0)</f>
        <v>0</v>
      </c>
      <c r="BW50" s="98">
        <f t="shared" ca="1" si="122"/>
        <v>0</v>
      </c>
      <c r="BX50" s="97">
        <f ca="1">IFERROR(__xludf.DUMMYFUNCTION("IMPORTRANGE(""https://docs.google.com/spreadsheets/d/1gF7RJpRnL-1oyjyeWxs5SFWEH7y8ahOZsQlyp2A2e-A/edit?usp=sharing"",""อุดรธานี!L233"")"),0)</f>
        <v>0</v>
      </c>
      <c r="BY50" s="97">
        <f ca="1">IFERROR(__xludf.DUMMYFUNCTION("IMPORTRANGE(""https://docs.google.com/spreadsheets/d/1gF7RJpRnL-1oyjyeWxs5SFWEH7y8ahOZsQlyp2A2e-A/edit?usp=sharing"",""อุดรธานี!N233"")"),0)</f>
        <v>0</v>
      </c>
      <c r="BZ50" s="98">
        <f t="shared" ca="1" si="124"/>
        <v>0</v>
      </c>
      <c r="CA50" s="97">
        <f ca="1">IFERROR(__xludf.DUMMYFUNCTION("IMPORTRANGE(""https://docs.google.com/spreadsheets/d/1gF7RJpRnL-1oyjyeWxs5SFWEH7y8ahOZsQlyp2A2e-A/edit?usp=sharing"",""อุดรธานี!L234"")"),0)</f>
        <v>0</v>
      </c>
      <c r="CB50" s="97">
        <f ca="1">IFERROR(__xludf.DUMMYFUNCTION("IMPORTRANGE(""https://docs.google.com/spreadsheets/d/1gF7RJpRnL-1oyjyeWxs5SFWEH7y8ahOZsQlyp2A2e-A/edit?usp=sharing"",""อุดรธานี!N234"")"),0)</f>
        <v>0</v>
      </c>
      <c r="CC50" s="98">
        <f t="shared" ca="1" si="126"/>
        <v>0</v>
      </c>
      <c r="CD50" s="97">
        <f ca="1">IFERROR(__xludf.DUMMYFUNCTION("IMPORTRANGE(""https://docs.google.com/spreadsheets/d/1gF7RJpRnL-1oyjyeWxs5SFWEH7y8ahOZsQlyp2A2e-A/edit?usp=sharing"",""อุดรธานี!L235"")"),0)</f>
        <v>0</v>
      </c>
      <c r="CE50" s="97">
        <f ca="1">IFERROR(__xludf.DUMMYFUNCTION("IMPORTRANGE(""https://docs.google.com/spreadsheets/d/1gF7RJpRnL-1oyjyeWxs5SFWEH7y8ahOZsQlyp2A2e-A/edit?usp=sharing"",""อุดรธานี!N235"")"),0)</f>
        <v>0</v>
      </c>
      <c r="CF50" s="98">
        <f t="shared" ca="1" si="128"/>
        <v>0</v>
      </c>
      <c r="CG50" s="97">
        <f ca="1">IFERROR(__xludf.DUMMYFUNCTION("IMPORTRANGE(""https://docs.google.com/spreadsheets/d/1gF7RJpRnL-1oyjyeWxs5SFWEH7y8ahOZsQlyp2A2e-A/edit?usp=sharing"",""อุดรธานี!L236"")"),0)</f>
        <v>0</v>
      </c>
      <c r="CH50" s="97">
        <f ca="1">IFERROR(__xludf.DUMMYFUNCTION("IMPORTRANGE(""https://docs.google.com/spreadsheets/d/1gF7RJpRnL-1oyjyeWxs5SFWEH7y8ahOZsQlyp2A2e-A/edit?usp=sharing"",""อุดรธานี!N236"")"),0)</f>
        <v>0</v>
      </c>
      <c r="CI50" s="98">
        <f t="shared" ca="1" si="130"/>
        <v>0</v>
      </c>
      <c r="CJ50" s="97">
        <f ca="1">IFERROR(__xludf.DUMMYFUNCTION("IMPORTRANGE(""https://docs.google.com/spreadsheets/d/1gF7RJpRnL-1oyjyeWxs5SFWEH7y8ahOZsQlyp2A2e-A/edit?usp=sharing"",""อุดรธานี!I238"")"),0)</f>
        <v>0</v>
      </c>
      <c r="CK50" s="97">
        <f ca="1">IFERROR(__xludf.DUMMYFUNCTION("IMPORTRANGE(""https://docs.google.com/spreadsheets/d/1gF7RJpRnL-1oyjyeWxs5SFWEH7y8ahOZsQlyp2A2e-A/edit?usp=sharing"",""อุดรธานี!J238"")"),0)</f>
        <v>0</v>
      </c>
      <c r="CL50" s="98">
        <f t="shared" ca="1" si="132"/>
        <v>0</v>
      </c>
      <c r="CM50" s="97">
        <f ca="1">IFERROR(__xludf.DUMMYFUNCTION("IMPORTRANGE(""https://docs.google.com/spreadsheets/d/1gF7RJpRnL-1oyjyeWxs5SFWEH7y8ahOZsQlyp2A2e-A/edit?usp=sharing"",""อุดรธานี!J240"")"),0)</f>
        <v>0</v>
      </c>
      <c r="CN50" s="97">
        <f ca="1">IFERROR(__xludf.DUMMYFUNCTION("IMPORTRANGE(""https://docs.google.com/spreadsheets/d/1gF7RJpRnL-1oyjyeWxs5SFWEH7y8ahOZsQlyp2A2e-A/edit?usp=sharing"",""อุดรธานี!J241"")"),0)</f>
        <v>0</v>
      </c>
    </row>
    <row r="51" spans="1:92" ht="21" customHeight="1" x14ac:dyDescent="0.3">
      <c r="A51" s="100">
        <v>20</v>
      </c>
      <c r="B51" s="101" t="s">
        <v>77</v>
      </c>
      <c r="C51" s="189">
        <f t="shared" ca="1" si="80"/>
        <v>433500</v>
      </c>
      <c r="D51" s="190">
        <f t="shared" ca="1" si="159"/>
        <v>433500</v>
      </c>
      <c r="E51" s="191">
        <f ca="1">IFERROR(__xludf.DUMMYFUNCTION("IMPORTRANGE(""https://docs.google.com/spreadsheets/d/1-uDff_7J0KD5mKrp0Vvzr7lt3OU09vwQwhkpOPPYv2Y/edit?usp=sharing"",""งบพรบ!CV51"")"),182000)</f>
        <v>182000</v>
      </c>
      <c r="F51" s="191">
        <f ca="1">IFERROR(__xludf.DUMMYFUNCTION("IMPORTRANGE(""https://docs.google.com/spreadsheets/d/1-uDff_7J0KD5mKrp0Vvzr7lt3OU09vwQwhkpOPPYv2Y/edit?usp=sharing"",""งบพรบ!CW51"")"),251500)</f>
        <v>251500</v>
      </c>
      <c r="G51" s="191">
        <f ca="1">IFERROR(__xludf.DUMMYFUNCTION("IMPORTRANGE(""https://docs.google.com/spreadsheets/d/1-uDff_7J0KD5mKrp0Vvzr7lt3OU09vwQwhkpOPPYv2Y/edit?usp=sharing"",""งบพรบ!CX51"")"),0)</f>
        <v>0</v>
      </c>
      <c r="H51" s="191">
        <f ca="1">IFERROR(__xludf.DUMMYFUNCTION("IMPORTRANGE(""https://docs.google.com/spreadsheets/d/1-uDff_7J0KD5mKrp0Vvzr7lt3OU09vwQwhkpOPPYv2Y/edit?usp=sharing"",""งบพรบ!CZ51"")"),443900)</f>
        <v>443900</v>
      </c>
      <c r="I51" s="191">
        <f ca="1">IFERROR(__xludf.DUMMYFUNCTION("IMPORTRANGE(""https://docs.google.com/spreadsheets/d/1-uDff_7J0KD5mKrp0Vvzr7lt3OU09vwQwhkpOPPYv2Y/edit?usp=sharing"",""งบพรบ!DA51"")"),0)</f>
        <v>0</v>
      </c>
      <c r="J51" s="191">
        <f t="shared" ca="1" si="82"/>
        <v>168612</v>
      </c>
      <c r="K51" s="192">
        <f t="shared" ca="1" si="83"/>
        <v>38.89550173010381</v>
      </c>
      <c r="L51" s="191">
        <f ca="1">IFERROR(__xludf.DUMMYFUNCTION("IMPORTRANGE(""https://docs.google.com/spreadsheets/d/1-uDff_7J0KD5mKrp0Vvzr7lt3OU09vwQwhkpOPPYv2Y/edit?usp=sharing"",""งบพรบ!DB51"")"),168612)</f>
        <v>168612</v>
      </c>
      <c r="M51" s="118">
        <f t="shared" ca="1" si="84"/>
        <v>38.89550173010381</v>
      </c>
      <c r="N51" s="118">
        <f t="shared" ca="1" si="85"/>
        <v>37.984230682586166</v>
      </c>
      <c r="O51" s="117">
        <f ca="1">IFERROR(__xludf.DUMMYFUNCTION("IMPORTRANGE(""https://docs.google.com/spreadsheets/d/1-uDff_7J0KD5mKrp0Vvzr7lt3OU09vwQwhkpOPPYv2Y/edit?usp=sharing"",""งบพรบ!DC51"")"),0)</f>
        <v>0</v>
      </c>
      <c r="P51" s="117">
        <f t="shared" ca="1" si="86"/>
        <v>0</v>
      </c>
      <c r="Q51" s="118">
        <f t="shared" ca="1" si="87"/>
        <v>0</v>
      </c>
      <c r="R51" s="244">
        <f ca="1">IFERROR(__xludf.DUMMYFUNCTION("IMPORTRANGE(""https://docs.google.com/spreadsheets/d/1kfLP0j3INXRa8bTDpcEmoWewMBV61jlFlfzczfjWIgc/edit?usp=sharing"",""อุบลราชธานี!Q186"")"),155400)</f>
        <v>155400</v>
      </c>
      <c r="S51" s="245">
        <f ca="1">IFERROR(__xludf.DUMMYFUNCTION("IMPORTRANGE(""https://docs.google.com/spreadsheets/d/1kfLP0j3INXRa8bTDpcEmoWewMBV61jlFlfzczfjWIgc/edit?usp=sharing"",""อุบลราชธานี!R186"")"),0)</f>
        <v>0</v>
      </c>
      <c r="T51" s="245">
        <f ca="1">IFERROR(__xludf.DUMMYFUNCTION("IMPORTRANGE(""https://docs.google.com/spreadsheets/d/1kfLP0j3INXRa8bTDpcEmoWewMBV61jlFlfzczfjWIgc/edit?usp=sharing"",""อุบลราชธานี!S186"")"),0)</f>
        <v>0</v>
      </c>
      <c r="U51" s="246">
        <f t="shared" ca="1" si="89"/>
        <v>0</v>
      </c>
      <c r="V51" s="246">
        <f t="shared" ca="1" si="90"/>
        <v>0</v>
      </c>
      <c r="W51" s="110">
        <f ca="1">IFERROR(__xludf.DUMMYFUNCTION("IMPORTRANGE(""https://docs.google.com/spreadsheets/d/1kfLP0j3INXRa8bTDpcEmoWewMBV61jlFlfzczfjWIgc/edit?usp=sharing"",""อุบลราชธานี!L196"")"),6000)</f>
        <v>6000</v>
      </c>
      <c r="X51" s="110">
        <f ca="1">IFERROR(__xludf.DUMMYFUNCTION("IMPORTRANGE(""https://docs.google.com/spreadsheets/d/1kfLP0j3INXRa8bTDpcEmoWewMBV61jlFlfzczfjWIgc/edit?usp=sharing"",""อุบลราชธานี!N196"")"),0)</f>
        <v>0</v>
      </c>
      <c r="Y51" s="111">
        <f t="shared" ca="1" si="92"/>
        <v>0</v>
      </c>
      <c r="Z51" s="110">
        <f ca="1">IFERROR(__xludf.DUMMYFUNCTION("IMPORTRANGE(""https://docs.google.com/spreadsheets/d/1kfLP0j3INXRa8bTDpcEmoWewMBV61jlFlfzczfjWIgc/edit?usp=sharing"",""อุบลราชธานี!I198"")"),4)</f>
        <v>4</v>
      </c>
      <c r="AA51" s="110">
        <f ca="1">IFERROR(__xludf.DUMMYFUNCTION("IMPORTRANGE(""https://docs.google.com/spreadsheets/d/1kfLP0j3INXRa8bTDpcEmoWewMBV61jlFlfzczfjWIgc/edit?usp=sharing"",""อุบลราชธานี!J198"")"),0)</f>
        <v>0</v>
      </c>
      <c r="AB51" s="111">
        <f t="shared" ca="1" si="94"/>
        <v>0</v>
      </c>
      <c r="AC51" s="110">
        <f ca="1">IFERROR(__xludf.DUMMYFUNCTION("IMPORTRANGE(""https://docs.google.com/spreadsheets/d/1kfLP0j3INXRa8bTDpcEmoWewMBV61jlFlfzczfjWIgc/edit?usp=sharing"",""อุบลราชธานี!J199"")"),0)</f>
        <v>0</v>
      </c>
      <c r="AD51" s="110">
        <f ca="1">IFERROR(__xludf.DUMMYFUNCTION("IMPORTRANGE(""https://docs.google.com/spreadsheets/d/1kfLP0j3INXRa8bTDpcEmoWewMBV61jlFlfzczfjWIgc/edit?usp=sharing"",""อุบลราชธานี!J200"")"),0)</f>
        <v>0</v>
      </c>
      <c r="AE51" s="110">
        <f ca="1">IFERROR(__xludf.DUMMYFUNCTION("IMPORTRANGE(""https://docs.google.com/spreadsheets/d/1kfLP0j3INXRa8bTDpcEmoWewMBV61jlFlfzczfjWIgc/edit?usp=sharing"",""อุบลราชธานี!J201"")"),0)</f>
        <v>0</v>
      </c>
      <c r="AF51" s="110">
        <f ca="1">IFERROR(__xludf.DUMMYFUNCTION("IMPORTRANGE(""https://docs.google.com/spreadsheets/d/1kfLP0j3INXRa8bTDpcEmoWewMBV61jlFlfzczfjWIgc/edit?usp=sharing"",""อุบลราชธานี!L204"")"),2000)</f>
        <v>2000</v>
      </c>
      <c r="AG51" s="110">
        <f ca="1">IFERROR(__xludf.DUMMYFUNCTION("IMPORTRANGE(""https://docs.google.com/spreadsheets/d/1kfLP0j3INXRa8bTDpcEmoWewMBV61jlFlfzczfjWIgc/edit?usp=sharing"",""อุบลราชธานี!N204"")"),0)</f>
        <v>0</v>
      </c>
      <c r="AH51" s="111">
        <f t="shared" ca="1" si="96"/>
        <v>0</v>
      </c>
      <c r="AI51" s="110">
        <f ca="1">IFERROR(__xludf.DUMMYFUNCTION("IMPORTRANGE(""https://docs.google.com/spreadsheets/d/1kfLP0j3INXRa8bTDpcEmoWewMBV61jlFlfzczfjWIgc/edit?usp=sharing"",""อุบลราชธานี!L206"")"),16000)</f>
        <v>16000</v>
      </c>
      <c r="AJ51" s="110">
        <f ca="1">IFERROR(__xludf.DUMMYFUNCTION("IMPORTRANGE(""https://docs.google.com/spreadsheets/d/1kfLP0j3INXRa8bTDpcEmoWewMBV61jlFlfzczfjWIgc/edit?usp=sharing"",""อุบลราชธานี!N206"")"),0)</f>
        <v>0</v>
      </c>
      <c r="AK51" s="111">
        <f t="shared" ca="1" si="98"/>
        <v>0</v>
      </c>
      <c r="AL51" s="110">
        <f ca="1">IFERROR(__xludf.DUMMYFUNCTION("IMPORTRANGE(""https://docs.google.com/spreadsheets/d/1kfLP0j3INXRa8bTDpcEmoWewMBV61jlFlfzczfjWIgc/edit?usp=sharing"",""อุบลราชธานี!L207"")"),8000)</f>
        <v>8000</v>
      </c>
      <c r="AM51" s="110">
        <f ca="1">IFERROR(__xludf.DUMMYFUNCTION("IMPORTRANGE(""https://docs.google.com/spreadsheets/d/1kfLP0j3INXRa8bTDpcEmoWewMBV61jlFlfzczfjWIgc/edit?usp=sharing"",""อุบลราชธานี!N207"")"),0)</f>
        <v>0</v>
      </c>
      <c r="AN51" s="111">
        <f t="shared" ca="1" si="100"/>
        <v>0</v>
      </c>
      <c r="AO51" s="110">
        <f ca="1">IFERROR(__xludf.DUMMYFUNCTION("IMPORTRANGE(""https://docs.google.com/spreadsheets/d/1kfLP0j3INXRa8bTDpcEmoWewMBV61jlFlfzczfjWIgc/edit?usp=sharing"",""อุบลราชธานี!I209"")"),2)</f>
        <v>2</v>
      </c>
      <c r="AP51" s="110">
        <f ca="1">IFERROR(__xludf.DUMMYFUNCTION("IMPORTRANGE(""https://docs.google.com/spreadsheets/d/1kfLP0j3INXRa8bTDpcEmoWewMBV61jlFlfzczfjWIgc/edit?usp=sharing"",""อุบลราชธานี!J209"")"),0)</f>
        <v>0</v>
      </c>
      <c r="AQ51" s="111">
        <f t="shared" ca="1" si="102"/>
        <v>0</v>
      </c>
      <c r="AR51" s="110">
        <f ca="1">IFERROR(__xludf.DUMMYFUNCTION("IMPORTRANGE(""https://docs.google.com/spreadsheets/d/1kfLP0j3INXRa8bTDpcEmoWewMBV61jlFlfzczfjWIgc/edit?usp=sharing"",""อุบลราชธานี!J211"")"),0)</f>
        <v>0</v>
      </c>
      <c r="AS51" s="110">
        <f ca="1">IFERROR(__xludf.DUMMYFUNCTION("IMPORTRANGE(""https://docs.google.com/spreadsheets/d/1kfLP0j3INXRa8bTDpcEmoWewMBV61jlFlfzczfjWIgc/edit?usp=sharing"",""อุบลราชธานี!J212"")"),0)</f>
        <v>0</v>
      </c>
      <c r="AT51" s="110">
        <f ca="1">IFERROR(__xludf.DUMMYFUNCTION("IMPORTRANGE(""https://docs.google.com/spreadsheets/d/1kfLP0j3INXRa8bTDpcEmoWewMBV61jlFlfzczfjWIgc/edit?usp=sharing"",""อุบลราชธานี!L215"")"),2000)</f>
        <v>2000</v>
      </c>
      <c r="AU51" s="110">
        <f ca="1">IFERROR(__xludf.DUMMYFUNCTION("IMPORTRANGE(""https://docs.google.com/spreadsheets/d/1kfLP0j3INXRa8bTDpcEmoWewMBV61jlFlfzczfjWIgc/edit?usp=sharing"",""อุบลราชธานี!N215"")"),0)</f>
        <v>0</v>
      </c>
      <c r="AV51" s="111">
        <f t="shared" ca="1" si="104"/>
        <v>0</v>
      </c>
      <c r="AW51" s="110">
        <f ca="1">IFERROR(__xludf.DUMMYFUNCTION("IMPORTRANGE(""https://docs.google.com/spreadsheets/d/1kfLP0j3INXRa8bTDpcEmoWewMBV61jlFlfzczfjWIgc/edit?usp=sharing"",""อุบลราชธานี!L216"")"),10000)</f>
        <v>10000</v>
      </c>
      <c r="AX51" s="110">
        <f ca="1">IFERROR(__xludf.DUMMYFUNCTION("IMPORTRANGE(""https://docs.google.com/spreadsheets/d/1kfLP0j3INXRa8bTDpcEmoWewMBV61jlFlfzczfjWIgc/edit?usp=sharing"",""อุบลราชธานี!N216"")"),0)</f>
        <v>0</v>
      </c>
      <c r="AY51" s="111">
        <f t="shared" ca="1" si="106"/>
        <v>0</v>
      </c>
      <c r="AZ51" s="110">
        <f ca="1">IFERROR(__xludf.DUMMYFUNCTION("IMPORTRANGE(""https://docs.google.com/spreadsheets/d/1kfLP0j3INXRa8bTDpcEmoWewMBV61jlFlfzczfjWIgc/edit?usp=sharing"",""อุบลราชธานี!L217"")"),16000)</f>
        <v>16000</v>
      </c>
      <c r="BA51" s="110">
        <f ca="1">IFERROR(__xludf.DUMMYFUNCTION("IMPORTRANGE(""https://docs.google.com/spreadsheets/d/1kfLP0j3INXRa8bTDpcEmoWewMBV61jlFlfzczfjWIgc/edit?usp=sharing"",""อุบลราชธานี!N217"")"),0)</f>
        <v>0</v>
      </c>
      <c r="BB51" s="111">
        <f t="shared" ca="1" si="108"/>
        <v>0</v>
      </c>
      <c r="BC51" s="110">
        <f ca="1">IFERROR(__xludf.DUMMYFUNCTION("IMPORTRANGE(""https://docs.google.com/spreadsheets/d/1kfLP0j3INXRa8bTDpcEmoWewMBV61jlFlfzczfjWIgc/edit?usp=sharing"",""อุบลราชธานี!I219"")"),2)</f>
        <v>2</v>
      </c>
      <c r="BD51" s="110">
        <f ca="1">IFERROR(__xludf.DUMMYFUNCTION("IMPORTRANGE(""https://docs.google.com/spreadsheets/d/1kfLP0j3INXRa8bTDpcEmoWewMBV61jlFlfzczfjWIgc/edit?usp=sharing"",""อุบลราชธานี!J219"")"),0)</f>
        <v>0</v>
      </c>
      <c r="BE51" s="111">
        <f t="shared" ca="1" si="110"/>
        <v>0</v>
      </c>
      <c r="BF51" s="110">
        <f ca="1">IFERROR(__xludf.DUMMYFUNCTION("IMPORTRANGE(""https://docs.google.com/spreadsheets/d/1kfLP0j3INXRa8bTDpcEmoWewMBV61jlFlfzczfjWIgc/edit?usp=sharing"",""อุบลราชธานี!I220"")"),2)</f>
        <v>2</v>
      </c>
      <c r="BG51" s="110">
        <f ca="1">IFERROR(__xludf.DUMMYFUNCTION("IMPORTRANGE(""https://docs.google.com/spreadsheets/d/1kfLP0j3INXRa8bTDpcEmoWewMBV61jlFlfzczfjWIgc/edit?usp=sharing"",""อุบลราชธานี!J220"")"),0)</f>
        <v>0</v>
      </c>
      <c r="BH51" s="111">
        <f t="shared" ca="1" si="112"/>
        <v>0</v>
      </c>
      <c r="BI51" s="110">
        <f ca="1">IFERROR(__xludf.DUMMYFUNCTION("IMPORTRANGE(""https://docs.google.com/spreadsheets/d/1kfLP0j3INXRa8bTDpcEmoWewMBV61jlFlfzczfjWIgc/edit?usp=sharing"",""อุบลราชธานี!L223"")"),5000)</f>
        <v>5000</v>
      </c>
      <c r="BJ51" s="110">
        <f ca="1">IFERROR(__xludf.DUMMYFUNCTION("IMPORTRANGE(""https://docs.google.com/spreadsheets/d/1kfLP0j3INXRa8bTDpcEmoWewMBV61jlFlfzczfjWIgc/edit?usp=sharing"",""อุบลราชธานี!N223"")"),0)</f>
        <v>0</v>
      </c>
      <c r="BK51" s="111">
        <f t="shared" ca="1" si="114"/>
        <v>0</v>
      </c>
      <c r="BL51" s="110">
        <f ca="1">IFERROR(__xludf.DUMMYFUNCTION("IMPORTRANGE(""https://docs.google.com/spreadsheets/d/1kfLP0j3INXRa8bTDpcEmoWewMBV61jlFlfzczfjWIgc/edit?usp=sharing"",""อุบลราชธานี!L224"")"),1500)</f>
        <v>1500</v>
      </c>
      <c r="BM51" s="110">
        <f ca="1">IFERROR(__xludf.DUMMYFUNCTION("IMPORTRANGE(""https://docs.google.com/spreadsheets/d/1kfLP0j3INXRa8bTDpcEmoWewMBV61jlFlfzczfjWIgc/edit?usp=sharing"",""อุบลราชธานี!N224"")"),0)</f>
        <v>0</v>
      </c>
      <c r="BN51" s="111">
        <f t="shared" ca="1" si="116"/>
        <v>0</v>
      </c>
      <c r="BO51" s="110">
        <f ca="1">IFERROR(__xludf.DUMMYFUNCTION("IMPORTRANGE(""https://docs.google.com/spreadsheets/d/1kfLP0j3INXRa8bTDpcEmoWewMBV61jlFlfzczfjWIgc/edit?usp=sharing"",""อุบลราชธานี!I228"")"),30000)</f>
        <v>30000</v>
      </c>
      <c r="BP51" s="110">
        <f ca="1">IFERROR(__xludf.DUMMYFUNCTION("IMPORTRANGE(""https://docs.google.com/spreadsheets/d/1kfLP0j3INXRa8bTDpcEmoWewMBV61jlFlfzczfjWIgc/edit?usp=sharing"",""อุบลราชธานี!J228"")"),0)</f>
        <v>0</v>
      </c>
      <c r="BQ51" s="111">
        <f t="shared" ca="1" si="118"/>
        <v>0</v>
      </c>
      <c r="BR51" s="110">
        <f ca="1">IFERROR(__xludf.DUMMYFUNCTION("IMPORTRANGE(""https://docs.google.com/spreadsheets/d/1kfLP0j3INXRa8bTDpcEmoWewMBV61jlFlfzczfjWIgc/edit?usp=sharing"",""อุบลราชธานี!I229"")"),30000)</f>
        <v>30000</v>
      </c>
      <c r="BS51" s="110">
        <f ca="1">IFERROR(__xludf.DUMMYFUNCTION("IMPORTRANGE(""https://docs.google.com/spreadsheets/d/1kfLP0j3INXRa8bTDpcEmoWewMBV61jlFlfzczfjWIgc/edit?usp=sharing"",""อุบลราชธานี!J229"")"),0)</f>
        <v>0</v>
      </c>
      <c r="BT51" s="111">
        <f t="shared" ca="1" si="120"/>
        <v>0</v>
      </c>
      <c r="BU51" s="110">
        <f ca="1">IFERROR(__xludf.DUMMYFUNCTION("IMPORTRANGE(""https://docs.google.com/spreadsheets/d/1kfLP0j3INXRa8bTDpcEmoWewMBV61jlFlfzczfjWIgc/edit?usp=sharing"",""อุบลราชธานี!I230"")"),0)</f>
        <v>0</v>
      </c>
      <c r="BV51" s="110">
        <f ca="1">IFERROR(__xludf.DUMMYFUNCTION("IMPORTRANGE(""https://docs.google.com/spreadsheets/d/1kfLP0j3INXRa8bTDpcEmoWewMBV61jlFlfzczfjWIgc/edit?usp=sharing"",""อุบลราชธานี!J230"")"),0)</f>
        <v>0</v>
      </c>
      <c r="BW51" s="111">
        <f t="shared" ca="1" si="122"/>
        <v>0</v>
      </c>
      <c r="BX51" s="110">
        <f ca="1">IFERROR(__xludf.DUMMYFUNCTION("IMPORTRANGE(""https://docs.google.com/spreadsheets/d/1kfLP0j3INXRa8bTDpcEmoWewMBV61jlFlfzczfjWIgc/edit?usp=sharing"",""อุบลราชธานี!L233"")"),101000)</f>
        <v>101000</v>
      </c>
      <c r="BY51" s="110">
        <f ca="1">IFERROR(__xludf.DUMMYFUNCTION("IMPORTRANGE(""https://docs.google.com/spreadsheets/d/1kfLP0j3INXRa8bTDpcEmoWewMBV61jlFlfzczfjWIgc/edit?usp=sharing"",""อุบลราชธานี!N233"")"),0)</f>
        <v>0</v>
      </c>
      <c r="BZ51" s="111">
        <f t="shared" ca="1" si="124"/>
        <v>0</v>
      </c>
      <c r="CA51" s="110">
        <f ca="1">IFERROR(__xludf.DUMMYFUNCTION("IMPORTRANGE(""https://docs.google.com/spreadsheets/d/1kfLP0j3INXRa8bTDpcEmoWewMBV61jlFlfzczfjWIgc/edit?usp=sharing"",""อุบลราชธานี!L234"")"),3000)</f>
        <v>3000</v>
      </c>
      <c r="CB51" s="110">
        <f ca="1">IFERROR(__xludf.DUMMYFUNCTION("IMPORTRANGE(""https://docs.google.com/spreadsheets/d/1kfLP0j3INXRa8bTDpcEmoWewMBV61jlFlfzczfjWIgc/edit?usp=sharing"",""อุบลราชธานี!N234"")"),0)</f>
        <v>0</v>
      </c>
      <c r="CC51" s="111">
        <f t="shared" ca="1" si="126"/>
        <v>0</v>
      </c>
      <c r="CD51" s="110">
        <f ca="1">IFERROR(__xludf.DUMMYFUNCTION("IMPORTRANGE(""https://docs.google.com/spreadsheets/d/1kfLP0j3INXRa8bTDpcEmoWewMBV61jlFlfzczfjWIgc/edit?usp=sharing"",""อุบลราชธานี!L235"")"),48000)</f>
        <v>48000</v>
      </c>
      <c r="CE51" s="110">
        <f ca="1">IFERROR(__xludf.DUMMYFUNCTION("IMPORTRANGE(""https://docs.google.com/spreadsheets/d/1kfLP0j3INXRa8bTDpcEmoWewMBV61jlFlfzczfjWIgc/edit?usp=sharing"",""อุบลราชธานี!N235"")"),0)</f>
        <v>0</v>
      </c>
      <c r="CF51" s="111">
        <f t="shared" ca="1" si="128"/>
        <v>0</v>
      </c>
      <c r="CG51" s="110">
        <f ca="1">IFERROR(__xludf.DUMMYFUNCTION("IMPORTRANGE(""https://docs.google.com/spreadsheets/d/1kfLP0j3INXRa8bTDpcEmoWewMBV61jlFlfzczfjWIgc/edit?usp=sharing"",""อุบลราชธานี!L236"")"),33000)</f>
        <v>33000</v>
      </c>
      <c r="CH51" s="110">
        <f ca="1">IFERROR(__xludf.DUMMYFUNCTION("IMPORTRANGE(""https://docs.google.com/spreadsheets/d/1kfLP0j3INXRa8bTDpcEmoWewMBV61jlFlfzczfjWIgc/edit?usp=sharing"",""อุบลราชธานี!N236"")"),0)</f>
        <v>0</v>
      </c>
      <c r="CI51" s="111">
        <f t="shared" ca="1" si="130"/>
        <v>0</v>
      </c>
      <c r="CJ51" s="110">
        <f ca="1">IFERROR(__xludf.DUMMYFUNCTION("IMPORTRANGE(""https://docs.google.com/spreadsheets/d/1kfLP0j3INXRa8bTDpcEmoWewMBV61jlFlfzczfjWIgc/edit?usp=sharing"",""อุบลราชธานี!I238"")"),40)</f>
        <v>40</v>
      </c>
      <c r="CK51" s="110">
        <f ca="1">IFERROR(__xludf.DUMMYFUNCTION("IMPORTRANGE(""https://docs.google.com/spreadsheets/d/1kfLP0j3INXRa8bTDpcEmoWewMBV61jlFlfzczfjWIgc/edit?usp=sharing"",""อุบลราชธานี!J238"")"),0)</f>
        <v>0</v>
      </c>
      <c r="CL51" s="111">
        <f t="shared" ca="1" si="132"/>
        <v>0</v>
      </c>
      <c r="CM51" s="110">
        <f ca="1">IFERROR(__xludf.DUMMYFUNCTION("IMPORTRANGE(""https://docs.google.com/spreadsheets/d/1kfLP0j3INXRa8bTDpcEmoWewMBV61jlFlfzczfjWIgc/edit?usp=sharing"",""อุบลราชธานี!J240"")"),0)</f>
        <v>0</v>
      </c>
      <c r="CN51" s="110">
        <f ca="1">IFERROR(__xludf.DUMMYFUNCTION("IMPORTRANGE(""https://docs.google.com/spreadsheets/d/1kfLP0j3INXRa8bTDpcEmoWewMBV61jlFlfzczfjWIgc/edit?usp=sharing"",""อุบลราชธานี!J241"")"),0)</f>
        <v>0</v>
      </c>
    </row>
    <row r="52" spans="1:92" ht="21" customHeight="1" x14ac:dyDescent="0.3">
      <c r="A52" s="650" t="s">
        <v>78</v>
      </c>
      <c r="B52" s="583"/>
      <c r="C52" s="194">
        <f t="shared" ca="1" si="80"/>
        <v>3396000</v>
      </c>
      <c r="D52" s="194">
        <f t="shared" ref="D52:I52" ca="1" si="160">SUM(D53:D73)</f>
        <v>3396000</v>
      </c>
      <c r="E52" s="194">
        <f t="shared" ca="1" si="160"/>
        <v>1574600</v>
      </c>
      <c r="F52" s="194">
        <f t="shared" ca="1" si="160"/>
        <v>1821400</v>
      </c>
      <c r="G52" s="194">
        <f t="shared" ca="1" si="160"/>
        <v>0</v>
      </c>
      <c r="H52" s="194">
        <f t="shared" ca="1" si="160"/>
        <v>3598045</v>
      </c>
      <c r="I52" s="194">
        <f t="shared" ca="1" si="160"/>
        <v>0</v>
      </c>
      <c r="J52" s="194">
        <f t="shared" ca="1" si="82"/>
        <v>1101843.3</v>
      </c>
      <c r="K52" s="195">
        <f t="shared" ca="1" si="83"/>
        <v>32.445326855123675</v>
      </c>
      <c r="L52" s="194">
        <f ca="1">SUM(L53:L73)</f>
        <v>1101843.3</v>
      </c>
      <c r="M52" s="120">
        <f t="shared" ca="1" si="84"/>
        <v>32.445326855123675</v>
      </c>
      <c r="N52" s="120">
        <f t="shared" ca="1" si="85"/>
        <v>30.623388534606988</v>
      </c>
      <c r="O52" s="119">
        <f ca="1">SUM(O53:O73)</f>
        <v>0</v>
      </c>
      <c r="P52" s="119">
        <f t="shared" ca="1" si="86"/>
        <v>0</v>
      </c>
      <c r="Q52" s="120">
        <f t="shared" ca="1" si="87"/>
        <v>0</v>
      </c>
      <c r="R52" s="232">
        <f t="shared" ref="R52:T52" ca="1" si="161">SUM(R53:R73)</f>
        <v>1416738</v>
      </c>
      <c r="S52" s="233">
        <f t="shared" ca="1" si="161"/>
        <v>0</v>
      </c>
      <c r="T52" s="233">
        <f t="shared" ca="1" si="161"/>
        <v>0</v>
      </c>
      <c r="U52" s="234">
        <f t="shared" ca="1" si="89"/>
        <v>0</v>
      </c>
      <c r="V52" s="234">
        <f t="shared" ca="1" si="90"/>
        <v>0</v>
      </c>
      <c r="W52" s="71">
        <f t="shared" ref="W52:X52" ca="1" si="162">SUM(W53:W73)</f>
        <v>126000</v>
      </c>
      <c r="X52" s="71">
        <f t="shared" ca="1" si="162"/>
        <v>8160</v>
      </c>
      <c r="Y52" s="114">
        <f t="shared" ca="1" si="92"/>
        <v>6.4761904761904763</v>
      </c>
      <c r="Z52" s="71">
        <f t="shared" ref="Z52:AA52" ca="1" si="163">SUM(Z53:Z73)</f>
        <v>84</v>
      </c>
      <c r="AA52" s="71">
        <f t="shared" ca="1" si="163"/>
        <v>14</v>
      </c>
      <c r="AB52" s="114">
        <f t="shared" ca="1" si="94"/>
        <v>16.666666666666668</v>
      </c>
      <c r="AC52" s="71">
        <f t="shared" ref="AC52:AG52" ca="1" si="164">SUM(AC53:AC73)</f>
        <v>556</v>
      </c>
      <c r="AD52" s="71">
        <f t="shared" ca="1" si="164"/>
        <v>556</v>
      </c>
      <c r="AE52" s="71">
        <f t="shared" ca="1" si="164"/>
        <v>0</v>
      </c>
      <c r="AF52" s="71">
        <f t="shared" ca="1" si="164"/>
        <v>30000</v>
      </c>
      <c r="AG52" s="71">
        <f t="shared" ca="1" si="164"/>
        <v>1960</v>
      </c>
      <c r="AH52" s="114">
        <f t="shared" ca="1" si="96"/>
        <v>6.5333333333333332</v>
      </c>
      <c r="AI52" s="71">
        <f t="shared" ref="AI52:AJ52" ca="1" si="165">SUM(AI53:AI73)</f>
        <v>240000</v>
      </c>
      <c r="AJ52" s="71">
        <f t="shared" ca="1" si="165"/>
        <v>28747</v>
      </c>
      <c r="AK52" s="114">
        <f t="shared" ca="1" si="98"/>
        <v>11.977916666666667</v>
      </c>
      <c r="AL52" s="71">
        <f t="shared" ref="AL52:AM52" ca="1" si="166">SUM(AL53:AL73)</f>
        <v>133000</v>
      </c>
      <c r="AM52" s="71">
        <f t="shared" ca="1" si="166"/>
        <v>0</v>
      </c>
      <c r="AN52" s="114">
        <f t="shared" ca="1" si="100"/>
        <v>0</v>
      </c>
      <c r="AO52" s="71">
        <f t="shared" ref="AO52:AP52" ca="1" si="167">SUM(AO53:AO73)</f>
        <v>30</v>
      </c>
      <c r="AP52" s="71">
        <f t="shared" ca="1" si="167"/>
        <v>3</v>
      </c>
      <c r="AQ52" s="114">
        <f t="shared" ca="1" si="102"/>
        <v>10</v>
      </c>
      <c r="AR52" s="71">
        <f t="shared" ref="AR52:AU52" ca="1" si="168">SUM(AR53:AR73)</f>
        <v>0</v>
      </c>
      <c r="AS52" s="71">
        <f t="shared" ca="1" si="168"/>
        <v>0</v>
      </c>
      <c r="AT52" s="71">
        <f t="shared" ca="1" si="168"/>
        <v>14000</v>
      </c>
      <c r="AU52" s="71">
        <f t="shared" ca="1" si="168"/>
        <v>240</v>
      </c>
      <c r="AV52" s="114">
        <f t="shared" ca="1" si="104"/>
        <v>1.7142857142857142</v>
      </c>
      <c r="AW52" s="71">
        <f t="shared" ref="AW52:AX52" ca="1" si="169">SUM(AW53:AW73)</f>
        <v>70000</v>
      </c>
      <c r="AX52" s="71">
        <f t="shared" ca="1" si="169"/>
        <v>0</v>
      </c>
      <c r="AY52" s="114">
        <f t="shared" ca="1" si="106"/>
        <v>0</v>
      </c>
      <c r="AZ52" s="71">
        <f t="shared" ref="AZ52:BA52" ca="1" si="170">SUM(AZ53:AZ73)</f>
        <v>112000</v>
      </c>
      <c r="BA52" s="71">
        <f t="shared" ca="1" si="170"/>
        <v>8000</v>
      </c>
      <c r="BB52" s="114">
        <f t="shared" ca="1" si="108"/>
        <v>7.1428571428571432</v>
      </c>
      <c r="BC52" s="71">
        <f t="shared" ref="BC52:BD52" ca="1" si="171">SUM(BC53:BC73)</f>
        <v>14</v>
      </c>
      <c r="BD52" s="71">
        <f t="shared" ca="1" si="171"/>
        <v>0</v>
      </c>
      <c r="BE52" s="114">
        <f t="shared" ca="1" si="110"/>
        <v>0</v>
      </c>
      <c r="BF52" s="71">
        <f t="shared" ref="BF52:BG52" ca="1" si="172">SUM(BF53:BF73)</f>
        <v>14</v>
      </c>
      <c r="BG52" s="71">
        <f t="shared" ca="1" si="172"/>
        <v>1</v>
      </c>
      <c r="BH52" s="114">
        <f t="shared" ca="1" si="112"/>
        <v>7.1428571428571432</v>
      </c>
      <c r="BI52" s="71">
        <f t="shared" ref="BI52:BJ52" ca="1" si="173">SUM(BI53:BI73)</f>
        <v>81000</v>
      </c>
      <c r="BJ52" s="71">
        <f t="shared" ca="1" si="173"/>
        <v>0</v>
      </c>
      <c r="BK52" s="114">
        <f t="shared" ca="1" si="114"/>
        <v>0</v>
      </c>
      <c r="BL52" s="71">
        <f t="shared" ref="BL52:BM52" ca="1" si="174">SUM(BL53:BL73)</f>
        <v>31500</v>
      </c>
      <c r="BM52" s="71">
        <f t="shared" ca="1" si="174"/>
        <v>0</v>
      </c>
      <c r="BN52" s="114">
        <f t="shared" ca="1" si="116"/>
        <v>0</v>
      </c>
      <c r="BO52" s="71">
        <f t="shared" ref="BO52:BP52" ca="1" si="175">SUM(BO53:BO73)</f>
        <v>482200</v>
      </c>
      <c r="BP52" s="71">
        <f t="shared" ca="1" si="175"/>
        <v>102800</v>
      </c>
      <c r="BQ52" s="114">
        <f t="shared" ca="1" si="118"/>
        <v>21.318954790543344</v>
      </c>
      <c r="BR52" s="71">
        <f t="shared" ref="BR52:BS52" ca="1" si="176">SUM(BR53:BR73)</f>
        <v>482200</v>
      </c>
      <c r="BS52" s="71">
        <f t="shared" ca="1" si="176"/>
        <v>0</v>
      </c>
      <c r="BT52" s="114">
        <f t="shared" ca="1" si="120"/>
        <v>0</v>
      </c>
      <c r="BU52" s="71">
        <f t="shared" ref="BU52:BV52" ca="1" si="177">SUM(BU53:BU73)</f>
        <v>0</v>
      </c>
      <c r="BV52" s="71">
        <f t="shared" ca="1" si="177"/>
        <v>0</v>
      </c>
      <c r="BW52" s="114">
        <f t="shared" ca="1" si="122"/>
        <v>0</v>
      </c>
      <c r="BX52" s="71">
        <f t="shared" ref="BX52:BY52" ca="1" si="178">SUM(BX53:BX73)</f>
        <v>189000</v>
      </c>
      <c r="BY52" s="71">
        <f t="shared" ca="1" si="178"/>
        <v>63573</v>
      </c>
      <c r="BZ52" s="114">
        <f t="shared" ca="1" si="124"/>
        <v>33.63650793650794</v>
      </c>
      <c r="CA52" s="71">
        <f t="shared" ref="CA52:CB52" ca="1" si="179">SUM(CA53:CA73)</f>
        <v>31000</v>
      </c>
      <c r="CB52" s="71">
        <f t="shared" ca="1" si="179"/>
        <v>4130</v>
      </c>
      <c r="CC52" s="114">
        <f t="shared" ca="1" si="126"/>
        <v>13.32258064516129</v>
      </c>
      <c r="CD52" s="71">
        <f t="shared" ref="CD52:CE52" ca="1" si="180">SUM(CD53:CD73)</f>
        <v>397900</v>
      </c>
      <c r="CE52" s="71">
        <f t="shared" ca="1" si="180"/>
        <v>32900</v>
      </c>
      <c r="CF52" s="114">
        <f t="shared" ca="1" si="128"/>
        <v>8.2684091480271427</v>
      </c>
      <c r="CG52" s="71">
        <f t="shared" ref="CG52:CH52" ca="1" si="181">SUM(CG53:CG73)</f>
        <v>366000</v>
      </c>
      <c r="CH52" s="71">
        <f t="shared" ca="1" si="181"/>
        <v>0</v>
      </c>
      <c r="CI52" s="114">
        <f t="shared" ca="1" si="130"/>
        <v>0</v>
      </c>
      <c r="CJ52" s="71">
        <f t="shared" ref="CJ52:CK52" ca="1" si="182">SUM(CJ53:CJ73)</f>
        <v>330</v>
      </c>
      <c r="CK52" s="71">
        <f t="shared" ca="1" si="182"/>
        <v>80</v>
      </c>
      <c r="CL52" s="114">
        <f t="shared" ca="1" si="132"/>
        <v>24.242424242424242</v>
      </c>
      <c r="CM52" s="71">
        <f t="shared" ref="CM52:CN52" ca="1" si="183">SUM(CM53:CM73)</f>
        <v>30</v>
      </c>
      <c r="CN52" s="71">
        <f t="shared" ca="1" si="183"/>
        <v>0</v>
      </c>
    </row>
    <row r="53" spans="1:92" ht="21" customHeight="1" x14ac:dyDescent="0.3">
      <c r="A53" s="77">
        <v>1</v>
      </c>
      <c r="B53" s="78" t="s">
        <v>79</v>
      </c>
      <c r="C53" s="174">
        <f t="shared" ca="1" si="80"/>
        <v>199100</v>
      </c>
      <c r="D53" s="175">
        <f t="shared" ref="D53:D73" ca="1" si="184">+E53+F53</f>
        <v>199100</v>
      </c>
      <c r="E53" s="176">
        <f ca="1">IFERROR(__xludf.DUMMYFUNCTION("IMPORTRANGE(""https://docs.google.com/spreadsheets/d/1-uDff_7J0KD5mKrp0Vvzr7lt3OU09vwQwhkpOPPYv2Y/edit?usp=sharing"",""งบพรบ!CV53"")"),0)</f>
        <v>0</v>
      </c>
      <c r="F53" s="176">
        <f ca="1">IFERROR(__xludf.DUMMYFUNCTION("IMPORTRANGE(""https://docs.google.com/spreadsheets/d/1-uDff_7J0KD5mKrp0Vvzr7lt3OU09vwQwhkpOPPYv2Y/edit?usp=sharing"",""งบพรบ!CW53"")"),199100)</f>
        <v>199100</v>
      </c>
      <c r="G53" s="177">
        <f ca="1">IFERROR(__xludf.DUMMYFUNCTION("IMPORTRANGE(""https://docs.google.com/spreadsheets/d/1-uDff_7J0KD5mKrp0Vvzr7lt3OU09vwQwhkpOPPYv2Y/edit?usp=sharing"",""งบพรบ!CX53"")"),0)</f>
        <v>0</v>
      </c>
      <c r="H53" s="177">
        <f ca="1">IFERROR(__xludf.DUMMYFUNCTION("IMPORTRANGE(""https://docs.google.com/spreadsheets/d/1-uDff_7J0KD5mKrp0Vvzr7lt3OU09vwQwhkpOPPYv2Y/edit?usp=sharing"",""งบพรบ!CZ53"")"),204420)</f>
        <v>204420</v>
      </c>
      <c r="I53" s="177">
        <f ca="1">IFERROR(__xludf.DUMMYFUNCTION("IMPORTRANGE(""https://docs.google.com/spreadsheets/d/1-uDff_7J0KD5mKrp0Vvzr7lt3OU09vwQwhkpOPPYv2Y/edit?usp=sharing"",""งบพรบ!DA53"")"),0)</f>
        <v>0</v>
      </c>
      <c r="J53" s="177">
        <f t="shared" ca="1" si="82"/>
        <v>99725</v>
      </c>
      <c r="K53" s="178">
        <f t="shared" ca="1" si="83"/>
        <v>50.087895529884477</v>
      </c>
      <c r="L53" s="177">
        <f ca="1">IFERROR(__xludf.DUMMYFUNCTION("IMPORTRANGE(""https://docs.google.com/spreadsheets/d/1-uDff_7J0KD5mKrp0Vvzr7lt3OU09vwQwhkpOPPYv2Y/edit?usp=sharing"",""งบพรบ!DB53"")"),99725)</f>
        <v>99725</v>
      </c>
      <c r="M53" s="87">
        <f t="shared" ca="1" si="84"/>
        <v>50.087895529884477</v>
      </c>
      <c r="N53" s="87">
        <f t="shared" ca="1" si="85"/>
        <v>48.784365521964581</v>
      </c>
      <c r="O53" s="86">
        <f ca="1">IFERROR(__xludf.DUMMYFUNCTION("IMPORTRANGE(""https://docs.google.com/spreadsheets/d/1-uDff_7J0KD5mKrp0Vvzr7lt3OU09vwQwhkpOPPYv2Y/edit?usp=sharing"",""งบพรบ!DC53"")"),0)</f>
        <v>0</v>
      </c>
      <c r="P53" s="86">
        <f t="shared" ca="1" si="86"/>
        <v>0</v>
      </c>
      <c r="Q53" s="87">
        <f t="shared" ca="1" si="87"/>
        <v>0</v>
      </c>
      <c r="R53" s="241">
        <f ca="1">IFERROR(__xludf.DUMMYFUNCTION("IMPORTRANGE(""https://docs.google.com/spreadsheets/d/13wPX838HrBrQMCywv1BsuMkt4PEKTChp52zj44s2izQ/edit?usp=sharing"",""กาญจนบุรี!Q186"")"),354200)</f>
        <v>354200</v>
      </c>
      <c r="S53" s="242">
        <f ca="1">IFERROR(__xludf.DUMMYFUNCTION("IMPORTRANGE(""https://docs.google.com/spreadsheets/d/13wPX838HrBrQMCywv1BsuMkt4PEKTChp52zj44s2izQ/edit?usp=sharing"",""กาญจนบุรี!R186"")"),0)</f>
        <v>0</v>
      </c>
      <c r="T53" s="242">
        <f ca="1">IFERROR(__xludf.DUMMYFUNCTION("IMPORTRANGE(""https://docs.google.com/spreadsheets/d/13wPX838HrBrQMCywv1BsuMkt4PEKTChp52zj44s2izQ/edit?usp=sharing"",""กาญจนบุรี!S186"")"),0)</f>
        <v>0</v>
      </c>
      <c r="U53" s="243">
        <f t="shared" ca="1" si="89"/>
        <v>0</v>
      </c>
      <c r="V53" s="243">
        <f t="shared" ca="1" si="90"/>
        <v>0</v>
      </c>
      <c r="W53" s="82">
        <f ca="1">IFERROR(__xludf.DUMMYFUNCTION("IMPORTRANGE(""https://docs.google.com/spreadsheets/d/13wPX838HrBrQMCywv1BsuMkt4PEKTChp52zj44s2izQ/edit?usp=sharing"",""กาญจนบุรี!L196"")"),6000)</f>
        <v>6000</v>
      </c>
      <c r="X53" s="82">
        <f ca="1">IFERROR(__xludf.DUMMYFUNCTION("IMPORTRANGE(""https://docs.google.com/spreadsheets/d/13wPX838HrBrQMCywv1BsuMkt4PEKTChp52zj44s2izQ/edit?usp=sharing"",""กาญจนบุรี!N196"")"),1860)</f>
        <v>1860</v>
      </c>
      <c r="Y53" s="88">
        <f t="shared" ca="1" si="92"/>
        <v>31</v>
      </c>
      <c r="Z53" s="82">
        <f ca="1">IFERROR(__xludf.DUMMYFUNCTION("IMPORTRANGE(""https://docs.google.com/spreadsheets/d/13wPX838HrBrQMCywv1BsuMkt4PEKTChp52zj44s2izQ/edit?usp=sharing"",""กาญจนบุรี!I198"")"),4)</f>
        <v>4</v>
      </c>
      <c r="AA53" s="82">
        <f ca="1">IFERROR(__xludf.DUMMYFUNCTION("IMPORTRANGE(""https://docs.google.com/spreadsheets/d/13wPX838HrBrQMCywv1BsuMkt4PEKTChp52zj44s2izQ/edit?usp=sharing"",""กาญจนบุรี!J198"")"),1)</f>
        <v>1</v>
      </c>
      <c r="AB53" s="88">
        <f t="shared" ca="1" si="94"/>
        <v>25</v>
      </c>
      <c r="AC53" s="82">
        <f ca="1">IFERROR(__xludf.DUMMYFUNCTION("IMPORTRANGE(""https://docs.google.com/spreadsheets/d/13wPX838HrBrQMCywv1BsuMkt4PEKTChp52zj44s2izQ/edit?usp=sharing"",""กาญจนบุรี!J199"")"),47)</f>
        <v>47</v>
      </c>
      <c r="AD53" s="82">
        <f ca="1">IFERROR(__xludf.DUMMYFUNCTION("IMPORTRANGE(""https://docs.google.com/spreadsheets/d/13wPX838HrBrQMCywv1BsuMkt4PEKTChp52zj44s2izQ/edit?usp=sharing"",""กาญจนบุรี!J200"")"),47)</f>
        <v>47</v>
      </c>
      <c r="AE53" s="82">
        <f ca="1">IFERROR(__xludf.DUMMYFUNCTION("IMPORTRANGE(""https://docs.google.com/spreadsheets/d/13wPX838HrBrQMCywv1BsuMkt4PEKTChp52zj44s2izQ/edit?usp=sharing"",""กาญจนบุรี!J201"")"),0)</f>
        <v>0</v>
      </c>
      <c r="AF53" s="82">
        <f ca="1">IFERROR(__xludf.DUMMYFUNCTION("IMPORTRANGE(""https://docs.google.com/spreadsheets/d/13wPX838HrBrQMCywv1BsuMkt4PEKTChp52zj44s2izQ/edit?usp=sharing"",""กาญจนบุรี!L204"")"),1000)</f>
        <v>1000</v>
      </c>
      <c r="AG53" s="82">
        <f ca="1">IFERROR(__xludf.DUMMYFUNCTION("IMPORTRANGE(""https://docs.google.com/spreadsheets/d/13wPX838HrBrQMCywv1BsuMkt4PEKTChp52zj44s2izQ/edit?usp=sharing"",""กาญจนบุรี!N204"")"),0)</f>
        <v>0</v>
      </c>
      <c r="AH53" s="88">
        <f t="shared" ca="1" si="96"/>
        <v>0</v>
      </c>
      <c r="AI53" s="82">
        <f ca="1">IFERROR(__xludf.DUMMYFUNCTION("IMPORTRANGE(""https://docs.google.com/spreadsheets/d/13wPX838HrBrQMCywv1BsuMkt4PEKTChp52zj44s2izQ/edit?usp=sharing"",""กาญจนบุรี!L206"")"),8000)</f>
        <v>8000</v>
      </c>
      <c r="AJ53" s="82">
        <f ca="1">IFERROR(__xludf.DUMMYFUNCTION("IMPORTRANGE(""https://docs.google.com/spreadsheets/d/13wPX838HrBrQMCywv1BsuMkt4PEKTChp52zj44s2izQ/edit?usp=sharing"",""กาญจนบุรี!N206"")"),0)</f>
        <v>0</v>
      </c>
      <c r="AK53" s="88">
        <f t="shared" ca="1" si="98"/>
        <v>0</v>
      </c>
      <c r="AL53" s="82">
        <f ca="1">IFERROR(__xludf.DUMMYFUNCTION("IMPORTRANGE(""https://docs.google.com/spreadsheets/d/13wPX838HrBrQMCywv1BsuMkt4PEKTChp52zj44s2izQ/edit?usp=sharing"",""กาญจนบุรี!L207"")"),4000)</f>
        <v>4000</v>
      </c>
      <c r="AM53" s="82">
        <f ca="1">IFERROR(__xludf.DUMMYFUNCTION("IMPORTRANGE(""https://docs.google.com/spreadsheets/d/13wPX838HrBrQMCywv1BsuMkt4PEKTChp52zj44s2izQ/edit?usp=sharing"",""กาญจนบุรี!N207"")"),0)</f>
        <v>0</v>
      </c>
      <c r="AN53" s="88">
        <f t="shared" ca="1" si="100"/>
        <v>0</v>
      </c>
      <c r="AO53" s="82">
        <f ca="1">IFERROR(__xludf.DUMMYFUNCTION("IMPORTRANGE(""https://docs.google.com/spreadsheets/d/13wPX838HrBrQMCywv1BsuMkt4PEKTChp52zj44s2izQ/edit?usp=sharing"",""กาญจนบุรี!I209"")"),1)</f>
        <v>1</v>
      </c>
      <c r="AP53" s="82">
        <f ca="1">IFERROR(__xludf.DUMMYFUNCTION("IMPORTRANGE(""https://docs.google.com/spreadsheets/d/13wPX838HrBrQMCywv1BsuMkt4PEKTChp52zj44s2izQ/edit?usp=sharing"",""กาญจนบุรี!J209"")"),0)</f>
        <v>0</v>
      </c>
      <c r="AQ53" s="88">
        <f t="shared" ca="1" si="102"/>
        <v>0</v>
      </c>
      <c r="AR53" s="82">
        <f ca="1">IFERROR(__xludf.DUMMYFUNCTION("IMPORTRANGE(""https://docs.google.com/spreadsheets/d/13wPX838HrBrQMCywv1BsuMkt4PEKTChp52zj44s2izQ/edit?usp=sharing"",""กาญจนบุรี!J211"")"),0)</f>
        <v>0</v>
      </c>
      <c r="AS53" s="82">
        <f ca="1">IFERROR(__xludf.DUMMYFUNCTION("IMPORTRANGE(""https://docs.google.com/spreadsheets/d/13wPX838HrBrQMCywv1BsuMkt4PEKTChp52zj44s2izQ/edit?usp=sharing"",""กาญจนบุรี!J212"")"),0)</f>
        <v>0</v>
      </c>
      <c r="AT53" s="82">
        <f ca="1">IFERROR(__xludf.DUMMYFUNCTION("IMPORTRANGE(""https://docs.google.com/spreadsheets/d/13wPX838HrBrQMCywv1BsuMkt4PEKTChp52zj44s2izQ/edit?usp=sharing"",""กาญจนบุรี!L215"")"),3000)</f>
        <v>3000</v>
      </c>
      <c r="AU53" s="82">
        <f ca="1">IFERROR(__xludf.DUMMYFUNCTION("IMPORTRANGE(""https://docs.google.com/spreadsheets/d/13wPX838HrBrQMCywv1BsuMkt4PEKTChp52zj44s2izQ/edit?usp=sharing"",""กาญจนบุรี!N215"")"),0)</f>
        <v>0</v>
      </c>
      <c r="AV53" s="88">
        <f t="shared" ca="1" si="104"/>
        <v>0</v>
      </c>
      <c r="AW53" s="82">
        <f ca="1">IFERROR(__xludf.DUMMYFUNCTION("IMPORTRANGE(""https://docs.google.com/spreadsheets/d/13wPX838HrBrQMCywv1BsuMkt4PEKTChp52zj44s2izQ/edit?usp=sharing"",""กาญจนบุรี!L216"")"),15000)</f>
        <v>15000</v>
      </c>
      <c r="AX53" s="82">
        <f ca="1">IFERROR(__xludf.DUMMYFUNCTION("IMPORTRANGE(""https://docs.google.com/spreadsheets/d/13wPX838HrBrQMCywv1BsuMkt4PEKTChp52zj44s2izQ/edit?usp=sharing"",""กาญจนบุรี!N216"")"),0)</f>
        <v>0</v>
      </c>
      <c r="AY53" s="88">
        <f t="shared" ca="1" si="106"/>
        <v>0</v>
      </c>
      <c r="AZ53" s="82">
        <f ca="1">IFERROR(__xludf.DUMMYFUNCTION("IMPORTRANGE(""https://docs.google.com/spreadsheets/d/13wPX838HrBrQMCywv1BsuMkt4PEKTChp52zj44s2izQ/edit?usp=sharing"",""กาญจนบุรี!L217"")"),24000)</f>
        <v>24000</v>
      </c>
      <c r="BA53" s="82">
        <f ca="1">IFERROR(__xludf.DUMMYFUNCTION("IMPORTRANGE(""https://docs.google.com/spreadsheets/d/13wPX838HrBrQMCywv1BsuMkt4PEKTChp52zj44s2izQ/edit?usp=sharing"",""กาญจนบุรี!N217"")"),0)</f>
        <v>0</v>
      </c>
      <c r="BB53" s="88">
        <f t="shared" ca="1" si="108"/>
        <v>0</v>
      </c>
      <c r="BC53" s="82">
        <f ca="1">IFERROR(__xludf.DUMMYFUNCTION("IMPORTRANGE(""https://docs.google.com/spreadsheets/d/13wPX838HrBrQMCywv1BsuMkt4PEKTChp52zj44s2izQ/edit?usp=sharing"",""กาญจนบุรี!I219"")"),3)</f>
        <v>3</v>
      </c>
      <c r="BD53" s="82">
        <f ca="1">IFERROR(__xludf.DUMMYFUNCTION("IMPORTRANGE(""https://docs.google.com/spreadsheets/d/13wPX838HrBrQMCywv1BsuMkt4PEKTChp52zj44s2izQ/edit?usp=sharing"",""กาญจนบุรี!J219"")"),0)</f>
        <v>0</v>
      </c>
      <c r="BE53" s="88">
        <f t="shared" ca="1" si="110"/>
        <v>0</v>
      </c>
      <c r="BF53" s="82">
        <f ca="1">IFERROR(__xludf.DUMMYFUNCTION("IMPORTRANGE(""https://docs.google.com/spreadsheets/d/13wPX838HrBrQMCywv1BsuMkt4PEKTChp52zj44s2izQ/edit?usp=sharing"",""กาญจนบุรี!I220"")"),3)</f>
        <v>3</v>
      </c>
      <c r="BG53" s="82">
        <f ca="1">IFERROR(__xludf.DUMMYFUNCTION("IMPORTRANGE(""https://docs.google.com/spreadsheets/d/13wPX838HrBrQMCywv1BsuMkt4PEKTChp52zj44s2izQ/edit?usp=sharing"",""กาญจนบุรี!J220"")"),0)</f>
        <v>0</v>
      </c>
      <c r="BH53" s="88">
        <f t="shared" ca="1" si="112"/>
        <v>0</v>
      </c>
      <c r="BI53" s="82">
        <f ca="1">IFERROR(__xludf.DUMMYFUNCTION("IMPORTRANGE(""https://docs.google.com/spreadsheets/d/13wPX838HrBrQMCywv1BsuMkt4PEKTChp52zj44s2izQ/edit?usp=sharing"",""กาญจนบุรี!L223"")"),5000)</f>
        <v>5000</v>
      </c>
      <c r="BJ53" s="82">
        <f ca="1">IFERROR(__xludf.DUMMYFUNCTION("IMPORTRANGE(""https://docs.google.com/spreadsheets/d/13wPX838HrBrQMCywv1BsuMkt4PEKTChp52zj44s2izQ/edit?usp=sharing"",""กาญจนบุรี!N223"")"),0)</f>
        <v>0</v>
      </c>
      <c r="BK53" s="88">
        <f t="shared" ca="1" si="114"/>
        <v>0</v>
      </c>
      <c r="BL53" s="82">
        <f ca="1">IFERROR(__xludf.DUMMYFUNCTION("IMPORTRANGE(""https://docs.google.com/spreadsheets/d/13wPX838HrBrQMCywv1BsuMkt4PEKTChp52zj44s2izQ/edit?usp=sharing"",""กาญจนบุรี!L224"")"),1500)</f>
        <v>1500</v>
      </c>
      <c r="BM53" s="82">
        <f ca="1">IFERROR(__xludf.DUMMYFUNCTION("IMPORTRANGE(""https://docs.google.com/spreadsheets/d/13wPX838HrBrQMCywv1BsuMkt4PEKTChp52zj44s2izQ/edit?usp=sharing"",""กาญจนบุรี!N224"")"),0)</f>
        <v>0</v>
      </c>
      <c r="BN53" s="88">
        <f t="shared" ca="1" si="116"/>
        <v>0</v>
      </c>
      <c r="BO53" s="82">
        <f ca="1">IFERROR(__xludf.DUMMYFUNCTION("IMPORTRANGE(""https://docs.google.com/spreadsheets/d/13wPX838HrBrQMCywv1BsuMkt4PEKTChp52zj44s2izQ/edit?usp=sharing"",""กาญจนบุรี!I228"")"),40000)</f>
        <v>40000</v>
      </c>
      <c r="BP53" s="82">
        <f ca="1">IFERROR(__xludf.DUMMYFUNCTION("IMPORTRANGE(""https://docs.google.com/spreadsheets/d/13wPX838HrBrQMCywv1BsuMkt4PEKTChp52zj44s2izQ/edit?usp=sharing"",""กาญจนบุรี!J228"")"),40000)</f>
        <v>40000</v>
      </c>
      <c r="BQ53" s="88">
        <f t="shared" ca="1" si="118"/>
        <v>100</v>
      </c>
      <c r="BR53" s="82">
        <f ca="1">IFERROR(__xludf.DUMMYFUNCTION("IMPORTRANGE(""https://docs.google.com/spreadsheets/d/13wPX838HrBrQMCywv1BsuMkt4PEKTChp52zj44s2izQ/edit?usp=sharing"",""กาญจนบุรี!I229"")"),40000)</f>
        <v>40000</v>
      </c>
      <c r="BS53" s="82">
        <f ca="1">IFERROR(__xludf.DUMMYFUNCTION("IMPORTRANGE(""https://docs.google.com/spreadsheets/d/13wPX838HrBrQMCywv1BsuMkt4PEKTChp52zj44s2izQ/edit?usp=sharing"",""กาญจนบุรี!J229"")"),0)</f>
        <v>0</v>
      </c>
      <c r="BT53" s="88">
        <f t="shared" ca="1" si="120"/>
        <v>0</v>
      </c>
      <c r="BU53" s="82">
        <f ca="1">IFERROR(__xludf.DUMMYFUNCTION("IMPORTRANGE(""https://docs.google.com/spreadsheets/d/13wPX838HrBrQMCywv1BsuMkt4PEKTChp52zj44s2izQ/edit?usp=sharing"",""กาญจนบุรี!I230"")"),0)</f>
        <v>0</v>
      </c>
      <c r="BV53" s="82">
        <f ca="1">IFERROR(__xludf.DUMMYFUNCTION("IMPORTRANGE(""https://docs.google.com/spreadsheets/d/13wPX838HrBrQMCywv1BsuMkt4PEKTChp52zj44s2izQ/edit?usp=sharing"",""กาญจนบุรี!J230"")"),0)</f>
        <v>0</v>
      </c>
      <c r="BW53" s="88">
        <f t="shared" ca="1" si="122"/>
        <v>0</v>
      </c>
      <c r="BX53" s="82">
        <f ca="1">IFERROR(__xludf.DUMMYFUNCTION("IMPORTRANGE(""https://docs.google.com/spreadsheets/d/13wPX838HrBrQMCywv1BsuMkt4PEKTChp52zj44s2izQ/edit?usp=sharing"",""กาญจนบุรี!L233"")"),8000)</f>
        <v>8000</v>
      </c>
      <c r="BY53" s="82">
        <f ca="1">IFERROR(__xludf.DUMMYFUNCTION("IMPORTRANGE(""https://docs.google.com/spreadsheets/d/13wPX838HrBrQMCywv1BsuMkt4PEKTChp52zj44s2izQ/edit?usp=sharing"",""กาญจนบุรี!N233"")"),0)</f>
        <v>0</v>
      </c>
      <c r="BZ53" s="88">
        <f t="shared" ca="1" si="124"/>
        <v>0</v>
      </c>
      <c r="CA53" s="82">
        <f ca="1">IFERROR(__xludf.DUMMYFUNCTION("IMPORTRANGE(""https://docs.google.com/spreadsheets/d/13wPX838HrBrQMCywv1BsuMkt4PEKTChp52zj44s2izQ/edit?usp=sharing"",""กาญจนบุรี!L234"")"),2000)</f>
        <v>2000</v>
      </c>
      <c r="CB53" s="82">
        <f ca="1">IFERROR(__xludf.DUMMYFUNCTION("IMPORTRANGE(""https://docs.google.com/spreadsheets/d/13wPX838HrBrQMCywv1BsuMkt4PEKTChp52zj44s2izQ/edit?usp=sharing"",""กาญจนบุรี!N234"")"),0)</f>
        <v>0</v>
      </c>
      <c r="CC53" s="88">
        <f t="shared" ca="1" si="126"/>
        <v>0</v>
      </c>
      <c r="CD53" s="82">
        <f ca="1">IFERROR(__xludf.DUMMYFUNCTION("IMPORTRANGE(""https://docs.google.com/spreadsheets/d/13wPX838HrBrQMCywv1BsuMkt4PEKTChp52zj44s2izQ/edit?usp=sharing"",""กาญจนบุรี!L235"")"),55600)</f>
        <v>55600</v>
      </c>
      <c r="CE53" s="82">
        <f ca="1">IFERROR(__xludf.DUMMYFUNCTION("IMPORTRANGE(""https://docs.google.com/spreadsheets/d/13wPX838HrBrQMCywv1BsuMkt4PEKTChp52zj44s2izQ/edit?usp=sharing"",""กาญจนบุรี!N235"")"),0)</f>
        <v>0</v>
      </c>
      <c r="CF53" s="88">
        <f t="shared" ca="1" si="128"/>
        <v>0</v>
      </c>
      <c r="CG53" s="82">
        <f ca="1">IFERROR(__xludf.DUMMYFUNCTION("IMPORTRANGE(""https://docs.google.com/spreadsheets/d/13wPX838HrBrQMCywv1BsuMkt4PEKTChp52zj44s2izQ/edit?usp=sharing"",""กาญจนบุรี!L236"")"),66000)</f>
        <v>66000</v>
      </c>
      <c r="CH53" s="82">
        <f ca="1">IFERROR(__xludf.DUMMYFUNCTION("IMPORTRANGE(""https://docs.google.com/spreadsheets/d/13wPX838HrBrQMCywv1BsuMkt4PEKTChp52zj44s2izQ/edit?usp=sharing"",""กาญจนบุรี!N236"")"),0)</f>
        <v>0</v>
      </c>
      <c r="CI53" s="88">
        <f t="shared" ca="1" si="130"/>
        <v>0</v>
      </c>
      <c r="CJ53" s="82">
        <f ca="1">IFERROR(__xludf.DUMMYFUNCTION("IMPORTRANGE(""https://docs.google.com/spreadsheets/d/13wPX838HrBrQMCywv1BsuMkt4PEKTChp52zj44s2izQ/edit?usp=sharing"",""กาญจนบุรี!I238"")"),30)</f>
        <v>30</v>
      </c>
      <c r="CK53" s="82">
        <f ca="1">IFERROR(__xludf.DUMMYFUNCTION("IMPORTRANGE(""https://docs.google.com/spreadsheets/d/13wPX838HrBrQMCywv1BsuMkt4PEKTChp52zj44s2izQ/edit?usp=sharing"",""กาญจนบุรี!J238"")"),30)</f>
        <v>30</v>
      </c>
      <c r="CL53" s="88">
        <f t="shared" ca="1" si="132"/>
        <v>100</v>
      </c>
      <c r="CM53" s="82">
        <f ca="1">IFERROR(__xludf.DUMMYFUNCTION("IMPORTRANGE(""https://docs.google.com/spreadsheets/d/13wPX838HrBrQMCywv1BsuMkt4PEKTChp52zj44s2izQ/edit?usp=sharing"",""กาญจนบุรี!J240"")"),30)</f>
        <v>30</v>
      </c>
      <c r="CN53" s="82">
        <f ca="1">IFERROR(__xludf.DUMMYFUNCTION("IMPORTRANGE(""https://docs.google.com/spreadsheets/d/13wPX838HrBrQMCywv1BsuMkt4PEKTChp52zj44s2izQ/edit?usp=sharing"",""กาญจนบุรี!J241"")"),0)</f>
        <v>0</v>
      </c>
    </row>
    <row r="54" spans="1:92" ht="21" customHeight="1" x14ac:dyDescent="0.3">
      <c r="A54" s="89">
        <v>2</v>
      </c>
      <c r="B54" s="90" t="s">
        <v>80</v>
      </c>
      <c r="C54" s="174">
        <f t="shared" ca="1" si="80"/>
        <v>263400</v>
      </c>
      <c r="D54" s="175">
        <f t="shared" ca="1" si="184"/>
        <v>263400</v>
      </c>
      <c r="E54" s="176">
        <f ca="1">IFERROR(__xludf.DUMMYFUNCTION("IMPORTRANGE(""https://docs.google.com/spreadsheets/d/1-uDff_7J0KD5mKrp0Vvzr7lt3OU09vwQwhkpOPPYv2Y/edit?usp=sharing"",""งบพรบ!CV54"")"),168200)</f>
        <v>168200</v>
      </c>
      <c r="F54" s="176">
        <f ca="1">IFERROR(__xludf.DUMMYFUNCTION("IMPORTRANGE(""https://docs.google.com/spreadsheets/d/1-uDff_7J0KD5mKrp0Vvzr7lt3OU09vwQwhkpOPPYv2Y/edit?usp=sharing"",""งบพรบ!CW54"")"),95200)</f>
        <v>95200</v>
      </c>
      <c r="G54" s="176">
        <f ca="1">IFERROR(__xludf.DUMMYFUNCTION("IMPORTRANGE(""https://docs.google.com/spreadsheets/d/1-uDff_7J0KD5mKrp0Vvzr7lt3OU09vwQwhkpOPPYv2Y/edit?usp=sharing"",""งบพรบ!CX54"")"),0)</f>
        <v>0</v>
      </c>
      <c r="H54" s="176">
        <f ca="1">IFERROR(__xludf.DUMMYFUNCTION("IMPORTRANGE(""https://docs.google.com/spreadsheets/d/1-uDff_7J0KD5mKrp0Vvzr7lt3OU09vwQwhkpOPPYv2Y/edit?usp=sharing"",""งบพรบ!CZ54"")"),268400)</f>
        <v>268400</v>
      </c>
      <c r="I54" s="176">
        <f ca="1">IFERROR(__xludf.DUMMYFUNCTION("IMPORTRANGE(""https://docs.google.com/spreadsheets/d/1-uDff_7J0KD5mKrp0Vvzr7lt3OU09vwQwhkpOPPYv2Y/edit?usp=sharing"",""งบพรบ!DA54"")"),0)</f>
        <v>0</v>
      </c>
      <c r="J54" s="176">
        <f t="shared" ca="1" si="82"/>
        <v>94274.97</v>
      </c>
      <c r="K54" s="179">
        <f t="shared" ca="1" si="83"/>
        <v>35.791560364464694</v>
      </c>
      <c r="L54" s="176">
        <f ca="1">IFERROR(__xludf.DUMMYFUNCTION("IMPORTRANGE(""https://docs.google.com/spreadsheets/d/1-uDff_7J0KD5mKrp0Vvzr7lt3OU09vwQwhkpOPPYv2Y/edit?usp=sharing"",""งบพรบ!DB54"")"),94274.97)</f>
        <v>94274.97</v>
      </c>
      <c r="M54" s="87">
        <f t="shared" ca="1" si="84"/>
        <v>35.791560364464694</v>
      </c>
      <c r="N54" s="87">
        <f t="shared" ca="1" si="85"/>
        <v>35.124802533532041</v>
      </c>
      <c r="O54" s="86">
        <f ca="1">IFERROR(__xludf.DUMMYFUNCTION("IMPORTRANGE(""https://docs.google.com/spreadsheets/d/1-uDff_7J0KD5mKrp0Vvzr7lt3OU09vwQwhkpOPPYv2Y/edit?usp=sharing"",""งบพรบ!DC54"")"),0)</f>
        <v>0</v>
      </c>
      <c r="P54" s="86">
        <f t="shared" ca="1" si="86"/>
        <v>0</v>
      </c>
      <c r="Q54" s="87">
        <f t="shared" ca="1" si="87"/>
        <v>0</v>
      </c>
      <c r="R54" s="241">
        <f ca="1">IFERROR(__xludf.DUMMYFUNCTION("IMPORTRANGE(""https://docs.google.com/spreadsheets/d/1ddFKvqj1W1NEiWytbGlB1zMx_ykJDVtmfEQ-6-lIUBA/edit?usp=sharing"",""จันทบุรี!Q186"")"),69700)</f>
        <v>69700</v>
      </c>
      <c r="S54" s="242">
        <f ca="1">IFERROR(__xludf.DUMMYFUNCTION("IMPORTRANGE(""https://docs.google.com/spreadsheets/d/1ddFKvqj1W1NEiWytbGlB1zMx_ykJDVtmfEQ-6-lIUBA/edit?usp=sharing"",""จันทบุรี!R186"")"),0)</f>
        <v>0</v>
      </c>
      <c r="T54" s="242">
        <f ca="1">IFERROR(__xludf.DUMMYFUNCTION("IMPORTRANGE(""https://docs.google.com/spreadsheets/d/1ddFKvqj1W1NEiWytbGlB1zMx_ykJDVtmfEQ-6-lIUBA/edit?usp=sharing"",""จันทบุรี!S186"")"),0)</f>
        <v>0</v>
      </c>
      <c r="U54" s="243">
        <f t="shared" ca="1" si="89"/>
        <v>0</v>
      </c>
      <c r="V54" s="243">
        <f t="shared" ca="1" si="90"/>
        <v>0</v>
      </c>
      <c r="W54" s="97">
        <f ca="1">IFERROR(__xludf.DUMMYFUNCTION("IMPORTRANGE(""https://docs.google.com/spreadsheets/d/1ddFKvqj1W1NEiWytbGlB1zMx_ykJDVtmfEQ-6-lIUBA/edit?usp=sharing"",""จันทบุรี!L196"")"),6000)</f>
        <v>6000</v>
      </c>
      <c r="X54" s="97">
        <f ca="1">IFERROR(__xludf.DUMMYFUNCTION("IMPORTRANGE(""https://docs.google.com/spreadsheets/d/1ddFKvqj1W1NEiWytbGlB1zMx_ykJDVtmfEQ-6-lIUBA/edit?usp=sharing"",""จันทบุรี!N196"")"),0)</f>
        <v>0</v>
      </c>
      <c r="Y54" s="98">
        <f t="shared" ca="1" si="92"/>
        <v>0</v>
      </c>
      <c r="Z54" s="97">
        <f ca="1">IFERROR(__xludf.DUMMYFUNCTION("IMPORTRANGE(""https://docs.google.com/spreadsheets/d/1ddFKvqj1W1NEiWytbGlB1zMx_ykJDVtmfEQ-6-lIUBA/edit?usp=sharing"",""จันทบุรี!I198"")"),4)</f>
        <v>4</v>
      </c>
      <c r="AA54" s="97">
        <f ca="1">IFERROR(__xludf.DUMMYFUNCTION("IMPORTRANGE(""https://docs.google.com/spreadsheets/d/1ddFKvqj1W1NEiWytbGlB1zMx_ykJDVtmfEQ-6-lIUBA/edit?usp=sharing"",""จันทบุรี!J198"")"),1)</f>
        <v>1</v>
      </c>
      <c r="AB54" s="98">
        <f t="shared" ca="1" si="94"/>
        <v>25</v>
      </c>
      <c r="AC54" s="97">
        <f ca="1">IFERROR(__xludf.DUMMYFUNCTION("IMPORTRANGE(""https://docs.google.com/spreadsheets/d/1ddFKvqj1W1NEiWytbGlB1zMx_ykJDVtmfEQ-6-lIUBA/edit?usp=sharing"",""จันทบุรี!J199"")"),80)</f>
        <v>80</v>
      </c>
      <c r="AD54" s="97">
        <f ca="1">IFERROR(__xludf.DUMMYFUNCTION("IMPORTRANGE(""https://docs.google.com/spreadsheets/d/1ddFKvqj1W1NEiWytbGlB1zMx_ykJDVtmfEQ-6-lIUBA/edit?usp=sharing"",""จันทบุรี!J200"")"),80)</f>
        <v>80</v>
      </c>
      <c r="AE54" s="97">
        <f ca="1">IFERROR(__xludf.DUMMYFUNCTION("IMPORTRANGE(""https://docs.google.com/spreadsheets/d/1ddFKvqj1W1NEiWytbGlB1zMx_ykJDVtmfEQ-6-lIUBA/edit?usp=sharing"",""จันทบุรี!J201"")"),0)</f>
        <v>0</v>
      </c>
      <c r="AF54" s="97">
        <f ca="1">IFERROR(__xludf.DUMMYFUNCTION("IMPORTRANGE(""https://docs.google.com/spreadsheets/d/1ddFKvqj1W1NEiWytbGlB1zMx_ykJDVtmfEQ-6-lIUBA/edit?usp=sharing"",""จันทบุรี!L204"")"),1000)</f>
        <v>1000</v>
      </c>
      <c r="AG54" s="97">
        <f ca="1">IFERROR(__xludf.DUMMYFUNCTION("IMPORTRANGE(""https://docs.google.com/spreadsheets/d/1ddFKvqj1W1NEiWytbGlB1zMx_ykJDVtmfEQ-6-lIUBA/edit?usp=sharing"",""จันทบุรี!N204"")"),0)</f>
        <v>0</v>
      </c>
      <c r="AH54" s="98">
        <f t="shared" ca="1" si="96"/>
        <v>0</v>
      </c>
      <c r="AI54" s="97">
        <f ca="1">IFERROR(__xludf.DUMMYFUNCTION("IMPORTRANGE(""https://docs.google.com/spreadsheets/d/1ddFKvqj1W1NEiWytbGlB1zMx_ykJDVtmfEQ-6-lIUBA/edit?usp=sharing"",""จันทบุรี!L206"")"),8000)</f>
        <v>8000</v>
      </c>
      <c r="AJ54" s="97">
        <f ca="1">IFERROR(__xludf.DUMMYFUNCTION("IMPORTRANGE(""https://docs.google.com/spreadsheets/d/1ddFKvqj1W1NEiWytbGlB1zMx_ykJDVtmfEQ-6-lIUBA/edit?usp=sharing"",""จันทบุรี!N206"")"),0)</f>
        <v>0</v>
      </c>
      <c r="AK54" s="98">
        <f t="shared" ca="1" si="98"/>
        <v>0</v>
      </c>
      <c r="AL54" s="97">
        <f ca="1">IFERROR(__xludf.DUMMYFUNCTION("IMPORTRANGE(""https://docs.google.com/spreadsheets/d/1ddFKvqj1W1NEiWytbGlB1zMx_ykJDVtmfEQ-6-lIUBA/edit?usp=sharing"",""จันทบุรี!L207"")"),4000)</f>
        <v>4000</v>
      </c>
      <c r="AM54" s="97">
        <f ca="1">IFERROR(__xludf.DUMMYFUNCTION("IMPORTRANGE(""https://docs.google.com/spreadsheets/d/1ddFKvqj1W1NEiWytbGlB1zMx_ykJDVtmfEQ-6-lIUBA/edit?usp=sharing"",""จันทบุรี!N207"")"),0)</f>
        <v>0</v>
      </c>
      <c r="AN54" s="98">
        <f t="shared" ca="1" si="100"/>
        <v>0</v>
      </c>
      <c r="AO54" s="97">
        <f ca="1">IFERROR(__xludf.DUMMYFUNCTION("IMPORTRANGE(""https://docs.google.com/spreadsheets/d/1ddFKvqj1W1NEiWytbGlB1zMx_ykJDVtmfEQ-6-lIUBA/edit?usp=sharing"",""จันทบุรี!I209"")"),1)</f>
        <v>1</v>
      </c>
      <c r="AP54" s="97">
        <f ca="1">IFERROR(__xludf.DUMMYFUNCTION("IMPORTRANGE(""https://docs.google.com/spreadsheets/d/1ddFKvqj1W1NEiWytbGlB1zMx_ykJDVtmfEQ-6-lIUBA/edit?usp=sharing"",""จันทบุรี!J209"")"),1)</f>
        <v>1</v>
      </c>
      <c r="AQ54" s="98">
        <f t="shared" ca="1" si="102"/>
        <v>100</v>
      </c>
      <c r="AR54" s="97">
        <f ca="1">IFERROR(__xludf.DUMMYFUNCTION("IMPORTRANGE(""https://docs.google.com/spreadsheets/d/1ddFKvqj1W1NEiWytbGlB1zMx_ykJDVtmfEQ-6-lIUBA/edit?usp=sharing"",""จันทบุรี!J211"")"),0)</f>
        <v>0</v>
      </c>
      <c r="AS54" s="97">
        <f ca="1">IFERROR(__xludf.DUMMYFUNCTION("IMPORTRANGE(""https://docs.google.com/spreadsheets/d/1ddFKvqj1W1NEiWytbGlB1zMx_ykJDVtmfEQ-6-lIUBA/edit?usp=sharing"",""จันทบุรี!J212"")"),0)</f>
        <v>0</v>
      </c>
      <c r="AT54" s="97">
        <f ca="1">IFERROR(__xludf.DUMMYFUNCTION("IMPORTRANGE(""https://docs.google.com/spreadsheets/d/1ddFKvqj1W1NEiWytbGlB1zMx_ykJDVtmfEQ-6-lIUBA/edit?usp=sharing"",""จันทบุรี!L215"")"),1000)</f>
        <v>1000</v>
      </c>
      <c r="AU54" s="97">
        <f ca="1">IFERROR(__xludf.DUMMYFUNCTION("IMPORTRANGE(""https://docs.google.com/spreadsheets/d/1ddFKvqj1W1NEiWytbGlB1zMx_ykJDVtmfEQ-6-lIUBA/edit?usp=sharing"",""จันทบุรี!N215"")"),0)</f>
        <v>0</v>
      </c>
      <c r="AV54" s="98">
        <f t="shared" ca="1" si="104"/>
        <v>0</v>
      </c>
      <c r="AW54" s="97">
        <f ca="1">IFERROR(__xludf.DUMMYFUNCTION("IMPORTRANGE(""https://docs.google.com/spreadsheets/d/1ddFKvqj1W1NEiWytbGlB1zMx_ykJDVtmfEQ-6-lIUBA/edit?usp=sharing"",""จันทบุรี!L216"")"),5000)</f>
        <v>5000</v>
      </c>
      <c r="AX54" s="97">
        <f ca="1">IFERROR(__xludf.DUMMYFUNCTION("IMPORTRANGE(""https://docs.google.com/spreadsheets/d/1ddFKvqj1W1NEiWytbGlB1zMx_ykJDVtmfEQ-6-lIUBA/edit?usp=sharing"",""จันทบุรี!N216"")"),0)</f>
        <v>0</v>
      </c>
      <c r="AY54" s="98">
        <f t="shared" ca="1" si="106"/>
        <v>0</v>
      </c>
      <c r="AZ54" s="97">
        <f ca="1">IFERROR(__xludf.DUMMYFUNCTION("IMPORTRANGE(""https://docs.google.com/spreadsheets/d/1ddFKvqj1W1NEiWytbGlB1zMx_ykJDVtmfEQ-6-lIUBA/edit?usp=sharing"",""จันทบุรี!L217"")"),8000)</f>
        <v>8000</v>
      </c>
      <c r="BA54" s="97">
        <f ca="1">IFERROR(__xludf.DUMMYFUNCTION("IMPORTRANGE(""https://docs.google.com/spreadsheets/d/1ddFKvqj1W1NEiWytbGlB1zMx_ykJDVtmfEQ-6-lIUBA/edit?usp=sharing"",""จันทบุรี!N217"")"),0)</f>
        <v>0</v>
      </c>
      <c r="BB54" s="98">
        <f t="shared" ca="1" si="108"/>
        <v>0</v>
      </c>
      <c r="BC54" s="97">
        <f ca="1">IFERROR(__xludf.DUMMYFUNCTION("IMPORTRANGE(""https://docs.google.com/spreadsheets/d/1ddFKvqj1W1NEiWytbGlB1zMx_ykJDVtmfEQ-6-lIUBA/edit?usp=sharing"",""จันทบุรี!I219"")"),1)</f>
        <v>1</v>
      </c>
      <c r="BD54" s="97">
        <f ca="1">IFERROR(__xludf.DUMMYFUNCTION("IMPORTRANGE(""https://docs.google.com/spreadsheets/d/1ddFKvqj1W1NEiWytbGlB1zMx_ykJDVtmfEQ-6-lIUBA/edit?usp=sharing"",""จันทบุรี!J219"")"),0)</f>
        <v>0</v>
      </c>
      <c r="BE54" s="98">
        <f t="shared" ca="1" si="110"/>
        <v>0</v>
      </c>
      <c r="BF54" s="97">
        <f ca="1">IFERROR(__xludf.DUMMYFUNCTION("IMPORTRANGE(""https://docs.google.com/spreadsheets/d/1ddFKvqj1W1NEiWytbGlB1zMx_ykJDVtmfEQ-6-lIUBA/edit?usp=sharing"",""จันทบุรี!I220"")"),1)</f>
        <v>1</v>
      </c>
      <c r="BG54" s="97">
        <f ca="1">IFERROR(__xludf.DUMMYFUNCTION("IMPORTRANGE(""https://docs.google.com/spreadsheets/d/1ddFKvqj1W1NEiWytbGlB1zMx_ykJDVtmfEQ-6-lIUBA/edit?usp=sharing"",""จันทบุรี!J220"")"),0)</f>
        <v>0</v>
      </c>
      <c r="BH54" s="98">
        <f t="shared" ca="1" si="112"/>
        <v>0</v>
      </c>
      <c r="BI54" s="97">
        <f ca="1">IFERROR(__xludf.DUMMYFUNCTION("IMPORTRANGE(""https://docs.google.com/spreadsheets/d/1ddFKvqj1W1NEiWytbGlB1zMx_ykJDVtmfEQ-6-lIUBA/edit?usp=sharing"",""จันทบุรี!L223"")"),3000)</f>
        <v>3000</v>
      </c>
      <c r="BJ54" s="97">
        <f ca="1">IFERROR(__xludf.DUMMYFUNCTION("IMPORTRANGE(""https://docs.google.com/spreadsheets/d/1ddFKvqj1W1NEiWytbGlB1zMx_ykJDVtmfEQ-6-lIUBA/edit?usp=sharing"",""จันทบุรี!N223"")"),0)</f>
        <v>0</v>
      </c>
      <c r="BK54" s="98">
        <f t="shared" ca="1" si="114"/>
        <v>0</v>
      </c>
      <c r="BL54" s="97">
        <f ca="1">IFERROR(__xludf.DUMMYFUNCTION("IMPORTRANGE(""https://docs.google.com/spreadsheets/d/1ddFKvqj1W1NEiWytbGlB1zMx_ykJDVtmfEQ-6-lIUBA/edit?usp=sharing"",""จันทบุรี!L224"")"),1500)</f>
        <v>1500</v>
      </c>
      <c r="BM54" s="97">
        <f ca="1">IFERROR(__xludf.DUMMYFUNCTION("IMPORTRANGE(""https://docs.google.com/spreadsheets/d/1ddFKvqj1W1NEiWytbGlB1zMx_ykJDVtmfEQ-6-lIUBA/edit?usp=sharing"",""จันทบุรี!N224"")"),0)</f>
        <v>0</v>
      </c>
      <c r="BN54" s="98">
        <f t="shared" ca="1" si="116"/>
        <v>0</v>
      </c>
      <c r="BO54" s="97">
        <f ca="1">IFERROR(__xludf.DUMMYFUNCTION("IMPORTRANGE(""https://docs.google.com/spreadsheets/d/1ddFKvqj1W1NEiWytbGlB1zMx_ykJDVtmfEQ-6-lIUBA/edit?usp=sharing"",""จันทบุรี!I228"")"),12800)</f>
        <v>12800</v>
      </c>
      <c r="BP54" s="97">
        <f ca="1">IFERROR(__xludf.DUMMYFUNCTION("IMPORTRANGE(""https://docs.google.com/spreadsheets/d/1ddFKvqj1W1NEiWytbGlB1zMx_ykJDVtmfEQ-6-lIUBA/edit?usp=sharing"",""จันทบุรี!J228"")"),12800)</f>
        <v>12800</v>
      </c>
      <c r="BQ54" s="98">
        <f t="shared" ca="1" si="118"/>
        <v>100</v>
      </c>
      <c r="BR54" s="97">
        <f ca="1">IFERROR(__xludf.DUMMYFUNCTION("IMPORTRANGE(""https://docs.google.com/spreadsheets/d/1ddFKvqj1W1NEiWytbGlB1zMx_ykJDVtmfEQ-6-lIUBA/edit?usp=sharing"",""จันทบุรี!I229"")"),12800)</f>
        <v>12800</v>
      </c>
      <c r="BS54" s="97">
        <f ca="1">IFERROR(__xludf.DUMMYFUNCTION("IMPORTRANGE(""https://docs.google.com/spreadsheets/d/1ddFKvqj1W1NEiWytbGlB1zMx_ykJDVtmfEQ-6-lIUBA/edit?usp=sharing"",""จันทบุรี!J229"")"),0)</f>
        <v>0</v>
      </c>
      <c r="BT54" s="98">
        <f t="shared" ca="1" si="120"/>
        <v>0</v>
      </c>
      <c r="BU54" s="97">
        <f ca="1">IFERROR(__xludf.DUMMYFUNCTION("IMPORTRANGE(""https://docs.google.com/spreadsheets/d/1ddFKvqj1W1NEiWytbGlB1zMx_ykJDVtmfEQ-6-lIUBA/edit?usp=sharing"",""จันทบุรี!I230"")"),0)</f>
        <v>0</v>
      </c>
      <c r="BV54" s="97">
        <f ca="1">IFERROR(__xludf.DUMMYFUNCTION("IMPORTRANGE(""https://docs.google.com/spreadsheets/d/1ddFKvqj1W1NEiWytbGlB1zMx_ykJDVtmfEQ-6-lIUBA/edit?usp=sharing"",""จันทบุรี!J230"")"),0)</f>
        <v>0</v>
      </c>
      <c r="BW54" s="98">
        <f t="shared" ca="1" si="122"/>
        <v>0</v>
      </c>
      <c r="BX54" s="97">
        <f ca="1">IFERROR(__xludf.DUMMYFUNCTION("IMPORTRANGE(""https://docs.google.com/spreadsheets/d/1ddFKvqj1W1NEiWytbGlB1zMx_ykJDVtmfEQ-6-lIUBA/edit?usp=sharing"",""จันทบุรี!L233"")"),8000)</f>
        <v>8000</v>
      </c>
      <c r="BY54" s="97">
        <f ca="1">IFERROR(__xludf.DUMMYFUNCTION("IMPORTRANGE(""https://docs.google.com/spreadsheets/d/1ddFKvqj1W1NEiWytbGlB1zMx_ykJDVtmfEQ-6-lIUBA/edit?usp=sharing"",""จันทบุรี!N233"")"),0)</f>
        <v>0</v>
      </c>
      <c r="BZ54" s="98">
        <f t="shared" ca="1" si="124"/>
        <v>0</v>
      </c>
      <c r="CA54" s="97">
        <f ca="1">IFERROR(__xludf.DUMMYFUNCTION("IMPORTRANGE(""https://docs.google.com/spreadsheets/d/1ddFKvqj1W1NEiWytbGlB1zMx_ykJDVtmfEQ-6-lIUBA/edit?usp=sharing"",""จันทบุรี!L234"")"),2000)</f>
        <v>2000</v>
      </c>
      <c r="CB54" s="97">
        <f ca="1">IFERROR(__xludf.DUMMYFUNCTION("IMPORTRANGE(""https://docs.google.com/spreadsheets/d/1ddFKvqj1W1NEiWytbGlB1zMx_ykJDVtmfEQ-6-lIUBA/edit?usp=sharing"",""จันทบุรี!N234"")"),0)</f>
        <v>0</v>
      </c>
      <c r="CC54" s="98">
        <f t="shared" ca="1" si="126"/>
        <v>0</v>
      </c>
      <c r="CD54" s="97">
        <f ca="1">IFERROR(__xludf.DUMMYFUNCTION("IMPORTRANGE(""https://docs.google.com/spreadsheets/d/1ddFKvqj1W1NEiWytbGlB1zMx_ykJDVtmfEQ-6-lIUBA/edit?usp=sharing"",""จันทบุรี!L235"")"),27700)</f>
        <v>27700</v>
      </c>
      <c r="CE54" s="97">
        <f ca="1">IFERROR(__xludf.DUMMYFUNCTION("IMPORTRANGE(""https://docs.google.com/spreadsheets/d/1ddFKvqj1W1NEiWytbGlB1zMx_ykJDVtmfEQ-6-lIUBA/edit?usp=sharing"",""จันทบุรี!N235"")"),0)</f>
        <v>0</v>
      </c>
      <c r="CF54" s="98">
        <f t="shared" ca="1" si="128"/>
        <v>0</v>
      </c>
      <c r="CG54" s="97">
        <f ca="1">IFERROR(__xludf.DUMMYFUNCTION("IMPORTRANGE(""https://docs.google.com/spreadsheets/d/1ddFKvqj1W1NEiWytbGlB1zMx_ykJDVtmfEQ-6-lIUBA/edit?usp=sharing"",""จันทบุรี!L236"")"),20000)</f>
        <v>20000</v>
      </c>
      <c r="CH54" s="97">
        <f ca="1">IFERROR(__xludf.DUMMYFUNCTION("IMPORTRANGE(""https://docs.google.com/spreadsheets/d/1ddFKvqj1W1NEiWytbGlB1zMx_ykJDVtmfEQ-6-lIUBA/edit?usp=sharing"",""จันทบุรี!N236"")"),0)</f>
        <v>0</v>
      </c>
      <c r="CI54" s="98">
        <f t="shared" ca="1" si="130"/>
        <v>0</v>
      </c>
      <c r="CJ54" s="97">
        <f ca="1">IFERROR(__xludf.DUMMYFUNCTION("IMPORTRANGE(""https://docs.google.com/spreadsheets/d/1ddFKvqj1W1NEiWytbGlB1zMx_ykJDVtmfEQ-6-lIUBA/edit?usp=sharing"",""จันทบุรี!I238"")"),10)</f>
        <v>10</v>
      </c>
      <c r="CK54" s="97">
        <f ca="1">IFERROR(__xludf.DUMMYFUNCTION("IMPORTRANGE(""https://docs.google.com/spreadsheets/d/1ddFKvqj1W1NEiWytbGlB1zMx_ykJDVtmfEQ-6-lIUBA/edit?usp=sharing"",""จันทบุรี!J238"")"),0)</f>
        <v>0</v>
      </c>
      <c r="CL54" s="98">
        <f t="shared" ca="1" si="132"/>
        <v>0</v>
      </c>
      <c r="CM54" s="97">
        <f ca="1">IFERROR(__xludf.DUMMYFUNCTION("IMPORTRANGE(""https://docs.google.com/spreadsheets/d/1ddFKvqj1W1NEiWytbGlB1zMx_ykJDVtmfEQ-6-lIUBA/edit?usp=sharing"",""จันทบุรี!J240"")"),0)</f>
        <v>0</v>
      </c>
      <c r="CN54" s="97">
        <f ca="1">IFERROR(__xludf.DUMMYFUNCTION("IMPORTRANGE(""https://docs.google.com/spreadsheets/d/1ddFKvqj1W1NEiWytbGlB1zMx_ykJDVtmfEQ-6-lIUBA/edit?usp=sharing"",""จันทบุรี!J241"")"),0)</f>
        <v>0</v>
      </c>
    </row>
    <row r="55" spans="1:92" ht="21" customHeight="1" x14ac:dyDescent="0.3">
      <c r="A55" s="89">
        <v>3</v>
      </c>
      <c r="B55" s="90" t="s">
        <v>81</v>
      </c>
      <c r="C55" s="174">
        <f t="shared" ca="1" si="80"/>
        <v>298000</v>
      </c>
      <c r="D55" s="175">
        <f t="shared" ca="1" si="184"/>
        <v>298000</v>
      </c>
      <c r="E55" s="176">
        <f ca="1">IFERROR(__xludf.DUMMYFUNCTION("IMPORTRANGE(""https://docs.google.com/spreadsheets/d/1-uDff_7J0KD5mKrp0Vvzr7lt3OU09vwQwhkpOPPYv2Y/edit?usp=sharing"",""งบพรบ!CV55"")"),91000)</f>
        <v>91000</v>
      </c>
      <c r="F55" s="176">
        <f ca="1">IFERROR(__xludf.DUMMYFUNCTION("IMPORTRANGE(""https://docs.google.com/spreadsheets/d/1-uDff_7J0KD5mKrp0Vvzr7lt3OU09vwQwhkpOPPYv2Y/edit?usp=sharing"",""งบพรบ!CW55"")"),207000)</f>
        <v>207000</v>
      </c>
      <c r="G55" s="176">
        <f ca="1">IFERROR(__xludf.DUMMYFUNCTION("IMPORTRANGE(""https://docs.google.com/spreadsheets/d/1-uDff_7J0KD5mKrp0Vvzr7lt3OU09vwQwhkpOPPYv2Y/edit?usp=sharing"",""งบพรบ!CX55"")"),0)</f>
        <v>0</v>
      </c>
      <c r="H55" s="176">
        <f ca="1">IFERROR(__xludf.DUMMYFUNCTION("IMPORTRANGE(""https://docs.google.com/spreadsheets/d/1-uDff_7J0KD5mKrp0Vvzr7lt3OU09vwQwhkpOPPYv2Y/edit?usp=sharing"",""งบพรบ!CZ55"")"),300760)</f>
        <v>300760</v>
      </c>
      <c r="I55" s="176">
        <f ca="1">IFERROR(__xludf.DUMMYFUNCTION("IMPORTRANGE(""https://docs.google.com/spreadsheets/d/1-uDff_7J0KD5mKrp0Vvzr7lt3OU09vwQwhkpOPPYv2Y/edit?usp=sharing"",""งบพรบ!DA55"")"),0)</f>
        <v>0</v>
      </c>
      <c r="J55" s="176">
        <f t="shared" ca="1" si="82"/>
        <v>33990</v>
      </c>
      <c r="K55" s="179">
        <f t="shared" ca="1" si="83"/>
        <v>11.406040268456376</v>
      </c>
      <c r="L55" s="176">
        <f ca="1">IFERROR(__xludf.DUMMYFUNCTION("IMPORTRANGE(""https://docs.google.com/spreadsheets/d/1-uDff_7J0KD5mKrp0Vvzr7lt3OU09vwQwhkpOPPYv2Y/edit?usp=sharing"",""งบพรบ!DB55"")"),33990)</f>
        <v>33990</v>
      </c>
      <c r="M55" s="87">
        <f t="shared" ca="1" si="84"/>
        <v>11.406040268456376</v>
      </c>
      <c r="N55" s="87">
        <f t="shared" ca="1" si="85"/>
        <v>11.301369863013699</v>
      </c>
      <c r="O55" s="86">
        <f ca="1">IFERROR(__xludf.DUMMYFUNCTION("IMPORTRANGE(""https://docs.google.com/spreadsheets/d/1-uDff_7J0KD5mKrp0Vvzr7lt3OU09vwQwhkpOPPYv2Y/edit?usp=sharing"",""งบพรบ!DC55"")"),0)</f>
        <v>0</v>
      </c>
      <c r="P55" s="86">
        <f t="shared" ca="1" si="86"/>
        <v>0</v>
      </c>
      <c r="Q55" s="87">
        <f t="shared" ca="1" si="87"/>
        <v>0</v>
      </c>
      <c r="R55" s="241">
        <f ca="1">IFERROR(__xludf.DUMMYFUNCTION("IMPORTRANGE(""https://docs.google.com/spreadsheets/d/1T1PQvRODqOBZk8BRht_U031fIS1beLA0Ub2CEytj2q0/edit?usp=sharing"",""ฉะเชิงเทรา!Q186"")"),191100)</f>
        <v>191100</v>
      </c>
      <c r="S55" s="242">
        <f ca="1">IFERROR(__xludf.DUMMYFUNCTION("IMPORTRANGE(""https://docs.google.com/spreadsheets/d/1T1PQvRODqOBZk8BRht_U031fIS1beLA0Ub2CEytj2q0/edit?usp=sharing"",""ฉะเชิงเทรา!R186"")"),0)</f>
        <v>0</v>
      </c>
      <c r="T55" s="242">
        <f ca="1">IFERROR(__xludf.DUMMYFUNCTION("IMPORTRANGE(""https://docs.google.com/spreadsheets/d/1T1PQvRODqOBZk8BRht_U031fIS1beLA0Ub2CEytj2q0/edit?usp=sharing"",""ฉะเชิงเทรา!S186"")"),0)</f>
        <v>0</v>
      </c>
      <c r="U55" s="243">
        <f t="shared" ca="1" si="89"/>
        <v>0</v>
      </c>
      <c r="V55" s="243">
        <f t="shared" ca="1" si="90"/>
        <v>0</v>
      </c>
      <c r="W55" s="97">
        <f ca="1">IFERROR(__xludf.DUMMYFUNCTION("IMPORTRANGE(""https://docs.google.com/spreadsheets/d/1T1PQvRODqOBZk8BRht_U031fIS1beLA0Ub2CEytj2q0/edit?usp=sharing"",""ฉะเชิงเทรา!L196"")"),6000)</f>
        <v>6000</v>
      </c>
      <c r="X55" s="97">
        <f ca="1">IFERROR(__xludf.DUMMYFUNCTION("IMPORTRANGE(""https://docs.google.com/spreadsheets/d/1T1PQvRODqOBZk8BRht_U031fIS1beLA0Ub2CEytj2q0/edit?usp=sharing"",""ฉะเชิงเทรา!N196"")"),840)</f>
        <v>840</v>
      </c>
      <c r="Y55" s="98">
        <f t="shared" ca="1" si="92"/>
        <v>14</v>
      </c>
      <c r="Z55" s="97">
        <f ca="1">IFERROR(__xludf.DUMMYFUNCTION("IMPORTRANGE(""https://docs.google.com/spreadsheets/d/1T1PQvRODqOBZk8BRht_U031fIS1beLA0Ub2CEytj2q0/edit?usp=sharing"",""ฉะเชิงเทรา!I198"")"),4)</f>
        <v>4</v>
      </c>
      <c r="AA55" s="97">
        <f ca="1">IFERROR(__xludf.DUMMYFUNCTION("IMPORTRANGE(""https://docs.google.com/spreadsheets/d/1T1PQvRODqOBZk8BRht_U031fIS1beLA0Ub2CEytj2q0/edit?usp=sharing"",""ฉะเชิงเทรา!J198"")"),1)</f>
        <v>1</v>
      </c>
      <c r="AB55" s="98">
        <f t="shared" ca="1" si="94"/>
        <v>25</v>
      </c>
      <c r="AC55" s="97">
        <f ca="1">IFERROR(__xludf.DUMMYFUNCTION("IMPORTRANGE(""https://docs.google.com/spreadsheets/d/1T1PQvRODqOBZk8BRht_U031fIS1beLA0Ub2CEytj2q0/edit?usp=sharing"",""ฉะเชิงเทรา!J199"")"),40)</f>
        <v>40</v>
      </c>
      <c r="AD55" s="97">
        <f ca="1">IFERROR(__xludf.DUMMYFUNCTION("IMPORTRANGE(""https://docs.google.com/spreadsheets/d/1T1PQvRODqOBZk8BRht_U031fIS1beLA0Ub2CEytj2q0/edit?usp=sharing"",""ฉะเชิงเทรา!J200"")"),40)</f>
        <v>40</v>
      </c>
      <c r="AE55" s="97">
        <f ca="1">IFERROR(__xludf.DUMMYFUNCTION("IMPORTRANGE(""https://docs.google.com/spreadsheets/d/1T1PQvRODqOBZk8BRht_U031fIS1beLA0Ub2CEytj2q0/edit?usp=sharing"",""ฉะเชิงเทรา!J201"")"),0)</f>
        <v>0</v>
      </c>
      <c r="AF55" s="97">
        <f ca="1">IFERROR(__xludf.DUMMYFUNCTION("IMPORTRANGE(""https://docs.google.com/spreadsheets/d/1T1PQvRODqOBZk8BRht_U031fIS1beLA0Ub2CEytj2q0/edit?usp=sharing"",""ฉะเชิงเทรา!L204"")"),2000)</f>
        <v>2000</v>
      </c>
      <c r="AG55" s="97">
        <f ca="1">IFERROR(__xludf.DUMMYFUNCTION("IMPORTRANGE(""https://docs.google.com/spreadsheets/d/1T1PQvRODqOBZk8BRht_U031fIS1beLA0Ub2CEytj2q0/edit?usp=sharing"",""ฉะเชิงเทรา!N204"")"),720)</f>
        <v>720</v>
      </c>
      <c r="AH55" s="98">
        <f t="shared" ca="1" si="96"/>
        <v>36</v>
      </c>
      <c r="AI55" s="97">
        <f ca="1">IFERROR(__xludf.DUMMYFUNCTION("IMPORTRANGE(""https://docs.google.com/spreadsheets/d/1T1PQvRODqOBZk8BRht_U031fIS1beLA0Ub2CEytj2q0/edit?usp=sharing"",""ฉะเชิงเทรา!L206"")"),16000)</f>
        <v>16000</v>
      </c>
      <c r="AJ55" s="97">
        <f ca="1">IFERROR(__xludf.DUMMYFUNCTION("IMPORTRANGE(""https://docs.google.com/spreadsheets/d/1T1PQvRODqOBZk8BRht_U031fIS1beLA0Ub2CEytj2q0/edit?usp=sharing"",""ฉะเชิงเทรา!N206"")"),0)</f>
        <v>0</v>
      </c>
      <c r="AK55" s="98">
        <f t="shared" ca="1" si="98"/>
        <v>0</v>
      </c>
      <c r="AL55" s="97">
        <f ca="1">IFERROR(__xludf.DUMMYFUNCTION("IMPORTRANGE(""https://docs.google.com/spreadsheets/d/1T1PQvRODqOBZk8BRht_U031fIS1beLA0Ub2CEytj2q0/edit?usp=sharing"",""ฉะเชิงเทรา!L207"")"),13000)</f>
        <v>13000</v>
      </c>
      <c r="AM55" s="97">
        <f ca="1">IFERROR(__xludf.DUMMYFUNCTION("IMPORTRANGE(""https://docs.google.com/spreadsheets/d/1T1PQvRODqOBZk8BRht_U031fIS1beLA0Ub2CEytj2q0/edit?usp=sharing"",""ฉะเชิงเทรา!N207"")"),0)</f>
        <v>0</v>
      </c>
      <c r="AN55" s="98">
        <f t="shared" ca="1" si="100"/>
        <v>0</v>
      </c>
      <c r="AO55" s="97">
        <f ca="1">IFERROR(__xludf.DUMMYFUNCTION("IMPORTRANGE(""https://docs.google.com/spreadsheets/d/1T1PQvRODqOBZk8BRht_U031fIS1beLA0Ub2CEytj2q0/edit?usp=sharing"",""ฉะเชิงเทรา!I209"")"),2)</f>
        <v>2</v>
      </c>
      <c r="AP55" s="97">
        <f ca="1">IFERROR(__xludf.DUMMYFUNCTION("IMPORTRANGE(""https://docs.google.com/spreadsheets/d/1T1PQvRODqOBZk8BRht_U031fIS1beLA0Ub2CEytj2q0/edit?usp=sharing"",""ฉะเชิงเทรา!J209"")"),0)</f>
        <v>0</v>
      </c>
      <c r="AQ55" s="98">
        <f t="shared" ca="1" si="102"/>
        <v>0</v>
      </c>
      <c r="AR55" s="97">
        <f ca="1">IFERROR(__xludf.DUMMYFUNCTION("IMPORTRANGE(""https://docs.google.com/spreadsheets/d/1T1PQvRODqOBZk8BRht_U031fIS1beLA0Ub2CEytj2q0/edit?usp=sharing"",""ฉะเชิงเทรา!J211"")"),0)</f>
        <v>0</v>
      </c>
      <c r="AS55" s="97">
        <f ca="1">IFERROR(__xludf.DUMMYFUNCTION("IMPORTRANGE(""https://docs.google.com/spreadsheets/d/1T1PQvRODqOBZk8BRht_U031fIS1beLA0Ub2CEytj2q0/edit?usp=sharing"",""ฉะเชิงเทรา!J212"")"),0)</f>
        <v>0</v>
      </c>
      <c r="AT55" s="97">
        <f ca="1">IFERROR(__xludf.DUMMYFUNCTION("IMPORTRANGE(""https://docs.google.com/spreadsheets/d/1T1PQvRODqOBZk8BRht_U031fIS1beLA0Ub2CEytj2q0/edit?usp=sharing"",""ฉะเชิงเทรา!L215"")"),3000)</f>
        <v>3000</v>
      </c>
      <c r="AU55" s="97">
        <f ca="1">IFERROR(__xludf.DUMMYFUNCTION("IMPORTRANGE(""https://docs.google.com/spreadsheets/d/1T1PQvRODqOBZk8BRht_U031fIS1beLA0Ub2CEytj2q0/edit?usp=sharing"",""ฉะเชิงเทรา!N215"")"),0)</f>
        <v>0</v>
      </c>
      <c r="AV55" s="98">
        <f t="shared" ca="1" si="104"/>
        <v>0</v>
      </c>
      <c r="AW55" s="97">
        <f ca="1">IFERROR(__xludf.DUMMYFUNCTION("IMPORTRANGE(""https://docs.google.com/spreadsheets/d/1T1PQvRODqOBZk8BRht_U031fIS1beLA0Ub2CEytj2q0/edit?usp=sharing"",""ฉะเชิงเทรา!L216"")"),15000)</f>
        <v>15000</v>
      </c>
      <c r="AX55" s="97">
        <f ca="1">IFERROR(__xludf.DUMMYFUNCTION("IMPORTRANGE(""https://docs.google.com/spreadsheets/d/1T1PQvRODqOBZk8BRht_U031fIS1beLA0Ub2CEytj2q0/edit?usp=sharing"",""ฉะเชิงเทรา!N216"")"),0)</f>
        <v>0</v>
      </c>
      <c r="AY55" s="98">
        <f t="shared" ca="1" si="106"/>
        <v>0</v>
      </c>
      <c r="AZ55" s="97">
        <f ca="1">IFERROR(__xludf.DUMMYFUNCTION("IMPORTRANGE(""https://docs.google.com/spreadsheets/d/1T1PQvRODqOBZk8BRht_U031fIS1beLA0Ub2CEytj2q0/edit?usp=sharing"",""ฉะเชิงเทรา!L217"")"),24000)</f>
        <v>24000</v>
      </c>
      <c r="BA55" s="97">
        <f ca="1">IFERROR(__xludf.DUMMYFUNCTION("IMPORTRANGE(""https://docs.google.com/spreadsheets/d/1T1PQvRODqOBZk8BRht_U031fIS1beLA0Ub2CEytj2q0/edit?usp=sharing"",""ฉะเชิงเทรา!N217"")"),0)</f>
        <v>0</v>
      </c>
      <c r="BB55" s="98">
        <f t="shared" ca="1" si="108"/>
        <v>0</v>
      </c>
      <c r="BC55" s="97">
        <f ca="1">IFERROR(__xludf.DUMMYFUNCTION("IMPORTRANGE(""https://docs.google.com/spreadsheets/d/1T1PQvRODqOBZk8BRht_U031fIS1beLA0Ub2CEytj2q0/edit?usp=sharing"",""ฉะเชิงเทรา!I219"")"),3)</f>
        <v>3</v>
      </c>
      <c r="BD55" s="97">
        <f ca="1">IFERROR(__xludf.DUMMYFUNCTION("IMPORTRANGE(""https://docs.google.com/spreadsheets/d/1T1PQvRODqOBZk8BRht_U031fIS1beLA0Ub2CEytj2q0/edit?usp=sharing"",""ฉะเชิงเทรา!J219"")"),0)</f>
        <v>0</v>
      </c>
      <c r="BE55" s="98">
        <f t="shared" ca="1" si="110"/>
        <v>0</v>
      </c>
      <c r="BF55" s="97">
        <f ca="1">IFERROR(__xludf.DUMMYFUNCTION("IMPORTRANGE(""https://docs.google.com/spreadsheets/d/1T1PQvRODqOBZk8BRht_U031fIS1beLA0Ub2CEytj2q0/edit?usp=sharing"",""ฉะเชิงเทรา!I220"")"),3)</f>
        <v>3</v>
      </c>
      <c r="BG55" s="97">
        <f ca="1">IFERROR(__xludf.DUMMYFUNCTION("IMPORTRANGE(""https://docs.google.com/spreadsheets/d/1T1PQvRODqOBZk8BRht_U031fIS1beLA0Ub2CEytj2q0/edit?usp=sharing"",""ฉะเชิงเทรา!J220"")"),0)</f>
        <v>0</v>
      </c>
      <c r="BH55" s="98">
        <f t="shared" ca="1" si="112"/>
        <v>0</v>
      </c>
      <c r="BI55" s="97">
        <f ca="1">IFERROR(__xludf.DUMMYFUNCTION("IMPORTRANGE(""https://docs.google.com/spreadsheets/d/1T1PQvRODqOBZk8BRht_U031fIS1beLA0Ub2CEytj2q0/edit?usp=sharing"",""ฉะเชิงเทรา!L223"")"),5000)</f>
        <v>5000</v>
      </c>
      <c r="BJ55" s="97">
        <f ca="1">IFERROR(__xludf.DUMMYFUNCTION("IMPORTRANGE(""https://docs.google.com/spreadsheets/d/1T1PQvRODqOBZk8BRht_U031fIS1beLA0Ub2CEytj2q0/edit?usp=sharing"",""ฉะเชิงเทรา!N223"")"),0)</f>
        <v>0</v>
      </c>
      <c r="BK55" s="98">
        <f t="shared" ca="1" si="114"/>
        <v>0</v>
      </c>
      <c r="BL55" s="97">
        <f ca="1">IFERROR(__xludf.DUMMYFUNCTION("IMPORTRANGE(""https://docs.google.com/spreadsheets/d/1T1PQvRODqOBZk8BRht_U031fIS1beLA0Ub2CEytj2q0/edit?usp=sharing"",""ฉะเชิงเทรา!L224"")"),1500)</f>
        <v>1500</v>
      </c>
      <c r="BM55" s="97">
        <f ca="1">IFERROR(__xludf.DUMMYFUNCTION("IMPORTRANGE(""https://docs.google.com/spreadsheets/d/1T1PQvRODqOBZk8BRht_U031fIS1beLA0Ub2CEytj2q0/edit?usp=sharing"",""ฉะเชิงเทรา!N224"")"),0)</f>
        <v>0</v>
      </c>
      <c r="BN55" s="98">
        <f t="shared" ca="1" si="116"/>
        <v>0</v>
      </c>
      <c r="BO55" s="97">
        <f ca="1">IFERROR(__xludf.DUMMYFUNCTION("IMPORTRANGE(""https://docs.google.com/spreadsheets/d/1T1PQvRODqOBZk8BRht_U031fIS1beLA0Ub2CEytj2q0/edit?usp=sharing"",""ฉะเชิงเทรา!I228"")"),40000)</f>
        <v>40000</v>
      </c>
      <c r="BP55" s="97">
        <f ca="1">IFERROR(__xludf.DUMMYFUNCTION("IMPORTRANGE(""https://docs.google.com/spreadsheets/d/1T1PQvRODqOBZk8BRht_U031fIS1beLA0Ub2CEytj2q0/edit?usp=sharing"",""ฉะเชิงเทรา!J228"")"),40000)</f>
        <v>40000</v>
      </c>
      <c r="BQ55" s="98">
        <f t="shared" ca="1" si="118"/>
        <v>100</v>
      </c>
      <c r="BR55" s="97">
        <f ca="1">IFERROR(__xludf.DUMMYFUNCTION("IMPORTRANGE(""https://docs.google.com/spreadsheets/d/1T1PQvRODqOBZk8BRht_U031fIS1beLA0Ub2CEytj2q0/edit?usp=sharing"",""ฉะเชิงเทรา!I229"")"),40000)</f>
        <v>40000</v>
      </c>
      <c r="BS55" s="97">
        <f ca="1">IFERROR(__xludf.DUMMYFUNCTION("IMPORTRANGE(""https://docs.google.com/spreadsheets/d/1T1PQvRODqOBZk8BRht_U031fIS1beLA0Ub2CEytj2q0/edit?usp=sharing"",""ฉะเชิงเทรา!J229"")"),0)</f>
        <v>0</v>
      </c>
      <c r="BT55" s="98">
        <f t="shared" ca="1" si="120"/>
        <v>0</v>
      </c>
      <c r="BU55" s="97">
        <f ca="1">IFERROR(__xludf.DUMMYFUNCTION("IMPORTRANGE(""https://docs.google.com/spreadsheets/d/1T1PQvRODqOBZk8BRht_U031fIS1beLA0Ub2CEytj2q0/edit?usp=sharing"",""ฉะเชิงเทรา!I230"")"),0)</f>
        <v>0</v>
      </c>
      <c r="BV55" s="97">
        <f ca="1">IFERROR(__xludf.DUMMYFUNCTION("IMPORTRANGE(""https://docs.google.com/spreadsheets/d/1T1PQvRODqOBZk8BRht_U031fIS1beLA0Ub2CEytj2q0/edit?usp=sharing"",""ฉะเชิงเทรา!J230"")"),0)</f>
        <v>0</v>
      </c>
      <c r="BW55" s="98">
        <f t="shared" ca="1" si="122"/>
        <v>0</v>
      </c>
      <c r="BX55" s="97">
        <f ca="1">IFERROR(__xludf.DUMMYFUNCTION("IMPORTRANGE(""https://docs.google.com/spreadsheets/d/1T1PQvRODqOBZk8BRht_U031fIS1beLA0Ub2CEytj2q0/edit?usp=sharing"",""ฉะเชิงเทรา!L233"")"),16000)</f>
        <v>16000</v>
      </c>
      <c r="BY55" s="97">
        <f ca="1">IFERROR(__xludf.DUMMYFUNCTION("IMPORTRANGE(""https://docs.google.com/spreadsheets/d/1T1PQvRODqOBZk8BRht_U031fIS1beLA0Ub2CEytj2q0/edit?usp=sharing"",""ฉะเชิงเทรา!N233"")"),2710)</f>
        <v>2710</v>
      </c>
      <c r="BZ55" s="98">
        <f t="shared" ca="1" si="124"/>
        <v>16.9375</v>
      </c>
      <c r="CA55" s="97">
        <f ca="1">IFERROR(__xludf.DUMMYFUNCTION("IMPORTRANGE(""https://docs.google.com/spreadsheets/d/1T1PQvRODqOBZk8BRht_U031fIS1beLA0Ub2CEytj2q0/edit?usp=sharing"",""ฉะเชิงเทรา!L234"")"),6000)</f>
        <v>6000</v>
      </c>
      <c r="CB55" s="97">
        <f ca="1">IFERROR(__xludf.DUMMYFUNCTION("IMPORTRANGE(""https://docs.google.com/spreadsheets/d/1T1PQvRODqOBZk8BRht_U031fIS1beLA0Ub2CEytj2q0/edit?usp=sharing"",""ฉะเชิงเทรา!N234"")"),0)</f>
        <v>0</v>
      </c>
      <c r="CC55" s="98">
        <f t="shared" ca="1" si="126"/>
        <v>0</v>
      </c>
      <c r="CD55" s="97">
        <f ca="1">IFERROR(__xludf.DUMMYFUNCTION("IMPORTRANGE(""https://docs.google.com/spreadsheets/d/1T1PQvRODqOBZk8BRht_U031fIS1beLA0Ub2CEytj2q0/edit?usp=sharing"",""ฉะเชิงเทรา!L235"")"),55500)</f>
        <v>55500</v>
      </c>
      <c r="CE55" s="97">
        <f ca="1">IFERROR(__xludf.DUMMYFUNCTION("IMPORTRANGE(""https://docs.google.com/spreadsheets/d/1T1PQvRODqOBZk8BRht_U031fIS1beLA0Ub2CEytj2q0/edit?usp=sharing"",""ฉะเชิงเทรา!N235"")"),0)</f>
        <v>0</v>
      </c>
      <c r="CF55" s="98">
        <f t="shared" ca="1" si="128"/>
        <v>0</v>
      </c>
      <c r="CG55" s="97">
        <f ca="1">IFERROR(__xludf.DUMMYFUNCTION("IMPORTRANGE(""https://docs.google.com/spreadsheets/d/1T1PQvRODqOBZk8BRht_U031fIS1beLA0Ub2CEytj2q0/edit?usp=sharing"",""ฉะเชิงเทรา!L236"")"),44000)</f>
        <v>44000</v>
      </c>
      <c r="CH55" s="97">
        <f ca="1">IFERROR(__xludf.DUMMYFUNCTION("IMPORTRANGE(""https://docs.google.com/spreadsheets/d/1T1PQvRODqOBZk8BRht_U031fIS1beLA0Ub2CEytj2q0/edit?usp=sharing"",""ฉะเชิงเทรา!N236"")"),0)</f>
        <v>0</v>
      </c>
      <c r="CI55" s="98">
        <f t="shared" ca="1" si="130"/>
        <v>0</v>
      </c>
      <c r="CJ55" s="97">
        <f ca="1">IFERROR(__xludf.DUMMYFUNCTION("IMPORTRANGE(""https://docs.google.com/spreadsheets/d/1T1PQvRODqOBZk8BRht_U031fIS1beLA0Ub2CEytj2q0/edit?usp=sharing"",""ฉะเชิงเทรา!I238"")"),40)</f>
        <v>40</v>
      </c>
      <c r="CK55" s="97">
        <f ca="1">IFERROR(__xludf.DUMMYFUNCTION("IMPORTRANGE(""https://docs.google.com/spreadsheets/d/1T1PQvRODqOBZk8BRht_U031fIS1beLA0Ub2CEytj2q0/edit?usp=sharing"",""ฉะเชิงเทรา!J238"")"),0)</f>
        <v>0</v>
      </c>
      <c r="CL55" s="98">
        <f t="shared" ca="1" si="132"/>
        <v>0</v>
      </c>
      <c r="CM55" s="97">
        <f ca="1">IFERROR(__xludf.DUMMYFUNCTION("IMPORTRANGE(""https://docs.google.com/spreadsheets/d/1T1PQvRODqOBZk8BRht_U031fIS1beLA0Ub2CEytj2q0/edit?usp=sharing"",""ฉะเชิงเทรา!J240"")"),0)</f>
        <v>0</v>
      </c>
      <c r="CN55" s="97">
        <f ca="1">IFERROR(__xludf.DUMMYFUNCTION("IMPORTRANGE(""https://docs.google.com/spreadsheets/d/1T1PQvRODqOBZk8BRht_U031fIS1beLA0Ub2CEytj2q0/edit?usp=sharing"",""ฉะเชิงเทรา!J241"")"),0)</f>
        <v>0</v>
      </c>
    </row>
    <row r="56" spans="1:92" ht="21" customHeight="1" x14ac:dyDescent="0.3">
      <c r="A56" s="89">
        <v>4</v>
      </c>
      <c r="B56" s="90" t="s">
        <v>82</v>
      </c>
      <c r="C56" s="174">
        <f t="shared" ca="1" si="80"/>
        <v>81100</v>
      </c>
      <c r="D56" s="175">
        <f t="shared" ca="1" si="184"/>
        <v>81100</v>
      </c>
      <c r="E56" s="176">
        <f ca="1">IFERROR(__xludf.DUMMYFUNCTION("IMPORTRANGE(""https://docs.google.com/spreadsheets/d/1-uDff_7J0KD5mKrp0Vvzr7lt3OU09vwQwhkpOPPYv2Y/edit?usp=sharing"",""งบพรบ!CV56"")"),0)</f>
        <v>0</v>
      </c>
      <c r="F56" s="176">
        <f ca="1">IFERROR(__xludf.DUMMYFUNCTION("IMPORTRANGE(""https://docs.google.com/spreadsheets/d/1-uDff_7J0KD5mKrp0Vvzr7lt3OU09vwQwhkpOPPYv2Y/edit?usp=sharing"",""งบพรบ!CW56"")"),81100)</f>
        <v>81100</v>
      </c>
      <c r="G56" s="176">
        <f ca="1">IFERROR(__xludf.DUMMYFUNCTION("IMPORTRANGE(""https://docs.google.com/spreadsheets/d/1-uDff_7J0KD5mKrp0Vvzr7lt3OU09vwQwhkpOPPYv2Y/edit?usp=sharing"",""งบพรบ!CX56"")"),0)</f>
        <v>0</v>
      </c>
      <c r="H56" s="176">
        <f ca="1">IFERROR(__xludf.DUMMYFUNCTION("IMPORTRANGE(""https://docs.google.com/spreadsheets/d/1-uDff_7J0KD5mKrp0Vvzr7lt3OU09vwQwhkpOPPYv2Y/edit?usp=sharing"",""งบพรบ!CZ56"")"),86020)</f>
        <v>86020</v>
      </c>
      <c r="I56" s="176">
        <f ca="1">IFERROR(__xludf.DUMMYFUNCTION("IMPORTRANGE(""https://docs.google.com/spreadsheets/d/1-uDff_7J0KD5mKrp0Vvzr7lt3OU09vwQwhkpOPPYv2Y/edit?usp=sharing"",""งบพรบ!DA56"")"),0)</f>
        <v>0</v>
      </c>
      <c r="J56" s="176">
        <f t="shared" ca="1" si="82"/>
        <v>36105</v>
      </c>
      <c r="K56" s="179">
        <f t="shared" ca="1" si="83"/>
        <v>44.519112207151665</v>
      </c>
      <c r="L56" s="176">
        <f ca="1">IFERROR(__xludf.DUMMYFUNCTION("IMPORTRANGE(""https://docs.google.com/spreadsheets/d/1-uDff_7J0KD5mKrp0Vvzr7lt3OU09vwQwhkpOPPYv2Y/edit?usp=sharing"",""งบพรบ!DB56"")"),36105)</f>
        <v>36105</v>
      </c>
      <c r="M56" s="87">
        <f t="shared" ca="1" si="84"/>
        <v>44.519112207151665</v>
      </c>
      <c r="N56" s="87">
        <f t="shared" ca="1" si="85"/>
        <v>41.972797023947919</v>
      </c>
      <c r="O56" s="86">
        <f ca="1">IFERROR(__xludf.DUMMYFUNCTION("IMPORTRANGE(""https://docs.google.com/spreadsheets/d/1-uDff_7J0KD5mKrp0Vvzr7lt3OU09vwQwhkpOPPYv2Y/edit?usp=sharing"",""งบพรบ!DC56"")"),0)</f>
        <v>0</v>
      </c>
      <c r="P56" s="86">
        <f t="shared" ca="1" si="86"/>
        <v>0</v>
      </c>
      <c r="Q56" s="87">
        <f t="shared" ca="1" si="87"/>
        <v>0</v>
      </c>
      <c r="R56" s="241">
        <f ca="1">IFERROR(__xludf.DUMMYFUNCTION("IMPORTRANGE(""https://docs.google.com/spreadsheets/d/11tr1B-Bhyr79v2bkwVh5h_fR-PStkgjlZtkrZpYurG0/edit?usp=sharing"",""ชลบุรี!Q186"")"),29838)</f>
        <v>29838</v>
      </c>
      <c r="S56" s="242">
        <f ca="1">IFERROR(__xludf.DUMMYFUNCTION("IMPORTRANGE(""https://docs.google.com/spreadsheets/d/11tr1B-Bhyr79v2bkwVh5h_fR-PStkgjlZtkrZpYurG0/edit?usp=sharing"",""ชลบุรี!R186"")"),0)</f>
        <v>0</v>
      </c>
      <c r="T56" s="242">
        <f ca="1">IFERROR(__xludf.DUMMYFUNCTION("IMPORTRANGE(""https://docs.google.com/spreadsheets/d/11tr1B-Bhyr79v2bkwVh5h_fR-PStkgjlZtkrZpYurG0/edit?usp=sharing"",""ชลบุรี!S186"")"),0)</f>
        <v>0</v>
      </c>
      <c r="U56" s="243">
        <f t="shared" ca="1" si="89"/>
        <v>0</v>
      </c>
      <c r="V56" s="243">
        <f t="shared" ca="1" si="90"/>
        <v>0</v>
      </c>
      <c r="W56" s="97">
        <f ca="1">IFERROR(__xludf.DUMMYFUNCTION("IMPORTRANGE(""https://docs.google.com/spreadsheets/d/11tr1B-Bhyr79v2bkwVh5h_fR-PStkgjlZtkrZpYurG0/edit?usp=sharing"",""ชลบุรี!L196"")"),6000)</f>
        <v>6000</v>
      </c>
      <c r="X56" s="97">
        <f ca="1">IFERROR(__xludf.DUMMYFUNCTION("IMPORTRANGE(""https://docs.google.com/spreadsheets/d/11tr1B-Bhyr79v2bkwVh5h_fR-PStkgjlZtkrZpYurG0/edit?usp=sharing"",""ชลบุรี!N196"")"),740)</f>
        <v>740</v>
      </c>
      <c r="Y56" s="98">
        <f t="shared" ca="1" si="92"/>
        <v>12.333333333333334</v>
      </c>
      <c r="Z56" s="97">
        <f ca="1">IFERROR(__xludf.DUMMYFUNCTION("IMPORTRANGE(""https://docs.google.com/spreadsheets/d/11tr1B-Bhyr79v2bkwVh5h_fR-PStkgjlZtkrZpYurG0/edit?usp=sharing"",""ชลบุรี!I198"")"),4)</f>
        <v>4</v>
      </c>
      <c r="AA56" s="97">
        <f ca="1">IFERROR(__xludf.DUMMYFUNCTION("IMPORTRANGE(""https://docs.google.com/spreadsheets/d/11tr1B-Bhyr79v2bkwVh5h_fR-PStkgjlZtkrZpYurG0/edit?usp=sharing"",""ชลบุรี!J198"")"),0)</f>
        <v>0</v>
      </c>
      <c r="AB56" s="98">
        <f t="shared" ca="1" si="94"/>
        <v>0</v>
      </c>
      <c r="AC56" s="97">
        <f ca="1">IFERROR(__xludf.DUMMYFUNCTION("IMPORTRANGE(""https://docs.google.com/spreadsheets/d/11tr1B-Bhyr79v2bkwVh5h_fR-PStkgjlZtkrZpYurG0/edit?usp=sharing"",""ชลบุรี!J199"")"),0)</f>
        <v>0</v>
      </c>
      <c r="AD56" s="97">
        <f ca="1">IFERROR(__xludf.DUMMYFUNCTION("IMPORTRANGE(""https://docs.google.com/spreadsheets/d/11tr1B-Bhyr79v2bkwVh5h_fR-PStkgjlZtkrZpYurG0/edit?usp=sharing"",""ชลบุรี!J200"")"),0)</f>
        <v>0</v>
      </c>
      <c r="AE56" s="97">
        <f ca="1">IFERROR(__xludf.DUMMYFUNCTION("IMPORTRANGE(""https://docs.google.com/spreadsheets/d/11tr1B-Bhyr79v2bkwVh5h_fR-PStkgjlZtkrZpYurG0/edit?usp=sharing"",""ชลบุรี!J201"")"),0)</f>
        <v>0</v>
      </c>
      <c r="AF56" s="97">
        <f ca="1">IFERROR(__xludf.DUMMYFUNCTION("IMPORTRANGE(""https://docs.google.com/spreadsheets/d/11tr1B-Bhyr79v2bkwVh5h_fR-PStkgjlZtkrZpYurG0/edit?usp=sharing"",""ชลบุรี!L204"")"),2000)</f>
        <v>2000</v>
      </c>
      <c r="AG56" s="97">
        <f ca="1">IFERROR(__xludf.DUMMYFUNCTION("IMPORTRANGE(""https://docs.google.com/spreadsheets/d/11tr1B-Bhyr79v2bkwVh5h_fR-PStkgjlZtkrZpYurG0/edit?usp=sharing"",""ชลบุรี!N204"")"),1240)</f>
        <v>1240</v>
      </c>
      <c r="AH56" s="98">
        <f t="shared" ca="1" si="96"/>
        <v>62</v>
      </c>
      <c r="AI56" s="97">
        <f ca="1">IFERROR(__xludf.DUMMYFUNCTION("IMPORTRANGE(""https://docs.google.com/spreadsheets/d/11tr1B-Bhyr79v2bkwVh5h_fR-PStkgjlZtkrZpYurG0/edit?usp=sharing"",""ชลบุรี!L206"")"),16000)</f>
        <v>16000</v>
      </c>
      <c r="AJ56" s="97">
        <f ca="1">IFERROR(__xludf.DUMMYFUNCTION("IMPORTRANGE(""https://docs.google.com/spreadsheets/d/11tr1B-Bhyr79v2bkwVh5h_fR-PStkgjlZtkrZpYurG0/edit?usp=sharing"",""ชลบุรี!N206"")"),12162)</f>
        <v>12162</v>
      </c>
      <c r="AK56" s="98">
        <f t="shared" ca="1" si="98"/>
        <v>76.012500000000003</v>
      </c>
      <c r="AL56" s="97">
        <f ca="1">IFERROR(__xludf.DUMMYFUNCTION("IMPORTRANGE(""https://docs.google.com/spreadsheets/d/11tr1B-Bhyr79v2bkwVh5h_fR-PStkgjlZtkrZpYurG0/edit?usp=sharing"",""ชลบุรี!L207"")"),11000)</f>
        <v>11000</v>
      </c>
      <c r="AM56" s="97">
        <f ca="1">IFERROR(__xludf.DUMMYFUNCTION("IMPORTRANGE(""https://docs.google.com/spreadsheets/d/11tr1B-Bhyr79v2bkwVh5h_fR-PStkgjlZtkrZpYurG0/edit?usp=sharing"",""ชลบุรี!N207"")"),0)</f>
        <v>0</v>
      </c>
      <c r="AN56" s="98">
        <f t="shared" ca="1" si="100"/>
        <v>0</v>
      </c>
      <c r="AO56" s="97">
        <f ca="1">IFERROR(__xludf.DUMMYFUNCTION("IMPORTRANGE(""https://docs.google.com/spreadsheets/d/11tr1B-Bhyr79v2bkwVh5h_fR-PStkgjlZtkrZpYurG0/edit?usp=sharing"",""ชลบุรี!I209"")"),2)</f>
        <v>2</v>
      </c>
      <c r="AP56" s="97">
        <f ca="1">IFERROR(__xludf.DUMMYFUNCTION("IMPORTRANGE(""https://docs.google.com/spreadsheets/d/11tr1B-Bhyr79v2bkwVh5h_fR-PStkgjlZtkrZpYurG0/edit?usp=sharing"",""ชลบุรี!J209"")"),0)</f>
        <v>0</v>
      </c>
      <c r="AQ56" s="98">
        <f t="shared" ca="1" si="102"/>
        <v>0</v>
      </c>
      <c r="AR56" s="97">
        <f ca="1">IFERROR(__xludf.DUMMYFUNCTION("IMPORTRANGE(""https://docs.google.com/spreadsheets/d/11tr1B-Bhyr79v2bkwVh5h_fR-PStkgjlZtkrZpYurG0/edit?usp=sharing"",""ชลบุรี!J211"")"),0)</f>
        <v>0</v>
      </c>
      <c r="AS56" s="97">
        <f ca="1">IFERROR(__xludf.DUMMYFUNCTION("IMPORTRANGE(""https://docs.google.com/spreadsheets/d/11tr1B-Bhyr79v2bkwVh5h_fR-PStkgjlZtkrZpYurG0/edit?usp=sharing"",""ชลบุรี!J212"")"),0)</f>
        <v>0</v>
      </c>
      <c r="AT56" s="97">
        <f ca="1">IFERROR(__xludf.DUMMYFUNCTION("IMPORTRANGE(""https://docs.google.com/spreadsheets/d/11tr1B-Bhyr79v2bkwVh5h_fR-PStkgjlZtkrZpYurG0/edit?usp=sharing"",""ชลบุรี!L215"")"),0)</f>
        <v>0</v>
      </c>
      <c r="AU56" s="97">
        <f ca="1">IFERROR(__xludf.DUMMYFUNCTION("IMPORTRANGE(""https://docs.google.com/spreadsheets/d/11tr1B-Bhyr79v2bkwVh5h_fR-PStkgjlZtkrZpYurG0/edit?usp=sharing"",""ชลบุรี!N215"")"),0)</f>
        <v>0</v>
      </c>
      <c r="AV56" s="98">
        <f t="shared" ca="1" si="104"/>
        <v>0</v>
      </c>
      <c r="AW56" s="97">
        <f ca="1">IFERROR(__xludf.DUMMYFUNCTION("IMPORTRANGE(""https://docs.google.com/spreadsheets/d/11tr1B-Bhyr79v2bkwVh5h_fR-PStkgjlZtkrZpYurG0/edit?usp=sharing"",""ชลบุรี!L216"")"),0)</f>
        <v>0</v>
      </c>
      <c r="AX56" s="97">
        <f ca="1">IFERROR(__xludf.DUMMYFUNCTION("IMPORTRANGE(""https://docs.google.com/spreadsheets/d/11tr1B-Bhyr79v2bkwVh5h_fR-PStkgjlZtkrZpYurG0/edit?usp=sharing"",""ชลบุรี!N216"")"),0)</f>
        <v>0</v>
      </c>
      <c r="AY56" s="98">
        <f t="shared" ca="1" si="106"/>
        <v>0</v>
      </c>
      <c r="AZ56" s="97">
        <f ca="1">IFERROR(__xludf.DUMMYFUNCTION("IMPORTRANGE(""https://docs.google.com/spreadsheets/d/11tr1B-Bhyr79v2bkwVh5h_fR-PStkgjlZtkrZpYurG0/edit?usp=sharing"",""ชลบุรี!L217"")"),0)</f>
        <v>0</v>
      </c>
      <c r="BA56" s="97">
        <f ca="1">IFERROR(__xludf.DUMMYFUNCTION("IMPORTRANGE(""https://docs.google.com/spreadsheets/d/11tr1B-Bhyr79v2bkwVh5h_fR-PStkgjlZtkrZpYurG0/edit?usp=sharing"",""ชลบุรี!N217"")"),0)</f>
        <v>0</v>
      </c>
      <c r="BB56" s="98">
        <f t="shared" ca="1" si="108"/>
        <v>0</v>
      </c>
      <c r="BC56" s="97">
        <f ca="1">IFERROR(__xludf.DUMMYFUNCTION("IMPORTRANGE(""https://docs.google.com/spreadsheets/d/11tr1B-Bhyr79v2bkwVh5h_fR-PStkgjlZtkrZpYurG0/edit?usp=sharing"",""ชลบุรี!I219"")"),0)</f>
        <v>0</v>
      </c>
      <c r="BD56" s="97">
        <f ca="1">IFERROR(__xludf.DUMMYFUNCTION("IMPORTRANGE(""https://docs.google.com/spreadsheets/d/11tr1B-Bhyr79v2bkwVh5h_fR-PStkgjlZtkrZpYurG0/edit?usp=sharing"",""ชลบุรี!J219"")"),0)</f>
        <v>0</v>
      </c>
      <c r="BE56" s="98">
        <f t="shared" ca="1" si="110"/>
        <v>0</v>
      </c>
      <c r="BF56" s="97">
        <f ca="1">IFERROR(__xludf.DUMMYFUNCTION("IMPORTRANGE(""https://docs.google.com/spreadsheets/d/11tr1B-Bhyr79v2bkwVh5h_fR-PStkgjlZtkrZpYurG0/edit?usp=sharing"",""ชลบุรี!I220"")"),0)</f>
        <v>0</v>
      </c>
      <c r="BG56" s="97">
        <f ca="1">IFERROR(__xludf.DUMMYFUNCTION("IMPORTRANGE(""https://docs.google.com/spreadsheets/d/11tr1B-Bhyr79v2bkwVh5h_fR-PStkgjlZtkrZpYurG0/edit?usp=sharing"",""ชลบุรี!J220"")"),0)</f>
        <v>0</v>
      </c>
      <c r="BH56" s="98">
        <f t="shared" ca="1" si="112"/>
        <v>0</v>
      </c>
      <c r="BI56" s="97">
        <f ca="1">IFERROR(__xludf.DUMMYFUNCTION("IMPORTRANGE(""https://docs.google.com/spreadsheets/d/11tr1B-Bhyr79v2bkwVh5h_fR-PStkgjlZtkrZpYurG0/edit?usp=sharing"",""ชลบุรี!L223"")"),3000)</f>
        <v>3000</v>
      </c>
      <c r="BJ56" s="97">
        <f ca="1">IFERROR(__xludf.DUMMYFUNCTION("IMPORTRANGE(""https://docs.google.com/spreadsheets/d/11tr1B-Bhyr79v2bkwVh5h_fR-PStkgjlZtkrZpYurG0/edit?usp=sharing"",""ชลบุรี!N223"")"),0)</f>
        <v>0</v>
      </c>
      <c r="BK56" s="98">
        <f t="shared" ca="1" si="114"/>
        <v>0</v>
      </c>
      <c r="BL56" s="97">
        <f ca="1">IFERROR(__xludf.DUMMYFUNCTION("IMPORTRANGE(""https://docs.google.com/spreadsheets/d/11tr1B-Bhyr79v2bkwVh5h_fR-PStkgjlZtkrZpYurG0/edit?usp=sharing"",""ชลบุรี!L224"")"),1500)</f>
        <v>1500</v>
      </c>
      <c r="BM56" s="97">
        <f ca="1">IFERROR(__xludf.DUMMYFUNCTION("IMPORTRANGE(""https://docs.google.com/spreadsheets/d/11tr1B-Bhyr79v2bkwVh5h_fR-PStkgjlZtkrZpYurG0/edit?usp=sharing"",""ชลบุรี!N224"")"),0)</f>
        <v>0</v>
      </c>
      <c r="BN56" s="98">
        <f t="shared" ca="1" si="116"/>
        <v>0</v>
      </c>
      <c r="BO56" s="97">
        <f ca="1">IFERROR(__xludf.DUMMYFUNCTION("IMPORTRANGE(""https://docs.google.com/spreadsheets/d/11tr1B-Bhyr79v2bkwVh5h_fR-PStkgjlZtkrZpYurG0/edit?usp=sharing"",""ชลบุรี!I228"")"),5000)</f>
        <v>5000</v>
      </c>
      <c r="BP56" s="97">
        <f ca="1">IFERROR(__xludf.DUMMYFUNCTION("IMPORTRANGE(""https://docs.google.com/spreadsheets/d/11tr1B-Bhyr79v2bkwVh5h_fR-PStkgjlZtkrZpYurG0/edit?usp=sharing"",""ชลบุรี!J228"")"),5000)</f>
        <v>5000</v>
      </c>
      <c r="BQ56" s="98">
        <f t="shared" ca="1" si="118"/>
        <v>100</v>
      </c>
      <c r="BR56" s="97">
        <f ca="1">IFERROR(__xludf.DUMMYFUNCTION("IMPORTRANGE(""https://docs.google.com/spreadsheets/d/11tr1B-Bhyr79v2bkwVh5h_fR-PStkgjlZtkrZpYurG0/edit?usp=sharing"",""ชลบุรี!I229"")"),5000)</f>
        <v>5000</v>
      </c>
      <c r="BS56" s="97">
        <f ca="1">IFERROR(__xludf.DUMMYFUNCTION("IMPORTRANGE(""https://docs.google.com/spreadsheets/d/11tr1B-Bhyr79v2bkwVh5h_fR-PStkgjlZtkrZpYurG0/edit?usp=sharing"",""ชลบุรี!J229"")"),0)</f>
        <v>0</v>
      </c>
      <c r="BT56" s="98">
        <f t="shared" ca="1" si="120"/>
        <v>0</v>
      </c>
      <c r="BU56" s="97">
        <f ca="1">IFERROR(__xludf.DUMMYFUNCTION("IMPORTRANGE(""https://docs.google.com/spreadsheets/d/11tr1B-Bhyr79v2bkwVh5h_fR-PStkgjlZtkrZpYurG0/edit?usp=sharing"",""ชลบุรี!I230"")"),0)</f>
        <v>0</v>
      </c>
      <c r="BV56" s="97">
        <f ca="1">IFERROR(__xludf.DUMMYFUNCTION("IMPORTRANGE(""https://docs.google.com/spreadsheets/d/11tr1B-Bhyr79v2bkwVh5h_fR-PStkgjlZtkrZpYurG0/edit?usp=sharing"",""ชลบุรี!J230"")"),0)</f>
        <v>0</v>
      </c>
      <c r="BW56" s="98">
        <f t="shared" ca="1" si="122"/>
        <v>0</v>
      </c>
      <c r="BX56" s="97">
        <f ca="1">IFERROR(__xludf.DUMMYFUNCTION("IMPORTRANGE(""https://docs.google.com/spreadsheets/d/11tr1B-Bhyr79v2bkwVh5h_fR-PStkgjlZtkrZpYurG0/edit?usp=sharing"",""ชลบุรี!L233"")"),8000)</f>
        <v>8000</v>
      </c>
      <c r="BY56" s="97">
        <f ca="1">IFERROR(__xludf.DUMMYFUNCTION("IMPORTRANGE(""https://docs.google.com/spreadsheets/d/11tr1B-Bhyr79v2bkwVh5h_fR-PStkgjlZtkrZpYurG0/edit?usp=sharing"",""ชลบุรี!N233"")"),7363)</f>
        <v>7363</v>
      </c>
      <c r="BZ56" s="98">
        <f t="shared" ca="1" si="124"/>
        <v>92.037499999999994</v>
      </c>
      <c r="CA56" s="97">
        <f ca="1">IFERROR(__xludf.DUMMYFUNCTION("IMPORTRANGE(""https://docs.google.com/spreadsheets/d/11tr1B-Bhyr79v2bkwVh5h_fR-PStkgjlZtkrZpYurG0/edit?usp=sharing"",""ชลบุรี!L234"")"),2000)</f>
        <v>2000</v>
      </c>
      <c r="CB56" s="97">
        <f ca="1">IFERROR(__xludf.DUMMYFUNCTION("IMPORTRANGE(""https://docs.google.com/spreadsheets/d/11tr1B-Bhyr79v2bkwVh5h_fR-PStkgjlZtkrZpYurG0/edit?usp=sharing"",""ชลบุรี!N234"")"),2000)</f>
        <v>2000</v>
      </c>
      <c r="CC56" s="98">
        <f t="shared" ca="1" si="126"/>
        <v>100</v>
      </c>
      <c r="CD56" s="97">
        <f ca="1">IFERROR(__xludf.DUMMYFUNCTION("IMPORTRANGE(""https://docs.google.com/spreadsheets/d/11tr1B-Bhyr79v2bkwVh5h_fR-PStkgjlZtkrZpYurG0/edit?usp=sharing"",""ชลบุรี!L235"")"),12600)</f>
        <v>12600</v>
      </c>
      <c r="CE56" s="97">
        <f ca="1">IFERROR(__xludf.DUMMYFUNCTION("IMPORTRANGE(""https://docs.google.com/spreadsheets/d/11tr1B-Bhyr79v2bkwVh5h_fR-PStkgjlZtkrZpYurG0/edit?usp=sharing"",""ชลบุรี!N235"")"),12600)</f>
        <v>12600</v>
      </c>
      <c r="CF56" s="98">
        <f t="shared" ca="1" si="128"/>
        <v>100</v>
      </c>
      <c r="CG56" s="97">
        <f ca="1">IFERROR(__xludf.DUMMYFUNCTION("IMPORTRANGE(""https://docs.google.com/spreadsheets/d/11tr1B-Bhyr79v2bkwVh5h_fR-PStkgjlZtkrZpYurG0/edit?usp=sharing"",""ชลบุรี!L236"")"),19000)</f>
        <v>19000</v>
      </c>
      <c r="CH56" s="97">
        <f ca="1">IFERROR(__xludf.DUMMYFUNCTION("IMPORTRANGE(""https://docs.google.com/spreadsheets/d/11tr1B-Bhyr79v2bkwVh5h_fR-PStkgjlZtkrZpYurG0/edit?usp=sharing"",""ชลบุรี!N236"")"),0)</f>
        <v>0</v>
      </c>
      <c r="CI56" s="98">
        <f t="shared" ca="1" si="130"/>
        <v>0</v>
      </c>
      <c r="CJ56" s="97">
        <f ca="1">IFERROR(__xludf.DUMMYFUNCTION("IMPORTRANGE(""https://docs.google.com/spreadsheets/d/11tr1B-Bhyr79v2bkwVh5h_fR-PStkgjlZtkrZpYurG0/edit?usp=sharing"",""ชลบุรี!I238"")"),20)</f>
        <v>20</v>
      </c>
      <c r="CK56" s="97">
        <f ca="1">IFERROR(__xludf.DUMMYFUNCTION("IMPORTRANGE(""https://docs.google.com/spreadsheets/d/11tr1B-Bhyr79v2bkwVh5h_fR-PStkgjlZtkrZpYurG0/edit?usp=sharing"",""ชลบุรี!J238"")"),20)</f>
        <v>20</v>
      </c>
      <c r="CL56" s="98">
        <f t="shared" ca="1" si="132"/>
        <v>100</v>
      </c>
      <c r="CM56" s="97">
        <f ca="1">IFERROR(__xludf.DUMMYFUNCTION("IMPORTRANGE(""https://docs.google.com/spreadsheets/d/11tr1B-Bhyr79v2bkwVh5h_fR-PStkgjlZtkrZpYurG0/edit?usp=sharing"",""ชลบุรี!J240"")"),0)</f>
        <v>0</v>
      </c>
      <c r="CN56" s="97">
        <f ca="1">IFERROR(__xludf.DUMMYFUNCTION("IMPORTRANGE(""https://docs.google.com/spreadsheets/d/11tr1B-Bhyr79v2bkwVh5h_fR-PStkgjlZtkrZpYurG0/edit?usp=sharing"",""ชลบุรี!J241"")"),0)</f>
        <v>0</v>
      </c>
    </row>
    <row r="57" spans="1:92" ht="21" customHeight="1" x14ac:dyDescent="0.3">
      <c r="A57" s="89">
        <v>5</v>
      </c>
      <c r="B57" s="90" t="s">
        <v>83</v>
      </c>
      <c r="C57" s="174">
        <f t="shared" ca="1" si="80"/>
        <v>98200</v>
      </c>
      <c r="D57" s="175">
        <f t="shared" ca="1" si="184"/>
        <v>98200</v>
      </c>
      <c r="E57" s="176">
        <f ca="1">IFERROR(__xludf.DUMMYFUNCTION("IMPORTRANGE(""https://docs.google.com/spreadsheets/d/1-uDff_7J0KD5mKrp0Vvzr7lt3OU09vwQwhkpOPPYv2Y/edit?usp=sharing"",""งบพรบ!CV57"")"),74700)</f>
        <v>74700</v>
      </c>
      <c r="F57" s="176">
        <f ca="1">IFERROR(__xludf.DUMMYFUNCTION("IMPORTRANGE(""https://docs.google.com/spreadsheets/d/1-uDff_7J0KD5mKrp0Vvzr7lt3OU09vwQwhkpOPPYv2Y/edit?usp=sharing"",""งบพรบ!CW57"")"),23500)</f>
        <v>23500</v>
      </c>
      <c r="G57" s="176">
        <f ca="1">IFERROR(__xludf.DUMMYFUNCTION("IMPORTRANGE(""https://docs.google.com/spreadsheets/d/1-uDff_7J0KD5mKrp0Vvzr7lt3OU09vwQwhkpOPPYv2Y/edit?usp=sharing"",""งบพรบ!CX57"")"),0)</f>
        <v>0</v>
      </c>
      <c r="H57" s="176">
        <f ca="1">IFERROR(__xludf.DUMMYFUNCTION("IMPORTRANGE(""https://docs.google.com/spreadsheets/d/1-uDff_7J0KD5mKrp0Vvzr7lt3OU09vwQwhkpOPPYv2Y/edit?usp=sharing"",""งบพรบ!CZ57"")"),101760)</f>
        <v>101760</v>
      </c>
      <c r="I57" s="176">
        <f ca="1">IFERROR(__xludf.DUMMYFUNCTION("IMPORTRANGE(""https://docs.google.com/spreadsheets/d/1-uDff_7J0KD5mKrp0Vvzr7lt3OU09vwQwhkpOPPYv2Y/edit?usp=sharing"",""งบพรบ!DA57"")"),0)</f>
        <v>0</v>
      </c>
      <c r="J57" s="176">
        <f t="shared" ca="1" si="82"/>
        <v>49581.5</v>
      </c>
      <c r="K57" s="179">
        <f t="shared" ca="1" si="83"/>
        <v>50.490325865580445</v>
      </c>
      <c r="L57" s="176">
        <f ca="1">IFERROR(__xludf.DUMMYFUNCTION("IMPORTRANGE(""https://docs.google.com/spreadsheets/d/1-uDff_7J0KD5mKrp0Vvzr7lt3OU09vwQwhkpOPPYv2Y/edit?usp=sharing"",""งบพรบ!DB57"")"),49581.5)</f>
        <v>49581.5</v>
      </c>
      <c r="M57" s="87">
        <f t="shared" ca="1" si="84"/>
        <v>50.490325865580445</v>
      </c>
      <c r="N57" s="87">
        <f t="shared" ca="1" si="85"/>
        <v>48.723958333333336</v>
      </c>
      <c r="O57" s="86">
        <f ca="1">IFERROR(__xludf.DUMMYFUNCTION("IMPORTRANGE(""https://docs.google.com/spreadsheets/d/1-uDff_7J0KD5mKrp0Vvzr7lt3OU09vwQwhkpOPPYv2Y/edit?usp=sharing"",""งบพรบ!DC57"")"),0)</f>
        <v>0</v>
      </c>
      <c r="P57" s="86">
        <f t="shared" ca="1" si="86"/>
        <v>0</v>
      </c>
      <c r="Q57" s="87">
        <f t="shared" ca="1" si="87"/>
        <v>0</v>
      </c>
      <c r="R57" s="241">
        <f ca="1">IFERROR(__xludf.DUMMYFUNCTION("IMPORTRANGE(""https://docs.google.com/spreadsheets/d/1hh-FVnSX0vozXhGluamEcS54Dw9_zqW0N7qJUWgJ0Sw/edit?usp=sharing"",""ชัยนาท!Q186"")"),14000)</f>
        <v>14000</v>
      </c>
      <c r="S57" s="242">
        <f ca="1">IFERROR(__xludf.DUMMYFUNCTION("IMPORTRANGE(""https://docs.google.com/spreadsheets/d/1hh-FVnSX0vozXhGluamEcS54Dw9_zqW0N7qJUWgJ0Sw/edit?usp=sharing"",""ชัยนาท!R186"")"),0)</f>
        <v>0</v>
      </c>
      <c r="T57" s="242">
        <f ca="1">IFERROR(__xludf.DUMMYFUNCTION("IMPORTRANGE(""https://docs.google.com/spreadsheets/d/1hh-FVnSX0vozXhGluamEcS54Dw9_zqW0N7qJUWgJ0Sw/edit?usp=sharing"",""ชัยนาท!S186"")"),0)</f>
        <v>0</v>
      </c>
      <c r="U57" s="243">
        <f t="shared" ca="1" si="89"/>
        <v>0</v>
      </c>
      <c r="V57" s="243">
        <f t="shared" ca="1" si="90"/>
        <v>0</v>
      </c>
      <c r="W57" s="97">
        <f ca="1">IFERROR(__xludf.DUMMYFUNCTION("IMPORTRANGE(""https://docs.google.com/spreadsheets/d/1hh-FVnSX0vozXhGluamEcS54Dw9_zqW0N7qJUWgJ0Sw/edit?usp=sharing"",""ชัยนาท!L196"")"),6000)</f>
        <v>6000</v>
      </c>
      <c r="X57" s="97">
        <f ca="1">IFERROR(__xludf.DUMMYFUNCTION("IMPORTRANGE(""https://docs.google.com/spreadsheets/d/1hh-FVnSX0vozXhGluamEcS54Dw9_zqW0N7qJUWgJ0Sw/edit?usp=sharing"",""ชัยนาท!N196"")"),360)</f>
        <v>360</v>
      </c>
      <c r="Y57" s="98">
        <f t="shared" ca="1" si="92"/>
        <v>6</v>
      </c>
      <c r="Z57" s="97">
        <f ca="1">IFERROR(__xludf.DUMMYFUNCTION("IMPORTRANGE(""https://docs.google.com/spreadsheets/d/1hh-FVnSX0vozXhGluamEcS54Dw9_zqW0N7qJUWgJ0Sw/edit?usp=sharing"",""ชัยนาท!I198"")"),4)</f>
        <v>4</v>
      </c>
      <c r="AA57" s="97">
        <f ca="1">IFERROR(__xludf.DUMMYFUNCTION("IMPORTRANGE(""https://docs.google.com/spreadsheets/d/1hh-FVnSX0vozXhGluamEcS54Dw9_zqW0N7qJUWgJ0Sw/edit?usp=sharing"",""ชัยนาท!J198"")"),1)</f>
        <v>1</v>
      </c>
      <c r="AB57" s="98">
        <f t="shared" ca="1" si="94"/>
        <v>25</v>
      </c>
      <c r="AC57" s="97">
        <f ca="1">IFERROR(__xludf.DUMMYFUNCTION("IMPORTRANGE(""https://docs.google.com/spreadsheets/d/1hh-FVnSX0vozXhGluamEcS54Dw9_zqW0N7qJUWgJ0Sw/edit?usp=sharing"",""ชัยนาท!J199"")"),100)</f>
        <v>100</v>
      </c>
      <c r="AD57" s="97">
        <f ca="1">IFERROR(__xludf.DUMMYFUNCTION("IMPORTRANGE(""https://docs.google.com/spreadsheets/d/1hh-FVnSX0vozXhGluamEcS54Dw9_zqW0N7qJUWgJ0Sw/edit?usp=sharing"",""ชัยนาท!J200"")"),100)</f>
        <v>100</v>
      </c>
      <c r="AE57" s="97">
        <f ca="1">IFERROR(__xludf.DUMMYFUNCTION("IMPORTRANGE(""https://docs.google.com/spreadsheets/d/1hh-FVnSX0vozXhGluamEcS54Dw9_zqW0N7qJUWgJ0Sw/edit?usp=sharing"",""ชัยนาท!J201"")"),0)</f>
        <v>0</v>
      </c>
      <c r="AF57" s="97">
        <f ca="1">IFERROR(__xludf.DUMMYFUNCTION("IMPORTRANGE(""https://docs.google.com/spreadsheets/d/1hh-FVnSX0vozXhGluamEcS54Dw9_zqW0N7qJUWgJ0Sw/edit?usp=sharing"",""ชัยนาท!L204"")"),1000)</f>
        <v>1000</v>
      </c>
      <c r="AG57" s="97">
        <f ca="1">IFERROR(__xludf.DUMMYFUNCTION("IMPORTRANGE(""https://docs.google.com/spreadsheets/d/1hh-FVnSX0vozXhGluamEcS54Dw9_zqW0N7qJUWgJ0Sw/edit?usp=sharing"",""ชัยนาท!N204"")"),0)</f>
        <v>0</v>
      </c>
      <c r="AH57" s="98">
        <f t="shared" ca="1" si="96"/>
        <v>0</v>
      </c>
      <c r="AI57" s="97">
        <f ca="1">IFERROR(__xludf.DUMMYFUNCTION("IMPORTRANGE(""https://docs.google.com/spreadsheets/d/1hh-FVnSX0vozXhGluamEcS54Dw9_zqW0N7qJUWgJ0Sw/edit?usp=sharing"",""ชัยนาท!L206"")"),8000)</f>
        <v>8000</v>
      </c>
      <c r="AJ57" s="97">
        <f ca="1">IFERROR(__xludf.DUMMYFUNCTION("IMPORTRANGE(""https://docs.google.com/spreadsheets/d/1hh-FVnSX0vozXhGluamEcS54Dw9_zqW0N7qJUWgJ0Sw/edit?usp=sharing"",""ชัยนาท!N206"")"),0)</f>
        <v>0</v>
      </c>
      <c r="AK57" s="98">
        <f t="shared" ca="1" si="98"/>
        <v>0</v>
      </c>
      <c r="AL57" s="97">
        <f ca="1">IFERROR(__xludf.DUMMYFUNCTION("IMPORTRANGE(""https://docs.google.com/spreadsheets/d/1hh-FVnSX0vozXhGluamEcS54Dw9_zqW0N7qJUWgJ0Sw/edit?usp=sharing"",""ชัยนาท!L207"")"),4000)</f>
        <v>4000</v>
      </c>
      <c r="AM57" s="97">
        <f ca="1">IFERROR(__xludf.DUMMYFUNCTION("IMPORTRANGE(""https://docs.google.com/spreadsheets/d/1hh-FVnSX0vozXhGluamEcS54Dw9_zqW0N7qJUWgJ0Sw/edit?usp=sharing"",""ชัยนาท!N207"")"),0)</f>
        <v>0</v>
      </c>
      <c r="AN57" s="98">
        <f t="shared" ca="1" si="100"/>
        <v>0</v>
      </c>
      <c r="AO57" s="97">
        <f ca="1">IFERROR(__xludf.DUMMYFUNCTION("IMPORTRANGE(""https://docs.google.com/spreadsheets/d/1hh-FVnSX0vozXhGluamEcS54Dw9_zqW0N7qJUWgJ0Sw/edit?usp=sharing"",""ชัยนาท!I209"")"),1)</f>
        <v>1</v>
      </c>
      <c r="AP57" s="97">
        <f ca="1">IFERROR(__xludf.DUMMYFUNCTION("IMPORTRANGE(""https://docs.google.com/spreadsheets/d/1hh-FVnSX0vozXhGluamEcS54Dw9_zqW0N7qJUWgJ0Sw/edit?usp=sharing"",""ชัยนาท!J209"")"),0)</f>
        <v>0</v>
      </c>
      <c r="AQ57" s="98">
        <f t="shared" ca="1" si="102"/>
        <v>0</v>
      </c>
      <c r="AR57" s="97">
        <f ca="1">IFERROR(__xludf.DUMMYFUNCTION("IMPORTRANGE(""https://docs.google.com/spreadsheets/d/1hh-FVnSX0vozXhGluamEcS54Dw9_zqW0N7qJUWgJ0Sw/edit?usp=sharing"",""ชัยนาท!J211"")"),0)</f>
        <v>0</v>
      </c>
      <c r="AS57" s="97">
        <f ca="1">IFERROR(__xludf.DUMMYFUNCTION("IMPORTRANGE(""https://docs.google.com/spreadsheets/d/1hh-FVnSX0vozXhGluamEcS54Dw9_zqW0N7qJUWgJ0Sw/edit?usp=sharing"",""ชัยนาท!J212"")"),0)</f>
        <v>0</v>
      </c>
      <c r="AT57" s="97">
        <f ca="1">IFERROR(__xludf.DUMMYFUNCTION("IMPORTRANGE(""https://docs.google.com/spreadsheets/d/1hh-FVnSX0vozXhGluamEcS54Dw9_zqW0N7qJUWgJ0Sw/edit?usp=sharing"",""ชัยนาท!L215"")"),0)</f>
        <v>0</v>
      </c>
      <c r="AU57" s="97">
        <f ca="1">IFERROR(__xludf.DUMMYFUNCTION("IMPORTRANGE(""https://docs.google.com/spreadsheets/d/1hh-FVnSX0vozXhGluamEcS54Dw9_zqW0N7qJUWgJ0Sw/edit?usp=sharing"",""ชัยนาท!N215"")"),0)</f>
        <v>0</v>
      </c>
      <c r="AV57" s="98">
        <f t="shared" ca="1" si="104"/>
        <v>0</v>
      </c>
      <c r="AW57" s="97">
        <f ca="1">IFERROR(__xludf.DUMMYFUNCTION("IMPORTRANGE(""https://docs.google.com/spreadsheets/d/1hh-FVnSX0vozXhGluamEcS54Dw9_zqW0N7qJUWgJ0Sw/edit?usp=sharing"",""ชัยนาท!L216"")"),0)</f>
        <v>0</v>
      </c>
      <c r="AX57" s="97">
        <f ca="1">IFERROR(__xludf.DUMMYFUNCTION("IMPORTRANGE(""https://docs.google.com/spreadsheets/d/1hh-FVnSX0vozXhGluamEcS54Dw9_zqW0N7qJUWgJ0Sw/edit?usp=sharing"",""ชัยนาท!N216"")"),0)</f>
        <v>0</v>
      </c>
      <c r="AY57" s="98">
        <f t="shared" ca="1" si="106"/>
        <v>0</v>
      </c>
      <c r="AZ57" s="97">
        <f ca="1">IFERROR(__xludf.DUMMYFUNCTION("IMPORTRANGE(""https://docs.google.com/spreadsheets/d/1hh-FVnSX0vozXhGluamEcS54Dw9_zqW0N7qJUWgJ0Sw/edit?usp=sharing"",""ชัยนาท!L217"")"),0)</f>
        <v>0</v>
      </c>
      <c r="BA57" s="97">
        <f ca="1">IFERROR(__xludf.DUMMYFUNCTION("IMPORTRANGE(""https://docs.google.com/spreadsheets/d/1hh-FVnSX0vozXhGluamEcS54Dw9_zqW0N7qJUWgJ0Sw/edit?usp=sharing"",""ชัยนาท!N217"")"),0)</f>
        <v>0</v>
      </c>
      <c r="BB57" s="98">
        <f t="shared" ca="1" si="108"/>
        <v>0</v>
      </c>
      <c r="BC57" s="97">
        <f ca="1">IFERROR(__xludf.DUMMYFUNCTION("IMPORTRANGE(""https://docs.google.com/spreadsheets/d/1hh-FVnSX0vozXhGluamEcS54Dw9_zqW0N7qJUWgJ0Sw/edit?usp=sharing"",""ชัยนาท!I219"")"),0)</f>
        <v>0</v>
      </c>
      <c r="BD57" s="97">
        <f ca="1">IFERROR(__xludf.DUMMYFUNCTION("IMPORTRANGE(""https://docs.google.com/spreadsheets/d/1hh-FVnSX0vozXhGluamEcS54Dw9_zqW0N7qJUWgJ0Sw/edit?usp=sharing"",""ชัยนาท!J219"")"),0)</f>
        <v>0</v>
      </c>
      <c r="BE57" s="98">
        <f t="shared" ca="1" si="110"/>
        <v>0</v>
      </c>
      <c r="BF57" s="97">
        <f ca="1">IFERROR(__xludf.DUMMYFUNCTION("IMPORTRANGE(""https://docs.google.com/spreadsheets/d/1hh-FVnSX0vozXhGluamEcS54Dw9_zqW0N7qJUWgJ0Sw/edit?usp=sharing"",""ชัยนาท!I220"")"),0)</f>
        <v>0</v>
      </c>
      <c r="BG57" s="97">
        <f ca="1">IFERROR(__xludf.DUMMYFUNCTION("IMPORTRANGE(""https://docs.google.com/spreadsheets/d/1hh-FVnSX0vozXhGluamEcS54Dw9_zqW0N7qJUWgJ0Sw/edit?usp=sharing"",""ชัยนาท!J220"")"),0)</f>
        <v>0</v>
      </c>
      <c r="BH57" s="98">
        <f t="shared" ca="1" si="112"/>
        <v>0</v>
      </c>
      <c r="BI57" s="97">
        <f ca="1">IFERROR(__xludf.DUMMYFUNCTION("IMPORTRANGE(""https://docs.google.com/spreadsheets/d/1hh-FVnSX0vozXhGluamEcS54Dw9_zqW0N7qJUWgJ0Sw/edit?usp=sharing"",""ชัยนาท!L223"")"),3000)</f>
        <v>3000</v>
      </c>
      <c r="BJ57" s="97">
        <f ca="1">IFERROR(__xludf.DUMMYFUNCTION("IMPORTRANGE(""https://docs.google.com/spreadsheets/d/1hh-FVnSX0vozXhGluamEcS54Dw9_zqW0N7qJUWgJ0Sw/edit?usp=sharing"",""ชัยนาท!N223"")"),0)</f>
        <v>0</v>
      </c>
      <c r="BK57" s="98">
        <f t="shared" ca="1" si="114"/>
        <v>0</v>
      </c>
      <c r="BL57" s="97">
        <f ca="1">IFERROR(__xludf.DUMMYFUNCTION("IMPORTRANGE(""https://docs.google.com/spreadsheets/d/1hh-FVnSX0vozXhGluamEcS54Dw9_zqW0N7qJUWgJ0Sw/edit?usp=sharing"",""ชัยนาท!L224"")"),1500)</f>
        <v>1500</v>
      </c>
      <c r="BM57" s="97">
        <f ca="1">IFERROR(__xludf.DUMMYFUNCTION("IMPORTRANGE(""https://docs.google.com/spreadsheets/d/1hh-FVnSX0vozXhGluamEcS54Dw9_zqW0N7qJUWgJ0Sw/edit?usp=sharing"",""ชัยนาท!N224"")"),0)</f>
        <v>0</v>
      </c>
      <c r="BN57" s="98">
        <f t="shared" ca="1" si="116"/>
        <v>0</v>
      </c>
      <c r="BO57" s="97">
        <f ca="1">IFERROR(__xludf.DUMMYFUNCTION("IMPORTRANGE(""https://docs.google.com/spreadsheets/d/1hh-FVnSX0vozXhGluamEcS54Dw9_zqW0N7qJUWgJ0Sw/edit?usp=sharing"",""ชัยนาท!I228"")"),12800)</f>
        <v>12800</v>
      </c>
      <c r="BP57" s="97">
        <f ca="1">IFERROR(__xludf.DUMMYFUNCTION("IMPORTRANGE(""https://docs.google.com/spreadsheets/d/1hh-FVnSX0vozXhGluamEcS54Dw9_zqW0N7qJUWgJ0Sw/edit?usp=sharing"",""ชัยนาท!J228"")"),0)</f>
        <v>0</v>
      </c>
      <c r="BQ57" s="98">
        <f t="shared" ca="1" si="118"/>
        <v>0</v>
      </c>
      <c r="BR57" s="97">
        <f ca="1">IFERROR(__xludf.DUMMYFUNCTION("IMPORTRANGE(""https://docs.google.com/spreadsheets/d/1hh-FVnSX0vozXhGluamEcS54Dw9_zqW0N7qJUWgJ0Sw/edit?usp=sharing"",""ชัยนาท!I229"")"),12800)</f>
        <v>12800</v>
      </c>
      <c r="BS57" s="97">
        <f ca="1">IFERROR(__xludf.DUMMYFUNCTION("IMPORTRANGE(""https://docs.google.com/spreadsheets/d/1hh-FVnSX0vozXhGluamEcS54Dw9_zqW0N7qJUWgJ0Sw/edit?usp=sharing"",""ชัยนาท!J229"")"),0)</f>
        <v>0</v>
      </c>
      <c r="BT57" s="98">
        <f t="shared" ca="1" si="120"/>
        <v>0</v>
      </c>
      <c r="BU57" s="97">
        <f ca="1">IFERROR(__xludf.DUMMYFUNCTION("IMPORTRANGE(""https://docs.google.com/spreadsheets/d/1hh-FVnSX0vozXhGluamEcS54Dw9_zqW0N7qJUWgJ0Sw/edit?usp=sharing"",""ชัยนาท!I230"")"),0)</f>
        <v>0</v>
      </c>
      <c r="BV57" s="97">
        <f ca="1">IFERROR(__xludf.DUMMYFUNCTION("IMPORTRANGE(""https://docs.google.com/spreadsheets/d/1hh-FVnSX0vozXhGluamEcS54Dw9_zqW0N7qJUWgJ0Sw/edit?usp=sharing"",""ชัยนาท!J230"")"),0)</f>
        <v>0</v>
      </c>
      <c r="BW57" s="98">
        <f t="shared" ca="1" si="122"/>
        <v>0</v>
      </c>
      <c r="BX57" s="97">
        <f ca="1">IFERROR(__xludf.DUMMYFUNCTION("IMPORTRANGE(""https://docs.google.com/spreadsheets/d/1hh-FVnSX0vozXhGluamEcS54Dw9_zqW0N7qJUWgJ0Sw/edit?usp=sharing"",""ชัยนาท!L233"")"),0)</f>
        <v>0</v>
      </c>
      <c r="BY57" s="97">
        <f ca="1">IFERROR(__xludf.DUMMYFUNCTION("IMPORTRANGE(""https://docs.google.com/spreadsheets/d/1hh-FVnSX0vozXhGluamEcS54Dw9_zqW0N7qJUWgJ0Sw/edit?usp=sharing"",""ชัยนาท!N233"")"),0)</f>
        <v>0</v>
      </c>
      <c r="BZ57" s="98">
        <f t="shared" ca="1" si="124"/>
        <v>0</v>
      </c>
      <c r="CA57" s="97">
        <f ca="1">IFERROR(__xludf.DUMMYFUNCTION("IMPORTRANGE(""https://docs.google.com/spreadsheets/d/1hh-FVnSX0vozXhGluamEcS54Dw9_zqW0N7qJUWgJ0Sw/edit?usp=sharing"",""ชัยนาท!L234"")"),0)</f>
        <v>0</v>
      </c>
      <c r="CB57" s="97">
        <f ca="1">IFERROR(__xludf.DUMMYFUNCTION("IMPORTRANGE(""https://docs.google.com/spreadsheets/d/1hh-FVnSX0vozXhGluamEcS54Dw9_zqW0N7qJUWgJ0Sw/edit?usp=sharing"",""ชัยนาท!N234"")"),0)</f>
        <v>0</v>
      </c>
      <c r="CC57" s="98">
        <f t="shared" ca="1" si="126"/>
        <v>0</v>
      </c>
      <c r="CD57" s="97">
        <f ca="1">IFERROR(__xludf.DUMMYFUNCTION("IMPORTRANGE(""https://docs.google.com/spreadsheets/d/1hh-FVnSX0vozXhGluamEcS54Dw9_zqW0N7qJUWgJ0Sw/edit?usp=sharing"",""ชัยนาท!L235"")"),0)</f>
        <v>0</v>
      </c>
      <c r="CE57" s="97">
        <f ca="1">IFERROR(__xludf.DUMMYFUNCTION("IMPORTRANGE(""https://docs.google.com/spreadsheets/d/1hh-FVnSX0vozXhGluamEcS54Dw9_zqW0N7qJUWgJ0Sw/edit?usp=sharing"",""ชัยนาท!N235"")"),0)</f>
        <v>0</v>
      </c>
      <c r="CF57" s="98">
        <f t="shared" ca="1" si="128"/>
        <v>0</v>
      </c>
      <c r="CG57" s="97">
        <f ca="1">IFERROR(__xludf.DUMMYFUNCTION("IMPORTRANGE(""https://docs.google.com/spreadsheets/d/1hh-FVnSX0vozXhGluamEcS54Dw9_zqW0N7qJUWgJ0Sw/edit?usp=sharing"",""ชัยนาท!L236"")"),0)</f>
        <v>0</v>
      </c>
      <c r="CH57" s="97">
        <f ca="1">IFERROR(__xludf.DUMMYFUNCTION("IMPORTRANGE(""https://docs.google.com/spreadsheets/d/1hh-FVnSX0vozXhGluamEcS54Dw9_zqW0N7qJUWgJ0Sw/edit?usp=sharing"",""ชัยนาท!N236"")"),0)</f>
        <v>0</v>
      </c>
      <c r="CI57" s="98">
        <f t="shared" ca="1" si="130"/>
        <v>0</v>
      </c>
      <c r="CJ57" s="97">
        <f ca="1">IFERROR(__xludf.DUMMYFUNCTION("IMPORTRANGE(""https://docs.google.com/spreadsheets/d/1hh-FVnSX0vozXhGluamEcS54Dw9_zqW0N7qJUWgJ0Sw/edit?usp=sharing"",""ชัยนาท!I238"")"),0)</f>
        <v>0</v>
      </c>
      <c r="CK57" s="97">
        <f ca="1">IFERROR(__xludf.DUMMYFUNCTION("IMPORTRANGE(""https://docs.google.com/spreadsheets/d/1hh-FVnSX0vozXhGluamEcS54Dw9_zqW0N7qJUWgJ0Sw/edit?usp=sharing"",""ชัยนาท!J238"")"),0)</f>
        <v>0</v>
      </c>
      <c r="CL57" s="98">
        <f t="shared" ca="1" si="132"/>
        <v>0</v>
      </c>
      <c r="CM57" s="97">
        <f ca="1">IFERROR(__xludf.DUMMYFUNCTION("IMPORTRANGE(""https://docs.google.com/spreadsheets/d/1hh-FVnSX0vozXhGluamEcS54Dw9_zqW0N7qJUWgJ0Sw/edit?usp=sharing"",""ชัยนาท!J240"")"),0)</f>
        <v>0</v>
      </c>
      <c r="CN57" s="97">
        <f ca="1">IFERROR(__xludf.DUMMYFUNCTION("IMPORTRANGE(""https://docs.google.com/spreadsheets/d/1hh-FVnSX0vozXhGluamEcS54Dw9_zqW0N7qJUWgJ0Sw/edit?usp=sharing"",""ชัยนาท!J241"")"),0)</f>
        <v>0</v>
      </c>
    </row>
    <row r="58" spans="1:92" ht="21" customHeight="1" x14ac:dyDescent="0.3">
      <c r="A58" s="89">
        <v>6</v>
      </c>
      <c r="B58" s="90" t="s">
        <v>84</v>
      </c>
      <c r="C58" s="174">
        <f t="shared" ca="1" si="80"/>
        <v>111200</v>
      </c>
      <c r="D58" s="175">
        <f t="shared" ca="1" si="184"/>
        <v>111200</v>
      </c>
      <c r="E58" s="176">
        <f ca="1">IFERROR(__xludf.DUMMYFUNCTION("IMPORTRANGE(""https://docs.google.com/spreadsheets/d/1-uDff_7J0KD5mKrp0Vvzr7lt3OU09vwQwhkpOPPYv2Y/edit?usp=sharing"",""งบพรบ!CV58"")"),73700)</f>
        <v>73700</v>
      </c>
      <c r="F58" s="176">
        <f ca="1">IFERROR(__xludf.DUMMYFUNCTION("IMPORTRANGE(""https://docs.google.com/spreadsheets/d/1-uDff_7J0KD5mKrp0Vvzr7lt3OU09vwQwhkpOPPYv2Y/edit?usp=sharing"",""งบพรบ!CW58"")"),37500)</f>
        <v>37500</v>
      </c>
      <c r="G58" s="176">
        <f ca="1">IFERROR(__xludf.DUMMYFUNCTION("IMPORTRANGE(""https://docs.google.com/spreadsheets/d/1-uDff_7J0KD5mKrp0Vvzr7lt3OU09vwQwhkpOPPYv2Y/edit?usp=sharing"",""งบพรบ!CX58"")"),0)</f>
        <v>0</v>
      </c>
      <c r="H58" s="176">
        <f ca="1">IFERROR(__xludf.DUMMYFUNCTION("IMPORTRANGE(""https://docs.google.com/spreadsheets/d/1-uDff_7J0KD5mKrp0Vvzr7lt3OU09vwQwhkpOPPYv2Y/edit?usp=sharing"",""งบพรบ!CZ58"")"),111200)</f>
        <v>111200</v>
      </c>
      <c r="I58" s="176">
        <f ca="1">IFERROR(__xludf.DUMMYFUNCTION("IMPORTRANGE(""https://docs.google.com/spreadsheets/d/1-uDff_7J0KD5mKrp0Vvzr7lt3OU09vwQwhkpOPPYv2Y/edit?usp=sharing"",""งบพรบ!DA58"")"),0)</f>
        <v>0</v>
      </c>
      <c r="J58" s="176">
        <f t="shared" ca="1" si="82"/>
        <v>69394</v>
      </c>
      <c r="K58" s="179">
        <f t="shared" ca="1" si="83"/>
        <v>62.404676258992808</v>
      </c>
      <c r="L58" s="176">
        <f ca="1">IFERROR(__xludf.DUMMYFUNCTION("IMPORTRANGE(""https://docs.google.com/spreadsheets/d/1-uDff_7J0KD5mKrp0Vvzr7lt3OU09vwQwhkpOPPYv2Y/edit?usp=sharing"",""งบพรบ!DB58"")"),69394)</f>
        <v>69394</v>
      </c>
      <c r="M58" s="87">
        <f t="shared" ca="1" si="84"/>
        <v>62.404676258992808</v>
      </c>
      <c r="N58" s="87">
        <f t="shared" ca="1" si="85"/>
        <v>62.404676258992808</v>
      </c>
      <c r="O58" s="86">
        <f ca="1">IFERROR(__xludf.DUMMYFUNCTION("IMPORTRANGE(""https://docs.google.com/spreadsheets/d/1-uDff_7J0KD5mKrp0Vvzr7lt3OU09vwQwhkpOPPYv2Y/edit?usp=sharing"",""งบพรบ!DC58"")"),0)</f>
        <v>0</v>
      </c>
      <c r="P58" s="86">
        <f t="shared" ca="1" si="86"/>
        <v>0</v>
      </c>
      <c r="Q58" s="87">
        <f t="shared" ca="1" si="87"/>
        <v>0</v>
      </c>
      <c r="R58" s="241">
        <f ca="1">IFERROR(__xludf.DUMMYFUNCTION("IMPORTRANGE(""https://docs.google.com/spreadsheets/d/1jkqa6GXxSacMcY1eN8AHjMNJ_7dDXMJVRLDlaFSOdPM/edit?usp=sharing"",""ตราด!Q186"")"),47700)</f>
        <v>47700</v>
      </c>
      <c r="S58" s="242">
        <f ca="1">IFERROR(__xludf.DUMMYFUNCTION("IMPORTRANGE(""https://docs.google.com/spreadsheets/d/1jkqa6GXxSacMcY1eN8AHjMNJ_7dDXMJVRLDlaFSOdPM/edit?usp=sharing"",""ตราด!R186"")"),0)</f>
        <v>0</v>
      </c>
      <c r="T58" s="242">
        <f ca="1">IFERROR(__xludf.DUMMYFUNCTION("IMPORTRANGE(""https://docs.google.com/spreadsheets/d/1jkqa6GXxSacMcY1eN8AHjMNJ_7dDXMJVRLDlaFSOdPM/edit?usp=sharing"",""ตราด!S186"")"),0)</f>
        <v>0</v>
      </c>
      <c r="U58" s="243">
        <f t="shared" ca="1" si="89"/>
        <v>0</v>
      </c>
      <c r="V58" s="243">
        <f t="shared" ca="1" si="90"/>
        <v>0</v>
      </c>
      <c r="W58" s="97">
        <f ca="1">IFERROR(__xludf.DUMMYFUNCTION("IMPORTRANGE(""https://docs.google.com/spreadsheets/d/1jkqa6GXxSacMcY1eN8AHjMNJ_7dDXMJVRLDlaFSOdPM/edit?usp=sharing"",""ตราด!L196"")"),6000)</f>
        <v>6000</v>
      </c>
      <c r="X58" s="97">
        <f ca="1">IFERROR(__xludf.DUMMYFUNCTION("IMPORTRANGE(""https://docs.google.com/spreadsheets/d/1jkqa6GXxSacMcY1eN8AHjMNJ_7dDXMJVRLDlaFSOdPM/edit?usp=sharing"",""ตราด!N196"")"),3000)</f>
        <v>3000</v>
      </c>
      <c r="Y58" s="98">
        <f t="shared" ca="1" si="92"/>
        <v>50</v>
      </c>
      <c r="Z58" s="97">
        <f ca="1">IFERROR(__xludf.DUMMYFUNCTION("IMPORTRANGE(""https://docs.google.com/spreadsheets/d/1jkqa6GXxSacMcY1eN8AHjMNJ_7dDXMJVRLDlaFSOdPM/edit?usp=sharing"",""ตราด!I198"")"),4)</f>
        <v>4</v>
      </c>
      <c r="AA58" s="97">
        <f ca="1">IFERROR(__xludf.DUMMYFUNCTION("IMPORTRANGE(""https://docs.google.com/spreadsheets/d/1jkqa6GXxSacMcY1eN8AHjMNJ_7dDXMJVRLDlaFSOdPM/edit?usp=sharing"",""ตราด!J198"")"),1)</f>
        <v>1</v>
      </c>
      <c r="AB58" s="98">
        <f t="shared" ca="1" si="94"/>
        <v>25</v>
      </c>
      <c r="AC58" s="97">
        <f ca="1">IFERROR(__xludf.DUMMYFUNCTION("IMPORTRANGE(""https://docs.google.com/spreadsheets/d/1jkqa6GXxSacMcY1eN8AHjMNJ_7dDXMJVRLDlaFSOdPM/edit?usp=sharing"",""ตราด!J199"")"),39)</f>
        <v>39</v>
      </c>
      <c r="AD58" s="97">
        <f ca="1">IFERROR(__xludf.DUMMYFUNCTION("IMPORTRANGE(""https://docs.google.com/spreadsheets/d/1jkqa6GXxSacMcY1eN8AHjMNJ_7dDXMJVRLDlaFSOdPM/edit?usp=sharing"",""ตราด!J200"")"),39)</f>
        <v>39</v>
      </c>
      <c r="AE58" s="97">
        <f ca="1">IFERROR(__xludf.DUMMYFUNCTION("IMPORTRANGE(""https://docs.google.com/spreadsheets/d/1jkqa6GXxSacMcY1eN8AHjMNJ_7dDXMJVRLDlaFSOdPM/edit?usp=sharing"",""ตราด!J201"")"),0)</f>
        <v>0</v>
      </c>
      <c r="AF58" s="97">
        <f ca="1">IFERROR(__xludf.DUMMYFUNCTION("IMPORTRANGE(""https://docs.google.com/spreadsheets/d/1jkqa6GXxSacMcY1eN8AHjMNJ_7dDXMJVRLDlaFSOdPM/edit?usp=sharing"",""ตราด!L204"")"),1000)</f>
        <v>1000</v>
      </c>
      <c r="AG58" s="97">
        <f ca="1">IFERROR(__xludf.DUMMYFUNCTION("IMPORTRANGE(""https://docs.google.com/spreadsheets/d/1jkqa6GXxSacMcY1eN8AHjMNJ_7dDXMJVRLDlaFSOdPM/edit?usp=sharing"",""ตราด!N204"")"),0)</f>
        <v>0</v>
      </c>
      <c r="AH58" s="98">
        <f t="shared" ca="1" si="96"/>
        <v>0</v>
      </c>
      <c r="AI58" s="97">
        <f ca="1">IFERROR(__xludf.DUMMYFUNCTION("IMPORTRANGE(""https://docs.google.com/spreadsheets/d/1jkqa6GXxSacMcY1eN8AHjMNJ_7dDXMJVRLDlaFSOdPM/edit?usp=sharing"",""ตราด!L206"")"),8000)</f>
        <v>8000</v>
      </c>
      <c r="AJ58" s="97">
        <f ca="1">IFERROR(__xludf.DUMMYFUNCTION("IMPORTRANGE(""https://docs.google.com/spreadsheets/d/1jkqa6GXxSacMcY1eN8AHjMNJ_7dDXMJVRLDlaFSOdPM/edit?usp=sharing"",""ตราด!N206"")"),8000)</f>
        <v>8000</v>
      </c>
      <c r="AK58" s="98">
        <f t="shared" ca="1" si="98"/>
        <v>100</v>
      </c>
      <c r="AL58" s="97">
        <f ca="1">IFERROR(__xludf.DUMMYFUNCTION("IMPORTRANGE(""https://docs.google.com/spreadsheets/d/1jkqa6GXxSacMcY1eN8AHjMNJ_7dDXMJVRLDlaFSOdPM/edit?usp=sharing"",""ตราด!L207"")"),4000)</f>
        <v>4000</v>
      </c>
      <c r="AM58" s="97">
        <f ca="1">IFERROR(__xludf.DUMMYFUNCTION("IMPORTRANGE(""https://docs.google.com/spreadsheets/d/1jkqa6GXxSacMcY1eN8AHjMNJ_7dDXMJVRLDlaFSOdPM/edit?usp=sharing"",""ตราด!N207"")"),0)</f>
        <v>0</v>
      </c>
      <c r="AN58" s="98">
        <f t="shared" ca="1" si="100"/>
        <v>0</v>
      </c>
      <c r="AO58" s="97">
        <f ca="1">IFERROR(__xludf.DUMMYFUNCTION("IMPORTRANGE(""https://docs.google.com/spreadsheets/d/1jkqa6GXxSacMcY1eN8AHjMNJ_7dDXMJVRLDlaFSOdPM/edit?usp=sharing"",""ตราด!I209"")"),1)</f>
        <v>1</v>
      </c>
      <c r="AP58" s="97">
        <f ca="1">IFERROR(__xludf.DUMMYFUNCTION("IMPORTRANGE(""https://docs.google.com/spreadsheets/d/1jkqa6GXxSacMcY1eN8AHjMNJ_7dDXMJVRLDlaFSOdPM/edit?usp=sharing"",""ตราด!J209"")"),1)</f>
        <v>1</v>
      </c>
      <c r="AQ58" s="98">
        <f t="shared" ca="1" si="102"/>
        <v>100</v>
      </c>
      <c r="AR58" s="97">
        <f ca="1">IFERROR(__xludf.DUMMYFUNCTION("IMPORTRANGE(""https://docs.google.com/spreadsheets/d/1jkqa6GXxSacMcY1eN8AHjMNJ_7dDXMJVRLDlaFSOdPM/edit?usp=sharing"",""ตราด!J211"")"),0)</f>
        <v>0</v>
      </c>
      <c r="AS58" s="97">
        <f ca="1">IFERROR(__xludf.DUMMYFUNCTION("IMPORTRANGE(""https://docs.google.com/spreadsheets/d/1jkqa6GXxSacMcY1eN8AHjMNJ_7dDXMJVRLDlaFSOdPM/edit?usp=sharing"",""ตราด!J212"")"),0)</f>
        <v>0</v>
      </c>
      <c r="AT58" s="97">
        <f ca="1">IFERROR(__xludf.DUMMYFUNCTION("IMPORTRANGE(""https://docs.google.com/spreadsheets/d/1jkqa6GXxSacMcY1eN8AHjMNJ_7dDXMJVRLDlaFSOdPM/edit?usp=sharing"",""ตราด!L215"")"),1000)</f>
        <v>1000</v>
      </c>
      <c r="AU58" s="97">
        <f ca="1">IFERROR(__xludf.DUMMYFUNCTION("IMPORTRANGE(""https://docs.google.com/spreadsheets/d/1jkqa6GXxSacMcY1eN8AHjMNJ_7dDXMJVRLDlaFSOdPM/edit?usp=sharing"",""ตราด!N215"")"),240)</f>
        <v>240</v>
      </c>
      <c r="AV58" s="98">
        <f t="shared" ca="1" si="104"/>
        <v>24</v>
      </c>
      <c r="AW58" s="97">
        <f ca="1">IFERROR(__xludf.DUMMYFUNCTION("IMPORTRANGE(""https://docs.google.com/spreadsheets/d/1jkqa6GXxSacMcY1eN8AHjMNJ_7dDXMJVRLDlaFSOdPM/edit?usp=sharing"",""ตราด!L216"")"),5000)</f>
        <v>5000</v>
      </c>
      <c r="AX58" s="97">
        <f ca="1">IFERROR(__xludf.DUMMYFUNCTION("IMPORTRANGE(""https://docs.google.com/spreadsheets/d/1jkqa6GXxSacMcY1eN8AHjMNJ_7dDXMJVRLDlaFSOdPM/edit?usp=sharing"",""ตราด!N216"")"),0)</f>
        <v>0</v>
      </c>
      <c r="AY58" s="98">
        <f t="shared" ca="1" si="106"/>
        <v>0</v>
      </c>
      <c r="AZ58" s="97">
        <f ca="1">IFERROR(__xludf.DUMMYFUNCTION("IMPORTRANGE(""https://docs.google.com/spreadsheets/d/1jkqa6GXxSacMcY1eN8AHjMNJ_7dDXMJVRLDlaFSOdPM/edit?usp=sharing"",""ตราด!L217"")"),8000)</f>
        <v>8000</v>
      </c>
      <c r="BA58" s="97">
        <f ca="1">IFERROR(__xludf.DUMMYFUNCTION("IMPORTRANGE(""https://docs.google.com/spreadsheets/d/1jkqa6GXxSacMcY1eN8AHjMNJ_7dDXMJVRLDlaFSOdPM/edit?usp=sharing"",""ตราด!N217"")"),8000)</f>
        <v>8000</v>
      </c>
      <c r="BB58" s="98">
        <f t="shared" ca="1" si="108"/>
        <v>100</v>
      </c>
      <c r="BC58" s="97">
        <f ca="1">IFERROR(__xludf.DUMMYFUNCTION("IMPORTRANGE(""https://docs.google.com/spreadsheets/d/1jkqa6GXxSacMcY1eN8AHjMNJ_7dDXMJVRLDlaFSOdPM/edit?usp=sharing"",""ตราด!I219"")"),1)</f>
        <v>1</v>
      </c>
      <c r="BD58" s="97">
        <f ca="1">IFERROR(__xludf.DUMMYFUNCTION("IMPORTRANGE(""https://docs.google.com/spreadsheets/d/1jkqa6GXxSacMcY1eN8AHjMNJ_7dDXMJVRLDlaFSOdPM/edit?usp=sharing"",""ตราด!J219"")"),0)</f>
        <v>0</v>
      </c>
      <c r="BE58" s="98">
        <f t="shared" ca="1" si="110"/>
        <v>0</v>
      </c>
      <c r="BF58" s="97">
        <f ca="1">IFERROR(__xludf.DUMMYFUNCTION("IMPORTRANGE(""https://docs.google.com/spreadsheets/d/1jkqa6GXxSacMcY1eN8AHjMNJ_7dDXMJVRLDlaFSOdPM/edit?usp=sharing"",""ตราด!I220"")"),1)</f>
        <v>1</v>
      </c>
      <c r="BG58" s="97">
        <f ca="1">IFERROR(__xludf.DUMMYFUNCTION("IMPORTRANGE(""https://docs.google.com/spreadsheets/d/1jkqa6GXxSacMcY1eN8AHjMNJ_7dDXMJVRLDlaFSOdPM/edit?usp=sharing"",""ตราด!J220"")"),1)</f>
        <v>1</v>
      </c>
      <c r="BH58" s="98">
        <f t="shared" ca="1" si="112"/>
        <v>100</v>
      </c>
      <c r="BI58" s="97">
        <f ca="1">IFERROR(__xludf.DUMMYFUNCTION("IMPORTRANGE(""https://docs.google.com/spreadsheets/d/1jkqa6GXxSacMcY1eN8AHjMNJ_7dDXMJVRLDlaFSOdPM/edit?usp=sharing"",""ตราด!L223"")"),3000)</f>
        <v>3000</v>
      </c>
      <c r="BJ58" s="97">
        <f ca="1">IFERROR(__xludf.DUMMYFUNCTION("IMPORTRANGE(""https://docs.google.com/spreadsheets/d/1jkqa6GXxSacMcY1eN8AHjMNJ_7dDXMJVRLDlaFSOdPM/edit?usp=sharing"",""ตราด!N223"")"),0)</f>
        <v>0</v>
      </c>
      <c r="BK58" s="98">
        <f t="shared" ca="1" si="114"/>
        <v>0</v>
      </c>
      <c r="BL58" s="97">
        <f ca="1">IFERROR(__xludf.DUMMYFUNCTION("IMPORTRANGE(""https://docs.google.com/spreadsheets/d/1jkqa6GXxSacMcY1eN8AHjMNJ_7dDXMJVRLDlaFSOdPM/edit?usp=sharing"",""ตราด!L224"")"),1500)</f>
        <v>1500</v>
      </c>
      <c r="BM58" s="97">
        <f ca="1">IFERROR(__xludf.DUMMYFUNCTION("IMPORTRANGE(""https://docs.google.com/spreadsheets/d/1jkqa6GXxSacMcY1eN8AHjMNJ_7dDXMJVRLDlaFSOdPM/edit?usp=sharing"",""ตราด!N224"")"),0)</f>
        <v>0</v>
      </c>
      <c r="BN58" s="98">
        <f t="shared" ca="1" si="116"/>
        <v>0</v>
      </c>
      <c r="BO58" s="97">
        <f ca="1">IFERROR(__xludf.DUMMYFUNCTION("IMPORTRANGE(""https://docs.google.com/spreadsheets/d/1jkqa6GXxSacMcY1eN8AHjMNJ_7dDXMJVRLDlaFSOdPM/edit?usp=sharing"",""ตราด!I228"")"),3200)</f>
        <v>3200</v>
      </c>
      <c r="BP58" s="97">
        <f ca="1">IFERROR(__xludf.DUMMYFUNCTION("IMPORTRANGE(""https://docs.google.com/spreadsheets/d/1jkqa6GXxSacMcY1eN8AHjMNJ_7dDXMJVRLDlaFSOdPM/edit?usp=sharing"",""ตราด!J228"")"),0)</f>
        <v>0</v>
      </c>
      <c r="BQ58" s="98">
        <f t="shared" ca="1" si="118"/>
        <v>0</v>
      </c>
      <c r="BR58" s="97">
        <f ca="1">IFERROR(__xludf.DUMMYFUNCTION("IMPORTRANGE(""https://docs.google.com/spreadsheets/d/1jkqa6GXxSacMcY1eN8AHjMNJ_7dDXMJVRLDlaFSOdPM/edit?usp=sharing"",""ตราด!I229"")"),3200)</f>
        <v>3200</v>
      </c>
      <c r="BS58" s="97">
        <f ca="1">IFERROR(__xludf.DUMMYFUNCTION("IMPORTRANGE(""https://docs.google.com/spreadsheets/d/1jkqa6GXxSacMcY1eN8AHjMNJ_7dDXMJVRLDlaFSOdPM/edit?usp=sharing"",""ตราด!J229"")"),0)</f>
        <v>0</v>
      </c>
      <c r="BT58" s="98">
        <f t="shared" ca="1" si="120"/>
        <v>0</v>
      </c>
      <c r="BU58" s="97">
        <f ca="1">IFERROR(__xludf.DUMMYFUNCTION("IMPORTRANGE(""https://docs.google.com/spreadsheets/d/1jkqa6GXxSacMcY1eN8AHjMNJ_7dDXMJVRLDlaFSOdPM/edit?usp=sharing"",""ตราด!I230"")"),0)</f>
        <v>0</v>
      </c>
      <c r="BV58" s="97">
        <f ca="1">IFERROR(__xludf.DUMMYFUNCTION("IMPORTRANGE(""https://docs.google.com/spreadsheets/d/1jkqa6GXxSacMcY1eN8AHjMNJ_7dDXMJVRLDlaFSOdPM/edit?usp=sharing"",""ตราด!J230"")"),0)</f>
        <v>0</v>
      </c>
      <c r="BW58" s="98">
        <f t="shared" ca="1" si="122"/>
        <v>0</v>
      </c>
      <c r="BX58" s="97">
        <f ca="1">IFERROR(__xludf.DUMMYFUNCTION("IMPORTRANGE(""https://docs.google.com/spreadsheets/d/1jkqa6GXxSacMcY1eN8AHjMNJ_7dDXMJVRLDlaFSOdPM/edit?usp=sharing"",""ตราด!L233"")"),0)</f>
        <v>0</v>
      </c>
      <c r="BY58" s="97">
        <f ca="1">IFERROR(__xludf.DUMMYFUNCTION("IMPORTRANGE(""https://docs.google.com/spreadsheets/d/1jkqa6GXxSacMcY1eN8AHjMNJ_7dDXMJVRLDlaFSOdPM/edit?usp=sharing"",""ตราด!N233"")"),0)</f>
        <v>0</v>
      </c>
      <c r="BZ58" s="98">
        <f t="shared" ca="1" si="124"/>
        <v>0</v>
      </c>
      <c r="CA58" s="97">
        <f ca="1">IFERROR(__xludf.DUMMYFUNCTION("IMPORTRANGE(""https://docs.google.com/spreadsheets/d/1jkqa6GXxSacMcY1eN8AHjMNJ_7dDXMJVRLDlaFSOdPM/edit?usp=sharing"",""ตราด!L234"")"),0)</f>
        <v>0</v>
      </c>
      <c r="CB58" s="97">
        <f ca="1">IFERROR(__xludf.DUMMYFUNCTION("IMPORTRANGE(""https://docs.google.com/spreadsheets/d/1jkqa6GXxSacMcY1eN8AHjMNJ_7dDXMJVRLDlaFSOdPM/edit?usp=sharing"",""ตราด!N234"")"),0)</f>
        <v>0</v>
      </c>
      <c r="CC58" s="98">
        <f t="shared" ca="1" si="126"/>
        <v>0</v>
      </c>
      <c r="CD58" s="97">
        <f ca="1">IFERROR(__xludf.DUMMYFUNCTION("IMPORTRANGE(""https://docs.google.com/spreadsheets/d/1jkqa6GXxSacMcY1eN8AHjMNJ_7dDXMJVRLDlaFSOdPM/edit?usp=sharing"",""ตราด!L235"")"),0)</f>
        <v>0</v>
      </c>
      <c r="CE58" s="97">
        <f ca="1">IFERROR(__xludf.DUMMYFUNCTION("IMPORTRANGE(""https://docs.google.com/spreadsheets/d/1jkqa6GXxSacMcY1eN8AHjMNJ_7dDXMJVRLDlaFSOdPM/edit?usp=sharing"",""ตราด!N235"")"),0)</f>
        <v>0</v>
      </c>
      <c r="CF58" s="98">
        <f t="shared" ca="1" si="128"/>
        <v>0</v>
      </c>
      <c r="CG58" s="97">
        <f ca="1">IFERROR(__xludf.DUMMYFUNCTION("IMPORTRANGE(""https://docs.google.com/spreadsheets/d/1jkqa6GXxSacMcY1eN8AHjMNJ_7dDXMJVRLDlaFSOdPM/edit?usp=sharing"",""ตราด!L236"")"),0)</f>
        <v>0</v>
      </c>
      <c r="CH58" s="97">
        <f ca="1">IFERROR(__xludf.DUMMYFUNCTION("IMPORTRANGE(""https://docs.google.com/spreadsheets/d/1jkqa6GXxSacMcY1eN8AHjMNJ_7dDXMJVRLDlaFSOdPM/edit?usp=sharing"",""ตราด!N236"")"),0)</f>
        <v>0</v>
      </c>
      <c r="CI58" s="98">
        <f t="shared" ca="1" si="130"/>
        <v>0</v>
      </c>
      <c r="CJ58" s="97">
        <f ca="1">IFERROR(__xludf.DUMMYFUNCTION("IMPORTRANGE(""https://docs.google.com/spreadsheets/d/1jkqa6GXxSacMcY1eN8AHjMNJ_7dDXMJVRLDlaFSOdPM/edit?usp=sharing"",""ตราด!I238"")"),0)</f>
        <v>0</v>
      </c>
      <c r="CK58" s="97">
        <f ca="1">IFERROR(__xludf.DUMMYFUNCTION("IMPORTRANGE(""https://docs.google.com/spreadsheets/d/1jkqa6GXxSacMcY1eN8AHjMNJ_7dDXMJVRLDlaFSOdPM/edit?usp=sharing"",""ตราด!J238"")"),0)</f>
        <v>0</v>
      </c>
      <c r="CL58" s="98">
        <f t="shared" ca="1" si="132"/>
        <v>0</v>
      </c>
      <c r="CM58" s="97">
        <f ca="1">IFERROR(__xludf.DUMMYFUNCTION("IMPORTRANGE(""https://docs.google.com/spreadsheets/d/1jkqa6GXxSacMcY1eN8AHjMNJ_7dDXMJVRLDlaFSOdPM/edit?usp=sharing"",""ตราด!J240"")"),0)</f>
        <v>0</v>
      </c>
      <c r="CN58" s="97">
        <f ca="1">IFERROR(__xludf.DUMMYFUNCTION("IMPORTRANGE(""https://docs.google.com/spreadsheets/d/1jkqa6GXxSacMcY1eN8AHjMNJ_7dDXMJVRLDlaFSOdPM/edit?usp=sharing"",""ตราด!J241"")"),0)</f>
        <v>0</v>
      </c>
    </row>
    <row r="59" spans="1:92" ht="21" customHeight="1" x14ac:dyDescent="0.3">
      <c r="A59" s="89">
        <v>7</v>
      </c>
      <c r="B59" s="90" t="s">
        <v>85</v>
      </c>
      <c r="C59" s="174">
        <f t="shared" ca="1" si="80"/>
        <v>234300</v>
      </c>
      <c r="D59" s="175">
        <f t="shared" ca="1" si="184"/>
        <v>234300</v>
      </c>
      <c r="E59" s="176">
        <f ca="1">IFERROR(__xludf.DUMMYFUNCTION("IMPORTRANGE(""https://docs.google.com/spreadsheets/d/1-uDff_7J0KD5mKrp0Vvzr7lt3OU09vwQwhkpOPPYv2Y/edit?usp=sharing"",""งบพรบ!CV59"")"),167200)</f>
        <v>167200</v>
      </c>
      <c r="F59" s="176">
        <f ca="1">IFERROR(__xludf.DUMMYFUNCTION("IMPORTRANGE(""https://docs.google.com/spreadsheets/d/1-uDff_7J0KD5mKrp0Vvzr7lt3OU09vwQwhkpOPPYv2Y/edit?usp=sharing"",""งบพรบ!CW59"")"),67100)</f>
        <v>67100</v>
      </c>
      <c r="G59" s="176">
        <f ca="1">IFERROR(__xludf.DUMMYFUNCTION("IMPORTRANGE(""https://docs.google.com/spreadsheets/d/1-uDff_7J0KD5mKrp0Vvzr7lt3OU09vwQwhkpOPPYv2Y/edit?usp=sharing"",""งบพรบ!CX59"")"),0)</f>
        <v>0</v>
      </c>
      <c r="H59" s="176">
        <f ca="1">IFERROR(__xludf.DUMMYFUNCTION("IMPORTRANGE(""https://docs.google.com/spreadsheets/d/1-uDff_7J0KD5mKrp0Vvzr7lt3OU09vwQwhkpOPPYv2Y/edit?usp=sharing"",""งบพรบ!CZ59"")"),237260)</f>
        <v>237260</v>
      </c>
      <c r="I59" s="176">
        <f ca="1">IFERROR(__xludf.DUMMYFUNCTION("IMPORTRANGE(""https://docs.google.com/spreadsheets/d/1-uDff_7J0KD5mKrp0Vvzr7lt3OU09vwQwhkpOPPYv2Y/edit?usp=sharing"",""งบพรบ!DA59"")"),0)</f>
        <v>0</v>
      </c>
      <c r="J59" s="176">
        <f t="shared" ca="1" si="82"/>
        <v>80430</v>
      </c>
      <c r="K59" s="179">
        <f t="shared" ca="1" si="83"/>
        <v>34.327784891165173</v>
      </c>
      <c r="L59" s="176">
        <f ca="1">IFERROR(__xludf.DUMMYFUNCTION("IMPORTRANGE(""https://docs.google.com/spreadsheets/d/1-uDff_7J0KD5mKrp0Vvzr7lt3OU09vwQwhkpOPPYv2Y/edit?usp=sharing"",""งบพรบ!DB59"")"),80430)</f>
        <v>80430</v>
      </c>
      <c r="M59" s="87">
        <f t="shared" ca="1" si="84"/>
        <v>34.327784891165173</v>
      </c>
      <c r="N59" s="87">
        <f t="shared" ca="1" si="85"/>
        <v>33.899519514456713</v>
      </c>
      <c r="O59" s="86">
        <f ca="1">IFERROR(__xludf.DUMMYFUNCTION("IMPORTRANGE(""https://docs.google.com/spreadsheets/d/1-uDff_7J0KD5mKrp0Vvzr7lt3OU09vwQwhkpOPPYv2Y/edit?usp=sharing"",""งบพรบ!DC59"")"),0)</f>
        <v>0</v>
      </c>
      <c r="P59" s="86">
        <f t="shared" ca="1" si="86"/>
        <v>0</v>
      </c>
      <c r="Q59" s="87">
        <f t="shared" ca="1" si="87"/>
        <v>0</v>
      </c>
      <c r="R59" s="241">
        <f ca="1">IFERROR(__xludf.DUMMYFUNCTION("IMPORTRANGE(""https://docs.google.com/spreadsheets/d/18hSgUJ3VwClqi_qtULmmW3cLr0oe3OKaSYoKzdpTsYQ/edit?usp=sharing"",""นครนายก!Q186"")"),14000)</f>
        <v>14000</v>
      </c>
      <c r="S59" s="242">
        <f ca="1">IFERROR(__xludf.DUMMYFUNCTION("IMPORTRANGE(""https://docs.google.com/spreadsheets/d/18hSgUJ3VwClqi_qtULmmW3cLr0oe3OKaSYoKzdpTsYQ/edit?usp=sharing"",""นครนายก!R186"")"),0)</f>
        <v>0</v>
      </c>
      <c r="T59" s="242">
        <f ca="1">IFERROR(__xludf.DUMMYFUNCTION("IMPORTRANGE(""https://docs.google.com/spreadsheets/d/18hSgUJ3VwClqi_qtULmmW3cLr0oe3OKaSYoKzdpTsYQ/edit?usp=sharing"",""นครนายก!S186"")"),0)</f>
        <v>0</v>
      </c>
      <c r="U59" s="243">
        <f t="shared" ca="1" si="89"/>
        <v>0</v>
      </c>
      <c r="V59" s="243">
        <f t="shared" ca="1" si="90"/>
        <v>0</v>
      </c>
      <c r="W59" s="97">
        <f ca="1">IFERROR(__xludf.DUMMYFUNCTION("IMPORTRANGE(""https://docs.google.com/spreadsheets/d/18hSgUJ3VwClqi_qtULmmW3cLr0oe3OKaSYoKzdpTsYQ/edit?usp=sharing"",""นครนายก!L196"")"),6000)</f>
        <v>6000</v>
      </c>
      <c r="X59" s="97">
        <f ca="1">IFERROR(__xludf.DUMMYFUNCTION("IMPORTRANGE(""https://docs.google.com/spreadsheets/d/18hSgUJ3VwClqi_qtULmmW3cLr0oe3OKaSYoKzdpTsYQ/edit?usp=sharing"",""นครนายก!N196"")"),0)</f>
        <v>0</v>
      </c>
      <c r="Y59" s="98">
        <f t="shared" ca="1" si="92"/>
        <v>0</v>
      </c>
      <c r="Z59" s="97">
        <f ca="1">IFERROR(__xludf.DUMMYFUNCTION("IMPORTRANGE(""https://docs.google.com/spreadsheets/d/18hSgUJ3VwClqi_qtULmmW3cLr0oe3OKaSYoKzdpTsYQ/edit?usp=sharing"",""นครนายก!I198"")"),4)</f>
        <v>4</v>
      </c>
      <c r="AA59" s="97">
        <f ca="1">IFERROR(__xludf.DUMMYFUNCTION("IMPORTRANGE(""https://docs.google.com/spreadsheets/d/18hSgUJ3VwClqi_qtULmmW3cLr0oe3OKaSYoKzdpTsYQ/edit?usp=sharing"",""นครนายก!J198"")"),0)</f>
        <v>0</v>
      </c>
      <c r="AB59" s="98">
        <f t="shared" ca="1" si="94"/>
        <v>0</v>
      </c>
      <c r="AC59" s="97">
        <f ca="1">IFERROR(__xludf.DUMMYFUNCTION("IMPORTRANGE(""https://docs.google.com/spreadsheets/d/18hSgUJ3VwClqi_qtULmmW3cLr0oe3OKaSYoKzdpTsYQ/edit?usp=sharing"",""นครนายก!J199"")"),0)</f>
        <v>0</v>
      </c>
      <c r="AD59" s="97">
        <f ca="1">IFERROR(__xludf.DUMMYFUNCTION("IMPORTRANGE(""https://docs.google.com/spreadsheets/d/18hSgUJ3VwClqi_qtULmmW3cLr0oe3OKaSYoKzdpTsYQ/edit?usp=sharing"",""นครนายก!J200"")"),0)</f>
        <v>0</v>
      </c>
      <c r="AE59" s="97">
        <f ca="1">IFERROR(__xludf.DUMMYFUNCTION("IMPORTRANGE(""https://docs.google.com/spreadsheets/d/18hSgUJ3VwClqi_qtULmmW3cLr0oe3OKaSYoKzdpTsYQ/edit?usp=sharing"",""นครนายก!J201"")"),0)</f>
        <v>0</v>
      </c>
      <c r="AF59" s="97">
        <f ca="1">IFERROR(__xludf.DUMMYFUNCTION("IMPORTRANGE(""https://docs.google.com/spreadsheets/d/18hSgUJ3VwClqi_qtULmmW3cLr0oe3OKaSYoKzdpTsYQ/edit?usp=sharing"",""นครนายก!L204"")"),1000)</f>
        <v>1000</v>
      </c>
      <c r="AG59" s="97">
        <f ca="1">IFERROR(__xludf.DUMMYFUNCTION("IMPORTRANGE(""https://docs.google.com/spreadsheets/d/18hSgUJ3VwClqi_qtULmmW3cLr0oe3OKaSYoKzdpTsYQ/edit?usp=sharing"",""นครนายก!N204"")"),0)</f>
        <v>0</v>
      </c>
      <c r="AH59" s="98">
        <f t="shared" ca="1" si="96"/>
        <v>0</v>
      </c>
      <c r="AI59" s="97">
        <f ca="1">IFERROR(__xludf.DUMMYFUNCTION("IMPORTRANGE(""https://docs.google.com/spreadsheets/d/18hSgUJ3VwClqi_qtULmmW3cLr0oe3OKaSYoKzdpTsYQ/edit?usp=sharing"",""นครนายก!L206"")"),8000)</f>
        <v>8000</v>
      </c>
      <c r="AJ59" s="97">
        <f ca="1">IFERROR(__xludf.DUMMYFUNCTION("IMPORTRANGE(""https://docs.google.com/spreadsheets/d/18hSgUJ3VwClqi_qtULmmW3cLr0oe3OKaSYoKzdpTsYQ/edit?usp=sharing"",""นครนายก!N206"")"),0)</f>
        <v>0</v>
      </c>
      <c r="AK59" s="98">
        <f t="shared" ca="1" si="98"/>
        <v>0</v>
      </c>
      <c r="AL59" s="97">
        <f ca="1">IFERROR(__xludf.DUMMYFUNCTION("IMPORTRANGE(""https://docs.google.com/spreadsheets/d/18hSgUJ3VwClqi_qtULmmW3cLr0oe3OKaSYoKzdpTsYQ/edit?usp=sharing"",""นครนายก!L207"")"),4000)</f>
        <v>4000</v>
      </c>
      <c r="AM59" s="97">
        <f ca="1">IFERROR(__xludf.DUMMYFUNCTION("IMPORTRANGE(""https://docs.google.com/spreadsheets/d/18hSgUJ3VwClqi_qtULmmW3cLr0oe3OKaSYoKzdpTsYQ/edit?usp=sharing"",""นครนายก!N207"")"),0)</f>
        <v>0</v>
      </c>
      <c r="AN59" s="98">
        <f t="shared" ca="1" si="100"/>
        <v>0</v>
      </c>
      <c r="AO59" s="97">
        <f ca="1">IFERROR(__xludf.DUMMYFUNCTION("IMPORTRANGE(""https://docs.google.com/spreadsheets/d/18hSgUJ3VwClqi_qtULmmW3cLr0oe3OKaSYoKzdpTsYQ/edit?usp=sharing"",""นครนายก!I209"")"),1)</f>
        <v>1</v>
      </c>
      <c r="AP59" s="97">
        <f ca="1">IFERROR(__xludf.DUMMYFUNCTION("IMPORTRANGE(""https://docs.google.com/spreadsheets/d/18hSgUJ3VwClqi_qtULmmW3cLr0oe3OKaSYoKzdpTsYQ/edit?usp=sharing"",""นครนายก!J209"")"),0)</f>
        <v>0</v>
      </c>
      <c r="AQ59" s="98">
        <f t="shared" ca="1" si="102"/>
        <v>0</v>
      </c>
      <c r="AR59" s="97">
        <f ca="1">IFERROR(__xludf.DUMMYFUNCTION("IMPORTRANGE(""https://docs.google.com/spreadsheets/d/18hSgUJ3VwClqi_qtULmmW3cLr0oe3OKaSYoKzdpTsYQ/edit?usp=sharing"",""นครนายก!J211"")"),0)</f>
        <v>0</v>
      </c>
      <c r="AS59" s="97">
        <f ca="1">IFERROR(__xludf.DUMMYFUNCTION("IMPORTRANGE(""https://docs.google.com/spreadsheets/d/18hSgUJ3VwClqi_qtULmmW3cLr0oe3OKaSYoKzdpTsYQ/edit?usp=sharing"",""นครนายก!J212"")"),0)</f>
        <v>0</v>
      </c>
      <c r="AT59" s="97">
        <f ca="1">IFERROR(__xludf.DUMMYFUNCTION("IMPORTRANGE(""https://docs.google.com/spreadsheets/d/18hSgUJ3VwClqi_qtULmmW3cLr0oe3OKaSYoKzdpTsYQ/edit?usp=sharing"",""นครนายก!L215"")"),0)</f>
        <v>0</v>
      </c>
      <c r="AU59" s="97">
        <f ca="1">IFERROR(__xludf.DUMMYFUNCTION("IMPORTRANGE(""https://docs.google.com/spreadsheets/d/18hSgUJ3VwClqi_qtULmmW3cLr0oe3OKaSYoKzdpTsYQ/edit?usp=sharing"",""นครนายก!N215"")"),0)</f>
        <v>0</v>
      </c>
      <c r="AV59" s="98">
        <f t="shared" ca="1" si="104"/>
        <v>0</v>
      </c>
      <c r="AW59" s="97">
        <f ca="1">IFERROR(__xludf.DUMMYFUNCTION("IMPORTRANGE(""https://docs.google.com/spreadsheets/d/18hSgUJ3VwClqi_qtULmmW3cLr0oe3OKaSYoKzdpTsYQ/edit?usp=sharing"",""นครนายก!L216"")"),0)</f>
        <v>0</v>
      </c>
      <c r="AX59" s="97">
        <f ca="1">IFERROR(__xludf.DUMMYFUNCTION("IMPORTRANGE(""https://docs.google.com/spreadsheets/d/18hSgUJ3VwClqi_qtULmmW3cLr0oe3OKaSYoKzdpTsYQ/edit?usp=sharing"",""นครนายก!N216"")"),0)</f>
        <v>0</v>
      </c>
      <c r="AY59" s="98">
        <f t="shared" ca="1" si="106"/>
        <v>0</v>
      </c>
      <c r="AZ59" s="97">
        <f ca="1">IFERROR(__xludf.DUMMYFUNCTION("IMPORTRANGE(""https://docs.google.com/spreadsheets/d/18hSgUJ3VwClqi_qtULmmW3cLr0oe3OKaSYoKzdpTsYQ/edit?usp=sharing"",""นครนายก!L217"")"),0)</f>
        <v>0</v>
      </c>
      <c r="BA59" s="97">
        <f ca="1">IFERROR(__xludf.DUMMYFUNCTION("IMPORTRANGE(""https://docs.google.com/spreadsheets/d/18hSgUJ3VwClqi_qtULmmW3cLr0oe3OKaSYoKzdpTsYQ/edit?usp=sharing"",""นครนายก!N217"")"),0)</f>
        <v>0</v>
      </c>
      <c r="BB59" s="98">
        <f t="shared" ca="1" si="108"/>
        <v>0</v>
      </c>
      <c r="BC59" s="97">
        <f ca="1">IFERROR(__xludf.DUMMYFUNCTION("IMPORTRANGE(""https://docs.google.com/spreadsheets/d/18hSgUJ3VwClqi_qtULmmW3cLr0oe3OKaSYoKzdpTsYQ/edit?usp=sharing"",""นครนายก!I219"")"),0)</f>
        <v>0</v>
      </c>
      <c r="BD59" s="97">
        <f ca="1">IFERROR(__xludf.DUMMYFUNCTION("IMPORTRANGE(""https://docs.google.com/spreadsheets/d/18hSgUJ3VwClqi_qtULmmW3cLr0oe3OKaSYoKzdpTsYQ/edit?usp=sharing"",""นครนายก!J219"")"),0)</f>
        <v>0</v>
      </c>
      <c r="BE59" s="98">
        <f t="shared" ca="1" si="110"/>
        <v>0</v>
      </c>
      <c r="BF59" s="97">
        <f ca="1">IFERROR(__xludf.DUMMYFUNCTION("IMPORTRANGE(""https://docs.google.com/spreadsheets/d/18hSgUJ3VwClqi_qtULmmW3cLr0oe3OKaSYoKzdpTsYQ/edit?usp=sharing"",""นครนายก!I220"")"),0)</f>
        <v>0</v>
      </c>
      <c r="BG59" s="97">
        <f ca="1">IFERROR(__xludf.DUMMYFUNCTION("IMPORTRANGE(""https://docs.google.com/spreadsheets/d/18hSgUJ3VwClqi_qtULmmW3cLr0oe3OKaSYoKzdpTsYQ/edit?usp=sharing"",""นครนายก!J220"")"),0)</f>
        <v>0</v>
      </c>
      <c r="BH59" s="98">
        <f t="shared" ca="1" si="112"/>
        <v>0</v>
      </c>
      <c r="BI59" s="97">
        <f ca="1">IFERROR(__xludf.DUMMYFUNCTION("IMPORTRANGE(""https://docs.google.com/spreadsheets/d/18hSgUJ3VwClqi_qtULmmW3cLr0oe3OKaSYoKzdpTsYQ/edit?usp=sharing"",""นครนายก!L223"")"),5000)</f>
        <v>5000</v>
      </c>
      <c r="BJ59" s="97">
        <f ca="1">IFERROR(__xludf.DUMMYFUNCTION("IMPORTRANGE(""https://docs.google.com/spreadsheets/d/18hSgUJ3VwClqi_qtULmmW3cLr0oe3OKaSYoKzdpTsYQ/edit?usp=sharing"",""นครนายก!N223"")"),0)</f>
        <v>0</v>
      </c>
      <c r="BK59" s="98">
        <f t="shared" ca="1" si="114"/>
        <v>0</v>
      </c>
      <c r="BL59" s="97">
        <f ca="1">IFERROR(__xludf.DUMMYFUNCTION("IMPORTRANGE(""https://docs.google.com/spreadsheets/d/18hSgUJ3VwClqi_qtULmmW3cLr0oe3OKaSYoKzdpTsYQ/edit?usp=sharing"",""นครนายก!L224"")"),1500)</f>
        <v>1500</v>
      </c>
      <c r="BM59" s="97">
        <f ca="1">IFERROR(__xludf.DUMMYFUNCTION("IMPORTRANGE(""https://docs.google.com/spreadsheets/d/18hSgUJ3VwClqi_qtULmmW3cLr0oe3OKaSYoKzdpTsYQ/edit?usp=sharing"",""นครนายก!N224"")"),0)</f>
        <v>0</v>
      </c>
      <c r="BN59" s="98">
        <f t="shared" ca="1" si="116"/>
        <v>0</v>
      </c>
      <c r="BO59" s="97">
        <f ca="1">IFERROR(__xludf.DUMMYFUNCTION("IMPORTRANGE(""https://docs.google.com/spreadsheets/d/18hSgUJ3VwClqi_qtULmmW3cLr0oe3OKaSYoKzdpTsYQ/edit?usp=sharing"",""นครนายก!I228"")"),30000)</f>
        <v>30000</v>
      </c>
      <c r="BP59" s="97">
        <f ca="1">IFERROR(__xludf.DUMMYFUNCTION("IMPORTRANGE(""https://docs.google.com/spreadsheets/d/18hSgUJ3VwClqi_qtULmmW3cLr0oe3OKaSYoKzdpTsYQ/edit?usp=sharing"",""นครนายก!J228"")"),0)</f>
        <v>0</v>
      </c>
      <c r="BQ59" s="98">
        <f t="shared" ca="1" si="118"/>
        <v>0</v>
      </c>
      <c r="BR59" s="97">
        <f ca="1">IFERROR(__xludf.DUMMYFUNCTION("IMPORTRANGE(""https://docs.google.com/spreadsheets/d/18hSgUJ3VwClqi_qtULmmW3cLr0oe3OKaSYoKzdpTsYQ/edit?usp=sharing"",""นครนายก!I229"")"),30000)</f>
        <v>30000</v>
      </c>
      <c r="BS59" s="97">
        <f ca="1">IFERROR(__xludf.DUMMYFUNCTION("IMPORTRANGE(""https://docs.google.com/spreadsheets/d/18hSgUJ3VwClqi_qtULmmW3cLr0oe3OKaSYoKzdpTsYQ/edit?usp=sharing"",""นครนายก!J229"")"),0)</f>
        <v>0</v>
      </c>
      <c r="BT59" s="98">
        <f t="shared" ca="1" si="120"/>
        <v>0</v>
      </c>
      <c r="BU59" s="97">
        <f ca="1">IFERROR(__xludf.DUMMYFUNCTION("IMPORTRANGE(""https://docs.google.com/spreadsheets/d/18hSgUJ3VwClqi_qtULmmW3cLr0oe3OKaSYoKzdpTsYQ/edit?usp=sharing"",""นครนายก!I230"")"),0)</f>
        <v>0</v>
      </c>
      <c r="BV59" s="97">
        <f ca="1">IFERROR(__xludf.DUMMYFUNCTION("IMPORTRANGE(""https://docs.google.com/spreadsheets/d/18hSgUJ3VwClqi_qtULmmW3cLr0oe3OKaSYoKzdpTsYQ/edit?usp=sharing"",""นครนายก!J230"")"),0)</f>
        <v>0</v>
      </c>
      <c r="BW59" s="98">
        <f t="shared" ca="1" si="122"/>
        <v>0</v>
      </c>
      <c r="BX59" s="97">
        <f ca="1">IFERROR(__xludf.DUMMYFUNCTION("IMPORTRANGE(""https://docs.google.com/spreadsheets/d/18hSgUJ3VwClqi_qtULmmW3cLr0oe3OKaSYoKzdpTsYQ/edit?usp=sharing"",""นครนายก!L233"")"),8000)</f>
        <v>8000</v>
      </c>
      <c r="BY59" s="97">
        <f ca="1">IFERROR(__xludf.DUMMYFUNCTION("IMPORTRANGE(""https://docs.google.com/spreadsheets/d/18hSgUJ3VwClqi_qtULmmW3cLr0oe3OKaSYoKzdpTsYQ/edit?usp=sharing"",""นครนายก!N233"")"),0)</f>
        <v>0</v>
      </c>
      <c r="BZ59" s="98">
        <f t="shared" ca="1" si="124"/>
        <v>0</v>
      </c>
      <c r="CA59" s="97">
        <f ca="1">IFERROR(__xludf.DUMMYFUNCTION("IMPORTRANGE(""https://docs.google.com/spreadsheets/d/18hSgUJ3VwClqi_qtULmmW3cLr0oe3OKaSYoKzdpTsYQ/edit?usp=sharing"",""นครนายก!L234"")"),2000)</f>
        <v>2000</v>
      </c>
      <c r="CB59" s="97">
        <f ca="1">IFERROR(__xludf.DUMMYFUNCTION("IMPORTRANGE(""https://docs.google.com/spreadsheets/d/18hSgUJ3VwClqi_qtULmmW3cLr0oe3OKaSYoKzdpTsYQ/edit?usp=sharing"",""นครนายก!N234"")"),0)</f>
        <v>0</v>
      </c>
      <c r="CC59" s="98">
        <f t="shared" ca="1" si="126"/>
        <v>0</v>
      </c>
      <c r="CD59" s="97">
        <f ca="1">IFERROR(__xludf.DUMMYFUNCTION("IMPORTRANGE(""https://docs.google.com/spreadsheets/d/18hSgUJ3VwClqi_qtULmmW3cLr0oe3OKaSYoKzdpTsYQ/edit?usp=sharing"",""นครนายก!L235"")"),12600)</f>
        <v>12600</v>
      </c>
      <c r="CE59" s="97">
        <f ca="1">IFERROR(__xludf.DUMMYFUNCTION("IMPORTRANGE(""https://docs.google.com/spreadsheets/d/18hSgUJ3VwClqi_qtULmmW3cLr0oe3OKaSYoKzdpTsYQ/edit?usp=sharing"",""นครนายก!N235"")"),0)</f>
        <v>0</v>
      </c>
      <c r="CF59" s="98">
        <f t="shared" ca="1" si="128"/>
        <v>0</v>
      </c>
      <c r="CG59" s="97">
        <f ca="1">IFERROR(__xludf.DUMMYFUNCTION("IMPORTRANGE(""https://docs.google.com/spreadsheets/d/18hSgUJ3VwClqi_qtULmmW3cLr0oe3OKaSYoKzdpTsYQ/edit?usp=sharing"",""นครนายก!L236"")"),19000)</f>
        <v>19000</v>
      </c>
      <c r="CH59" s="97">
        <f ca="1">IFERROR(__xludf.DUMMYFUNCTION("IMPORTRANGE(""https://docs.google.com/spreadsheets/d/18hSgUJ3VwClqi_qtULmmW3cLr0oe3OKaSYoKzdpTsYQ/edit?usp=sharing"",""นครนายก!N236"")"),0)</f>
        <v>0</v>
      </c>
      <c r="CI59" s="98">
        <f t="shared" ca="1" si="130"/>
        <v>0</v>
      </c>
      <c r="CJ59" s="97">
        <f ca="1">IFERROR(__xludf.DUMMYFUNCTION("IMPORTRANGE(""https://docs.google.com/spreadsheets/d/18hSgUJ3VwClqi_qtULmmW3cLr0oe3OKaSYoKzdpTsYQ/edit?usp=sharing"",""นครนายก!I238"")"),20)</f>
        <v>20</v>
      </c>
      <c r="CK59" s="97">
        <f ca="1">IFERROR(__xludf.DUMMYFUNCTION("IMPORTRANGE(""https://docs.google.com/spreadsheets/d/18hSgUJ3VwClqi_qtULmmW3cLr0oe3OKaSYoKzdpTsYQ/edit?usp=sharing"",""นครนายก!J238"")"),0)</f>
        <v>0</v>
      </c>
      <c r="CL59" s="98">
        <f t="shared" ca="1" si="132"/>
        <v>0</v>
      </c>
      <c r="CM59" s="97">
        <f ca="1">IFERROR(__xludf.DUMMYFUNCTION("IMPORTRANGE(""https://docs.google.com/spreadsheets/d/18hSgUJ3VwClqi_qtULmmW3cLr0oe3OKaSYoKzdpTsYQ/edit?usp=sharing"",""นครนายก!J240"")"),0)</f>
        <v>0</v>
      </c>
      <c r="CN59" s="97">
        <f ca="1">IFERROR(__xludf.DUMMYFUNCTION("IMPORTRANGE(""https://docs.google.com/spreadsheets/d/18hSgUJ3VwClqi_qtULmmW3cLr0oe3OKaSYoKzdpTsYQ/edit?usp=sharing"",""นครนายก!J241"")"),0)</f>
        <v>0</v>
      </c>
    </row>
    <row r="60" spans="1:92" ht="21" customHeight="1" x14ac:dyDescent="0.3">
      <c r="A60" s="89">
        <v>8</v>
      </c>
      <c r="B60" s="90" t="s">
        <v>86</v>
      </c>
      <c r="C60" s="174">
        <f t="shared" ca="1" si="80"/>
        <v>226700</v>
      </c>
      <c r="D60" s="175">
        <f t="shared" ca="1" si="184"/>
        <v>226700</v>
      </c>
      <c r="E60" s="176">
        <f ca="1">IFERROR(__xludf.DUMMYFUNCTION("IMPORTRANGE(""https://docs.google.com/spreadsheets/d/1-uDff_7J0KD5mKrp0Vvzr7lt3OU09vwQwhkpOPPYv2Y/edit?usp=sharing"",""งบพรบ!CV60"")"),169700)</f>
        <v>169700</v>
      </c>
      <c r="F60" s="176">
        <f ca="1">IFERROR(__xludf.DUMMYFUNCTION("IMPORTRANGE(""https://docs.google.com/spreadsheets/d/1-uDff_7J0KD5mKrp0Vvzr7lt3OU09vwQwhkpOPPYv2Y/edit?usp=sharing"",""งบพรบ!CW60"")"),57000)</f>
        <v>57000</v>
      </c>
      <c r="G60" s="176">
        <f ca="1">IFERROR(__xludf.DUMMYFUNCTION("IMPORTRANGE(""https://docs.google.com/spreadsheets/d/1-uDff_7J0KD5mKrp0Vvzr7lt3OU09vwQwhkpOPPYv2Y/edit?usp=sharing"",""งบพรบ!CX60"")"),0)</f>
        <v>0</v>
      </c>
      <c r="H60" s="176">
        <f ca="1">IFERROR(__xludf.DUMMYFUNCTION("IMPORTRANGE(""https://docs.google.com/spreadsheets/d/1-uDff_7J0KD5mKrp0Vvzr7lt3OU09vwQwhkpOPPYv2Y/edit?usp=sharing"",""งบพรบ!CZ60"")"),228220)</f>
        <v>228220</v>
      </c>
      <c r="I60" s="176">
        <f ca="1">IFERROR(__xludf.DUMMYFUNCTION("IMPORTRANGE(""https://docs.google.com/spreadsheets/d/1-uDff_7J0KD5mKrp0Vvzr7lt3OU09vwQwhkpOPPYv2Y/edit?usp=sharing"",""งบพรบ!DA60"")"),0)</f>
        <v>0</v>
      </c>
      <c r="J60" s="176">
        <f t="shared" ca="1" si="82"/>
        <v>24430</v>
      </c>
      <c r="K60" s="179">
        <f t="shared" ca="1" si="83"/>
        <v>10.776356418173798</v>
      </c>
      <c r="L60" s="176">
        <f ca="1">IFERROR(__xludf.DUMMYFUNCTION("IMPORTRANGE(""https://docs.google.com/spreadsheets/d/1-uDff_7J0KD5mKrp0Vvzr7lt3OU09vwQwhkpOPPYv2Y/edit?usp=sharing"",""งบพรบ!DB60"")"),24430)</f>
        <v>24430</v>
      </c>
      <c r="M60" s="87">
        <f t="shared" ca="1" si="84"/>
        <v>10.776356418173798</v>
      </c>
      <c r="N60" s="87">
        <f t="shared" ca="1" si="85"/>
        <v>10.704583296818859</v>
      </c>
      <c r="O60" s="86">
        <f ca="1">IFERROR(__xludf.DUMMYFUNCTION("IMPORTRANGE(""https://docs.google.com/spreadsheets/d/1-uDff_7J0KD5mKrp0Vvzr7lt3OU09vwQwhkpOPPYv2Y/edit?usp=sharing"",""งบพรบ!DC60"")"),0)</f>
        <v>0</v>
      </c>
      <c r="P60" s="86">
        <f t="shared" ca="1" si="86"/>
        <v>0</v>
      </c>
      <c r="Q60" s="87">
        <f t="shared" ca="1" si="87"/>
        <v>0</v>
      </c>
      <c r="R60" s="241">
        <f ca="1">IFERROR(__xludf.DUMMYFUNCTION("IMPORTRANGE(""https://docs.google.com/spreadsheets/d/1YTZo6WM2dQ6Ix6FSdnL5P7uVnVKu40sxZu975tgG10E/edit?usp=sharing"",""นครปฐม!Q186"")"),0)</f>
        <v>0</v>
      </c>
      <c r="S60" s="242">
        <f ca="1">IFERROR(__xludf.DUMMYFUNCTION("IMPORTRANGE(""https://docs.google.com/spreadsheets/d/1YTZo6WM2dQ6Ix6FSdnL5P7uVnVKu40sxZu975tgG10E/edit?usp=sharing"",""นครปฐม!R186"")"),0)</f>
        <v>0</v>
      </c>
      <c r="T60" s="242">
        <f ca="1">IFERROR(__xludf.DUMMYFUNCTION("IMPORTRANGE(""https://docs.google.com/spreadsheets/d/1YTZo6WM2dQ6Ix6FSdnL5P7uVnVKu40sxZu975tgG10E/edit?usp=sharing"",""นครปฐม!S186"")"),0)</f>
        <v>0</v>
      </c>
      <c r="U60" s="243">
        <f t="shared" ca="1" si="89"/>
        <v>0</v>
      </c>
      <c r="V60" s="243">
        <f t="shared" ca="1" si="90"/>
        <v>0</v>
      </c>
      <c r="W60" s="97">
        <f ca="1">IFERROR(__xludf.DUMMYFUNCTION("IMPORTRANGE(""https://docs.google.com/spreadsheets/d/1YTZo6WM2dQ6Ix6FSdnL5P7uVnVKu40sxZu975tgG10E/edit?usp=sharing"",""นครปฐม!L196"")"),6000)</f>
        <v>6000</v>
      </c>
      <c r="X60" s="97">
        <f ca="1">IFERROR(__xludf.DUMMYFUNCTION("IMPORTRANGE(""https://docs.google.com/spreadsheets/d/1YTZo6WM2dQ6Ix6FSdnL5P7uVnVKu40sxZu975tgG10E/edit?usp=sharing"",""นครปฐม!N196"")"),0)</f>
        <v>0</v>
      </c>
      <c r="Y60" s="98">
        <f t="shared" ca="1" si="92"/>
        <v>0</v>
      </c>
      <c r="Z60" s="97">
        <f ca="1">IFERROR(__xludf.DUMMYFUNCTION("IMPORTRANGE(""https://docs.google.com/spreadsheets/d/1YTZo6WM2dQ6Ix6FSdnL5P7uVnVKu40sxZu975tgG10E/edit?usp=sharing"",""นครปฐม!I198"")"),4)</f>
        <v>4</v>
      </c>
      <c r="AA60" s="97">
        <f ca="1">IFERROR(__xludf.DUMMYFUNCTION("IMPORTRANGE(""https://docs.google.com/spreadsheets/d/1YTZo6WM2dQ6Ix6FSdnL5P7uVnVKu40sxZu975tgG10E/edit?usp=sharing"",""นครปฐม!J198"")"),1)</f>
        <v>1</v>
      </c>
      <c r="AB60" s="98">
        <f t="shared" ca="1" si="94"/>
        <v>25</v>
      </c>
      <c r="AC60" s="97">
        <f ca="1">IFERROR(__xludf.DUMMYFUNCTION("IMPORTRANGE(""https://docs.google.com/spreadsheets/d/1YTZo6WM2dQ6Ix6FSdnL5P7uVnVKu40sxZu975tgG10E/edit?usp=sharing"",""นครปฐม!J199"")"),0)</f>
        <v>0</v>
      </c>
      <c r="AD60" s="97">
        <f ca="1">IFERROR(__xludf.DUMMYFUNCTION("IMPORTRANGE(""https://docs.google.com/spreadsheets/d/1YTZo6WM2dQ6Ix6FSdnL5P7uVnVKu40sxZu975tgG10E/edit?usp=sharing"",""นครปฐม!J200"")"),0)</f>
        <v>0</v>
      </c>
      <c r="AE60" s="97">
        <f ca="1">IFERROR(__xludf.DUMMYFUNCTION("IMPORTRANGE(""https://docs.google.com/spreadsheets/d/1YTZo6WM2dQ6Ix6FSdnL5P7uVnVKu40sxZu975tgG10E/edit?usp=sharing"",""นครปฐม!J201"")"),0)</f>
        <v>0</v>
      </c>
      <c r="AF60" s="97">
        <f ca="1">IFERROR(__xludf.DUMMYFUNCTION("IMPORTRANGE(""https://docs.google.com/spreadsheets/d/1YTZo6WM2dQ6Ix6FSdnL5P7uVnVKu40sxZu975tgG10E/edit?usp=sharing"",""นครปฐม!L204"")"),0)</f>
        <v>0</v>
      </c>
      <c r="AG60" s="97">
        <f ca="1">IFERROR(__xludf.DUMMYFUNCTION("IMPORTRANGE(""https://docs.google.com/spreadsheets/d/1YTZo6WM2dQ6Ix6FSdnL5P7uVnVKu40sxZu975tgG10E/edit?usp=sharing"",""นครปฐม!N204"")"),0)</f>
        <v>0</v>
      </c>
      <c r="AH60" s="98">
        <f t="shared" ca="1" si="96"/>
        <v>0</v>
      </c>
      <c r="AI60" s="97">
        <f ca="1">IFERROR(__xludf.DUMMYFUNCTION("IMPORTRANGE(""https://docs.google.com/spreadsheets/d/1YTZo6WM2dQ6Ix6FSdnL5P7uVnVKu40sxZu975tgG10E/edit?usp=sharing"",""นครปฐม!L206"")"),0)</f>
        <v>0</v>
      </c>
      <c r="AJ60" s="97">
        <f ca="1">IFERROR(__xludf.DUMMYFUNCTION("IMPORTRANGE(""https://docs.google.com/spreadsheets/d/1YTZo6WM2dQ6Ix6FSdnL5P7uVnVKu40sxZu975tgG10E/edit?usp=sharing"",""นครปฐม!N206"")"),0)</f>
        <v>0</v>
      </c>
      <c r="AK60" s="98">
        <f t="shared" ca="1" si="98"/>
        <v>0</v>
      </c>
      <c r="AL60" s="97">
        <f ca="1">IFERROR(__xludf.DUMMYFUNCTION("IMPORTRANGE(""https://docs.google.com/spreadsheets/d/1YTZo6WM2dQ6Ix6FSdnL5P7uVnVKu40sxZu975tgG10E/edit?usp=sharing"",""นครปฐม!L207"")"),0)</f>
        <v>0</v>
      </c>
      <c r="AM60" s="97">
        <f ca="1">IFERROR(__xludf.DUMMYFUNCTION("IMPORTRANGE(""https://docs.google.com/spreadsheets/d/1YTZo6WM2dQ6Ix6FSdnL5P7uVnVKu40sxZu975tgG10E/edit?usp=sharing"",""นครปฐม!N207"")"),0)</f>
        <v>0</v>
      </c>
      <c r="AN60" s="98">
        <f t="shared" ca="1" si="100"/>
        <v>0</v>
      </c>
      <c r="AO60" s="97">
        <f ca="1">IFERROR(__xludf.DUMMYFUNCTION("IMPORTRANGE(""https://docs.google.com/spreadsheets/d/1YTZo6WM2dQ6Ix6FSdnL5P7uVnVKu40sxZu975tgG10E/edit?usp=sharing"",""นครปฐม!I209"")"),0)</f>
        <v>0</v>
      </c>
      <c r="AP60" s="97">
        <f ca="1">IFERROR(__xludf.DUMMYFUNCTION("IMPORTRANGE(""https://docs.google.com/spreadsheets/d/1YTZo6WM2dQ6Ix6FSdnL5P7uVnVKu40sxZu975tgG10E/edit?usp=sharing"",""นครปฐม!J209"")"),0)</f>
        <v>0</v>
      </c>
      <c r="AQ60" s="98">
        <f t="shared" ca="1" si="102"/>
        <v>0</v>
      </c>
      <c r="AR60" s="97">
        <f ca="1">IFERROR(__xludf.DUMMYFUNCTION("IMPORTRANGE(""https://docs.google.com/spreadsheets/d/1YTZo6WM2dQ6Ix6FSdnL5P7uVnVKu40sxZu975tgG10E/edit?usp=sharing"",""นครปฐม!J211"")"),0)</f>
        <v>0</v>
      </c>
      <c r="AS60" s="97">
        <f ca="1">IFERROR(__xludf.DUMMYFUNCTION("IMPORTRANGE(""https://docs.google.com/spreadsheets/d/1YTZo6WM2dQ6Ix6FSdnL5P7uVnVKu40sxZu975tgG10E/edit?usp=sharing"",""นครปฐม!J212"")"),0)</f>
        <v>0</v>
      </c>
      <c r="AT60" s="97">
        <f ca="1">IFERROR(__xludf.DUMMYFUNCTION("IMPORTRANGE(""https://docs.google.com/spreadsheets/d/1YTZo6WM2dQ6Ix6FSdnL5P7uVnVKu40sxZu975tgG10E/edit?usp=sharing"",""นครปฐม!L215"")"),0)</f>
        <v>0</v>
      </c>
      <c r="AU60" s="97">
        <f ca="1">IFERROR(__xludf.DUMMYFUNCTION("IMPORTRANGE(""https://docs.google.com/spreadsheets/d/1YTZo6WM2dQ6Ix6FSdnL5P7uVnVKu40sxZu975tgG10E/edit?usp=sharing"",""นครปฐม!N215"")"),0)</f>
        <v>0</v>
      </c>
      <c r="AV60" s="98">
        <f t="shared" ca="1" si="104"/>
        <v>0</v>
      </c>
      <c r="AW60" s="97">
        <f ca="1">IFERROR(__xludf.DUMMYFUNCTION("IMPORTRANGE(""https://docs.google.com/spreadsheets/d/1YTZo6WM2dQ6Ix6FSdnL5P7uVnVKu40sxZu975tgG10E/edit?usp=sharing"",""นครปฐม!L216"")"),0)</f>
        <v>0</v>
      </c>
      <c r="AX60" s="97">
        <f ca="1">IFERROR(__xludf.DUMMYFUNCTION("IMPORTRANGE(""https://docs.google.com/spreadsheets/d/1YTZo6WM2dQ6Ix6FSdnL5P7uVnVKu40sxZu975tgG10E/edit?usp=sharing"",""นครปฐม!N216"")"),0)</f>
        <v>0</v>
      </c>
      <c r="AY60" s="98">
        <f t="shared" ca="1" si="106"/>
        <v>0</v>
      </c>
      <c r="AZ60" s="97">
        <f ca="1">IFERROR(__xludf.DUMMYFUNCTION("IMPORTRANGE(""https://docs.google.com/spreadsheets/d/1YTZo6WM2dQ6Ix6FSdnL5P7uVnVKu40sxZu975tgG10E/edit?usp=sharing"",""นครปฐม!L217"")"),0)</f>
        <v>0</v>
      </c>
      <c r="BA60" s="97">
        <f ca="1">IFERROR(__xludf.DUMMYFUNCTION("IMPORTRANGE(""https://docs.google.com/spreadsheets/d/1YTZo6WM2dQ6Ix6FSdnL5P7uVnVKu40sxZu975tgG10E/edit?usp=sharing"",""นครปฐม!N217"")"),0)</f>
        <v>0</v>
      </c>
      <c r="BB60" s="98">
        <f t="shared" ca="1" si="108"/>
        <v>0</v>
      </c>
      <c r="BC60" s="97">
        <f ca="1">IFERROR(__xludf.DUMMYFUNCTION("IMPORTRANGE(""https://docs.google.com/spreadsheets/d/1YTZo6WM2dQ6Ix6FSdnL5P7uVnVKu40sxZu975tgG10E/edit?usp=sharing"",""นครปฐม!I219"")"),0)</f>
        <v>0</v>
      </c>
      <c r="BD60" s="97">
        <f ca="1">IFERROR(__xludf.DUMMYFUNCTION("IMPORTRANGE(""https://docs.google.com/spreadsheets/d/1YTZo6WM2dQ6Ix6FSdnL5P7uVnVKu40sxZu975tgG10E/edit?usp=sharing"",""นครปฐม!J219"")"),0)</f>
        <v>0</v>
      </c>
      <c r="BE60" s="98">
        <f t="shared" ca="1" si="110"/>
        <v>0</v>
      </c>
      <c r="BF60" s="97">
        <f ca="1">IFERROR(__xludf.DUMMYFUNCTION("IMPORTRANGE(""https://docs.google.com/spreadsheets/d/1YTZo6WM2dQ6Ix6FSdnL5P7uVnVKu40sxZu975tgG10E/edit?usp=sharing"",""นครปฐม!I220"")"),0)</f>
        <v>0</v>
      </c>
      <c r="BG60" s="97">
        <f ca="1">IFERROR(__xludf.DUMMYFUNCTION("IMPORTRANGE(""https://docs.google.com/spreadsheets/d/1YTZo6WM2dQ6Ix6FSdnL5P7uVnVKu40sxZu975tgG10E/edit?usp=sharing"",""นครปฐม!J220"")"),0)</f>
        <v>0</v>
      </c>
      <c r="BH60" s="98">
        <f t="shared" ca="1" si="112"/>
        <v>0</v>
      </c>
      <c r="BI60" s="97">
        <f ca="1">IFERROR(__xludf.DUMMYFUNCTION("IMPORTRANGE(""https://docs.google.com/spreadsheets/d/1YTZo6WM2dQ6Ix6FSdnL5P7uVnVKu40sxZu975tgG10E/edit?usp=sharing"",""นครปฐม!L223"")"),3000)</f>
        <v>3000</v>
      </c>
      <c r="BJ60" s="97">
        <f ca="1">IFERROR(__xludf.DUMMYFUNCTION("IMPORTRANGE(""https://docs.google.com/spreadsheets/d/1YTZo6WM2dQ6Ix6FSdnL5P7uVnVKu40sxZu975tgG10E/edit?usp=sharing"",""นครปฐม!N223"")"),0)</f>
        <v>0</v>
      </c>
      <c r="BK60" s="98">
        <f t="shared" ca="1" si="114"/>
        <v>0</v>
      </c>
      <c r="BL60" s="97">
        <f ca="1">IFERROR(__xludf.DUMMYFUNCTION("IMPORTRANGE(""https://docs.google.com/spreadsheets/d/1YTZo6WM2dQ6Ix6FSdnL5P7uVnVKu40sxZu975tgG10E/edit?usp=sharing"",""นครปฐม!L224"")"),1500)</f>
        <v>1500</v>
      </c>
      <c r="BM60" s="97">
        <f ca="1">IFERROR(__xludf.DUMMYFUNCTION("IMPORTRANGE(""https://docs.google.com/spreadsheets/d/1YTZo6WM2dQ6Ix6FSdnL5P7uVnVKu40sxZu975tgG10E/edit?usp=sharing"",""นครปฐม!N224"")"),0)</f>
        <v>0</v>
      </c>
      <c r="BN60" s="98">
        <f t="shared" ca="1" si="116"/>
        <v>0</v>
      </c>
      <c r="BO60" s="97">
        <f ca="1">IFERROR(__xludf.DUMMYFUNCTION("IMPORTRANGE(""https://docs.google.com/spreadsheets/d/1YTZo6WM2dQ6Ix6FSdnL5P7uVnVKu40sxZu975tgG10E/edit?usp=sharing"",""นครปฐม!I228"")"),5000)</f>
        <v>5000</v>
      </c>
      <c r="BP60" s="97">
        <f ca="1">IFERROR(__xludf.DUMMYFUNCTION("IMPORTRANGE(""https://docs.google.com/spreadsheets/d/1YTZo6WM2dQ6Ix6FSdnL5P7uVnVKu40sxZu975tgG10E/edit?usp=sharing"",""นครปฐม!J228"")"),0)</f>
        <v>0</v>
      </c>
      <c r="BQ60" s="98">
        <f t="shared" ca="1" si="118"/>
        <v>0</v>
      </c>
      <c r="BR60" s="97">
        <f ca="1">IFERROR(__xludf.DUMMYFUNCTION("IMPORTRANGE(""https://docs.google.com/spreadsheets/d/1YTZo6WM2dQ6Ix6FSdnL5P7uVnVKu40sxZu975tgG10E/edit?usp=sharing"",""นครปฐม!I229"")"),5000)</f>
        <v>5000</v>
      </c>
      <c r="BS60" s="97">
        <f ca="1">IFERROR(__xludf.DUMMYFUNCTION("IMPORTRANGE(""https://docs.google.com/spreadsheets/d/1YTZo6WM2dQ6Ix6FSdnL5P7uVnVKu40sxZu975tgG10E/edit?usp=sharing"",""นครปฐม!J229"")"),0)</f>
        <v>0</v>
      </c>
      <c r="BT60" s="98">
        <f t="shared" ca="1" si="120"/>
        <v>0</v>
      </c>
      <c r="BU60" s="97">
        <f ca="1">IFERROR(__xludf.DUMMYFUNCTION("IMPORTRANGE(""https://docs.google.com/spreadsheets/d/1YTZo6WM2dQ6Ix6FSdnL5P7uVnVKu40sxZu975tgG10E/edit?usp=sharing"",""นครปฐม!I230"")"),0)</f>
        <v>0</v>
      </c>
      <c r="BV60" s="97">
        <f ca="1">IFERROR(__xludf.DUMMYFUNCTION("IMPORTRANGE(""https://docs.google.com/spreadsheets/d/1YTZo6WM2dQ6Ix6FSdnL5P7uVnVKu40sxZu975tgG10E/edit?usp=sharing"",""นครปฐม!J230"")"),0)</f>
        <v>0</v>
      </c>
      <c r="BW60" s="98">
        <f t="shared" ca="1" si="122"/>
        <v>0</v>
      </c>
      <c r="BX60" s="97">
        <f ca="1">IFERROR(__xludf.DUMMYFUNCTION("IMPORTRANGE(""https://docs.google.com/spreadsheets/d/1YTZo6WM2dQ6Ix6FSdnL5P7uVnVKu40sxZu975tgG10E/edit?usp=sharing"",""นครปฐม!L233"")"),8000)</f>
        <v>8000</v>
      </c>
      <c r="BY60" s="97">
        <f ca="1">IFERROR(__xludf.DUMMYFUNCTION("IMPORTRANGE(""https://docs.google.com/spreadsheets/d/1YTZo6WM2dQ6Ix6FSdnL5P7uVnVKu40sxZu975tgG10E/edit?usp=sharing"",""นครปฐม!N233"")"),0)</f>
        <v>0</v>
      </c>
      <c r="BZ60" s="98">
        <f t="shared" ca="1" si="124"/>
        <v>0</v>
      </c>
      <c r="CA60" s="97">
        <f ca="1">IFERROR(__xludf.DUMMYFUNCTION("IMPORTRANGE(""https://docs.google.com/spreadsheets/d/1YTZo6WM2dQ6Ix6FSdnL5P7uVnVKu40sxZu975tgG10E/edit?usp=sharing"",""นครปฐม!L234"")"),2000)</f>
        <v>2000</v>
      </c>
      <c r="CB60" s="97">
        <f ca="1">IFERROR(__xludf.DUMMYFUNCTION("IMPORTRANGE(""https://docs.google.com/spreadsheets/d/1YTZo6WM2dQ6Ix6FSdnL5P7uVnVKu40sxZu975tgG10E/edit?usp=sharing"",""นครปฐม!N234"")"),0)</f>
        <v>0</v>
      </c>
      <c r="CC60" s="98">
        <f t="shared" ca="1" si="126"/>
        <v>0</v>
      </c>
      <c r="CD60" s="97">
        <f ca="1">IFERROR(__xludf.DUMMYFUNCTION("IMPORTRANGE(""https://docs.google.com/spreadsheets/d/1YTZo6WM2dQ6Ix6FSdnL5P7uVnVKu40sxZu975tgG10E/edit?usp=sharing"",""นครปฐม!L235"")"),21000)</f>
        <v>21000</v>
      </c>
      <c r="CE60" s="97">
        <f ca="1">IFERROR(__xludf.DUMMYFUNCTION("IMPORTRANGE(""https://docs.google.com/spreadsheets/d/1YTZo6WM2dQ6Ix6FSdnL5P7uVnVKu40sxZu975tgG10E/edit?usp=sharing"",""นครปฐม!N235"")"),0)</f>
        <v>0</v>
      </c>
      <c r="CF60" s="98">
        <f t="shared" ca="1" si="128"/>
        <v>0</v>
      </c>
      <c r="CG60" s="97">
        <f ca="1">IFERROR(__xludf.DUMMYFUNCTION("IMPORTRANGE(""https://docs.google.com/spreadsheets/d/1YTZo6WM2dQ6Ix6FSdnL5P7uVnVKu40sxZu975tgG10E/edit?usp=sharing"",""นครปฐม!L236"")"),15500)</f>
        <v>15500</v>
      </c>
      <c r="CH60" s="97">
        <f ca="1">IFERROR(__xludf.DUMMYFUNCTION("IMPORTRANGE(""https://docs.google.com/spreadsheets/d/1YTZo6WM2dQ6Ix6FSdnL5P7uVnVKu40sxZu975tgG10E/edit?usp=sharing"",""นครปฐม!N236"")"),0)</f>
        <v>0</v>
      </c>
      <c r="CI60" s="98">
        <f t="shared" ca="1" si="130"/>
        <v>0</v>
      </c>
      <c r="CJ60" s="97">
        <f ca="1">IFERROR(__xludf.DUMMYFUNCTION("IMPORTRANGE(""https://docs.google.com/spreadsheets/d/1YTZo6WM2dQ6Ix6FSdnL5P7uVnVKu40sxZu975tgG10E/edit?usp=sharing"",""นครปฐม!I238"")"),15)</f>
        <v>15</v>
      </c>
      <c r="CK60" s="97">
        <f ca="1">IFERROR(__xludf.DUMMYFUNCTION("IMPORTRANGE(""https://docs.google.com/spreadsheets/d/1YTZo6WM2dQ6Ix6FSdnL5P7uVnVKu40sxZu975tgG10E/edit?usp=sharing"",""นครปฐม!J238"")"),0)</f>
        <v>0</v>
      </c>
      <c r="CL60" s="98">
        <f t="shared" ca="1" si="132"/>
        <v>0</v>
      </c>
      <c r="CM60" s="97">
        <f ca="1">IFERROR(__xludf.DUMMYFUNCTION("IMPORTRANGE(""https://docs.google.com/spreadsheets/d/1YTZo6WM2dQ6Ix6FSdnL5P7uVnVKu40sxZu975tgG10E/edit?usp=sharing"",""นครปฐม!J240"")"),0)</f>
        <v>0</v>
      </c>
      <c r="CN60" s="97">
        <f ca="1">IFERROR(__xludf.DUMMYFUNCTION("IMPORTRANGE(""https://docs.google.com/spreadsheets/d/1YTZo6WM2dQ6Ix6FSdnL5P7uVnVKu40sxZu975tgG10E/edit?usp=sharing"",""นครปฐม!J241"")"),0)</f>
        <v>0</v>
      </c>
    </row>
    <row r="61" spans="1:92" ht="21" customHeight="1" x14ac:dyDescent="0.3">
      <c r="A61" s="89">
        <v>9</v>
      </c>
      <c r="B61" s="90" t="s">
        <v>87</v>
      </c>
      <c r="C61" s="174">
        <f t="shared" ca="1" si="80"/>
        <v>391600</v>
      </c>
      <c r="D61" s="175">
        <f t="shared" ca="1" si="184"/>
        <v>391600</v>
      </c>
      <c r="E61" s="176">
        <f ca="1">IFERROR(__xludf.DUMMYFUNCTION("IMPORTRANGE(""https://docs.google.com/spreadsheets/d/1-uDff_7J0KD5mKrp0Vvzr7lt3OU09vwQwhkpOPPYv2Y/edit?usp=sharing"",""งบพรบ!CV61"")"),263200)</f>
        <v>263200</v>
      </c>
      <c r="F61" s="176">
        <f ca="1">IFERROR(__xludf.DUMMYFUNCTION("IMPORTRANGE(""https://docs.google.com/spreadsheets/d/1-uDff_7J0KD5mKrp0Vvzr7lt3OU09vwQwhkpOPPYv2Y/edit?usp=sharing"",""งบพรบ!CW61"")"),128400)</f>
        <v>128400</v>
      </c>
      <c r="G61" s="176">
        <f ca="1">IFERROR(__xludf.DUMMYFUNCTION("IMPORTRANGE(""https://docs.google.com/spreadsheets/d/1-uDff_7J0KD5mKrp0Vvzr7lt3OU09vwQwhkpOPPYv2Y/edit?usp=sharing"",""งบพรบ!CX61"")"),0)</f>
        <v>0</v>
      </c>
      <c r="H61" s="176">
        <f ca="1">IFERROR(__xludf.DUMMYFUNCTION("IMPORTRANGE(""https://docs.google.com/spreadsheets/d/1-uDff_7J0KD5mKrp0Vvzr7lt3OU09vwQwhkpOPPYv2Y/edit?usp=sharing"",""งบพรบ!CZ61"")"),393120)</f>
        <v>393120</v>
      </c>
      <c r="I61" s="176">
        <f ca="1">IFERROR(__xludf.DUMMYFUNCTION("IMPORTRANGE(""https://docs.google.com/spreadsheets/d/1-uDff_7J0KD5mKrp0Vvzr7lt3OU09vwQwhkpOPPYv2Y/edit?usp=sharing"",""งบพรบ!DA61"")"),0)</f>
        <v>0</v>
      </c>
      <c r="J61" s="176">
        <f t="shared" ca="1" si="82"/>
        <v>168414.52</v>
      </c>
      <c r="K61" s="179">
        <f t="shared" ca="1" si="83"/>
        <v>43.006772216547496</v>
      </c>
      <c r="L61" s="176">
        <f ca="1">IFERROR(__xludf.DUMMYFUNCTION("IMPORTRANGE(""https://docs.google.com/spreadsheets/d/1-uDff_7J0KD5mKrp0Vvzr7lt3OU09vwQwhkpOPPYv2Y/edit?usp=sharing"",""งบพรบ!DB61"")"),168414.52)</f>
        <v>168414.52</v>
      </c>
      <c r="M61" s="87">
        <f t="shared" ca="1" si="84"/>
        <v>43.006772216547496</v>
      </c>
      <c r="N61" s="87">
        <f t="shared" ca="1" si="85"/>
        <v>42.840486365486363</v>
      </c>
      <c r="O61" s="86">
        <f ca="1">IFERROR(__xludf.DUMMYFUNCTION("IMPORTRANGE(""https://docs.google.com/spreadsheets/d/1-uDff_7J0KD5mKrp0Vvzr7lt3OU09vwQwhkpOPPYv2Y/edit?usp=sharing"",""งบพรบ!DC61"")"),0)</f>
        <v>0</v>
      </c>
      <c r="P61" s="86">
        <f t="shared" ca="1" si="86"/>
        <v>0</v>
      </c>
      <c r="Q61" s="87">
        <f t="shared" ca="1" si="87"/>
        <v>0</v>
      </c>
      <c r="R61" s="241">
        <f ca="1">IFERROR(__xludf.DUMMYFUNCTION("IMPORTRANGE(""https://docs.google.com/spreadsheets/d/1OYoGg4WDg5RIzwGeB10padOxJF9E_Vljuvvct_M7RDo/edit?usp=sharing"",""ปทุมธานี!Q186"")"),6000)</f>
        <v>6000</v>
      </c>
      <c r="S61" s="242">
        <f ca="1">IFERROR(__xludf.DUMMYFUNCTION("IMPORTRANGE(""https://docs.google.com/spreadsheets/d/1OYoGg4WDg5RIzwGeB10padOxJF9E_Vljuvvct_M7RDo/edit?usp=sharing"",""ปทุมธานี!R186"")"),0)</f>
        <v>0</v>
      </c>
      <c r="T61" s="242">
        <f ca="1">IFERROR(__xludf.DUMMYFUNCTION("IMPORTRANGE(""https://docs.google.com/spreadsheets/d/1OYoGg4WDg5RIzwGeB10padOxJF9E_Vljuvvct_M7RDo/edit?usp=sharing"",""ปทุมธานี!S186"")"),0)</f>
        <v>0</v>
      </c>
      <c r="U61" s="243">
        <f t="shared" ca="1" si="89"/>
        <v>0</v>
      </c>
      <c r="V61" s="243">
        <f t="shared" ca="1" si="90"/>
        <v>0</v>
      </c>
      <c r="W61" s="97">
        <f ca="1">IFERROR(__xludf.DUMMYFUNCTION("IMPORTRANGE(""https://docs.google.com/spreadsheets/d/1OYoGg4WDg5RIzwGeB10padOxJF9E_Vljuvvct_M7RDo/edit?usp=sharing"",""ปทุมธานี!L196"")"),6000)</f>
        <v>6000</v>
      </c>
      <c r="X61" s="97">
        <f ca="1">IFERROR(__xludf.DUMMYFUNCTION("IMPORTRANGE(""https://docs.google.com/spreadsheets/d/1OYoGg4WDg5RIzwGeB10padOxJF9E_Vljuvvct_M7RDo/edit?usp=sharing"",""ปทุมธานี!N196"")"),0)</f>
        <v>0</v>
      </c>
      <c r="Y61" s="98">
        <f t="shared" ca="1" si="92"/>
        <v>0</v>
      </c>
      <c r="Z61" s="97">
        <f ca="1">IFERROR(__xludf.DUMMYFUNCTION("IMPORTRANGE(""https://docs.google.com/spreadsheets/d/1OYoGg4WDg5RIzwGeB10padOxJF9E_Vljuvvct_M7RDo/edit?usp=sharing"",""ปทุมธานี!I198"")"),4)</f>
        <v>4</v>
      </c>
      <c r="AA61" s="97">
        <f ca="1">IFERROR(__xludf.DUMMYFUNCTION("IMPORTRANGE(""https://docs.google.com/spreadsheets/d/1OYoGg4WDg5RIzwGeB10padOxJF9E_Vljuvvct_M7RDo/edit?usp=sharing"",""ปทุมธานี!J198"")"),1)</f>
        <v>1</v>
      </c>
      <c r="AB61" s="98">
        <f t="shared" ca="1" si="94"/>
        <v>25</v>
      </c>
      <c r="AC61" s="97">
        <f ca="1">IFERROR(__xludf.DUMMYFUNCTION("IMPORTRANGE(""https://docs.google.com/spreadsheets/d/1OYoGg4WDg5RIzwGeB10padOxJF9E_Vljuvvct_M7RDo/edit?usp=sharing"",""ปทุมธานี!J199"")"),25)</f>
        <v>25</v>
      </c>
      <c r="AD61" s="97">
        <f ca="1">IFERROR(__xludf.DUMMYFUNCTION("IMPORTRANGE(""https://docs.google.com/spreadsheets/d/1OYoGg4WDg5RIzwGeB10padOxJF9E_Vljuvvct_M7RDo/edit?usp=sharing"",""ปทุมธานี!J200"")"),25)</f>
        <v>25</v>
      </c>
      <c r="AE61" s="97">
        <f ca="1">IFERROR(__xludf.DUMMYFUNCTION("IMPORTRANGE(""https://docs.google.com/spreadsheets/d/1OYoGg4WDg5RIzwGeB10padOxJF9E_Vljuvvct_M7RDo/edit?usp=sharing"",""ปทุมธานี!J201"")"),0)</f>
        <v>0</v>
      </c>
      <c r="AF61" s="97">
        <f ca="1">IFERROR(__xludf.DUMMYFUNCTION("IMPORTRANGE(""https://docs.google.com/spreadsheets/d/1OYoGg4WDg5RIzwGeB10padOxJF9E_Vljuvvct_M7RDo/edit?usp=sharing"",""ปทุมธานี!L204"")"),1000)</f>
        <v>1000</v>
      </c>
      <c r="AG61" s="97">
        <f ca="1">IFERROR(__xludf.DUMMYFUNCTION("IMPORTRANGE(""https://docs.google.com/spreadsheets/d/1OYoGg4WDg5RIzwGeB10padOxJF9E_Vljuvvct_M7RDo/edit?usp=sharing"",""ปทุมธานี!N204"")"),0)</f>
        <v>0</v>
      </c>
      <c r="AH61" s="98">
        <f t="shared" ca="1" si="96"/>
        <v>0</v>
      </c>
      <c r="AI61" s="97">
        <f ca="1">IFERROR(__xludf.DUMMYFUNCTION("IMPORTRANGE(""https://docs.google.com/spreadsheets/d/1OYoGg4WDg5RIzwGeB10padOxJF9E_Vljuvvct_M7RDo/edit?usp=sharing"",""ปทุมธานี!L206"")"),8000)</f>
        <v>8000</v>
      </c>
      <c r="AJ61" s="97">
        <f ca="1">IFERROR(__xludf.DUMMYFUNCTION("IMPORTRANGE(""https://docs.google.com/spreadsheets/d/1OYoGg4WDg5RIzwGeB10padOxJF9E_Vljuvvct_M7RDo/edit?usp=sharing"",""ปทุมธานี!N206"")"),8585)</f>
        <v>8585</v>
      </c>
      <c r="AK61" s="98">
        <f t="shared" ca="1" si="98"/>
        <v>107.3125</v>
      </c>
      <c r="AL61" s="97">
        <f ca="1">IFERROR(__xludf.DUMMYFUNCTION("IMPORTRANGE(""https://docs.google.com/spreadsheets/d/1OYoGg4WDg5RIzwGeB10padOxJF9E_Vljuvvct_M7RDo/edit?usp=sharing"",""ปทุมธานี!L207"")"),4000)</f>
        <v>4000</v>
      </c>
      <c r="AM61" s="97">
        <f ca="1">IFERROR(__xludf.DUMMYFUNCTION("IMPORTRANGE(""https://docs.google.com/spreadsheets/d/1OYoGg4WDg5RIzwGeB10padOxJF9E_Vljuvvct_M7RDo/edit?usp=sharing"",""ปทุมธานี!N207"")"),0)</f>
        <v>0</v>
      </c>
      <c r="AN61" s="98">
        <f t="shared" ca="1" si="100"/>
        <v>0</v>
      </c>
      <c r="AO61" s="97">
        <f ca="1">IFERROR(__xludf.DUMMYFUNCTION("IMPORTRANGE(""https://docs.google.com/spreadsheets/d/1OYoGg4WDg5RIzwGeB10padOxJF9E_Vljuvvct_M7RDo/edit?usp=sharing"",""ปทุมธานี!I209"")"),1)</f>
        <v>1</v>
      </c>
      <c r="AP61" s="97">
        <f ca="1">IFERROR(__xludf.DUMMYFUNCTION("IMPORTRANGE(""https://docs.google.com/spreadsheets/d/1OYoGg4WDg5RIzwGeB10padOxJF9E_Vljuvvct_M7RDo/edit?usp=sharing"",""ปทุมธานี!J209"")"),1)</f>
        <v>1</v>
      </c>
      <c r="AQ61" s="98">
        <f t="shared" ca="1" si="102"/>
        <v>100</v>
      </c>
      <c r="AR61" s="97">
        <f ca="1">IFERROR(__xludf.DUMMYFUNCTION("IMPORTRANGE(""https://docs.google.com/spreadsheets/d/1OYoGg4WDg5RIzwGeB10padOxJF9E_Vljuvvct_M7RDo/edit?usp=sharing"",""ปทุมธานี!J211"")"),0)</f>
        <v>0</v>
      </c>
      <c r="AS61" s="97">
        <f ca="1">IFERROR(__xludf.DUMMYFUNCTION("IMPORTRANGE(""https://docs.google.com/spreadsheets/d/1OYoGg4WDg5RIzwGeB10padOxJF9E_Vljuvvct_M7RDo/edit?usp=sharing"",""ปทุมธานี!J212"")"),0)</f>
        <v>0</v>
      </c>
      <c r="AT61" s="97">
        <f ca="1">IFERROR(__xludf.DUMMYFUNCTION("IMPORTRANGE(""https://docs.google.com/spreadsheets/d/1OYoGg4WDg5RIzwGeB10padOxJF9E_Vljuvvct_M7RDo/edit?usp=sharing"",""ปทุมธานี!L215"")"),0)</f>
        <v>0</v>
      </c>
      <c r="AU61" s="97">
        <f ca="1">IFERROR(__xludf.DUMMYFUNCTION("IMPORTRANGE(""https://docs.google.com/spreadsheets/d/1OYoGg4WDg5RIzwGeB10padOxJF9E_Vljuvvct_M7RDo/edit?usp=sharing"",""ปทุมธานี!N215"")"),0)</f>
        <v>0</v>
      </c>
      <c r="AV61" s="98">
        <f t="shared" ca="1" si="104"/>
        <v>0</v>
      </c>
      <c r="AW61" s="97">
        <f ca="1">IFERROR(__xludf.DUMMYFUNCTION("IMPORTRANGE(""https://docs.google.com/spreadsheets/d/1OYoGg4WDg5RIzwGeB10padOxJF9E_Vljuvvct_M7RDo/edit?usp=sharing"",""ปทุมธานี!L216"")"),0)</f>
        <v>0</v>
      </c>
      <c r="AX61" s="97">
        <f ca="1">IFERROR(__xludf.DUMMYFUNCTION("IMPORTRANGE(""https://docs.google.com/spreadsheets/d/1OYoGg4WDg5RIzwGeB10padOxJF9E_Vljuvvct_M7RDo/edit?usp=sharing"",""ปทุมธานี!N216"")"),0)</f>
        <v>0</v>
      </c>
      <c r="AY61" s="98">
        <f t="shared" ca="1" si="106"/>
        <v>0</v>
      </c>
      <c r="AZ61" s="97">
        <f ca="1">IFERROR(__xludf.DUMMYFUNCTION("IMPORTRANGE(""https://docs.google.com/spreadsheets/d/1OYoGg4WDg5RIzwGeB10padOxJF9E_Vljuvvct_M7RDo/edit?usp=sharing"",""ปทุมธานี!L217"")"),0)</f>
        <v>0</v>
      </c>
      <c r="BA61" s="97">
        <f ca="1">IFERROR(__xludf.DUMMYFUNCTION("IMPORTRANGE(""https://docs.google.com/spreadsheets/d/1OYoGg4WDg5RIzwGeB10padOxJF9E_Vljuvvct_M7RDo/edit?usp=sharing"",""ปทุมธานี!N217"")"),0)</f>
        <v>0</v>
      </c>
      <c r="BB61" s="98">
        <f t="shared" ca="1" si="108"/>
        <v>0</v>
      </c>
      <c r="BC61" s="97">
        <f ca="1">IFERROR(__xludf.DUMMYFUNCTION("IMPORTRANGE(""https://docs.google.com/spreadsheets/d/1OYoGg4WDg5RIzwGeB10padOxJF9E_Vljuvvct_M7RDo/edit?usp=sharing"",""ปทุมธานี!I219"")"),0)</f>
        <v>0</v>
      </c>
      <c r="BD61" s="97">
        <f ca="1">IFERROR(__xludf.DUMMYFUNCTION("IMPORTRANGE(""https://docs.google.com/spreadsheets/d/1OYoGg4WDg5RIzwGeB10padOxJF9E_Vljuvvct_M7RDo/edit?usp=sharing"",""ปทุมธานี!J219"")"),0)</f>
        <v>0</v>
      </c>
      <c r="BE61" s="98">
        <f t="shared" ca="1" si="110"/>
        <v>0</v>
      </c>
      <c r="BF61" s="97">
        <f ca="1">IFERROR(__xludf.DUMMYFUNCTION("IMPORTRANGE(""https://docs.google.com/spreadsheets/d/1OYoGg4WDg5RIzwGeB10padOxJF9E_Vljuvvct_M7RDo/edit?usp=sharing"",""ปทุมธานี!I220"")"),0)</f>
        <v>0</v>
      </c>
      <c r="BG61" s="97">
        <f ca="1">IFERROR(__xludf.DUMMYFUNCTION("IMPORTRANGE(""https://docs.google.com/spreadsheets/d/1OYoGg4WDg5RIzwGeB10padOxJF9E_Vljuvvct_M7RDo/edit?usp=sharing"",""ปทุมธานี!J220"")"),0)</f>
        <v>0</v>
      </c>
      <c r="BH61" s="98">
        <f t="shared" ca="1" si="112"/>
        <v>0</v>
      </c>
      <c r="BI61" s="97">
        <f ca="1">IFERROR(__xludf.DUMMYFUNCTION("IMPORTRANGE(""https://docs.google.com/spreadsheets/d/1OYoGg4WDg5RIzwGeB10padOxJF9E_Vljuvvct_M7RDo/edit?usp=sharing"",""ปทุมธานี!L223"")"),3000)</f>
        <v>3000</v>
      </c>
      <c r="BJ61" s="97">
        <f ca="1">IFERROR(__xludf.DUMMYFUNCTION("IMPORTRANGE(""https://docs.google.com/spreadsheets/d/1OYoGg4WDg5RIzwGeB10padOxJF9E_Vljuvvct_M7RDo/edit?usp=sharing"",""ปทุมธานี!N223"")"),0)</f>
        <v>0</v>
      </c>
      <c r="BK61" s="98">
        <f t="shared" ca="1" si="114"/>
        <v>0</v>
      </c>
      <c r="BL61" s="97">
        <f ca="1">IFERROR(__xludf.DUMMYFUNCTION("IMPORTRANGE(""https://docs.google.com/spreadsheets/d/1OYoGg4WDg5RIzwGeB10padOxJF9E_Vljuvvct_M7RDo/edit?usp=sharing"",""ปทุมธานี!L224"")"),1500)</f>
        <v>1500</v>
      </c>
      <c r="BM61" s="97">
        <f ca="1">IFERROR(__xludf.DUMMYFUNCTION("IMPORTRANGE(""https://docs.google.com/spreadsheets/d/1OYoGg4WDg5RIzwGeB10padOxJF9E_Vljuvvct_M7RDo/edit?usp=sharing"",""ปทุมธานี!N224"")"),0)</f>
        <v>0</v>
      </c>
      <c r="BN61" s="98">
        <f t="shared" ca="1" si="116"/>
        <v>0</v>
      </c>
      <c r="BO61" s="97">
        <f ca="1">IFERROR(__xludf.DUMMYFUNCTION("IMPORTRANGE(""https://docs.google.com/spreadsheets/d/1OYoGg4WDg5RIzwGeB10padOxJF9E_Vljuvvct_M7RDo/edit?usp=sharing"",""ปทุมธานี!I228"")"),20000)</f>
        <v>20000</v>
      </c>
      <c r="BP61" s="97">
        <f ca="1">IFERROR(__xludf.DUMMYFUNCTION("IMPORTRANGE(""https://docs.google.com/spreadsheets/d/1OYoGg4WDg5RIzwGeB10padOxJF9E_Vljuvvct_M7RDo/edit?usp=sharing"",""ปทุมธานี!J228"")"),0)</f>
        <v>0</v>
      </c>
      <c r="BQ61" s="98">
        <f t="shared" ca="1" si="118"/>
        <v>0</v>
      </c>
      <c r="BR61" s="97">
        <f ca="1">IFERROR(__xludf.DUMMYFUNCTION("IMPORTRANGE(""https://docs.google.com/spreadsheets/d/1OYoGg4WDg5RIzwGeB10padOxJF9E_Vljuvvct_M7RDo/edit?usp=sharing"",""ปทุมธานี!I229"")"),20000)</f>
        <v>20000</v>
      </c>
      <c r="BS61" s="97">
        <f ca="1">IFERROR(__xludf.DUMMYFUNCTION("IMPORTRANGE(""https://docs.google.com/spreadsheets/d/1OYoGg4WDg5RIzwGeB10padOxJF9E_Vljuvvct_M7RDo/edit?usp=sharing"",""ปทุมธานี!J229"")"),0)</f>
        <v>0</v>
      </c>
      <c r="BT61" s="98">
        <f t="shared" ca="1" si="120"/>
        <v>0</v>
      </c>
      <c r="BU61" s="97">
        <f ca="1">IFERROR(__xludf.DUMMYFUNCTION("IMPORTRANGE(""https://docs.google.com/spreadsheets/d/1OYoGg4WDg5RIzwGeB10padOxJF9E_Vljuvvct_M7RDo/edit?usp=sharing"",""ปทุมธานี!I230"")"),0)</f>
        <v>0</v>
      </c>
      <c r="BV61" s="97">
        <f ca="1">IFERROR(__xludf.DUMMYFUNCTION("IMPORTRANGE(""https://docs.google.com/spreadsheets/d/1OYoGg4WDg5RIzwGeB10padOxJF9E_Vljuvvct_M7RDo/edit?usp=sharing"",""ปทุมธานี!J230"")"),0)</f>
        <v>0</v>
      </c>
      <c r="BW61" s="98">
        <f t="shared" ca="1" si="122"/>
        <v>0</v>
      </c>
      <c r="BX61" s="97">
        <f ca="1">IFERROR(__xludf.DUMMYFUNCTION("IMPORTRANGE(""https://docs.google.com/spreadsheets/d/1OYoGg4WDg5RIzwGeB10padOxJF9E_Vljuvvct_M7RDo/edit?usp=sharing"",""ปทุมธานี!L233"")"),8000)</f>
        <v>8000</v>
      </c>
      <c r="BY61" s="97">
        <f ca="1">IFERROR(__xludf.DUMMYFUNCTION("IMPORTRANGE(""https://docs.google.com/spreadsheets/d/1OYoGg4WDg5RIzwGeB10padOxJF9E_Vljuvvct_M7RDo/edit?usp=sharing"",""ปทุมธานี!N233"")"),2000)</f>
        <v>2000</v>
      </c>
      <c r="BZ61" s="98">
        <f t="shared" ca="1" si="124"/>
        <v>25</v>
      </c>
      <c r="CA61" s="97">
        <f ca="1">IFERROR(__xludf.DUMMYFUNCTION("IMPORTRANGE(""https://docs.google.com/spreadsheets/d/1OYoGg4WDg5RIzwGeB10padOxJF9E_Vljuvvct_M7RDo/edit?usp=sharing"",""ปทุมธานี!L234"")"),3000)</f>
        <v>3000</v>
      </c>
      <c r="CB61" s="97">
        <f ca="1">IFERROR(__xludf.DUMMYFUNCTION("IMPORTRANGE(""https://docs.google.com/spreadsheets/d/1OYoGg4WDg5RIzwGeB10padOxJF9E_Vljuvvct_M7RDo/edit?usp=sharing"",""ปทุมธานี!N234"")"),720)</f>
        <v>720</v>
      </c>
      <c r="CC61" s="98">
        <f t="shared" ca="1" si="126"/>
        <v>24</v>
      </c>
      <c r="CD61" s="97">
        <f ca="1">IFERROR(__xludf.DUMMYFUNCTION("IMPORTRANGE(""https://docs.google.com/spreadsheets/d/1OYoGg4WDg5RIzwGeB10padOxJF9E_Vljuvvct_M7RDo/edit?usp=sharing"",""ปทุมธานี!L235"")"),46900)</f>
        <v>46900</v>
      </c>
      <c r="CE61" s="97">
        <f ca="1">IFERROR(__xludf.DUMMYFUNCTION("IMPORTRANGE(""https://docs.google.com/spreadsheets/d/1OYoGg4WDg5RIzwGeB10padOxJF9E_Vljuvvct_M7RDo/edit?usp=sharing"",""ปทุมธานี!N235"")"),20300)</f>
        <v>20300</v>
      </c>
      <c r="CF61" s="98">
        <f t="shared" ca="1" si="128"/>
        <v>43.28358208955224</v>
      </c>
      <c r="CG61" s="97">
        <f ca="1">IFERROR(__xludf.DUMMYFUNCTION("IMPORTRANGE(""https://docs.google.com/spreadsheets/d/1OYoGg4WDg5RIzwGeB10padOxJF9E_Vljuvvct_M7RDo/edit?usp=sharing"",""ปทุมธานี!L236"")"),47000)</f>
        <v>47000</v>
      </c>
      <c r="CH61" s="97">
        <f ca="1">IFERROR(__xludf.DUMMYFUNCTION("IMPORTRANGE(""https://docs.google.com/spreadsheets/d/1OYoGg4WDg5RIzwGeB10padOxJF9E_Vljuvvct_M7RDo/edit?usp=sharing"",""ปทุมธานี!N236"")"),0)</f>
        <v>0</v>
      </c>
      <c r="CI61" s="98">
        <f t="shared" ca="1" si="130"/>
        <v>0</v>
      </c>
      <c r="CJ61" s="97">
        <f ca="1">IFERROR(__xludf.DUMMYFUNCTION("IMPORTRANGE(""https://docs.google.com/spreadsheets/d/1OYoGg4WDg5RIzwGeB10padOxJF9E_Vljuvvct_M7RDo/edit?usp=sharing"",""ปทุมธานี!I238"")"),60)</f>
        <v>60</v>
      </c>
      <c r="CK61" s="97">
        <f ca="1">IFERROR(__xludf.DUMMYFUNCTION("IMPORTRANGE(""https://docs.google.com/spreadsheets/d/1OYoGg4WDg5RIzwGeB10padOxJF9E_Vljuvvct_M7RDo/edit?usp=sharing"",""ปทุมธานี!J238"")"),30)</f>
        <v>30</v>
      </c>
      <c r="CL61" s="98">
        <f t="shared" ca="1" si="132"/>
        <v>50</v>
      </c>
      <c r="CM61" s="97">
        <f ca="1">IFERROR(__xludf.DUMMYFUNCTION("IMPORTRANGE(""https://docs.google.com/spreadsheets/d/1OYoGg4WDg5RIzwGeB10padOxJF9E_Vljuvvct_M7RDo/edit?usp=sharing"",""ปทุมธานี!J240"")"),0)</f>
        <v>0</v>
      </c>
      <c r="CN61" s="97">
        <f ca="1">IFERROR(__xludf.DUMMYFUNCTION("IMPORTRANGE(""https://docs.google.com/spreadsheets/d/1OYoGg4WDg5RIzwGeB10padOxJF9E_Vljuvvct_M7RDo/edit?usp=sharing"",""ปทุมธานี!J241"")"),0)</f>
        <v>0</v>
      </c>
    </row>
    <row r="62" spans="1:92" ht="21" customHeight="1" x14ac:dyDescent="0.3">
      <c r="A62" s="89">
        <v>10</v>
      </c>
      <c r="B62" s="90" t="s">
        <v>88</v>
      </c>
      <c r="C62" s="174">
        <f t="shared" ca="1" si="80"/>
        <v>115200</v>
      </c>
      <c r="D62" s="175">
        <f t="shared" ca="1" si="184"/>
        <v>115200</v>
      </c>
      <c r="E62" s="176">
        <f ca="1">IFERROR(__xludf.DUMMYFUNCTION("IMPORTRANGE(""https://docs.google.com/spreadsheets/d/1-uDff_7J0KD5mKrp0Vvzr7lt3OU09vwQwhkpOPPYv2Y/edit?usp=sharing"",""งบพรบ!CV62"")"),78700)</f>
        <v>78700</v>
      </c>
      <c r="F62" s="176">
        <f ca="1">IFERROR(__xludf.DUMMYFUNCTION("IMPORTRANGE(""https://docs.google.com/spreadsheets/d/1-uDff_7J0KD5mKrp0Vvzr7lt3OU09vwQwhkpOPPYv2Y/edit?usp=sharing"",""งบพรบ!CW62"")"),36500)</f>
        <v>36500</v>
      </c>
      <c r="G62" s="176">
        <f ca="1">IFERROR(__xludf.DUMMYFUNCTION("IMPORTRANGE(""https://docs.google.com/spreadsheets/d/1-uDff_7J0KD5mKrp0Vvzr7lt3OU09vwQwhkpOPPYv2Y/edit?usp=sharing"",""งบพรบ!CX62"")"),0)</f>
        <v>0</v>
      </c>
      <c r="H62" s="176">
        <f ca="1">IFERROR(__xludf.DUMMYFUNCTION("IMPORTRANGE(""https://docs.google.com/spreadsheets/d/1-uDff_7J0KD5mKrp0Vvzr7lt3OU09vwQwhkpOPPYv2Y/edit?usp=sharing"",""งบพรบ!CZ62"")"),115200)</f>
        <v>115200</v>
      </c>
      <c r="I62" s="176">
        <f ca="1">IFERROR(__xludf.DUMMYFUNCTION("IMPORTRANGE(""https://docs.google.com/spreadsheets/d/1-uDff_7J0KD5mKrp0Vvzr7lt3OU09vwQwhkpOPPYv2Y/edit?usp=sharing"",""งบพรบ!DA62"")"),0)</f>
        <v>0</v>
      </c>
      <c r="J62" s="176">
        <f t="shared" ca="1" si="82"/>
        <v>16010</v>
      </c>
      <c r="K62" s="179">
        <f t="shared" ca="1" si="83"/>
        <v>13.897569444444445</v>
      </c>
      <c r="L62" s="176">
        <f ca="1">IFERROR(__xludf.DUMMYFUNCTION("IMPORTRANGE(""https://docs.google.com/spreadsheets/d/1-uDff_7J0KD5mKrp0Vvzr7lt3OU09vwQwhkpOPPYv2Y/edit?usp=sharing"",""งบพรบ!DB62"")"),16010)</f>
        <v>16010</v>
      </c>
      <c r="M62" s="87">
        <f t="shared" ca="1" si="84"/>
        <v>13.897569444444445</v>
      </c>
      <c r="N62" s="87">
        <f t="shared" ca="1" si="85"/>
        <v>13.897569444444445</v>
      </c>
      <c r="O62" s="86">
        <f ca="1">IFERROR(__xludf.DUMMYFUNCTION("IMPORTRANGE(""https://docs.google.com/spreadsheets/d/1-uDff_7J0KD5mKrp0Vvzr7lt3OU09vwQwhkpOPPYv2Y/edit?usp=sharing"",""งบพรบ!DC62"")"),0)</f>
        <v>0</v>
      </c>
      <c r="P62" s="86">
        <f t="shared" ca="1" si="86"/>
        <v>0</v>
      </c>
      <c r="Q62" s="87">
        <f t="shared" ca="1" si="87"/>
        <v>0</v>
      </c>
      <c r="R62" s="241">
        <f ca="1">IFERROR(__xludf.DUMMYFUNCTION("IMPORTRANGE(""https://docs.google.com/spreadsheets/d/1GbCIE4D4wk9FUozzqk7SxfDMxDVBwVmI5zcaVUSzKAc/edit?usp=sharing"",""ประจวบคีรีขันธ์!Q186"")"),28000)</f>
        <v>28000</v>
      </c>
      <c r="S62" s="242">
        <f ca="1">IFERROR(__xludf.DUMMYFUNCTION("IMPORTRANGE(""https://docs.google.com/spreadsheets/d/1GbCIE4D4wk9FUozzqk7SxfDMxDVBwVmI5zcaVUSzKAc/edit?usp=sharing"",""ประจวบคีรีขันธ์!R186"")"),0)</f>
        <v>0</v>
      </c>
      <c r="T62" s="242">
        <f ca="1">IFERROR(__xludf.DUMMYFUNCTION("IMPORTRANGE(""https://docs.google.com/spreadsheets/d/1GbCIE4D4wk9FUozzqk7SxfDMxDVBwVmI5zcaVUSzKAc/edit?usp=sharing"",""ประจวบคีรีขันธ์!S186"")"),0)</f>
        <v>0</v>
      </c>
      <c r="U62" s="243">
        <f t="shared" ca="1" si="89"/>
        <v>0</v>
      </c>
      <c r="V62" s="243">
        <f t="shared" ca="1" si="90"/>
        <v>0</v>
      </c>
      <c r="W62" s="97">
        <f ca="1">IFERROR(__xludf.DUMMYFUNCTION("IMPORTRANGE(""https://docs.google.com/spreadsheets/d/1GbCIE4D4wk9FUozzqk7SxfDMxDVBwVmI5zcaVUSzKAc/edit?usp=sharing"",""ประจวบคีรีขันธ์!L196"")"),6000)</f>
        <v>6000</v>
      </c>
      <c r="X62" s="97">
        <f ca="1">IFERROR(__xludf.DUMMYFUNCTION("IMPORTRANGE(""https://docs.google.com/spreadsheets/d/1GbCIE4D4wk9FUozzqk7SxfDMxDVBwVmI5zcaVUSzKAc/edit?usp=sharing"",""ประจวบคีรีขันธ์!N196"")"),0)</f>
        <v>0</v>
      </c>
      <c r="Y62" s="98">
        <f t="shared" ca="1" si="92"/>
        <v>0</v>
      </c>
      <c r="Z62" s="97">
        <f ca="1">IFERROR(__xludf.DUMMYFUNCTION("IMPORTRANGE(""https://docs.google.com/spreadsheets/d/1GbCIE4D4wk9FUozzqk7SxfDMxDVBwVmI5zcaVUSzKAc/edit?usp=sharing"",""ประจวบคีรีขันธ์!I198"")"),4)</f>
        <v>4</v>
      </c>
      <c r="AA62" s="97">
        <f ca="1">IFERROR(__xludf.DUMMYFUNCTION("IMPORTRANGE(""https://docs.google.com/spreadsheets/d/1GbCIE4D4wk9FUozzqk7SxfDMxDVBwVmI5zcaVUSzKAc/edit?usp=sharing"",""ประจวบคีรีขันธ์!J198"")"),1)</f>
        <v>1</v>
      </c>
      <c r="AB62" s="98">
        <f t="shared" ca="1" si="94"/>
        <v>25</v>
      </c>
      <c r="AC62" s="97">
        <f ca="1">IFERROR(__xludf.DUMMYFUNCTION("IMPORTRANGE(""https://docs.google.com/spreadsheets/d/1GbCIE4D4wk9FUozzqk7SxfDMxDVBwVmI5zcaVUSzKAc/edit?usp=sharing"",""ประจวบคีรีขันธ์!J199"")"),39)</f>
        <v>39</v>
      </c>
      <c r="AD62" s="97">
        <f ca="1">IFERROR(__xludf.DUMMYFUNCTION("IMPORTRANGE(""https://docs.google.com/spreadsheets/d/1GbCIE4D4wk9FUozzqk7SxfDMxDVBwVmI5zcaVUSzKAc/edit?usp=sharing"",""ประจวบคีรีขันธ์!J200"")"),39)</f>
        <v>39</v>
      </c>
      <c r="AE62" s="97">
        <f ca="1">IFERROR(__xludf.DUMMYFUNCTION("IMPORTRANGE(""https://docs.google.com/spreadsheets/d/1GbCIE4D4wk9FUozzqk7SxfDMxDVBwVmI5zcaVUSzKAc/edit?usp=sharing"",""ประจวบคีรีขันธ์!J201"")"),0)</f>
        <v>0</v>
      </c>
      <c r="AF62" s="97">
        <f ca="1">IFERROR(__xludf.DUMMYFUNCTION("IMPORTRANGE(""https://docs.google.com/spreadsheets/d/1GbCIE4D4wk9FUozzqk7SxfDMxDVBwVmI5zcaVUSzKAc/edit?usp=sharing"",""ประจวบคีรีขันธ์!L204"")"),2000)</f>
        <v>2000</v>
      </c>
      <c r="AG62" s="97">
        <f ca="1">IFERROR(__xludf.DUMMYFUNCTION("IMPORTRANGE(""https://docs.google.com/spreadsheets/d/1GbCIE4D4wk9FUozzqk7SxfDMxDVBwVmI5zcaVUSzKAc/edit?usp=sharing"",""ประจวบคีรีขันธ์!N204"")"),0)</f>
        <v>0</v>
      </c>
      <c r="AH62" s="98">
        <f t="shared" ca="1" si="96"/>
        <v>0</v>
      </c>
      <c r="AI62" s="97">
        <f ca="1">IFERROR(__xludf.DUMMYFUNCTION("IMPORTRANGE(""https://docs.google.com/spreadsheets/d/1GbCIE4D4wk9FUozzqk7SxfDMxDVBwVmI5zcaVUSzKAc/edit?usp=sharing"",""ประจวบคีรีขันธ์!L206"")"),16000)</f>
        <v>16000</v>
      </c>
      <c r="AJ62" s="97">
        <f ca="1">IFERROR(__xludf.DUMMYFUNCTION("IMPORTRANGE(""https://docs.google.com/spreadsheets/d/1GbCIE4D4wk9FUozzqk7SxfDMxDVBwVmI5zcaVUSzKAc/edit?usp=sharing"",""ประจวบคีรีขันธ์!N206"")"),0)</f>
        <v>0</v>
      </c>
      <c r="AK62" s="98">
        <f t="shared" ca="1" si="98"/>
        <v>0</v>
      </c>
      <c r="AL62" s="97">
        <f ca="1">IFERROR(__xludf.DUMMYFUNCTION("IMPORTRANGE(""https://docs.google.com/spreadsheets/d/1GbCIE4D4wk9FUozzqk7SxfDMxDVBwVmI5zcaVUSzKAc/edit?usp=sharing"",""ประจวบคีรีขันธ์!L207"")"),8000)</f>
        <v>8000</v>
      </c>
      <c r="AM62" s="97">
        <f ca="1">IFERROR(__xludf.DUMMYFUNCTION("IMPORTRANGE(""https://docs.google.com/spreadsheets/d/1GbCIE4D4wk9FUozzqk7SxfDMxDVBwVmI5zcaVUSzKAc/edit?usp=sharing"",""ประจวบคีรีขันธ์!N207"")"),0)</f>
        <v>0</v>
      </c>
      <c r="AN62" s="98">
        <f t="shared" ca="1" si="100"/>
        <v>0</v>
      </c>
      <c r="AO62" s="97">
        <f ca="1">IFERROR(__xludf.DUMMYFUNCTION("IMPORTRANGE(""https://docs.google.com/spreadsheets/d/1GbCIE4D4wk9FUozzqk7SxfDMxDVBwVmI5zcaVUSzKAc/edit?usp=sharing"",""ประจวบคีรีขันธ์!I209"")"),2)</f>
        <v>2</v>
      </c>
      <c r="AP62" s="97">
        <f ca="1">IFERROR(__xludf.DUMMYFUNCTION("IMPORTRANGE(""https://docs.google.com/spreadsheets/d/1GbCIE4D4wk9FUozzqk7SxfDMxDVBwVmI5zcaVUSzKAc/edit?usp=sharing"",""ประจวบคีรีขันธ์!J209"")"),0)</f>
        <v>0</v>
      </c>
      <c r="AQ62" s="98">
        <f t="shared" ca="1" si="102"/>
        <v>0</v>
      </c>
      <c r="AR62" s="97">
        <f ca="1">IFERROR(__xludf.DUMMYFUNCTION("IMPORTRANGE(""https://docs.google.com/spreadsheets/d/1GbCIE4D4wk9FUozzqk7SxfDMxDVBwVmI5zcaVUSzKAc/edit?usp=sharing"",""ประจวบคีรีขันธ์!J211"")"),0)</f>
        <v>0</v>
      </c>
      <c r="AS62" s="97">
        <f ca="1">IFERROR(__xludf.DUMMYFUNCTION("IMPORTRANGE(""https://docs.google.com/spreadsheets/d/1GbCIE4D4wk9FUozzqk7SxfDMxDVBwVmI5zcaVUSzKAc/edit?usp=sharing"",""ประจวบคีรีขันธ์!J212"")"),0)</f>
        <v>0</v>
      </c>
      <c r="AT62" s="97">
        <f ca="1">IFERROR(__xludf.DUMMYFUNCTION("IMPORTRANGE(""https://docs.google.com/spreadsheets/d/1GbCIE4D4wk9FUozzqk7SxfDMxDVBwVmI5zcaVUSzKAc/edit?usp=sharing"",""ประจวบคีรีขันธ์!L215"")"),0)</f>
        <v>0</v>
      </c>
      <c r="AU62" s="97">
        <f ca="1">IFERROR(__xludf.DUMMYFUNCTION("IMPORTRANGE(""https://docs.google.com/spreadsheets/d/1GbCIE4D4wk9FUozzqk7SxfDMxDVBwVmI5zcaVUSzKAc/edit?usp=sharing"",""ประจวบคีรีขันธ์!N215"")"),0)</f>
        <v>0</v>
      </c>
      <c r="AV62" s="98">
        <f t="shared" ca="1" si="104"/>
        <v>0</v>
      </c>
      <c r="AW62" s="97">
        <f ca="1">IFERROR(__xludf.DUMMYFUNCTION("IMPORTRANGE(""https://docs.google.com/spreadsheets/d/1GbCIE4D4wk9FUozzqk7SxfDMxDVBwVmI5zcaVUSzKAc/edit?usp=sharing"",""ประจวบคีรีขันธ์!L216"")"),0)</f>
        <v>0</v>
      </c>
      <c r="AX62" s="97">
        <f ca="1">IFERROR(__xludf.DUMMYFUNCTION("IMPORTRANGE(""https://docs.google.com/spreadsheets/d/1GbCIE4D4wk9FUozzqk7SxfDMxDVBwVmI5zcaVUSzKAc/edit?usp=sharing"",""ประจวบคีรีขันธ์!N216"")"),0)</f>
        <v>0</v>
      </c>
      <c r="AY62" s="98">
        <f t="shared" ca="1" si="106"/>
        <v>0</v>
      </c>
      <c r="AZ62" s="97">
        <f ca="1">IFERROR(__xludf.DUMMYFUNCTION("IMPORTRANGE(""https://docs.google.com/spreadsheets/d/1GbCIE4D4wk9FUozzqk7SxfDMxDVBwVmI5zcaVUSzKAc/edit?usp=sharing"",""ประจวบคีรีขันธ์!L217"")"),0)</f>
        <v>0</v>
      </c>
      <c r="BA62" s="97">
        <f ca="1">IFERROR(__xludf.DUMMYFUNCTION("IMPORTRANGE(""https://docs.google.com/spreadsheets/d/1GbCIE4D4wk9FUozzqk7SxfDMxDVBwVmI5zcaVUSzKAc/edit?usp=sharing"",""ประจวบคีรีขันธ์!N217"")"),0)</f>
        <v>0</v>
      </c>
      <c r="BB62" s="98">
        <f t="shared" ca="1" si="108"/>
        <v>0</v>
      </c>
      <c r="BC62" s="97">
        <f ca="1">IFERROR(__xludf.DUMMYFUNCTION("IMPORTRANGE(""https://docs.google.com/spreadsheets/d/1GbCIE4D4wk9FUozzqk7SxfDMxDVBwVmI5zcaVUSzKAc/edit?usp=sharing"",""ประจวบคีรีขันธ์!I219"")"),0)</f>
        <v>0</v>
      </c>
      <c r="BD62" s="97">
        <f ca="1">IFERROR(__xludf.DUMMYFUNCTION("IMPORTRANGE(""https://docs.google.com/spreadsheets/d/1GbCIE4D4wk9FUozzqk7SxfDMxDVBwVmI5zcaVUSzKAc/edit?usp=sharing"",""ประจวบคีรีขันธ์!J219"")"),0)</f>
        <v>0</v>
      </c>
      <c r="BE62" s="98">
        <f t="shared" ca="1" si="110"/>
        <v>0</v>
      </c>
      <c r="BF62" s="97">
        <f ca="1">IFERROR(__xludf.DUMMYFUNCTION("IMPORTRANGE(""https://docs.google.com/spreadsheets/d/1GbCIE4D4wk9FUozzqk7SxfDMxDVBwVmI5zcaVUSzKAc/edit?usp=sharing"",""ประจวบคีรีขันธ์!I220"")"),0)</f>
        <v>0</v>
      </c>
      <c r="BG62" s="97">
        <f ca="1">IFERROR(__xludf.DUMMYFUNCTION("IMPORTRANGE(""https://docs.google.com/spreadsheets/d/1GbCIE4D4wk9FUozzqk7SxfDMxDVBwVmI5zcaVUSzKAc/edit?usp=sharing"",""ประจวบคีรีขันธ์!J220"")"),0)</f>
        <v>0</v>
      </c>
      <c r="BH62" s="98">
        <f t="shared" ca="1" si="112"/>
        <v>0</v>
      </c>
      <c r="BI62" s="97">
        <f ca="1">IFERROR(__xludf.DUMMYFUNCTION("IMPORTRANGE(""https://docs.google.com/spreadsheets/d/1GbCIE4D4wk9FUozzqk7SxfDMxDVBwVmI5zcaVUSzKAc/edit?usp=sharing"",""ประจวบคีรีขันธ์!L223"")"),3000)</f>
        <v>3000</v>
      </c>
      <c r="BJ62" s="97">
        <f ca="1">IFERROR(__xludf.DUMMYFUNCTION("IMPORTRANGE(""https://docs.google.com/spreadsheets/d/1GbCIE4D4wk9FUozzqk7SxfDMxDVBwVmI5zcaVUSzKAc/edit?usp=sharing"",""ประจวบคีรีขันธ์!N223"")"),0)</f>
        <v>0</v>
      </c>
      <c r="BK62" s="98">
        <f t="shared" ca="1" si="114"/>
        <v>0</v>
      </c>
      <c r="BL62" s="97">
        <f ca="1">IFERROR(__xludf.DUMMYFUNCTION("IMPORTRANGE(""https://docs.google.com/spreadsheets/d/1GbCIE4D4wk9FUozzqk7SxfDMxDVBwVmI5zcaVUSzKAc/edit?usp=sharing"",""ประจวบคีรีขันธ์!L224"")"),1500)</f>
        <v>1500</v>
      </c>
      <c r="BM62" s="97">
        <f ca="1">IFERROR(__xludf.DUMMYFUNCTION("IMPORTRANGE(""https://docs.google.com/spreadsheets/d/1GbCIE4D4wk9FUozzqk7SxfDMxDVBwVmI5zcaVUSzKAc/edit?usp=sharing"",""ประจวบคีรีขันธ์!N224"")"),0)</f>
        <v>0</v>
      </c>
      <c r="BN62" s="98">
        <f t="shared" ca="1" si="116"/>
        <v>0</v>
      </c>
      <c r="BO62" s="97">
        <f ca="1">IFERROR(__xludf.DUMMYFUNCTION("IMPORTRANGE(""https://docs.google.com/spreadsheets/d/1GbCIE4D4wk9FUozzqk7SxfDMxDVBwVmI5zcaVUSzKAc/edit?usp=sharing"",""ประจวบคีรีขันธ์!I228"")"),20000)</f>
        <v>20000</v>
      </c>
      <c r="BP62" s="97">
        <f ca="1">IFERROR(__xludf.DUMMYFUNCTION("IMPORTRANGE(""https://docs.google.com/spreadsheets/d/1GbCIE4D4wk9FUozzqk7SxfDMxDVBwVmI5zcaVUSzKAc/edit?usp=sharing"",""ประจวบคีรีขันธ์!J228"")"),0)</f>
        <v>0</v>
      </c>
      <c r="BQ62" s="98">
        <f t="shared" ca="1" si="118"/>
        <v>0</v>
      </c>
      <c r="BR62" s="97">
        <f ca="1">IFERROR(__xludf.DUMMYFUNCTION("IMPORTRANGE(""https://docs.google.com/spreadsheets/d/1GbCIE4D4wk9FUozzqk7SxfDMxDVBwVmI5zcaVUSzKAc/edit?usp=sharing"",""ประจวบคีรีขันธ์!I229"")"),20000)</f>
        <v>20000</v>
      </c>
      <c r="BS62" s="97">
        <f ca="1">IFERROR(__xludf.DUMMYFUNCTION("IMPORTRANGE(""https://docs.google.com/spreadsheets/d/1GbCIE4D4wk9FUozzqk7SxfDMxDVBwVmI5zcaVUSzKAc/edit?usp=sharing"",""ประจวบคีรีขันธ์!J229"")"),0)</f>
        <v>0</v>
      </c>
      <c r="BT62" s="98">
        <f t="shared" ca="1" si="120"/>
        <v>0</v>
      </c>
      <c r="BU62" s="97">
        <f ca="1">IFERROR(__xludf.DUMMYFUNCTION("IMPORTRANGE(""https://docs.google.com/spreadsheets/d/1GbCIE4D4wk9FUozzqk7SxfDMxDVBwVmI5zcaVUSzKAc/edit?usp=sharing"",""ประจวบคีรีขันธ์!I230"")"),0)</f>
        <v>0</v>
      </c>
      <c r="BV62" s="97">
        <f ca="1">IFERROR(__xludf.DUMMYFUNCTION("IMPORTRANGE(""https://docs.google.com/spreadsheets/d/1GbCIE4D4wk9FUozzqk7SxfDMxDVBwVmI5zcaVUSzKAc/edit?usp=sharing"",""ประจวบคีรีขันธ์!J230"")"),0)</f>
        <v>0</v>
      </c>
      <c r="BW62" s="98">
        <f t="shared" ca="1" si="122"/>
        <v>0</v>
      </c>
      <c r="BX62" s="97">
        <f ca="1">IFERROR(__xludf.DUMMYFUNCTION("IMPORTRANGE(""https://docs.google.com/spreadsheets/d/1GbCIE4D4wk9FUozzqk7SxfDMxDVBwVmI5zcaVUSzKAc/edit?usp=sharing"",""ประจวบคีรีขันธ์!L233"")"),0)</f>
        <v>0</v>
      </c>
      <c r="BY62" s="97">
        <f ca="1">IFERROR(__xludf.DUMMYFUNCTION("IMPORTRANGE(""https://docs.google.com/spreadsheets/d/1GbCIE4D4wk9FUozzqk7SxfDMxDVBwVmI5zcaVUSzKAc/edit?usp=sharing"",""ประจวบคีรีขันธ์!N233"")"),0)</f>
        <v>0</v>
      </c>
      <c r="BZ62" s="98">
        <f t="shared" ca="1" si="124"/>
        <v>0</v>
      </c>
      <c r="CA62" s="97">
        <f ca="1">IFERROR(__xludf.DUMMYFUNCTION("IMPORTRANGE(""https://docs.google.com/spreadsheets/d/1GbCIE4D4wk9FUozzqk7SxfDMxDVBwVmI5zcaVUSzKAc/edit?usp=sharing"",""ประจวบคีรีขันธ์!L234"")"),0)</f>
        <v>0</v>
      </c>
      <c r="CB62" s="97">
        <f ca="1">IFERROR(__xludf.DUMMYFUNCTION("IMPORTRANGE(""https://docs.google.com/spreadsheets/d/1GbCIE4D4wk9FUozzqk7SxfDMxDVBwVmI5zcaVUSzKAc/edit?usp=sharing"",""ประจวบคีรีขันธ์!N234"")"),0)</f>
        <v>0</v>
      </c>
      <c r="CC62" s="98">
        <f t="shared" ca="1" si="126"/>
        <v>0</v>
      </c>
      <c r="CD62" s="97">
        <f ca="1">IFERROR(__xludf.DUMMYFUNCTION("IMPORTRANGE(""https://docs.google.com/spreadsheets/d/1GbCIE4D4wk9FUozzqk7SxfDMxDVBwVmI5zcaVUSzKAc/edit?usp=sharing"",""ประจวบคีรีขันธ์!L235"")"),0)</f>
        <v>0</v>
      </c>
      <c r="CE62" s="97">
        <f ca="1">IFERROR(__xludf.DUMMYFUNCTION("IMPORTRANGE(""https://docs.google.com/spreadsheets/d/1GbCIE4D4wk9FUozzqk7SxfDMxDVBwVmI5zcaVUSzKAc/edit?usp=sharing"",""ประจวบคีรีขันธ์!N235"")"),0)</f>
        <v>0</v>
      </c>
      <c r="CF62" s="98">
        <f t="shared" ca="1" si="128"/>
        <v>0</v>
      </c>
      <c r="CG62" s="97">
        <f ca="1">IFERROR(__xludf.DUMMYFUNCTION("IMPORTRANGE(""https://docs.google.com/spreadsheets/d/1GbCIE4D4wk9FUozzqk7SxfDMxDVBwVmI5zcaVUSzKAc/edit?usp=sharing"",""ประจวบคีรีขันธ์!L236"")"),0)</f>
        <v>0</v>
      </c>
      <c r="CH62" s="97">
        <f ca="1">IFERROR(__xludf.DUMMYFUNCTION("IMPORTRANGE(""https://docs.google.com/spreadsheets/d/1GbCIE4D4wk9FUozzqk7SxfDMxDVBwVmI5zcaVUSzKAc/edit?usp=sharing"",""ประจวบคีรีขันธ์!N236"")"),0)</f>
        <v>0</v>
      </c>
      <c r="CI62" s="98">
        <f t="shared" ca="1" si="130"/>
        <v>0</v>
      </c>
      <c r="CJ62" s="97">
        <f ca="1">IFERROR(__xludf.DUMMYFUNCTION("IMPORTRANGE(""https://docs.google.com/spreadsheets/d/1GbCIE4D4wk9FUozzqk7SxfDMxDVBwVmI5zcaVUSzKAc/edit?usp=sharing"",""ประจวบคีรีขันธ์!I238"")"),0)</f>
        <v>0</v>
      </c>
      <c r="CK62" s="97">
        <f ca="1">IFERROR(__xludf.DUMMYFUNCTION("IMPORTRANGE(""https://docs.google.com/spreadsheets/d/1GbCIE4D4wk9FUozzqk7SxfDMxDVBwVmI5zcaVUSzKAc/edit?usp=sharing"",""ประจวบคีรีขันธ์!J238"")"),0)</f>
        <v>0</v>
      </c>
      <c r="CL62" s="98">
        <f t="shared" ca="1" si="132"/>
        <v>0</v>
      </c>
      <c r="CM62" s="97">
        <f ca="1">IFERROR(__xludf.DUMMYFUNCTION("IMPORTRANGE(""https://docs.google.com/spreadsheets/d/1GbCIE4D4wk9FUozzqk7SxfDMxDVBwVmI5zcaVUSzKAc/edit?usp=sharing"",""ประจวบคีรีขันธ์!J240"")"),0)</f>
        <v>0</v>
      </c>
      <c r="CN62" s="97">
        <f ca="1">IFERROR(__xludf.DUMMYFUNCTION("IMPORTRANGE(""https://docs.google.com/spreadsheets/d/1GbCIE4D4wk9FUozzqk7SxfDMxDVBwVmI5zcaVUSzKAc/edit?usp=sharing"",""ประจวบคีรีขันธ์!J241"")"),0)</f>
        <v>0</v>
      </c>
    </row>
    <row r="63" spans="1:92" ht="21" customHeight="1" x14ac:dyDescent="0.3">
      <c r="A63" s="89">
        <v>11</v>
      </c>
      <c r="B63" s="90" t="s">
        <v>89</v>
      </c>
      <c r="C63" s="174">
        <f t="shared" ca="1" si="80"/>
        <v>78100</v>
      </c>
      <c r="D63" s="175">
        <f t="shared" ca="1" si="184"/>
        <v>78100</v>
      </c>
      <c r="E63" s="176">
        <f ca="1">IFERROR(__xludf.DUMMYFUNCTION("IMPORTRANGE(""https://docs.google.com/spreadsheets/d/1-uDff_7J0KD5mKrp0Vvzr7lt3OU09vwQwhkpOPPYv2Y/edit?usp=sharing"",""งบพรบ!CV63"")"),0)</f>
        <v>0</v>
      </c>
      <c r="F63" s="176">
        <f ca="1">IFERROR(__xludf.DUMMYFUNCTION("IMPORTRANGE(""https://docs.google.com/spreadsheets/d/1-uDff_7J0KD5mKrp0Vvzr7lt3OU09vwQwhkpOPPYv2Y/edit?usp=sharing"",""งบพรบ!CW63"")"),78100)</f>
        <v>78100</v>
      </c>
      <c r="G63" s="176">
        <f ca="1">IFERROR(__xludf.DUMMYFUNCTION("IMPORTRANGE(""https://docs.google.com/spreadsheets/d/1-uDff_7J0KD5mKrp0Vvzr7lt3OU09vwQwhkpOPPYv2Y/edit?usp=sharing"",""งบพรบ!CX63"")"),0)</f>
        <v>0</v>
      </c>
      <c r="H63" s="176">
        <f ca="1">IFERROR(__xludf.DUMMYFUNCTION("IMPORTRANGE(""https://docs.google.com/spreadsheets/d/1-uDff_7J0KD5mKrp0Vvzr7lt3OU09vwQwhkpOPPYv2Y/edit?usp=sharing"",""งบพรบ!CZ63"")"),81260)</f>
        <v>81260</v>
      </c>
      <c r="I63" s="176">
        <f ca="1">IFERROR(__xludf.DUMMYFUNCTION("IMPORTRANGE(""https://docs.google.com/spreadsheets/d/1-uDff_7J0KD5mKrp0Vvzr7lt3OU09vwQwhkpOPPYv2Y/edit?usp=sharing"",""งบพรบ!DA63"")"),0)</f>
        <v>0</v>
      </c>
      <c r="J63" s="176">
        <f t="shared" ca="1" si="82"/>
        <v>20360</v>
      </c>
      <c r="K63" s="179">
        <f t="shared" ca="1" si="83"/>
        <v>26.069142125480155</v>
      </c>
      <c r="L63" s="176">
        <f ca="1">IFERROR(__xludf.DUMMYFUNCTION("IMPORTRANGE(""https://docs.google.com/spreadsheets/d/1-uDff_7J0KD5mKrp0Vvzr7lt3OU09vwQwhkpOPPYv2Y/edit?usp=sharing"",""งบพรบ!DB63"")"),20360)</f>
        <v>20360</v>
      </c>
      <c r="M63" s="87">
        <f t="shared" ca="1" si="84"/>
        <v>26.069142125480155</v>
      </c>
      <c r="N63" s="87">
        <f t="shared" ca="1" si="85"/>
        <v>25.055377799655428</v>
      </c>
      <c r="O63" s="86">
        <f ca="1">IFERROR(__xludf.DUMMYFUNCTION("IMPORTRANGE(""https://docs.google.com/spreadsheets/d/1-uDff_7J0KD5mKrp0Vvzr7lt3OU09vwQwhkpOPPYv2Y/edit?usp=sharing"",""งบพรบ!DC63"")"),0)</f>
        <v>0</v>
      </c>
      <c r="P63" s="86">
        <f t="shared" ca="1" si="86"/>
        <v>0</v>
      </c>
      <c r="Q63" s="87">
        <f t="shared" ca="1" si="87"/>
        <v>0</v>
      </c>
      <c r="R63" s="241">
        <f ca="1">IFERROR(__xludf.DUMMYFUNCTION("IMPORTRANGE(""https://docs.google.com/spreadsheets/d/1vVf6wykvW_lAyu7Yo9L4hUTqHqIeP_qcVuxCtosJEbg/edit?usp=sharing"",""ปราจีนบุรี!Q186"")"),42000)</f>
        <v>42000</v>
      </c>
      <c r="S63" s="242">
        <f ca="1">IFERROR(__xludf.DUMMYFUNCTION("IMPORTRANGE(""https://docs.google.com/spreadsheets/d/1vVf6wykvW_lAyu7Yo9L4hUTqHqIeP_qcVuxCtosJEbg/edit?usp=sharing"",""ปราจีนบุรี!R186"")"),0)</f>
        <v>0</v>
      </c>
      <c r="T63" s="242">
        <f ca="1">IFERROR(__xludf.DUMMYFUNCTION("IMPORTRANGE(""https://docs.google.com/spreadsheets/d/1vVf6wykvW_lAyu7Yo9L4hUTqHqIeP_qcVuxCtosJEbg/edit?usp=sharing"",""ปราจีนบุรี!S186"")"),0)</f>
        <v>0</v>
      </c>
      <c r="U63" s="243">
        <f t="shared" ca="1" si="89"/>
        <v>0</v>
      </c>
      <c r="V63" s="243">
        <f t="shared" ca="1" si="90"/>
        <v>0</v>
      </c>
      <c r="W63" s="97">
        <f ca="1">IFERROR(__xludf.DUMMYFUNCTION("IMPORTRANGE(""https://docs.google.com/spreadsheets/d/1vVf6wykvW_lAyu7Yo9L4hUTqHqIeP_qcVuxCtosJEbg/edit?usp=sharing"",""ปราจีนบุรี!L196"")"),6000)</f>
        <v>6000</v>
      </c>
      <c r="X63" s="97">
        <f ca="1">IFERROR(__xludf.DUMMYFUNCTION("IMPORTRANGE(""https://docs.google.com/spreadsheets/d/1vVf6wykvW_lAyu7Yo9L4hUTqHqIeP_qcVuxCtosJEbg/edit?usp=sharing"",""ปราจีนบุรี!N196"")"),0)</f>
        <v>0</v>
      </c>
      <c r="Y63" s="98">
        <f t="shared" ca="1" si="92"/>
        <v>0</v>
      </c>
      <c r="Z63" s="97">
        <f ca="1">IFERROR(__xludf.DUMMYFUNCTION("IMPORTRANGE(""https://docs.google.com/spreadsheets/d/1vVf6wykvW_lAyu7Yo9L4hUTqHqIeP_qcVuxCtosJEbg/edit?usp=sharing"",""ปราจีนบุรี!I198"")"),4)</f>
        <v>4</v>
      </c>
      <c r="AA63" s="97">
        <f ca="1">IFERROR(__xludf.DUMMYFUNCTION("IMPORTRANGE(""https://docs.google.com/spreadsheets/d/1vVf6wykvW_lAyu7Yo9L4hUTqHqIeP_qcVuxCtosJEbg/edit?usp=sharing"",""ปราจีนบุรี!J198"")"),0)</f>
        <v>0</v>
      </c>
      <c r="AB63" s="98">
        <f t="shared" ca="1" si="94"/>
        <v>0</v>
      </c>
      <c r="AC63" s="97">
        <f ca="1">IFERROR(__xludf.DUMMYFUNCTION("IMPORTRANGE(""https://docs.google.com/spreadsheets/d/1vVf6wykvW_lAyu7Yo9L4hUTqHqIeP_qcVuxCtosJEbg/edit?usp=sharing"",""ปราจีนบุรี!J199"")"),0)</f>
        <v>0</v>
      </c>
      <c r="AD63" s="97">
        <f ca="1">IFERROR(__xludf.DUMMYFUNCTION("IMPORTRANGE(""https://docs.google.com/spreadsheets/d/1vVf6wykvW_lAyu7Yo9L4hUTqHqIeP_qcVuxCtosJEbg/edit?usp=sharing"",""ปราจีนบุรี!J200"")"),0)</f>
        <v>0</v>
      </c>
      <c r="AE63" s="97">
        <f ca="1">IFERROR(__xludf.DUMMYFUNCTION("IMPORTRANGE(""https://docs.google.com/spreadsheets/d/1vVf6wykvW_lAyu7Yo9L4hUTqHqIeP_qcVuxCtosJEbg/edit?usp=sharing"",""ปราจีนบุรี!J201"")"),0)</f>
        <v>0</v>
      </c>
      <c r="AF63" s="97">
        <f ca="1">IFERROR(__xludf.DUMMYFUNCTION("IMPORTRANGE(""https://docs.google.com/spreadsheets/d/1vVf6wykvW_lAyu7Yo9L4hUTqHqIeP_qcVuxCtosJEbg/edit?usp=sharing"",""ปราจีนบุรี!L204"")"),2000)</f>
        <v>2000</v>
      </c>
      <c r="AG63" s="97">
        <f ca="1">IFERROR(__xludf.DUMMYFUNCTION("IMPORTRANGE(""https://docs.google.com/spreadsheets/d/1vVf6wykvW_lAyu7Yo9L4hUTqHqIeP_qcVuxCtosJEbg/edit?usp=sharing"",""ปราจีนบุรี!N204"")"),0)</f>
        <v>0</v>
      </c>
      <c r="AH63" s="98">
        <f t="shared" ca="1" si="96"/>
        <v>0</v>
      </c>
      <c r="AI63" s="97">
        <f ca="1">IFERROR(__xludf.DUMMYFUNCTION("IMPORTRANGE(""https://docs.google.com/spreadsheets/d/1vVf6wykvW_lAyu7Yo9L4hUTqHqIeP_qcVuxCtosJEbg/edit?usp=sharing"",""ปราจีนบุรี!L206"")"),16000)</f>
        <v>16000</v>
      </c>
      <c r="AJ63" s="97">
        <f ca="1">IFERROR(__xludf.DUMMYFUNCTION("IMPORTRANGE(""https://docs.google.com/spreadsheets/d/1vVf6wykvW_lAyu7Yo9L4hUTqHqIeP_qcVuxCtosJEbg/edit?usp=sharing"",""ปราจีนบุรี!N206"")"),0)</f>
        <v>0</v>
      </c>
      <c r="AK63" s="98">
        <f t="shared" ca="1" si="98"/>
        <v>0</v>
      </c>
      <c r="AL63" s="97">
        <f ca="1">IFERROR(__xludf.DUMMYFUNCTION("IMPORTRANGE(""https://docs.google.com/spreadsheets/d/1vVf6wykvW_lAyu7Yo9L4hUTqHqIeP_qcVuxCtosJEbg/edit?usp=sharing"",""ปราจีนบุรี!L207"")"),8000)</f>
        <v>8000</v>
      </c>
      <c r="AM63" s="97">
        <f ca="1">IFERROR(__xludf.DUMMYFUNCTION("IMPORTRANGE(""https://docs.google.com/spreadsheets/d/1vVf6wykvW_lAyu7Yo9L4hUTqHqIeP_qcVuxCtosJEbg/edit?usp=sharing"",""ปราจีนบุรี!N207"")"),0)</f>
        <v>0</v>
      </c>
      <c r="AN63" s="98">
        <f t="shared" ca="1" si="100"/>
        <v>0</v>
      </c>
      <c r="AO63" s="97">
        <f ca="1">IFERROR(__xludf.DUMMYFUNCTION("IMPORTRANGE(""https://docs.google.com/spreadsheets/d/1vVf6wykvW_lAyu7Yo9L4hUTqHqIeP_qcVuxCtosJEbg/edit?usp=sharing"",""ปราจีนบุรี!I209"")"),2)</f>
        <v>2</v>
      </c>
      <c r="AP63" s="97">
        <f ca="1">IFERROR(__xludf.DUMMYFUNCTION("IMPORTRANGE(""https://docs.google.com/spreadsheets/d/1vVf6wykvW_lAyu7Yo9L4hUTqHqIeP_qcVuxCtosJEbg/edit?usp=sharing"",""ปราจีนบุรี!J209"")"),0)</f>
        <v>0</v>
      </c>
      <c r="AQ63" s="98">
        <f t="shared" ca="1" si="102"/>
        <v>0</v>
      </c>
      <c r="AR63" s="97">
        <f ca="1">IFERROR(__xludf.DUMMYFUNCTION("IMPORTRANGE(""https://docs.google.com/spreadsheets/d/1vVf6wykvW_lAyu7Yo9L4hUTqHqIeP_qcVuxCtosJEbg/edit?usp=sharing"",""ปราจีนบุรี!J211"")"),0)</f>
        <v>0</v>
      </c>
      <c r="AS63" s="97">
        <f ca="1">IFERROR(__xludf.DUMMYFUNCTION("IMPORTRANGE(""https://docs.google.com/spreadsheets/d/1vVf6wykvW_lAyu7Yo9L4hUTqHqIeP_qcVuxCtosJEbg/edit?usp=sharing"",""ปราจีนบุรี!J212"")"),0)</f>
        <v>0</v>
      </c>
      <c r="AT63" s="97">
        <f ca="1">IFERROR(__xludf.DUMMYFUNCTION("IMPORTRANGE(""https://docs.google.com/spreadsheets/d/1vVf6wykvW_lAyu7Yo9L4hUTqHqIeP_qcVuxCtosJEbg/edit?usp=sharing"",""ปราจีนบุรี!L215"")"),0)</f>
        <v>0</v>
      </c>
      <c r="AU63" s="97">
        <f ca="1">IFERROR(__xludf.DUMMYFUNCTION("IMPORTRANGE(""https://docs.google.com/spreadsheets/d/1vVf6wykvW_lAyu7Yo9L4hUTqHqIeP_qcVuxCtosJEbg/edit?usp=sharing"",""ปราจีนบุรี!N215"")"),0)</f>
        <v>0</v>
      </c>
      <c r="AV63" s="98">
        <f t="shared" ca="1" si="104"/>
        <v>0</v>
      </c>
      <c r="AW63" s="97">
        <f ca="1">IFERROR(__xludf.DUMMYFUNCTION("IMPORTRANGE(""https://docs.google.com/spreadsheets/d/1vVf6wykvW_lAyu7Yo9L4hUTqHqIeP_qcVuxCtosJEbg/edit?usp=sharing"",""ปราจีนบุรี!L216"")"),0)</f>
        <v>0</v>
      </c>
      <c r="AX63" s="97">
        <f ca="1">IFERROR(__xludf.DUMMYFUNCTION("IMPORTRANGE(""https://docs.google.com/spreadsheets/d/1vVf6wykvW_lAyu7Yo9L4hUTqHqIeP_qcVuxCtosJEbg/edit?usp=sharing"",""ปราจีนบุรี!N216"")"),0)</f>
        <v>0</v>
      </c>
      <c r="AY63" s="98">
        <f t="shared" ca="1" si="106"/>
        <v>0</v>
      </c>
      <c r="AZ63" s="97">
        <f ca="1">IFERROR(__xludf.DUMMYFUNCTION("IMPORTRANGE(""https://docs.google.com/spreadsheets/d/1vVf6wykvW_lAyu7Yo9L4hUTqHqIeP_qcVuxCtosJEbg/edit?usp=sharing"",""ปราจีนบุรี!L217"")"),0)</f>
        <v>0</v>
      </c>
      <c r="BA63" s="97">
        <f ca="1">IFERROR(__xludf.DUMMYFUNCTION("IMPORTRANGE(""https://docs.google.com/spreadsheets/d/1vVf6wykvW_lAyu7Yo9L4hUTqHqIeP_qcVuxCtosJEbg/edit?usp=sharing"",""ปราจีนบุรี!N217"")"),0)</f>
        <v>0</v>
      </c>
      <c r="BB63" s="98">
        <f t="shared" ca="1" si="108"/>
        <v>0</v>
      </c>
      <c r="BC63" s="97">
        <f ca="1">IFERROR(__xludf.DUMMYFUNCTION("IMPORTRANGE(""https://docs.google.com/spreadsheets/d/1vVf6wykvW_lAyu7Yo9L4hUTqHqIeP_qcVuxCtosJEbg/edit?usp=sharing"",""ปราจีนบุรี!I219"")"),0)</f>
        <v>0</v>
      </c>
      <c r="BD63" s="97">
        <f ca="1">IFERROR(__xludf.DUMMYFUNCTION("IMPORTRANGE(""https://docs.google.com/spreadsheets/d/1vVf6wykvW_lAyu7Yo9L4hUTqHqIeP_qcVuxCtosJEbg/edit?usp=sharing"",""ปราจีนบุรี!J219"")"),0)</f>
        <v>0</v>
      </c>
      <c r="BE63" s="98">
        <f t="shared" ca="1" si="110"/>
        <v>0</v>
      </c>
      <c r="BF63" s="97">
        <f ca="1">IFERROR(__xludf.DUMMYFUNCTION("IMPORTRANGE(""https://docs.google.com/spreadsheets/d/1vVf6wykvW_lAyu7Yo9L4hUTqHqIeP_qcVuxCtosJEbg/edit?usp=sharing"",""ปราจีนบุรี!I220"")"),0)</f>
        <v>0</v>
      </c>
      <c r="BG63" s="97">
        <f ca="1">IFERROR(__xludf.DUMMYFUNCTION("IMPORTRANGE(""https://docs.google.com/spreadsheets/d/1vVf6wykvW_lAyu7Yo9L4hUTqHqIeP_qcVuxCtosJEbg/edit?usp=sharing"",""ปราจีนบุรี!J220"")"),0)</f>
        <v>0</v>
      </c>
      <c r="BH63" s="98">
        <f t="shared" ca="1" si="112"/>
        <v>0</v>
      </c>
      <c r="BI63" s="97">
        <f ca="1">IFERROR(__xludf.DUMMYFUNCTION("IMPORTRANGE(""https://docs.google.com/spreadsheets/d/1vVf6wykvW_lAyu7Yo9L4hUTqHqIeP_qcVuxCtosJEbg/edit?usp=sharing"",""ปราจีนบุรี!L223"")"),3000)</f>
        <v>3000</v>
      </c>
      <c r="BJ63" s="97">
        <f ca="1">IFERROR(__xludf.DUMMYFUNCTION("IMPORTRANGE(""https://docs.google.com/spreadsheets/d/1vVf6wykvW_lAyu7Yo9L4hUTqHqIeP_qcVuxCtosJEbg/edit?usp=sharing"",""ปราจีนบุรี!N223"")"),0)</f>
        <v>0</v>
      </c>
      <c r="BK63" s="98">
        <f t="shared" ca="1" si="114"/>
        <v>0</v>
      </c>
      <c r="BL63" s="97">
        <f ca="1">IFERROR(__xludf.DUMMYFUNCTION("IMPORTRANGE(""https://docs.google.com/spreadsheets/d/1vVf6wykvW_lAyu7Yo9L4hUTqHqIeP_qcVuxCtosJEbg/edit?usp=sharing"",""ปราจีนบุรี!L224"")"),1500)</f>
        <v>1500</v>
      </c>
      <c r="BM63" s="97">
        <f ca="1">IFERROR(__xludf.DUMMYFUNCTION("IMPORTRANGE(""https://docs.google.com/spreadsheets/d/1vVf6wykvW_lAyu7Yo9L4hUTqHqIeP_qcVuxCtosJEbg/edit?usp=sharing"",""ปราจีนบุรี!N224"")"),0)</f>
        <v>0</v>
      </c>
      <c r="BN63" s="98">
        <f t="shared" ca="1" si="116"/>
        <v>0</v>
      </c>
      <c r="BO63" s="97">
        <f ca="1">IFERROR(__xludf.DUMMYFUNCTION("IMPORTRANGE(""https://docs.google.com/spreadsheets/d/1vVf6wykvW_lAyu7Yo9L4hUTqHqIeP_qcVuxCtosJEbg/edit?usp=sharing"",""ปราจีนบุรี!I228"")"),20000)</f>
        <v>20000</v>
      </c>
      <c r="BP63" s="97">
        <f ca="1">IFERROR(__xludf.DUMMYFUNCTION("IMPORTRANGE(""https://docs.google.com/spreadsheets/d/1vVf6wykvW_lAyu7Yo9L4hUTqHqIeP_qcVuxCtosJEbg/edit?usp=sharing"",""ปราจีนบุรี!J228"")"),0)</f>
        <v>0</v>
      </c>
      <c r="BQ63" s="98">
        <f t="shared" ca="1" si="118"/>
        <v>0</v>
      </c>
      <c r="BR63" s="97">
        <f ca="1">IFERROR(__xludf.DUMMYFUNCTION("IMPORTRANGE(""https://docs.google.com/spreadsheets/d/1vVf6wykvW_lAyu7Yo9L4hUTqHqIeP_qcVuxCtosJEbg/edit?usp=sharing"",""ปราจีนบุรี!I229"")"),20000)</f>
        <v>20000</v>
      </c>
      <c r="BS63" s="97">
        <f ca="1">IFERROR(__xludf.DUMMYFUNCTION("IMPORTRANGE(""https://docs.google.com/spreadsheets/d/1vVf6wykvW_lAyu7Yo9L4hUTqHqIeP_qcVuxCtosJEbg/edit?usp=sharing"",""ปราจีนบุรี!J229"")"),0)</f>
        <v>0</v>
      </c>
      <c r="BT63" s="98">
        <f t="shared" ca="1" si="120"/>
        <v>0</v>
      </c>
      <c r="BU63" s="97">
        <f ca="1">IFERROR(__xludf.DUMMYFUNCTION("IMPORTRANGE(""https://docs.google.com/spreadsheets/d/1vVf6wykvW_lAyu7Yo9L4hUTqHqIeP_qcVuxCtosJEbg/edit?usp=sharing"",""ปราจีนบุรี!I230"")"),0)</f>
        <v>0</v>
      </c>
      <c r="BV63" s="97">
        <f ca="1">IFERROR(__xludf.DUMMYFUNCTION("IMPORTRANGE(""https://docs.google.com/spreadsheets/d/1vVf6wykvW_lAyu7Yo9L4hUTqHqIeP_qcVuxCtosJEbg/edit?usp=sharing"",""ปราจีนบุรี!J230"")"),0)</f>
        <v>0</v>
      </c>
      <c r="BW63" s="98">
        <f t="shared" ca="1" si="122"/>
        <v>0</v>
      </c>
      <c r="BX63" s="97">
        <f ca="1">IFERROR(__xludf.DUMMYFUNCTION("IMPORTRANGE(""https://docs.google.com/spreadsheets/d/1vVf6wykvW_lAyu7Yo9L4hUTqHqIeP_qcVuxCtosJEbg/edit?usp=sharing"",""ปราจีนบุรี!L233"")"),5000)</f>
        <v>5000</v>
      </c>
      <c r="BY63" s="97">
        <f ca="1">IFERROR(__xludf.DUMMYFUNCTION("IMPORTRANGE(""https://docs.google.com/spreadsheets/d/1vVf6wykvW_lAyu7Yo9L4hUTqHqIeP_qcVuxCtosJEbg/edit?usp=sharing"",""ปราจีนบุรี!N233"")"),0)</f>
        <v>0</v>
      </c>
      <c r="BZ63" s="98">
        <f t="shared" ca="1" si="124"/>
        <v>0</v>
      </c>
      <c r="CA63" s="97">
        <f ca="1">IFERROR(__xludf.DUMMYFUNCTION("IMPORTRANGE(""https://docs.google.com/spreadsheets/d/1vVf6wykvW_lAyu7Yo9L4hUTqHqIeP_qcVuxCtosJEbg/edit?usp=sharing"",""ปราจีนบุรี!L234"")"),2000)</f>
        <v>2000</v>
      </c>
      <c r="CB63" s="97">
        <f ca="1">IFERROR(__xludf.DUMMYFUNCTION("IMPORTRANGE(""https://docs.google.com/spreadsheets/d/1vVf6wykvW_lAyu7Yo9L4hUTqHqIeP_qcVuxCtosJEbg/edit?usp=sharing"",""ปราจีนบุรี!N234"")"),0)</f>
        <v>0</v>
      </c>
      <c r="CC63" s="98">
        <f t="shared" ca="1" si="126"/>
        <v>0</v>
      </c>
      <c r="CD63" s="97">
        <f ca="1">IFERROR(__xludf.DUMMYFUNCTION("IMPORTRANGE(""https://docs.google.com/spreadsheets/d/1vVf6wykvW_lAyu7Yo9L4hUTqHqIeP_qcVuxCtosJEbg/edit?usp=sharing"",""ปราจีนบุรี!L235"")"),15600)</f>
        <v>15600</v>
      </c>
      <c r="CE63" s="97">
        <f ca="1">IFERROR(__xludf.DUMMYFUNCTION("IMPORTRANGE(""https://docs.google.com/spreadsheets/d/1vVf6wykvW_lAyu7Yo9L4hUTqHqIeP_qcVuxCtosJEbg/edit?usp=sharing"",""ปราจีนบุรี!N235"")"),0)</f>
        <v>0</v>
      </c>
      <c r="CF63" s="98">
        <f t="shared" ca="1" si="128"/>
        <v>0</v>
      </c>
      <c r="CG63" s="97">
        <f ca="1">IFERROR(__xludf.DUMMYFUNCTION("IMPORTRANGE(""https://docs.google.com/spreadsheets/d/1vVf6wykvW_lAyu7Yo9L4hUTqHqIeP_qcVuxCtosJEbg/edit?usp=sharing"",""ปราจีนบุรี!L236"")"),19000)</f>
        <v>19000</v>
      </c>
      <c r="CH63" s="97">
        <f ca="1">IFERROR(__xludf.DUMMYFUNCTION("IMPORTRANGE(""https://docs.google.com/spreadsheets/d/1vVf6wykvW_lAyu7Yo9L4hUTqHqIeP_qcVuxCtosJEbg/edit?usp=sharing"",""ปราจีนบุรี!N236"")"),0)</f>
        <v>0</v>
      </c>
      <c r="CI63" s="98">
        <f t="shared" ca="1" si="130"/>
        <v>0</v>
      </c>
      <c r="CJ63" s="97">
        <f ca="1">IFERROR(__xludf.DUMMYFUNCTION("IMPORTRANGE(""https://docs.google.com/spreadsheets/d/1vVf6wykvW_lAyu7Yo9L4hUTqHqIeP_qcVuxCtosJEbg/edit?usp=sharing"",""ปราจีนบุรี!I238"")"),20)</f>
        <v>20</v>
      </c>
      <c r="CK63" s="97">
        <f ca="1">IFERROR(__xludf.DUMMYFUNCTION("IMPORTRANGE(""https://docs.google.com/spreadsheets/d/1vVf6wykvW_lAyu7Yo9L4hUTqHqIeP_qcVuxCtosJEbg/edit?usp=sharing"",""ปราจีนบุรี!J238"")"),0)</f>
        <v>0</v>
      </c>
      <c r="CL63" s="98">
        <f t="shared" ca="1" si="132"/>
        <v>0</v>
      </c>
      <c r="CM63" s="97">
        <f ca="1">IFERROR(__xludf.DUMMYFUNCTION("IMPORTRANGE(""https://docs.google.com/spreadsheets/d/1vVf6wykvW_lAyu7Yo9L4hUTqHqIeP_qcVuxCtosJEbg/edit?usp=sharing"",""ปราจีนบุรี!J240"")"),0)</f>
        <v>0</v>
      </c>
      <c r="CN63" s="97">
        <f ca="1">IFERROR(__xludf.DUMMYFUNCTION("IMPORTRANGE(""https://docs.google.com/spreadsheets/d/1vVf6wykvW_lAyu7Yo9L4hUTqHqIeP_qcVuxCtosJEbg/edit?usp=sharing"",""ปราจีนบุรี!J241"")"),0)</f>
        <v>0</v>
      </c>
    </row>
    <row r="64" spans="1:92" ht="21" customHeight="1" x14ac:dyDescent="0.3">
      <c r="A64" s="89">
        <v>12</v>
      </c>
      <c r="B64" s="90" t="s">
        <v>90</v>
      </c>
      <c r="C64" s="174">
        <f t="shared" ca="1" si="80"/>
        <v>513700</v>
      </c>
      <c r="D64" s="175">
        <f t="shared" ca="1" si="184"/>
        <v>513700</v>
      </c>
      <c r="E64" s="176">
        <f ca="1">IFERROR(__xludf.DUMMYFUNCTION("IMPORTRANGE(""https://docs.google.com/spreadsheets/d/1-uDff_7J0KD5mKrp0Vvzr7lt3OU09vwQwhkpOPPYv2Y/edit?usp=sharing"",""งบพรบ!CV64"")"),263600)</f>
        <v>263600</v>
      </c>
      <c r="F64" s="176">
        <f ca="1">IFERROR(__xludf.DUMMYFUNCTION("IMPORTRANGE(""https://docs.google.com/spreadsheets/d/1-uDff_7J0KD5mKrp0Vvzr7lt3OU09vwQwhkpOPPYv2Y/edit?usp=sharing"",""งบพรบ!CW64"")"),250100)</f>
        <v>250100</v>
      </c>
      <c r="G64" s="176">
        <f ca="1">IFERROR(__xludf.DUMMYFUNCTION("IMPORTRANGE(""https://docs.google.com/spreadsheets/d/1-uDff_7J0KD5mKrp0Vvzr7lt3OU09vwQwhkpOPPYv2Y/edit?usp=sharing"",""งบพรบ!CX64"")"),0)</f>
        <v>0</v>
      </c>
      <c r="H64" s="176">
        <f ca="1">IFERROR(__xludf.DUMMYFUNCTION("IMPORTRANGE(""https://docs.google.com/spreadsheets/d/1-uDff_7J0KD5mKrp0Vvzr7lt3OU09vwQwhkpOPPYv2Y/edit?usp=sharing"",""งบพรบ!CZ64"")"),666945)</f>
        <v>666945</v>
      </c>
      <c r="I64" s="176">
        <f ca="1">IFERROR(__xludf.DUMMYFUNCTION("IMPORTRANGE(""https://docs.google.com/spreadsheets/d/1-uDff_7J0KD5mKrp0Vvzr7lt3OU09vwQwhkpOPPYv2Y/edit?usp=sharing"",""งบพรบ!DA64"")"),0)</f>
        <v>0</v>
      </c>
      <c r="J64" s="176">
        <f t="shared" ca="1" si="82"/>
        <v>311419.39</v>
      </c>
      <c r="K64" s="179">
        <f t="shared" ca="1" si="83"/>
        <v>60.6228129258322</v>
      </c>
      <c r="L64" s="176">
        <f ca="1">IFERROR(__xludf.DUMMYFUNCTION("IMPORTRANGE(""https://docs.google.com/spreadsheets/d/1-uDff_7J0KD5mKrp0Vvzr7lt3OU09vwQwhkpOPPYv2Y/edit?usp=sharing"",""งบพรบ!DB64"")"),311419.39)</f>
        <v>311419.39</v>
      </c>
      <c r="M64" s="87">
        <f t="shared" ca="1" si="84"/>
        <v>60.6228129258322</v>
      </c>
      <c r="N64" s="87">
        <f t="shared" ca="1" si="85"/>
        <v>46.693413999655142</v>
      </c>
      <c r="O64" s="86">
        <f ca="1">IFERROR(__xludf.DUMMYFUNCTION("IMPORTRANGE(""https://docs.google.com/spreadsheets/d/1-uDff_7J0KD5mKrp0Vvzr7lt3OU09vwQwhkpOPPYv2Y/edit?usp=sharing"",""งบพรบ!DC64"")"),0)</f>
        <v>0</v>
      </c>
      <c r="P64" s="86">
        <f t="shared" ca="1" si="86"/>
        <v>0</v>
      </c>
      <c r="Q64" s="87">
        <f t="shared" ca="1" si="87"/>
        <v>0</v>
      </c>
      <c r="R64" s="241">
        <f ca="1">IFERROR(__xludf.DUMMYFUNCTION("IMPORTRANGE(""https://docs.google.com/spreadsheets/d/1BIDqLLg5jk3v59G8NlR8rk5xfQDKne0sAvZHSj7TI6I/edit?usp=sharing"",""พระนครศรีอยุธยา!Q186"")"),84000)</f>
        <v>84000</v>
      </c>
      <c r="S64" s="242">
        <f ca="1">IFERROR(__xludf.DUMMYFUNCTION("IMPORTRANGE(""https://docs.google.com/spreadsheets/d/1BIDqLLg5jk3v59G8NlR8rk5xfQDKne0sAvZHSj7TI6I/edit?usp=sharing"",""พระนครศรีอยุธยา!R186"")"),0)</f>
        <v>0</v>
      </c>
      <c r="T64" s="242">
        <f ca="1">IFERROR(__xludf.DUMMYFUNCTION("IMPORTRANGE(""https://docs.google.com/spreadsheets/d/1BIDqLLg5jk3v59G8NlR8rk5xfQDKne0sAvZHSj7TI6I/edit?usp=sharing"",""พระนครศรีอยุธยา!S186"")"),0)</f>
        <v>0</v>
      </c>
      <c r="U64" s="243">
        <f t="shared" ca="1" si="89"/>
        <v>0</v>
      </c>
      <c r="V64" s="243">
        <f t="shared" ca="1" si="90"/>
        <v>0</v>
      </c>
      <c r="W64" s="97">
        <f ca="1">IFERROR(__xludf.DUMMYFUNCTION("IMPORTRANGE(""https://docs.google.com/spreadsheets/d/1BIDqLLg5jk3v59G8NlR8rk5xfQDKne0sAvZHSj7TI6I/edit?usp=sharing"",""พระนครศรีอยุธยา!L196"")"),6000)</f>
        <v>6000</v>
      </c>
      <c r="X64" s="97">
        <f ca="1">IFERROR(__xludf.DUMMYFUNCTION("IMPORTRANGE(""https://docs.google.com/spreadsheets/d/1BIDqLLg5jk3v59G8NlR8rk5xfQDKne0sAvZHSj7TI6I/edit?usp=sharing"",""พระนครศรีอยุธยา!N196"")"),1360)</f>
        <v>1360</v>
      </c>
      <c r="Y64" s="98">
        <f t="shared" ca="1" si="92"/>
        <v>22.666666666666668</v>
      </c>
      <c r="Z64" s="97">
        <f ca="1">IFERROR(__xludf.DUMMYFUNCTION("IMPORTRANGE(""https://docs.google.com/spreadsheets/d/1BIDqLLg5jk3v59G8NlR8rk5xfQDKne0sAvZHSj7TI6I/edit?usp=sharing"",""พระนครศรีอยุธยา!I198"")"),4)</f>
        <v>4</v>
      </c>
      <c r="AA64" s="97">
        <f ca="1">IFERROR(__xludf.DUMMYFUNCTION("IMPORTRANGE(""https://docs.google.com/spreadsheets/d/1BIDqLLg5jk3v59G8NlR8rk5xfQDKne0sAvZHSj7TI6I/edit?usp=sharing"",""พระนครศรีอยุธยา!J198"")"),1)</f>
        <v>1</v>
      </c>
      <c r="AB64" s="98">
        <f t="shared" ca="1" si="94"/>
        <v>25</v>
      </c>
      <c r="AC64" s="97">
        <f ca="1">IFERROR(__xludf.DUMMYFUNCTION("IMPORTRANGE(""https://docs.google.com/spreadsheets/d/1BIDqLLg5jk3v59G8NlR8rk5xfQDKne0sAvZHSj7TI6I/edit?usp=sharing"",""พระนครศรีอยุธยา!J199"")"),26)</f>
        <v>26</v>
      </c>
      <c r="AD64" s="97">
        <f ca="1">IFERROR(__xludf.DUMMYFUNCTION("IMPORTRANGE(""https://docs.google.com/spreadsheets/d/1BIDqLLg5jk3v59G8NlR8rk5xfQDKne0sAvZHSj7TI6I/edit?usp=sharing"",""พระนครศรีอยุธยา!J200"")"),26)</f>
        <v>26</v>
      </c>
      <c r="AE64" s="97">
        <f ca="1">IFERROR(__xludf.DUMMYFUNCTION("IMPORTRANGE(""https://docs.google.com/spreadsheets/d/1BIDqLLg5jk3v59G8NlR8rk5xfQDKne0sAvZHSj7TI6I/edit?usp=sharing"",""พระนครศรีอยุธยา!J201"")"),0)</f>
        <v>0</v>
      </c>
      <c r="AF64" s="97">
        <f ca="1">IFERROR(__xludf.DUMMYFUNCTION("IMPORTRANGE(""https://docs.google.com/spreadsheets/d/1BIDqLLg5jk3v59G8NlR8rk5xfQDKne0sAvZHSj7TI6I/edit?usp=sharing"",""พระนครศรีอยุธยา!L204"")"),2000)</f>
        <v>2000</v>
      </c>
      <c r="AG64" s="97">
        <f ca="1">IFERROR(__xludf.DUMMYFUNCTION("IMPORTRANGE(""https://docs.google.com/spreadsheets/d/1BIDqLLg5jk3v59G8NlR8rk5xfQDKne0sAvZHSj7TI6I/edit?usp=sharing"",""พระนครศรีอยุธยา!N204"")"),0)</f>
        <v>0</v>
      </c>
      <c r="AH64" s="98">
        <f t="shared" ca="1" si="96"/>
        <v>0</v>
      </c>
      <c r="AI64" s="97">
        <f ca="1">IFERROR(__xludf.DUMMYFUNCTION("IMPORTRANGE(""https://docs.google.com/spreadsheets/d/1BIDqLLg5jk3v59G8NlR8rk5xfQDKne0sAvZHSj7TI6I/edit?usp=sharing"",""พระนครศรีอยุธยา!L206"")"),16000)</f>
        <v>16000</v>
      </c>
      <c r="AJ64" s="97">
        <f ca="1">IFERROR(__xludf.DUMMYFUNCTION("IMPORTRANGE(""https://docs.google.com/spreadsheets/d/1BIDqLLg5jk3v59G8NlR8rk5xfQDKne0sAvZHSj7TI6I/edit?usp=sharing"",""พระนครศรีอยุธยา!N206"")"),0)</f>
        <v>0</v>
      </c>
      <c r="AK64" s="98">
        <f t="shared" ca="1" si="98"/>
        <v>0</v>
      </c>
      <c r="AL64" s="97">
        <f ca="1">IFERROR(__xludf.DUMMYFUNCTION("IMPORTRANGE(""https://docs.google.com/spreadsheets/d/1BIDqLLg5jk3v59G8NlR8rk5xfQDKne0sAvZHSj7TI6I/edit?usp=sharing"",""พระนครศรีอยุธยา!L207"")"),8000)</f>
        <v>8000</v>
      </c>
      <c r="AM64" s="97">
        <f ca="1">IFERROR(__xludf.DUMMYFUNCTION("IMPORTRANGE(""https://docs.google.com/spreadsheets/d/1BIDqLLg5jk3v59G8NlR8rk5xfQDKne0sAvZHSj7TI6I/edit?usp=sharing"",""พระนครศรีอยุธยา!N207"")"),0)</f>
        <v>0</v>
      </c>
      <c r="AN64" s="98">
        <f t="shared" ca="1" si="100"/>
        <v>0</v>
      </c>
      <c r="AO64" s="97">
        <f ca="1">IFERROR(__xludf.DUMMYFUNCTION("IMPORTRANGE(""https://docs.google.com/spreadsheets/d/1BIDqLLg5jk3v59G8NlR8rk5xfQDKne0sAvZHSj7TI6I/edit?usp=sharing"",""พระนครศรีอยุธยา!I209"")"),2)</f>
        <v>2</v>
      </c>
      <c r="AP64" s="97">
        <f ca="1">IFERROR(__xludf.DUMMYFUNCTION("IMPORTRANGE(""https://docs.google.com/spreadsheets/d/1BIDqLLg5jk3v59G8NlR8rk5xfQDKne0sAvZHSj7TI6I/edit?usp=sharing"",""พระนครศรีอยุธยา!J209"")"),0)</f>
        <v>0</v>
      </c>
      <c r="AQ64" s="98">
        <f t="shared" ca="1" si="102"/>
        <v>0</v>
      </c>
      <c r="AR64" s="97">
        <f ca="1">IFERROR(__xludf.DUMMYFUNCTION("IMPORTRANGE(""https://docs.google.com/spreadsheets/d/1BIDqLLg5jk3v59G8NlR8rk5xfQDKne0sAvZHSj7TI6I/edit?usp=sharing"",""พระนครศรีอยุธยา!J211"")"),0)</f>
        <v>0</v>
      </c>
      <c r="AS64" s="97">
        <f ca="1">IFERROR(__xludf.DUMMYFUNCTION("IMPORTRANGE(""https://docs.google.com/spreadsheets/d/1BIDqLLg5jk3v59G8NlR8rk5xfQDKne0sAvZHSj7TI6I/edit?usp=sharing"",""พระนครศรีอยุธยา!J212"")"),0)</f>
        <v>0</v>
      </c>
      <c r="AT64" s="97">
        <f ca="1">IFERROR(__xludf.DUMMYFUNCTION("IMPORTRANGE(""https://docs.google.com/spreadsheets/d/1BIDqLLg5jk3v59G8NlR8rk5xfQDKne0sAvZHSj7TI6I/edit?usp=sharing"",""พระนครศรีอยุธยา!L215"")"),0)</f>
        <v>0</v>
      </c>
      <c r="AU64" s="97">
        <f ca="1">IFERROR(__xludf.DUMMYFUNCTION("IMPORTRANGE(""https://docs.google.com/spreadsheets/d/1BIDqLLg5jk3v59G8NlR8rk5xfQDKne0sAvZHSj7TI6I/edit?usp=sharing"",""พระนครศรีอยุธยา!N215"")"),0)</f>
        <v>0</v>
      </c>
      <c r="AV64" s="98">
        <f t="shared" ca="1" si="104"/>
        <v>0</v>
      </c>
      <c r="AW64" s="97">
        <f ca="1">IFERROR(__xludf.DUMMYFUNCTION("IMPORTRANGE(""https://docs.google.com/spreadsheets/d/1BIDqLLg5jk3v59G8NlR8rk5xfQDKne0sAvZHSj7TI6I/edit?usp=sharing"",""พระนครศรีอยุธยา!L216"")"),0)</f>
        <v>0</v>
      </c>
      <c r="AX64" s="97">
        <f ca="1">IFERROR(__xludf.DUMMYFUNCTION("IMPORTRANGE(""https://docs.google.com/spreadsheets/d/1BIDqLLg5jk3v59G8NlR8rk5xfQDKne0sAvZHSj7TI6I/edit?usp=sharing"",""พระนครศรีอยุธยา!N216"")"),0)</f>
        <v>0</v>
      </c>
      <c r="AY64" s="98">
        <f t="shared" ca="1" si="106"/>
        <v>0</v>
      </c>
      <c r="AZ64" s="97">
        <f ca="1">IFERROR(__xludf.DUMMYFUNCTION("IMPORTRANGE(""https://docs.google.com/spreadsheets/d/1BIDqLLg5jk3v59G8NlR8rk5xfQDKne0sAvZHSj7TI6I/edit?usp=sharing"",""พระนครศรีอยุธยา!L217"")"),0)</f>
        <v>0</v>
      </c>
      <c r="BA64" s="97">
        <f ca="1">IFERROR(__xludf.DUMMYFUNCTION("IMPORTRANGE(""https://docs.google.com/spreadsheets/d/1BIDqLLg5jk3v59G8NlR8rk5xfQDKne0sAvZHSj7TI6I/edit?usp=sharing"",""พระนครศรีอยุธยา!N217"")"),0)</f>
        <v>0</v>
      </c>
      <c r="BB64" s="98">
        <f t="shared" ca="1" si="108"/>
        <v>0</v>
      </c>
      <c r="BC64" s="97">
        <f ca="1">IFERROR(__xludf.DUMMYFUNCTION("IMPORTRANGE(""https://docs.google.com/spreadsheets/d/1BIDqLLg5jk3v59G8NlR8rk5xfQDKne0sAvZHSj7TI6I/edit?usp=sharing"",""พระนครศรีอยุธยา!I219"")"),0)</f>
        <v>0</v>
      </c>
      <c r="BD64" s="97">
        <f ca="1">IFERROR(__xludf.DUMMYFUNCTION("IMPORTRANGE(""https://docs.google.com/spreadsheets/d/1BIDqLLg5jk3v59G8NlR8rk5xfQDKne0sAvZHSj7TI6I/edit?usp=sharing"",""พระนครศรีอยุธยา!J219"")"),0)</f>
        <v>0</v>
      </c>
      <c r="BE64" s="98">
        <f t="shared" ca="1" si="110"/>
        <v>0</v>
      </c>
      <c r="BF64" s="97">
        <f ca="1">IFERROR(__xludf.DUMMYFUNCTION("IMPORTRANGE(""https://docs.google.com/spreadsheets/d/1BIDqLLg5jk3v59G8NlR8rk5xfQDKne0sAvZHSj7TI6I/edit?usp=sharing"",""พระนครศรีอยุธยา!I220"")"),0)</f>
        <v>0</v>
      </c>
      <c r="BG64" s="97">
        <f ca="1">IFERROR(__xludf.DUMMYFUNCTION("IMPORTRANGE(""https://docs.google.com/spreadsheets/d/1BIDqLLg5jk3v59G8NlR8rk5xfQDKne0sAvZHSj7TI6I/edit?usp=sharing"",""พระนครศรีอยุธยา!J220"")"),0)</f>
        <v>0</v>
      </c>
      <c r="BH64" s="98">
        <f t="shared" ca="1" si="112"/>
        <v>0</v>
      </c>
      <c r="BI64" s="97">
        <f ca="1">IFERROR(__xludf.DUMMYFUNCTION("IMPORTRANGE(""https://docs.google.com/spreadsheets/d/1BIDqLLg5jk3v59G8NlR8rk5xfQDKne0sAvZHSj7TI6I/edit?usp=sharing"",""พระนครศรีอยุธยา!L223"")"),3000)</f>
        <v>3000</v>
      </c>
      <c r="BJ64" s="97">
        <f ca="1">IFERROR(__xludf.DUMMYFUNCTION("IMPORTRANGE(""https://docs.google.com/spreadsheets/d/1BIDqLLg5jk3v59G8NlR8rk5xfQDKne0sAvZHSj7TI6I/edit?usp=sharing"",""พระนครศรีอยุธยา!N223"")"),0)</f>
        <v>0</v>
      </c>
      <c r="BK64" s="98">
        <f t="shared" ca="1" si="114"/>
        <v>0</v>
      </c>
      <c r="BL64" s="97">
        <f ca="1">IFERROR(__xludf.DUMMYFUNCTION("IMPORTRANGE(""https://docs.google.com/spreadsheets/d/1BIDqLLg5jk3v59G8NlR8rk5xfQDKne0sAvZHSj7TI6I/edit?usp=sharing"",""พระนครศรีอยุธยา!L224"")"),1500)</f>
        <v>1500</v>
      </c>
      <c r="BM64" s="97">
        <f ca="1">IFERROR(__xludf.DUMMYFUNCTION("IMPORTRANGE(""https://docs.google.com/spreadsheets/d/1BIDqLLg5jk3v59G8NlR8rk5xfQDKne0sAvZHSj7TI6I/edit?usp=sharing"",""พระนครศรีอยุธยา!N224"")"),0)</f>
        <v>0</v>
      </c>
      <c r="BN64" s="98">
        <f t="shared" ca="1" si="116"/>
        <v>0</v>
      </c>
      <c r="BO64" s="97">
        <f ca="1">IFERROR(__xludf.DUMMYFUNCTION("IMPORTRANGE(""https://docs.google.com/spreadsheets/d/1BIDqLLg5jk3v59G8NlR8rk5xfQDKne0sAvZHSj7TI6I/edit?usp=sharing"",""พระนครศรีอยุธยา!I228"")"),20000)</f>
        <v>20000</v>
      </c>
      <c r="BP64" s="97">
        <f ca="1">IFERROR(__xludf.DUMMYFUNCTION("IMPORTRANGE(""https://docs.google.com/spreadsheets/d/1BIDqLLg5jk3v59G8NlR8rk5xfQDKne0sAvZHSj7TI6I/edit?usp=sharing"",""พระนครศรีอยุธยา!J228"")"),0)</f>
        <v>0</v>
      </c>
      <c r="BQ64" s="98">
        <f t="shared" ca="1" si="118"/>
        <v>0</v>
      </c>
      <c r="BR64" s="97">
        <f ca="1">IFERROR(__xludf.DUMMYFUNCTION("IMPORTRANGE(""https://docs.google.com/spreadsheets/d/1BIDqLLg5jk3v59G8NlR8rk5xfQDKne0sAvZHSj7TI6I/edit?usp=sharing"",""พระนครศรีอยุธยา!I229"")"),20000)</f>
        <v>20000</v>
      </c>
      <c r="BS64" s="97">
        <f ca="1">IFERROR(__xludf.DUMMYFUNCTION("IMPORTRANGE(""https://docs.google.com/spreadsheets/d/1BIDqLLg5jk3v59G8NlR8rk5xfQDKne0sAvZHSj7TI6I/edit?usp=sharing"",""พระนครศรีอยุธยา!J229"")"),0)</f>
        <v>0</v>
      </c>
      <c r="BT64" s="98">
        <f t="shared" ca="1" si="120"/>
        <v>0</v>
      </c>
      <c r="BU64" s="97">
        <f ca="1">IFERROR(__xludf.DUMMYFUNCTION("IMPORTRANGE(""https://docs.google.com/spreadsheets/d/1BIDqLLg5jk3v59G8NlR8rk5xfQDKne0sAvZHSj7TI6I/edit?usp=sharing"",""พระนครศรีอยุธยา!I230"")"),0)</f>
        <v>0</v>
      </c>
      <c r="BV64" s="97">
        <f ca="1">IFERROR(__xludf.DUMMYFUNCTION("IMPORTRANGE(""https://docs.google.com/spreadsheets/d/1BIDqLLg5jk3v59G8NlR8rk5xfQDKne0sAvZHSj7TI6I/edit?usp=sharing"",""พระนครศรีอยุธยา!J230"")"),0)</f>
        <v>0</v>
      </c>
      <c r="BW64" s="98">
        <f t="shared" ca="1" si="122"/>
        <v>0</v>
      </c>
      <c r="BX64" s="97">
        <f ca="1">IFERROR(__xludf.DUMMYFUNCTION("IMPORTRANGE(""https://docs.google.com/spreadsheets/d/1BIDqLLg5jk3v59G8NlR8rk5xfQDKne0sAvZHSj7TI6I/edit?usp=sharing"",""พระนครศรีอยุธยา!L233"")"),99000)</f>
        <v>99000</v>
      </c>
      <c r="BY64" s="97">
        <f ca="1">IFERROR(__xludf.DUMMYFUNCTION("IMPORTRANGE(""https://docs.google.com/spreadsheets/d/1BIDqLLg5jk3v59G8NlR8rk5xfQDKne0sAvZHSj7TI6I/edit?usp=sharing"",""พระนครศรีอยุธยา!N233"")"),51500)</f>
        <v>51500</v>
      </c>
      <c r="BZ64" s="98">
        <f t="shared" ca="1" si="124"/>
        <v>52.020202020202021</v>
      </c>
      <c r="CA64" s="97">
        <f ca="1">IFERROR(__xludf.DUMMYFUNCTION("IMPORTRANGE(""https://docs.google.com/spreadsheets/d/1BIDqLLg5jk3v59G8NlR8rk5xfQDKne0sAvZHSj7TI6I/edit?usp=sharing"",""พระนครศรีอยุธยา!L234"")"),3000)</f>
        <v>3000</v>
      </c>
      <c r="CB64" s="97">
        <f ca="1">IFERROR(__xludf.DUMMYFUNCTION("IMPORTRANGE(""https://docs.google.com/spreadsheets/d/1BIDqLLg5jk3v59G8NlR8rk5xfQDKne0sAvZHSj7TI6I/edit?usp=sharing"",""พระนครศรีอยุธยา!N234"")"),1410)</f>
        <v>1410</v>
      </c>
      <c r="CC64" s="98">
        <f t="shared" ca="1" si="126"/>
        <v>47</v>
      </c>
      <c r="CD64" s="97">
        <f ca="1">IFERROR(__xludf.DUMMYFUNCTION("IMPORTRANGE(""https://docs.google.com/spreadsheets/d/1BIDqLLg5jk3v59G8NlR8rk5xfQDKne0sAvZHSj7TI6I/edit?usp=sharing"",""พระนครศรีอยุธยา!L235"")"),78600)</f>
        <v>78600</v>
      </c>
      <c r="CE64" s="97">
        <f ca="1">IFERROR(__xludf.DUMMYFUNCTION("IMPORTRANGE(""https://docs.google.com/spreadsheets/d/1BIDqLLg5jk3v59G8NlR8rk5xfQDKne0sAvZHSj7TI6I/edit?usp=sharing"",""พระนครศรีอยุธยา!N235"")"),0)</f>
        <v>0</v>
      </c>
      <c r="CF64" s="98">
        <f t="shared" ca="1" si="128"/>
        <v>0</v>
      </c>
      <c r="CG64" s="97">
        <f ca="1">IFERROR(__xludf.DUMMYFUNCTION("IMPORTRANGE(""https://docs.google.com/spreadsheets/d/1BIDqLLg5jk3v59G8NlR8rk5xfQDKne0sAvZHSj7TI6I/edit?usp=sharing"",""พระนครศรีอยุธยา!L236"")"),33000)</f>
        <v>33000</v>
      </c>
      <c r="CH64" s="97">
        <f ca="1">IFERROR(__xludf.DUMMYFUNCTION("IMPORTRANGE(""https://docs.google.com/spreadsheets/d/1BIDqLLg5jk3v59G8NlR8rk5xfQDKne0sAvZHSj7TI6I/edit?usp=sharing"",""พระนครศรีอยุธยา!N236"")"),0)</f>
        <v>0</v>
      </c>
      <c r="CI64" s="98">
        <f t="shared" ca="1" si="130"/>
        <v>0</v>
      </c>
      <c r="CJ64" s="97">
        <f ca="1">IFERROR(__xludf.DUMMYFUNCTION("IMPORTRANGE(""https://docs.google.com/spreadsheets/d/1BIDqLLg5jk3v59G8NlR8rk5xfQDKne0sAvZHSj7TI6I/edit?usp=sharing"",""พระนครศรีอยุธยา!I238"")"),40)</f>
        <v>40</v>
      </c>
      <c r="CK64" s="97">
        <f ca="1">IFERROR(__xludf.DUMMYFUNCTION("IMPORTRANGE(""https://docs.google.com/spreadsheets/d/1BIDqLLg5jk3v59G8NlR8rk5xfQDKne0sAvZHSj7TI6I/edit?usp=sharing"",""พระนครศรีอยุธยา!J238"")"),0)</f>
        <v>0</v>
      </c>
      <c r="CL64" s="98">
        <f t="shared" ca="1" si="132"/>
        <v>0</v>
      </c>
      <c r="CM64" s="97">
        <f ca="1">IFERROR(__xludf.DUMMYFUNCTION("IMPORTRANGE(""https://docs.google.com/spreadsheets/d/1BIDqLLg5jk3v59G8NlR8rk5xfQDKne0sAvZHSj7TI6I/edit?usp=sharing"",""พระนครศรีอยุธยา!J240"")"),0)</f>
        <v>0</v>
      </c>
      <c r="CN64" s="97">
        <f ca="1">IFERROR(__xludf.DUMMYFUNCTION("IMPORTRANGE(""https://docs.google.com/spreadsheets/d/1BIDqLLg5jk3v59G8NlR8rk5xfQDKne0sAvZHSj7TI6I/edit?usp=sharing"",""พระนครศรีอยุธยา!J241"")"),0)</f>
        <v>0</v>
      </c>
    </row>
    <row r="65" spans="1:92" ht="21" customHeight="1" x14ac:dyDescent="0.3">
      <c r="A65" s="89">
        <v>13</v>
      </c>
      <c r="B65" s="90" t="s">
        <v>91</v>
      </c>
      <c r="C65" s="174">
        <f t="shared" ca="1" si="80"/>
        <v>38500</v>
      </c>
      <c r="D65" s="175">
        <f t="shared" ca="1" si="184"/>
        <v>38500</v>
      </c>
      <c r="E65" s="176">
        <f ca="1">IFERROR(__xludf.DUMMYFUNCTION("IMPORTRANGE(""https://docs.google.com/spreadsheets/d/1-uDff_7J0KD5mKrp0Vvzr7lt3OU09vwQwhkpOPPYv2Y/edit?usp=sharing"",""งบพรบ!CV65"")"),0)</f>
        <v>0</v>
      </c>
      <c r="F65" s="176">
        <f ca="1">IFERROR(__xludf.DUMMYFUNCTION("IMPORTRANGE(""https://docs.google.com/spreadsheets/d/1-uDff_7J0KD5mKrp0Vvzr7lt3OU09vwQwhkpOPPYv2Y/edit?usp=sharing"",""งบพรบ!CW65"")"),38500)</f>
        <v>38500</v>
      </c>
      <c r="G65" s="176">
        <f ca="1">IFERROR(__xludf.DUMMYFUNCTION("IMPORTRANGE(""https://docs.google.com/spreadsheets/d/1-uDff_7J0KD5mKrp0Vvzr7lt3OU09vwQwhkpOPPYv2Y/edit?usp=sharing"",""งบพรบ!CX65"")"),0)</f>
        <v>0</v>
      </c>
      <c r="H65" s="176">
        <f ca="1">IFERROR(__xludf.DUMMYFUNCTION("IMPORTRANGE(""https://docs.google.com/spreadsheets/d/1-uDff_7J0KD5mKrp0Vvzr7lt3OU09vwQwhkpOPPYv2Y/edit?usp=sharing"",""งบพรบ!CZ65"")"),38500)</f>
        <v>38500</v>
      </c>
      <c r="I65" s="176">
        <f ca="1">IFERROR(__xludf.DUMMYFUNCTION("IMPORTRANGE(""https://docs.google.com/spreadsheets/d/1-uDff_7J0KD5mKrp0Vvzr7lt3OU09vwQwhkpOPPYv2Y/edit?usp=sharing"",""งบพรบ!DA65"")"),0)</f>
        <v>0</v>
      </c>
      <c r="J65" s="176">
        <f t="shared" ca="1" si="82"/>
        <v>0</v>
      </c>
      <c r="K65" s="179">
        <f t="shared" ca="1" si="83"/>
        <v>0</v>
      </c>
      <c r="L65" s="176">
        <f ca="1">IFERROR(__xludf.DUMMYFUNCTION("IMPORTRANGE(""https://docs.google.com/spreadsheets/d/1-uDff_7J0KD5mKrp0Vvzr7lt3OU09vwQwhkpOPPYv2Y/edit?usp=sharing"",""งบพรบ!DB65"")"),0)</f>
        <v>0</v>
      </c>
      <c r="M65" s="87">
        <f t="shared" ca="1" si="84"/>
        <v>0</v>
      </c>
      <c r="N65" s="87">
        <f t="shared" ca="1" si="85"/>
        <v>0</v>
      </c>
      <c r="O65" s="86">
        <f ca="1">IFERROR(__xludf.DUMMYFUNCTION("IMPORTRANGE(""https://docs.google.com/spreadsheets/d/1-uDff_7J0KD5mKrp0Vvzr7lt3OU09vwQwhkpOPPYv2Y/edit?usp=sharing"",""งบพรบ!DC65"")"),0)</f>
        <v>0</v>
      </c>
      <c r="P65" s="86">
        <f t="shared" ca="1" si="86"/>
        <v>0</v>
      </c>
      <c r="Q65" s="87">
        <f t="shared" ca="1" si="87"/>
        <v>0</v>
      </c>
      <c r="R65" s="241">
        <f ca="1">IFERROR(__xludf.DUMMYFUNCTION("IMPORTRANGE(""https://docs.google.com/spreadsheets/d/1YXvxf8Yu6_rV4hTBrwMqAcAnv6DfhUxh5emyM3CJp_w/edit?usp=sharing"",""เพชรบุรี!Q186"")"),28000)</f>
        <v>28000</v>
      </c>
      <c r="S65" s="242">
        <f ca="1">IFERROR(__xludf.DUMMYFUNCTION("IMPORTRANGE(""https://docs.google.com/spreadsheets/d/1YXvxf8Yu6_rV4hTBrwMqAcAnv6DfhUxh5emyM3CJp_w/edit?usp=sharing"",""เพชรบุรี!R186"")"),0)</f>
        <v>0</v>
      </c>
      <c r="T65" s="242">
        <f ca="1">IFERROR(__xludf.DUMMYFUNCTION("IMPORTRANGE(""https://docs.google.com/spreadsheets/d/1YXvxf8Yu6_rV4hTBrwMqAcAnv6DfhUxh5emyM3CJp_w/edit?usp=sharing"",""เพชรบุรี!S186"")"),0)</f>
        <v>0</v>
      </c>
      <c r="U65" s="243">
        <f t="shared" ca="1" si="89"/>
        <v>0</v>
      </c>
      <c r="V65" s="243">
        <f t="shared" ca="1" si="90"/>
        <v>0</v>
      </c>
      <c r="W65" s="97">
        <f ca="1">IFERROR(__xludf.DUMMYFUNCTION("IMPORTRANGE(""https://docs.google.com/spreadsheets/d/1YXvxf8Yu6_rV4hTBrwMqAcAnv6DfhUxh5emyM3CJp_w/edit?usp=sharing"",""เพชรบุรี!L196"")"),6000)</f>
        <v>6000</v>
      </c>
      <c r="X65" s="97">
        <f ca="1">IFERROR(__xludf.DUMMYFUNCTION("IMPORTRANGE(""https://docs.google.com/spreadsheets/d/1YXvxf8Yu6_rV4hTBrwMqAcAnv6DfhUxh5emyM3CJp_w/edit?usp=sharing"",""เพชรบุรี!N196"")"),0)</f>
        <v>0</v>
      </c>
      <c r="Y65" s="98">
        <f t="shared" ca="1" si="92"/>
        <v>0</v>
      </c>
      <c r="Z65" s="97">
        <f ca="1">IFERROR(__xludf.DUMMYFUNCTION("IMPORTRANGE(""https://docs.google.com/spreadsheets/d/1YXvxf8Yu6_rV4hTBrwMqAcAnv6DfhUxh5emyM3CJp_w/edit?usp=sharing"",""เพชรบุรี!I198"")"),4)</f>
        <v>4</v>
      </c>
      <c r="AA65" s="97">
        <f ca="1">IFERROR(__xludf.DUMMYFUNCTION("IMPORTRANGE(""https://docs.google.com/spreadsheets/d/1YXvxf8Yu6_rV4hTBrwMqAcAnv6DfhUxh5emyM3CJp_w/edit?usp=sharing"",""เพชรบุรี!J198"")"),1)</f>
        <v>1</v>
      </c>
      <c r="AB65" s="98">
        <f t="shared" ca="1" si="94"/>
        <v>25</v>
      </c>
      <c r="AC65" s="97">
        <f ca="1">IFERROR(__xludf.DUMMYFUNCTION("IMPORTRANGE(""https://docs.google.com/spreadsheets/d/1YXvxf8Yu6_rV4hTBrwMqAcAnv6DfhUxh5emyM3CJp_w/edit?usp=sharing"",""เพชรบุรี!J199"")"),37)</f>
        <v>37</v>
      </c>
      <c r="AD65" s="97">
        <f ca="1">IFERROR(__xludf.DUMMYFUNCTION("IMPORTRANGE(""https://docs.google.com/spreadsheets/d/1YXvxf8Yu6_rV4hTBrwMqAcAnv6DfhUxh5emyM3CJp_w/edit?usp=sharing"",""เพชรบุรี!J200"")"),37)</f>
        <v>37</v>
      </c>
      <c r="AE65" s="97">
        <f ca="1">IFERROR(__xludf.DUMMYFUNCTION("IMPORTRANGE(""https://docs.google.com/spreadsheets/d/1YXvxf8Yu6_rV4hTBrwMqAcAnv6DfhUxh5emyM3CJp_w/edit?usp=sharing"",""เพชรบุรี!J201"")"),0)</f>
        <v>0</v>
      </c>
      <c r="AF65" s="97">
        <f ca="1">IFERROR(__xludf.DUMMYFUNCTION("IMPORTRANGE(""https://docs.google.com/spreadsheets/d/1YXvxf8Yu6_rV4hTBrwMqAcAnv6DfhUxh5emyM3CJp_w/edit?usp=sharing"",""เพชรบุรี!L204"")"),2000)</f>
        <v>2000</v>
      </c>
      <c r="AG65" s="97">
        <f ca="1">IFERROR(__xludf.DUMMYFUNCTION("IMPORTRANGE(""https://docs.google.com/spreadsheets/d/1YXvxf8Yu6_rV4hTBrwMqAcAnv6DfhUxh5emyM3CJp_w/edit?usp=sharing"",""เพชรบุรี!N204"")"),0)</f>
        <v>0</v>
      </c>
      <c r="AH65" s="98">
        <f t="shared" ca="1" si="96"/>
        <v>0</v>
      </c>
      <c r="AI65" s="97">
        <f ca="1">IFERROR(__xludf.DUMMYFUNCTION("IMPORTRANGE(""https://docs.google.com/spreadsheets/d/1YXvxf8Yu6_rV4hTBrwMqAcAnv6DfhUxh5emyM3CJp_w/edit?usp=sharing"",""เพชรบุรี!L206"")"),16000)</f>
        <v>16000</v>
      </c>
      <c r="AJ65" s="97">
        <f ca="1">IFERROR(__xludf.DUMMYFUNCTION("IMPORTRANGE(""https://docs.google.com/spreadsheets/d/1YXvxf8Yu6_rV4hTBrwMqAcAnv6DfhUxh5emyM3CJp_w/edit?usp=sharing"",""เพชรบุรี!N206"")"),0)</f>
        <v>0</v>
      </c>
      <c r="AK65" s="98">
        <f t="shared" ca="1" si="98"/>
        <v>0</v>
      </c>
      <c r="AL65" s="97">
        <f ca="1">IFERROR(__xludf.DUMMYFUNCTION("IMPORTRANGE(""https://docs.google.com/spreadsheets/d/1YXvxf8Yu6_rV4hTBrwMqAcAnv6DfhUxh5emyM3CJp_w/edit?usp=sharing"",""เพชรบุรี!L207"")"),8000)</f>
        <v>8000</v>
      </c>
      <c r="AM65" s="97">
        <f ca="1">IFERROR(__xludf.DUMMYFUNCTION("IMPORTRANGE(""https://docs.google.com/spreadsheets/d/1YXvxf8Yu6_rV4hTBrwMqAcAnv6DfhUxh5emyM3CJp_w/edit?usp=sharing"",""เพชรบุรี!N207"")"),0)</f>
        <v>0</v>
      </c>
      <c r="AN65" s="98">
        <f t="shared" ca="1" si="100"/>
        <v>0</v>
      </c>
      <c r="AO65" s="97">
        <f ca="1">IFERROR(__xludf.DUMMYFUNCTION("IMPORTRANGE(""https://docs.google.com/spreadsheets/d/1YXvxf8Yu6_rV4hTBrwMqAcAnv6DfhUxh5emyM3CJp_w/edit?usp=sharing"",""เพชรบุรี!I209"")"),2)</f>
        <v>2</v>
      </c>
      <c r="AP65" s="97">
        <f ca="1">IFERROR(__xludf.DUMMYFUNCTION("IMPORTRANGE(""https://docs.google.com/spreadsheets/d/1YXvxf8Yu6_rV4hTBrwMqAcAnv6DfhUxh5emyM3CJp_w/edit?usp=sharing"",""เพชรบุรี!J209"")"),0)</f>
        <v>0</v>
      </c>
      <c r="AQ65" s="98">
        <f t="shared" ca="1" si="102"/>
        <v>0</v>
      </c>
      <c r="AR65" s="97">
        <f ca="1">IFERROR(__xludf.DUMMYFUNCTION("IMPORTRANGE(""https://docs.google.com/spreadsheets/d/1YXvxf8Yu6_rV4hTBrwMqAcAnv6DfhUxh5emyM3CJp_w/edit?usp=sharing"",""เพชรบุรี!J211"")"),0)</f>
        <v>0</v>
      </c>
      <c r="AS65" s="97">
        <f ca="1">IFERROR(__xludf.DUMMYFUNCTION("IMPORTRANGE(""https://docs.google.com/spreadsheets/d/1YXvxf8Yu6_rV4hTBrwMqAcAnv6DfhUxh5emyM3CJp_w/edit?usp=sharing"",""เพชรบุรี!J212"")"),0)</f>
        <v>0</v>
      </c>
      <c r="AT65" s="97">
        <f ca="1">IFERROR(__xludf.DUMMYFUNCTION("IMPORTRANGE(""https://docs.google.com/spreadsheets/d/1YXvxf8Yu6_rV4hTBrwMqAcAnv6DfhUxh5emyM3CJp_w/edit?usp=sharing"",""เพชรบุรี!L215"")"),0)</f>
        <v>0</v>
      </c>
      <c r="AU65" s="97">
        <f ca="1">IFERROR(__xludf.DUMMYFUNCTION("IMPORTRANGE(""https://docs.google.com/spreadsheets/d/1YXvxf8Yu6_rV4hTBrwMqAcAnv6DfhUxh5emyM3CJp_w/edit?usp=sharing"",""เพชรบุรี!N215"")"),0)</f>
        <v>0</v>
      </c>
      <c r="AV65" s="98">
        <f t="shared" ca="1" si="104"/>
        <v>0</v>
      </c>
      <c r="AW65" s="97">
        <f ca="1">IFERROR(__xludf.DUMMYFUNCTION("IMPORTRANGE(""https://docs.google.com/spreadsheets/d/1YXvxf8Yu6_rV4hTBrwMqAcAnv6DfhUxh5emyM3CJp_w/edit?usp=sharing"",""เพชรบุรี!L216"")"),0)</f>
        <v>0</v>
      </c>
      <c r="AX65" s="97">
        <f ca="1">IFERROR(__xludf.DUMMYFUNCTION("IMPORTRANGE(""https://docs.google.com/spreadsheets/d/1YXvxf8Yu6_rV4hTBrwMqAcAnv6DfhUxh5emyM3CJp_w/edit?usp=sharing"",""เพชรบุรี!N216"")"),0)</f>
        <v>0</v>
      </c>
      <c r="AY65" s="98">
        <f t="shared" ca="1" si="106"/>
        <v>0</v>
      </c>
      <c r="AZ65" s="97">
        <f ca="1">IFERROR(__xludf.DUMMYFUNCTION("IMPORTRANGE(""https://docs.google.com/spreadsheets/d/1YXvxf8Yu6_rV4hTBrwMqAcAnv6DfhUxh5emyM3CJp_w/edit?usp=sharing"",""เพชรบุรี!L217"")"),0)</f>
        <v>0</v>
      </c>
      <c r="BA65" s="97">
        <f ca="1">IFERROR(__xludf.DUMMYFUNCTION("IMPORTRANGE(""https://docs.google.com/spreadsheets/d/1YXvxf8Yu6_rV4hTBrwMqAcAnv6DfhUxh5emyM3CJp_w/edit?usp=sharing"",""เพชรบุรี!N217"")"),0)</f>
        <v>0</v>
      </c>
      <c r="BB65" s="98">
        <f t="shared" ca="1" si="108"/>
        <v>0</v>
      </c>
      <c r="BC65" s="97">
        <f ca="1">IFERROR(__xludf.DUMMYFUNCTION("IMPORTRANGE(""https://docs.google.com/spreadsheets/d/1YXvxf8Yu6_rV4hTBrwMqAcAnv6DfhUxh5emyM3CJp_w/edit?usp=sharing"",""เพชรบุรี!I219"")"),0)</f>
        <v>0</v>
      </c>
      <c r="BD65" s="97">
        <f ca="1">IFERROR(__xludf.DUMMYFUNCTION("IMPORTRANGE(""https://docs.google.com/spreadsheets/d/1YXvxf8Yu6_rV4hTBrwMqAcAnv6DfhUxh5emyM3CJp_w/edit?usp=sharing"",""เพชรบุรี!J219"")"),0)</f>
        <v>0</v>
      </c>
      <c r="BE65" s="98">
        <f t="shared" ca="1" si="110"/>
        <v>0</v>
      </c>
      <c r="BF65" s="97">
        <f ca="1">IFERROR(__xludf.DUMMYFUNCTION("IMPORTRANGE(""https://docs.google.com/spreadsheets/d/1YXvxf8Yu6_rV4hTBrwMqAcAnv6DfhUxh5emyM3CJp_w/edit?usp=sharing"",""เพชรบุรี!I220"")"),0)</f>
        <v>0</v>
      </c>
      <c r="BG65" s="97">
        <f ca="1">IFERROR(__xludf.DUMMYFUNCTION("IMPORTRANGE(""https://docs.google.com/spreadsheets/d/1YXvxf8Yu6_rV4hTBrwMqAcAnv6DfhUxh5emyM3CJp_w/edit?usp=sharing"",""เพชรบุรี!J220"")"),0)</f>
        <v>0</v>
      </c>
      <c r="BH65" s="98">
        <f t="shared" ca="1" si="112"/>
        <v>0</v>
      </c>
      <c r="BI65" s="97">
        <f ca="1">IFERROR(__xludf.DUMMYFUNCTION("IMPORTRANGE(""https://docs.google.com/spreadsheets/d/1YXvxf8Yu6_rV4hTBrwMqAcAnv6DfhUxh5emyM3CJp_w/edit?usp=sharing"",""เพชรบุรี!L223"")"),5000)</f>
        <v>5000</v>
      </c>
      <c r="BJ65" s="97">
        <f ca="1">IFERROR(__xludf.DUMMYFUNCTION("IMPORTRANGE(""https://docs.google.com/spreadsheets/d/1YXvxf8Yu6_rV4hTBrwMqAcAnv6DfhUxh5emyM3CJp_w/edit?usp=sharing"",""เพชรบุรี!N223"")"),0)</f>
        <v>0</v>
      </c>
      <c r="BK65" s="98">
        <f t="shared" ca="1" si="114"/>
        <v>0</v>
      </c>
      <c r="BL65" s="97">
        <f ca="1">IFERROR(__xludf.DUMMYFUNCTION("IMPORTRANGE(""https://docs.google.com/spreadsheets/d/1YXvxf8Yu6_rV4hTBrwMqAcAnv6DfhUxh5emyM3CJp_w/edit?usp=sharing"",""เพชรบุรี!L224"")"),1500)</f>
        <v>1500</v>
      </c>
      <c r="BM65" s="97">
        <f ca="1">IFERROR(__xludf.DUMMYFUNCTION("IMPORTRANGE(""https://docs.google.com/spreadsheets/d/1YXvxf8Yu6_rV4hTBrwMqAcAnv6DfhUxh5emyM3CJp_w/edit?usp=sharing"",""เพชรบุรี!N224"")"),0)</f>
        <v>0</v>
      </c>
      <c r="BN65" s="98">
        <f t="shared" ca="1" si="116"/>
        <v>0</v>
      </c>
      <c r="BO65" s="97">
        <f ca="1">IFERROR(__xludf.DUMMYFUNCTION("IMPORTRANGE(""https://docs.google.com/spreadsheets/d/1YXvxf8Yu6_rV4hTBrwMqAcAnv6DfhUxh5emyM3CJp_w/edit?usp=sharing"",""เพชรบุรี!I228"")"),30000)</f>
        <v>30000</v>
      </c>
      <c r="BP65" s="97">
        <f ca="1">IFERROR(__xludf.DUMMYFUNCTION("IMPORTRANGE(""https://docs.google.com/spreadsheets/d/1YXvxf8Yu6_rV4hTBrwMqAcAnv6DfhUxh5emyM3CJp_w/edit?usp=sharing"",""เพชรบุรี!J228"")"),0)</f>
        <v>0</v>
      </c>
      <c r="BQ65" s="98">
        <f t="shared" ca="1" si="118"/>
        <v>0</v>
      </c>
      <c r="BR65" s="97">
        <f ca="1">IFERROR(__xludf.DUMMYFUNCTION("IMPORTRANGE(""https://docs.google.com/spreadsheets/d/1YXvxf8Yu6_rV4hTBrwMqAcAnv6DfhUxh5emyM3CJp_w/edit?usp=sharing"",""เพชรบุรี!I229"")"),30000)</f>
        <v>30000</v>
      </c>
      <c r="BS65" s="97">
        <f ca="1">IFERROR(__xludf.DUMMYFUNCTION("IMPORTRANGE(""https://docs.google.com/spreadsheets/d/1YXvxf8Yu6_rV4hTBrwMqAcAnv6DfhUxh5emyM3CJp_w/edit?usp=sharing"",""เพชรบุรี!J229"")"),0)</f>
        <v>0</v>
      </c>
      <c r="BT65" s="98">
        <f t="shared" ca="1" si="120"/>
        <v>0</v>
      </c>
      <c r="BU65" s="97">
        <f ca="1">IFERROR(__xludf.DUMMYFUNCTION("IMPORTRANGE(""https://docs.google.com/spreadsheets/d/1YXvxf8Yu6_rV4hTBrwMqAcAnv6DfhUxh5emyM3CJp_w/edit?usp=sharing"",""เพชรบุรี!I230"")"),0)</f>
        <v>0</v>
      </c>
      <c r="BV65" s="97">
        <f ca="1">IFERROR(__xludf.DUMMYFUNCTION("IMPORTRANGE(""https://docs.google.com/spreadsheets/d/1YXvxf8Yu6_rV4hTBrwMqAcAnv6DfhUxh5emyM3CJp_w/edit?usp=sharing"",""เพชรบุรี!J230"")"),0)</f>
        <v>0</v>
      </c>
      <c r="BW65" s="98">
        <f t="shared" ca="1" si="122"/>
        <v>0</v>
      </c>
      <c r="BX65" s="97">
        <f ca="1">IFERROR(__xludf.DUMMYFUNCTION("IMPORTRANGE(""https://docs.google.com/spreadsheets/d/1YXvxf8Yu6_rV4hTBrwMqAcAnv6DfhUxh5emyM3CJp_w/edit?usp=sharing"",""เพชรบุรี!L233"")"),0)</f>
        <v>0</v>
      </c>
      <c r="BY65" s="97">
        <f ca="1">IFERROR(__xludf.DUMMYFUNCTION("IMPORTRANGE(""https://docs.google.com/spreadsheets/d/1YXvxf8Yu6_rV4hTBrwMqAcAnv6DfhUxh5emyM3CJp_w/edit?usp=sharing"",""เพชรบุรี!N233"")"),0)</f>
        <v>0</v>
      </c>
      <c r="BZ65" s="98">
        <f t="shared" ca="1" si="124"/>
        <v>0</v>
      </c>
      <c r="CA65" s="97">
        <f ca="1">IFERROR(__xludf.DUMMYFUNCTION("IMPORTRANGE(""https://docs.google.com/spreadsheets/d/1YXvxf8Yu6_rV4hTBrwMqAcAnv6DfhUxh5emyM3CJp_w/edit?usp=sharing"",""เพชรบุรี!L234"")"),0)</f>
        <v>0</v>
      </c>
      <c r="CB65" s="97">
        <f ca="1">IFERROR(__xludf.DUMMYFUNCTION("IMPORTRANGE(""https://docs.google.com/spreadsheets/d/1YXvxf8Yu6_rV4hTBrwMqAcAnv6DfhUxh5emyM3CJp_w/edit?usp=sharing"",""เพชรบุรี!N234"")"),0)</f>
        <v>0</v>
      </c>
      <c r="CC65" s="98">
        <f t="shared" ca="1" si="126"/>
        <v>0</v>
      </c>
      <c r="CD65" s="97">
        <f ca="1">IFERROR(__xludf.DUMMYFUNCTION("IMPORTRANGE(""https://docs.google.com/spreadsheets/d/1YXvxf8Yu6_rV4hTBrwMqAcAnv6DfhUxh5emyM3CJp_w/edit?usp=sharing"",""เพชรบุรี!L235"")"),0)</f>
        <v>0</v>
      </c>
      <c r="CE65" s="97">
        <f ca="1">IFERROR(__xludf.DUMMYFUNCTION("IMPORTRANGE(""https://docs.google.com/spreadsheets/d/1YXvxf8Yu6_rV4hTBrwMqAcAnv6DfhUxh5emyM3CJp_w/edit?usp=sharing"",""เพชรบุรี!N235"")"),0)</f>
        <v>0</v>
      </c>
      <c r="CF65" s="98">
        <f t="shared" ca="1" si="128"/>
        <v>0</v>
      </c>
      <c r="CG65" s="97">
        <f ca="1">IFERROR(__xludf.DUMMYFUNCTION("IMPORTRANGE(""https://docs.google.com/spreadsheets/d/1YXvxf8Yu6_rV4hTBrwMqAcAnv6DfhUxh5emyM3CJp_w/edit?usp=sharing"",""เพชรบุรี!L236"")"),0)</f>
        <v>0</v>
      </c>
      <c r="CH65" s="97">
        <f ca="1">IFERROR(__xludf.DUMMYFUNCTION("IMPORTRANGE(""https://docs.google.com/spreadsheets/d/1YXvxf8Yu6_rV4hTBrwMqAcAnv6DfhUxh5emyM3CJp_w/edit?usp=sharing"",""เพชรบุรี!N236"")"),0)</f>
        <v>0</v>
      </c>
      <c r="CI65" s="98">
        <f t="shared" ca="1" si="130"/>
        <v>0</v>
      </c>
      <c r="CJ65" s="97">
        <f ca="1">IFERROR(__xludf.DUMMYFUNCTION("IMPORTRANGE(""https://docs.google.com/spreadsheets/d/1YXvxf8Yu6_rV4hTBrwMqAcAnv6DfhUxh5emyM3CJp_w/edit?usp=sharing"",""เพชรบุรี!I238"")"),0)</f>
        <v>0</v>
      </c>
      <c r="CK65" s="97">
        <f ca="1">IFERROR(__xludf.DUMMYFUNCTION("IMPORTRANGE(""https://docs.google.com/spreadsheets/d/1YXvxf8Yu6_rV4hTBrwMqAcAnv6DfhUxh5emyM3CJp_w/edit?usp=sharing"",""เพชรบุรี!J238"")"),0)</f>
        <v>0</v>
      </c>
      <c r="CL65" s="98">
        <f t="shared" ca="1" si="132"/>
        <v>0</v>
      </c>
      <c r="CM65" s="97">
        <f ca="1">IFERROR(__xludf.DUMMYFUNCTION("IMPORTRANGE(""https://docs.google.com/spreadsheets/d/1YXvxf8Yu6_rV4hTBrwMqAcAnv6DfhUxh5emyM3CJp_w/edit?usp=sharing"",""เพชรบุรี!J240"")"),0)</f>
        <v>0</v>
      </c>
      <c r="CN65" s="97">
        <f ca="1">IFERROR(__xludf.DUMMYFUNCTION("IMPORTRANGE(""https://docs.google.com/spreadsheets/d/1YXvxf8Yu6_rV4hTBrwMqAcAnv6DfhUxh5emyM3CJp_w/edit?usp=sharing"",""เพชรบุรี!J241"")"),0)</f>
        <v>0</v>
      </c>
    </row>
    <row r="66" spans="1:92" ht="21" customHeight="1" x14ac:dyDescent="0.3">
      <c r="A66" s="89">
        <v>14</v>
      </c>
      <c r="B66" s="90" t="s">
        <v>92</v>
      </c>
      <c r="C66" s="174">
        <f t="shared" ca="1" si="80"/>
        <v>150200</v>
      </c>
      <c r="D66" s="175">
        <f t="shared" ca="1" si="184"/>
        <v>150200</v>
      </c>
      <c r="E66" s="176">
        <f ca="1">IFERROR(__xludf.DUMMYFUNCTION("IMPORTRANGE(""https://docs.google.com/spreadsheets/d/1-uDff_7J0KD5mKrp0Vvzr7lt3OU09vwQwhkpOPPYv2Y/edit?usp=sharing"",""งบพรบ!CV66"")"),77200)</f>
        <v>77200</v>
      </c>
      <c r="F66" s="176">
        <f ca="1">IFERROR(__xludf.DUMMYFUNCTION("IMPORTRANGE(""https://docs.google.com/spreadsheets/d/1-uDff_7J0KD5mKrp0Vvzr7lt3OU09vwQwhkpOPPYv2Y/edit?usp=sharing"",""งบพรบ!CW66"")"),73000)</f>
        <v>73000</v>
      </c>
      <c r="G66" s="176">
        <f ca="1">IFERROR(__xludf.DUMMYFUNCTION("IMPORTRANGE(""https://docs.google.com/spreadsheets/d/1-uDff_7J0KD5mKrp0Vvzr7lt3OU09vwQwhkpOPPYv2Y/edit?usp=sharing"",""งบพรบ!CX66"")"),0)</f>
        <v>0</v>
      </c>
      <c r="H66" s="176">
        <f ca="1">IFERROR(__xludf.DUMMYFUNCTION("IMPORTRANGE(""https://docs.google.com/spreadsheets/d/1-uDff_7J0KD5mKrp0Vvzr7lt3OU09vwQwhkpOPPYv2Y/edit?usp=sharing"",""งบพรบ!CZ66"")"),153760)</f>
        <v>153760</v>
      </c>
      <c r="I66" s="176">
        <f ca="1">IFERROR(__xludf.DUMMYFUNCTION("IMPORTRANGE(""https://docs.google.com/spreadsheets/d/1-uDff_7J0KD5mKrp0Vvzr7lt3OU09vwQwhkpOPPYv2Y/edit?usp=sharing"",""งบพรบ!DA66"")"),0)</f>
        <v>0</v>
      </c>
      <c r="J66" s="176">
        <f t="shared" ca="1" si="82"/>
        <v>57986.6</v>
      </c>
      <c r="K66" s="179">
        <f t="shared" ca="1" si="83"/>
        <v>38.606258322237018</v>
      </c>
      <c r="L66" s="176">
        <f ca="1">IFERROR(__xludf.DUMMYFUNCTION("IMPORTRANGE(""https://docs.google.com/spreadsheets/d/1-uDff_7J0KD5mKrp0Vvzr7lt3OU09vwQwhkpOPPYv2Y/edit?usp=sharing"",""งบพรบ!DB66"")"),57986.6)</f>
        <v>57986.6</v>
      </c>
      <c r="M66" s="87">
        <f t="shared" ca="1" si="84"/>
        <v>38.606258322237018</v>
      </c>
      <c r="N66" s="87">
        <f t="shared" ca="1" si="85"/>
        <v>37.712408949011447</v>
      </c>
      <c r="O66" s="86">
        <f ca="1">IFERROR(__xludf.DUMMYFUNCTION("IMPORTRANGE(""https://docs.google.com/spreadsheets/d/1-uDff_7J0KD5mKrp0Vvzr7lt3OU09vwQwhkpOPPYv2Y/edit?usp=sharing"",""งบพรบ!DC66"")"),0)</f>
        <v>0</v>
      </c>
      <c r="P66" s="86">
        <f t="shared" ca="1" si="86"/>
        <v>0</v>
      </c>
      <c r="Q66" s="87">
        <f t="shared" ca="1" si="87"/>
        <v>0</v>
      </c>
      <c r="R66" s="241">
        <f ca="1">IFERROR(__xludf.DUMMYFUNCTION("IMPORTRANGE(""https://docs.google.com/spreadsheets/d/19KBlQQs7uwvsao6t2n-KvW3Ax8J8uRRfZPq1zPbXgKc/edit?usp=sharing"",""ระยอง!Q186"")"),14000)</f>
        <v>14000</v>
      </c>
      <c r="S66" s="242">
        <f ca="1">IFERROR(__xludf.DUMMYFUNCTION("IMPORTRANGE(""https://docs.google.com/spreadsheets/d/19KBlQQs7uwvsao6t2n-KvW3Ax8J8uRRfZPq1zPbXgKc/edit?usp=sharing"",""ระยอง!R186"")"),0)</f>
        <v>0</v>
      </c>
      <c r="T66" s="242">
        <f ca="1">IFERROR(__xludf.DUMMYFUNCTION("IMPORTRANGE(""https://docs.google.com/spreadsheets/d/19KBlQQs7uwvsao6t2n-KvW3Ax8J8uRRfZPq1zPbXgKc/edit?usp=sharing"",""ระยอง!S186"")"),0)</f>
        <v>0</v>
      </c>
      <c r="U66" s="243">
        <f t="shared" ca="1" si="89"/>
        <v>0</v>
      </c>
      <c r="V66" s="243">
        <f t="shared" ca="1" si="90"/>
        <v>0</v>
      </c>
      <c r="W66" s="97">
        <f ca="1">IFERROR(__xludf.DUMMYFUNCTION("IMPORTRANGE(""https://docs.google.com/spreadsheets/d/19KBlQQs7uwvsao6t2n-KvW3Ax8J8uRRfZPq1zPbXgKc/edit?usp=sharing"",""ระยอง!L196"")"),6000)</f>
        <v>6000</v>
      </c>
      <c r="X66" s="97">
        <f ca="1">IFERROR(__xludf.DUMMYFUNCTION("IMPORTRANGE(""https://docs.google.com/spreadsheets/d/19KBlQQs7uwvsao6t2n-KvW3Ax8J8uRRfZPq1zPbXgKc/edit?usp=sharing"",""ระยอง!N196"")"),0)</f>
        <v>0</v>
      </c>
      <c r="Y66" s="98">
        <f t="shared" ca="1" si="92"/>
        <v>0</v>
      </c>
      <c r="Z66" s="97">
        <f ca="1">IFERROR(__xludf.DUMMYFUNCTION("IMPORTRANGE(""https://docs.google.com/spreadsheets/d/19KBlQQs7uwvsao6t2n-KvW3Ax8J8uRRfZPq1zPbXgKc/edit?usp=sharing"",""ระยอง!I198"")"),4)</f>
        <v>4</v>
      </c>
      <c r="AA66" s="97">
        <f ca="1">IFERROR(__xludf.DUMMYFUNCTION("IMPORTRANGE(""https://docs.google.com/spreadsheets/d/19KBlQQs7uwvsao6t2n-KvW3Ax8J8uRRfZPq1zPbXgKc/edit?usp=sharing"",""ระยอง!J198"")"),0)</f>
        <v>0</v>
      </c>
      <c r="AB66" s="98">
        <f t="shared" ca="1" si="94"/>
        <v>0</v>
      </c>
      <c r="AC66" s="97">
        <f ca="1">IFERROR(__xludf.DUMMYFUNCTION("IMPORTRANGE(""https://docs.google.com/spreadsheets/d/19KBlQQs7uwvsao6t2n-KvW3Ax8J8uRRfZPq1zPbXgKc/edit?usp=sharing"",""ระยอง!J199"")"),0)</f>
        <v>0</v>
      </c>
      <c r="AD66" s="97">
        <f ca="1">IFERROR(__xludf.DUMMYFUNCTION("IMPORTRANGE(""https://docs.google.com/spreadsheets/d/19KBlQQs7uwvsao6t2n-KvW3Ax8J8uRRfZPq1zPbXgKc/edit?usp=sharing"",""ระยอง!J200"")"),0)</f>
        <v>0</v>
      </c>
      <c r="AE66" s="97">
        <f ca="1">IFERROR(__xludf.DUMMYFUNCTION("IMPORTRANGE(""https://docs.google.com/spreadsheets/d/19KBlQQs7uwvsao6t2n-KvW3Ax8J8uRRfZPq1zPbXgKc/edit?usp=sharing"",""ระยอง!J201"")"),0)</f>
        <v>0</v>
      </c>
      <c r="AF66" s="97">
        <f ca="1">IFERROR(__xludf.DUMMYFUNCTION("IMPORTRANGE(""https://docs.google.com/spreadsheets/d/19KBlQQs7uwvsao6t2n-KvW3Ax8J8uRRfZPq1zPbXgKc/edit?usp=sharing"",""ระยอง!L204"")"),1000)</f>
        <v>1000</v>
      </c>
      <c r="AG66" s="97">
        <f ca="1">IFERROR(__xludf.DUMMYFUNCTION("IMPORTRANGE(""https://docs.google.com/spreadsheets/d/19KBlQQs7uwvsao6t2n-KvW3Ax8J8uRRfZPq1zPbXgKc/edit?usp=sharing"",""ระยอง!N204"")"),0)</f>
        <v>0</v>
      </c>
      <c r="AH66" s="98">
        <f t="shared" ca="1" si="96"/>
        <v>0</v>
      </c>
      <c r="AI66" s="97">
        <f ca="1">IFERROR(__xludf.DUMMYFUNCTION("IMPORTRANGE(""https://docs.google.com/spreadsheets/d/19KBlQQs7uwvsao6t2n-KvW3Ax8J8uRRfZPq1zPbXgKc/edit?usp=sharing"",""ระยอง!L206"")"),8000)</f>
        <v>8000</v>
      </c>
      <c r="AJ66" s="97">
        <f ca="1">IFERROR(__xludf.DUMMYFUNCTION("IMPORTRANGE(""https://docs.google.com/spreadsheets/d/19KBlQQs7uwvsao6t2n-KvW3Ax8J8uRRfZPq1zPbXgKc/edit?usp=sharing"",""ระยอง!N206"")"),0)</f>
        <v>0</v>
      </c>
      <c r="AK66" s="98">
        <f t="shared" ca="1" si="98"/>
        <v>0</v>
      </c>
      <c r="AL66" s="97">
        <f ca="1">IFERROR(__xludf.DUMMYFUNCTION("IMPORTRANGE(""https://docs.google.com/spreadsheets/d/19KBlQQs7uwvsao6t2n-KvW3Ax8J8uRRfZPq1zPbXgKc/edit?usp=sharing"",""ระยอง!L207"")"),4000)</f>
        <v>4000</v>
      </c>
      <c r="AM66" s="97">
        <f ca="1">IFERROR(__xludf.DUMMYFUNCTION("IMPORTRANGE(""https://docs.google.com/spreadsheets/d/19KBlQQs7uwvsao6t2n-KvW3Ax8J8uRRfZPq1zPbXgKc/edit?usp=sharing"",""ระยอง!N207"")"),0)</f>
        <v>0</v>
      </c>
      <c r="AN66" s="98">
        <f t="shared" ca="1" si="100"/>
        <v>0</v>
      </c>
      <c r="AO66" s="97">
        <f ca="1">IFERROR(__xludf.DUMMYFUNCTION("IMPORTRANGE(""https://docs.google.com/spreadsheets/d/19KBlQQs7uwvsao6t2n-KvW3Ax8J8uRRfZPq1zPbXgKc/edit?usp=sharing"",""ระยอง!I209"")"),1)</f>
        <v>1</v>
      </c>
      <c r="AP66" s="97">
        <f ca="1">IFERROR(__xludf.DUMMYFUNCTION("IMPORTRANGE(""https://docs.google.com/spreadsheets/d/19KBlQQs7uwvsao6t2n-KvW3Ax8J8uRRfZPq1zPbXgKc/edit?usp=sharing"",""ระยอง!J209"")"),0)</f>
        <v>0</v>
      </c>
      <c r="AQ66" s="98">
        <f t="shared" ca="1" si="102"/>
        <v>0</v>
      </c>
      <c r="AR66" s="97">
        <f ca="1">IFERROR(__xludf.DUMMYFUNCTION("IMPORTRANGE(""https://docs.google.com/spreadsheets/d/19KBlQQs7uwvsao6t2n-KvW3Ax8J8uRRfZPq1zPbXgKc/edit?usp=sharing"",""ระยอง!J211"")"),0)</f>
        <v>0</v>
      </c>
      <c r="AS66" s="97">
        <f ca="1">IFERROR(__xludf.DUMMYFUNCTION("IMPORTRANGE(""https://docs.google.com/spreadsheets/d/19KBlQQs7uwvsao6t2n-KvW3Ax8J8uRRfZPq1zPbXgKc/edit?usp=sharing"",""ระยอง!J212"")"),0)</f>
        <v>0</v>
      </c>
      <c r="AT66" s="97">
        <f ca="1">IFERROR(__xludf.DUMMYFUNCTION("IMPORTRANGE(""https://docs.google.com/spreadsheets/d/19KBlQQs7uwvsao6t2n-KvW3Ax8J8uRRfZPq1zPbXgKc/edit?usp=sharing"",""ระยอง!L215"")"),0)</f>
        <v>0</v>
      </c>
      <c r="AU66" s="97">
        <f ca="1">IFERROR(__xludf.DUMMYFUNCTION("IMPORTRANGE(""https://docs.google.com/spreadsheets/d/19KBlQQs7uwvsao6t2n-KvW3Ax8J8uRRfZPq1zPbXgKc/edit?usp=sharing"",""ระยอง!N215"")"),0)</f>
        <v>0</v>
      </c>
      <c r="AV66" s="98">
        <f t="shared" ca="1" si="104"/>
        <v>0</v>
      </c>
      <c r="AW66" s="97">
        <f ca="1">IFERROR(__xludf.DUMMYFUNCTION("IMPORTRANGE(""https://docs.google.com/spreadsheets/d/19KBlQQs7uwvsao6t2n-KvW3Ax8J8uRRfZPq1zPbXgKc/edit?usp=sharing"",""ระยอง!L216"")"),0)</f>
        <v>0</v>
      </c>
      <c r="AX66" s="97">
        <f ca="1">IFERROR(__xludf.DUMMYFUNCTION("IMPORTRANGE(""https://docs.google.com/spreadsheets/d/19KBlQQs7uwvsao6t2n-KvW3Ax8J8uRRfZPq1zPbXgKc/edit?usp=sharing"",""ระยอง!N216"")"),0)</f>
        <v>0</v>
      </c>
      <c r="AY66" s="98">
        <f t="shared" ca="1" si="106"/>
        <v>0</v>
      </c>
      <c r="AZ66" s="97">
        <f ca="1">IFERROR(__xludf.DUMMYFUNCTION("IMPORTRANGE(""https://docs.google.com/spreadsheets/d/19KBlQQs7uwvsao6t2n-KvW3Ax8J8uRRfZPq1zPbXgKc/edit?usp=sharing"",""ระยอง!L217"")"),0)</f>
        <v>0</v>
      </c>
      <c r="BA66" s="97">
        <f ca="1">IFERROR(__xludf.DUMMYFUNCTION("IMPORTRANGE(""https://docs.google.com/spreadsheets/d/19KBlQQs7uwvsao6t2n-KvW3Ax8J8uRRfZPq1zPbXgKc/edit?usp=sharing"",""ระยอง!N217"")"),0)</f>
        <v>0</v>
      </c>
      <c r="BB66" s="98">
        <f t="shared" ca="1" si="108"/>
        <v>0</v>
      </c>
      <c r="BC66" s="97">
        <f ca="1">IFERROR(__xludf.DUMMYFUNCTION("IMPORTRANGE(""https://docs.google.com/spreadsheets/d/19KBlQQs7uwvsao6t2n-KvW3Ax8J8uRRfZPq1zPbXgKc/edit?usp=sharing"",""ระยอง!I219"")"),0)</f>
        <v>0</v>
      </c>
      <c r="BD66" s="97">
        <f ca="1">IFERROR(__xludf.DUMMYFUNCTION("IMPORTRANGE(""https://docs.google.com/spreadsheets/d/19KBlQQs7uwvsao6t2n-KvW3Ax8J8uRRfZPq1zPbXgKc/edit?usp=sharing"",""ระยอง!J219"")"),0)</f>
        <v>0</v>
      </c>
      <c r="BE66" s="98">
        <f t="shared" ca="1" si="110"/>
        <v>0</v>
      </c>
      <c r="BF66" s="97">
        <f ca="1">IFERROR(__xludf.DUMMYFUNCTION("IMPORTRANGE(""https://docs.google.com/spreadsheets/d/19KBlQQs7uwvsao6t2n-KvW3Ax8J8uRRfZPq1zPbXgKc/edit?usp=sharing"",""ระยอง!I220"")"),0)</f>
        <v>0</v>
      </c>
      <c r="BG66" s="97">
        <f ca="1">IFERROR(__xludf.DUMMYFUNCTION("IMPORTRANGE(""https://docs.google.com/spreadsheets/d/19KBlQQs7uwvsao6t2n-KvW3Ax8J8uRRfZPq1zPbXgKc/edit?usp=sharing"",""ระยอง!J220"")"),0)</f>
        <v>0</v>
      </c>
      <c r="BH66" s="98">
        <f t="shared" ca="1" si="112"/>
        <v>0</v>
      </c>
      <c r="BI66" s="97">
        <f ca="1">IFERROR(__xludf.DUMMYFUNCTION("IMPORTRANGE(""https://docs.google.com/spreadsheets/d/19KBlQQs7uwvsao6t2n-KvW3Ax8J8uRRfZPq1zPbXgKc/edit?usp=sharing"",""ระยอง!L223"")"),3000)</f>
        <v>3000</v>
      </c>
      <c r="BJ66" s="97">
        <f ca="1">IFERROR(__xludf.DUMMYFUNCTION("IMPORTRANGE(""https://docs.google.com/spreadsheets/d/19KBlQQs7uwvsao6t2n-KvW3Ax8J8uRRfZPq1zPbXgKc/edit?usp=sharing"",""ระยอง!N223"")"),0)</f>
        <v>0</v>
      </c>
      <c r="BK66" s="98">
        <f t="shared" ca="1" si="114"/>
        <v>0</v>
      </c>
      <c r="BL66" s="97">
        <f ca="1">IFERROR(__xludf.DUMMYFUNCTION("IMPORTRANGE(""https://docs.google.com/spreadsheets/d/19KBlQQs7uwvsao6t2n-KvW3Ax8J8uRRfZPq1zPbXgKc/edit?usp=sharing"",""ระยอง!L224"")"),1500)</f>
        <v>1500</v>
      </c>
      <c r="BM66" s="97">
        <f ca="1">IFERROR(__xludf.DUMMYFUNCTION("IMPORTRANGE(""https://docs.google.com/spreadsheets/d/19KBlQQs7uwvsao6t2n-KvW3Ax8J8uRRfZPq1zPbXgKc/edit?usp=sharing"",""ระยอง!N224"")"),0)</f>
        <v>0</v>
      </c>
      <c r="BN66" s="98">
        <f t="shared" ca="1" si="116"/>
        <v>0</v>
      </c>
      <c r="BO66" s="97">
        <f ca="1">IFERROR(__xludf.DUMMYFUNCTION("IMPORTRANGE(""https://docs.google.com/spreadsheets/d/19KBlQQs7uwvsao6t2n-KvW3Ax8J8uRRfZPq1zPbXgKc/edit?usp=sharing"",""ระยอง!I228"")"),6400)</f>
        <v>6400</v>
      </c>
      <c r="BP66" s="97">
        <f ca="1">IFERROR(__xludf.DUMMYFUNCTION("IMPORTRANGE(""https://docs.google.com/spreadsheets/d/19KBlQQs7uwvsao6t2n-KvW3Ax8J8uRRfZPq1zPbXgKc/edit?usp=sharing"",""ระยอง!J228"")"),0)</f>
        <v>0</v>
      </c>
      <c r="BQ66" s="98">
        <f t="shared" ca="1" si="118"/>
        <v>0</v>
      </c>
      <c r="BR66" s="97">
        <f ca="1">IFERROR(__xludf.DUMMYFUNCTION("IMPORTRANGE(""https://docs.google.com/spreadsheets/d/19KBlQQs7uwvsao6t2n-KvW3Ax8J8uRRfZPq1zPbXgKc/edit?usp=sharing"",""ระยอง!I229"")"),6400)</f>
        <v>6400</v>
      </c>
      <c r="BS66" s="97">
        <f ca="1">IFERROR(__xludf.DUMMYFUNCTION("IMPORTRANGE(""https://docs.google.com/spreadsheets/d/19KBlQQs7uwvsao6t2n-KvW3Ax8J8uRRfZPq1zPbXgKc/edit?usp=sharing"",""ระยอง!J229"")"),0)</f>
        <v>0</v>
      </c>
      <c r="BT66" s="98">
        <f t="shared" ca="1" si="120"/>
        <v>0</v>
      </c>
      <c r="BU66" s="97">
        <f ca="1">IFERROR(__xludf.DUMMYFUNCTION("IMPORTRANGE(""https://docs.google.com/spreadsheets/d/19KBlQQs7uwvsao6t2n-KvW3Ax8J8uRRfZPq1zPbXgKc/edit?usp=sharing"",""ระยอง!I230"")"),0)</f>
        <v>0</v>
      </c>
      <c r="BV66" s="97">
        <f ca="1">IFERROR(__xludf.DUMMYFUNCTION("IMPORTRANGE(""https://docs.google.com/spreadsheets/d/19KBlQQs7uwvsao6t2n-KvW3Ax8J8uRRfZPq1zPbXgKc/edit?usp=sharing"",""ระยอง!J230"")"),0)</f>
        <v>0</v>
      </c>
      <c r="BW66" s="98">
        <f t="shared" ca="1" si="122"/>
        <v>0</v>
      </c>
      <c r="BX66" s="97">
        <f ca="1">IFERROR(__xludf.DUMMYFUNCTION("IMPORTRANGE(""https://docs.google.com/spreadsheets/d/19KBlQQs7uwvsao6t2n-KvW3Ax8J8uRRfZPq1zPbXgKc/edit?usp=sharing"",""ระยอง!L233"")"),8000)</f>
        <v>8000</v>
      </c>
      <c r="BY66" s="97">
        <f ca="1">IFERROR(__xludf.DUMMYFUNCTION("IMPORTRANGE(""https://docs.google.com/spreadsheets/d/19KBlQQs7uwvsao6t2n-KvW3Ax8J8uRRfZPq1zPbXgKc/edit?usp=sharing"",""ระยอง!N233"")"),0)</f>
        <v>0</v>
      </c>
      <c r="BZ66" s="98">
        <f t="shared" ca="1" si="124"/>
        <v>0</v>
      </c>
      <c r="CA66" s="97">
        <f ca="1">IFERROR(__xludf.DUMMYFUNCTION("IMPORTRANGE(""https://docs.google.com/spreadsheets/d/19KBlQQs7uwvsao6t2n-KvW3Ax8J8uRRfZPq1zPbXgKc/edit?usp=sharing"",""ระยอง!L234"")"),2000)</f>
        <v>2000</v>
      </c>
      <c r="CB66" s="97">
        <f ca="1">IFERROR(__xludf.DUMMYFUNCTION("IMPORTRANGE(""https://docs.google.com/spreadsheets/d/19KBlQQs7uwvsao6t2n-KvW3Ax8J8uRRfZPq1zPbXgKc/edit?usp=sharing"",""ระยอง!N234"")"),0)</f>
        <v>0</v>
      </c>
      <c r="CC66" s="98">
        <f t="shared" ca="1" si="126"/>
        <v>0</v>
      </c>
      <c r="CD66" s="97">
        <f ca="1">IFERROR(__xludf.DUMMYFUNCTION("IMPORTRANGE(""https://docs.google.com/spreadsheets/d/19KBlQQs7uwvsao6t2n-KvW3Ax8J8uRRfZPq1zPbXgKc/edit?usp=sharing"",""ระยอง!L235"")"),24000)</f>
        <v>24000</v>
      </c>
      <c r="CE66" s="97">
        <f ca="1">IFERROR(__xludf.DUMMYFUNCTION("IMPORTRANGE(""https://docs.google.com/spreadsheets/d/19KBlQQs7uwvsao6t2n-KvW3Ax8J8uRRfZPq1zPbXgKc/edit?usp=sharing"",""ระยอง!N235"")"),0)</f>
        <v>0</v>
      </c>
      <c r="CF66" s="98">
        <f t="shared" ca="1" si="128"/>
        <v>0</v>
      </c>
      <c r="CG66" s="97">
        <f ca="1">IFERROR(__xludf.DUMMYFUNCTION("IMPORTRANGE(""https://docs.google.com/spreadsheets/d/19KBlQQs7uwvsao6t2n-KvW3Ax8J8uRRfZPq1zPbXgKc/edit?usp=sharing"",""ระยอง!L236"")"),15500)</f>
        <v>15500</v>
      </c>
      <c r="CH66" s="97">
        <f ca="1">IFERROR(__xludf.DUMMYFUNCTION("IMPORTRANGE(""https://docs.google.com/spreadsheets/d/19KBlQQs7uwvsao6t2n-KvW3Ax8J8uRRfZPq1zPbXgKc/edit?usp=sharing"",""ระยอง!N236"")"),0)</f>
        <v>0</v>
      </c>
      <c r="CI66" s="98">
        <f t="shared" ca="1" si="130"/>
        <v>0</v>
      </c>
      <c r="CJ66" s="97">
        <f ca="1">IFERROR(__xludf.DUMMYFUNCTION("IMPORTRANGE(""https://docs.google.com/spreadsheets/d/19KBlQQs7uwvsao6t2n-KvW3Ax8J8uRRfZPq1zPbXgKc/edit?usp=sharing"",""ระยอง!I238"")"),15)</f>
        <v>15</v>
      </c>
      <c r="CK66" s="97">
        <f ca="1">IFERROR(__xludf.DUMMYFUNCTION("IMPORTRANGE(""https://docs.google.com/spreadsheets/d/19KBlQQs7uwvsao6t2n-KvW3Ax8J8uRRfZPq1zPbXgKc/edit?usp=sharing"",""ระยอง!J238"")"),0)</f>
        <v>0</v>
      </c>
      <c r="CL66" s="98">
        <f t="shared" ca="1" si="132"/>
        <v>0</v>
      </c>
      <c r="CM66" s="97">
        <f ca="1">IFERROR(__xludf.DUMMYFUNCTION("IMPORTRANGE(""https://docs.google.com/spreadsheets/d/19KBlQQs7uwvsao6t2n-KvW3Ax8J8uRRfZPq1zPbXgKc/edit?usp=sharing"",""ระยอง!J240"")"),0)</f>
        <v>0</v>
      </c>
      <c r="CN66" s="97">
        <f ca="1">IFERROR(__xludf.DUMMYFUNCTION("IMPORTRANGE(""https://docs.google.com/spreadsheets/d/19KBlQQs7uwvsao6t2n-KvW3Ax8J8uRRfZPq1zPbXgKc/edit?usp=sharing"",""ระยอง!J241"")"),0)</f>
        <v>0</v>
      </c>
    </row>
    <row r="67" spans="1:92" ht="21" customHeight="1" x14ac:dyDescent="0.3">
      <c r="A67" s="89">
        <v>15</v>
      </c>
      <c r="B67" s="90" t="s">
        <v>93</v>
      </c>
      <c r="C67" s="174">
        <f t="shared" ca="1" si="80"/>
        <v>36500</v>
      </c>
      <c r="D67" s="175">
        <f t="shared" ca="1" si="184"/>
        <v>36500</v>
      </c>
      <c r="E67" s="176">
        <f ca="1">IFERROR(__xludf.DUMMYFUNCTION("IMPORTRANGE(""https://docs.google.com/spreadsheets/d/1-uDff_7J0KD5mKrp0Vvzr7lt3OU09vwQwhkpOPPYv2Y/edit?usp=sharing"",""งบพรบ!CV67"")"),0)</f>
        <v>0</v>
      </c>
      <c r="F67" s="176">
        <f ca="1">IFERROR(__xludf.DUMMYFUNCTION("IMPORTRANGE(""https://docs.google.com/spreadsheets/d/1-uDff_7J0KD5mKrp0Vvzr7lt3OU09vwQwhkpOPPYv2Y/edit?usp=sharing"",""งบพรบ!CW67"")"),36500)</f>
        <v>36500</v>
      </c>
      <c r="G67" s="176">
        <f ca="1">IFERROR(__xludf.DUMMYFUNCTION("IMPORTRANGE(""https://docs.google.com/spreadsheets/d/1-uDff_7J0KD5mKrp0Vvzr7lt3OU09vwQwhkpOPPYv2Y/edit?usp=sharing"",""งบพรบ!CX67"")"),0)</f>
        <v>0</v>
      </c>
      <c r="H67" s="176">
        <f ca="1">IFERROR(__xludf.DUMMYFUNCTION("IMPORTRANGE(""https://docs.google.com/spreadsheets/d/1-uDff_7J0KD5mKrp0Vvzr7lt3OU09vwQwhkpOPPYv2Y/edit?usp=sharing"",""งบพรบ!CZ67"")"),36500)</f>
        <v>36500</v>
      </c>
      <c r="I67" s="176">
        <f ca="1">IFERROR(__xludf.DUMMYFUNCTION("IMPORTRANGE(""https://docs.google.com/spreadsheets/d/1-uDff_7J0KD5mKrp0Vvzr7lt3OU09vwQwhkpOPPYv2Y/edit?usp=sharing"",""งบพรบ!DA67"")"),0)</f>
        <v>0</v>
      </c>
      <c r="J67" s="176">
        <f t="shared" ca="1" si="82"/>
        <v>350</v>
      </c>
      <c r="K67" s="179">
        <f t="shared" ca="1" si="83"/>
        <v>0.95890410958904104</v>
      </c>
      <c r="L67" s="176">
        <f ca="1">IFERROR(__xludf.DUMMYFUNCTION("IMPORTRANGE(""https://docs.google.com/spreadsheets/d/1-uDff_7J0KD5mKrp0Vvzr7lt3OU09vwQwhkpOPPYv2Y/edit?usp=sharing"",""งบพรบ!DB67"")"),350)</f>
        <v>350</v>
      </c>
      <c r="M67" s="87">
        <f t="shared" ca="1" si="84"/>
        <v>0.95890410958904104</v>
      </c>
      <c r="N67" s="87">
        <f t="shared" ca="1" si="85"/>
        <v>0.95890410958904104</v>
      </c>
      <c r="O67" s="86">
        <f ca="1">IFERROR(__xludf.DUMMYFUNCTION("IMPORTRANGE(""https://docs.google.com/spreadsheets/d/1-uDff_7J0KD5mKrp0Vvzr7lt3OU09vwQwhkpOPPYv2Y/edit?usp=sharing"",""งบพรบ!DC67"")"),0)</f>
        <v>0</v>
      </c>
      <c r="P67" s="86">
        <f t="shared" ca="1" si="86"/>
        <v>0</v>
      </c>
      <c r="Q67" s="87">
        <f t="shared" ca="1" si="87"/>
        <v>0</v>
      </c>
      <c r="R67" s="241">
        <f ca="1">IFERROR(__xludf.DUMMYFUNCTION("IMPORTRANGE(""https://docs.google.com/spreadsheets/d/1jQ6P4QcrGM89YfqcC_PxOHGCMq5ezhucwJd8ci-NHng/edit?usp=sharing"",""ราชบุรี!Q186"")"),42000)</f>
        <v>42000</v>
      </c>
      <c r="S67" s="242">
        <f ca="1">IFERROR(__xludf.DUMMYFUNCTION("IMPORTRANGE(""https://docs.google.com/spreadsheets/d/1jQ6P4QcrGM89YfqcC_PxOHGCMq5ezhucwJd8ci-NHng/edit?usp=sharing"",""ราชบุรี!R186"")"),0)</f>
        <v>0</v>
      </c>
      <c r="T67" s="242">
        <f ca="1">IFERROR(__xludf.DUMMYFUNCTION("IMPORTRANGE(""https://docs.google.com/spreadsheets/d/1jQ6P4QcrGM89YfqcC_PxOHGCMq5ezhucwJd8ci-NHng/edit?usp=sharing"",""ราชบุรี!S186"")"),0)</f>
        <v>0</v>
      </c>
      <c r="U67" s="243">
        <f t="shared" ca="1" si="89"/>
        <v>0</v>
      </c>
      <c r="V67" s="243">
        <f t="shared" ca="1" si="90"/>
        <v>0</v>
      </c>
      <c r="W67" s="97">
        <f ca="1">IFERROR(__xludf.DUMMYFUNCTION("IMPORTRANGE(""https://docs.google.com/spreadsheets/d/1jQ6P4QcrGM89YfqcC_PxOHGCMq5ezhucwJd8ci-NHng/edit?usp=sharing"",""ราชบุรี!L196"")"),6000)</f>
        <v>6000</v>
      </c>
      <c r="X67" s="97">
        <f ca="1">IFERROR(__xludf.DUMMYFUNCTION("IMPORTRANGE(""https://docs.google.com/spreadsheets/d/1jQ6P4QcrGM89YfqcC_PxOHGCMq5ezhucwJd8ci-NHng/edit?usp=sharing"",""ราชบุรี!N196"")"),0)</f>
        <v>0</v>
      </c>
      <c r="Y67" s="98">
        <f t="shared" ca="1" si="92"/>
        <v>0</v>
      </c>
      <c r="Z67" s="97">
        <f ca="1">IFERROR(__xludf.DUMMYFUNCTION("IMPORTRANGE(""https://docs.google.com/spreadsheets/d/1jQ6P4QcrGM89YfqcC_PxOHGCMq5ezhucwJd8ci-NHng/edit?usp=sharing"",""ราชบุรี!I198"")"),4)</f>
        <v>4</v>
      </c>
      <c r="AA67" s="97">
        <f ca="1">IFERROR(__xludf.DUMMYFUNCTION("IMPORTRANGE(""https://docs.google.com/spreadsheets/d/1jQ6P4QcrGM89YfqcC_PxOHGCMq5ezhucwJd8ci-NHng/edit?usp=sharing"",""ราชบุรี!J198"")"),1)</f>
        <v>1</v>
      </c>
      <c r="AB67" s="98">
        <f t="shared" ca="1" si="94"/>
        <v>25</v>
      </c>
      <c r="AC67" s="97">
        <f ca="1">IFERROR(__xludf.DUMMYFUNCTION("IMPORTRANGE(""https://docs.google.com/spreadsheets/d/1jQ6P4QcrGM89YfqcC_PxOHGCMq5ezhucwJd8ci-NHng/edit?usp=sharing"",""ราชบุรี!J199"")"),55)</f>
        <v>55</v>
      </c>
      <c r="AD67" s="97">
        <f ca="1">IFERROR(__xludf.DUMMYFUNCTION("IMPORTRANGE(""https://docs.google.com/spreadsheets/d/1jQ6P4QcrGM89YfqcC_PxOHGCMq5ezhucwJd8ci-NHng/edit?usp=sharing"",""ราชบุรี!J200"")"),55)</f>
        <v>55</v>
      </c>
      <c r="AE67" s="97">
        <f ca="1">IFERROR(__xludf.DUMMYFUNCTION("IMPORTRANGE(""https://docs.google.com/spreadsheets/d/1jQ6P4QcrGM89YfqcC_PxOHGCMq5ezhucwJd8ci-NHng/edit?usp=sharing"",""ราชบุรี!J201"")"),0)</f>
        <v>0</v>
      </c>
      <c r="AF67" s="97">
        <f ca="1">IFERROR(__xludf.DUMMYFUNCTION("IMPORTRANGE(""https://docs.google.com/spreadsheets/d/1jQ6P4QcrGM89YfqcC_PxOHGCMq5ezhucwJd8ci-NHng/edit?usp=sharing"",""ราชบุรี!L204"")"),2000)</f>
        <v>2000</v>
      </c>
      <c r="AG67" s="97">
        <f ca="1">IFERROR(__xludf.DUMMYFUNCTION("IMPORTRANGE(""https://docs.google.com/spreadsheets/d/1jQ6P4QcrGM89YfqcC_PxOHGCMq5ezhucwJd8ci-NHng/edit?usp=sharing"",""ราชบุรี!N204"")"),0)</f>
        <v>0</v>
      </c>
      <c r="AH67" s="98">
        <f t="shared" ca="1" si="96"/>
        <v>0</v>
      </c>
      <c r="AI67" s="97">
        <f ca="1">IFERROR(__xludf.DUMMYFUNCTION("IMPORTRANGE(""https://docs.google.com/spreadsheets/d/1jQ6P4QcrGM89YfqcC_PxOHGCMq5ezhucwJd8ci-NHng/edit?usp=sharing"",""ราชบุรี!L206"")"),16000)</f>
        <v>16000</v>
      </c>
      <c r="AJ67" s="97">
        <f ca="1">IFERROR(__xludf.DUMMYFUNCTION("IMPORTRANGE(""https://docs.google.com/spreadsheets/d/1jQ6P4QcrGM89YfqcC_PxOHGCMq5ezhucwJd8ci-NHng/edit?usp=sharing"",""ราชบุรี!N206"")"),0)</f>
        <v>0</v>
      </c>
      <c r="AK67" s="98">
        <f t="shared" ca="1" si="98"/>
        <v>0</v>
      </c>
      <c r="AL67" s="97">
        <f ca="1">IFERROR(__xludf.DUMMYFUNCTION("IMPORTRANGE(""https://docs.google.com/spreadsheets/d/1jQ6P4QcrGM89YfqcC_PxOHGCMq5ezhucwJd8ci-NHng/edit?usp=sharing"",""ราชบุรี!L207"")"),8000)</f>
        <v>8000</v>
      </c>
      <c r="AM67" s="97">
        <f ca="1">IFERROR(__xludf.DUMMYFUNCTION("IMPORTRANGE(""https://docs.google.com/spreadsheets/d/1jQ6P4QcrGM89YfqcC_PxOHGCMq5ezhucwJd8ci-NHng/edit?usp=sharing"",""ราชบุรี!N207"")"),0)</f>
        <v>0</v>
      </c>
      <c r="AN67" s="98">
        <f t="shared" ca="1" si="100"/>
        <v>0</v>
      </c>
      <c r="AO67" s="97">
        <f ca="1">IFERROR(__xludf.DUMMYFUNCTION("IMPORTRANGE(""https://docs.google.com/spreadsheets/d/1jQ6P4QcrGM89YfqcC_PxOHGCMq5ezhucwJd8ci-NHng/edit?usp=sharing"",""ราชบุรี!I209"")"),2)</f>
        <v>2</v>
      </c>
      <c r="AP67" s="97">
        <f ca="1">IFERROR(__xludf.DUMMYFUNCTION("IMPORTRANGE(""https://docs.google.com/spreadsheets/d/1jQ6P4QcrGM89YfqcC_PxOHGCMq5ezhucwJd8ci-NHng/edit?usp=sharing"",""ราชบุรี!J209"")"),0)</f>
        <v>0</v>
      </c>
      <c r="AQ67" s="98">
        <f t="shared" ca="1" si="102"/>
        <v>0</v>
      </c>
      <c r="AR67" s="97">
        <f ca="1">IFERROR(__xludf.DUMMYFUNCTION("IMPORTRANGE(""https://docs.google.com/spreadsheets/d/1jQ6P4QcrGM89YfqcC_PxOHGCMq5ezhucwJd8ci-NHng/edit?usp=sharing"",""ราชบุรี!J211"")"),0)</f>
        <v>0</v>
      </c>
      <c r="AS67" s="97">
        <f ca="1">IFERROR(__xludf.DUMMYFUNCTION("IMPORTRANGE(""https://docs.google.com/spreadsheets/d/1jQ6P4QcrGM89YfqcC_PxOHGCMq5ezhucwJd8ci-NHng/edit?usp=sharing"",""ราชบุรี!J212"")"),0)</f>
        <v>0</v>
      </c>
      <c r="AT67" s="97">
        <f ca="1">IFERROR(__xludf.DUMMYFUNCTION("IMPORTRANGE(""https://docs.google.com/spreadsheets/d/1jQ6P4QcrGM89YfqcC_PxOHGCMq5ezhucwJd8ci-NHng/edit?usp=sharing"",""ราชบุรี!L215"")"),0)</f>
        <v>0</v>
      </c>
      <c r="AU67" s="97">
        <f ca="1">IFERROR(__xludf.DUMMYFUNCTION("IMPORTRANGE(""https://docs.google.com/spreadsheets/d/1jQ6P4QcrGM89YfqcC_PxOHGCMq5ezhucwJd8ci-NHng/edit?usp=sharing"",""ราชบุรี!N215"")"),0)</f>
        <v>0</v>
      </c>
      <c r="AV67" s="98">
        <f t="shared" ca="1" si="104"/>
        <v>0</v>
      </c>
      <c r="AW67" s="97">
        <f ca="1">IFERROR(__xludf.DUMMYFUNCTION("IMPORTRANGE(""https://docs.google.com/spreadsheets/d/1jQ6P4QcrGM89YfqcC_PxOHGCMq5ezhucwJd8ci-NHng/edit?usp=sharing"",""ราชบุรี!L216"")"),0)</f>
        <v>0</v>
      </c>
      <c r="AX67" s="97">
        <f ca="1">IFERROR(__xludf.DUMMYFUNCTION("IMPORTRANGE(""https://docs.google.com/spreadsheets/d/1jQ6P4QcrGM89YfqcC_PxOHGCMq5ezhucwJd8ci-NHng/edit?usp=sharing"",""ราชบุรี!N216"")"),0)</f>
        <v>0</v>
      </c>
      <c r="AY67" s="98">
        <f t="shared" ca="1" si="106"/>
        <v>0</v>
      </c>
      <c r="AZ67" s="97">
        <f ca="1">IFERROR(__xludf.DUMMYFUNCTION("IMPORTRANGE(""https://docs.google.com/spreadsheets/d/1jQ6P4QcrGM89YfqcC_PxOHGCMq5ezhucwJd8ci-NHng/edit?usp=sharing"",""ราชบุรี!L217"")"),0)</f>
        <v>0</v>
      </c>
      <c r="BA67" s="97">
        <f ca="1">IFERROR(__xludf.DUMMYFUNCTION("IMPORTRANGE(""https://docs.google.com/spreadsheets/d/1jQ6P4QcrGM89YfqcC_PxOHGCMq5ezhucwJd8ci-NHng/edit?usp=sharing"",""ราชบุรี!N217"")"),0)</f>
        <v>0</v>
      </c>
      <c r="BB67" s="98">
        <f t="shared" ca="1" si="108"/>
        <v>0</v>
      </c>
      <c r="BC67" s="97">
        <f ca="1">IFERROR(__xludf.DUMMYFUNCTION("IMPORTRANGE(""https://docs.google.com/spreadsheets/d/1jQ6P4QcrGM89YfqcC_PxOHGCMq5ezhucwJd8ci-NHng/edit?usp=sharing"",""ราชบุรี!I219"")"),0)</f>
        <v>0</v>
      </c>
      <c r="BD67" s="97">
        <f ca="1">IFERROR(__xludf.DUMMYFUNCTION("IMPORTRANGE(""https://docs.google.com/spreadsheets/d/1jQ6P4QcrGM89YfqcC_PxOHGCMq5ezhucwJd8ci-NHng/edit?usp=sharing"",""ราชบุรี!J219"")"),0)</f>
        <v>0</v>
      </c>
      <c r="BE67" s="98">
        <f t="shared" ca="1" si="110"/>
        <v>0</v>
      </c>
      <c r="BF67" s="97">
        <f ca="1">IFERROR(__xludf.DUMMYFUNCTION("IMPORTRANGE(""https://docs.google.com/spreadsheets/d/1jQ6P4QcrGM89YfqcC_PxOHGCMq5ezhucwJd8ci-NHng/edit?usp=sharing"",""ราชบุรี!I220"")"),0)</f>
        <v>0</v>
      </c>
      <c r="BG67" s="97">
        <f ca="1">IFERROR(__xludf.DUMMYFUNCTION("IMPORTRANGE(""https://docs.google.com/spreadsheets/d/1jQ6P4QcrGM89YfqcC_PxOHGCMq5ezhucwJd8ci-NHng/edit?usp=sharing"",""ราชบุรี!J220"")"),0)</f>
        <v>0</v>
      </c>
      <c r="BH67" s="98">
        <f t="shared" ca="1" si="112"/>
        <v>0</v>
      </c>
      <c r="BI67" s="97">
        <f ca="1">IFERROR(__xludf.DUMMYFUNCTION("IMPORTRANGE(""https://docs.google.com/spreadsheets/d/1jQ6P4QcrGM89YfqcC_PxOHGCMq5ezhucwJd8ci-NHng/edit?usp=sharing"",""ราชบุรี!L223"")"),3000)</f>
        <v>3000</v>
      </c>
      <c r="BJ67" s="97">
        <f ca="1">IFERROR(__xludf.DUMMYFUNCTION("IMPORTRANGE(""https://docs.google.com/spreadsheets/d/1jQ6P4QcrGM89YfqcC_PxOHGCMq5ezhucwJd8ci-NHng/edit?usp=sharing"",""ราชบุรี!N223"")"),0)</f>
        <v>0</v>
      </c>
      <c r="BK67" s="98">
        <f t="shared" ca="1" si="114"/>
        <v>0</v>
      </c>
      <c r="BL67" s="97">
        <f ca="1">IFERROR(__xludf.DUMMYFUNCTION("IMPORTRANGE(""https://docs.google.com/spreadsheets/d/1jQ6P4QcrGM89YfqcC_PxOHGCMq5ezhucwJd8ci-NHng/edit?usp=sharing"",""ราชบุรี!L224"")"),1500)</f>
        <v>1500</v>
      </c>
      <c r="BM67" s="97">
        <f ca="1">IFERROR(__xludf.DUMMYFUNCTION("IMPORTRANGE(""https://docs.google.com/spreadsheets/d/1jQ6P4QcrGM89YfqcC_PxOHGCMq5ezhucwJd8ci-NHng/edit?usp=sharing"",""ราชบุรี!N224"")"),0)</f>
        <v>0</v>
      </c>
      <c r="BN67" s="98">
        <f t="shared" ca="1" si="116"/>
        <v>0</v>
      </c>
      <c r="BO67" s="97">
        <f ca="1">IFERROR(__xludf.DUMMYFUNCTION("IMPORTRANGE(""https://docs.google.com/spreadsheets/d/1jQ6P4QcrGM89YfqcC_PxOHGCMq5ezhucwJd8ci-NHng/edit?usp=sharing"",""ราชบุรี!I228"")"),20000)</f>
        <v>20000</v>
      </c>
      <c r="BP67" s="97">
        <f ca="1">IFERROR(__xludf.DUMMYFUNCTION("IMPORTRANGE(""https://docs.google.com/spreadsheets/d/1jQ6P4QcrGM89YfqcC_PxOHGCMq5ezhucwJd8ci-NHng/edit?usp=sharing"",""ราชบุรี!J228"")"),0)</f>
        <v>0</v>
      </c>
      <c r="BQ67" s="98">
        <f t="shared" ca="1" si="118"/>
        <v>0</v>
      </c>
      <c r="BR67" s="97">
        <f ca="1">IFERROR(__xludf.DUMMYFUNCTION("IMPORTRANGE(""https://docs.google.com/spreadsheets/d/1jQ6P4QcrGM89YfqcC_PxOHGCMq5ezhucwJd8ci-NHng/edit?usp=sharing"",""ราชบุรี!I229"")"),20000)</f>
        <v>20000</v>
      </c>
      <c r="BS67" s="97">
        <f ca="1">IFERROR(__xludf.DUMMYFUNCTION("IMPORTRANGE(""https://docs.google.com/spreadsheets/d/1jQ6P4QcrGM89YfqcC_PxOHGCMq5ezhucwJd8ci-NHng/edit?usp=sharing"",""ราชบุรี!J229"")"),0)</f>
        <v>0</v>
      </c>
      <c r="BT67" s="98">
        <f t="shared" ca="1" si="120"/>
        <v>0</v>
      </c>
      <c r="BU67" s="97">
        <f ca="1">IFERROR(__xludf.DUMMYFUNCTION("IMPORTRANGE(""https://docs.google.com/spreadsheets/d/1jQ6P4QcrGM89YfqcC_PxOHGCMq5ezhucwJd8ci-NHng/edit?usp=sharing"",""ราชบุรี!I230"")"),0)</f>
        <v>0</v>
      </c>
      <c r="BV67" s="97">
        <f ca="1">IFERROR(__xludf.DUMMYFUNCTION("IMPORTRANGE(""https://docs.google.com/spreadsheets/d/1jQ6P4QcrGM89YfqcC_PxOHGCMq5ezhucwJd8ci-NHng/edit?usp=sharing"",""ราชบุรี!J230"")"),0)</f>
        <v>0</v>
      </c>
      <c r="BW67" s="98">
        <f t="shared" ca="1" si="122"/>
        <v>0</v>
      </c>
      <c r="BX67" s="97">
        <f ca="1">IFERROR(__xludf.DUMMYFUNCTION("IMPORTRANGE(""https://docs.google.com/spreadsheets/d/1jQ6P4QcrGM89YfqcC_PxOHGCMq5ezhucwJd8ci-NHng/edit?usp=sharing"",""ราชบุรี!L233"")"),0)</f>
        <v>0</v>
      </c>
      <c r="BY67" s="97">
        <f ca="1">IFERROR(__xludf.DUMMYFUNCTION("IMPORTRANGE(""https://docs.google.com/spreadsheets/d/1jQ6P4QcrGM89YfqcC_PxOHGCMq5ezhucwJd8ci-NHng/edit?usp=sharing"",""ราชบุรี!N233"")"),0)</f>
        <v>0</v>
      </c>
      <c r="BZ67" s="98">
        <f t="shared" ca="1" si="124"/>
        <v>0</v>
      </c>
      <c r="CA67" s="97">
        <f ca="1">IFERROR(__xludf.DUMMYFUNCTION("IMPORTRANGE(""https://docs.google.com/spreadsheets/d/1jQ6P4QcrGM89YfqcC_PxOHGCMq5ezhucwJd8ci-NHng/edit?usp=sharing"",""ราชบุรี!L234"")"),0)</f>
        <v>0</v>
      </c>
      <c r="CB67" s="97">
        <f ca="1">IFERROR(__xludf.DUMMYFUNCTION("IMPORTRANGE(""https://docs.google.com/spreadsheets/d/1jQ6P4QcrGM89YfqcC_PxOHGCMq5ezhucwJd8ci-NHng/edit?usp=sharing"",""ราชบุรี!N234"")"),0)</f>
        <v>0</v>
      </c>
      <c r="CC67" s="98">
        <f t="shared" ca="1" si="126"/>
        <v>0</v>
      </c>
      <c r="CD67" s="97">
        <f ca="1">IFERROR(__xludf.DUMMYFUNCTION("IMPORTRANGE(""https://docs.google.com/spreadsheets/d/1jQ6P4QcrGM89YfqcC_PxOHGCMq5ezhucwJd8ci-NHng/edit?usp=sharing"",""ราชบุรี!L235"")"),0)</f>
        <v>0</v>
      </c>
      <c r="CE67" s="97">
        <f ca="1">IFERROR(__xludf.DUMMYFUNCTION("IMPORTRANGE(""https://docs.google.com/spreadsheets/d/1jQ6P4QcrGM89YfqcC_PxOHGCMq5ezhucwJd8ci-NHng/edit?usp=sharing"",""ราชบุรี!N235"")"),0)</f>
        <v>0</v>
      </c>
      <c r="CF67" s="98">
        <f t="shared" ca="1" si="128"/>
        <v>0</v>
      </c>
      <c r="CG67" s="97">
        <f ca="1">IFERROR(__xludf.DUMMYFUNCTION("IMPORTRANGE(""https://docs.google.com/spreadsheets/d/1jQ6P4QcrGM89YfqcC_PxOHGCMq5ezhucwJd8ci-NHng/edit?usp=sharing"",""ราชบุรี!L236"")"),0)</f>
        <v>0</v>
      </c>
      <c r="CH67" s="97">
        <f ca="1">IFERROR(__xludf.DUMMYFUNCTION("IMPORTRANGE(""https://docs.google.com/spreadsheets/d/1jQ6P4QcrGM89YfqcC_PxOHGCMq5ezhucwJd8ci-NHng/edit?usp=sharing"",""ราชบุรี!N236"")"),0)</f>
        <v>0</v>
      </c>
      <c r="CI67" s="98">
        <f t="shared" ca="1" si="130"/>
        <v>0</v>
      </c>
      <c r="CJ67" s="97">
        <f ca="1">IFERROR(__xludf.DUMMYFUNCTION("IMPORTRANGE(""https://docs.google.com/spreadsheets/d/1jQ6P4QcrGM89YfqcC_PxOHGCMq5ezhucwJd8ci-NHng/edit?usp=sharing"",""ราชบุรี!I238"")"),0)</f>
        <v>0</v>
      </c>
      <c r="CK67" s="97">
        <f ca="1">IFERROR(__xludf.DUMMYFUNCTION("IMPORTRANGE(""https://docs.google.com/spreadsheets/d/1jQ6P4QcrGM89YfqcC_PxOHGCMq5ezhucwJd8ci-NHng/edit?usp=sharing"",""ราชบุรี!J238"")"),0)</f>
        <v>0</v>
      </c>
      <c r="CL67" s="98">
        <f t="shared" ca="1" si="132"/>
        <v>0</v>
      </c>
      <c r="CM67" s="97">
        <f ca="1">IFERROR(__xludf.DUMMYFUNCTION("IMPORTRANGE(""https://docs.google.com/spreadsheets/d/1jQ6P4QcrGM89YfqcC_PxOHGCMq5ezhucwJd8ci-NHng/edit?usp=sharing"",""ราชบุรี!J240"")"),0)</f>
        <v>0</v>
      </c>
      <c r="CN67" s="97">
        <f ca="1">IFERROR(__xludf.DUMMYFUNCTION("IMPORTRANGE(""https://docs.google.com/spreadsheets/d/1jQ6P4QcrGM89YfqcC_PxOHGCMq5ezhucwJd8ci-NHng/edit?usp=sharing"",""ราชบุรี!J241"")"),0)</f>
        <v>0</v>
      </c>
    </row>
    <row r="68" spans="1:92" ht="24" customHeight="1" x14ac:dyDescent="0.3">
      <c r="A68" s="89">
        <v>16</v>
      </c>
      <c r="B68" s="90" t="s">
        <v>94</v>
      </c>
      <c r="C68" s="174">
        <f t="shared" ca="1" si="80"/>
        <v>49500</v>
      </c>
      <c r="D68" s="175">
        <f t="shared" ca="1" si="184"/>
        <v>49500</v>
      </c>
      <c r="E68" s="176">
        <f ca="1">IFERROR(__xludf.DUMMYFUNCTION("IMPORTRANGE(""https://docs.google.com/spreadsheets/d/1-uDff_7J0KD5mKrp0Vvzr7lt3OU09vwQwhkpOPPYv2Y/edit?usp=sharing"",""งบพรบ!CV68"")"),0)</f>
        <v>0</v>
      </c>
      <c r="F68" s="176">
        <f ca="1">IFERROR(__xludf.DUMMYFUNCTION("IMPORTRANGE(""https://docs.google.com/spreadsheets/d/1-uDff_7J0KD5mKrp0Vvzr7lt3OU09vwQwhkpOPPYv2Y/edit?usp=sharing"",""งบพรบ!CW68"")"),49500)</f>
        <v>49500</v>
      </c>
      <c r="G68" s="176">
        <f ca="1">IFERROR(__xludf.DUMMYFUNCTION("IMPORTRANGE(""https://docs.google.com/spreadsheets/d/1-uDff_7J0KD5mKrp0Vvzr7lt3OU09vwQwhkpOPPYv2Y/edit?usp=sharing"",""งบพรบ!CX68"")"),0)</f>
        <v>0</v>
      </c>
      <c r="H68" s="176">
        <f ca="1">IFERROR(__xludf.DUMMYFUNCTION("IMPORTRANGE(""https://docs.google.com/spreadsheets/d/1-uDff_7J0KD5mKrp0Vvzr7lt3OU09vwQwhkpOPPYv2Y/edit?usp=sharing"",""งบพรบ!CZ68"")"),52860)</f>
        <v>52860</v>
      </c>
      <c r="I68" s="176">
        <f ca="1">IFERROR(__xludf.DUMMYFUNCTION("IMPORTRANGE(""https://docs.google.com/spreadsheets/d/1-uDff_7J0KD5mKrp0Vvzr7lt3OU09vwQwhkpOPPYv2Y/edit?usp=sharing"",""งบพรบ!DA68"")"),0)</f>
        <v>0</v>
      </c>
      <c r="J68" s="176">
        <f t="shared" ca="1" si="82"/>
        <v>0</v>
      </c>
      <c r="K68" s="179">
        <f t="shared" ca="1" si="83"/>
        <v>0</v>
      </c>
      <c r="L68" s="176">
        <f ca="1">IFERROR(__xludf.DUMMYFUNCTION("IMPORTRANGE(""https://docs.google.com/spreadsheets/d/1-uDff_7J0KD5mKrp0Vvzr7lt3OU09vwQwhkpOPPYv2Y/edit?usp=sharing"",""งบพรบ!DB68"")"),0)</f>
        <v>0</v>
      </c>
      <c r="M68" s="87">
        <f t="shared" ca="1" si="84"/>
        <v>0</v>
      </c>
      <c r="N68" s="87">
        <f t="shared" ca="1" si="85"/>
        <v>0</v>
      </c>
      <c r="O68" s="86">
        <f ca="1">IFERROR(__xludf.DUMMYFUNCTION("IMPORTRANGE(""https://docs.google.com/spreadsheets/d/1-uDff_7J0KD5mKrp0Vvzr7lt3OU09vwQwhkpOPPYv2Y/edit?usp=sharing"",""งบพรบ!DC68"")"),0)</f>
        <v>0</v>
      </c>
      <c r="P68" s="86">
        <f t="shared" ca="1" si="86"/>
        <v>0</v>
      </c>
      <c r="Q68" s="87">
        <f t="shared" ca="1" si="87"/>
        <v>0</v>
      </c>
      <c r="R68" s="241">
        <f ca="1">IFERROR(__xludf.DUMMYFUNCTION("IMPORTRANGE(""https://docs.google.com/spreadsheets/d/1lufeA2cfFqM-elVq2hznhDzC6Pr7wkJ9ZG_sYNGCMCU/edit?usp=sharing"",""ลพบุรี!Q186"")"),56000)</f>
        <v>56000</v>
      </c>
      <c r="S68" s="242">
        <f ca="1">IFERROR(__xludf.DUMMYFUNCTION("IMPORTRANGE(""https://docs.google.com/spreadsheets/d/1lufeA2cfFqM-elVq2hznhDzC6Pr7wkJ9ZG_sYNGCMCU/edit?usp=sharing"",""ลพบุรี!R186"")"),0)</f>
        <v>0</v>
      </c>
      <c r="T68" s="242">
        <f ca="1">IFERROR(__xludf.DUMMYFUNCTION("IMPORTRANGE(""https://docs.google.com/spreadsheets/d/1lufeA2cfFqM-elVq2hznhDzC6Pr7wkJ9ZG_sYNGCMCU/edit?usp=sharing"",""ลพบุรี!S186"")"),0)</f>
        <v>0</v>
      </c>
      <c r="U68" s="243">
        <f t="shared" ca="1" si="89"/>
        <v>0</v>
      </c>
      <c r="V68" s="243">
        <f t="shared" ca="1" si="90"/>
        <v>0</v>
      </c>
      <c r="W68" s="97">
        <f ca="1">IFERROR(__xludf.DUMMYFUNCTION("IMPORTRANGE(""https://docs.google.com/spreadsheets/d/1lufeA2cfFqM-elVq2hznhDzC6Pr7wkJ9ZG_sYNGCMCU/edit?usp=sharing"",""ลพบุรี!L196"")"),6000)</f>
        <v>6000</v>
      </c>
      <c r="X68" s="97">
        <f ca="1">IFERROR(__xludf.DUMMYFUNCTION("IMPORTRANGE(""https://docs.google.com/spreadsheets/d/1lufeA2cfFqM-elVq2hznhDzC6Pr7wkJ9ZG_sYNGCMCU/edit?usp=sharing"",""ลพบุรี!N196"")"),0)</f>
        <v>0</v>
      </c>
      <c r="Y68" s="98">
        <f t="shared" ca="1" si="92"/>
        <v>0</v>
      </c>
      <c r="Z68" s="97">
        <f ca="1">IFERROR(__xludf.DUMMYFUNCTION("IMPORTRANGE(""https://docs.google.com/spreadsheets/d/1lufeA2cfFqM-elVq2hznhDzC6Pr7wkJ9ZG_sYNGCMCU/edit?usp=sharing"",""ลพบุรี!I198"")"),4)</f>
        <v>4</v>
      </c>
      <c r="AA68" s="97">
        <f ca="1">IFERROR(__xludf.DUMMYFUNCTION("IMPORTRANGE(""https://docs.google.com/spreadsheets/d/1lufeA2cfFqM-elVq2hznhDzC6Pr7wkJ9ZG_sYNGCMCU/edit?usp=sharing"",""ลพบุรี!J198"")"),0)</f>
        <v>0</v>
      </c>
      <c r="AB68" s="98">
        <f t="shared" ca="1" si="94"/>
        <v>0</v>
      </c>
      <c r="AC68" s="97">
        <f ca="1">IFERROR(__xludf.DUMMYFUNCTION("IMPORTRANGE(""https://docs.google.com/spreadsheets/d/1lufeA2cfFqM-elVq2hznhDzC6Pr7wkJ9ZG_sYNGCMCU/edit?usp=sharing"",""ลพบุรี!J199"")"),0)</f>
        <v>0</v>
      </c>
      <c r="AD68" s="97">
        <f ca="1">IFERROR(__xludf.DUMMYFUNCTION("IMPORTRANGE(""https://docs.google.com/spreadsheets/d/1lufeA2cfFqM-elVq2hznhDzC6Pr7wkJ9ZG_sYNGCMCU/edit?usp=sharing"",""ลพบุรี!J200"")"),0)</f>
        <v>0</v>
      </c>
      <c r="AE68" s="97">
        <f ca="1">IFERROR(__xludf.DUMMYFUNCTION("IMPORTRANGE(""https://docs.google.com/spreadsheets/d/1lufeA2cfFqM-elVq2hznhDzC6Pr7wkJ9ZG_sYNGCMCU/edit?usp=sharing"",""ลพบุรี!J201"")"),0)</f>
        <v>0</v>
      </c>
      <c r="AF68" s="97">
        <f ca="1">IFERROR(__xludf.DUMMYFUNCTION("IMPORTRANGE(""https://docs.google.com/spreadsheets/d/1lufeA2cfFqM-elVq2hznhDzC6Pr7wkJ9ZG_sYNGCMCU/edit?usp=sharing"",""ลพบุรี!L204"")"),2000)</f>
        <v>2000</v>
      </c>
      <c r="AG68" s="97">
        <f ca="1">IFERROR(__xludf.DUMMYFUNCTION("IMPORTRANGE(""https://docs.google.com/spreadsheets/d/1lufeA2cfFqM-elVq2hznhDzC6Pr7wkJ9ZG_sYNGCMCU/edit?usp=sharing"",""ลพบุรี!N204"")"),0)</f>
        <v>0</v>
      </c>
      <c r="AH68" s="98">
        <f t="shared" ca="1" si="96"/>
        <v>0</v>
      </c>
      <c r="AI68" s="97">
        <f ca="1">IFERROR(__xludf.DUMMYFUNCTION("IMPORTRANGE(""https://docs.google.com/spreadsheets/d/1lufeA2cfFqM-elVq2hznhDzC6Pr7wkJ9ZG_sYNGCMCU/edit?usp=sharing"",""ลพบุรี!L206"")"),16000)</f>
        <v>16000</v>
      </c>
      <c r="AJ68" s="97">
        <f ca="1">IFERROR(__xludf.DUMMYFUNCTION("IMPORTRANGE(""https://docs.google.com/spreadsheets/d/1lufeA2cfFqM-elVq2hznhDzC6Pr7wkJ9ZG_sYNGCMCU/edit?usp=sharing"",""ลพบุรี!N206"")"),0)</f>
        <v>0</v>
      </c>
      <c r="AK68" s="98">
        <f t="shared" ca="1" si="98"/>
        <v>0</v>
      </c>
      <c r="AL68" s="97">
        <f ca="1">IFERROR(__xludf.DUMMYFUNCTION("IMPORTRANGE(""https://docs.google.com/spreadsheets/d/1lufeA2cfFqM-elVq2hznhDzC6Pr7wkJ9ZG_sYNGCMCU/edit?usp=sharing"",""ลพบุรี!L207"")"),13000)</f>
        <v>13000</v>
      </c>
      <c r="AM68" s="97">
        <f ca="1">IFERROR(__xludf.DUMMYFUNCTION("IMPORTRANGE(""https://docs.google.com/spreadsheets/d/1lufeA2cfFqM-elVq2hznhDzC6Pr7wkJ9ZG_sYNGCMCU/edit?usp=sharing"",""ลพบุรี!N207"")"),0)</f>
        <v>0</v>
      </c>
      <c r="AN68" s="98">
        <f t="shared" ca="1" si="100"/>
        <v>0</v>
      </c>
      <c r="AO68" s="97">
        <f ca="1">IFERROR(__xludf.DUMMYFUNCTION("IMPORTRANGE(""https://docs.google.com/spreadsheets/d/1lufeA2cfFqM-elVq2hznhDzC6Pr7wkJ9ZG_sYNGCMCU/edit?usp=sharing"",""ลพบุรี!I209"")"),2)</f>
        <v>2</v>
      </c>
      <c r="AP68" s="97">
        <f ca="1">IFERROR(__xludf.DUMMYFUNCTION("IMPORTRANGE(""https://docs.google.com/spreadsheets/d/1lufeA2cfFqM-elVq2hznhDzC6Pr7wkJ9ZG_sYNGCMCU/edit?usp=sharing"",""ลพบุรี!J209"")"),0)</f>
        <v>0</v>
      </c>
      <c r="AQ68" s="98">
        <f t="shared" ca="1" si="102"/>
        <v>0</v>
      </c>
      <c r="AR68" s="97">
        <f ca="1">IFERROR(__xludf.DUMMYFUNCTION("IMPORTRANGE(""https://docs.google.com/spreadsheets/d/1lufeA2cfFqM-elVq2hznhDzC6Pr7wkJ9ZG_sYNGCMCU/edit?usp=sharing"",""ลพบุรี!J211"")"),0)</f>
        <v>0</v>
      </c>
      <c r="AS68" s="97">
        <f ca="1">IFERROR(__xludf.DUMMYFUNCTION("IMPORTRANGE(""https://docs.google.com/spreadsheets/d/1lufeA2cfFqM-elVq2hznhDzC6Pr7wkJ9ZG_sYNGCMCU/edit?usp=sharing"",""ลพบุรี!J212"")"),0)</f>
        <v>0</v>
      </c>
      <c r="AT68" s="97">
        <f ca="1">IFERROR(__xludf.DUMMYFUNCTION("IMPORTRANGE(""https://docs.google.com/spreadsheets/d/1lufeA2cfFqM-elVq2hznhDzC6Pr7wkJ9ZG_sYNGCMCU/edit?usp=sharing"",""ลพบุรี!L215"")"),0)</f>
        <v>0</v>
      </c>
      <c r="AU68" s="97">
        <f ca="1">IFERROR(__xludf.DUMMYFUNCTION("IMPORTRANGE(""https://docs.google.com/spreadsheets/d/1lufeA2cfFqM-elVq2hznhDzC6Pr7wkJ9ZG_sYNGCMCU/edit?usp=sharing"",""ลพบุรี!N215"")"),0)</f>
        <v>0</v>
      </c>
      <c r="AV68" s="98">
        <f t="shared" ca="1" si="104"/>
        <v>0</v>
      </c>
      <c r="AW68" s="97">
        <f ca="1">IFERROR(__xludf.DUMMYFUNCTION("IMPORTRANGE(""https://docs.google.com/spreadsheets/d/1lufeA2cfFqM-elVq2hznhDzC6Pr7wkJ9ZG_sYNGCMCU/edit?usp=sharing"",""ลพบุรี!L216"")"),0)</f>
        <v>0</v>
      </c>
      <c r="AX68" s="97">
        <f ca="1">IFERROR(__xludf.DUMMYFUNCTION("IMPORTRANGE(""https://docs.google.com/spreadsheets/d/1lufeA2cfFqM-elVq2hznhDzC6Pr7wkJ9ZG_sYNGCMCU/edit?usp=sharing"",""ลพบุรี!N216"")"),0)</f>
        <v>0</v>
      </c>
      <c r="AY68" s="98">
        <f t="shared" ca="1" si="106"/>
        <v>0</v>
      </c>
      <c r="AZ68" s="97">
        <f ca="1">IFERROR(__xludf.DUMMYFUNCTION("IMPORTRANGE(""https://docs.google.com/spreadsheets/d/1lufeA2cfFqM-elVq2hznhDzC6Pr7wkJ9ZG_sYNGCMCU/edit?usp=sharing"",""ลพบุรี!L217"")"),0)</f>
        <v>0</v>
      </c>
      <c r="BA68" s="97">
        <f ca="1">IFERROR(__xludf.DUMMYFUNCTION("IMPORTRANGE(""https://docs.google.com/spreadsheets/d/1lufeA2cfFqM-elVq2hznhDzC6Pr7wkJ9ZG_sYNGCMCU/edit?usp=sharing"",""ลพบุรี!N217"")"),0)</f>
        <v>0</v>
      </c>
      <c r="BB68" s="98">
        <f t="shared" ca="1" si="108"/>
        <v>0</v>
      </c>
      <c r="BC68" s="97">
        <f ca="1">IFERROR(__xludf.DUMMYFUNCTION("IMPORTRANGE(""https://docs.google.com/spreadsheets/d/1lufeA2cfFqM-elVq2hznhDzC6Pr7wkJ9ZG_sYNGCMCU/edit?usp=sharing"",""ลพบุรี!I219"")"),0)</f>
        <v>0</v>
      </c>
      <c r="BD68" s="97">
        <f ca="1">IFERROR(__xludf.DUMMYFUNCTION("IMPORTRANGE(""https://docs.google.com/spreadsheets/d/1lufeA2cfFqM-elVq2hznhDzC6Pr7wkJ9ZG_sYNGCMCU/edit?usp=sharing"",""ลพบุรี!J219"")"),0)</f>
        <v>0</v>
      </c>
      <c r="BE68" s="98">
        <f t="shared" ca="1" si="110"/>
        <v>0</v>
      </c>
      <c r="BF68" s="97">
        <f ca="1">IFERROR(__xludf.DUMMYFUNCTION("IMPORTRANGE(""https://docs.google.com/spreadsheets/d/1lufeA2cfFqM-elVq2hznhDzC6Pr7wkJ9ZG_sYNGCMCU/edit?usp=sharing"",""ลพบุรี!I220"")"),0)</f>
        <v>0</v>
      </c>
      <c r="BG68" s="97">
        <f ca="1">IFERROR(__xludf.DUMMYFUNCTION("IMPORTRANGE(""https://docs.google.com/spreadsheets/d/1lufeA2cfFqM-elVq2hznhDzC6Pr7wkJ9ZG_sYNGCMCU/edit?usp=sharing"",""ลพบุรี!J220"")"),0)</f>
        <v>0</v>
      </c>
      <c r="BH68" s="98">
        <f t="shared" ca="1" si="112"/>
        <v>0</v>
      </c>
      <c r="BI68" s="97">
        <f ca="1">IFERROR(__xludf.DUMMYFUNCTION("IMPORTRANGE(""https://docs.google.com/spreadsheets/d/1lufeA2cfFqM-elVq2hznhDzC6Pr7wkJ9ZG_sYNGCMCU/edit?usp=sharing"",""ลพบุรี!L223"")"),11000)</f>
        <v>11000</v>
      </c>
      <c r="BJ68" s="97">
        <f ca="1">IFERROR(__xludf.DUMMYFUNCTION("IMPORTRANGE(""https://docs.google.com/spreadsheets/d/1lufeA2cfFqM-elVq2hznhDzC6Pr7wkJ9ZG_sYNGCMCU/edit?usp=sharing"",""ลพบุรี!N223"")"),0)</f>
        <v>0</v>
      </c>
      <c r="BK68" s="98">
        <f t="shared" ca="1" si="114"/>
        <v>0</v>
      </c>
      <c r="BL68" s="97">
        <f ca="1">IFERROR(__xludf.DUMMYFUNCTION("IMPORTRANGE(""https://docs.google.com/spreadsheets/d/1lufeA2cfFqM-elVq2hznhDzC6Pr7wkJ9ZG_sYNGCMCU/edit?usp=sharing"",""ลพบุรี!L224"")"),1500)</f>
        <v>1500</v>
      </c>
      <c r="BM68" s="97">
        <f ca="1">IFERROR(__xludf.DUMMYFUNCTION("IMPORTRANGE(""https://docs.google.com/spreadsheets/d/1lufeA2cfFqM-elVq2hznhDzC6Pr7wkJ9ZG_sYNGCMCU/edit?usp=sharing"",""ลพบุรี!N224"")"),0)</f>
        <v>0</v>
      </c>
      <c r="BN68" s="98">
        <f t="shared" ca="1" si="116"/>
        <v>0</v>
      </c>
      <c r="BO68" s="97">
        <f ca="1">IFERROR(__xludf.DUMMYFUNCTION("IMPORTRANGE(""https://docs.google.com/spreadsheets/d/1lufeA2cfFqM-elVq2hznhDzC6Pr7wkJ9ZG_sYNGCMCU/edit?usp=sharing"",""ลพบุรี!I228"")"),100000)</f>
        <v>100000</v>
      </c>
      <c r="BP68" s="97">
        <f ca="1">IFERROR(__xludf.DUMMYFUNCTION("IMPORTRANGE(""https://docs.google.com/spreadsheets/d/1lufeA2cfFqM-elVq2hznhDzC6Pr7wkJ9ZG_sYNGCMCU/edit?usp=sharing"",""ลพบุรี!J228"")"),0)</f>
        <v>0</v>
      </c>
      <c r="BQ68" s="98">
        <f t="shared" ca="1" si="118"/>
        <v>0</v>
      </c>
      <c r="BR68" s="97">
        <f ca="1">IFERROR(__xludf.DUMMYFUNCTION("IMPORTRANGE(""https://docs.google.com/spreadsheets/d/1lufeA2cfFqM-elVq2hznhDzC6Pr7wkJ9ZG_sYNGCMCU/edit?usp=sharing"",""ลพบุรี!I229"")"),100000)</f>
        <v>100000</v>
      </c>
      <c r="BS68" s="97">
        <f ca="1">IFERROR(__xludf.DUMMYFUNCTION("IMPORTRANGE(""https://docs.google.com/spreadsheets/d/1lufeA2cfFqM-elVq2hznhDzC6Pr7wkJ9ZG_sYNGCMCU/edit?usp=sharing"",""ลพบุรี!J229"")"),0)</f>
        <v>0</v>
      </c>
      <c r="BT68" s="98">
        <f t="shared" ca="1" si="120"/>
        <v>0</v>
      </c>
      <c r="BU68" s="97">
        <f ca="1">IFERROR(__xludf.DUMMYFUNCTION("IMPORTRANGE(""https://docs.google.com/spreadsheets/d/1lufeA2cfFqM-elVq2hznhDzC6Pr7wkJ9ZG_sYNGCMCU/edit?usp=sharing"",""ลพบุรี!I230"")"),0)</f>
        <v>0</v>
      </c>
      <c r="BV68" s="97">
        <f ca="1">IFERROR(__xludf.DUMMYFUNCTION("IMPORTRANGE(""https://docs.google.com/spreadsheets/d/1lufeA2cfFqM-elVq2hznhDzC6Pr7wkJ9ZG_sYNGCMCU/edit?usp=sharing"",""ลพบุรี!J230"")"),0)</f>
        <v>0</v>
      </c>
      <c r="BW68" s="98">
        <f t="shared" ca="1" si="122"/>
        <v>0</v>
      </c>
      <c r="BX68" s="97">
        <f ca="1">IFERROR(__xludf.DUMMYFUNCTION("IMPORTRANGE(""https://docs.google.com/spreadsheets/d/1lufeA2cfFqM-elVq2hznhDzC6Pr7wkJ9ZG_sYNGCMCU/edit?usp=sharing"",""ลพบุรี!L233"")"),0)</f>
        <v>0</v>
      </c>
      <c r="BY68" s="97">
        <f ca="1">IFERROR(__xludf.DUMMYFUNCTION("IMPORTRANGE(""https://docs.google.com/spreadsheets/d/1lufeA2cfFqM-elVq2hznhDzC6Pr7wkJ9ZG_sYNGCMCU/edit?usp=sharing"",""ลพบุรี!N233"")"),0)</f>
        <v>0</v>
      </c>
      <c r="BZ68" s="98">
        <f t="shared" ca="1" si="124"/>
        <v>0</v>
      </c>
      <c r="CA68" s="97">
        <f ca="1">IFERROR(__xludf.DUMMYFUNCTION("IMPORTRANGE(""https://docs.google.com/spreadsheets/d/1lufeA2cfFqM-elVq2hznhDzC6Pr7wkJ9ZG_sYNGCMCU/edit?usp=sharing"",""ลพบุรี!L234"")"),0)</f>
        <v>0</v>
      </c>
      <c r="CB68" s="97">
        <f ca="1">IFERROR(__xludf.DUMMYFUNCTION("IMPORTRANGE(""https://docs.google.com/spreadsheets/d/1lufeA2cfFqM-elVq2hznhDzC6Pr7wkJ9ZG_sYNGCMCU/edit?usp=sharing"",""ลพบุรี!N234"")"),0)</f>
        <v>0</v>
      </c>
      <c r="CC68" s="98">
        <f t="shared" ca="1" si="126"/>
        <v>0</v>
      </c>
      <c r="CD68" s="97">
        <f ca="1">IFERROR(__xludf.DUMMYFUNCTION("IMPORTRANGE(""https://docs.google.com/spreadsheets/d/1lufeA2cfFqM-elVq2hznhDzC6Pr7wkJ9ZG_sYNGCMCU/edit?usp=sharing"",""ลพบุรี!L235"")"),0)</f>
        <v>0</v>
      </c>
      <c r="CE68" s="97">
        <f ca="1">IFERROR(__xludf.DUMMYFUNCTION("IMPORTRANGE(""https://docs.google.com/spreadsheets/d/1lufeA2cfFqM-elVq2hznhDzC6Pr7wkJ9ZG_sYNGCMCU/edit?usp=sharing"",""ลพบุรี!N235"")"),0)</f>
        <v>0</v>
      </c>
      <c r="CF68" s="98">
        <f t="shared" ca="1" si="128"/>
        <v>0</v>
      </c>
      <c r="CG68" s="97">
        <f ca="1">IFERROR(__xludf.DUMMYFUNCTION("IMPORTRANGE(""https://docs.google.com/spreadsheets/d/1lufeA2cfFqM-elVq2hznhDzC6Pr7wkJ9ZG_sYNGCMCU/edit?usp=sharing"",""ลพบุรี!L236"")"),0)</f>
        <v>0</v>
      </c>
      <c r="CH68" s="97">
        <f ca="1">IFERROR(__xludf.DUMMYFUNCTION("IMPORTRANGE(""https://docs.google.com/spreadsheets/d/1lufeA2cfFqM-elVq2hznhDzC6Pr7wkJ9ZG_sYNGCMCU/edit?usp=sharing"",""ลพบุรี!N236"")"),0)</f>
        <v>0</v>
      </c>
      <c r="CI68" s="98">
        <f t="shared" ca="1" si="130"/>
        <v>0</v>
      </c>
      <c r="CJ68" s="97">
        <f ca="1">IFERROR(__xludf.DUMMYFUNCTION("IMPORTRANGE(""https://docs.google.com/spreadsheets/d/1lufeA2cfFqM-elVq2hznhDzC6Pr7wkJ9ZG_sYNGCMCU/edit?usp=sharing"",""ลพบุรี!I238"")"),0)</f>
        <v>0</v>
      </c>
      <c r="CK68" s="97">
        <f ca="1">IFERROR(__xludf.DUMMYFUNCTION("IMPORTRANGE(""https://docs.google.com/spreadsheets/d/1lufeA2cfFqM-elVq2hznhDzC6Pr7wkJ9ZG_sYNGCMCU/edit?usp=sharing"",""ลพบุรี!J238"")"),0)</f>
        <v>0</v>
      </c>
      <c r="CL68" s="98">
        <f t="shared" ca="1" si="132"/>
        <v>0</v>
      </c>
      <c r="CM68" s="97">
        <f ca="1">IFERROR(__xludf.DUMMYFUNCTION("IMPORTRANGE(""https://docs.google.com/spreadsheets/d/1lufeA2cfFqM-elVq2hznhDzC6Pr7wkJ9ZG_sYNGCMCU/edit?usp=sharing"",""ลพบุรี!J240"")"),0)</f>
        <v>0</v>
      </c>
      <c r="CN68" s="97">
        <f ca="1">IFERROR(__xludf.DUMMYFUNCTION("IMPORTRANGE(""https://docs.google.com/spreadsheets/d/1lufeA2cfFqM-elVq2hznhDzC6Pr7wkJ9ZG_sYNGCMCU/edit?usp=sharing"",""ลพบุรี!J241"")"),0)</f>
        <v>0</v>
      </c>
    </row>
    <row r="69" spans="1:92" ht="21" customHeight="1" x14ac:dyDescent="0.3">
      <c r="A69" s="89">
        <v>17</v>
      </c>
      <c r="B69" s="90" t="s">
        <v>95</v>
      </c>
      <c r="C69" s="174">
        <f t="shared" ca="1" si="80"/>
        <v>269300</v>
      </c>
      <c r="D69" s="175">
        <f t="shared" ca="1" si="184"/>
        <v>269300</v>
      </c>
      <c r="E69" s="176">
        <f ca="1">IFERROR(__xludf.DUMMYFUNCTION("IMPORTRANGE(""https://docs.google.com/spreadsheets/d/1-uDff_7J0KD5mKrp0Vvzr7lt3OU09vwQwhkpOPPYv2Y/edit?usp=sharing"",""งบพรบ!CV69"")"),0)</f>
        <v>0</v>
      </c>
      <c r="F69" s="176">
        <f ca="1">IFERROR(__xludf.DUMMYFUNCTION("IMPORTRANGE(""https://docs.google.com/spreadsheets/d/1-uDff_7J0KD5mKrp0Vvzr7lt3OU09vwQwhkpOPPYv2Y/edit?usp=sharing"",""งบพรบ!CW69"")"),269300)</f>
        <v>269300</v>
      </c>
      <c r="G69" s="176">
        <f ca="1">IFERROR(__xludf.DUMMYFUNCTION("IMPORTRANGE(""https://docs.google.com/spreadsheets/d/1-uDff_7J0KD5mKrp0Vvzr7lt3OU09vwQwhkpOPPYv2Y/edit?usp=sharing"",""งบพรบ!CX69"")"),0)</f>
        <v>0</v>
      </c>
      <c r="H69" s="176">
        <f ca="1">IFERROR(__xludf.DUMMYFUNCTION("IMPORTRANGE(""https://docs.google.com/spreadsheets/d/1-uDff_7J0KD5mKrp0Vvzr7lt3OU09vwQwhkpOPPYv2Y/edit?usp=sharing"",""งบพรบ!CZ69"")"),277500)</f>
        <v>277500</v>
      </c>
      <c r="I69" s="176">
        <f ca="1">IFERROR(__xludf.DUMMYFUNCTION("IMPORTRANGE(""https://docs.google.com/spreadsheets/d/1-uDff_7J0KD5mKrp0Vvzr7lt3OU09vwQwhkpOPPYv2Y/edit?usp=sharing"",""งบพรบ!DA69"")"),0)</f>
        <v>0</v>
      </c>
      <c r="J69" s="176">
        <f t="shared" ca="1" si="82"/>
        <v>0</v>
      </c>
      <c r="K69" s="179">
        <f t="shared" ca="1" si="83"/>
        <v>0</v>
      </c>
      <c r="L69" s="176">
        <f ca="1">IFERROR(__xludf.DUMMYFUNCTION("IMPORTRANGE(""https://docs.google.com/spreadsheets/d/1-uDff_7J0KD5mKrp0Vvzr7lt3OU09vwQwhkpOPPYv2Y/edit?usp=sharing"",""งบพรบ!DB69"")"),0)</f>
        <v>0</v>
      </c>
      <c r="M69" s="87">
        <f t="shared" ca="1" si="84"/>
        <v>0</v>
      </c>
      <c r="N69" s="87">
        <f t="shared" ca="1" si="85"/>
        <v>0</v>
      </c>
      <c r="O69" s="86">
        <f ca="1">IFERROR(__xludf.DUMMYFUNCTION("IMPORTRANGE(""https://docs.google.com/spreadsheets/d/1-uDff_7J0KD5mKrp0Vvzr7lt3OU09vwQwhkpOPPYv2Y/edit?usp=sharing"",""งบพรบ!DC69"")"),0)</f>
        <v>0</v>
      </c>
      <c r="P69" s="86">
        <f t="shared" ca="1" si="86"/>
        <v>0</v>
      </c>
      <c r="Q69" s="87">
        <f t="shared" ca="1" si="87"/>
        <v>0</v>
      </c>
      <c r="R69" s="241">
        <f ca="1">IFERROR(__xludf.DUMMYFUNCTION("IMPORTRANGE(""https://docs.google.com/spreadsheets/d/10oOiF7loTyfsTkbd4MpaIm0HQ9SwB7IYHdIUvt-U1Uc/edit?usp=sharing"",""สระแก้ว!Q186"")"),340200)</f>
        <v>340200</v>
      </c>
      <c r="S69" s="242">
        <f ca="1">IFERROR(__xludf.DUMMYFUNCTION("IMPORTRANGE(""https://docs.google.com/spreadsheets/d/10oOiF7loTyfsTkbd4MpaIm0HQ9SwB7IYHdIUvt-U1Uc/edit?usp=sharing"",""สระแก้ว!R186"")"),0)</f>
        <v>0</v>
      </c>
      <c r="T69" s="242">
        <f ca="1">IFERROR(__xludf.DUMMYFUNCTION("IMPORTRANGE(""https://docs.google.com/spreadsheets/d/10oOiF7loTyfsTkbd4MpaIm0HQ9SwB7IYHdIUvt-U1Uc/edit?usp=sharing"",""สระแก้ว!S186"")"),0)</f>
        <v>0</v>
      </c>
      <c r="U69" s="243">
        <f t="shared" ca="1" si="89"/>
        <v>0</v>
      </c>
      <c r="V69" s="243">
        <f t="shared" ca="1" si="90"/>
        <v>0</v>
      </c>
      <c r="W69" s="97">
        <f ca="1">IFERROR(__xludf.DUMMYFUNCTION("IMPORTRANGE(""https://docs.google.com/spreadsheets/d/10oOiF7loTyfsTkbd4MpaIm0HQ9SwB7IYHdIUvt-U1Uc/edit?usp=sharing"",""สระแก้ว!L196"")"),6000)</f>
        <v>6000</v>
      </c>
      <c r="X69" s="97">
        <f ca="1">IFERROR(__xludf.DUMMYFUNCTION("IMPORTRANGE(""https://docs.google.com/spreadsheets/d/10oOiF7loTyfsTkbd4MpaIm0HQ9SwB7IYHdIUvt-U1Uc/edit?usp=sharing"",""สระแก้ว!N196"")"),0)</f>
        <v>0</v>
      </c>
      <c r="Y69" s="98">
        <f t="shared" ca="1" si="92"/>
        <v>0</v>
      </c>
      <c r="Z69" s="97">
        <f ca="1">IFERROR(__xludf.DUMMYFUNCTION("IMPORTRANGE(""https://docs.google.com/spreadsheets/d/10oOiF7loTyfsTkbd4MpaIm0HQ9SwB7IYHdIUvt-U1Uc/edit?usp=sharing"",""สระแก้ว!I198"")"),4)</f>
        <v>4</v>
      </c>
      <c r="AA69" s="97">
        <f ca="1">IFERROR(__xludf.DUMMYFUNCTION("IMPORTRANGE(""https://docs.google.com/spreadsheets/d/10oOiF7loTyfsTkbd4MpaIm0HQ9SwB7IYHdIUvt-U1Uc/edit?usp=sharing"",""สระแก้ว!J198"")"),0)</f>
        <v>0</v>
      </c>
      <c r="AB69" s="98">
        <f t="shared" ca="1" si="94"/>
        <v>0</v>
      </c>
      <c r="AC69" s="97">
        <f ca="1">IFERROR(__xludf.DUMMYFUNCTION("IMPORTRANGE(""https://docs.google.com/spreadsheets/d/10oOiF7loTyfsTkbd4MpaIm0HQ9SwB7IYHdIUvt-U1Uc/edit?usp=sharing"",""สระแก้ว!J199"")"),0)</f>
        <v>0</v>
      </c>
      <c r="AD69" s="97">
        <f ca="1">IFERROR(__xludf.DUMMYFUNCTION("IMPORTRANGE(""https://docs.google.com/spreadsheets/d/10oOiF7loTyfsTkbd4MpaIm0HQ9SwB7IYHdIUvt-U1Uc/edit?usp=sharing"",""สระแก้ว!J200"")"),0)</f>
        <v>0</v>
      </c>
      <c r="AE69" s="97">
        <f ca="1">IFERROR(__xludf.DUMMYFUNCTION("IMPORTRANGE(""https://docs.google.com/spreadsheets/d/10oOiF7loTyfsTkbd4MpaIm0HQ9SwB7IYHdIUvt-U1Uc/edit?usp=sharing"",""สระแก้ว!J201"")"),0)</f>
        <v>0</v>
      </c>
      <c r="AF69" s="97">
        <f ca="1">IFERROR(__xludf.DUMMYFUNCTION("IMPORTRANGE(""https://docs.google.com/spreadsheets/d/10oOiF7loTyfsTkbd4MpaIm0HQ9SwB7IYHdIUvt-U1Uc/edit?usp=sharing"",""สระแก้ว!L204"")"),3000)</f>
        <v>3000</v>
      </c>
      <c r="AG69" s="97">
        <f ca="1">IFERROR(__xludf.DUMMYFUNCTION("IMPORTRANGE(""https://docs.google.com/spreadsheets/d/10oOiF7loTyfsTkbd4MpaIm0HQ9SwB7IYHdIUvt-U1Uc/edit?usp=sharing"",""สระแก้ว!N204"")"),0)</f>
        <v>0</v>
      </c>
      <c r="AH69" s="98">
        <f t="shared" ca="1" si="96"/>
        <v>0</v>
      </c>
      <c r="AI69" s="97">
        <f ca="1">IFERROR(__xludf.DUMMYFUNCTION("IMPORTRANGE(""https://docs.google.com/spreadsheets/d/10oOiF7loTyfsTkbd4MpaIm0HQ9SwB7IYHdIUvt-U1Uc/edit?usp=sharing"",""สระแก้ว!L206"")"),24000)</f>
        <v>24000</v>
      </c>
      <c r="AJ69" s="97">
        <f ca="1">IFERROR(__xludf.DUMMYFUNCTION("IMPORTRANGE(""https://docs.google.com/spreadsheets/d/10oOiF7loTyfsTkbd4MpaIm0HQ9SwB7IYHdIUvt-U1Uc/edit?usp=sharing"",""สระแก้ว!N206"")"),0)</f>
        <v>0</v>
      </c>
      <c r="AK69" s="98">
        <f t="shared" ca="1" si="98"/>
        <v>0</v>
      </c>
      <c r="AL69" s="97">
        <f ca="1">IFERROR(__xludf.DUMMYFUNCTION("IMPORTRANGE(""https://docs.google.com/spreadsheets/d/10oOiF7loTyfsTkbd4MpaIm0HQ9SwB7IYHdIUvt-U1Uc/edit?usp=sharing"",""สระแก้ว!L207"")"),12000)</f>
        <v>12000</v>
      </c>
      <c r="AM69" s="97">
        <f ca="1">IFERROR(__xludf.DUMMYFUNCTION("IMPORTRANGE(""https://docs.google.com/spreadsheets/d/10oOiF7loTyfsTkbd4MpaIm0HQ9SwB7IYHdIUvt-U1Uc/edit?usp=sharing"",""สระแก้ว!N207"")"),0)</f>
        <v>0</v>
      </c>
      <c r="AN69" s="98">
        <f t="shared" ca="1" si="100"/>
        <v>0</v>
      </c>
      <c r="AO69" s="97">
        <f ca="1">IFERROR(__xludf.DUMMYFUNCTION("IMPORTRANGE(""https://docs.google.com/spreadsheets/d/10oOiF7loTyfsTkbd4MpaIm0HQ9SwB7IYHdIUvt-U1Uc/edit?usp=sharing"",""สระแก้ว!I209"")"),3)</f>
        <v>3</v>
      </c>
      <c r="AP69" s="97">
        <f ca="1">IFERROR(__xludf.DUMMYFUNCTION("IMPORTRANGE(""https://docs.google.com/spreadsheets/d/10oOiF7loTyfsTkbd4MpaIm0HQ9SwB7IYHdIUvt-U1Uc/edit?usp=sharing"",""สระแก้ว!J209"")"),0)</f>
        <v>0</v>
      </c>
      <c r="AQ69" s="98">
        <f t="shared" ca="1" si="102"/>
        <v>0</v>
      </c>
      <c r="AR69" s="97">
        <f ca="1">IFERROR(__xludf.DUMMYFUNCTION("IMPORTRANGE(""https://docs.google.com/spreadsheets/d/10oOiF7loTyfsTkbd4MpaIm0HQ9SwB7IYHdIUvt-U1Uc/edit?usp=sharing"",""สระแก้ว!J211"")"),0)</f>
        <v>0</v>
      </c>
      <c r="AS69" s="97">
        <f ca="1">IFERROR(__xludf.DUMMYFUNCTION("IMPORTRANGE(""https://docs.google.com/spreadsheets/d/10oOiF7loTyfsTkbd4MpaIm0HQ9SwB7IYHdIUvt-U1Uc/edit?usp=sharing"",""สระแก้ว!J212"")"),0)</f>
        <v>0</v>
      </c>
      <c r="AT69" s="97">
        <f ca="1">IFERROR(__xludf.DUMMYFUNCTION("IMPORTRANGE(""https://docs.google.com/spreadsheets/d/10oOiF7loTyfsTkbd4MpaIm0HQ9SwB7IYHdIUvt-U1Uc/edit?usp=sharing"",""สระแก้ว!L215"")"),6000)</f>
        <v>6000</v>
      </c>
      <c r="AU69" s="97">
        <f ca="1">IFERROR(__xludf.DUMMYFUNCTION("IMPORTRANGE(""https://docs.google.com/spreadsheets/d/10oOiF7loTyfsTkbd4MpaIm0HQ9SwB7IYHdIUvt-U1Uc/edit?usp=sharing"",""สระแก้ว!N215"")"),0)</f>
        <v>0</v>
      </c>
      <c r="AV69" s="98">
        <f t="shared" ca="1" si="104"/>
        <v>0</v>
      </c>
      <c r="AW69" s="97">
        <f ca="1">IFERROR(__xludf.DUMMYFUNCTION("IMPORTRANGE(""https://docs.google.com/spreadsheets/d/10oOiF7loTyfsTkbd4MpaIm0HQ9SwB7IYHdIUvt-U1Uc/edit?usp=sharing"",""สระแก้ว!L216"")"),30000)</f>
        <v>30000</v>
      </c>
      <c r="AX69" s="97">
        <f ca="1">IFERROR(__xludf.DUMMYFUNCTION("IMPORTRANGE(""https://docs.google.com/spreadsheets/d/10oOiF7loTyfsTkbd4MpaIm0HQ9SwB7IYHdIUvt-U1Uc/edit?usp=sharing"",""สระแก้ว!N216"")"),0)</f>
        <v>0</v>
      </c>
      <c r="AY69" s="98">
        <f t="shared" ca="1" si="106"/>
        <v>0</v>
      </c>
      <c r="AZ69" s="97">
        <f ca="1">IFERROR(__xludf.DUMMYFUNCTION("IMPORTRANGE(""https://docs.google.com/spreadsheets/d/10oOiF7loTyfsTkbd4MpaIm0HQ9SwB7IYHdIUvt-U1Uc/edit?usp=sharing"",""สระแก้ว!L217"")"),48000)</f>
        <v>48000</v>
      </c>
      <c r="BA69" s="97">
        <f ca="1">IFERROR(__xludf.DUMMYFUNCTION("IMPORTRANGE(""https://docs.google.com/spreadsheets/d/10oOiF7loTyfsTkbd4MpaIm0HQ9SwB7IYHdIUvt-U1Uc/edit?usp=sharing"",""สระแก้ว!N217"")"),0)</f>
        <v>0</v>
      </c>
      <c r="BB69" s="98">
        <f t="shared" ca="1" si="108"/>
        <v>0</v>
      </c>
      <c r="BC69" s="97">
        <f ca="1">IFERROR(__xludf.DUMMYFUNCTION("IMPORTRANGE(""https://docs.google.com/spreadsheets/d/10oOiF7loTyfsTkbd4MpaIm0HQ9SwB7IYHdIUvt-U1Uc/edit?usp=sharing"",""สระแก้ว!I219"")"),6)</f>
        <v>6</v>
      </c>
      <c r="BD69" s="97">
        <f ca="1">IFERROR(__xludf.DUMMYFUNCTION("IMPORTRANGE(""https://docs.google.com/spreadsheets/d/10oOiF7loTyfsTkbd4MpaIm0HQ9SwB7IYHdIUvt-U1Uc/edit?usp=sharing"",""สระแก้ว!J219"")"),0)</f>
        <v>0</v>
      </c>
      <c r="BE69" s="98">
        <f t="shared" ca="1" si="110"/>
        <v>0</v>
      </c>
      <c r="BF69" s="97">
        <f ca="1">IFERROR(__xludf.DUMMYFUNCTION("IMPORTRANGE(""https://docs.google.com/spreadsheets/d/10oOiF7loTyfsTkbd4MpaIm0HQ9SwB7IYHdIUvt-U1Uc/edit?usp=sharing"",""สระแก้ว!I220"")"),6)</f>
        <v>6</v>
      </c>
      <c r="BG69" s="97">
        <f ca="1">IFERROR(__xludf.DUMMYFUNCTION("IMPORTRANGE(""https://docs.google.com/spreadsheets/d/10oOiF7loTyfsTkbd4MpaIm0HQ9SwB7IYHdIUvt-U1Uc/edit?usp=sharing"",""สระแก้ว!J220"")"),0)</f>
        <v>0</v>
      </c>
      <c r="BH69" s="98">
        <f t="shared" ca="1" si="112"/>
        <v>0</v>
      </c>
      <c r="BI69" s="97">
        <f ca="1">IFERROR(__xludf.DUMMYFUNCTION("IMPORTRANGE(""https://docs.google.com/spreadsheets/d/10oOiF7loTyfsTkbd4MpaIm0HQ9SwB7IYHdIUvt-U1Uc/edit?usp=sharing"",""สระแก้ว!L223"")"),5000)</f>
        <v>5000</v>
      </c>
      <c r="BJ69" s="97">
        <f ca="1">IFERROR(__xludf.DUMMYFUNCTION("IMPORTRANGE(""https://docs.google.com/spreadsheets/d/10oOiF7loTyfsTkbd4MpaIm0HQ9SwB7IYHdIUvt-U1Uc/edit?usp=sharing"",""สระแก้ว!N223"")"),0)</f>
        <v>0</v>
      </c>
      <c r="BK69" s="98">
        <f t="shared" ca="1" si="114"/>
        <v>0</v>
      </c>
      <c r="BL69" s="97">
        <f ca="1">IFERROR(__xludf.DUMMYFUNCTION("IMPORTRANGE(""https://docs.google.com/spreadsheets/d/10oOiF7loTyfsTkbd4MpaIm0HQ9SwB7IYHdIUvt-U1Uc/edit?usp=sharing"",""สระแก้ว!L224"")"),1500)</f>
        <v>1500</v>
      </c>
      <c r="BM69" s="97">
        <f ca="1">IFERROR(__xludf.DUMMYFUNCTION("IMPORTRANGE(""https://docs.google.com/spreadsheets/d/10oOiF7loTyfsTkbd4MpaIm0HQ9SwB7IYHdIUvt-U1Uc/edit?usp=sharing"",""สระแก้ว!N224"")"),0)</f>
        <v>0</v>
      </c>
      <c r="BN69" s="98">
        <f t="shared" ca="1" si="116"/>
        <v>0</v>
      </c>
      <c r="BO69" s="97">
        <f ca="1">IFERROR(__xludf.DUMMYFUNCTION("IMPORTRANGE(""https://docs.google.com/spreadsheets/d/10oOiF7loTyfsTkbd4MpaIm0HQ9SwB7IYHdIUvt-U1Uc/edit?usp=sharing"",""สระแก้ว!I228"")"),40000)</f>
        <v>40000</v>
      </c>
      <c r="BP69" s="97">
        <f ca="1">IFERROR(__xludf.DUMMYFUNCTION("IMPORTRANGE(""https://docs.google.com/spreadsheets/d/10oOiF7loTyfsTkbd4MpaIm0HQ9SwB7IYHdIUvt-U1Uc/edit?usp=sharing"",""สระแก้ว!J228"")"),0)</f>
        <v>0</v>
      </c>
      <c r="BQ69" s="98">
        <f t="shared" ca="1" si="118"/>
        <v>0</v>
      </c>
      <c r="BR69" s="97">
        <f ca="1">IFERROR(__xludf.DUMMYFUNCTION("IMPORTRANGE(""https://docs.google.com/spreadsheets/d/10oOiF7loTyfsTkbd4MpaIm0HQ9SwB7IYHdIUvt-U1Uc/edit?usp=sharing"",""สระแก้ว!I229"")"),40000)</f>
        <v>40000</v>
      </c>
      <c r="BS69" s="97">
        <f ca="1">IFERROR(__xludf.DUMMYFUNCTION("IMPORTRANGE(""https://docs.google.com/spreadsheets/d/10oOiF7loTyfsTkbd4MpaIm0HQ9SwB7IYHdIUvt-U1Uc/edit?usp=sharing"",""สระแก้ว!J229"")"),0)</f>
        <v>0</v>
      </c>
      <c r="BT69" s="98">
        <f t="shared" ca="1" si="120"/>
        <v>0</v>
      </c>
      <c r="BU69" s="97">
        <f ca="1">IFERROR(__xludf.DUMMYFUNCTION("IMPORTRANGE(""https://docs.google.com/spreadsheets/d/10oOiF7loTyfsTkbd4MpaIm0HQ9SwB7IYHdIUvt-U1Uc/edit?usp=sharing"",""สระแก้ว!I230"")"),0)</f>
        <v>0</v>
      </c>
      <c r="BV69" s="97">
        <f ca="1">IFERROR(__xludf.DUMMYFUNCTION("IMPORTRANGE(""https://docs.google.com/spreadsheets/d/10oOiF7loTyfsTkbd4MpaIm0HQ9SwB7IYHdIUvt-U1Uc/edit?usp=sharing"",""สระแก้ว!J230"")"),0)</f>
        <v>0</v>
      </c>
      <c r="BW69" s="98">
        <f t="shared" ca="1" si="122"/>
        <v>0</v>
      </c>
      <c r="BX69" s="97">
        <f ca="1">IFERROR(__xludf.DUMMYFUNCTION("IMPORTRANGE(""https://docs.google.com/spreadsheets/d/10oOiF7loTyfsTkbd4MpaIm0HQ9SwB7IYHdIUvt-U1Uc/edit?usp=sharing"",""สระแก้ว!L233"")"),13000)</f>
        <v>13000</v>
      </c>
      <c r="BY69" s="97">
        <f ca="1">IFERROR(__xludf.DUMMYFUNCTION("IMPORTRANGE(""https://docs.google.com/spreadsheets/d/10oOiF7loTyfsTkbd4MpaIm0HQ9SwB7IYHdIUvt-U1Uc/edit?usp=sharing"",""สระแก้ว!N233"")"),0)</f>
        <v>0</v>
      </c>
      <c r="BZ69" s="98">
        <f t="shared" ca="1" si="124"/>
        <v>0</v>
      </c>
      <c r="CA69" s="97">
        <f ca="1">IFERROR(__xludf.DUMMYFUNCTION("IMPORTRANGE(""https://docs.google.com/spreadsheets/d/10oOiF7loTyfsTkbd4MpaIm0HQ9SwB7IYHdIUvt-U1Uc/edit?usp=sharing"",""สระแก้ว!L234"")"),5000)</f>
        <v>5000</v>
      </c>
      <c r="CB69" s="97">
        <f ca="1">IFERROR(__xludf.DUMMYFUNCTION("IMPORTRANGE(""https://docs.google.com/spreadsheets/d/10oOiF7loTyfsTkbd4MpaIm0HQ9SwB7IYHdIUvt-U1Uc/edit?usp=sharing"",""สระแก้ว!N234"")"),0)</f>
        <v>0</v>
      </c>
      <c r="CC69" s="98">
        <f t="shared" ca="1" si="126"/>
        <v>0</v>
      </c>
      <c r="CD69" s="97">
        <f ca="1">IFERROR(__xludf.DUMMYFUNCTION("IMPORTRANGE(""https://docs.google.com/spreadsheets/d/10oOiF7loTyfsTkbd4MpaIm0HQ9SwB7IYHdIUvt-U1Uc/edit?usp=sharing"",""สระแก้ว!L235"")"),47800)</f>
        <v>47800</v>
      </c>
      <c r="CE69" s="97">
        <f ca="1">IFERROR(__xludf.DUMMYFUNCTION("IMPORTRANGE(""https://docs.google.com/spreadsheets/d/10oOiF7loTyfsTkbd4MpaIm0HQ9SwB7IYHdIUvt-U1Uc/edit?usp=sharing"",""สระแก้ว!N235"")"),0)</f>
        <v>0</v>
      </c>
      <c r="CF69" s="98">
        <f t="shared" ca="1" si="128"/>
        <v>0</v>
      </c>
      <c r="CG69" s="97">
        <f ca="1">IFERROR(__xludf.DUMMYFUNCTION("IMPORTRANGE(""https://docs.google.com/spreadsheets/d/10oOiF7loTyfsTkbd4MpaIm0HQ9SwB7IYHdIUvt-U1Uc/edit?usp=sharing"",""สระแก้ว!L236"")"),68000)</f>
        <v>68000</v>
      </c>
      <c r="CH69" s="97">
        <f ca="1">IFERROR(__xludf.DUMMYFUNCTION("IMPORTRANGE(""https://docs.google.com/spreadsheets/d/10oOiF7loTyfsTkbd4MpaIm0HQ9SwB7IYHdIUvt-U1Uc/edit?usp=sharing"",""สระแก้ว!N236"")"),0)</f>
        <v>0</v>
      </c>
      <c r="CI69" s="98">
        <f t="shared" ca="1" si="130"/>
        <v>0</v>
      </c>
      <c r="CJ69" s="97">
        <f ca="1">IFERROR(__xludf.DUMMYFUNCTION("IMPORTRANGE(""https://docs.google.com/spreadsheets/d/10oOiF7loTyfsTkbd4MpaIm0HQ9SwB7IYHdIUvt-U1Uc/edit?usp=sharing"",""สระแก้ว!I238"")"),60)</f>
        <v>60</v>
      </c>
      <c r="CK69" s="97">
        <f ca="1">IFERROR(__xludf.DUMMYFUNCTION("IMPORTRANGE(""https://docs.google.com/spreadsheets/d/10oOiF7loTyfsTkbd4MpaIm0HQ9SwB7IYHdIUvt-U1Uc/edit?usp=sharing"",""สระแก้ว!J238"")"),0)</f>
        <v>0</v>
      </c>
      <c r="CL69" s="98">
        <f t="shared" ca="1" si="132"/>
        <v>0</v>
      </c>
      <c r="CM69" s="97">
        <f ca="1">IFERROR(__xludf.DUMMYFUNCTION("IMPORTRANGE(""https://docs.google.com/spreadsheets/d/10oOiF7loTyfsTkbd4MpaIm0HQ9SwB7IYHdIUvt-U1Uc/edit?usp=sharing"",""สระแก้ว!J240"")"),0)</f>
        <v>0</v>
      </c>
      <c r="CN69" s="97">
        <f ca="1">IFERROR(__xludf.DUMMYFUNCTION("IMPORTRANGE(""https://docs.google.com/spreadsheets/d/10oOiF7loTyfsTkbd4MpaIm0HQ9SwB7IYHdIUvt-U1Uc/edit?usp=sharing"",""สระแก้ว!J241"")"),0)</f>
        <v>0</v>
      </c>
    </row>
    <row r="70" spans="1:92" ht="21" customHeight="1" x14ac:dyDescent="0.3">
      <c r="A70" s="89">
        <v>18</v>
      </c>
      <c r="B70" s="90" t="s">
        <v>96</v>
      </c>
      <c r="C70" s="174">
        <f t="shared" ca="1" si="80"/>
        <v>49500</v>
      </c>
      <c r="D70" s="175">
        <f t="shared" ca="1" si="184"/>
        <v>49500</v>
      </c>
      <c r="E70" s="176">
        <f ca="1">IFERROR(__xludf.DUMMYFUNCTION("IMPORTRANGE(""https://docs.google.com/spreadsheets/d/1-uDff_7J0KD5mKrp0Vvzr7lt3OU09vwQwhkpOPPYv2Y/edit?usp=sharing"",""งบพรบ!CV70"")"),0)</f>
        <v>0</v>
      </c>
      <c r="F70" s="176">
        <f ca="1">IFERROR(__xludf.DUMMYFUNCTION("IMPORTRANGE(""https://docs.google.com/spreadsheets/d/1-uDff_7J0KD5mKrp0Vvzr7lt3OU09vwQwhkpOPPYv2Y/edit?usp=sharing"",""งบพรบ!CW70"")"),49500)</f>
        <v>49500</v>
      </c>
      <c r="G70" s="176">
        <f ca="1">IFERROR(__xludf.DUMMYFUNCTION("IMPORTRANGE(""https://docs.google.com/spreadsheets/d/1-uDff_7J0KD5mKrp0Vvzr7lt3OU09vwQwhkpOPPYv2Y/edit?usp=sharing"",""งบพรบ!CX70"")"),0)</f>
        <v>0</v>
      </c>
      <c r="H70" s="176">
        <f ca="1">IFERROR(__xludf.DUMMYFUNCTION("IMPORTRANGE(""https://docs.google.com/spreadsheets/d/1-uDff_7J0KD5mKrp0Vvzr7lt3OU09vwQwhkpOPPYv2Y/edit?usp=sharing"",""งบพรบ!CZ70"")"),52460)</f>
        <v>52460</v>
      </c>
      <c r="I70" s="176">
        <f ca="1">IFERROR(__xludf.DUMMYFUNCTION("IMPORTRANGE(""https://docs.google.com/spreadsheets/d/1-uDff_7J0KD5mKrp0Vvzr7lt3OU09vwQwhkpOPPYv2Y/edit?usp=sharing"",""งบพรบ!DA70"")"),0)</f>
        <v>0</v>
      </c>
      <c r="J70" s="176">
        <f t="shared" ca="1" si="82"/>
        <v>0</v>
      </c>
      <c r="K70" s="179">
        <f t="shared" ca="1" si="83"/>
        <v>0</v>
      </c>
      <c r="L70" s="176">
        <f ca="1">IFERROR(__xludf.DUMMYFUNCTION("IMPORTRANGE(""https://docs.google.com/spreadsheets/d/1-uDff_7J0KD5mKrp0Vvzr7lt3OU09vwQwhkpOPPYv2Y/edit?usp=sharing"",""งบพรบ!DB70"")"),0)</f>
        <v>0</v>
      </c>
      <c r="M70" s="87">
        <f t="shared" ca="1" si="84"/>
        <v>0</v>
      </c>
      <c r="N70" s="87">
        <f t="shared" ca="1" si="85"/>
        <v>0</v>
      </c>
      <c r="O70" s="86">
        <f ca="1">IFERROR(__xludf.DUMMYFUNCTION("IMPORTRANGE(""https://docs.google.com/spreadsheets/d/1-uDff_7J0KD5mKrp0Vvzr7lt3OU09vwQwhkpOPPYv2Y/edit?usp=sharing"",""งบพรบ!DC70"")"),0)</f>
        <v>0</v>
      </c>
      <c r="P70" s="86">
        <f t="shared" ca="1" si="86"/>
        <v>0</v>
      </c>
      <c r="Q70" s="87">
        <f t="shared" ca="1" si="87"/>
        <v>0</v>
      </c>
      <c r="R70" s="241">
        <f ca="1">IFERROR(__xludf.DUMMYFUNCTION("IMPORTRANGE(""https://docs.google.com/spreadsheets/d/1xmPlrr1QbdSIKvl1dWUl9K4PjAfSL9oeMr_37QVzcxc/edit?usp=sharing"",""สระบุรี!Q186"")"),42000)</f>
        <v>42000</v>
      </c>
      <c r="S70" s="242">
        <f ca="1">IFERROR(__xludf.DUMMYFUNCTION("IMPORTRANGE(""https://docs.google.com/spreadsheets/d/1xmPlrr1QbdSIKvl1dWUl9K4PjAfSL9oeMr_37QVzcxc/edit?usp=sharing"",""สระบุรี!R186"")"),0)</f>
        <v>0</v>
      </c>
      <c r="T70" s="242">
        <f ca="1">IFERROR(__xludf.DUMMYFUNCTION("IMPORTRANGE(""https://docs.google.com/spreadsheets/d/1xmPlrr1QbdSIKvl1dWUl9K4PjAfSL9oeMr_37QVzcxc/edit?usp=sharing"",""สระบุรี!S186"")"),0)</f>
        <v>0</v>
      </c>
      <c r="U70" s="243">
        <f t="shared" ca="1" si="89"/>
        <v>0</v>
      </c>
      <c r="V70" s="243">
        <f t="shared" ca="1" si="90"/>
        <v>0</v>
      </c>
      <c r="W70" s="97">
        <f ca="1">IFERROR(__xludf.DUMMYFUNCTION("IMPORTRANGE(""https://docs.google.com/spreadsheets/d/1xmPlrr1QbdSIKvl1dWUl9K4PjAfSL9oeMr_37QVzcxc/edit?usp=sharing"",""สระบุรี!L196"")"),6000)</f>
        <v>6000</v>
      </c>
      <c r="X70" s="97">
        <f ca="1">IFERROR(__xludf.DUMMYFUNCTION("IMPORTRANGE(""https://docs.google.com/spreadsheets/d/1xmPlrr1QbdSIKvl1dWUl9K4PjAfSL9oeMr_37QVzcxc/edit?usp=sharing"",""สระบุรี!N196"")"),0)</f>
        <v>0</v>
      </c>
      <c r="Y70" s="98">
        <f t="shared" ca="1" si="92"/>
        <v>0</v>
      </c>
      <c r="Z70" s="97">
        <f ca="1">IFERROR(__xludf.DUMMYFUNCTION("IMPORTRANGE(""https://docs.google.com/spreadsheets/d/1xmPlrr1QbdSIKvl1dWUl9K4PjAfSL9oeMr_37QVzcxc/edit?usp=sharing"",""สระบุรี!I198"")"),4)</f>
        <v>4</v>
      </c>
      <c r="AA70" s="97">
        <f ca="1">IFERROR(__xludf.DUMMYFUNCTION("IMPORTRANGE(""https://docs.google.com/spreadsheets/d/1xmPlrr1QbdSIKvl1dWUl9K4PjAfSL9oeMr_37QVzcxc/edit?usp=sharing"",""สระบุรี!J198"")"),1)</f>
        <v>1</v>
      </c>
      <c r="AB70" s="98">
        <f t="shared" ca="1" si="94"/>
        <v>25</v>
      </c>
      <c r="AC70" s="97">
        <f ca="1">IFERROR(__xludf.DUMMYFUNCTION("IMPORTRANGE(""https://docs.google.com/spreadsheets/d/1xmPlrr1QbdSIKvl1dWUl9K4PjAfSL9oeMr_37QVzcxc/edit?usp=sharing"",""สระบุรี!J199"")"),0)</f>
        <v>0</v>
      </c>
      <c r="AD70" s="97">
        <f ca="1">IFERROR(__xludf.DUMMYFUNCTION("IMPORTRANGE(""https://docs.google.com/spreadsheets/d/1xmPlrr1QbdSIKvl1dWUl9K4PjAfSL9oeMr_37QVzcxc/edit?usp=sharing"",""สระบุรี!J200"")"),0)</f>
        <v>0</v>
      </c>
      <c r="AE70" s="97">
        <f ca="1">IFERROR(__xludf.DUMMYFUNCTION("IMPORTRANGE(""https://docs.google.com/spreadsheets/d/1xmPlrr1QbdSIKvl1dWUl9K4PjAfSL9oeMr_37QVzcxc/edit?usp=sharing"",""สระบุรี!J201"")"),0)</f>
        <v>0</v>
      </c>
      <c r="AF70" s="97">
        <f ca="1">IFERROR(__xludf.DUMMYFUNCTION("IMPORTRANGE(""https://docs.google.com/spreadsheets/d/1xmPlrr1QbdSIKvl1dWUl9K4PjAfSL9oeMr_37QVzcxc/edit?usp=sharing"",""สระบุรี!L204"")"),3000)</f>
        <v>3000</v>
      </c>
      <c r="AG70" s="97">
        <f ca="1">IFERROR(__xludf.DUMMYFUNCTION("IMPORTRANGE(""https://docs.google.com/spreadsheets/d/1xmPlrr1QbdSIKvl1dWUl9K4PjAfSL9oeMr_37QVzcxc/edit?usp=sharing"",""สระบุรี!N204"")"),0)</f>
        <v>0</v>
      </c>
      <c r="AH70" s="98">
        <f t="shared" ca="1" si="96"/>
        <v>0</v>
      </c>
      <c r="AI70" s="97">
        <f ca="1">IFERROR(__xludf.DUMMYFUNCTION("IMPORTRANGE(""https://docs.google.com/spreadsheets/d/1xmPlrr1QbdSIKvl1dWUl9K4PjAfSL9oeMr_37QVzcxc/edit?usp=sharing"",""สระบุรี!L206"")"),24000)</f>
        <v>24000</v>
      </c>
      <c r="AJ70" s="97">
        <f ca="1">IFERROR(__xludf.DUMMYFUNCTION("IMPORTRANGE(""https://docs.google.com/spreadsheets/d/1xmPlrr1QbdSIKvl1dWUl9K4PjAfSL9oeMr_37QVzcxc/edit?usp=sharing"",""สระบุรี!N206"")"),0)</f>
        <v>0</v>
      </c>
      <c r="AK70" s="98">
        <f t="shared" ca="1" si="98"/>
        <v>0</v>
      </c>
      <c r="AL70" s="97">
        <f ca="1">IFERROR(__xludf.DUMMYFUNCTION("IMPORTRANGE(""https://docs.google.com/spreadsheets/d/1xmPlrr1QbdSIKvl1dWUl9K4PjAfSL9oeMr_37QVzcxc/edit?usp=sharing"",""สระบุรี!L207"")"),12000)</f>
        <v>12000</v>
      </c>
      <c r="AM70" s="97">
        <f ca="1">IFERROR(__xludf.DUMMYFUNCTION("IMPORTRANGE(""https://docs.google.com/spreadsheets/d/1xmPlrr1QbdSIKvl1dWUl9K4PjAfSL9oeMr_37QVzcxc/edit?usp=sharing"",""สระบุรี!N207"")"),0)</f>
        <v>0</v>
      </c>
      <c r="AN70" s="98">
        <f t="shared" ca="1" si="100"/>
        <v>0</v>
      </c>
      <c r="AO70" s="97">
        <f ca="1">IFERROR(__xludf.DUMMYFUNCTION("IMPORTRANGE(""https://docs.google.com/spreadsheets/d/1xmPlrr1QbdSIKvl1dWUl9K4PjAfSL9oeMr_37QVzcxc/edit?usp=sharing"",""สระบุรี!I209"")"),3)</f>
        <v>3</v>
      </c>
      <c r="AP70" s="97">
        <f ca="1">IFERROR(__xludf.DUMMYFUNCTION("IMPORTRANGE(""https://docs.google.com/spreadsheets/d/1xmPlrr1QbdSIKvl1dWUl9K4PjAfSL9oeMr_37QVzcxc/edit?usp=sharing"",""สระบุรี!J209"")"),0)</f>
        <v>0</v>
      </c>
      <c r="AQ70" s="98">
        <f t="shared" ca="1" si="102"/>
        <v>0</v>
      </c>
      <c r="AR70" s="97">
        <f ca="1">IFERROR(__xludf.DUMMYFUNCTION("IMPORTRANGE(""https://docs.google.com/spreadsheets/d/1xmPlrr1QbdSIKvl1dWUl9K4PjAfSL9oeMr_37QVzcxc/edit?usp=sharing"",""สระบุรี!J211"")"),0)</f>
        <v>0</v>
      </c>
      <c r="AS70" s="97">
        <f ca="1">IFERROR(__xludf.DUMMYFUNCTION("IMPORTRANGE(""https://docs.google.com/spreadsheets/d/1xmPlrr1QbdSIKvl1dWUl9K4PjAfSL9oeMr_37QVzcxc/edit?usp=sharing"",""สระบุรี!J212"")"),0)</f>
        <v>0</v>
      </c>
      <c r="AT70" s="97">
        <f ca="1">IFERROR(__xludf.DUMMYFUNCTION("IMPORTRANGE(""https://docs.google.com/spreadsheets/d/1xmPlrr1QbdSIKvl1dWUl9K4PjAfSL9oeMr_37QVzcxc/edit?usp=sharing"",""สระบุรี!L215"")"),0)</f>
        <v>0</v>
      </c>
      <c r="AU70" s="97">
        <f ca="1">IFERROR(__xludf.DUMMYFUNCTION("IMPORTRANGE(""https://docs.google.com/spreadsheets/d/1xmPlrr1QbdSIKvl1dWUl9K4PjAfSL9oeMr_37QVzcxc/edit?usp=sharing"",""สระบุรี!N215"")"),0)</f>
        <v>0</v>
      </c>
      <c r="AV70" s="98">
        <f t="shared" ca="1" si="104"/>
        <v>0</v>
      </c>
      <c r="AW70" s="97">
        <f ca="1">IFERROR(__xludf.DUMMYFUNCTION("IMPORTRANGE(""https://docs.google.com/spreadsheets/d/1xmPlrr1QbdSIKvl1dWUl9K4PjAfSL9oeMr_37QVzcxc/edit?usp=sharing"",""สระบุรี!L216"")"),0)</f>
        <v>0</v>
      </c>
      <c r="AX70" s="97">
        <f ca="1">IFERROR(__xludf.DUMMYFUNCTION("IMPORTRANGE(""https://docs.google.com/spreadsheets/d/1xmPlrr1QbdSIKvl1dWUl9K4PjAfSL9oeMr_37QVzcxc/edit?usp=sharing"",""สระบุรี!N216"")"),0)</f>
        <v>0</v>
      </c>
      <c r="AY70" s="98">
        <f t="shared" ca="1" si="106"/>
        <v>0</v>
      </c>
      <c r="AZ70" s="97">
        <f ca="1">IFERROR(__xludf.DUMMYFUNCTION("IMPORTRANGE(""https://docs.google.com/spreadsheets/d/1xmPlrr1QbdSIKvl1dWUl9K4PjAfSL9oeMr_37QVzcxc/edit?usp=sharing"",""สระบุรี!L217"")"),0)</f>
        <v>0</v>
      </c>
      <c r="BA70" s="97">
        <f ca="1">IFERROR(__xludf.DUMMYFUNCTION("IMPORTRANGE(""https://docs.google.com/spreadsheets/d/1xmPlrr1QbdSIKvl1dWUl9K4PjAfSL9oeMr_37QVzcxc/edit?usp=sharing"",""สระบุรี!N217"")"),0)</f>
        <v>0</v>
      </c>
      <c r="BB70" s="98">
        <f t="shared" ca="1" si="108"/>
        <v>0</v>
      </c>
      <c r="BC70" s="97">
        <f ca="1">IFERROR(__xludf.DUMMYFUNCTION("IMPORTRANGE(""https://docs.google.com/spreadsheets/d/1xmPlrr1QbdSIKvl1dWUl9K4PjAfSL9oeMr_37QVzcxc/edit?usp=sharing"",""สระบุรี!I219"")"),0)</f>
        <v>0</v>
      </c>
      <c r="BD70" s="97">
        <f ca="1">IFERROR(__xludf.DUMMYFUNCTION("IMPORTRANGE(""https://docs.google.com/spreadsheets/d/1xmPlrr1QbdSIKvl1dWUl9K4PjAfSL9oeMr_37QVzcxc/edit?usp=sharing"",""สระบุรี!J219"")"),0)</f>
        <v>0</v>
      </c>
      <c r="BE70" s="98">
        <f t="shared" ca="1" si="110"/>
        <v>0</v>
      </c>
      <c r="BF70" s="97">
        <f ca="1">IFERROR(__xludf.DUMMYFUNCTION("IMPORTRANGE(""https://docs.google.com/spreadsheets/d/1xmPlrr1QbdSIKvl1dWUl9K4PjAfSL9oeMr_37QVzcxc/edit?usp=sharing"",""สระบุรี!I220"")"),0)</f>
        <v>0</v>
      </c>
      <c r="BG70" s="97">
        <f ca="1">IFERROR(__xludf.DUMMYFUNCTION("IMPORTRANGE(""https://docs.google.com/spreadsheets/d/1xmPlrr1QbdSIKvl1dWUl9K4PjAfSL9oeMr_37QVzcxc/edit?usp=sharing"",""สระบุรี!J220"")"),0)</f>
        <v>0</v>
      </c>
      <c r="BH70" s="98">
        <f t="shared" ca="1" si="112"/>
        <v>0</v>
      </c>
      <c r="BI70" s="97">
        <f ca="1">IFERROR(__xludf.DUMMYFUNCTION("IMPORTRANGE(""https://docs.google.com/spreadsheets/d/1xmPlrr1QbdSIKvl1dWUl9K4PjAfSL9oeMr_37QVzcxc/edit?usp=sharing"",""สระบุรี!L223"")"),3000)</f>
        <v>3000</v>
      </c>
      <c r="BJ70" s="97">
        <f ca="1">IFERROR(__xludf.DUMMYFUNCTION("IMPORTRANGE(""https://docs.google.com/spreadsheets/d/1xmPlrr1QbdSIKvl1dWUl9K4PjAfSL9oeMr_37QVzcxc/edit?usp=sharing"",""สระบุรี!N223"")"),0)</f>
        <v>0</v>
      </c>
      <c r="BK70" s="98">
        <f t="shared" ca="1" si="114"/>
        <v>0</v>
      </c>
      <c r="BL70" s="97">
        <f ca="1">IFERROR(__xludf.DUMMYFUNCTION("IMPORTRANGE(""https://docs.google.com/spreadsheets/d/1xmPlrr1QbdSIKvl1dWUl9K4PjAfSL9oeMr_37QVzcxc/edit?usp=sharing"",""สระบุรี!L224"")"),1500)</f>
        <v>1500</v>
      </c>
      <c r="BM70" s="97">
        <f ca="1">IFERROR(__xludf.DUMMYFUNCTION("IMPORTRANGE(""https://docs.google.com/spreadsheets/d/1xmPlrr1QbdSIKvl1dWUl9K4PjAfSL9oeMr_37QVzcxc/edit?usp=sharing"",""สระบุรี!N224"")"),0)</f>
        <v>0</v>
      </c>
      <c r="BN70" s="98">
        <f t="shared" ca="1" si="116"/>
        <v>0</v>
      </c>
      <c r="BO70" s="97">
        <f ca="1">IFERROR(__xludf.DUMMYFUNCTION("IMPORTRANGE(""https://docs.google.com/spreadsheets/d/1xmPlrr1QbdSIKvl1dWUl9K4PjAfSL9oeMr_37QVzcxc/edit?usp=sharing"",""สระบุรี!I228"")"),20000)</f>
        <v>20000</v>
      </c>
      <c r="BP70" s="97">
        <f ca="1">IFERROR(__xludf.DUMMYFUNCTION("IMPORTRANGE(""https://docs.google.com/spreadsheets/d/1xmPlrr1QbdSIKvl1dWUl9K4PjAfSL9oeMr_37QVzcxc/edit?usp=sharing"",""สระบุรี!J228"")"),0)</f>
        <v>0</v>
      </c>
      <c r="BQ70" s="98">
        <f t="shared" ca="1" si="118"/>
        <v>0</v>
      </c>
      <c r="BR70" s="97">
        <f ca="1">IFERROR(__xludf.DUMMYFUNCTION("IMPORTRANGE(""https://docs.google.com/spreadsheets/d/1xmPlrr1QbdSIKvl1dWUl9K4PjAfSL9oeMr_37QVzcxc/edit?usp=sharing"",""สระบุรี!I229"")"),20000)</f>
        <v>20000</v>
      </c>
      <c r="BS70" s="97">
        <f ca="1">IFERROR(__xludf.DUMMYFUNCTION("IMPORTRANGE(""https://docs.google.com/spreadsheets/d/1xmPlrr1QbdSIKvl1dWUl9K4PjAfSL9oeMr_37QVzcxc/edit?usp=sharing"",""สระบุรี!J229"")"),0)</f>
        <v>0</v>
      </c>
      <c r="BT70" s="98">
        <f t="shared" ca="1" si="120"/>
        <v>0</v>
      </c>
      <c r="BU70" s="97">
        <f ca="1">IFERROR(__xludf.DUMMYFUNCTION("IMPORTRANGE(""https://docs.google.com/spreadsheets/d/1xmPlrr1QbdSIKvl1dWUl9K4PjAfSL9oeMr_37QVzcxc/edit?usp=sharing"",""สระบุรี!I230"")"),0)</f>
        <v>0</v>
      </c>
      <c r="BV70" s="97">
        <f ca="1">IFERROR(__xludf.DUMMYFUNCTION("IMPORTRANGE(""https://docs.google.com/spreadsheets/d/1xmPlrr1QbdSIKvl1dWUl9K4PjAfSL9oeMr_37QVzcxc/edit?usp=sharing"",""สระบุรี!J230"")"),0)</f>
        <v>0</v>
      </c>
      <c r="BW70" s="98">
        <f t="shared" ca="1" si="122"/>
        <v>0</v>
      </c>
      <c r="BX70" s="97">
        <f ca="1">IFERROR(__xludf.DUMMYFUNCTION("IMPORTRANGE(""https://docs.google.com/spreadsheets/d/1xmPlrr1QbdSIKvl1dWUl9K4PjAfSL9oeMr_37QVzcxc/edit?usp=sharing"",""สระบุรี!L233"")"),0)</f>
        <v>0</v>
      </c>
      <c r="BY70" s="97">
        <f ca="1">IFERROR(__xludf.DUMMYFUNCTION("IMPORTRANGE(""https://docs.google.com/spreadsheets/d/1xmPlrr1QbdSIKvl1dWUl9K4PjAfSL9oeMr_37QVzcxc/edit?usp=sharing"",""สระบุรี!N233"")"),0)</f>
        <v>0</v>
      </c>
      <c r="BZ70" s="98">
        <f t="shared" ca="1" si="124"/>
        <v>0</v>
      </c>
      <c r="CA70" s="97">
        <f ca="1">IFERROR(__xludf.DUMMYFUNCTION("IMPORTRANGE(""https://docs.google.com/spreadsheets/d/1xmPlrr1QbdSIKvl1dWUl9K4PjAfSL9oeMr_37QVzcxc/edit?usp=sharing"",""สระบุรี!L234"")"),0)</f>
        <v>0</v>
      </c>
      <c r="CB70" s="97">
        <f ca="1">IFERROR(__xludf.DUMMYFUNCTION("IMPORTRANGE(""https://docs.google.com/spreadsheets/d/1xmPlrr1QbdSIKvl1dWUl9K4PjAfSL9oeMr_37QVzcxc/edit?usp=sharing"",""สระบุรี!N234"")"),0)</f>
        <v>0</v>
      </c>
      <c r="CC70" s="98">
        <f t="shared" ca="1" si="126"/>
        <v>0</v>
      </c>
      <c r="CD70" s="97">
        <f ca="1">IFERROR(__xludf.DUMMYFUNCTION("IMPORTRANGE(""https://docs.google.com/spreadsheets/d/1xmPlrr1QbdSIKvl1dWUl9K4PjAfSL9oeMr_37QVzcxc/edit?usp=sharing"",""สระบุรี!L235"")"),0)</f>
        <v>0</v>
      </c>
      <c r="CE70" s="97">
        <f ca="1">IFERROR(__xludf.DUMMYFUNCTION("IMPORTRANGE(""https://docs.google.com/spreadsheets/d/1xmPlrr1QbdSIKvl1dWUl9K4PjAfSL9oeMr_37QVzcxc/edit?usp=sharing"",""สระบุรี!N235"")"),0)</f>
        <v>0</v>
      </c>
      <c r="CF70" s="98">
        <f t="shared" ca="1" si="128"/>
        <v>0</v>
      </c>
      <c r="CG70" s="97">
        <f ca="1">IFERROR(__xludf.DUMMYFUNCTION("IMPORTRANGE(""https://docs.google.com/spreadsheets/d/1xmPlrr1QbdSIKvl1dWUl9K4PjAfSL9oeMr_37QVzcxc/edit?usp=sharing"",""สระบุรี!L236"")"),0)</f>
        <v>0</v>
      </c>
      <c r="CH70" s="97">
        <f ca="1">IFERROR(__xludf.DUMMYFUNCTION("IMPORTRANGE(""https://docs.google.com/spreadsheets/d/1xmPlrr1QbdSIKvl1dWUl9K4PjAfSL9oeMr_37QVzcxc/edit?usp=sharing"",""สระบุรี!N236"")"),0)</f>
        <v>0</v>
      </c>
      <c r="CI70" s="98">
        <f t="shared" ca="1" si="130"/>
        <v>0</v>
      </c>
      <c r="CJ70" s="97">
        <f ca="1">IFERROR(__xludf.DUMMYFUNCTION("IMPORTRANGE(""https://docs.google.com/spreadsheets/d/1xmPlrr1QbdSIKvl1dWUl9K4PjAfSL9oeMr_37QVzcxc/edit?usp=sharing"",""สระบุรี!I238"")"),0)</f>
        <v>0</v>
      </c>
      <c r="CK70" s="97">
        <f ca="1">IFERROR(__xludf.DUMMYFUNCTION("IMPORTRANGE(""https://docs.google.com/spreadsheets/d/1xmPlrr1QbdSIKvl1dWUl9K4PjAfSL9oeMr_37QVzcxc/edit?usp=sharing"",""สระบุรี!J238"")"),0)</f>
        <v>0</v>
      </c>
      <c r="CL70" s="98">
        <f t="shared" ca="1" si="132"/>
        <v>0</v>
      </c>
      <c r="CM70" s="97">
        <f ca="1">IFERROR(__xludf.DUMMYFUNCTION("IMPORTRANGE(""https://docs.google.com/spreadsheets/d/1xmPlrr1QbdSIKvl1dWUl9K4PjAfSL9oeMr_37QVzcxc/edit?usp=sharing"",""สระบุรี!J240"")"),0)</f>
        <v>0</v>
      </c>
      <c r="CN70" s="97">
        <f ca="1">IFERROR(__xludf.DUMMYFUNCTION("IMPORTRANGE(""https://docs.google.com/spreadsheets/d/1xmPlrr1QbdSIKvl1dWUl9K4PjAfSL9oeMr_37QVzcxc/edit?usp=sharing"",""สระบุรี!J241"")"),0)</f>
        <v>0</v>
      </c>
    </row>
    <row r="71" spans="1:92" ht="21" customHeight="1" x14ac:dyDescent="0.3">
      <c r="A71" s="89">
        <v>19</v>
      </c>
      <c r="B71" s="90" t="s">
        <v>97</v>
      </c>
      <c r="C71" s="174">
        <f t="shared" ca="1" si="80"/>
        <v>84200</v>
      </c>
      <c r="D71" s="175">
        <f t="shared" ca="1" si="184"/>
        <v>84200</v>
      </c>
      <c r="E71" s="176">
        <f ca="1">IFERROR(__xludf.DUMMYFUNCTION("IMPORTRANGE(""https://docs.google.com/spreadsheets/d/1-uDff_7J0KD5mKrp0Vvzr7lt3OU09vwQwhkpOPPYv2Y/edit?usp=sharing"",""งบพรบ!CV71"")"),73700)</f>
        <v>73700</v>
      </c>
      <c r="F71" s="176">
        <f ca="1">IFERROR(__xludf.DUMMYFUNCTION("IMPORTRANGE(""https://docs.google.com/spreadsheets/d/1-uDff_7J0KD5mKrp0Vvzr7lt3OU09vwQwhkpOPPYv2Y/edit?usp=sharing"",""งบพรบ!CW71"")"),10500)</f>
        <v>10500</v>
      </c>
      <c r="G71" s="176">
        <f ca="1">IFERROR(__xludf.DUMMYFUNCTION("IMPORTRANGE(""https://docs.google.com/spreadsheets/d/1-uDff_7J0KD5mKrp0Vvzr7lt3OU09vwQwhkpOPPYv2Y/edit?usp=sharing"",""งบพรบ!CX71"")"),0)</f>
        <v>0</v>
      </c>
      <c r="H71" s="176">
        <f ca="1">IFERROR(__xludf.DUMMYFUNCTION("IMPORTRANGE(""https://docs.google.com/spreadsheets/d/1-uDff_7J0KD5mKrp0Vvzr7lt3OU09vwQwhkpOPPYv2Y/edit?usp=sharing"",""งบพรบ!CZ71"")"),84200)</f>
        <v>84200</v>
      </c>
      <c r="I71" s="176">
        <f ca="1">IFERROR(__xludf.DUMMYFUNCTION("IMPORTRANGE(""https://docs.google.com/spreadsheets/d/1-uDff_7J0KD5mKrp0Vvzr7lt3OU09vwQwhkpOPPYv2Y/edit?usp=sharing"",""งบพรบ!DA71"")"),0)</f>
        <v>0</v>
      </c>
      <c r="J71" s="176">
        <f t="shared" ca="1" si="82"/>
        <v>18472.32</v>
      </c>
      <c r="K71" s="179">
        <f t="shared" ca="1" si="83"/>
        <v>21.938622327790974</v>
      </c>
      <c r="L71" s="176">
        <f ca="1">IFERROR(__xludf.DUMMYFUNCTION("IMPORTRANGE(""https://docs.google.com/spreadsheets/d/1-uDff_7J0KD5mKrp0Vvzr7lt3OU09vwQwhkpOPPYv2Y/edit?usp=sharing"",""งบพรบ!DB71"")"),18472.32)</f>
        <v>18472.32</v>
      </c>
      <c r="M71" s="87">
        <f t="shared" ca="1" si="84"/>
        <v>21.938622327790974</v>
      </c>
      <c r="N71" s="87">
        <f t="shared" ca="1" si="85"/>
        <v>21.938622327790974</v>
      </c>
      <c r="O71" s="86">
        <f ca="1">IFERROR(__xludf.DUMMYFUNCTION("IMPORTRANGE(""https://docs.google.com/spreadsheets/d/1-uDff_7J0KD5mKrp0Vvzr7lt3OU09vwQwhkpOPPYv2Y/edit?usp=sharing"",""งบพรบ!DC71"")"),0)</f>
        <v>0</v>
      </c>
      <c r="P71" s="86">
        <f t="shared" ca="1" si="86"/>
        <v>0</v>
      </c>
      <c r="Q71" s="87">
        <f t="shared" ca="1" si="87"/>
        <v>0</v>
      </c>
      <c r="R71" s="241">
        <f ca="1">IFERROR(__xludf.DUMMYFUNCTION("IMPORTRANGE(""https://docs.google.com/spreadsheets/d/1j51vR6CYVGhABJpv6tkstgok82RLpXieLzW1yOY5rHw/edit?usp=sharing"",""สิงห์บุรี!Q186"")"),0)</f>
        <v>0</v>
      </c>
      <c r="S71" s="242">
        <f ca="1">IFERROR(__xludf.DUMMYFUNCTION("IMPORTRANGE(""https://docs.google.com/spreadsheets/d/1j51vR6CYVGhABJpv6tkstgok82RLpXieLzW1yOY5rHw/edit?usp=sharing"",""สิงห์บุรี!R186"")"),0)</f>
        <v>0</v>
      </c>
      <c r="T71" s="242">
        <f ca="1">IFERROR(__xludf.DUMMYFUNCTION("IMPORTRANGE(""https://docs.google.com/spreadsheets/d/1j51vR6CYVGhABJpv6tkstgok82RLpXieLzW1yOY5rHw/edit?usp=sharing"",""สิงห์บุรี!S186"")"),0)</f>
        <v>0</v>
      </c>
      <c r="U71" s="243">
        <f t="shared" ca="1" si="89"/>
        <v>0</v>
      </c>
      <c r="V71" s="243">
        <f t="shared" ca="1" si="90"/>
        <v>0</v>
      </c>
      <c r="W71" s="97">
        <f ca="1">IFERROR(__xludf.DUMMYFUNCTION("IMPORTRANGE(""https://docs.google.com/spreadsheets/d/1j51vR6CYVGhABJpv6tkstgok82RLpXieLzW1yOY5rHw/edit?usp=sharing"",""สิงห์บุรี!L196"")"),6000)</f>
        <v>6000</v>
      </c>
      <c r="X71" s="97">
        <f ca="1">IFERROR(__xludf.DUMMYFUNCTION("IMPORTRANGE(""https://docs.google.com/spreadsheets/d/1j51vR6CYVGhABJpv6tkstgok82RLpXieLzW1yOY5rHw/edit?usp=sharing"",""สิงห์บุรี!N196"")"),0)</f>
        <v>0</v>
      </c>
      <c r="Y71" s="98">
        <f t="shared" ca="1" si="92"/>
        <v>0</v>
      </c>
      <c r="Z71" s="97">
        <f ca="1">IFERROR(__xludf.DUMMYFUNCTION("IMPORTRANGE(""https://docs.google.com/spreadsheets/d/1j51vR6CYVGhABJpv6tkstgok82RLpXieLzW1yOY5rHw/edit?usp=sharing"",""สิงห์บุรี!I198"")"),4)</f>
        <v>4</v>
      </c>
      <c r="AA71" s="97">
        <f ca="1">IFERROR(__xludf.DUMMYFUNCTION("IMPORTRANGE(""https://docs.google.com/spreadsheets/d/1j51vR6CYVGhABJpv6tkstgok82RLpXieLzW1yOY5rHw/edit?usp=sharing"",""สิงห์บุรี!J198"")"),1)</f>
        <v>1</v>
      </c>
      <c r="AB71" s="98">
        <f t="shared" ca="1" si="94"/>
        <v>25</v>
      </c>
      <c r="AC71" s="97">
        <f ca="1">IFERROR(__xludf.DUMMYFUNCTION("IMPORTRANGE(""https://docs.google.com/spreadsheets/d/1j51vR6CYVGhABJpv6tkstgok82RLpXieLzW1yOY5rHw/edit?usp=sharing"",""สิงห์บุรี!J199"")"),38)</f>
        <v>38</v>
      </c>
      <c r="AD71" s="97">
        <f ca="1">IFERROR(__xludf.DUMMYFUNCTION("IMPORTRANGE(""https://docs.google.com/spreadsheets/d/1j51vR6CYVGhABJpv6tkstgok82RLpXieLzW1yOY5rHw/edit?usp=sharing"",""สิงห์บุรี!J200"")"),38)</f>
        <v>38</v>
      </c>
      <c r="AE71" s="97">
        <f ca="1">IFERROR(__xludf.DUMMYFUNCTION("IMPORTRANGE(""https://docs.google.com/spreadsheets/d/1j51vR6CYVGhABJpv6tkstgok82RLpXieLzW1yOY5rHw/edit?usp=sharing"",""สิงห์บุรี!J201"")"),0)</f>
        <v>0</v>
      </c>
      <c r="AF71" s="97">
        <f ca="1">IFERROR(__xludf.DUMMYFUNCTION("IMPORTRANGE(""https://docs.google.com/spreadsheets/d/1j51vR6CYVGhABJpv6tkstgok82RLpXieLzW1yOY5rHw/edit?usp=sharing"",""สิงห์บุรี!L204"")"),0)</f>
        <v>0</v>
      </c>
      <c r="AG71" s="97">
        <f ca="1">IFERROR(__xludf.DUMMYFUNCTION("IMPORTRANGE(""https://docs.google.com/spreadsheets/d/1j51vR6CYVGhABJpv6tkstgok82RLpXieLzW1yOY5rHw/edit?usp=sharing"",""สิงห์บุรี!N204"")"),0)</f>
        <v>0</v>
      </c>
      <c r="AH71" s="98">
        <f t="shared" ca="1" si="96"/>
        <v>0</v>
      </c>
      <c r="AI71" s="97">
        <f ca="1">IFERROR(__xludf.DUMMYFUNCTION("IMPORTRANGE(""https://docs.google.com/spreadsheets/d/1j51vR6CYVGhABJpv6tkstgok82RLpXieLzW1yOY5rHw/edit?usp=sharing"",""สิงห์บุรี!L206"")"),0)</f>
        <v>0</v>
      </c>
      <c r="AJ71" s="97">
        <f ca="1">IFERROR(__xludf.DUMMYFUNCTION("IMPORTRANGE(""https://docs.google.com/spreadsheets/d/1j51vR6CYVGhABJpv6tkstgok82RLpXieLzW1yOY5rHw/edit?usp=sharing"",""สิงห์บุรี!N206"")"),0)</f>
        <v>0</v>
      </c>
      <c r="AK71" s="98">
        <f t="shared" ca="1" si="98"/>
        <v>0</v>
      </c>
      <c r="AL71" s="97">
        <f ca="1">IFERROR(__xludf.DUMMYFUNCTION("IMPORTRANGE(""https://docs.google.com/spreadsheets/d/1j51vR6CYVGhABJpv6tkstgok82RLpXieLzW1yOY5rHw/edit?usp=sharing"",""สิงห์บุรี!L207"")"),0)</f>
        <v>0</v>
      </c>
      <c r="AM71" s="97">
        <f ca="1">IFERROR(__xludf.DUMMYFUNCTION("IMPORTRANGE(""https://docs.google.com/spreadsheets/d/1j51vR6CYVGhABJpv6tkstgok82RLpXieLzW1yOY5rHw/edit?usp=sharing"",""สิงห์บุรี!N207"")"),0)</f>
        <v>0</v>
      </c>
      <c r="AN71" s="98">
        <f t="shared" ca="1" si="100"/>
        <v>0</v>
      </c>
      <c r="AO71" s="97">
        <f ca="1">IFERROR(__xludf.DUMMYFUNCTION("IMPORTRANGE(""https://docs.google.com/spreadsheets/d/1j51vR6CYVGhABJpv6tkstgok82RLpXieLzW1yOY5rHw/edit?usp=sharing"",""สิงห์บุรี!I209"")"),0)</f>
        <v>0</v>
      </c>
      <c r="AP71" s="97">
        <f ca="1">IFERROR(__xludf.DUMMYFUNCTION("IMPORTRANGE(""https://docs.google.com/spreadsheets/d/1j51vR6CYVGhABJpv6tkstgok82RLpXieLzW1yOY5rHw/edit?usp=sharing"",""สิงห์บุรี!J209"")"),0)</f>
        <v>0</v>
      </c>
      <c r="AQ71" s="98">
        <f t="shared" ca="1" si="102"/>
        <v>0</v>
      </c>
      <c r="AR71" s="97">
        <f ca="1">IFERROR(__xludf.DUMMYFUNCTION("IMPORTRANGE(""https://docs.google.com/spreadsheets/d/1j51vR6CYVGhABJpv6tkstgok82RLpXieLzW1yOY5rHw/edit?usp=sharing"",""สิงห์บุรี!J211"")"),0)</f>
        <v>0</v>
      </c>
      <c r="AS71" s="97">
        <f ca="1">IFERROR(__xludf.DUMMYFUNCTION("IMPORTRANGE(""https://docs.google.com/spreadsheets/d/1j51vR6CYVGhABJpv6tkstgok82RLpXieLzW1yOY5rHw/edit?usp=sharing"",""สิงห์บุรี!J212"")"),0)</f>
        <v>0</v>
      </c>
      <c r="AT71" s="97">
        <f ca="1">IFERROR(__xludf.DUMMYFUNCTION("IMPORTRANGE(""https://docs.google.com/spreadsheets/d/1j51vR6CYVGhABJpv6tkstgok82RLpXieLzW1yOY5rHw/edit?usp=sharing"",""สิงห์บุรี!L215"")"),0)</f>
        <v>0</v>
      </c>
      <c r="AU71" s="97">
        <f ca="1">IFERROR(__xludf.DUMMYFUNCTION("IMPORTRANGE(""https://docs.google.com/spreadsheets/d/1j51vR6CYVGhABJpv6tkstgok82RLpXieLzW1yOY5rHw/edit?usp=sharing"",""สิงห์บุรี!N215"")"),0)</f>
        <v>0</v>
      </c>
      <c r="AV71" s="98">
        <f t="shared" ca="1" si="104"/>
        <v>0</v>
      </c>
      <c r="AW71" s="97">
        <f ca="1">IFERROR(__xludf.DUMMYFUNCTION("IMPORTRANGE(""https://docs.google.com/spreadsheets/d/1j51vR6CYVGhABJpv6tkstgok82RLpXieLzW1yOY5rHw/edit?usp=sharing"",""สิงห์บุรี!L216"")"),0)</f>
        <v>0</v>
      </c>
      <c r="AX71" s="97">
        <f ca="1">IFERROR(__xludf.DUMMYFUNCTION("IMPORTRANGE(""https://docs.google.com/spreadsheets/d/1j51vR6CYVGhABJpv6tkstgok82RLpXieLzW1yOY5rHw/edit?usp=sharing"",""สิงห์บุรี!N216"")"),0)</f>
        <v>0</v>
      </c>
      <c r="AY71" s="98">
        <f t="shared" ca="1" si="106"/>
        <v>0</v>
      </c>
      <c r="AZ71" s="97">
        <f ca="1">IFERROR(__xludf.DUMMYFUNCTION("IMPORTRANGE(""https://docs.google.com/spreadsheets/d/1j51vR6CYVGhABJpv6tkstgok82RLpXieLzW1yOY5rHw/edit?usp=sharing"",""สิงห์บุรี!L217"")"),0)</f>
        <v>0</v>
      </c>
      <c r="BA71" s="97">
        <f ca="1">IFERROR(__xludf.DUMMYFUNCTION("IMPORTRANGE(""https://docs.google.com/spreadsheets/d/1j51vR6CYVGhABJpv6tkstgok82RLpXieLzW1yOY5rHw/edit?usp=sharing"",""สิงห์บุรี!N217"")"),0)</f>
        <v>0</v>
      </c>
      <c r="BB71" s="98">
        <f t="shared" ca="1" si="108"/>
        <v>0</v>
      </c>
      <c r="BC71" s="97">
        <f ca="1">IFERROR(__xludf.DUMMYFUNCTION("IMPORTRANGE(""https://docs.google.com/spreadsheets/d/1j51vR6CYVGhABJpv6tkstgok82RLpXieLzW1yOY5rHw/edit?usp=sharing"",""สิงห์บุรี!I219"")"),0)</f>
        <v>0</v>
      </c>
      <c r="BD71" s="97">
        <f ca="1">IFERROR(__xludf.DUMMYFUNCTION("IMPORTRANGE(""https://docs.google.com/spreadsheets/d/1j51vR6CYVGhABJpv6tkstgok82RLpXieLzW1yOY5rHw/edit?usp=sharing"",""สิงห์บุรี!J219"")"),0)</f>
        <v>0</v>
      </c>
      <c r="BE71" s="98">
        <f t="shared" ca="1" si="110"/>
        <v>0</v>
      </c>
      <c r="BF71" s="97">
        <f ca="1">IFERROR(__xludf.DUMMYFUNCTION("IMPORTRANGE(""https://docs.google.com/spreadsheets/d/1j51vR6CYVGhABJpv6tkstgok82RLpXieLzW1yOY5rHw/edit?usp=sharing"",""สิงห์บุรี!I220"")"),0)</f>
        <v>0</v>
      </c>
      <c r="BG71" s="97">
        <f ca="1">IFERROR(__xludf.DUMMYFUNCTION("IMPORTRANGE(""https://docs.google.com/spreadsheets/d/1j51vR6CYVGhABJpv6tkstgok82RLpXieLzW1yOY5rHw/edit?usp=sharing"",""สิงห์บุรี!J220"")"),0)</f>
        <v>0</v>
      </c>
      <c r="BH71" s="98">
        <f t="shared" ca="1" si="112"/>
        <v>0</v>
      </c>
      <c r="BI71" s="97">
        <f ca="1">IFERROR(__xludf.DUMMYFUNCTION("IMPORTRANGE(""https://docs.google.com/spreadsheets/d/1j51vR6CYVGhABJpv6tkstgok82RLpXieLzW1yOY5rHw/edit?usp=sharing"",""สิงห์บุรี!L223"")"),3000)</f>
        <v>3000</v>
      </c>
      <c r="BJ71" s="97">
        <f ca="1">IFERROR(__xludf.DUMMYFUNCTION("IMPORTRANGE(""https://docs.google.com/spreadsheets/d/1j51vR6CYVGhABJpv6tkstgok82RLpXieLzW1yOY5rHw/edit?usp=sharing"",""สิงห์บุรี!N223"")"),0)</f>
        <v>0</v>
      </c>
      <c r="BK71" s="98">
        <f t="shared" ca="1" si="114"/>
        <v>0</v>
      </c>
      <c r="BL71" s="97">
        <f ca="1">IFERROR(__xludf.DUMMYFUNCTION("IMPORTRANGE(""https://docs.google.com/spreadsheets/d/1j51vR6CYVGhABJpv6tkstgok82RLpXieLzW1yOY5rHw/edit?usp=sharing"",""สิงห์บุรี!L224"")"),1500)</f>
        <v>1500</v>
      </c>
      <c r="BM71" s="97">
        <f ca="1">IFERROR(__xludf.DUMMYFUNCTION("IMPORTRANGE(""https://docs.google.com/spreadsheets/d/1j51vR6CYVGhABJpv6tkstgok82RLpXieLzW1yOY5rHw/edit?usp=sharing"",""สิงห์บุรี!N224"")"),0)</f>
        <v>0</v>
      </c>
      <c r="BN71" s="98">
        <f t="shared" ca="1" si="116"/>
        <v>0</v>
      </c>
      <c r="BO71" s="97">
        <f ca="1">IFERROR(__xludf.DUMMYFUNCTION("IMPORTRANGE(""https://docs.google.com/spreadsheets/d/1j51vR6CYVGhABJpv6tkstgok82RLpXieLzW1yOY5rHw/edit?usp=sharing"",""สิงห์บุรี!I228"")"),12000)</f>
        <v>12000</v>
      </c>
      <c r="BP71" s="97">
        <f ca="1">IFERROR(__xludf.DUMMYFUNCTION("IMPORTRANGE(""https://docs.google.com/spreadsheets/d/1j51vR6CYVGhABJpv6tkstgok82RLpXieLzW1yOY5rHw/edit?usp=sharing"",""สิงห์บุรี!J228"")"),0)</f>
        <v>0</v>
      </c>
      <c r="BQ71" s="98">
        <f t="shared" ca="1" si="118"/>
        <v>0</v>
      </c>
      <c r="BR71" s="97">
        <f ca="1">IFERROR(__xludf.DUMMYFUNCTION("IMPORTRANGE(""https://docs.google.com/spreadsheets/d/1j51vR6CYVGhABJpv6tkstgok82RLpXieLzW1yOY5rHw/edit?usp=sharing"",""สิงห์บุรี!I229"")"),12000)</f>
        <v>12000</v>
      </c>
      <c r="BS71" s="97">
        <f ca="1">IFERROR(__xludf.DUMMYFUNCTION("IMPORTRANGE(""https://docs.google.com/spreadsheets/d/1j51vR6CYVGhABJpv6tkstgok82RLpXieLzW1yOY5rHw/edit?usp=sharing"",""สิงห์บุรี!J229"")"),0)</f>
        <v>0</v>
      </c>
      <c r="BT71" s="98">
        <f t="shared" ca="1" si="120"/>
        <v>0</v>
      </c>
      <c r="BU71" s="97">
        <f ca="1">IFERROR(__xludf.DUMMYFUNCTION("IMPORTRANGE(""https://docs.google.com/spreadsheets/d/1j51vR6CYVGhABJpv6tkstgok82RLpXieLzW1yOY5rHw/edit?usp=sharing"",""สิงห์บุรี!I230"")"),0)</f>
        <v>0</v>
      </c>
      <c r="BV71" s="97">
        <f ca="1">IFERROR(__xludf.DUMMYFUNCTION("IMPORTRANGE(""https://docs.google.com/spreadsheets/d/1j51vR6CYVGhABJpv6tkstgok82RLpXieLzW1yOY5rHw/edit?usp=sharing"",""สิงห์บุรี!J230"")"),0)</f>
        <v>0</v>
      </c>
      <c r="BW71" s="98">
        <f t="shared" ca="1" si="122"/>
        <v>0</v>
      </c>
      <c r="BX71" s="97">
        <f ca="1">IFERROR(__xludf.DUMMYFUNCTION("IMPORTRANGE(""https://docs.google.com/spreadsheets/d/1j51vR6CYVGhABJpv6tkstgok82RLpXieLzW1yOY5rHw/edit?usp=sharing"",""สิงห์บุรี!L233"")"),0)</f>
        <v>0</v>
      </c>
      <c r="BY71" s="97">
        <f ca="1">IFERROR(__xludf.DUMMYFUNCTION("IMPORTRANGE(""https://docs.google.com/spreadsheets/d/1j51vR6CYVGhABJpv6tkstgok82RLpXieLzW1yOY5rHw/edit?usp=sharing"",""สิงห์บุรี!N233"")"),0)</f>
        <v>0</v>
      </c>
      <c r="BZ71" s="98">
        <f t="shared" ca="1" si="124"/>
        <v>0</v>
      </c>
      <c r="CA71" s="97">
        <f ca="1">IFERROR(__xludf.DUMMYFUNCTION("IMPORTRANGE(""https://docs.google.com/spreadsheets/d/1j51vR6CYVGhABJpv6tkstgok82RLpXieLzW1yOY5rHw/edit?usp=sharing"",""สิงห์บุรี!L234"")"),0)</f>
        <v>0</v>
      </c>
      <c r="CB71" s="97">
        <f ca="1">IFERROR(__xludf.DUMMYFUNCTION("IMPORTRANGE(""https://docs.google.com/spreadsheets/d/1j51vR6CYVGhABJpv6tkstgok82RLpXieLzW1yOY5rHw/edit?usp=sharing"",""สิงห์บุรี!N234"")"),0)</f>
        <v>0</v>
      </c>
      <c r="CC71" s="98">
        <f t="shared" ca="1" si="126"/>
        <v>0</v>
      </c>
      <c r="CD71" s="97">
        <f ca="1">IFERROR(__xludf.DUMMYFUNCTION("IMPORTRANGE(""https://docs.google.com/spreadsheets/d/1j51vR6CYVGhABJpv6tkstgok82RLpXieLzW1yOY5rHw/edit?usp=sharing"",""สิงห์บุรี!L235"")"),0)</f>
        <v>0</v>
      </c>
      <c r="CE71" s="97">
        <f ca="1">IFERROR(__xludf.DUMMYFUNCTION("IMPORTRANGE(""https://docs.google.com/spreadsheets/d/1j51vR6CYVGhABJpv6tkstgok82RLpXieLzW1yOY5rHw/edit?usp=sharing"",""สิงห์บุรี!N235"")"),0)</f>
        <v>0</v>
      </c>
      <c r="CF71" s="98">
        <f t="shared" ca="1" si="128"/>
        <v>0</v>
      </c>
      <c r="CG71" s="97">
        <f ca="1">IFERROR(__xludf.DUMMYFUNCTION("IMPORTRANGE(""https://docs.google.com/spreadsheets/d/1j51vR6CYVGhABJpv6tkstgok82RLpXieLzW1yOY5rHw/edit?usp=sharing"",""สิงห์บุรี!L236"")"),0)</f>
        <v>0</v>
      </c>
      <c r="CH71" s="97">
        <f ca="1">IFERROR(__xludf.DUMMYFUNCTION("IMPORTRANGE(""https://docs.google.com/spreadsheets/d/1j51vR6CYVGhABJpv6tkstgok82RLpXieLzW1yOY5rHw/edit?usp=sharing"",""สิงห์บุรี!N236"")"),0)</f>
        <v>0</v>
      </c>
      <c r="CI71" s="98">
        <f t="shared" ca="1" si="130"/>
        <v>0</v>
      </c>
      <c r="CJ71" s="97">
        <f ca="1">IFERROR(__xludf.DUMMYFUNCTION("IMPORTRANGE(""https://docs.google.com/spreadsheets/d/1j51vR6CYVGhABJpv6tkstgok82RLpXieLzW1yOY5rHw/edit?usp=sharing"",""สิงห์บุรี!I238"")"),0)</f>
        <v>0</v>
      </c>
      <c r="CK71" s="97">
        <f ca="1">IFERROR(__xludf.DUMMYFUNCTION("IMPORTRANGE(""https://docs.google.com/spreadsheets/d/1j51vR6CYVGhABJpv6tkstgok82RLpXieLzW1yOY5rHw/edit?usp=sharing"",""สิงห์บุรี!J238"")"),0)</f>
        <v>0</v>
      </c>
      <c r="CL71" s="98">
        <f t="shared" ca="1" si="132"/>
        <v>0</v>
      </c>
      <c r="CM71" s="97">
        <f ca="1">IFERROR(__xludf.DUMMYFUNCTION("IMPORTRANGE(""https://docs.google.com/spreadsheets/d/1j51vR6CYVGhABJpv6tkstgok82RLpXieLzW1yOY5rHw/edit?usp=sharing"",""สิงห์บุรี!J240"")"),0)</f>
        <v>0</v>
      </c>
      <c r="CN71" s="97">
        <f ca="1">IFERROR(__xludf.DUMMYFUNCTION("IMPORTRANGE(""https://docs.google.com/spreadsheets/d/1j51vR6CYVGhABJpv6tkstgok82RLpXieLzW1yOY5rHw/edit?usp=sharing"",""สิงห์บุรี!J241"")"),0)</f>
        <v>0</v>
      </c>
    </row>
    <row r="72" spans="1:92" ht="21" customHeight="1" x14ac:dyDescent="0.3">
      <c r="A72" s="89">
        <v>20</v>
      </c>
      <c r="B72" s="90" t="s">
        <v>98</v>
      </c>
      <c r="C72" s="174">
        <f t="shared" ca="1" si="80"/>
        <v>23500</v>
      </c>
      <c r="D72" s="175">
        <f t="shared" ca="1" si="184"/>
        <v>23500</v>
      </c>
      <c r="E72" s="176">
        <f ca="1">IFERROR(__xludf.DUMMYFUNCTION("IMPORTRANGE(""https://docs.google.com/spreadsheets/d/1-uDff_7J0KD5mKrp0Vvzr7lt3OU09vwQwhkpOPPYv2Y/edit?usp=sharing"",""งบพรบ!CV72"")"),0)</f>
        <v>0</v>
      </c>
      <c r="F72" s="176">
        <f ca="1">IFERROR(__xludf.DUMMYFUNCTION("IMPORTRANGE(""https://docs.google.com/spreadsheets/d/1-uDff_7J0KD5mKrp0Vvzr7lt3OU09vwQwhkpOPPYv2Y/edit?usp=sharing"",""งบพรบ!CW72"")"),23500)</f>
        <v>23500</v>
      </c>
      <c r="G72" s="176">
        <f ca="1">IFERROR(__xludf.DUMMYFUNCTION("IMPORTRANGE(""https://docs.google.com/spreadsheets/d/1-uDff_7J0KD5mKrp0Vvzr7lt3OU09vwQwhkpOPPYv2Y/edit?usp=sharing"",""งบพรบ!CX72"")"),0)</f>
        <v>0</v>
      </c>
      <c r="H72" s="176">
        <f ca="1">IFERROR(__xludf.DUMMYFUNCTION("IMPORTRANGE(""https://docs.google.com/spreadsheets/d/1-uDff_7J0KD5mKrp0Vvzr7lt3OU09vwQwhkpOPPYv2Y/edit?usp=sharing"",""งบพรบ!CZ72"")"),23500)</f>
        <v>23500</v>
      </c>
      <c r="I72" s="176">
        <f ca="1">IFERROR(__xludf.DUMMYFUNCTION("IMPORTRANGE(""https://docs.google.com/spreadsheets/d/1-uDff_7J0KD5mKrp0Vvzr7lt3OU09vwQwhkpOPPYv2Y/edit?usp=sharing"",""งบพรบ!DA72"")"),0)</f>
        <v>0</v>
      </c>
      <c r="J72" s="176">
        <f t="shared" ca="1" si="82"/>
        <v>0</v>
      </c>
      <c r="K72" s="179">
        <f t="shared" ca="1" si="83"/>
        <v>0</v>
      </c>
      <c r="L72" s="176">
        <f ca="1">IFERROR(__xludf.DUMMYFUNCTION("IMPORTRANGE(""https://docs.google.com/spreadsheets/d/1-uDff_7J0KD5mKrp0Vvzr7lt3OU09vwQwhkpOPPYv2Y/edit?usp=sharing"",""งบพรบ!DB72"")"),0)</f>
        <v>0</v>
      </c>
      <c r="M72" s="87">
        <f t="shared" ca="1" si="84"/>
        <v>0</v>
      </c>
      <c r="N72" s="87">
        <f t="shared" ca="1" si="85"/>
        <v>0</v>
      </c>
      <c r="O72" s="86">
        <f ca="1">IFERROR(__xludf.DUMMYFUNCTION("IMPORTRANGE(""https://docs.google.com/spreadsheets/d/1-uDff_7J0KD5mKrp0Vvzr7lt3OU09vwQwhkpOPPYv2Y/edit?usp=sharing"",""งบพรบ!DC72"")"),0)</f>
        <v>0</v>
      </c>
      <c r="P72" s="86">
        <f t="shared" ca="1" si="86"/>
        <v>0</v>
      </c>
      <c r="Q72" s="87">
        <f t="shared" ca="1" si="87"/>
        <v>0</v>
      </c>
      <c r="R72" s="241">
        <f ca="1">IFERROR(__xludf.DUMMYFUNCTION("IMPORTRANGE(""https://docs.google.com/spreadsheets/d/1H1EalTWKUSzO4Z1-1CwzoDUaVffgrThEBe2sl74kKG0/edit?usp=sharing"",""สุพรรณบุรี!Q186"")"),14000)</f>
        <v>14000</v>
      </c>
      <c r="S72" s="242">
        <f ca="1">IFERROR(__xludf.DUMMYFUNCTION("IMPORTRANGE(""https://docs.google.com/spreadsheets/d/1H1EalTWKUSzO4Z1-1CwzoDUaVffgrThEBe2sl74kKG0/edit?usp=sharing"",""สุพรรณบุรี!R186"")"),0)</f>
        <v>0</v>
      </c>
      <c r="T72" s="242">
        <f ca="1">IFERROR(__xludf.DUMMYFUNCTION("IMPORTRANGE(""https://docs.google.com/spreadsheets/d/1H1EalTWKUSzO4Z1-1CwzoDUaVffgrThEBe2sl74kKG0/edit?usp=sharing"",""สุพรรณบุรี!S186"")"),0)</f>
        <v>0</v>
      </c>
      <c r="U72" s="243">
        <f t="shared" ca="1" si="89"/>
        <v>0</v>
      </c>
      <c r="V72" s="243">
        <f t="shared" ca="1" si="90"/>
        <v>0</v>
      </c>
      <c r="W72" s="97">
        <f ca="1">IFERROR(__xludf.DUMMYFUNCTION("IMPORTRANGE(""https://docs.google.com/spreadsheets/d/1H1EalTWKUSzO4Z1-1CwzoDUaVffgrThEBe2sl74kKG0/edit?usp=sharing"",""สุพรรณบุรี!L196"")"),6000)</f>
        <v>6000</v>
      </c>
      <c r="X72" s="97">
        <f ca="1">IFERROR(__xludf.DUMMYFUNCTION("IMPORTRANGE(""https://docs.google.com/spreadsheets/d/1H1EalTWKUSzO4Z1-1CwzoDUaVffgrThEBe2sl74kKG0/edit?usp=sharing"",""สุพรรณบุรี!N196"")"),0)</f>
        <v>0</v>
      </c>
      <c r="Y72" s="98">
        <f t="shared" ca="1" si="92"/>
        <v>0</v>
      </c>
      <c r="Z72" s="97">
        <f ca="1">IFERROR(__xludf.DUMMYFUNCTION("IMPORTRANGE(""https://docs.google.com/spreadsheets/d/1H1EalTWKUSzO4Z1-1CwzoDUaVffgrThEBe2sl74kKG0/edit?usp=sharing"",""สุพรรณบุรี!I198"")"),4)</f>
        <v>4</v>
      </c>
      <c r="AA72" s="97">
        <f ca="1">IFERROR(__xludf.DUMMYFUNCTION("IMPORTRANGE(""https://docs.google.com/spreadsheets/d/1H1EalTWKUSzO4Z1-1CwzoDUaVffgrThEBe2sl74kKG0/edit?usp=sharing"",""สุพรรณบุรี!J198"")"),0)</f>
        <v>0</v>
      </c>
      <c r="AB72" s="98">
        <f t="shared" ca="1" si="94"/>
        <v>0</v>
      </c>
      <c r="AC72" s="97">
        <f ca="1">IFERROR(__xludf.DUMMYFUNCTION("IMPORTRANGE(""https://docs.google.com/spreadsheets/d/1H1EalTWKUSzO4Z1-1CwzoDUaVffgrThEBe2sl74kKG0/edit?usp=sharing"",""สุพรรณบุรี!J199"")"),0)</f>
        <v>0</v>
      </c>
      <c r="AD72" s="97">
        <f ca="1">IFERROR(__xludf.DUMMYFUNCTION("IMPORTRANGE(""https://docs.google.com/spreadsheets/d/1H1EalTWKUSzO4Z1-1CwzoDUaVffgrThEBe2sl74kKG0/edit?usp=sharing"",""สุพรรณบุรี!J200"")"),0)</f>
        <v>0</v>
      </c>
      <c r="AE72" s="97">
        <f ca="1">IFERROR(__xludf.DUMMYFUNCTION("IMPORTRANGE(""https://docs.google.com/spreadsheets/d/1H1EalTWKUSzO4Z1-1CwzoDUaVffgrThEBe2sl74kKG0/edit?usp=sharing"",""สุพรรณบุรี!J201"")"),0)</f>
        <v>0</v>
      </c>
      <c r="AF72" s="97">
        <f ca="1">IFERROR(__xludf.DUMMYFUNCTION("IMPORTRANGE(""https://docs.google.com/spreadsheets/d/1H1EalTWKUSzO4Z1-1CwzoDUaVffgrThEBe2sl74kKG0/edit?usp=sharing"",""สุพรรณบุรี!L204"")"),1000)</f>
        <v>1000</v>
      </c>
      <c r="AG72" s="97">
        <f ca="1">IFERROR(__xludf.DUMMYFUNCTION("IMPORTRANGE(""https://docs.google.com/spreadsheets/d/1H1EalTWKUSzO4Z1-1CwzoDUaVffgrThEBe2sl74kKG0/edit?usp=sharing"",""สุพรรณบุรี!N204"")"),0)</f>
        <v>0</v>
      </c>
      <c r="AH72" s="98">
        <f t="shared" ca="1" si="96"/>
        <v>0</v>
      </c>
      <c r="AI72" s="97">
        <f ca="1">IFERROR(__xludf.DUMMYFUNCTION("IMPORTRANGE(""https://docs.google.com/spreadsheets/d/1H1EalTWKUSzO4Z1-1CwzoDUaVffgrThEBe2sl74kKG0/edit?usp=sharing"",""สุพรรณบุรี!L206"")"),8000)</f>
        <v>8000</v>
      </c>
      <c r="AJ72" s="97">
        <f ca="1">IFERROR(__xludf.DUMMYFUNCTION("IMPORTRANGE(""https://docs.google.com/spreadsheets/d/1H1EalTWKUSzO4Z1-1CwzoDUaVffgrThEBe2sl74kKG0/edit?usp=sharing"",""สุพรรณบุรี!N206"")"),0)</f>
        <v>0</v>
      </c>
      <c r="AK72" s="98">
        <f t="shared" ca="1" si="98"/>
        <v>0</v>
      </c>
      <c r="AL72" s="97">
        <f ca="1">IFERROR(__xludf.DUMMYFUNCTION("IMPORTRANGE(""https://docs.google.com/spreadsheets/d/1H1EalTWKUSzO4Z1-1CwzoDUaVffgrThEBe2sl74kKG0/edit?usp=sharing"",""สุพรรณบุรี!L207"")"),4000)</f>
        <v>4000</v>
      </c>
      <c r="AM72" s="97">
        <f ca="1">IFERROR(__xludf.DUMMYFUNCTION("IMPORTRANGE(""https://docs.google.com/spreadsheets/d/1H1EalTWKUSzO4Z1-1CwzoDUaVffgrThEBe2sl74kKG0/edit?usp=sharing"",""สุพรรณบุรี!N207"")"),0)</f>
        <v>0</v>
      </c>
      <c r="AN72" s="98">
        <f t="shared" ca="1" si="100"/>
        <v>0</v>
      </c>
      <c r="AO72" s="97">
        <f ca="1">IFERROR(__xludf.DUMMYFUNCTION("IMPORTRANGE(""https://docs.google.com/spreadsheets/d/1H1EalTWKUSzO4Z1-1CwzoDUaVffgrThEBe2sl74kKG0/edit?usp=sharing"",""สุพรรณบุรี!I209"")"),1)</f>
        <v>1</v>
      </c>
      <c r="AP72" s="97">
        <f ca="1">IFERROR(__xludf.DUMMYFUNCTION("IMPORTRANGE(""https://docs.google.com/spreadsheets/d/1H1EalTWKUSzO4Z1-1CwzoDUaVffgrThEBe2sl74kKG0/edit?usp=sharing"",""สุพรรณบุรี!J209"")"),0)</f>
        <v>0</v>
      </c>
      <c r="AQ72" s="98">
        <f t="shared" ca="1" si="102"/>
        <v>0</v>
      </c>
      <c r="AR72" s="97">
        <f ca="1">IFERROR(__xludf.DUMMYFUNCTION("IMPORTRANGE(""https://docs.google.com/spreadsheets/d/1H1EalTWKUSzO4Z1-1CwzoDUaVffgrThEBe2sl74kKG0/edit?usp=sharing"",""สุพรรณบุรี!J211"")"),0)</f>
        <v>0</v>
      </c>
      <c r="AS72" s="97">
        <f ca="1">IFERROR(__xludf.DUMMYFUNCTION("IMPORTRANGE(""https://docs.google.com/spreadsheets/d/1H1EalTWKUSzO4Z1-1CwzoDUaVffgrThEBe2sl74kKG0/edit?usp=sharing"",""สุพรรณบุรี!J212"")"),0)</f>
        <v>0</v>
      </c>
      <c r="AT72" s="97">
        <f ca="1">IFERROR(__xludf.DUMMYFUNCTION("IMPORTRANGE(""https://docs.google.com/spreadsheets/d/1H1EalTWKUSzO4Z1-1CwzoDUaVffgrThEBe2sl74kKG0/edit?usp=sharing"",""สุพรรณบุรี!L215"")"),0)</f>
        <v>0</v>
      </c>
      <c r="AU72" s="97">
        <f ca="1">IFERROR(__xludf.DUMMYFUNCTION("IMPORTRANGE(""https://docs.google.com/spreadsheets/d/1H1EalTWKUSzO4Z1-1CwzoDUaVffgrThEBe2sl74kKG0/edit?usp=sharing"",""สุพรรณบุรี!N215"")"),0)</f>
        <v>0</v>
      </c>
      <c r="AV72" s="98">
        <f t="shared" ca="1" si="104"/>
        <v>0</v>
      </c>
      <c r="AW72" s="97">
        <f ca="1">IFERROR(__xludf.DUMMYFUNCTION("IMPORTRANGE(""https://docs.google.com/spreadsheets/d/1H1EalTWKUSzO4Z1-1CwzoDUaVffgrThEBe2sl74kKG0/edit?usp=sharing"",""สุพรรณบุรี!L216"")"),0)</f>
        <v>0</v>
      </c>
      <c r="AX72" s="97">
        <f ca="1">IFERROR(__xludf.DUMMYFUNCTION("IMPORTRANGE(""https://docs.google.com/spreadsheets/d/1H1EalTWKUSzO4Z1-1CwzoDUaVffgrThEBe2sl74kKG0/edit?usp=sharing"",""สุพรรณบุรี!N216"")"),0)</f>
        <v>0</v>
      </c>
      <c r="AY72" s="98">
        <f t="shared" ca="1" si="106"/>
        <v>0</v>
      </c>
      <c r="AZ72" s="97">
        <f ca="1">IFERROR(__xludf.DUMMYFUNCTION("IMPORTRANGE(""https://docs.google.com/spreadsheets/d/1H1EalTWKUSzO4Z1-1CwzoDUaVffgrThEBe2sl74kKG0/edit?usp=sharing"",""สุพรรณบุรี!L217"")"),0)</f>
        <v>0</v>
      </c>
      <c r="BA72" s="97">
        <f ca="1">IFERROR(__xludf.DUMMYFUNCTION("IMPORTRANGE(""https://docs.google.com/spreadsheets/d/1H1EalTWKUSzO4Z1-1CwzoDUaVffgrThEBe2sl74kKG0/edit?usp=sharing"",""สุพรรณบุรี!N217"")"),0)</f>
        <v>0</v>
      </c>
      <c r="BB72" s="98">
        <f t="shared" ca="1" si="108"/>
        <v>0</v>
      </c>
      <c r="BC72" s="97">
        <f ca="1">IFERROR(__xludf.DUMMYFUNCTION("IMPORTRANGE(""https://docs.google.com/spreadsheets/d/1H1EalTWKUSzO4Z1-1CwzoDUaVffgrThEBe2sl74kKG0/edit?usp=sharing"",""สุพรรณบุรี!I219"")"),0)</f>
        <v>0</v>
      </c>
      <c r="BD72" s="97">
        <f ca="1">IFERROR(__xludf.DUMMYFUNCTION("IMPORTRANGE(""https://docs.google.com/spreadsheets/d/1H1EalTWKUSzO4Z1-1CwzoDUaVffgrThEBe2sl74kKG0/edit?usp=sharing"",""สุพรรณบุรี!J219"")"),0)</f>
        <v>0</v>
      </c>
      <c r="BE72" s="98">
        <f t="shared" ca="1" si="110"/>
        <v>0</v>
      </c>
      <c r="BF72" s="97">
        <f ca="1">IFERROR(__xludf.DUMMYFUNCTION("IMPORTRANGE(""https://docs.google.com/spreadsheets/d/1H1EalTWKUSzO4Z1-1CwzoDUaVffgrThEBe2sl74kKG0/edit?usp=sharing"",""สุพรรณบุรี!I220"")"),0)</f>
        <v>0</v>
      </c>
      <c r="BG72" s="97">
        <f ca="1">IFERROR(__xludf.DUMMYFUNCTION("IMPORTRANGE(""https://docs.google.com/spreadsheets/d/1H1EalTWKUSzO4Z1-1CwzoDUaVffgrThEBe2sl74kKG0/edit?usp=sharing"",""สุพรรณบุรี!J220"")"),0)</f>
        <v>0</v>
      </c>
      <c r="BH72" s="98">
        <f t="shared" ca="1" si="112"/>
        <v>0</v>
      </c>
      <c r="BI72" s="97">
        <f ca="1">IFERROR(__xludf.DUMMYFUNCTION("IMPORTRANGE(""https://docs.google.com/spreadsheets/d/1H1EalTWKUSzO4Z1-1CwzoDUaVffgrThEBe2sl74kKG0/edit?usp=sharing"",""สุพรรณบุรี!L223"")"),3000)</f>
        <v>3000</v>
      </c>
      <c r="BJ72" s="97">
        <f ca="1">IFERROR(__xludf.DUMMYFUNCTION("IMPORTRANGE(""https://docs.google.com/spreadsheets/d/1H1EalTWKUSzO4Z1-1CwzoDUaVffgrThEBe2sl74kKG0/edit?usp=sharing"",""สุพรรณบุรี!N223"")"),0)</f>
        <v>0</v>
      </c>
      <c r="BK72" s="98">
        <f t="shared" ca="1" si="114"/>
        <v>0</v>
      </c>
      <c r="BL72" s="97">
        <f ca="1">IFERROR(__xludf.DUMMYFUNCTION("IMPORTRANGE(""https://docs.google.com/spreadsheets/d/1H1EalTWKUSzO4Z1-1CwzoDUaVffgrThEBe2sl74kKG0/edit?usp=sharing"",""สุพรรณบุรี!L224"")"),1500)</f>
        <v>1500</v>
      </c>
      <c r="BM72" s="97">
        <f ca="1">IFERROR(__xludf.DUMMYFUNCTION("IMPORTRANGE(""https://docs.google.com/spreadsheets/d/1H1EalTWKUSzO4Z1-1CwzoDUaVffgrThEBe2sl74kKG0/edit?usp=sharing"",""สุพรรณบุรี!N224"")"),0)</f>
        <v>0</v>
      </c>
      <c r="BN72" s="98">
        <f t="shared" ca="1" si="116"/>
        <v>0</v>
      </c>
      <c r="BO72" s="97">
        <f ca="1">IFERROR(__xludf.DUMMYFUNCTION("IMPORTRANGE(""https://docs.google.com/spreadsheets/d/1H1EalTWKUSzO4Z1-1CwzoDUaVffgrThEBe2sl74kKG0/edit?usp=sharing"",""สุพรรณบุรี!I228"")"),20000)</f>
        <v>20000</v>
      </c>
      <c r="BP72" s="97">
        <f ca="1">IFERROR(__xludf.DUMMYFUNCTION("IMPORTRANGE(""https://docs.google.com/spreadsheets/d/1H1EalTWKUSzO4Z1-1CwzoDUaVffgrThEBe2sl74kKG0/edit?usp=sharing"",""สุพรรณบุรี!J228"")"),0)</f>
        <v>0</v>
      </c>
      <c r="BQ72" s="98">
        <f t="shared" ca="1" si="118"/>
        <v>0</v>
      </c>
      <c r="BR72" s="97">
        <f ca="1">IFERROR(__xludf.DUMMYFUNCTION("IMPORTRANGE(""https://docs.google.com/spreadsheets/d/1H1EalTWKUSzO4Z1-1CwzoDUaVffgrThEBe2sl74kKG0/edit?usp=sharing"",""สุพรรณบุรี!I229"")"),20000)</f>
        <v>20000</v>
      </c>
      <c r="BS72" s="97">
        <f ca="1">IFERROR(__xludf.DUMMYFUNCTION("IMPORTRANGE(""https://docs.google.com/spreadsheets/d/1H1EalTWKUSzO4Z1-1CwzoDUaVffgrThEBe2sl74kKG0/edit?usp=sharing"",""สุพรรณบุรี!J229"")"),0)</f>
        <v>0</v>
      </c>
      <c r="BT72" s="98">
        <f t="shared" ca="1" si="120"/>
        <v>0</v>
      </c>
      <c r="BU72" s="97">
        <f ca="1">IFERROR(__xludf.DUMMYFUNCTION("IMPORTRANGE(""https://docs.google.com/spreadsheets/d/1H1EalTWKUSzO4Z1-1CwzoDUaVffgrThEBe2sl74kKG0/edit?usp=sharing"",""สุพรรณบุรี!I230"")"),0)</f>
        <v>0</v>
      </c>
      <c r="BV72" s="97">
        <f ca="1">IFERROR(__xludf.DUMMYFUNCTION("IMPORTRANGE(""https://docs.google.com/spreadsheets/d/1H1EalTWKUSzO4Z1-1CwzoDUaVffgrThEBe2sl74kKG0/edit?usp=sharing"",""สุพรรณบุรี!J230"")"),0)</f>
        <v>0</v>
      </c>
      <c r="BW72" s="98">
        <f t="shared" ca="1" si="122"/>
        <v>0</v>
      </c>
      <c r="BX72" s="97">
        <f ca="1">IFERROR(__xludf.DUMMYFUNCTION("IMPORTRANGE(""https://docs.google.com/spreadsheets/d/1H1EalTWKUSzO4Z1-1CwzoDUaVffgrThEBe2sl74kKG0/edit?usp=sharing"",""สุพรรณบุรี!L233"")"),0)</f>
        <v>0</v>
      </c>
      <c r="BY72" s="97">
        <f ca="1">IFERROR(__xludf.DUMMYFUNCTION("IMPORTRANGE(""https://docs.google.com/spreadsheets/d/1H1EalTWKUSzO4Z1-1CwzoDUaVffgrThEBe2sl74kKG0/edit?usp=sharing"",""สุพรรณบุรี!N233"")"),0)</f>
        <v>0</v>
      </c>
      <c r="BZ72" s="98">
        <f t="shared" ca="1" si="124"/>
        <v>0</v>
      </c>
      <c r="CA72" s="97">
        <f ca="1">IFERROR(__xludf.DUMMYFUNCTION("IMPORTRANGE(""https://docs.google.com/spreadsheets/d/1H1EalTWKUSzO4Z1-1CwzoDUaVffgrThEBe2sl74kKG0/edit?usp=sharing"",""สุพรรณบุรี!L234"")"),0)</f>
        <v>0</v>
      </c>
      <c r="CB72" s="97">
        <f ca="1">IFERROR(__xludf.DUMMYFUNCTION("IMPORTRANGE(""https://docs.google.com/spreadsheets/d/1H1EalTWKUSzO4Z1-1CwzoDUaVffgrThEBe2sl74kKG0/edit?usp=sharing"",""สุพรรณบุรี!N234"")"),0)</f>
        <v>0</v>
      </c>
      <c r="CC72" s="98">
        <f t="shared" ca="1" si="126"/>
        <v>0</v>
      </c>
      <c r="CD72" s="97">
        <f ca="1">IFERROR(__xludf.DUMMYFUNCTION("IMPORTRANGE(""https://docs.google.com/spreadsheets/d/1H1EalTWKUSzO4Z1-1CwzoDUaVffgrThEBe2sl74kKG0/edit?usp=sharing"",""สุพรรณบุรี!L235"")"),0)</f>
        <v>0</v>
      </c>
      <c r="CE72" s="97">
        <f ca="1">IFERROR(__xludf.DUMMYFUNCTION("IMPORTRANGE(""https://docs.google.com/spreadsheets/d/1H1EalTWKUSzO4Z1-1CwzoDUaVffgrThEBe2sl74kKG0/edit?usp=sharing"",""สุพรรณบุรี!N235"")"),0)</f>
        <v>0</v>
      </c>
      <c r="CF72" s="98">
        <f t="shared" ca="1" si="128"/>
        <v>0</v>
      </c>
      <c r="CG72" s="97">
        <f ca="1">IFERROR(__xludf.DUMMYFUNCTION("IMPORTRANGE(""https://docs.google.com/spreadsheets/d/1H1EalTWKUSzO4Z1-1CwzoDUaVffgrThEBe2sl74kKG0/edit?usp=sharing"",""สุพรรณบุรี!L236"")"),0)</f>
        <v>0</v>
      </c>
      <c r="CH72" s="97">
        <f ca="1">IFERROR(__xludf.DUMMYFUNCTION("IMPORTRANGE(""https://docs.google.com/spreadsheets/d/1H1EalTWKUSzO4Z1-1CwzoDUaVffgrThEBe2sl74kKG0/edit?usp=sharing"",""สุพรรณบุรี!N236"")"),0)</f>
        <v>0</v>
      </c>
      <c r="CI72" s="98">
        <f t="shared" ca="1" si="130"/>
        <v>0</v>
      </c>
      <c r="CJ72" s="97">
        <f ca="1">IFERROR(__xludf.DUMMYFUNCTION("IMPORTRANGE(""https://docs.google.com/spreadsheets/d/1H1EalTWKUSzO4Z1-1CwzoDUaVffgrThEBe2sl74kKG0/edit?usp=sharing"",""สุพรรณบุรี!I238"")"),0)</f>
        <v>0</v>
      </c>
      <c r="CK72" s="97">
        <f ca="1">IFERROR(__xludf.DUMMYFUNCTION("IMPORTRANGE(""https://docs.google.com/spreadsheets/d/1H1EalTWKUSzO4Z1-1CwzoDUaVffgrThEBe2sl74kKG0/edit?usp=sharing"",""สุพรรณบุรี!J238"")"),0)</f>
        <v>0</v>
      </c>
      <c r="CL72" s="98">
        <f t="shared" ca="1" si="132"/>
        <v>0</v>
      </c>
      <c r="CM72" s="97">
        <f ca="1">IFERROR(__xludf.DUMMYFUNCTION("IMPORTRANGE(""https://docs.google.com/spreadsheets/d/1H1EalTWKUSzO4Z1-1CwzoDUaVffgrThEBe2sl74kKG0/edit?usp=sharing"",""สุพรรณบุรี!J240"")"),0)</f>
        <v>0</v>
      </c>
      <c r="CN72" s="97">
        <f ca="1">IFERROR(__xludf.DUMMYFUNCTION("IMPORTRANGE(""https://docs.google.com/spreadsheets/d/1H1EalTWKUSzO4Z1-1CwzoDUaVffgrThEBe2sl74kKG0/edit?usp=sharing"",""สุพรรณบุรี!J241"")"),0)</f>
        <v>0</v>
      </c>
    </row>
    <row r="73" spans="1:92" ht="21" customHeight="1" x14ac:dyDescent="0.3">
      <c r="A73" s="100">
        <v>21</v>
      </c>
      <c r="B73" s="101" t="s">
        <v>99</v>
      </c>
      <c r="C73" s="182">
        <f t="shared" ca="1" si="80"/>
        <v>84200</v>
      </c>
      <c r="D73" s="183">
        <f t="shared" ca="1" si="184"/>
        <v>84200</v>
      </c>
      <c r="E73" s="184">
        <f ca="1">IFERROR(__xludf.DUMMYFUNCTION("IMPORTRANGE(""https://docs.google.com/spreadsheets/d/1-uDff_7J0KD5mKrp0Vvzr7lt3OU09vwQwhkpOPPYv2Y/edit?usp=sharing"",""งบพรบ!CV73"")"),73700)</f>
        <v>73700</v>
      </c>
      <c r="F73" s="184">
        <f ca="1">IFERROR(__xludf.DUMMYFUNCTION("IMPORTRANGE(""https://docs.google.com/spreadsheets/d/1-uDff_7J0KD5mKrp0Vvzr7lt3OU09vwQwhkpOPPYv2Y/edit?usp=sharing"",""งบพรบ!CW73"")"),10500)</f>
        <v>10500</v>
      </c>
      <c r="G73" s="184">
        <f ca="1">IFERROR(__xludf.DUMMYFUNCTION("IMPORTRANGE(""https://docs.google.com/spreadsheets/d/1-uDff_7J0KD5mKrp0Vvzr7lt3OU09vwQwhkpOPPYv2Y/edit?usp=sharing"",""งบพรบ!CX73"")"),0)</f>
        <v>0</v>
      </c>
      <c r="H73" s="184">
        <f ca="1">IFERROR(__xludf.DUMMYFUNCTION("IMPORTRANGE(""https://docs.google.com/spreadsheets/d/1-uDff_7J0KD5mKrp0Vvzr7lt3OU09vwQwhkpOPPYv2Y/edit?usp=sharing"",""งบพรบ!CZ73"")"),84200)</f>
        <v>84200</v>
      </c>
      <c r="I73" s="184">
        <f ca="1">IFERROR(__xludf.DUMMYFUNCTION("IMPORTRANGE(""https://docs.google.com/spreadsheets/d/1-uDff_7J0KD5mKrp0Vvzr7lt3OU09vwQwhkpOPPYv2Y/edit?usp=sharing"",""งบพรบ!DA73"")"),0)</f>
        <v>0</v>
      </c>
      <c r="J73" s="184">
        <f t="shared" ca="1" si="82"/>
        <v>20900</v>
      </c>
      <c r="K73" s="185">
        <f t="shared" ca="1" si="83"/>
        <v>24.821852731591449</v>
      </c>
      <c r="L73" s="184">
        <f ca="1">IFERROR(__xludf.DUMMYFUNCTION("IMPORTRANGE(""https://docs.google.com/spreadsheets/d/1-uDff_7J0KD5mKrp0Vvzr7lt3OU09vwQwhkpOPPYv2Y/edit?usp=sharing"",""งบพรบ!DB73"")"),20900)</f>
        <v>20900</v>
      </c>
      <c r="M73" s="109">
        <f t="shared" ca="1" si="84"/>
        <v>24.821852731591449</v>
      </c>
      <c r="N73" s="109">
        <f t="shared" ca="1" si="85"/>
        <v>24.821852731591449</v>
      </c>
      <c r="O73" s="108">
        <f ca="1">IFERROR(__xludf.DUMMYFUNCTION("IMPORTRANGE(""https://docs.google.com/spreadsheets/d/1-uDff_7J0KD5mKrp0Vvzr7lt3OU09vwQwhkpOPPYv2Y/edit?usp=sharing"",""งบพรบ!DC73"")"),0)</f>
        <v>0</v>
      </c>
      <c r="P73" s="108">
        <f t="shared" ca="1" si="86"/>
        <v>0</v>
      </c>
      <c r="Q73" s="109">
        <f t="shared" ca="1" si="87"/>
        <v>0</v>
      </c>
      <c r="R73" s="244">
        <f ca="1">IFERROR(__xludf.DUMMYFUNCTION("IMPORTRANGE(""https://docs.google.com/spreadsheets/d/1BmIruG_sIrJLYao_Pdr7zVArWsfoBt2692TMi6x_854/edit?usp=sharing"",""อ่างทอง!Q186"")"),0)</f>
        <v>0</v>
      </c>
      <c r="S73" s="245">
        <f ca="1">IFERROR(__xludf.DUMMYFUNCTION("IMPORTRANGE(""https://docs.google.com/spreadsheets/d/1BmIruG_sIrJLYao_Pdr7zVArWsfoBt2692TMi6x_854/edit?usp=sharing"",""อ่างทอง!R186"")"),0)</f>
        <v>0</v>
      </c>
      <c r="T73" s="245">
        <f ca="1">IFERROR(__xludf.DUMMYFUNCTION("IMPORTRANGE(""https://docs.google.com/spreadsheets/d/1BmIruG_sIrJLYao_Pdr7zVArWsfoBt2692TMi6x_854/edit?usp=sharing"",""อ่างทอง!S186"")"),0)</f>
        <v>0</v>
      </c>
      <c r="U73" s="246">
        <f t="shared" ca="1" si="89"/>
        <v>0</v>
      </c>
      <c r="V73" s="246">
        <f t="shared" ca="1" si="90"/>
        <v>0</v>
      </c>
      <c r="W73" s="110">
        <f ca="1">IFERROR(__xludf.DUMMYFUNCTION("IMPORTRANGE(""https://docs.google.com/spreadsheets/d/1BmIruG_sIrJLYao_Pdr7zVArWsfoBt2692TMi6x_854/edit?usp=sharing"",""อ่างทอง!L196"")"),6000)</f>
        <v>6000</v>
      </c>
      <c r="X73" s="110">
        <f ca="1">IFERROR(__xludf.DUMMYFUNCTION("IMPORTRANGE(""https://docs.google.com/spreadsheets/d/1BmIruG_sIrJLYao_Pdr7zVArWsfoBt2692TMi6x_854/edit?usp=sharing"",""อ่างทอง!N196"")"),0)</f>
        <v>0</v>
      </c>
      <c r="Y73" s="111">
        <f t="shared" ca="1" si="92"/>
        <v>0</v>
      </c>
      <c r="Z73" s="110">
        <f ca="1">IFERROR(__xludf.DUMMYFUNCTION("IMPORTRANGE(""https://docs.google.com/spreadsheets/d/1BmIruG_sIrJLYao_Pdr7zVArWsfoBt2692TMi6x_854/edit?usp=sharing"",""อ่างทอง!I198"")"),4)</f>
        <v>4</v>
      </c>
      <c r="AA73" s="110">
        <f ca="1">IFERROR(__xludf.DUMMYFUNCTION("IMPORTRANGE(""https://docs.google.com/spreadsheets/d/1BmIruG_sIrJLYao_Pdr7zVArWsfoBt2692TMi6x_854/edit?usp=sharing"",""อ่างทอง!J198"")"),1)</f>
        <v>1</v>
      </c>
      <c r="AB73" s="111">
        <f t="shared" ca="1" si="94"/>
        <v>25</v>
      </c>
      <c r="AC73" s="110">
        <f ca="1">IFERROR(__xludf.DUMMYFUNCTION("IMPORTRANGE(""https://docs.google.com/spreadsheets/d/1BmIruG_sIrJLYao_Pdr7zVArWsfoBt2692TMi6x_854/edit?usp=sharing"",""อ่างทอง!J199"")"),30)</f>
        <v>30</v>
      </c>
      <c r="AD73" s="110">
        <f ca="1">IFERROR(__xludf.DUMMYFUNCTION("IMPORTRANGE(""https://docs.google.com/spreadsheets/d/1BmIruG_sIrJLYao_Pdr7zVArWsfoBt2692TMi6x_854/edit?usp=sharing"",""อ่างทอง!J200"")"),30)</f>
        <v>30</v>
      </c>
      <c r="AE73" s="110">
        <f ca="1">IFERROR(__xludf.DUMMYFUNCTION("IMPORTRANGE(""https://docs.google.com/spreadsheets/d/1BmIruG_sIrJLYao_Pdr7zVArWsfoBt2692TMi6x_854/edit?usp=sharing"",""อ่างทอง!J201"")"),0)</f>
        <v>0</v>
      </c>
      <c r="AF73" s="110">
        <f ca="1">IFERROR(__xludf.DUMMYFUNCTION("IMPORTRANGE(""https://docs.google.com/spreadsheets/d/1BmIruG_sIrJLYao_Pdr7zVArWsfoBt2692TMi6x_854/edit?usp=sharing"",""อ่างทอง!L204"")"),0)</f>
        <v>0</v>
      </c>
      <c r="AG73" s="110">
        <f ca="1">IFERROR(__xludf.DUMMYFUNCTION("IMPORTRANGE(""https://docs.google.com/spreadsheets/d/1BmIruG_sIrJLYao_Pdr7zVArWsfoBt2692TMi6x_854/edit?usp=sharing"",""อ่างทอง!N204"")"),0)</f>
        <v>0</v>
      </c>
      <c r="AH73" s="111">
        <f t="shared" ca="1" si="96"/>
        <v>0</v>
      </c>
      <c r="AI73" s="110">
        <f ca="1">IFERROR(__xludf.DUMMYFUNCTION("IMPORTRANGE(""https://docs.google.com/spreadsheets/d/1BmIruG_sIrJLYao_Pdr7zVArWsfoBt2692TMi6x_854/edit?usp=sharing"",""อ่างทอง!L206"")"),0)</f>
        <v>0</v>
      </c>
      <c r="AJ73" s="110">
        <f ca="1">IFERROR(__xludf.DUMMYFUNCTION("IMPORTRANGE(""https://docs.google.com/spreadsheets/d/1BmIruG_sIrJLYao_Pdr7zVArWsfoBt2692TMi6x_854/edit?usp=sharing"",""อ่างทอง!N206"")"),0)</f>
        <v>0</v>
      </c>
      <c r="AK73" s="111">
        <f t="shared" ca="1" si="98"/>
        <v>0</v>
      </c>
      <c r="AL73" s="110">
        <f ca="1">IFERROR(__xludf.DUMMYFUNCTION("IMPORTRANGE(""https://docs.google.com/spreadsheets/d/1BmIruG_sIrJLYao_Pdr7zVArWsfoBt2692TMi6x_854/edit?usp=sharing"",""อ่างทอง!L207"")"),0)</f>
        <v>0</v>
      </c>
      <c r="AM73" s="110">
        <f ca="1">IFERROR(__xludf.DUMMYFUNCTION("IMPORTRANGE(""https://docs.google.com/spreadsheets/d/1BmIruG_sIrJLYao_Pdr7zVArWsfoBt2692TMi6x_854/edit?usp=sharing"",""อ่างทอง!N207"")"),0)</f>
        <v>0</v>
      </c>
      <c r="AN73" s="111">
        <f t="shared" ca="1" si="100"/>
        <v>0</v>
      </c>
      <c r="AO73" s="110">
        <f ca="1">IFERROR(__xludf.DUMMYFUNCTION("IMPORTRANGE(""https://docs.google.com/spreadsheets/d/1BmIruG_sIrJLYao_Pdr7zVArWsfoBt2692TMi6x_854/edit?usp=sharing"",""อ่างทอง!I209"")"),0)</f>
        <v>0</v>
      </c>
      <c r="AP73" s="110">
        <f ca="1">IFERROR(__xludf.DUMMYFUNCTION("IMPORTRANGE(""https://docs.google.com/spreadsheets/d/1BmIruG_sIrJLYao_Pdr7zVArWsfoBt2692TMi6x_854/edit?usp=sharing"",""อ่างทอง!J209"")"),0)</f>
        <v>0</v>
      </c>
      <c r="AQ73" s="111">
        <f t="shared" ca="1" si="102"/>
        <v>0</v>
      </c>
      <c r="AR73" s="110">
        <f ca="1">IFERROR(__xludf.DUMMYFUNCTION("IMPORTRANGE(""https://docs.google.com/spreadsheets/d/1BmIruG_sIrJLYao_Pdr7zVArWsfoBt2692TMi6x_854/edit?usp=sharing"",""อ่างทอง!J211"")"),0)</f>
        <v>0</v>
      </c>
      <c r="AS73" s="110">
        <f ca="1">IFERROR(__xludf.DUMMYFUNCTION("IMPORTRANGE(""https://docs.google.com/spreadsheets/d/1BmIruG_sIrJLYao_Pdr7zVArWsfoBt2692TMi6x_854/edit?usp=sharing"",""อ่างทอง!J212"")"),0)</f>
        <v>0</v>
      </c>
      <c r="AT73" s="110">
        <f ca="1">IFERROR(__xludf.DUMMYFUNCTION("IMPORTRANGE(""https://docs.google.com/spreadsheets/d/1BmIruG_sIrJLYao_Pdr7zVArWsfoBt2692TMi6x_854/edit?usp=sharing"",""อ่างทอง!L215"")"),0)</f>
        <v>0</v>
      </c>
      <c r="AU73" s="110">
        <f ca="1">IFERROR(__xludf.DUMMYFUNCTION("IMPORTRANGE(""https://docs.google.com/spreadsheets/d/1BmIruG_sIrJLYao_Pdr7zVArWsfoBt2692TMi6x_854/edit?usp=sharing"",""อ่างทอง!N215"")"),0)</f>
        <v>0</v>
      </c>
      <c r="AV73" s="111">
        <f t="shared" ca="1" si="104"/>
        <v>0</v>
      </c>
      <c r="AW73" s="110">
        <f ca="1">IFERROR(__xludf.DUMMYFUNCTION("IMPORTRANGE(""https://docs.google.com/spreadsheets/d/1BmIruG_sIrJLYao_Pdr7zVArWsfoBt2692TMi6x_854/edit?usp=sharing"",""อ่างทอง!L216"")"),0)</f>
        <v>0</v>
      </c>
      <c r="AX73" s="110">
        <f ca="1">IFERROR(__xludf.DUMMYFUNCTION("IMPORTRANGE(""https://docs.google.com/spreadsheets/d/1BmIruG_sIrJLYao_Pdr7zVArWsfoBt2692TMi6x_854/edit?usp=sharing"",""อ่างทอง!N216"")"),0)</f>
        <v>0</v>
      </c>
      <c r="AY73" s="111">
        <f t="shared" ca="1" si="106"/>
        <v>0</v>
      </c>
      <c r="AZ73" s="110">
        <f ca="1">IFERROR(__xludf.DUMMYFUNCTION("IMPORTRANGE(""https://docs.google.com/spreadsheets/d/1BmIruG_sIrJLYao_Pdr7zVArWsfoBt2692TMi6x_854/edit?usp=sharing"",""อ่างทอง!L217"")"),0)</f>
        <v>0</v>
      </c>
      <c r="BA73" s="110">
        <f ca="1">IFERROR(__xludf.DUMMYFUNCTION("IMPORTRANGE(""https://docs.google.com/spreadsheets/d/1BmIruG_sIrJLYao_Pdr7zVArWsfoBt2692TMi6x_854/edit?usp=sharing"",""อ่างทอง!N217"")"),0)</f>
        <v>0</v>
      </c>
      <c r="BB73" s="111">
        <f t="shared" ca="1" si="108"/>
        <v>0</v>
      </c>
      <c r="BC73" s="110">
        <f ca="1">IFERROR(__xludf.DUMMYFUNCTION("IMPORTRANGE(""https://docs.google.com/spreadsheets/d/1BmIruG_sIrJLYao_Pdr7zVArWsfoBt2692TMi6x_854/edit?usp=sharing"",""อ่างทอง!I219"")"),0)</f>
        <v>0</v>
      </c>
      <c r="BD73" s="110">
        <f ca="1">IFERROR(__xludf.DUMMYFUNCTION("IMPORTRANGE(""https://docs.google.com/spreadsheets/d/1BmIruG_sIrJLYao_Pdr7zVArWsfoBt2692TMi6x_854/edit?usp=sharing"",""อ่างทอง!J219"")"),0)</f>
        <v>0</v>
      </c>
      <c r="BE73" s="111">
        <f t="shared" ca="1" si="110"/>
        <v>0</v>
      </c>
      <c r="BF73" s="110">
        <f ca="1">IFERROR(__xludf.DUMMYFUNCTION("IMPORTRANGE(""https://docs.google.com/spreadsheets/d/1BmIruG_sIrJLYao_Pdr7zVArWsfoBt2692TMi6x_854/edit?usp=sharing"",""อ่างทอง!I220"")"),0)</f>
        <v>0</v>
      </c>
      <c r="BG73" s="110">
        <f ca="1">IFERROR(__xludf.DUMMYFUNCTION("IMPORTRANGE(""https://docs.google.com/spreadsheets/d/1BmIruG_sIrJLYao_Pdr7zVArWsfoBt2692TMi6x_854/edit?usp=sharing"",""อ่างทอง!J220"")"),0)</f>
        <v>0</v>
      </c>
      <c r="BH73" s="111">
        <f t="shared" ca="1" si="112"/>
        <v>0</v>
      </c>
      <c r="BI73" s="110">
        <f ca="1">IFERROR(__xludf.DUMMYFUNCTION("IMPORTRANGE(""https://docs.google.com/spreadsheets/d/1BmIruG_sIrJLYao_Pdr7zVArWsfoBt2692TMi6x_854/edit?usp=sharing"",""อ่างทอง!L223"")"),3000)</f>
        <v>3000</v>
      </c>
      <c r="BJ73" s="110">
        <f ca="1">IFERROR(__xludf.DUMMYFUNCTION("IMPORTRANGE(""https://docs.google.com/spreadsheets/d/1BmIruG_sIrJLYao_Pdr7zVArWsfoBt2692TMi6x_854/edit?usp=sharing"",""อ่างทอง!N223"")"),0)</f>
        <v>0</v>
      </c>
      <c r="BK73" s="111">
        <f t="shared" ca="1" si="114"/>
        <v>0</v>
      </c>
      <c r="BL73" s="110">
        <f ca="1">IFERROR(__xludf.DUMMYFUNCTION("IMPORTRANGE(""https://docs.google.com/spreadsheets/d/1BmIruG_sIrJLYao_Pdr7zVArWsfoBt2692TMi6x_854/edit?usp=sharing"",""อ่างทอง!L224"")"),1500)</f>
        <v>1500</v>
      </c>
      <c r="BM73" s="110">
        <f ca="1">IFERROR(__xludf.DUMMYFUNCTION("IMPORTRANGE(""https://docs.google.com/spreadsheets/d/1BmIruG_sIrJLYao_Pdr7zVArWsfoBt2692TMi6x_854/edit?usp=sharing"",""อ่างทอง!N224"")"),0)</f>
        <v>0</v>
      </c>
      <c r="BN73" s="111">
        <f t="shared" ca="1" si="116"/>
        <v>0</v>
      </c>
      <c r="BO73" s="110">
        <f ca="1">IFERROR(__xludf.DUMMYFUNCTION("IMPORTRANGE(""https://docs.google.com/spreadsheets/d/1BmIruG_sIrJLYao_Pdr7zVArWsfoBt2692TMi6x_854/edit?usp=sharing"",""อ่างทอง!I228"")"),5000)</f>
        <v>5000</v>
      </c>
      <c r="BP73" s="110">
        <f ca="1">IFERROR(__xludf.DUMMYFUNCTION("IMPORTRANGE(""https://docs.google.com/spreadsheets/d/1BmIruG_sIrJLYao_Pdr7zVArWsfoBt2692TMi6x_854/edit?usp=sharing"",""อ่างทอง!J228"")"),5000)</f>
        <v>5000</v>
      </c>
      <c r="BQ73" s="111">
        <f t="shared" ca="1" si="118"/>
        <v>100</v>
      </c>
      <c r="BR73" s="110">
        <f ca="1">IFERROR(__xludf.DUMMYFUNCTION("IMPORTRANGE(""https://docs.google.com/spreadsheets/d/1BmIruG_sIrJLYao_Pdr7zVArWsfoBt2692TMi6x_854/edit?usp=sharing"",""อ่างทอง!I229"")"),5000)</f>
        <v>5000</v>
      </c>
      <c r="BS73" s="110">
        <f ca="1">IFERROR(__xludf.DUMMYFUNCTION("IMPORTRANGE(""https://docs.google.com/spreadsheets/d/1BmIruG_sIrJLYao_Pdr7zVArWsfoBt2692TMi6x_854/edit?usp=sharing"",""อ่างทอง!J229"")"),0)</f>
        <v>0</v>
      </c>
      <c r="BT73" s="111">
        <f t="shared" ca="1" si="120"/>
        <v>0</v>
      </c>
      <c r="BU73" s="110">
        <f ca="1">IFERROR(__xludf.DUMMYFUNCTION("IMPORTRANGE(""https://docs.google.com/spreadsheets/d/1BmIruG_sIrJLYao_Pdr7zVArWsfoBt2692TMi6x_854/edit?usp=sharing"",""อ่างทอง!I230"")"),0)</f>
        <v>0</v>
      </c>
      <c r="BV73" s="110">
        <f ca="1">IFERROR(__xludf.DUMMYFUNCTION("IMPORTRANGE(""https://docs.google.com/spreadsheets/d/1BmIruG_sIrJLYao_Pdr7zVArWsfoBt2692TMi6x_854/edit?usp=sharing"",""อ่างทอง!J230"")"),0)</f>
        <v>0</v>
      </c>
      <c r="BW73" s="111">
        <f t="shared" ca="1" si="122"/>
        <v>0</v>
      </c>
      <c r="BX73" s="110">
        <f ca="1">IFERROR(__xludf.DUMMYFUNCTION("IMPORTRANGE(""https://docs.google.com/spreadsheets/d/1BmIruG_sIrJLYao_Pdr7zVArWsfoBt2692TMi6x_854/edit?usp=sharing"",""อ่างทอง!L233"")"),0)</f>
        <v>0</v>
      </c>
      <c r="BY73" s="110">
        <f ca="1">IFERROR(__xludf.DUMMYFUNCTION("IMPORTRANGE(""https://docs.google.com/spreadsheets/d/1BmIruG_sIrJLYao_Pdr7zVArWsfoBt2692TMi6x_854/edit?usp=sharing"",""อ่างทอง!N233"")"),0)</f>
        <v>0</v>
      </c>
      <c r="BZ73" s="111">
        <f t="shared" ca="1" si="124"/>
        <v>0</v>
      </c>
      <c r="CA73" s="110">
        <f ca="1">IFERROR(__xludf.DUMMYFUNCTION("IMPORTRANGE(""https://docs.google.com/spreadsheets/d/1BmIruG_sIrJLYao_Pdr7zVArWsfoBt2692TMi6x_854/edit?usp=sharing"",""อ่างทอง!L234"")"),0)</f>
        <v>0</v>
      </c>
      <c r="CB73" s="110">
        <f ca="1">IFERROR(__xludf.DUMMYFUNCTION("IMPORTRANGE(""https://docs.google.com/spreadsheets/d/1BmIruG_sIrJLYao_Pdr7zVArWsfoBt2692TMi6x_854/edit?usp=sharing"",""อ่างทอง!N234"")"),0)</f>
        <v>0</v>
      </c>
      <c r="CC73" s="111">
        <f t="shared" ca="1" si="126"/>
        <v>0</v>
      </c>
      <c r="CD73" s="110">
        <f ca="1">IFERROR(__xludf.DUMMYFUNCTION("IMPORTRANGE(""https://docs.google.com/spreadsheets/d/1BmIruG_sIrJLYao_Pdr7zVArWsfoBt2692TMi6x_854/edit?usp=sharing"",""อ่างทอง!L235"")"),0)</f>
        <v>0</v>
      </c>
      <c r="CE73" s="110">
        <f ca="1">IFERROR(__xludf.DUMMYFUNCTION("IMPORTRANGE(""https://docs.google.com/spreadsheets/d/1BmIruG_sIrJLYao_Pdr7zVArWsfoBt2692TMi6x_854/edit?usp=sharing"",""อ่างทอง!N235"")"),0)</f>
        <v>0</v>
      </c>
      <c r="CF73" s="111">
        <f t="shared" ca="1" si="128"/>
        <v>0</v>
      </c>
      <c r="CG73" s="110">
        <f ca="1">IFERROR(__xludf.DUMMYFUNCTION("IMPORTRANGE(""https://docs.google.com/spreadsheets/d/1BmIruG_sIrJLYao_Pdr7zVArWsfoBt2692TMi6x_854/edit?usp=sharing"",""อ่างทอง!L236"")"),0)</f>
        <v>0</v>
      </c>
      <c r="CH73" s="110">
        <f ca="1">IFERROR(__xludf.DUMMYFUNCTION("IMPORTRANGE(""https://docs.google.com/spreadsheets/d/1BmIruG_sIrJLYao_Pdr7zVArWsfoBt2692TMi6x_854/edit?usp=sharing"",""อ่างทอง!N236"")"),0)</f>
        <v>0</v>
      </c>
      <c r="CI73" s="111">
        <f t="shared" ca="1" si="130"/>
        <v>0</v>
      </c>
      <c r="CJ73" s="110">
        <f ca="1">IFERROR(__xludf.DUMMYFUNCTION("IMPORTRANGE(""https://docs.google.com/spreadsheets/d/1BmIruG_sIrJLYao_Pdr7zVArWsfoBt2692TMi6x_854/edit?usp=sharing"",""อ่างทอง!I238"")"),0)</f>
        <v>0</v>
      </c>
      <c r="CK73" s="110">
        <f ca="1">IFERROR(__xludf.DUMMYFUNCTION("IMPORTRANGE(""https://docs.google.com/spreadsheets/d/1BmIruG_sIrJLYao_Pdr7zVArWsfoBt2692TMi6x_854/edit?usp=sharing"",""อ่างทอง!J238"")"),0)</f>
        <v>0</v>
      </c>
      <c r="CL73" s="111">
        <f t="shared" ca="1" si="132"/>
        <v>0</v>
      </c>
      <c r="CM73" s="110">
        <f ca="1">IFERROR(__xludf.DUMMYFUNCTION("IMPORTRANGE(""https://docs.google.com/spreadsheets/d/1BmIruG_sIrJLYao_Pdr7zVArWsfoBt2692TMi6x_854/edit?usp=sharing"",""อ่างทอง!J240"")"),0)</f>
        <v>0</v>
      </c>
      <c r="CN73" s="110">
        <f ca="1">IFERROR(__xludf.DUMMYFUNCTION("IMPORTRANGE(""https://docs.google.com/spreadsheets/d/1BmIruG_sIrJLYao_Pdr7zVArWsfoBt2692TMi6x_854/edit?usp=sharing"",""อ่างทอง!J241"")"),0)</f>
        <v>0</v>
      </c>
    </row>
    <row r="74" spans="1:92" ht="21" customHeight="1" x14ac:dyDescent="0.3">
      <c r="A74" s="624" t="s">
        <v>100</v>
      </c>
      <c r="B74" s="604"/>
      <c r="C74" s="161">
        <f t="shared" ca="1" si="80"/>
        <v>2056000</v>
      </c>
      <c r="D74" s="161">
        <f t="shared" ref="D74:I74" ca="1" si="185">SUM(D75:D88)</f>
        <v>2056000</v>
      </c>
      <c r="E74" s="161">
        <f t="shared" ca="1" si="185"/>
        <v>1321900</v>
      </c>
      <c r="F74" s="161">
        <f t="shared" ca="1" si="185"/>
        <v>734100</v>
      </c>
      <c r="G74" s="161">
        <f t="shared" ca="1" si="185"/>
        <v>0</v>
      </c>
      <c r="H74" s="161">
        <f t="shared" ca="1" si="185"/>
        <v>2118600</v>
      </c>
      <c r="I74" s="161">
        <f t="shared" ca="1" si="185"/>
        <v>0</v>
      </c>
      <c r="J74" s="161">
        <f t="shared" ca="1" si="82"/>
        <v>673940.2300000001</v>
      </c>
      <c r="K74" s="162">
        <f t="shared" ca="1" si="83"/>
        <v>32.779194066147866</v>
      </c>
      <c r="L74" s="161">
        <f ca="1">SUM(L75:L88)</f>
        <v>673940.2300000001</v>
      </c>
      <c r="M74" s="40">
        <f t="shared" ca="1" si="84"/>
        <v>32.779194066147866</v>
      </c>
      <c r="N74" s="40">
        <f t="shared" ca="1" si="85"/>
        <v>31.810640517322767</v>
      </c>
      <c r="O74" s="39">
        <f ca="1">SUM(O75:O88)</f>
        <v>0</v>
      </c>
      <c r="P74" s="39">
        <f t="shared" ca="1" si="86"/>
        <v>0</v>
      </c>
      <c r="Q74" s="40">
        <f t="shared" ca="1" si="87"/>
        <v>0</v>
      </c>
      <c r="R74" s="232">
        <f t="shared" ref="R74:T74" ca="1" si="186">SUM(R75:R88)</f>
        <v>881000</v>
      </c>
      <c r="S74" s="233">
        <f t="shared" ca="1" si="186"/>
        <v>0</v>
      </c>
      <c r="T74" s="233">
        <f t="shared" ca="1" si="186"/>
        <v>0</v>
      </c>
      <c r="U74" s="234">
        <f t="shared" ca="1" si="89"/>
        <v>0</v>
      </c>
      <c r="V74" s="234">
        <f t="shared" ca="1" si="90"/>
        <v>0</v>
      </c>
      <c r="W74" s="71">
        <f t="shared" ref="W74:X74" ca="1" si="187">SUM(W75:W88)</f>
        <v>84000</v>
      </c>
      <c r="X74" s="71">
        <f t="shared" ca="1" si="187"/>
        <v>2760</v>
      </c>
      <c r="Y74" s="114">
        <f t="shared" ca="1" si="92"/>
        <v>3.2857142857142856</v>
      </c>
      <c r="Z74" s="71">
        <f t="shared" ref="Z74:AA74" ca="1" si="188">SUM(Z75:Z88)</f>
        <v>56</v>
      </c>
      <c r="AA74" s="71">
        <f t="shared" ca="1" si="188"/>
        <v>12</v>
      </c>
      <c r="AB74" s="114">
        <f t="shared" ca="1" si="94"/>
        <v>21.428571428571427</v>
      </c>
      <c r="AC74" s="71">
        <f t="shared" ref="AC74:AG74" ca="1" si="189">SUM(AC75:AC88)</f>
        <v>417</v>
      </c>
      <c r="AD74" s="71">
        <f t="shared" ca="1" si="189"/>
        <v>417</v>
      </c>
      <c r="AE74" s="71">
        <f t="shared" ca="1" si="189"/>
        <v>0</v>
      </c>
      <c r="AF74" s="71">
        <f t="shared" ca="1" si="189"/>
        <v>22000</v>
      </c>
      <c r="AG74" s="71">
        <f t="shared" ca="1" si="189"/>
        <v>0</v>
      </c>
      <c r="AH74" s="114">
        <f t="shared" ca="1" si="96"/>
        <v>0</v>
      </c>
      <c r="AI74" s="71">
        <f t="shared" ref="AI74:AJ74" ca="1" si="190">SUM(AI75:AI88)</f>
        <v>176000</v>
      </c>
      <c r="AJ74" s="71">
        <f t="shared" ca="1" si="190"/>
        <v>0</v>
      </c>
      <c r="AK74" s="114">
        <f t="shared" ca="1" si="98"/>
        <v>0</v>
      </c>
      <c r="AL74" s="71">
        <f t="shared" ref="AL74:AM74" ca="1" si="191">SUM(AL75:AL88)</f>
        <v>106000</v>
      </c>
      <c r="AM74" s="71">
        <f t="shared" ca="1" si="191"/>
        <v>0</v>
      </c>
      <c r="AN74" s="114">
        <f t="shared" ca="1" si="100"/>
        <v>0</v>
      </c>
      <c r="AO74" s="71">
        <f t="shared" ref="AO74:AP74" ca="1" si="192">SUM(AO75:AO88)</f>
        <v>22</v>
      </c>
      <c r="AP74" s="71">
        <f t="shared" ca="1" si="192"/>
        <v>1</v>
      </c>
      <c r="AQ74" s="114">
        <f t="shared" ca="1" si="102"/>
        <v>4.5454545454545459</v>
      </c>
      <c r="AR74" s="71">
        <f t="shared" ref="AR74:AU74" ca="1" si="193">SUM(AR75:AR88)</f>
        <v>0</v>
      </c>
      <c r="AS74" s="71">
        <f t="shared" ca="1" si="193"/>
        <v>0</v>
      </c>
      <c r="AT74" s="71">
        <f t="shared" ca="1" si="193"/>
        <v>5000</v>
      </c>
      <c r="AU74" s="71">
        <f t="shared" ca="1" si="193"/>
        <v>0</v>
      </c>
      <c r="AV74" s="114">
        <f t="shared" ca="1" si="104"/>
        <v>0</v>
      </c>
      <c r="AW74" s="71">
        <f t="shared" ref="AW74:AX74" ca="1" si="194">SUM(AW75:AW88)</f>
        <v>25000</v>
      </c>
      <c r="AX74" s="71">
        <f t="shared" ca="1" si="194"/>
        <v>0</v>
      </c>
      <c r="AY74" s="114">
        <f t="shared" ca="1" si="106"/>
        <v>0</v>
      </c>
      <c r="AZ74" s="71">
        <f t="shared" ref="AZ74:BA74" ca="1" si="195">SUM(AZ75:AZ88)</f>
        <v>40000</v>
      </c>
      <c r="BA74" s="71">
        <f t="shared" ca="1" si="195"/>
        <v>0</v>
      </c>
      <c r="BB74" s="114">
        <f t="shared" ca="1" si="108"/>
        <v>0</v>
      </c>
      <c r="BC74" s="71">
        <f t="shared" ref="BC74:BD74" ca="1" si="196">SUM(BC75:BC88)</f>
        <v>5</v>
      </c>
      <c r="BD74" s="71">
        <f t="shared" ca="1" si="196"/>
        <v>0</v>
      </c>
      <c r="BE74" s="114">
        <f t="shared" ca="1" si="110"/>
        <v>0</v>
      </c>
      <c r="BF74" s="71">
        <f t="shared" ref="BF74:BG74" ca="1" si="197">SUM(BF75:BF88)</f>
        <v>5</v>
      </c>
      <c r="BG74" s="71">
        <f t="shared" ca="1" si="197"/>
        <v>0</v>
      </c>
      <c r="BH74" s="114">
        <f t="shared" ca="1" si="112"/>
        <v>0</v>
      </c>
      <c r="BI74" s="71">
        <f t="shared" ref="BI74:BJ74" ca="1" si="198">SUM(BI75:BI88)</f>
        <v>47000</v>
      </c>
      <c r="BJ74" s="71">
        <f t="shared" ca="1" si="198"/>
        <v>0</v>
      </c>
      <c r="BK74" s="114">
        <f t="shared" ca="1" si="114"/>
        <v>0</v>
      </c>
      <c r="BL74" s="71">
        <f t="shared" ref="BL74:BM74" ca="1" si="199">SUM(BL75:BL88)</f>
        <v>19500</v>
      </c>
      <c r="BM74" s="71">
        <f t="shared" ca="1" si="199"/>
        <v>0</v>
      </c>
      <c r="BN74" s="114">
        <f t="shared" ca="1" si="116"/>
        <v>0</v>
      </c>
      <c r="BO74" s="71">
        <f t="shared" ref="BO74:BP74" ca="1" si="200">SUM(BO75:BO88)</f>
        <v>239000</v>
      </c>
      <c r="BP74" s="71">
        <f t="shared" ca="1" si="200"/>
        <v>0</v>
      </c>
      <c r="BQ74" s="114">
        <f t="shared" ca="1" si="118"/>
        <v>0</v>
      </c>
      <c r="BR74" s="71">
        <f t="shared" ref="BR74:BS74" ca="1" si="201">SUM(BR75:BR88)</f>
        <v>239000</v>
      </c>
      <c r="BS74" s="71">
        <f t="shared" ca="1" si="201"/>
        <v>0</v>
      </c>
      <c r="BT74" s="114">
        <f t="shared" ca="1" si="120"/>
        <v>0</v>
      </c>
      <c r="BU74" s="71">
        <f t="shared" ref="BU74:BV74" ca="1" si="202">SUM(BU75:BU88)</f>
        <v>0</v>
      </c>
      <c r="BV74" s="71">
        <f t="shared" ca="1" si="202"/>
        <v>0</v>
      </c>
      <c r="BW74" s="114">
        <f t="shared" ca="1" si="122"/>
        <v>0</v>
      </c>
      <c r="BX74" s="71">
        <f t="shared" ref="BX74:BY74" ca="1" si="203">SUM(BX75:BX88)</f>
        <v>101000</v>
      </c>
      <c r="BY74" s="71">
        <f t="shared" ca="1" si="203"/>
        <v>38133.339999999997</v>
      </c>
      <c r="BZ74" s="114">
        <f t="shared" ca="1" si="124"/>
        <v>37.755782178217814</v>
      </c>
      <c r="CA74" s="71">
        <f t="shared" ref="CA74:CB74" ca="1" si="204">SUM(CA75:CA88)</f>
        <v>5000</v>
      </c>
      <c r="CB74" s="71">
        <f t="shared" ca="1" si="204"/>
        <v>0</v>
      </c>
      <c r="CC74" s="114">
        <f t="shared" ca="1" si="126"/>
        <v>0</v>
      </c>
      <c r="CD74" s="71">
        <f t="shared" ref="CD74:CE74" ca="1" si="205">SUM(CD75:CD88)</f>
        <v>45600</v>
      </c>
      <c r="CE74" s="71">
        <f t="shared" ca="1" si="205"/>
        <v>0</v>
      </c>
      <c r="CF74" s="114">
        <f t="shared" ca="1" si="128"/>
        <v>0</v>
      </c>
      <c r="CG74" s="71">
        <f t="shared" ref="CG74:CH74" ca="1" si="206">SUM(CG75:CG88)</f>
        <v>58000</v>
      </c>
      <c r="CH74" s="71">
        <f t="shared" ca="1" si="206"/>
        <v>0</v>
      </c>
      <c r="CI74" s="114">
        <f t="shared" ca="1" si="130"/>
        <v>0</v>
      </c>
      <c r="CJ74" s="71">
        <f t="shared" ref="CJ74:CK74" ca="1" si="207">SUM(CJ75:CJ88)</f>
        <v>40</v>
      </c>
      <c r="CK74" s="71">
        <f t="shared" ca="1" si="207"/>
        <v>0</v>
      </c>
      <c r="CL74" s="114">
        <f t="shared" ca="1" si="132"/>
        <v>0</v>
      </c>
      <c r="CM74" s="71">
        <f t="shared" ref="CM74:CN74" ca="1" si="208">SUM(CM75:CM88)</f>
        <v>0</v>
      </c>
      <c r="CN74" s="71">
        <f t="shared" ca="1" si="208"/>
        <v>0</v>
      </c>
    </row>
    <row r="75" spans="1:92" ht="21" customHeight="1" x14ac:dyDescent="0.3">
      <c r="A75" s="77">
        <v>1</v>
      </c>
      <c r="B75" s="78" t="s">
        <v>101</v>
      </c>
      <c r="C75" s="174">
        <f t="shared" ca="1" si="80"/>
        <v>136400</v>
      </c>
      <c r="D75" s="175">
        <f t="shared" ref="D75:D88" ca="1" si="209">+E75+F75</f>
        <v>136400</v>
      </c>
      <c r="E75" s="176">
        <f ca="1">IFERROR(__xludf.DUMMYFUNCTION("IMPORTRANGE(""https://docs.google.com/spreadsheets/d/1-uDff_7J0KD5mKrp0Vvzr7lt3OU09vwQwhkpOPPYv2Y/edit?usp=sharing"",""งบพรบ!CV75"")"),82900)</f>
        <v>82900</v>
      </c>
      <c r="F75" s="176">
        <f ca="1">IFERROR(__xludf.DUMMYFUNCTION("IMPORTRANGE(""https://docs.google.com/spreadsheets/d/1-uDff_7J0KD5mKrp0Vvzr7lt3OU09vwQwhkpOPPYv2Y/edit?usp=sharing"",""งบพรบ!CW75"")"),53500)</f>
        <v>53500</v>
      </c>
      <c r="G75" s="176">
        <f ca="1">IFERROR(__xludf.DUMMYFUNCTION("IMPORTRANGE(""https://docs.google.com/spreadsheets/d/1-uDff_7J0KD5mKrp0Vvzr7lt3OU09vwQwhkpOPPYv2Y/edit?usp=sharing"",""งบพรบ!CX75"")"),0)</f>
        <v>0</v>
      </c>
      <c r="H75" s="176">
        <f ca="1">IFERROR(__xludf.DUMMYFUNCTION("IMPORTRANGE(""https://docs.google.com/spreadsheets/d/1-uDff_7J0KD5mKrp0Vvzr7lt3OU09vwQwhkpOPPYv2Y/edit?usp=sharing"",""งบพรบ!CZ75"")"),145100)</f>
        <v>145100</v>
      </c>
      <c r="I75" s="176">
        <f ca="1">IFERROR(__xludf.DUMMYFUNCTION("IMPORTRANGE(""https://docs.google.com/spreadsheets/d/1-uDff_7J0KD5mKrp0Vvzr7lt3OU09vwQwhkpOPPYv2Y/edit?usp=sharing"",""งบพรบ!DA75"")"),0)</f>
        <v>0</v>
      </c>
      <c r="J75" s="176">
        <f t="shared" ca="1" si="82"/>
        <v>32055</v>
      </c>
      <c r="K75" s="179">
        <f t="shared" ca="1" si="83"/>
        <v>23.500733137829911</v>
      </c>
      <c r="L75" s="176">
        <f ca="1">IFERROR(__xludf.DUMMYFUNCTION("IMPORTRANGE(""https://docs.google.com/spreadsheets/d/1-uDff_7J0KD5mKrp0Vvzr7lt3OU09vwQwhkpOPPYv2Y/edit?usp=sharing"",""งบพรบ!DB75"")"),32055)</f>
        <v>32055</v>
      </c>
      <c r="M75" s="87">
        <f t="shared" ca="1" si="84"/>
        <v>23.500733137829911</v>
      </c>
      <c r="N75" s="87">
        <f t="shared" ca="1" si="85"/>
        <v>22.091660923501035</v>
      </c>
      <c r="O75" s="86">
        <f ca="1">IFERROR(__xludf.DUMMYFUNCTION("IMPORTRANGE(""https://docs.google.com/spreadsheets/d/1-uDff_7J0KD5mKrp0Vvzr7lt3OU09vwQwhkpOPPYv2Y/edit?usp=sharing"",""งบพรบ!DC75"")"),0)</f>
        <v>0</v>
      </c>
      <c r="P75" s="86">
        <f t="shared" ca="1" si="86"/>
        <v>0</v>
      </c>
      <c r="Q75" s="87">
        <f t="shared" ca="1" si="87"/>
        <v>0</v>
      </c>
      <c r="R75" s="241">
        <f ca="1">IFERROR(__xludf.DUMMYFUNCTION("IMPORTRANGE(""https://docs.google.com/spreadsheets/d/1kKUcYdkIfrgTSj8iHHHB2MD2FAtwyyocFgqGQn6ADyI/edit?usp=sharing"",""กระบี่!Q186"")"),28000)</f>
        <v>28000</v>
      </c>
      <c r="S75" s="242">
        <f ca="1">IFERROR(__xludf.DUMMYFUNCTION("IMPORTRANGE(""https://docs.google.com/spreadsheets/d/1kKUcYdkIfrgTSj8iHHHB2MD2FAtwyyocFgqGQn6ADyI/edit?usp=sharing"",""กระบี่!R186"")"),0)</f>
        <v>0</v>
      </c>
      <c r="T75" s="242">
        <f ca="1">IFERROR(__xludf.DUMMYFUNCTION("IMPORTRANGE(""https://docs.google.com/spreadsheets/d/1kKUcYdkIfrgTSj8iHHHB2MD2FAtwyyocFgqGQn6ADyI/edit?usp=sharing"",""กระบี่!S186"")"),0)</f>
        <v>0</v>
      </c>
      <c r="U75" s="243">
        <f t="shared" ca="1" si="89"/>
        <v>0</v>
      </c>
      <c r="V75" s="243">
        <f t="shared" ca="1" si="90"/>
        <v>0</v>
      </c>
      <c r="W75" s="82">
        <f ca="1">IFERROR(__xludf.DUMMYFUNCTION("IMPORTRANGE(""https://docs.google.com/spreadsheets/d/1kKUcYdkIfrgTSj8iHHHB2MD2FAtwyyocFgqGQn6ADyI/edit?usp=sharing"",""กระบี่!L196"")"),6000)</f>
        <v>6000</v>
      </c>
      <c r="X75" s="82">
        <f ca="1">IFERROR(__xludf.DUMMYFUNCTION("IMPORTRANGE(""https://docs.google.com/spreadsheets/d/1kKUcYdkIfrgTSj8iHHHB2MD2FAtwyyocFgqGQn6ADyI/edit?usp=sharing"",""กระบี่!N196"")"),0)</f>
        <v>0</v>
      </c>
      <c r="Y75" s="88">
        <f t="shared" ca="1" si="92"/>
        <v>0</v>
      </c>
      <c r="Z75" s="82">
        <f ca="1">IFERROR(__xludf.DUMMYFUNCTION("IMPORTRANGE(""https://docs.google.com/spreadsheets/d/1kKUcYdkIfrgTSj8iHHHB2MD2FAtwyyocFgqGQn6ADyI/edit?usp=sharing"",""กระบี่!I198"")"),4)</f>
        <v>4</v>
      </c>
      <c r="AA75" s="82">
        <f ca="1">IFERROR(__xludf.DUMMYFUNCTION("IMPORTRANGE(""https://docs.google.com/spreadsheets/d/1kKUcYdkIfrgTSj8iHHHB2MD2FAtwyyocFgqGQn6ADyI/edit?usp=sharing"",""กระบี่!J198"")"),0)</f>
        <v>0</v>
      </c>
      <c r="AB75" s="88">
        <f t="shared" ca="1" si="94"/>
        <v>0</v>
      </c>
      <c r="AC75" s="82">
        <f ca="1">IFERROR(__xludf.DUMMYFUNCTION("IMPORTRANGE(""https://docs.google.com/spreadsheets/d/1kKUcYdkIfrgTSj8iHHHB2MD2FAtwyyocFgqGQn6ADyI/edit?usp=sharing"",""กระบี่!J199"")"),0)</f>
        <v>0</v>
      </c>
      <c r="AD75" s="82">
        <f ca="1">IFERROR(__xludf.DUMMYFUNCTION("IMPORTRANGE(""https://docs.google.com/spreadsheets/d/1kKUcYdkIfrgTSj8iHHHB2MD2FAtwyyocFgqGQn6ADyI/edit?usp=sharing"",""กระบี่!J200"")"),0)</f>
        <v>0</v>
      </c>
      <c r="AE75" s="82">
        <f ca="1">IFERROR(__xludf.DUMMYFUNCTION("IMPORTRANGE(""https://docs.google.com/spreadsheets/d/1kKUcYdkIfrgTSj8iHHHB2MD2FAtwyyocFgqGQn6ADyI/edit?usp=sharing"",""กระบี่!J201"")"),0)</f>
        <v>0</v>
      </c>
      <c r="AF75" s="82">
        <f ca="1">IFERROR(__xludf.DUMMYFUNCTION("IMPORTRANGE(""https://docs.google.com/spreadsheets/d/1kKUcYdkIfrgTSj8iHHHB2MD2FAtwyyocFgqGQn6ADyI/edit?usp=sharing"",""กระบี่!L204"")"),3000)</f>
        <v>3000</v>
      </c>
      <c r="AG75" s="82">
        <f ca="1">IFERROR(__xludf.DUMMYFUNCTION("IMPORTRANGE(""https://docs.google.com/spreadsheets/d/1kKUcYdkIfrgTSj8iHHHB2MD2FAtwyyocFgqGQn6ADyI/edit?usp=sharing"",""กระบี่!N204"")"),0)</f>
        <v>0</v>
      </c>
      <c r="AH75" s="88">
        <f t="shared" ca="1" si="96"/>
        <v>0</v>
      </c>
      <c r="AI75" s="82">
        <f ca="1">IFERROR(__xludf.DUMMYFUNCTION("IMPORTRANGE(""https://docs.google.com/spreadsheets/d/1kKUcYdkIfrgTSj8iHHHB2MD2FAtwyyocFgqGQn6ADyI/edit?usp=sharing"",""กระบี่!L206"")"),24000)</f>
        <v>24000</v>
      </c>
      <c r="AJ75" s="82">
        <f ca="1">IFERROR(__xludf.DUMMYFUNCTION("IMPORTRANGE(""https://docs.google.com/spreadsheets/d/1kKUcYdkIfrgTSj8iHHHB2MD2FAtwyyocFgqGQn6ADyI/edit?usp=sharing"",""กระบี่!N206"")"),0)</f>
        <v>0</v>
      </c>
      <c r="AK75" s="88">
        <f t="shared" ca="1" si="98"/>
        <v>0</v>
      </c>
      <c r="AL75" s="82">
        <f ca="1">IFERROR(__xludf.DUMMYFUNCTION("IMPORTRANGE(""https://docs.google.com/spreadsheets/d/1kKUcYdkIfrgTSj8iHHHB2MD2FAtwyyocFgqGQn6ADyI/edit?usp=sharing"",""กระบี่!L207"")"),12000)</f>
        <v>12000</v>
      </c>
      <c r="AM75" s="82">
        <f ca="1">IFERROR(__xludf.DUMMYFUNCTION("IMPORTRANGE(""https://docs.google.com/spreadsheets/d/1kKUcYdkIfrgTSj8iHHHB2MD2FAtwyyocFgqGQn6ADyI/edit?usp=sharing"",""กระบี่!N207"")"),0)</f>
        <v>0</v>
      </c>
      <c r="AN75" s="88">
        <f t="shared" ca="1" si="100"/>
        <v>0</v>
      </c>
      <c r="AO75" s="82">
        <f ca="1">IFERROR(__xludf.DUMMYFUNCTION("IMPORTRANGE(""https://docs.google.com/spreadsheets/d/1kKUcYdkIfrgTSj8iHHHB2MD2FAtwyyocFgqGQn6ADyI/edit?usp=sharing"",""กระบี่!I209"")"),3)</f>
        <v>3</v>
      </c>
      <c r="AP75" s="82">
        <f ca="1">IFERROR(__xludf.DUMMYFUNCTION("IMPORTRANGE(""https://docs.google.com/spreadsheets/d/1kKUcYdkIfrgTSj8iHHHB2MD2FAtwyyocFgqGQn6ADyI/edit?usp=sharing"",""กระบี่!J209"")"),0)</f>
        <v>0</v>
      </c>
      <c r="AQ75" s="88">
        <f t="shared" ca="1" si="102"/>
        <v>0</v>
      </c>
      <c r="AR75" s="82">
        <f ca="1">IFERROR(__xludf.DUMMYFUNCTION("IMPORTRANGE(""https://docs.google.com/spreadsheets/d/1kKUcYdkIfrgTSj8iHHHB2MD2FAtwyyocFgqGQn6ADyI/edit?usp=sharing"",""กระบี่!J211"")"),0)</f>
        <v>0</v>
      </c>
      <c r="AS75" s="82">
        <f ca="1">IFERROR(__xludf.DUMMYFUNCTION("IMPORTRANGE(""https://docs.google.com/spreadsheets/d/1kKUcYdkIfrgTSj8iHHHB2MD2FAtwyyocFgqGQn6ADyI/edit?usp=sharing"",""กระบี่!J212"")"),0)</f>
        <v>0</v>
      </c>
      <c r="AT75" s="82">
        <f ca="1">IFERROR(__xludf.DUMMYFUNCTION("IMPORTRANGE(""https://docs.google.com/spreadsheets/d/1kKUcYdkIfrgTSj8iHHHB2MD2FAtwyyocFgqGQn6ADyI/edit?usp=sharing"",""กระบี่!L215"")"),0)</f>
        <v>0</v>
      </c>
      <c r="AU75" s="82">
        <f ca="1">IFERROR(__xludf.DUMMYFUNCTION("IMPORTRANGE(""https://docs.google.com/spreadsheets/d/1kKUcYdkIfrgTSj8iHHHB2MD2FAtwyyocFgqGQn6ADyI/edit?usp=sharing"",""กระบี่!N215"")"),0)</f>
        <v>0</v>
      </c>
      <c r="AV75" s="88">
        <f t="shared" ca="1" si="104"/>
        <v>0</v>
      </c>
      <c r="AW75" s="82">
        <f ca="1">IFERROR(__xludf.DUMMYFUNCTION("IMPORTRANGE(""https://docs.google.com/spreadsheets/d/1kKUcYdkIfrgTSj8iHHHB2MD2FAtwyyocFgqGQn6ADyI/edit?usp=sharing"",""กระบี่!L216"")"),0)</f>
        <v>0</v>
      </c>
      <c r="AX75" s="82">
        <f ca="1">IFERROR(__xludf.DUMMYFUNCTION("IMPORTRANGE(""https://docs.google.com/spreadsheets/d/1kKUcYdkIfrgTSj8iHHHB2MD2FAtwyyocFgqGQn6ADyI/edit?usp=sharing"",""กระบี่!N216"")"),0)</f>
        <v>0</v>
      </c>
      <c r="AY75" s="88">
        <f t="shared" ca="1" si="106"/>
        <v>0</v>
      </c>
      <c r="AZ75" s="82">
        <f ca="1">IFERROR(__xludf.DUMMYFUNCTION("IMPORTRANGE(""https://docs.google.com/spreadsheets/d/1kKUcYdkIfrgTSj8iHHHB2MD2FAtwyyocFgqGQn6ADyI/edit?usp=sharing"",""กระบี่!L217"")"),0)</f>
        <v>0</v>
      </c>
      <c r="BA75" s="82">
        <f ca="1">IFERROR(__xludf.DUMMYFUNCTION("IMPORTRANGE(""https://docs.google.com/spreadsheets/d/1kKUcYdkIfrgTSj8iHHHB2MD2FAtwyyocFgqGQn6ADyI/edit?usp=sharing"",""กระบี่!N217"")"),0)</f>
        <v>0</v>
      </c>
      <c r="BB75" s="88">
        <f t="shared" ca="1" si="108"/>
        <v>0</v>
      </c>
      <c r="BC75" s="82">
        <f ca="1">IFERROR(__xludf.DUMMYFUNCTION("IMPORTRANGE(""https://docs.google.com/spreadsheets/d/1kKUcYdkIfrgTSj8iHHHB2MD2FAtwyyocFgqGQn6ADyI/edit?usp=sharing"",""กระบี่!I219"")"),0)</f>
        <v>0</v>
      </c>
      <c r="BD75" s="82">
        <f ca="1">IFERROR(__xludf.DUMMYFUNCTION("IMPORTRANGE(""https://docs.google.com/spreadsheets/d/1kKUcYdkIfrgTSj8iHHHB2MD2FAtwyyocFgqGQn6ADyI/edit?usp=sharing"",""กระบี่!J219"")"),0)</f>
        <v>0</v>
      </c>
      <c r="BE75" s="88">
        <f t="shared" ca="1" si="110"/>
        <v>0</v>
      </c>
      <c r="BF75" s="82">
        <f ca="1">IFERROR(__xludf.DUMMYFUNCTION("IMPORTRANGE(""https://docs.google.com/spreadsheets/d/1kKUcYdkIfrgTSj8iHHHB2MD2FAtwyyocFgqGQn6ADyI/edit?usp=sharing"",""กระบี่!I220"")"),0)</f>
        <v>0</v>
      </c>
      <c r="BG75" s="82">
        <f ca="1">IFERROR(__xludf.DUMMYFUNCTION("IMPORTRANGE(""https://docs.google.com/spreadsheets/d/1kKUcYdkIfrgTSj8iHHHB2MD2FAtwyyocFgqGQn6ADyI/edit?usp=sharing"",""กระบี่!J220"")"),0)</f>
        <v>0</v>
      </c>
      <c r="BH75" s="88">
        <f t="shared" ca="1" si="112"/>
        <v>0</v>
      </c>
      <c r="BI75" s="82">
        <f ca="1">IFERROR(__xludf.DUMMYFUNCTION("IMPORTRANGE(""https://docs.google.com/spreadsheets/d/1kKUcYdkIfrgTSj8iHHHB2MD2FAtwyyocFgqGQn6ADyI/edit?usp=sharing"",""กระบี่!L223"")"),7000)</f>
        <v>7000</v>
      </c>
      <c r="BJ75" s="82">
        <f ca="1">IFERROR(__xludf.DUMMYFUNCTION("IMPORTRANGE(""https://docs.google.com/spreadsheets/d/1kKUcYdkIfrgTSj8iHHHB2MD2FAtwyyocFgqGQn6ADyI/edit?usp=sharing"",""กระบี่!N223"")"),0)</f>
        <v>0</v>
      </c>
      <c r="BK75" s="88">
        <f t="shared" ca="1" si="114"/>
        <v>0</v>
      </c>
      <c r="BL75" s="82">
        <f ca="1">IFERROR(__xludf.DUMMYFUNCTION("IMPORTRANGE(""https://docs.google.com/spreadsheets/d/1kKUcYdkIfrgTSj8iHHHB2MD2FAtwyyocFgqGQn6ADyI/edit?usp=sharing"",""กระบี่!L224"")"),1500)</f>
        <v>1500</v>
      </c>
      <c r="BM75" s="82">
        <f ca="1">IFERROR(__xludf.DUMMYFUNCTION("IMPORTRANGE(""https://docs.google.com/spreadsheets/d/1kKUcYdkIfrgTSj8iHHHB2MD2FAtwyyocFgqGQn6ADyI/edit?usp=sharing"",""กระบี่!N224"")"),0)</f>
        <v>0</v>
      </c>
      <c r="BN75" s="88">
        <f t="shared" ca="1" si="116"/>
        <v>0</v>
      </c>
      <c r="BO75" s="82">
        <f ca="1">IFERROR(__xludf.DUMMYFUNCTION("IMPORTRANGE(""https://docs.google.com/spreadsheets/d/1kKUcYdkIfrgTSj8iHHHB2MD2FAtwyyocFgqGQn6ADyI/edit?usp=sharing"",""กระบี่!I228"")"),50000)</f>
        <v>50000</v>
      </c>
      <c r="BP75" s="82">
        <f ca="1">IFERROR(__xludf.DUMMYFUNCTION("IMPORTRANGE(""https://docs.google.com/spreadsheets/d/1kKUcYdkIfrgTSj8iHHHB2MD2FAtwyyocFgqGQn6ADyI/edit?usp=sharing"",""กระบี่!J228"")"),0)</f>
        <v>0</v>
      </c>
      <c r="BQ75" s="88">
        <f t="shared" ca="1" si="118"/>
        <v>0</v>
      </c>
      <c r="BR75" s="82">
        <f ca="1">IFERROR(__xludf.DUMMYFUNCTION("IMPORTRANGE(""https://docs.google.com/spreadsheets/d/1kKUcYdkIfrgTSj8iHHHB2MD2FAtwyyocFgqGQn6ADyI/edit?usp=sharing"",""กระบี่!I229"")"),50000)</f>
        <v>50000</v>
      </c>
      <c r="BS75" s="82">
        <f ca="1">IFERROR(__xludf.DUMMYFUNCTION("IMPORTRANGE(""https://docs.google.com/spreadsheets/d/1kKUcYdkIfrgTSj8iHHHB2MD2FAtwyyocFgqGQn6ADyI/edit?usp=sharing"",""กระบี่!J229"")"),0)</f>
        <v>0</v>
      </c>
      <c r="BT75" s="88">
        <f t="shared" ca="1" si="120"/>
        <v>0</v>
      </c>
      <c r="BU75" s="82">
        <f ca="1">IFERROR(__xludf.DUMMYFUNCTION("IMPORTRANGE(""https://docs.google.com/spreadsheets/d/1kKUcYdkIfrgTSj8iHHHB2MD2FAtwyyocFgqGQn6ADyI/edit?usp=sharing"",""กระบี่!I230"")"),0)</f>
        <v>0</v>
      </c>
      <c r="BV75" s="82">
        <f ca="1">IFERROR(__xludf.DUMMYFUNCTION("IMPORTRANGE(""https://docs.google.com/spreadsheets/d/1kKUcYdkIfrgTSj8iHHHB2MD2FAtwyyocFgqGQn6ADyI/edit?usp=sharing"",""กระบี่!J230"")"),0)</f>
        <v>0</v>
      </c>
      <c r="BW75" s="88">
        <f t="shared" ca="1" si="122"/>
        <v>0</v>
      </c>
      <c r="BX75" s="82">
        <f ca="1">IFERROR(__xludf.DUMMYFUNCTION("IMPORTRANGE(""https://docs.google.com/spreadsheets/d/1kKUcYdkIfrgTSj8iHHHB2MD2FAtwyyocFgqGQn6ADyI/edit?usp=sharing"",""กระบี่!L233"")"),0)</f>
        <v>0</v>
      </c>
      <c r="BY75" s="82">
        <f ca="1">IFERROR(__xludf.DUMMYFUNCTION("IMPORTRANGE(""https://docs.google.com/spreadsheets/d/1kKUcYdkIfrgTSj8iHHHB2MD2FAtwyyocFgqGQn6ADyI/edit?usp=sharing"",""กระบี่!N233"")"),0)</f>
        <v>0</v>
      </c>
      <c r="BZ75" s="88">
        <f t="shared" ca="1" si="124"/>
        <v>0</v>
      </c>
      <c r="CA75" s="82">
        <f ca="1">IFERROR(__xludf.DUMMYFUNCTION("IMPORTRANGE(""https://docs.google.com/spreadsheets/d/1kKUcYdkIfrgTSj8iHHHB2MD2FAtwyyocFgqGQn6ADyI/edit?usp=sharing"",""กระบี่!L234"")"),0)</f>
        <v>0</v>
      </c>
      <c r="CB75" s="82">
        <f ca="1">IFERROR(__xludf.DUMMYFUNCTION("IMPORTRANGE(""https://docs.google.com/spreadsheets/d/1kKUcYdkIfrgTSj8iHHHB2MD2FAtwyyocFgqGQn6ADyI/edit?usp=sharing"",""กระบี่!N234"")"),0)</f>
        <v>0</v>
      </c>
      <c r="CC75" s="88">
        <f t="shared" ca="1" si="126"/>
        <v>0</v>
      </c>
      <c r="CD75" s="82">
        <f ca="1">IFERROR(__xludf.DUMMYFUNCTION("IMPORTRANGE(""https://docs.google.com/spreadsheets/d/1kKUcYdkIfrgTSj8iHHHB2MD2FAtwyyocFgqGQn6ADyI/edit?usp=sharing"",""กระบี่!L235"")"),0)</f>
        <v>0</v>
      </c>
      <c r="CE75" s="82">
        <f ca="1">IFERROR(__xludf.DUMMYFUNCTION("IMPORTRANGE(""https://docs.google.com/spreadsheets/d/1kKUcYdkIfrgTSj8iHHHB2MD2FAtwyyocFgqGQn6ADyI/edit?usp=sharing"",""กระบี่!N235"")"),0)</f>
        <v>0</v>
      </c>
      <c r="CF75" s="88">
        <f t="shared" ca="1" si="128"/>
        <v>0</v>
      </c>
      <c r="CG75" s="82">
        <f ca="1">IFERROR(__xludf.DUMMYFUNCTION("IMPORTRANGE(""https://docs.google.com/spreadsheets/d/1kKUcYdkIfrgTSj8iHHHB2MD2FAtwyyocFgqGQn6ADyI/edit?usp=sharing"",""กระบี่!L236"")"),0)</f>
        <v>0</v>
      </c>
      <c r="CH75" s="82">
        <f ca="1">IFERROR(__xludf.DUMMYFUNCTION("IMPORTRANGE(""https://docs.google.com/spreadsheets/d/1kKUcYdkIfrgTSj8iHHHB2MD2FAtwyyocFgqGQn6ADyI/edit?usp=sharing"",""กระบี่!N236"")"),0)</f>
        <v>0</v>
      </c>
      <c r="CI75" s="88">
        <f t="shared" ca="1" si="130"/>
        <v>0</v>
      </c>
      <c r="CJ75" s="82">
        <f ca="1">IFERROR(__xludf.DUMMYFUNCTION("IMPORTRANGE(""https://docs.google.com/spreadsheets/d/1kKUcYdkIfrgTSj8iHHHB2MD2FAtwyyocFgqGQn6ADyI/edit?usp=sharing"",""กระบี่!I238"")"),0)</f>
        <v>0</v>
      </c>
      <c r="CK75" s="82">
        <f ca="1">IFERROR(__xludf.DUMMYFUNCTION("IMPORTRANGE(""https://docs.google.com/spreadsheets/d/1kKUcYdkIfrgTSj8iHHHB2MD2FAtwyyocFgqGQn6ADyI/edit?usp=sharing"",""กระบี่!J238"")"),0)</f>
        <v>0</v>
      </c>
      <c r="CL75" s="88">
        <f t="shared" ca="1" si="132"/>
        <v>0</v>
      </c>
      <c r="CM75" s="82">
        <f ca="1">IFERROR(__xludf.DUMMYFUNCTION("IMPORTRANGE(""https://docs.google.com/spreadsheets/d/1kKUcYdkIfrgTSj8iHHHB2MD2FAtwyyocFgqGQn6ADyI/edit?usp=sharing"",""กระบี่!J240"")"),0)</f>
        <v>0</v>
      </c>
      <c r="CN75" s="82">
        <f ca="1">IFERROR(__xludf.DUMMYFUNCTION("IMPORTRANGE(""https://docs.google.com/spreadsheets/d/1kKUcYdkIfrgTSj8iHHHB2MD2FAtwyyocFgqGQn6ADyI/edit?usp=sharing"",""กระบี่!J241"")"),0)</f>
        <v>0</v>
      </c>
    </row>
    <row r="76" spans="1:92" ht="21" customHeight="1" x14ac:dyDescent="0.3">
      <c r="A76" s="89">
        <v>2</v>
      </c>
      <c r="B76" s="90" t="s">
        <v>102</v>
      </c>
      <c r="C76" s="174">
        <f t="shared" ca="1" si="80"/>
        <v>55500</v>
      </c>
      <c r="D76" s="175">
        <f t="shared" ca="1" si="209"/>
        <v>55500</v>
      </c>
      <c r="E76" s="176">
        <f ca="1">IFERROR(__xludf.DUMMYFUNCTION("IMPORTRANGE(""https://docs.google.com/spreadsheets/d/1-uDff_7J0KD5mKrp0Vvzr7lt3OU09vwQwhkpOPPYv2Y/edit?usp=sharing"",""งบพรบ!CV76"")"),0)</f>
        <v>0</v>
      </c>
      <c r="F76" s="176">
        <f ca="1">IFERROR(__xludf.DUMMYFUNCTION("IMPORTRANGE(""https://docs.google.com/spreadsheets/d/1-uDff_7J0KD5mKrp0Vvzr7lt3OU09vwQwhkpOPPYv2Y/edit?usp=sharing"",""งบพรบ!CW76"")"),55500)</f>
        <v>55500</v>
      </c>
      <c r="G76" s="176">
        <f ca="1">IFERROR(__xludf.DUMMYFUNCTION("IMPORTRANGE(""https://docs.google.com/spreadsheets/d/1-uDff_7J0KD5mKrp0Vvzr7lt3OU09vwQwhkpOPPYv2Y/edit?usp=sharing"",""งบพรบ!CX76"")"),0)</f>
        <v>0</v>
      </c>
      <c r="H76" s="176">
        <f ca="1">IFERROR(__xludf.DUMMYFUNCTION("IMPORTRANGE(""https://docs.google.com/spreadsheets/d/1-uDff_7J0KD5mKrp0Vvzr7lt3OU09vwQwhkpOPPYv2Y/edit?usp=sharing"",""งบพรบ!CZ76"")"),62200)</f>
        <v>62200</v>
      </c>
      <c r="I76" s="176">
        <f ca="1">IFERROR(__xludf.DUMMYFUNCTION("IMPORTRANGE(""https://docs.google.com/spreadsheets/d/1-uDff_7J0KD5mKrp0Vvzr7lt3OU09vwQwhkpOPPYv2Y/edit?usp=sharing"",""งบพรบ!DA76"")"),0)</f>
        <v>0</v>
      </c>
      <c r="J76" s="176">
        <f t="shared" ca="1" si="82"/>
        <v>0</v>
      </c>
      <c r="K76" s="179">
        <f t="shared" ca="1" si="83"/>
        <v>0</v>
      </c>
      <c r="L76" s="176">
        <f ca="1">IFERROR(__xludf.DUMMYFUNCTION("IMPORTRANGE(""https://docs.google.com/spreadsheets/d/1-uDff_7J0KD5mKrp0Vvzr7lt3OU09vwQwhkpOPPYv2Y/edit?usp=sharing"",""งบพรบ!DB76"")"),0)</f>
        <v>0</v>
      </c>
      <c r="M76" s="87">
        <f t="shared" ca="1" si="84"/>
        <v>0</v>
      </c>
      <c r="N76" s="87">
        <f t="shared" ca="1" si="85"/>
        <v>0</v>
      </c>
      <c r="O76" s="86">
        <f ca="1">IFERROR(__xludf.DUMMYFUNCTION("IMPORTRANGE(""https://docs.google.com/spreadsheets/d/1-uDff_7J0KD5mKrp0Vvzr7lt3OU09vwQwhkpOPPYv2Y/edit?usp=sharing"",""งบพรบ!DC76"")"),0)</f>
        <v>0</v>
      </c>
      <c r="P76" s="86">
        <f t="shared" ca="1" si="86"/>
        <v>0</v>
      </c>
      <c r="Q76" s="87">
        <f t="shared" ca="1" si="87"/>
        <v>0</v>
      </c>
      <c r="R76" s="241">
        <f ca="1">IFERROR(__xludf.DUMMYFUNCTION("IMPORTRANGE(""https://docs.google.com/spreadsheets/d/1GwtLaSlNZkLk7iDqcyZz22giiy40b_usZZBXYciEN1U/edit?usp=sharing"",""ชุมพร!Q186"")"),77700)</f>
        <v>77700</v>
      </c>
      <c r="S76" s="242">
        <f ca="1">IFERROR(__xludf.DUMMYFUNCTION("IMPORTRANGE(""https://docs.google.com/spreadsheets/d/1GwtLaSlNZkLk7iDqcyZz22giiy40b_usZZBXYciEN1U/edit?usp=sharing"",""ชุมพร!R186"")"),0)</f>
        <v>0</v>
      </c>
      <c r="T76" s="242">
        <f ca="1">IFERROR(__xludf.DUMMYFUNCTION("IMPORTRANGE(""https://docs.google.com/spreadsheets/d/1GwtLaSlNZkLk7iDqcyZz22giiy40b_usZZBXYciEN1U/edit?usp=sharing"",""ชุมพร!S186"")"),0)</f>
        <v>0</v>
      </c>
      <c r="U76" s="243">
        <f t="shared" ca="1" si="89"/>
        <v>0</v>
      </c>
      <c r="V76" s="243">
        <f t="shared" ca="1" si="90"/>
        <v>0</v>
      </c>
      <c r="W76" s="97">
        <f ca="1">IFERROR(__xludf.DUMMYFUNCTION("IMPORTRANGE(""https://docs.google.com/spreadsheets/d/1GwtLaSlNZkLk7iDqcyZz22giiy40b_usZZBXYciEN1U/edit?usp=sharing"",""ชุมพร!L196"")"),6000)</f>
        <v>6000</v>
      </c>
      <c r="X76" s="97">
        <f ca="1">IFERROR(__xludf.DUMMYFUNCTION("IMPORTRANGE(""https://docs.google.com/spreadsheets/d/1GwtLaSlNZkLk7iDqcyZz22giiy40b_usZZBXYciEN1U/edit?usp=sharing"",""ชุมพร!N196"")"),0)</f>
        <v>0</v>
      </c>
      <c r="Y76" s="98">
        <f t="shared" ca="1" si="92"/>
        <v>0</v>
      </c>
      <c r="Z76" s="97">
        <f ca="1">IFERROR(__xludf.DUMMYFUNCTION("IMPORTRANGE(""https://docs.google.com/spreadsheets/d/1GwtLaSlNZkLk7iDqcyZz22giiy40b_usZZBXYciEN1U/edit?usp=sharing"",""ชุมพร!I198"")"),4)</f>
        <v>4</v>
      </c>
      <c r="AA76" s="97">
        <f ca="1">IFERROR(__xludf.DUMMYFUNCTION("IMPORTRANGE(""https://docs.google.com/spreadsheets/d/1GwtLaSlNZkLk7iDqcyZz22giiy40b_usZZBXYciEN1U/edit?usp=sharing"",""ชุมพร!J198"")"),0)</f>
        <v>0</v>
      </c>
      <c r="AB76" s="98">
        <f t="shared" ca="1" si="94"/>
        <v>0</v>
      </c>
      <c r="AC76" s="97">
        <f ca="1">IFERROR(__xludf.DUMMYFUNCTION("IMPORTRANGE(""https://docs.google.com/spreadsheets/d/1GwtLaSlNZkLk7iDqcyZz22giiy40b_usZZBXYciEN1U/edit?usp=sharing"",""ชุมพร!J199"")"),0)</f>
        <v>0</v>
      </c>
      <c r="AD76" s="97">
        <f ca="1">IFERROR(__xludf.DUMMYFUNCTION("IMPORTRANGE(""https://docs.google.com/spreadsheets/d/1GwtLaSlNZkLk7iDqcyZz22giiy40b_usZZBXYciEN1U/edit?usp=sharing"",""ชุมพร!J200"")"),0)</f>
        <v>0</v>
      </c>
      <c r="AE76" s="97">
        <f ca="1">IFERROR(__xludf.DUMMYFUNCTION("IMPORTRANGE(""https://docs.google.com/spreadsheets/d/1GwtLaSlNZkLk7iDqcyZz22giiy40b_usZZBXYciEN1U/edit?usp=sharing"",""ชุมพร!J201"")"),0)</f>
        <v>0</v>
      </c>
      <c r="AF76" s="97">
        <f ca="1">IFERROR(__xludf.DUMMYFUNCTION("IMPORTRANGE(""https://docs.google.com/spreadsheets/d/1GwtLaSlNZkLk7iDqcyZz22giiy40b_usZZBXYciEN1U/edit?usp=sharing"",""ชุมพร!L204"")"),2000)</f>
        <v>2000</v>
      </c>
      <c r="AG76" s="97">
        <f ca="1">IFERROR(__xludf.DUMMYFUNCTION("IMPORTRANGE(""https://docs.google.com/spreadsheets/d/1GwtLaSlNZkLk7iDqcyZz22giiy40b_usZZBXYciEN1U/edit?usp=sharing"",""ชุมพร!N204"")"),0)</f>
        <v>0</v>
      </c>
      <c r="AH76" s="98">
        <f t="shared" ca="1" si="96"/>
        <v>0</v>
      </c>
      <c r="AI76" s="97">
        <f ca="1">IFERROR(__xludf.DUMMYFUNCTION("IMPORTRANGE(""https://docs.google.com/spreadsheets/d/1GwtLaSlNZkLk7iDqcyZz22giiy40b_usZZBXYciEN1U/edit?usp=sharing"",""ชุมพร!L206"")"),16000)</f>
        <v>16000</v>
      </c>
      <c r="AJ76" s="97">
        <f ca="1">IFERROR(__xludf.DUMMYFUNCTION("IMPORTRANGE(""https://docs.google.com/spreadsheets/d/1GwtLaSlNZkLk7iDqcyZz22giiy40b_usZZBXYciEN1U/edit?usp=sharing"",""ชุมพร!N206"")"),0)</f>
        <v>0</v>
      </c>
      <c r="AK76" s="98">
        <f t="shared" ca="1" si="98"/>
        <v>0</v>
      </c>
      <c r="AL76" s="97">
        <f ca="1">IFERROR(__xludf.DUMMYFUNCTION("IMPORTRANGE(""https://docs.google.com/spreadsheets/d/1GwtLaSlNZkLk7iDqcyZz22giiy40b_usZZBXYciEN1U/edit?usp=sharing"",""ชุมพร!L207"")"),13000)</f>
        <v>13000</v>
      </c>
      <c r="AM76" s="97">
        <f ca="1">IFERROR(__xludf.DUMMYFUNCTION("IMPORTRANGE(""https://docs.google.com/spreadsheets/d/1GwtLaSlNZkLk7iDqcyZz22giiy40b_usZZBXYciEN1U/edit?usp=sharing"",""ชุมพร!N207"")"),0)</f>
        <v>0</v>
      </c>
      <c r="AN76" s="98">
        <f t="shared" ca="1" si="100"/>
        <v>0</v>
      </c>
      <c r="AO76" s="97">
        <f ca="1">IFERROR(__xludf.DUMMYFUNCTION("IMPORTRANGE(""https://docs.google.com/spreadsheets/d/1GwtLaSlNZkLk7iDqcyZz22giiy40b_usZZBXYciEN1U/edit?usp=sharing"",""ชุมพร!I209"")"),2)</f>
        <v>2</v>
      </c>
      <c r="AP76" s="97">
        <f ca="1">IFERROR(__xludf.DUMMYFUNCTION("IMPORTRANGE(""https://docs.google.com/spreadsheets/d/1GwtLaSlNZkLk7iDqcyZz22giiy40b_usZZBXYciEN1U/edit?usp=sharing"",""ชุมพร!J209"")"),0)</f>
        <v>0</v>
      </c>
      <c r="AQ76" s="98">
        <f t="shared" ca="1" si="102"/>
        <v>0</v>
      </c>
      <c r="AR76" s="97">
        <f ca="1">IFERROR(__xludf.DUMMYFUNCTION("IMPORTRANGE(""https://docs.google.com/spreadsheets/d/1GwtLaSlNZkLk7iDqcyZz22giiy40b_usZZBXYciEN1U/edit?usp=sharing"",""ชุมพร!J211"")"),0)</f>
        <v>0</v>
      </c>
      <c r="AS76" s="97">
        <f ca="1">IFERROR(__xludf.DUMMYFUNCTION("IMPORTRANGE(""https://docs.google.com/spreadsheets/d/1GwtLaSlNZkLk7iDqcyZz22giiy40b_usZZBXYciEN1U/edit?usp=sharing"",""ชุมพร!J212"")"),0)</f>
        <v>0</v>
      </c>
      <c r="AT76" s="97">
        <f ca="1">IFERROR(__xludf.DUMMYFUNCTION("IMPORTRANGE(""https://docs.google.com/spreadsheets/d/1GwtLaSlNZkLk7iDqcyZz22giiy40b_usZZBXYciEN1U/edit?usp=sharing"",""ชุมพร!L215"")"),1000)</f>
        <v>1000</v>
      </c>
      <c r="AU76" s="97">
        <f ca="1">IFERROR(__xludf.DUMMYFUNCTION("IMPORTRANGE(""https://docs.google.com/spreadsheets/d/1GwtLaSlNZkLk7iDqcyZz22giiy40b_usZZBXYciEN1U/edit?usp=sharing"",""ชุมพร!N215"")"),0)</f>
        <v>0</v>
      </c>
      <c r="AV76" s="98">
        <f t="shared" ca="1" si="104"/>
        <v>0</v>
      </c>
      <c r="AW76" s="97">
        <f ca="1">IFERROR(__xludf.DUMMYFUNCTION("IMPORTRANGE(""https://docs.google.com/spreadsheets/d/1GwtLaSlNZkLk7iDqcyZz22giiy40b_usZZBXYciEN1U/edit?usp=sharing"",""ชุมพร!L216"")"),5000)</f>
        <v>5000</v>
      </c>
      <c r="AX76" s="97">
        <f ca="1">IFERROR(__xludf.DUMMYFUNCTION("IMPORTRANGE(""https://docs.google.com/spreadsheets/d/1GwtLaSlNZkLk7iDqcyZz22giiy40b_usZZBXYciEN1U/edit?usp=sharing"",""ชุมพร!N216"")"),0)</f>
        <v>0</v>
      </c>
      <c r="AY76" s="98">
        <f t="shared" ca="1" si="106"/>
        <v>0</v>
      </c>
      <c r="AZ76" s="97">
        <f ca="1">IFERROR(__xludf.DUMMYFUNCTION("IMPORTRANGE(""https://docs.google.com/spreadsheets/d/1GwtLaSlNZkLk7iDqcyZz22giiy40b_usZZBXYciEN1U/edit?usp=sharing"",""ชุมพร!L217"")"),8000)</f>
        <v>8000</v>
      </c>
      <c r="BA76" s="97">
        <f ca="1">IFERROR(__xludf.DUMMYFUNCTION("IMPORTRANGE(""https://docs.google.com/spreadsheets/d/1GwtLaSlNZkLk7iDqcyZz22giiy40b_usZZBXYciEN1U/edit?usp=sharing"",""ชุมพร!N217"")"),0)</f>
        <v>0</v>
      </c>
      <c r="BB76" s="98">
        <f t="shared" ca="1" si="108"/>
        <v>0</v>
      </c>
      <c r="BC76" s="97">
        <f ca="1">IFERROR(__xludf.DUMMYFUNCTION("IMPORTRANGE(""https://docs.google.com/spreadsheets/d/1GwtLaSlNZkLk7iDqcyZz22giiy40b_usZZBXYciEN1U/edit?usp=sharing"",""ชุมพร!I219"")"),1)</f>
        <v>1</v>
      </c>
      <c r="BD76" s="97">
        <f ca="1">IFERROR(__xludf.DUMMYFUNCTION("IMPORTRANGE(""https://docs.google.com/spreadsheets/d/1GwtLaSlNZkLk7iDqcyZz22giiy40b_usZZBXYciEN1U/edit?usp=sharing"",""ชุมพร!J219"")"),0)</f>
        <v>0</v>
      </c>
      <c r="BE76" s="98">
        <f t="shared" ca="1" si="110"/>
        <v>0</v>
      </c>
      <c r="BF76" s="97">
        <f ca="1">IFERROR(__xludf.DUMMYFUNCTION("IMPORTRANGE(""https://docs.google.com/spreadsheets/d/1GwtLaSlNZkLk7iDqcyZz22giiy40b_usZZBXYciEN1U/edit?usp=sharing"",""ชุมพร!I220"")"),1)</f>
        <v>1</v>
      </c>
      <c r="BG76" s="97">
        <f ca="1">IFERROR(__xludf.DUMMYFUNCTION("IMPORTRANGE(""https://docs.google.com/spreadsheets/d/1GwtLaSlNZkLk7iDqcyZz22giiy40b_usZZBXYciEN1U/edit?usp=sharing"",""ชุมพร!J220"")"),0)</f>
        <v>0</v>
      </c>
      <c r="BH76" s="98">
        <f t="shared" ca="1" si="112"/>
        <v>0</v>
      </c>
      <c r="BI76" s="97">
        <f ca="1">IFERROR(__xludf.DUMMYFUNCTION("IMPORTRANGE(""https://docs.google.com/spreadsheets/d/1GwtLaSlNZkLk7iDqcyZz22giiy40b_usZZBXYciEN1U/edit?usp=sharing"",""ชุมพร!L223"")"),3000)</f>
        <v>3000</v>
      </c>
      <c r="BJ76" s="97">
        <f ca="1">IFERROR(__xludf.DUMMYFUNCTION("IMPORTRANGE(""https://docs.google.com/spreadsheets/d/1GwtLaSlNZkLk7iDqcyZz22giiy40b_usZZBXYciEN1U/edit?usp=sharing"",""ชุมพร!N223"")"),0)</f>
        <v>0</v>
      </c>
      <c r="BK76" s="98">
        <f t="shared" ca="1" si="114"/>
        <v>0</v>
      </c>
      <c r="BL76" s="97">
        <f ca="1">IFERROR(__xludf.DUMMYFUNCTION("IMPORTRANGE(""https://docs.google.com/spreadsheets/d/1GwtLaSlNZkLk7iDqcyZz22giiy40b_usZZBXYciEN1U/edit?usp=sharing"",""ชุมพร!L224"")"),1500)</f>
        <v>1500</v>
      </c>
      <c r="BM76" s="97">
        <f ca="1">IFERROR(__xludf.DUMMYFUNCTION("IMPORTRANGE(""https://docs.google.com/spreadsheets/d/1GwtLaSlNZkLk7iDqcyZz22giiy40b_usZZBXYciEN1U/edit?usp=sharing"",""ชุมพร!N224"")"),0)</f>
        <v>0</v>
      </c>
      <c r="BN76" s="98">
        <f t="shared" ca="1" si="116"/>
        <v>0</v>
      </c>
      <c r="BO76" s="97">
        <f ca="1">IFERROR(__xludf.DUMMYFUNCTION("IMPORTRANGE(""https://docs.google.com/spreadsheets/d/1GwtLaSlNZkLk7iDqcyZz22giiy40b_usZZBXYciEN1U/edit?usp=sharing"",""ชุมพร!I228"")"),20000)</f>
        <v>20000</v>
      </c>
      <c r="BP76" s="97">
        <f ca="1">IFERROR(__xludf.DUMMYFUNCTION("IMPORTRANGE(""https://docs.google.com/spreadsheets/d/1GwtLaSlNZkLk7iDqcyZz22giiy40b_usZZBXYciEN1U/edit?usp=sharing"",""ชุมพร!J228"")"),0)</f>
        <v>0</v>
      </c>
      <c r="BQ76" s="98">
        <f t="shared" ca="1" si="118"/>
        <v>0</v>
      </c>
      <c r="BR76" s="97">
        <f ca="1">IFERROR(__xludf.DUMMYFUNCTION("IMPORTRANGE(""https://docs.google.com/spreadsheets/d/1GwtLaSlNZkLk7iDqcyZz22giiy40b_usZZBXYciEN1U/edit?usp=sharing"",""ชุมพร!I229"")"),20000)</f>
        <v>20000</v>
      </c>
      <c r="BS76" s="97">
        <f ca="1">IFERROR(__xludf.DUMMYFUNCTION("IMPORTRANGE(""https://docs.google.com/spreadsheets/d/1GwtLaSlNZkLk7iDqcyZz22giiy40b_usZZBXYciEN1U/edit?usp=sharing"",""ชุมพร!J229"")"),0)</f>
        <v>0</v>
      </c>
      <c r="BT76" s="98">
        <f t="shared" ca="1" si="120"/>
        <v>0</v>
      </c>
      <c r="BU76" s="97">
        <f ca="1">IFERROR(__xludf.DUMMYFUNCTION("IMPORTRANGE(""https://docs.google.com/spreadsheets/d/1GwtLaSlNZkLk7iDqcyZz22giiy40b_usZZBXYciEN1U/edit?usp=sharing"",""ชุมพร!I230"")"),0)</f>
        <v>0</v>
      </c>
      <c r="BV76" s="97">
        <f ca="1">IFERROR(__xludf.DUMMYFUNCTION("IMPORTRANGE(""https://docs.google.com/spreadsheets/d/1GwtLaSlNZkLk7iDqcyZz22giiy40b_usZZBXYciEN1U/edit?usp=sharing"",""ชุมพร!J230"")"),0)</f>
        <v>0</v>
      </c>
      <c r="BW76" s="98">
        <f t="shared" ca="1" si="122"/>
        <v>0</v>
      </c>
      <c r="BX76" s="97">
        <f ca="1">IFERROR(__xludf.DUMMYFUNCTION("IMPORTRANGE(""https://docs.google.com/spreadsheets/d/1GwtLaSlNZkLk7iDqcyZz22giiy40b_usZZBXYciEN1U/edit?usp=sharing"",""ชุมพร!L233"")"),0)</f>
        <v>0</v>
      </c>
      <c r="BY76" s="97">
        <f ca="1">IFERROR(__xludf.DUMMYFUNCTION("IMPORTRANGE(""https://docs.google.com/spreadsheets/d/1GwtLaSlNZkLk7iDqcyZz22giiy40b_usZZBXYciEN1U/edit?usp=sharing"",""ชุมพร!N233"")"),0)</f>
        <v>0</v>
      </c>
      <c r="BZ76" s="98">
        <f t="shared" ca="1" si="124"/>
        <v>0</v>
      </c>
      <c r="CA76" s="97">
        <f ca="1">IFERROR(__xludf.DUMMYFUNCTION("IMPORTRANGE(""https://docs.google.com/spreadsheets/d/1GwtLaSlNZkLk7iDqcyZz22giiy40b_usZZBXYciEN1U/edit?usp=sharing"",""ชุมพร!L234"")"),0)</f>
        <v>0</v>
      </c>
      <c r="CB76" s="97">
        <f ca="1">IFERROR(__xludf.DUMMYFUNCTION("IMPORTRANGE(""https://docs.google.com/spreadsheets/d/1GwtLaSlNZkLk7iDqcyZz22giiy40b_usZZBXYciEN1U/edit?usp=sharing"",""ชุมพร!N234"")"),0)</f>
        <v>0</v>
      </c>
      <c r="CC76" s="98">
        <f t="shared" ca="1" si="126"/>
        <v>0</v>
      </c>
      <c r="CD76" s="97">
        <f ca="1">IFERROR(__xludf.DUMMYFUNCTION("IMPORTRANGE(""https://docs.google.com/spreadsheets/d/1GwtLaSlNZkLk7iDqcyZz22giiy40b_usZZBXYciEN1U/edit?usp=sharing"",""ชุมพร!L235"")"),0)</f>
        <v>0</v>
      </c>
      <c r="CE76" s="97">
        <f ca="1">IFERROR(__xludf.DUMMYFUNCTION("IMPORTRANGE(""https://docs.google.com/spreadsheets/d/1GwtLaSlNZkLk7iDqcyZz22giiy40b_usZZBXYciEN1U/edit?usp=sharing"",""ชุมพร!N235"")"),0)</f>
        <v>0</v>
      </c>
      <c r="CF76" s="98">
        <f t="shared" ca="1" si="128"/>
        <v>0</v>
      </c>
      <c r="CG76" s="97">
        <f ca="1">IFERROR(__xludf.DUMMYFUNCTION("IMPORTRANGE(""https://docs.google.com/spreadsheets/d/1GwtLaSlNZkLk7iDqcyZz22giiy40b_usZZBXYciEN1U/edit?usp=sharing"",""ชุมพร!L236"")"),0)</f>
        <v>0</v>
      </c>
      <c r="CH76" s="97">
        <f ca="1">IFERROR(__xludf.DUMMYFUNCTION("IMPORTRANGE(""https://docs.google.com/spreadsheets/d/1GwtLaSlNZkLk7iDqcyZz22giiy40b_usZZBXYciEN1U/edit?usp=sharing"",""ชุมพร!N236"")"),0)</f>
        <v>0</v>
      </c>
      <c r="CI76" s="98">
        <f t="shared" ca="1" si="130"/>
        <v>0</v>
      </c>
      <c r="CJ76" s="97">
        <f ca="1">IFERROR(__xludf.DUMMYFUNCTION("IMPORTRANGE(""https://docs.google.com/spreadsheets/d/1GwtLaSlNZkLk7iDqcyZz22giiy40b_usZZBXYciEN1U/edit?usp=sharing"",""ชุมพร!I238"")"),0)</f>
        <v>0</v>
      </c>
      <c r="CK76" s="97">
        <f ca="1">IFERROR(__xludf.DUMMYFUNCTION("IMPORTRANGE(""https://docs.google.com/spreadsheets/d/1GwtLaSlNZkLk7iDqcyZz22giiy40b_usZZBXYciEN1U/edit?usp=sharing"",""ชุมพร!J238"")"),0)</f>
        <v>0</v>
      </c>
      <c r="CL76" s="98">
        <f t="shared" ca="1" si="132"/>
        <v>0</v>
      </c>
      <c r="CM76" s="97">
        <f ca="1">IFERROR(__xludf.DUMMYFUNCTION("IMPORTRANGE(""https://docs.google.com/spreadsheets/d/1GwtLaSlNZkLk7iDqcyZz22giiy40b_usZZBXYciEN1U/edit?usp=sharing"",""ชุมพร!J240"")"),0)</f>
        <v>0</v>
      </c>
      <c r="CN76" s="97">
        <f ca="1">IFERROR(__xludf.DUMMYFUNCTION("IMPORTRANGE(""https://docs.google.com/spreadsheets/d/1GwtLaSlNZkLk7iDqcyZz22giiy40b_usZZBXYciEN1U/edit?usp=sharing"",""ชุมพร!J241"")"),0)</f>
        <v>0</v>
      </c>
    </row>
    <row r="77" spans="1:92" ht="21" customHeight="1" x14ac:dyDescent="0.3">
      <c r="A77" s="89">
        <v>3</v>
      </c>
      <c r="B77" s="90" t="s">
        <v>103</v>
      </c>
      <c r="C77" s="174">
        <f t="shared" ca="1" si="80"/>
        <v>23500</v>
      </c>
      <c r="D77" s="175">
        <f t="shared" ca="1" si="209"/>
        <v>23500</v>
      </c>
      <c r="E77" s="176">
        <f ca="1">IFERROR(__xludf.DUMMYFUNCTION("IMPORTRANGE(""https://docs.google.com/spreadsheets/d/1-uDff_7J0KD5mKrp0Vvzr7lt3OU09vwQwhkpOPPYv2Y/edit?usp=sharing"",""งบพรบ!CV77"")"),0)</f>
        <v>0</v>
      </c>
      <c r="F77" s="176">
        <f ca="1">IFERROR(__xludf.DUMMYFUNCTION("IMPORTRANGE(""https://docs.google.com/spreadsheets/d/1-uDff_7J0KD5mKrp0Vvzr7lt3OU09vwQwhkpOPPYv2Y/edit?usp=sharing"",""งบพรบ!CW77"")"),23500)</f>
        <v>23500</v>
      </c>
      <c r="G77" s="176">
        <f ca="1">IFERROR(__xludf.DUMMYFUNCTION("IMPORTRANGE(""https://docs.google.com/spreadsheets/d/1-uDff_7J0KD5mKrp0Vvzr7lt3OU09vwQwhkpOPPYv2Y/edit?usp=sharing"",""งบพรบ!CX77"")"),0)</f>
        <v>0</v>
      </c>
      <c r="H77" s="176">
        <f ca="1">IFERROR(__xludf.DUMMYFUNCTION("IMPORTRANGE(""https://docs.google.com/spreadsheets/d/1-uDff_7J0KD5mKrp0Vvzr7lt3OU09vwQwhkpOPPYv2Y/edit?usp=sharing"",""งบพรบ!CZ77"")"),32200)</f>
        <v>32200</v>
      </c>
      <c r="I77" s="176">
        <f ca="1">IFERROR(__xludf.DUMMYFUNCTION("IMPORTRANGE(""https://docs.google.com/spreadsheets/d/1-uDff_7J0KD5mKrp0Vvzr7lt3OU09vwQwhkpOPPYv2Y/edit?usp=sharing"",""งบพรบ!DA77"")"),0)</f>
        <v>0</v>
      </c>
      <c r="J77" s="176">
        <f t="shared" ca="1" si="82"/>
        <v>4940</v>
      </c>
      <c r="K77" s="179">
        <f t="shared" ca="1" si="83"/>
        <v>21.021276595744681</v>
      </c>
      <c r="L77" s="176">
        <f ca="1">IFERROR(__xludf.DUMMYFUNCTION("IMPORTRANGE(""https://docs.google.com/spreadsheets/d/1-uDff_7J0KD5mKrp0Vvzr7lt3OU09vwQwhkpOPPYv2Y/edit?usp=sharing"",""งบพรบ!DB77"")"),4940)</f>
        <v>4940</v>
      </c>
      <c r="M77" s="87">
        <f t="shared" ca="1" si="84"/>
        <v>21.021276595744681</v>
      </c>
      <c r="N77" s="87">
        <f t="shared" ca="1" si="85"/>
        <v>15.341614906832298</v>
      </c>
      <c r="O77" s="86">
        <f ca="1">IFERROR(__xludf.DUMMYFUNCTION("IMPORTRANGE(""https://docs.google.com/spreadsheets/d/1-uDff_7J0KD5mKrp0Vvzr7lt3OU09vwQwhkpOPPYv2Y/edit?usp=sharing"",""งบพรบ!DC77"")"),0)</f>
        <v>0</v>
      </c>
      <c r="P77" s="86">
        <f t="shared" ca="1" si="86"/>
        <v>0</v>
      </c>
      <c r="Q77" s="87">
        <f t="shared" ca="1" si="87"/>
        <v>0</v>
      </c>
      <c r="R77" s="241">
        <f ca="1">IFERROR(__xludf.DUMMYFUNCTION("IMPORTRANGE(""https://docs.google.com/spreadsheets/d/16pAz3pOhQEZBhvFNMa5KGgZS6iKWpsKX0pg6tQmwFpo/edit?usp=sharing"",""ตรัง!Q186"")"),14000)</f>
        <v>14000</v>
      </c>
      <c r="S77" s="242">
        <f ca="1">IFERROR(__xludf.DUMMYFUNCTION("IMPORTRANGE(""https://docs.google.com/spreadsheets/d/16pAz3pOhQEZBhvFNMa5KGgZS6iKWpsKX0pg6tQmwFpo/edit?usp=sharing"",""ตรัง!R186"")"),0)</f>
        <v>0</v>
      </c>
      <c r="T77" s="242">
        <f ca="1">IFERROR(__xludf.DUMMYFUNCTION("IMPORTRANGE(""https://docs.google.com/spreadsheets/d/16pAz3pOhQEZBhvFNMa5KGgZS6iKWpsKX0pg6tQmwFpo/edit?usp=sharing"",""ตรัง!S186"")"),0)</f>
        <v>0</v>
      </c>
      <c r="U77" s="243">
        <f t="shared" ca="1" si="89"/>
        <v>0</v>
      </c>
      <c r="V77" s="243">
        <f t="shared" ca="1" si="90"/>
        <v>0</v>
      </c>
      <c r="W77" s="97">
        <f ca="1">IFERROR(__xludf.DUMMYFUNCTION("IMPORTRANGE(""https://docs.google.com/spreadsheets/d/16pAz3pOhQEZBhvFNMa5KGgZS6iKWpsKX0pg6tQmwFpo/edit?usp=sharing"",""ตรัง!L196"")"),6000)</f>
        <v>6000</v>
      </c>
      <c r="X77" s="97">
        <f ca="1">IFERROR(__xludf.DUMMYFUNCTION("IMPORTRANGE(""https://docs.google.com/spreadsheets/d/16pAz3pOhQEZBhvFNMa5KGgZS6iKWpsKX0pg6tQmwFpo/edit?usp=sharing"",""ตรัง!N196"")"),0)</f>
        <v>0</v>
      </c>
      <c r="Y77" s="98">
        <f t="shared" ca="1" si="92"/>
        <v>0</v>
      </c>
      <c r="Z77" s="97">
        <f ca="1">IFERROR(__xludf.DUMMYFUNCTION("IMPORTRANGE(""https://docs.google.com/spreadsheets/d/16pAz3pOhQEZBhvFNMa5KGgZS6iKWpsKX0pg6tQmwFpo/edit?usp=sharing"",""ตรัง!I198"")"),4)</f>
        <v>4</v>
      </c>
      <c r="AA77" s="97">
        <f ca="1">IFERROR(__xludf.DUMMYFUNCTION("IMPORTRANGE(""https://docs.google.com/spreadsheets/d/16pAz3pOhQEZBhvFNMa5KGgZS6iKWpsKX0pg6tQmwFpo/edit?usp=sharing"",""ตรัง!J198"")"),2)</f>
        <v>2</v>
      </c>
      <c r="AB77" s="98">
        <f t="shared" ca="1" si="94"/>
        <v>50</v>
      </c>
      <c r="AC77" s="97">
        <f ca="1">IFERROR(__xludf.DUMMYFUNCTION("IMPORTRANGE(""https://docs.google.com/spreadsheets/d/16pAz3pOhQEZBhvFNMa5KGgZS6iKWpsKX0pg6tQmwFpo/edit?usp=sharing"",""ตรัง!J199"")"),72)</f>
        <v>72</v>
      </c>
      <c r="AD77" s="97">
        <f ca="1">IFERROR(__xludf.DUMMYFUNCTION("IMPORTRANGE(""https://docs.google.com/spreadsheets/d/16pAz3pOhQEZBhvFNMa5KGgZS6iKWpsKX0pg6tQmwFpo/edit?usp=sharing"",""ตรัง!J200"")"),72)</f>
        <v>72</v>
      </c>
      <c r="AE77" s="97">
        <f ca="1">IFERROR(__xludf.DUMMYFUNCTION("IMPORTRANGE(""https://docs.google.com/spreadsheets/d/16pAz3pOhQEZBhvFNMa5KGgZS6iKWpsKX0pg6tQmwFpo/edit?usp=sharing"",""ตรัง!J201"")"),0)</f>
        <v>0</v>
      </c>
      <c r="AF77" s="97">
        <f ca="1">IFERROR(__xludf.DUMMYFUNCTION("IMPORTRANGE(""https://docs.google.com/spreadsheets/d/16pAz3pOhQEZBhvFNMa5KGgZS6iKWpsKX0pg6tQmwFpo/edit?usp=sharing"",""ตรัง!L204"")"),1000)</f>
        <v>1000</v>
      </c>
      <c r="AG77" s="97">
        <f ca="1">IFERROR(__xludf.DUMMYFUNCTION("IMPORTRANGE(""https://docs.google.com/spreadsheets/d/16pAz3pOhQEZBhvFNMa5KGgZS6iKWpsKX0pg6tQmwFpo/edit?usp=sharing"",""ตรัง!N204"")"),0)</f>
        <v>0</v>
      </c>
      <c r="AH77" s="98">
        <f t="shared" ca="1" si="96"/>
        <v>0</v>
      </c>
      <c r="AI77" s="97">
        <f ca="1">IFERROR(__xludf.DUMMYFUNCTION("IMPORTRANGE(""https://docs.google.com/spreadsheets/d/16pAz3pOhQEZBhvFNMa5KGgZS6iKWpsKX0pg6tQmwFpo/edit?usp=sharing"",""ตรัง!L206"")"),8000)</f>
        <v>8000</v>
      </c>
      <c r="AJ77" s="97">
        <f ca="1">IFERROR(__xludf.DUMMYFUNCTION("IMPORTRANGE(""https://docs.google.com/spreadsheets/d/16pAz3pOhQEZBhvFNMa5KGgZS6iKWpsKX0pg6tQmwFpo/edit?usp=sharing"",""ตรัง!N206"")"),0)</f>
        <v>0</v>
      </c>
      <c r="AK77" s="98">
        <f t="shared" ca="1" si="98"/>
        <v>0</v>
      </c>
      <c r="AL77" s="97">
        <f ca="1">IFERROR(__xludf.DUMMYFUNCTION("IMPORTRANGE(""https://docs.google.com/spreadsheets/d/16pAz3pOhQEZBhvFNMa5KGgZS6iKWpsKX0pg6tQmwFpo/edit?usp=sharing"",""ตรัง!L207"")"),4000)</f>
        <v>4000</v>
      </c>
      <c r="AM77" s="97">
        <f ca="1">IFERROR(__xludf.DUMMYFUNCTION("IMPORTRANGE(""https://docs.google.com/spreadsheets/d/16pAz3pOhQEZBhvFNMa5KGgZS6iKWpsKX0pg6tQmwFpo/edit?usp=sharing"",""ตรัง!N207"")"),0)</f>
        <v>0</v>
      </c>
      <c r="AN77" s="98">
        <f t="shared" ca="1" si="100"/>
        <v>0</v>
      </c>
      <c r="AO77" s="97">
        <f ca="1">IFERROR(__xludf.DUMMYFUNCTION("IMPORTRANGE(""https://docs.google.com/spreadsheets/d/16pAz3pOhQEZBhvFNMa5KGgZS6iKWpsKX0pg6tQmwFpo/edit?usp=sharing"",""ตรัง!I209"")"),1)</f>
        <v>1</v>
      </c>
      <c r="AP77" s="97">
        <f ca="1">IFERROR(__xludf.DUMMYFUNCTION("IMPORTRANGE(""https://docs.google.com/spreadsheets/d/16pAz3pOhQEZBhvFNMa5KGgZS6iKWpsKX0pg6tQmwFpo/edit?usp=sharing"",""ตรัง!J209"")"),0)</f>
        <v>0</v>
      </c>
      <c r="AQ77" s="98">
        <f t="shared" ca="1" si="102"/>
        <v>0</v>
      </c>
      <c r="AR77" s="97">
        <f ca="1">IFERROR(__xludf.DUMMYFUNCTION("IMPORTRANGE(""https://docs.google.com/spreadsheets/d/16pAz3pOhQEZBhvFNMa5KGgZS6iKWpsKX0pg6tQmwFpo/edit?usp=sharing"",""ตรัง!J211"")"),0)</f>
        <v>0</v>
      </c>
      <c r="AS77" s="97">
        <f ca="1">IFERROR(__xludf.DUMMYFUNCTION("IMPORTRANGE(""https://docs.google.com/spreadsheets/d/16pAz3pOhQEZBhvFNMa5KGgZS6iKWpsKX0pg6tQmwFpo/edit?usp=sharing"",""ตรัง!J212"")"),0)</f>
        <v>0</v>
      </c>
      <c r="AT77" s="97">
        <f ca="1">IFERROR(__xludf.DUMMYFUNCTION("IMPORTRANGE(""https://docs.google.com/spreadsheets/d/16pAz3pOhQEZBhvFNMa5KGgZS6iKWpsKX0pg6tQmwFpo/edit?usp=sharing"",""ตรัง!L215"")"),0)</f>
        <v>0</v>
      </c>
      <c r="AU77" s="97">
        <f ca="1">IFERROR(__xludf.DUMMYFUNCTION("IMPORTRANGE(""https://docs.google.com/spreadsheets/d/16pAz3pOhQEZBhvFNMa5KGgZS6iKWpsKX0pg6tQmwFpo/edit?usp=sharing"",""ตรัง!N215"")"),0)</f>
        <v>0</v>
      </c>
      <c r="AV77" s="98">
        <f t="shared" ca="1" si="104"/>
        <v>0</v>
      </c>
      <c r="AW77" s="97">
        <f ca="1">IFERROR(__xludf.DUMMYFUNCTION("IMPORTRANGE(""https://docs.google.com/spreadsheets/d/16pAz3pOhQEZBhvFNMa5KGgZS6iKWpsKX0pg6tQmwFpo/edit?usp=sharing"",""ตรัง!L216"")"),0)</f>
        <v>0</v>
      </c>
      <c r="AX77" s="97">
        <f ca="1">IFERROR(__xludf.DUMMYFUNCTION("IMPORTRANGE(""https://docs.google.com/spreadsheets/d/16pAz3pOhQEZBhvFNMa5KGgZS6iKWpsKX0pg6tQmwFpo/edit?usp=sharing"",""ตรัง!N216"")"),0)</f>
        <v>0</v>
      </c>
      <c r="AY77" s="98">
        <f t="shared" ca="1" si="106"/>
        <v>0</v>
      </c>
      <c r="AZ77" s="97">
        <f ca="1">IFERROR(__xludf.DUMMYFUNCTION("IMPORTRANGE(""https://docs.google.com/spreadsheets/d/16pAz3pOhQEZBhvFNMa5KGgZS6iKWpsKX0pg6tQmwFpo/edit?usp=sharing"",""ตรัง!L217"")"),0)</f>
        <v>0</v>
      </c>
      <c r="BA77" s="97">
        <f ca="1">IFERROR(__xludf.DUMMYFUNCTION("IMPORTRANGE(""https://docs.google.com/spreadsheets/d/16pAz3pOhQEZBhvFNMa5KGgZS6iKWpsKX0pg6tQmwFpo/edit?usp=sharing"",""ตรัง!N217"")"),0)</f>
        <v>0</v>
      </c>
      <c r="BB77" s="98">
        <f t="shared" ca="1" si="108"/>
        <v>0</v>
      </c>
      <c r="BC77" s="97">
        <f ca="1">IFERROR(__xludf.DUMMYFUNCTION("IMPORTRANGE(""https://docs.google.com/spreadsheets/d/16pAz3pOhQEZBhvFNMa5KGgZS6iKWpsKX0pg6tQmwFpo/edit?usp=sharing"",""ตรัง!I219"")"),0)</f>
        <v>0</v>
      </c>
      <c r="BD77" s="97">
        <f ca="1">IFERROR(__xludf.DUMMYFUNCTION("IMPORTRANGE(""https://docs.google.com/spreadsheets/d/16pAz3pOhQEZBhvFNMa5KGgZS6iKWpsKX0pg6tQmwFpo/edit?usp=sharing"",""ตรัง!J219"")"),0)</f>
        <v>0</v>
      </c>
      <c r="BE77" s="98">
        <f t="shared" ca="1" si="110"/>
        <v>0</v>
      </c>
      <c r="BF77" s="97">
        <f ca="1">IFERROR(__xludf.DUMMYFUNCTION("IMPORTRANGE(""https://docs.google.com/spreadsheets/d/16pAz3pOhQEZBhvFNMa5KGgZS6iKWpsKX0pg6tQmwFpo/edit?usp=sharing"",""ตรัง!I220"")"),0)</f>
        <v>0</v>
      </c>
      <c r="BG77" s="97">
        <f ca="1">IFERROR(__xludf.DUMMYFUNCTION("IMPORTRANGE(""https://docs.google.com/spreadsheets/d/16pAz3pOhQEZBhvFNMa5KGgZS6iKWpsKX0pg6tQmwFpo/edit?usp=sharing"",""ตรัง!J220"")"),0)</f>
        <v>0</v>
      </c>
      <c r="BH77" s="98">
        <f t="shared" ca="1" si="112"/>
        <v>0</v>
      </c>
      <c r="BI77" s="97">
        <f ca="1">IFERROR(__xludf.DUMMYFUNCTION("IMPORTRANGE(""https://docs.google.com/spreadsheets/d/16pAz3pOhQEZBhvFNMa5KGgZS6iKWpsKX0pg6tQmwFpo/edit?usp=sharing"",""ตรัง!L223"")"),3000)</f>
        <v>3000</v>
      </c>
      <c r="BJ77" s="97">
        <f ca="1">IFERROR(__xludf.DUMMYFUNCTION("IMPORTRANGE(""https://docs.google.com/spreadsheets/d/16pAz3pOhQEZBhvFNMa5KGgZS6iKWpsKX0pg6tQmwFpo/edit?usp=sharing"",""ตรัง!N223"")"),0)</f>
        <v>0</v>
      </c>
      <c r="BK77" s="98">
        <f t="shared" ca="1" si="114"/>
        <v>0</v>
      </c>
      <c r="BL77" s="97">
        <f ca="1">IFERROR(__xludf.DUMMYFUNCTION("IMPORTRANGE(""https://docs.google.com/spreadsheets/d/16pAz3pOhQEZBhvFNMa5KGgZS6iKWpsKX0pg6tQmwFpo/edit?usp=sharing"",""ตรัง!L224"")"),1500)</f>
        <v>1500</v>
      </c>
      <c r="BM77" s="97">
        <f ca="1">IFERROR(__xludf.DUMMYFUNCTION("IMPORTRANGE(""https://docs.google.com/spreadsheets/d/16pAz3pOhQEZBhvFNMa5KGgZS6iKWpsKX0pg6tQmwFpo/edit?usp=sharing"",""ตรัง!N224"")"),0)</f>
        <v>0</v>
      </c>
      <c r="BN77" s="98">
        <f t="shared" ca="1" si="116"/>
        <v>0</v>
      </c>
      <c r="BO77" s="97">
        <f ca="1">IFERROR(__xludf.DUMMYFUNCTION("IMPORTRANGE(""https://docs.google.com/spreadsheets/d/16pAz3pOhQEZBhvFNMa5KGgZS6iKWpsKX0pg6tQmwFpo/edit?usp=sharing"",""ตรัง!I228"")"),10000)</f>
        <v>10000</v>
      </c>
      <c r="BP77" s="97">
        <f ca="1">IFERROR(__xludf.DUMMYFUNCTION("IMPORTRANGE(""https://docs.google.com/spreadsheets/d/16pAz3pOhQEZBhvFNMa5KGgZS6iKWpsKX0pg6tQmwFpo/edit?usp=sharing"",""ตรัง!J228"")"),0)</f>
        <v>0</v>
      </c>
      <c r="BQ77" s="98">
        <f t="shared" ca="1" si="118"/>
        <v>0</v>
      </c>
      <c r="BR77" s="97">
        <f ca="1">IFERROR(__xludf.DUMMYFUNCTION("IMPORTRANGE(""https://docs.google.com/spreadsheets/d/16pAz3pOhQEZBhvFNMa5KGgZS6iKWpsKX0pg6tQmwFpo/edit?usp=sharing"",""ตรัง!I229"")"),10000)</f>
        <v>10000</v>
      </c>
      <c r="BS77" s="97">
        <f ca="1">IFERROR(__xludf.DUMMYFUNCTION("IMPORTRANGE(""https://docs.google.com/spreadsheets/d/16pAz3pOhQEZBhvFNMa5KGgZS6iKWpsKX0pg6tQmwFpo/edit?usp=sharing"",""ตรัง!J229"")"),0)</f>
        <v>0</v>
      </c>
      <c r="BT77" s="98">
        <f t="shared" ca="1" si="120"/>
        <v>0</v>
      </c>
      <c r="BU77" s="97">
        <f ca="1">IFERROR(__xludf.DUMMYFUNCTION("IMPORTRANGE(""https://docs.google.com/spreadsheets/d/16pAz3pOhQEZBhvFNMa5KGgZS6iKWpsKX0pg6tQmwFpo/edit?usp=sharing"",""ตรัง!I230"")"),0)</f>
        <v>0</v>
      </c>
      <c r="BV77" s="97">
        <f ca="1">IFERROR(__xludf.DUMMYFUNCTION("IMPORTRANGE(""https://docs.google.com/spreadsheets/d/16pAz3pOhQEZBhvFNMa5KGgZS6iKWpsKX0pg6tQmwFpo/edit?usp=sharing"",""ตรัง!J230"")"),0)</f>
        <v>0</v>
      </c>
      <c r="BW77" s="98">
        <f t="shared" ca="1" si="122"/>
        <v>0</v>
      </c>
      <c r="BX77" s="97">
        <f ca="1">IFERROR(__xludf.DUMMYFUNCTION("IMPORTRANGE(""https://docs.google.com/spreadsheets/d/16pAz3pOhQEZBhvFNMa5KGgZS6iKWpsKX0pg6tQmwFpo/edit?usp=sharing"",""ตรัง!L233"")"),0)</f>
        <v>0</v>
      </c>
      <c r="BY77" s="97">
        <f ca="1">IFERROR(__xludf.DUMMYFUNCTION("IMPORTRANGE(""https://docs.google.com/spreadsheets/d/16pAz3pOhQEZBhvFNMa5KGgZS6iKWpsKX0pg6tQmwFpo/edit?usp=sharing"",""ตรัง!N233"")"),0)</f>
        <v>0</v>
      </c>
      <c r="BZ77" s="98">
        <f t="shared" ca="1" si="124"/>
        <v>0</v>
      </c>
      <c r="CA77" s="97">
        <f ca="1">IFERROR(__xludf.DUMMYFUNCTION("IMPORTRANGE(""https://docs.google.com/spreadsheets/d/16pAz3pOhQEZBhvFNMa5KGgZS6iKWpsKX0pg6tQmwFpo/edit?usp=sharing"",""ตรัง!L234"")"),0)</f>
        <v>0</v>
      </c>
      <c r="CB77" s="97">
        <f ca="1">IFERROR(__xludf.DUMMYFUNCTION("IMPORTRANGE(""https://docs.google.com/spreadsheets/d/16pAz3pOhQEZBhvFNMa5KGgZS6iKWpsKX0pg6tQmwFpo/edit?usp=sharing"",""ตรัง!N234"")"),0)</f>
        <v>0</v>
      </c>
      <c r="CC77" s="98">
        <f t="shared" ca="1" si="126"/>
        <v>0</v>
      </c>
      <c r="CD77" s="97">
        <f ca="1">IFERROR(__xludf.DUMMYFUNCTION("IMPORTRANGE(""https://docs.google.com/spreadsheets/d/16pAz3pOhQEZBhvFNMa5KGgZS6iKWpsKX0pg6tQmwFpo/edit?usp=sharing"",""ตรัง!L235"")"),0)</f>
        <v>0</v>
      </c>
      <c r="CE77" s="97">
        <f ca="1">IFERROR(__xludf.DUMMYFUNCTION("IMPORTRANGE(""https://docs.google.com/spreadsheets/d/16pAz3pOhQEZBhvFNMa5KGgZS6iKWpsKX0pg6tQmwFpo/edit?usp=sharing"",""ตรัง!N235"")"),0)</f>
        <v>0</v>
      </c>
      <c r="CF77" s="98">
        <f t="shared" ca="1" si="128"/>
        <v>0</v>
      </c>
      <c r="CG77" s="97">
        <f ca="1">IFERROR(__xludf.DUMMYFUNCTION("IMPORTRANGE(""https://docs.google.com/spreadsheets/d/16pAz3pOhQEZBhvFNMa5KGgZS6iKWpsKX0pg6tQmwFpo/edit?usp=sharing"",""ตรัง!L236"")"),0)</f>
        <v>0</v>
      </c>
      <c r="CH77" s="97">
        <f ca="1">IFERROR(__xludf.DUMMYFUNCTION("IMPORTRANGE(""https://docs.google.com/spreadsheets/d/16pAz3pOhQEZBhvFNMa5KGgZS6iKWpsKX0pg6tQmwFpo/edit?usp=sharing"",""ตรัง!N236"")"),0)</f>
        <v>0</v>
      </c>
      <c r="CI77" s="98">
        <f t="shared" ca="1" si="130"/>
        <v>0</v>
      </c>
      <c r="CJ77" s="97">
        <f ca="1">IFERROR(__xludf.DUMMYFUNCTION("IMPORTRANGE(""https://docs.google.com/spreadsheets/d/16pAz3pOhQEZBhvFNMa5KGgZS6iKWpsKX0pg6tQmwFpo/edit?usp=sharing"",""ตรัง!I238"")"),0)</f>
        <v>0</v>
      </c>
      <c r="CK77" s="97">
        <f ca="1">IFERROR(__xludf.DUMMYFUNCTION("IMPORTRANGE(""https://docs.google.com/spreadsheets/d/16pAz3pOhQEZBhvFNMa5KGgZS6iKWpsKX0pg6tQmwFpo/edit?usp=sharing"",""ตรัง!J238"")"),0)</f>
        <v>0</v>
      </c>
      <c r="CL77" s="98">
        <f t="shared" ca="1" si="132"/>
        <v>0</v>
      </c>
      <c r="CM77" s="97">
        <f ca="1">IFERROR(__xludf.DUMMYFUNCTION("IMPORTRANGE(""https://docs.google.com/spreadsheets/d/16pAz3pOhQEZBhvFNMa5KGgZS6iKWpsKX0pg6tQmwFpo/edit?usp=sharing"",""ตรัง!J240"")"),0)</f>
        <v>0</v>
      </c>
      <c r="CN77" s="97">
        <f ca="1">IFERROR(__xludf.DUMMYFUNCTION("IMPORTRANGE(""https://docs.google.com/spreadsheets/d/16pAz3pOhQEZBhvFNMa5KGgZS6iKWpsKX0pg6tQmwFpo/edit?usp=sharing"",""ตรัง!J241"")"),0)</f>
        <v>0</v>
      </c>
    </row>
    <row r="78" spans="1:92" ht="21" customHeight="1" x14ac:dyDescent="0.3">
      <c r="A78" s="89">
        <v>4</v>
      </c>
      <c r="B78" s="90" t="s">
        <v>104</v>
      </c>
      <c r="C78" s="174">
        <f t="shared" ca="1" si="80"/>
        <v>283100</v>
      </c>
      <c r="D78" s="175">
        <f t="shared" ca="1" si="209"/>
        <v>283100</v>
      </c>
      <c r="E78" s="176">
        <f ca="1">IFERROR(__xludf.DUMMYFUNCTION("IMPORTRANGE(""https://docs.google.com/spreadsheets/d/1-uDff_7J0KD5mKrp0Vvzr7lt3OU09vwQwhkpOPPYv2Y/edit?usp=sharing"",""งบพรบ!CV78"")"),0)</f>
        <v>0</v>
      </c>
      <c r="F78" s="176">
        <f ca="1">IFERROR(__xludf.DUMMYFUNCTION("IMPORTRANGE(""https://docs.google.com/spreadsheets/d/1-uDff_7J0KD5mKrp0Vvzr7lt3OU09vwQwhkpOPPYv2Y/edit?usp=sharing"",""งบพรบ!CW78"")"),283100)</f>
        <v>283100</v>
      </c>
      <c r="G78" s="176">
        <f ca="1">IFERROR(__xludf.DUMMYFUNCTION("IMPORTRANGE(""https://docs.google.com/spreadsheets/d/1-uDff_7J0KD5mKrp0Vvzr7lt3OU09vwQwhkpOPPYv2Y/edit?usp=sharing"",""งบพรบ!CX78"")"),0)</f>
        <v>0</v>
      </c>
      <c r="H78" s="176">
        <f ca="1">IFERROR(__xludf.DUMMYFUNCTION("IMPORTRANGE(""https://docs.google.com/spreadsheets/d/1-uDff_7J0KD5mKrp0Vvzr7lt3OU09vwQwhkpOPPYv2Y/edit?usp=sharing"",""งบพรบ!CZ78"")"),295000)</f>
        <v>295000</v>
      </c>
      <c r="I78" s="176">
        <f ca="1">IFERROR(__xludf.DUMMYFUNCTION("IMPORTRANGE(""https://docs.google.com/spreadsheets/d/1-uDff_7J0KD5mKrp0Vvzr7lt3OU09vwQwhkpOPPYv2Y/edit?usp=sharing"",""งบพรบ!DA78"")"),0)</f>
        <v>0</v>
      </c>
      <c r="J78" s="176">
        <f t="shared" ca="1" si="82"/>
        <v>41053.339999999997</v>
      </c>
      <c r="K78" s="179">
        <f t="shared" ca="1" si="83"/>
        <v>14.501356411162131</v>
      </c>
      <c r="L78" s="176">
        <f ca="1">IFERROR(__xludf.DUMMYFUNCTION("IMPORTRANGE(""https://docs.google.com/spreadsheets/d/1-uDff_7J0KD5mKrp0Vvzr7lt3OU09vwQwhkpOPPYv2Y/edit?usp=sharing"",""งบพรบ!DB78"")"),41053.34)</f>
        <v>41053.339999999997</v>
      </c>
      <c r="M78" s="87">
        <f t="shared" ca="1" si="84"/>
        <v>14.501356411162131</v>
      </c>
      <c r="N78" s="87">
        <f t="shared" ca="1" si="85"/>
        <v>13.916386440677964</v>
      </c>
      <c r="O78" s="86">
        <f ca="1">IFERROR(__xludf.DUMMYFUNCTION("IMPORTRANGE(""https://docs.google.com/spreadsheets/d/1-uDff_7J0KD5mKrp0Vvzr7lt3OU09vwQwhkpOPPYv2Y/edit?usp=sharing"",""งบพรบ!DC78"")"),0)</f>
        <v>0</v>
      </c>
      <c r="P78" s="86">
        <f t="shared" ca="1" si="86"/>
        <v>0</v>
      </c>
      <c r="Q78" s="87">
        <f t="shared" ca="1" si="87"/>
        <v>0</v>
      </c>
      <c r="R78" s="241">
        <f ca="1">IFERROR(__xludf.DUMMYFUNCTION("IMPORTRANGE(""https://docs.google.com/spreadsheets/d/1Dj4jcHCTV9JXKCaMoheSXS52JE63kDKyG7bPXnFogHk/edit?usp=sharing"",""นครศรีธรรมราช!Q186"")"),141400)</f>
        <v>141400</v>
      </c>
      <c r="S78" s="242">
        <f ca="1">IFERROR(__xludf.DUMMYFUNCTION("IMPORTRANGE(""https://docs.google.com/spreadsheets/d/1Dj4jcHCTV9JXKCaMoheSXS52JE63kDKyG7bPXnFogHk/edit?usp=sharing"",""นครศรีธรรมราช!R186"")"),0)</f>
        <v>0</v>
      </c>
      <c r="T78" s="242">
        <f ca="1">IFERROR(__xludf.DUMMYFUNCTION("IMPORTRANGE(""https://docs.google.com/spreadsheets/d/1Dj4jcHCTV9JXKCaMoheSXS52JE63kDKyG7bPXnFogHk/edit?usp=sharing"",""นครศรีธรรมราช!S186"")"),0)</f>
        <v>0</v>
      </c>
      <c r="U78" s="243">
        <f t="shared" ca="1" si="89"/>
        <v>0</v>
      </c>
      <c r="V78" s="243">
        <f t="shared" ca="1" si="90"/>
        <v>0</v>
      </c>
      <c r="W78" s="97">
        <f ca="1">IFERROR(__xludf.DUMMYFUNCTION("IMPORTRANGE(""https://docs.google.com/spreadsheets/d/1Dj4jcHCTV9JXKCaMoheSXS52JE63kDKyG7bPXnFogHk/edit?usp=sharing"",""นครศรีธรรมราช!L196"")"),6000)</f>
        <v>6000</v>
      </c>
      <c r="X78" s="97">
        <f ca="1">IFERROR(__xludf.DUMMYFUNCTION("IMPORTRANGE(""https://docs.google.com/spreadsheets/d/1Dj4jcHCTV9JXKCaMoheSXS52JE63kDKyG7bPXnFogHk/edit?usp=sharing"",""นครศรีธรรมราช!N196"")"),0)</f>
        <v>0</v>
      </c>
      <c r="Y78" s="98">
        <f t="shared" ca="1" si="92"/>
        <v>0</v>
      </c>
      <c r="Z78" s="97">
        <f ca="1">IFERROR(__xludf.DUMMYFUNCTION("IMPORTRANGE(""https://docs.google.com/spreadsheets/d/1Dj4jcHCTV9JXKCaMoheSXS52JE63kDKyG7bPXnFogHk/edit?usp=sharing"",""นครศรีธรรมราช!I198"")"),4)</f>
        <v>4</v>
      </c>
      <c r="AA78" s="97">
        <f ca="1">IFERROR(__xludf.DUMMYFUNCTION("IMPORTRANGE(""https://docs.google.com/spreadsheets/d/1Dj4jcHCTV9JXKCaMoheSXS52JE63kDKyG7bPXnFogHk/edit?usp=sharing"",""นครศรีธรรมราช!J198"")"),1)</f>
        <v>1</v>
      </c>
      <c r="AB78" s="98">
        <f t="shared" ca="1" si="94"/>
        <v>25</v>
      </c>
      <c r="AC78" s="97">
        <f ca="1">IFERROR(__xludf.DUMMYFUNCTION("IMPORTRANGE(""https://docs.google.com/spreadsheets/d/1Dj4jcHCTV9JXKCaMoheSXS52JE63kDKyG7bPXnFogHk/edit?usp=sharing"",""นครศรีธรรมราช!J199"")"),50)</f>
        <v>50</v>
      </c>
      <c r="AD78" s="97">
        <f ca="1">IFERROR(__xludf.DUMMYFUNCTION("IMPORTRANGE(""https://docs.google.com/spreadsheets/d/1Dj4jcHCTV9JXKCaMoheSXS52JE63kDKyG7bPXnFogHk/edit?usp=sharing"",""นครศรีธรรมราช!J200"")"),50)</f>
        <v>50</v>
      </c>
      <c r="AE78" s="97">
        <f ca="1">IFERROR(__xludf.DUMMYFUNCTION("IMPORTRANGE(""https://docs.google.com/spreadsheets/d/1Dj4jcHCTV9JXKCaMoheSXS52JE63kDKyG7bPXnFogHk/edit?usp=sharing"",""นครศรีธรรมราช!J201"")"),0)</f>
        <v>0</v>
      </c>
      <c r="AF78" s="97">
        <f ca="1">IFERROR(__xludf.DUMMYFUNCTION("IMPORTRANGE(""https://docs.google.com/spreadsheets/d/1Dj4jcHCTV9JXKCaMoheSXS52JE63kDKyG7bPXnFogHk/edit?usp=sharing"",""นครศรีธรรมราช!L204"")"),2000)</f>
        <v>2000</v>
      </c>
      <c r="AG78" s="97">
        <f ca="1">IFERROR(__xludf.DUMMYFUNCTION("IMPORTRANGE(""https://docs.google.com/spreadsheets/d/1Dj4jcHCTV9JXKCaMoheSXS52JE63kDKyG7bPXnFogHk/edit?usp=sharing"",""นครศรีธรรมราช!N204"")"),0)</f>
        <v>0</v>
      </c>
      <c r="AH78" s="98">
        <f t="shared" ca="1" si="96"/>
        <v>0</v>
      </c>
      <c r="AI78" s="97">
        <f ca="1">IFERROR(__xludf.DUMMYFUNCTION("IMPORTRANGE(""https://docs.google.com/spreadsheets/d/1Dj4jcHCTV9JXKCaMoheSXS52JE63kDKyG7bPXnFogHk/edit?usp=sharing"",""นครศรีธรรมราช!L206"")"),16000)</f>
        <v>16000</v>
      </c>
      <c r="AJ78" s="97">
        <f ca="1">IFERROR(__xludf.DUMMYFUNCTION("IMPORTRANGE(""https://docs.google.com/spreadsheets/d/1Dj4jcHCTV9JXKCaMoheSXS52JE63kDKyG7bPXnFogHk/edit?usp=sharing"",""นครศรีธรรมราช!N206"")"),0)</f>
        <v>0</v>
      </c>
      <c r="AK78" s="98">
        <f t="shared" ca="1" si="98"/>
        <v>0</v>
      </c>
      <c r="AL78" s="97">
        <f ca="1">IFERROR(__xludf.DUMMYFUNCTION("IMPORTRANGE(""https://docs.google.com/spreadsheets/d/1Dj4jcHCTV9JXKCaMoheSXS52JE63kDKyG7bPXnFogHk/edit?usp=sharing"",""นครศรีธรรมราช!L207"")"),13000)</f>
        <v>13000</v>
      </c>
      <c r="AM78" s="97">
        <f ca="1">IFERROR(__xludf.DUMMYFUNCTION("IMPORTRANGE(""https://docs.google.com/spreadsheets/d/1Dj4jcHCTV9JXKCaMoheSXS52JE63kDKyG7bPXnFogHk/edit?usp=sharing"",""นครศรีธรรมราช!N207"")"),0)</f>
        <v>0</v>
      </c>
      <c r="AN78" s="98">
        <f t="shared" ca="1" si="100"/>
        <v>0</v>
      </c>
      <c r="AO78" s="97">
        <f ca="1">IFERROR(__xludf.DUMMYFUNCTION("IMPORTRANGE(""https://docs.google.com/spreadsheets/d/1Dj4jcHCTV9JXKCaMoheSXS52JE63kDKyG7bPXnFogHk/edit?usp=sharing"",""นครศรีธรรมราช!I209"")"),2)</f>
        <v>2</v>
      </c>
      <c r="AP78" s="97">
        <f ca="1">IFERROR(__xludf.DUMMYFUNCTION("IMPORTRANGE(""https://docs.google.com/spreadsheets/d/1Dj4jcHCTV9JXKCaMoheSXS52JE63kDKyG7bPXnFogHk/edit?usp=sharing"",""นครศรีธรรมราช!J209"")"),0)</f>
        <v>0</v>
      </c>
      <c r="AQ78" s="98">
        <f t="shared" ca="1" si="102"/>
        <v>0</v>
      </c>
      <c r="AR78" s="97">
        <f ca="1">IFERROR(__xludf.DUMMYFUNCTION("IMPORTRANGE(""https://docs.google.com/spreadsheets/d/1Dj4jcHCTV9JXKCaMoheSXS52JE63kDKyG7bPXnFogHk/edit?usp=sharing"",""นครศรีธรรมราช!J211"")"),0)</f>
        <v>0</v>
      </c>
      <c r="AS78" s="97">
        <f ca="1">IFERROR(__xludf.DUMMYFUNCTION("IMPORTRANGE(""https://docs.google.com/spreadsheets/d/1Dj4jcHCTV9JXKCaMoheSXS52JE63kDKyG7bPXnFogHk/edit?usp=sharing"",""นครศรีธรรมราช!J212"")"),0)</f>
        <v>0</v>
      </c>
      <c r="AT78" s="97">
        <f ca="1">IFERROR(__xludf.DUMMYFUNCTION("IMPORTRANGE(""https://docs.google.com/spreadsheets/d/1Dj4jcHCTV9JXKCaMoheSXS52JE63kDKyG7bPXnFogHk/edit?usp=sharing"",""นครศรีธรรมราช!L215"")"),2000)</f>
        <v>2000</v>
      </c>
      <c r="AU78" s="97">
        <f ca="1">IFERROR(__xludf.DUMMYFUNCTION("IMPORTRANGE(""https://docs.google.com/spreadsheets/d/1Dj4jcHCTV9JXKCaMoheSXS52JE63kDKyG7bPXnFogHk/edit?usp=sharing"",""นครศรีธรรมราช!N215"")"),0)</f>
        <v>0</v>
      </c>
      <c r="AV78" s="98">
        <f t="shared" ca="1" si="104"/>
        <v>0</v>
      </c>
      <c r="AW78" s="97">
        <f ca="1">IFERROR(__xludf.DUMMYFUNCTION("IMPORTRANGE(""https://docs.google.com/spreadsheets/d/1Dj4jcHCTV9JXKCaMoheSXS52JE63kDKyG7bPXnFogHk/edit?usp=sharing"",""นครศรีธรรมราช!L216"")"),10000)</f>
        <v>10000</v>
      </c>
      <c r="AX78" s="97">
        <f ca="1">IFERROR(__xludf.DUMMYFUNCTION("IMPORTRANGE(""https://docs.google.com/spreadsheets/d/1Dj4jcHCTV9JXKCaMoheSXS52JE63kDKyG7bPXnFogHk/edit?usp=sharing"",""นครศรีธรรมราช!N216"")"),0)</f>
        <v>0</v>
      </c>
      <c r="AY78" s="98">
        <f t="shared" ca="1" si="106"/>
        <v>0</v>
      </c>
      <c r="AZ78" s="97">
        <f ca="1">IFERROR(__xludf.DUMMYFUNCTION("IMPORTRANGE(""https://docs.google.com/spreadsheets/d/1Dj4jcHCTV9JXKCaMoheSXS52JE63kDKyG7bPXnFogHk/edit?usp=sharing"",""นครศรีธรรมราช!L217"")"),16000)</f>
        <v>16000</v>
      </c>
      <c r="BA78" s="97">
        <f ca="1">IFERROR(__xludf.DUMMYFUNCTION("IMPORTRANGE(""https://docs.google.com/spreadsheets/d/1Dj4jcHCTV9JXKCaMoheSXS52JE63kDKyG7bPXnFogHk/edit?usp=sharing"",""นครศรีธรรมราช!N217"")"),0)</f>
        <v>0</v>
      </c>
      <c r="BB78" s="98">
        <f t="shared" ca="1" si="108"/>
        <v>0</v>
      </c>
      <c r="BC78" s="97">
        <f ca="1">IFERROR(__xludf.DUMMYFUNCTION("IMPORTRANGE(""https://docs.google.com/spreadsheets/d/1Dj4jcHCTV9JXKCaMoheSXS52JE63kDKyG7bPXnFogHk/edit?usp=sharing"",""นครศรีธรรมราช!I219"")"),2)</f>
        <v>2</v>
      </c>
      <c r="BD78" s="97">
        <f ca="1">IFERROR(__xludf.DUMMYFUNCTION("IMPORTRANGE(""https://docs.google.com/spreadsheets/d/1Dj4jcHCTV9JXKCaMoheSXS52JE63kDKyG7bPXnFogHk/edit?usp=sharing"",""นครศรีธรรมราช!J219"")"),0)</f>
        <v>0</v>
      </c>
      <c r="BE78" s="98">
        <f t="shared" ca="1" si="110"/>
        <v>0</v>
      </c>
      <c r="BF78" s="97">
        <f ca="1">IFERROR(__xludf.DUMMYFUNCTION("IMPORTRANGE(""https://docs.google.com/spreadsheets/d/1Dj4jcHCTV9JXKCaMoheSXS52JE63kDKyG7bPXnFogHk/edit?usp=sharing"",""นครศรีธรรมราช!I220"")"),2)</f>
        <v>2</v>
      </c>
      <c r="BG78" s="97">
        <f ca="1">IFERROR(__xludf.DUMMYFUNCTION("IMPORTRANGE(""https://docs.google.com/spreadsheets/d/1Dj4jcHCTV9JXKCaMoheSXS52JE63kDKyG7bPXnFogHk/edit?usp=sharing"",""นครศรีธรรมราช!J220"")"),0)</f>
        <v>0</v>
      </c>
      <c r="BH78" s="98">
        <f t="shared" ca="1" si="112"/>
        <v>0</v>
      </c>
      <c r="BI78" s="97">
        <f ca="1">IFERROR(__xludf.DUMMYFUNCTION("IMPORTRANGE(""https://docs.google.com/spreadsheets/d/1Dj4jcHCTV9JXKCaMoheSXS52JE63kDKyG7bPXnFogHk/edit?usp=sharing"",""นครศรีธรรมราช!L223"")"),7000)</f>
        <v>7000</v>
      </c>
      <c r="BJ78" s="97">
        <f ca="1">IFERROR(__xludf.DUMMYFUNCTION("IMPORTRANGE(""https://docs.google.com/spreadsheets/d/1Dj4jcHCTV9JXKCaMoheSXS52JE63kDKyG7bPXnFogHk/edit?usp=sharing"",""นครศรีธรรมราช!N223"")"),0)</f>
        <v>0</v>
      </c>
      <c r="BK78" s="98">
        <f t="shared" ca="1" si="114"/>
        <v>0</v>
      </c>
      <c r="BL78" s="97">
        <f ca="1">IFERROR(__xludf.DUMMYFUNCTION("IMPORTRANGE(""https://docs.google.com/spreadsheets/d/1Dj4jcHCTV9JXKCaMoheSXS52JE63kDKyG7bPXnFogHk/edit?usp=sharing"",""นครศรีธรรมราช!L224"")"),1500)</f>
        <v>1500</v>
      </c>
      <c r="BM78" s="97">
        <f ca="1">IFERROR(__xludf.DUMMYFUNCTION("IMPORTRANGE(""https://docs.google.com/spreadsheets/d/1Dj4jcHCTV9JXKCaMoheSXS52JE63kDKyG7bPXnFogHk/edit?usp=sharing"",""นครศรีธรรมราช!N224"")"),0)</f>
        <v>0</v>
      </c>
      <c r="BN78" s="98">
        <f t="shared" ca="1" si="116"/>
        <v>0</v>
      </c>
      <c r="BO78" s="97">
        <f ca="1">IFERROR(__xludf.DUMMYFUNCTION("IMPORTRANGE(""https://docs.google.com/spreadsheets/d/1Dj4jcHCTV9JXKCaMoheSXS52JE63kDKyG7bPXnFogHk/edit?usp=sharing"",""นครศรีธรรมราช!I228"")"),50000)</f>
        <v>50000</v>
      </c>
      <c r="BP78" s="97">
        <f ca="1">IFERROR(__xludf.DUMMYFUNCTION("IMPORTRANGE(""https://docs.google.com/spreadsheets/d/1Dj4jcHCTV9JXKCaMoheSXS52JE63kDKyG7bPXnFogHk/edit?usp=sharing"",""นครศรีธรรมราช!J228"")"),0)</f>
        <v>0</v>
      </c>
      <c r="BQ78" s="98">
        <f t="shared" ca="1" si="118"/>
        <v>0</v>
      </c>
      <c r="BR78" s="97">
        <f ca="1">IFERROR(__xludf.DUMMYFUNCTION("IMPORTRANGE(""https://docs.google.com/spreadsheets/d/1Dj4jcHCTV9JXKCaMoheSXS52JE63kDKyG7bPXnFogHk/edit?usp=sharing"",""นครศรีธรรมราช!I229"")"),50000)</f>
        <v>50000</v>
      </c>
      <c r="BS78" s="97">
        <f ca="1">IFERROR(__xludf.DUMMYFUNCTION("IMPORTRANGE(""https://docs.google.com/spreadsheets/d/1Dj4jcHCTV9JXKCaMoheSXS52JE63kDKyG7bPXnFogHk/edit?usp=sharing"",""นครศรีธรรมราช!J229"")"),0)</f>
        <v>0</v>
      </c>
      <c r="BT78" s="98">
        <f t="shared" ca="1" si="120"/>
        <v>0</v>
      </c>
      <c r="BU78" s="97">
        <f ca="1">IFERROR(__xludf.DUMMYFUNCTION("IMPORTRANGE(""https://docs.google.com/spreadsheets/d/1Dj4jcHCTV9JXKCaMoheSXS52JE63kDKyG7bPXnFogHk/edit?usp=sharing"",""นครศรีธรรมราช!I230"")"),0)</f>
        <v>0</v>
      </c>
      <c r="BV78" s="97">
        <f ca="1">IFERROR(__xludf.DUMMYFUNCTION("IMPORTRANGE(""https://docs.google.com/spreadsheets/d/1Dj4jcHCTV9JXKCaMoheSXS52JE63kDKyG7bPXnFogHk/edit?usp=sharing"",""นครศรีธรรมราช!J230"")"),0)</f>
        <v>0</v>
      </c>
      <c r="BW78" s="98">
        <f t="shared" ca="1" si="122"/>
        <v>0</v>
      </c>
      <c r="BX78" s="97">
        <f ca="1">IFERROR(__xludf.DUMMYFUNCTION("IMPORTRANGE(""https://docs.google.com/spreadsheets/d/1Dj4jcHCTV9JXKCaMoheSXS52JE63kDKyG7bPXnFogHk/edit?usp=sharing"",""นครศรีธรรมราช!L233"")"),101000)</f>
        <v>101000</v>
      </c>
      <c r="BY78" s="97">
        <f ca="1">IFERROR(__xludf.DUMMYFUNCTION("IMPORTRANGE(""https://docs.google.com/spreadsheets/d/1Dj4jcHCTV9JXKCaMoheSXS52JE63kDKyG7bPXnFogHk/edit?usp=sharing"",""นครศรีธรรมราช!N233"")"),38133.34)</f>
        <v>38133.339999999997</v>
      </c>
      <c r="BZ78" s="98">
        <f t="shared" ca="1" si="124"/>
        <v>37.755782178217814</v>
      </c>
      <c r="CA78" s="97">
        <f ca="1">IFERROR(__xludf.DUMMYFUNCTION("IMPORTRANGE(""https://docs.google.com/spreadsheets/d/1Dj4jcHCTV9JXKCaMoheSXS52JE63kDKyG7bPXnFogHk/edit?usp=sharing"",""นครศรีธรรมราช!L234"")"),5000)</f>
        <v>5000</v>
      </c>
      <c r="CB78" s="97">
        <f ca="1">IFERROR(__xludf.DUMMYFUNCTION("IMPORTRANGE(""https://docs.google.com/spreadsheets/d/1Dj4jcHCTV9JXKCaMoheSXS52JE63kDKyG7bPXnFogHk/edit?usp=sharing"",""นครศรีธรรมราช!N234"")"),0)</f>
        <v>0</v>
      </c>
      <c r="CC78" s="98">
        <f t="shared" ca="1" si="126"/>
        <v>0</v>
      </c>
      <c r="CD78" s="97">
        <f ca="1">IFERROR(__xludf.DUMMYFUNCTION("IMPORTRANGE(""https://docs.google.com/spreadsheets/d/1Dj4jcHCTV9JXKCaMoheSXS52JE63kDKyG7bPXnFogHk/edit?usp=sharing"",""นครศรีธรรมราช!L235"")"),45600)</f>
        <v>45600</v>
      </c>
      <c r="CE78" s="97">
        <f ca="1">IFERROR(__xludf.DUMMYFUNCTION("IMPORTRANGE(""https://docs.google.com/spreadsheets/d/1Dj4jcHCTV9JXKCaMoheSXS52JE63kDKyG7bPXnFogHk/edit?usp=sharing"",""นครศรีธรรมราช!N235"")"),0)</f>
        <v>0</v>
      </c>
      <c r="CF78" s="98">
        <f t="shared" ca="1" si="128"/>
        <v>0</v>
      </c>
      <c r="CG78" s="97">
        <f ca="1">IFERROR(__xludf.DUMMYFUNCTION("IMPORTRANGE(""https://docs.google.com/spreadsheets/d/1Dj4jcHCTV9JXKCaMoheSXS52JE63kDKyG7bPXnFogHk/edit?usp=sharing"",""นครศรีธรรมราช!L236"")"),58000)</f>
        <v>58000</v>
      </c>
      <c r="CH78" s="97">
        <f ca="1">IFERROR(__xludf.DUMMYFUNCTION("IMPORTRANGE(""https://docs.google.com/spreadsheets/d/1Dj4jcHCTV9JXKCaMoheSXS52JE63kDKyG7bPXnFogHk/edit?usp=sharing"",""นครศรีธรรมราช!N236"")"),0)</f>
        <v>0</v>
      </c>
      <c r="CI78" s="98">
        <f t="shared" ca="1" si="130"/>
        <v>0</v>
      </c>
      <c r="CJ78" s="97">
        <f ca="1">IFERROR(__xludf.DUMMYFUNCTION("IMPORTRANGE(""https://docs.google.com/spreadsheets/d/1Dj4jcHCTV9JXKCaMoheSXS52JE63kDKyG7bPXnFogHk/edit?usp=sharing"",""นครศรีธรรมราช!I238"")"),40)</f>
        <v>40</v>
      </c>
      <c r="CK78" s="97">
        <f ca="1">IFERROR(__xludf.DUMMYFUNCTION("IMPORTRANGE(""https://docs.google.com/spreadsheets/d/1Dj4jcHCTV9JXKCaMoheSXS52JE63kDKyG7bPXnFogHk/edit?usp=sharing"",""นครศรีธรรมราช!J238"")"),0)</f>
        <v>0</v>
      </c>
      <c r="CL78" s="98">
        <f t="shared" ca="1" si="132"/>
        <v>0</v>
      </c>
      <c r="CM78" s="97">
        <f ca="1">IFERROR(__xludf.DUMMYFUNCTION("IMPORTRANGE(""https://docs.google.com/spreadsheets/d/1Dj4jcHCTV9JXKCaMoheSXS52JE63kDKyG7bPXnFogHk/edit?usp=sharing"",""นครศรีธรรมราช!J240"")"),0)</f>
        <v>0</v>
      </c>
      <c r="CN78" s="97">
        <f ca="1">IFERROR(__xludf.DUMMYFUNCTION("IMPORTRANGE(""https://docs.google.com/spreadsheets/d/1Dj4jcHCTV9JXKCaMoheSXS52JE63kDKyG7bPXnFogHk/edit?usp=sharing"",""นครศรีธรรมราช!J241"")"),0)</f>
        <v>0</v>
      </c>
    </row>
    <row r="79" spans="1:92" ht="21" customHeight="1" x14ac:dyDescent="0.3">
      <c r="A79" s="89">
        <v>5</v>
      </c>
      <c r="B79" s="90" t="s">
        <v>105</v>
      </c>
      <c r="C79" s="174">
        <f t="shared" ca="1" si="80"/>
        <v>89900</v>
      </c>
      <c r="D79" s="175">
        <f t="shared" ca="1" si="209"/>
        <v>89900</v>
      </c>
      <c r="E79" s="176">
        <f ca="1">IFERROR(__xludf.DUMMYFUNCTION("IMPORTRANGE(""https://docs.google.com/spreadsheets/d/1-uDff_7J0KD5mKrp0Vvzr7lt3OU09vwQwhkpOPPYv2Y/edit?usp=sharing"",""งบพรบ!CV79"")"),79400)</f>
        <v>79400</v>
      </c>
      <c r="F79" s="176">
        <f ca="1">IFERROR(__xludf.DUMMYFUNCTION("IMPORTRANGE(""https://docs.google.com/spreadsheets/d/1-uDff_7J0KD5mKrp0Vvzr7lt3OU09vwQwhkpOPPYv2Y/edit?usp=sharing"",""งบพรบ!CW79"")"),10500)</f>
        <v>10500</v>
      </c>
      <c r="G79" s="176">
        <f ca="1">IFERROR(__xludf.DUMMYFUNCTION("IMPORTRANGE(""https://docs.google.com/spreadsheets/d/1-uDff_7J0KD5mKrp0Vvzr7lt3OU09vwQwhkpOPPYv2Y/edit?usp=sharing"",""งบพรบ!CX79"")"),0)</f>
        <v>0</v>
      </c>
      <c r="H79" s="176">
        <f ca="1">IFERROR(__xludf.DUMMYFUNCTION("IMPORTRANGE(""https://docs.google.com/spreadsheets/d/1-uDff_7J0KD5mKrp0Vvzr7lt3OU09vwQwhkpOPPYv2Y/edit?usp=sharing"",""งบพรบ!CZ79"")"),89900)</f>
        <v>89900</v>
      </c>
      <c r="I79" s="176">
        <f ca="1">IFERROR(__xludf.DUMMYFUNCTION("IMPORTRANGE(""https://docs.google.com/spreadsheets/d/1-uDff_7J0KD5mKrp0Vvzr7lt3OU09vwQwhkpOPPYv2Y/edit?usp=sharing"",""งบพรบ!DA79"")"),0)</f>
        <v>0</v>
      </c>
      <c r="J79" s="176">
        <f t="shared" ca="1" si="82"/>
        <v>62582.04</v>
      </c>
      <c r="K79" s="179">
        <f t="shared" ca="1" si="83"/>
        <v>69.612947719688549</v>
      </c>
      <c r="L79" s="176">
        <f ca="1">IFERROR(__xludf.DUMMYFUNCTION("IMPORTRANGE(""https://docs.google.com/spreadsheets/d/1-uDff_7J0KD5mKrp0Vvzr7lt3OU09vwQwhkpOPPYv2Y/edit?usp=sharing"",""งบพรบ!DB79"")"),62582.04)</f>
        <v>62582.04</v>
      </c>
      <c r="M79" s="87">
        <f t="shared" ca="1" si="84"/>
        <v>69.612947719688549</v>
      </c>
      <c r="N79" s="87">
        <f t="shared" ca="1" si="85"/>
        <v>69.612947719688549</v>
      </c>
      <c r="O79" s="86">
        <f ca="1">IFERROR(__xludf.DUMMYFUNCTION("IMPORTRANGE(""https://docs.google.com/spreadsheets/d/1-uDff_7J0KD5mKrp0Vvzr7lt3OU09vwQwhkpOPPYv2Y/edit?usp=sharing"",""งบพรบ!DC79"")"),0)</f>
        <v>0</v>
      </c>
      <c r="P79" s="86">
        <f t="shared" ca="1" si="86"/>
        <v>0</v>
      </c>
      <c r="Q79" s="87">
        <f t="shared" ca="1" si="87"/>
        <v>0</v>
      </c>
      <c r="R79" s="241">
        <f ca="1">IFERROR(__xludf.DUMMYFUNCTION("IMPORTRANGE(""https://docs.google.com/spreadsheets/d/1iodCdmuK2GR3jzUwk8tpccY2JHQQA-87DLOtJP-ooyU/edit?usp=sharing"",""นราธิวาส!Q186"")"),0)</f>
        <v>0</v>
      </c>
      <c r="S79" s="242">
        <f ca="1">IFERROR(__xludf.DUMMYFUNCTION("IMPORTRANGE(""https://docs.google.com/spreadsheets/d/1iodCdmuK2GR3jzUwk8tpccY2JHQQA-87DLOtJP-ooyU/edit?usp=sharing"",""นราธิวาส!R186"")"),0)</f>
        <v>0</v>
      </c>
      <c r="T79" s="242">
        <f ca="1">IFERROR(__xludf.DUMMYFUNCTION("IMPORTRANGE(""https://docs.google.com/spreadsheets/d/1iodCdmuK2GR3jzUwk8tpccY2JHQQA-87DLOtJP-ooyU/edit?usp=sharing"",""นราธิวาส!S186"")"),0)</f>
        <v>0</v>
      </c>
      <c r="U79" s="243">
        <f t="shared" ca="1" si="89"/>
        <v>0</v>
      </c>
      <c r="V79" s="243">
        <f t="shared" ca="1" si="90"/>
        <v>0</v>
      </c>
      <c r="W79" s="97">
        <f ca="1">IFERROR(__xludf.DUMMYFUNCTION("IMPORTRANGE(""https://docs.google.com/spreadsheets/d/1iodCdmuK2GR3jzUwk8tpccY2JHQQA-87DLOtJP-ooyU/edit?usp=sharing"",""นราธิวาส!L196"")"),6000)</f>
        <v>6000</v>
      </c>
      <c r="X79" s="97">
        <f ca="1">IFERROR(__xludf.DUMMYFUNCTION("IMPORTRANGE(""https://docs.google.com/spreadsheets/d/1iodCdmuK2GR3jzUwk8tpccY2JHQQA-87DLOtJP-ooyU/edit?usp=sharing"",""นราธิวาส!N196"")"),1800)</f>
        <v>1800</v>
      </c>
      <c r="Y79" s="98">
        <f t="shared" ca="1" si="92"/>
        <v>30</v>
      </c>
      <c r="Z79" s="97">
        <f ca="1">IFERROR(__xludf.DUMMYFUNCTION("IMPORTRANGE(""https://docs.google.com/spreadsheets/d/1iodCdmuK2GR3jzUwk8tpccY2JHQQA-87DLOtJP-ooyU/edit?usp=sharing"",""นราธิวาส!I198"")"),4)</f>
        <v>4</v>
      </c>
      <c r="AA79" s="97">
        <f ca="1">IFERROR(__xludf.DUMMYFUNCTION("IMPORTRANGE(""https://docs.google.com/spreadsheets/d/1iodCdmuK2GR3jzUwk8tpccY2JHQQA-87DLOtJP-ooyU/edit?usp=sharing"",""นราธิวาส!J198"")"),1)</f>
        <v>1</v>
      </c>
      <c r="AB79" s="98">
        <f t="shared" ca="1" si="94"/>
        <v>25</v>
      </c>
      <c r="AC79" s="97">
        <f ca="1">IFERROR(__xludf.DUMMYFUNCTION("IMPORTRANGE(""https://docs.google.com/spreadsheets/d/1iodCdmuK2GR3jzUwk8tpccY2JHQQA-87DLOtJP-ooyU/edit?usp=sharing"",""นราธิวาส!J199"")"),84)</f>
        <v>84</v>
      </c>
      <c r="AD79" s="97">
        <f ca="1">IFERROR(__xludf.DUMMYFUNCTION("IMPORTRANGE(""https://docs.google.com/spreadsheets/d/1iodCdmuK2GR3jzUwk8tpccY2JHQQA-87DLOtJP-ooyU/edit?usp=sharing"",""นราธิวาส!J200"")"),84)</f>
        <v>84</v>
      </c>
      <c r="AE79" s="97">
        <f ca="1">IFERROR(__xludf.DUMMYFUNCTION("IMPORTRANGE(""https://docs.google.com/spreadsheets/d/1iodCdmuK2GR3jzUwk8tpccY2JHQQA-87DLOtJP-ooyU/edit?usp=sharing"",""นราธิวาส!J201"")"),0)</f>
        <v>0</v>
      </c>
      <c r="AF79" s="97">
        <f ca="1">IFERROR(__xludf.DUMMYFUNCTION("IMPORTRANGE(""https://docs.google.com/spreadsheets/d/1iodCdmuK2GR3jzUwk8tpccY2JHQQA-87DLOtJP-ooyU/edit?usp=sharing"",""นราธิวาส!L204"")"),0)</f>
        <v>0</v>
      </c>
      <c r="AG79" s="97">
        <f ca="1">IFERROR(__xludf.DUMMYFUNCTION("IMPORTRANGE(""https://docs.google.com/spreadsheets/d/1iodCdmuK2GR3jzUwk8tpccY2JHQQA-87DLOtJP-ooyU/edit?usp=sharing"",""นราธิวาส!N204"")"),0)</f>
        <v>0</v>
      </c>
      <c r="AH79" s="98">
        <f t="shared" ca="1" si="96"/>
        <v>0</v>
      </c>
      <c r="AI79" s="97">
        <f ca="1">IFERROR(__xludf.DUMMYFUNCTION("IMPORTRANGE(""https://docs.google.com/spreadsheets/d/1iodCdmuK2GR3jzUwk8tpccY2JHQQA-87DLOtJP-ooyU/edit?usp=sharing"",""นราธิวาส!L206"")"),0)</f>
        <v>0</v>
      </c>
      <c r="AJ79" s="97">
        <f ca="1">IFERROR(__xludf.DUMMYFUNCTION("IMPORTRANGE(""https://docs.google.com/spreadsheets/d/1iodCdmuK2GR3jzUwk8tpccY2JHQQA-87DLOtJP-ooyU/edit?usp=sharing"",""นราธิวาส!N206"")"),0)</f>
        <v>0</v>
      </c>
      <c r="AK79" s="98">
        <f t="shared" ca="1" si="98"/>
        <v>0</v>
      </c>
      <c r="AL79" s="97">
        <f ca="1">IFERROR(__xludf.DUMMYFUNCTION("IMPORTRANGE(""https://docs.google.com/spreadsheets/d/1iodCdmuK2GR3jzUwk8tpccY2JHQQA-87DLOtJP-ooyU/edit?usp=sharing"",""นราธิวาส!L207"")"),0)</f>
        <v>0</v>
      </c>
      <c r="AM79" s="97">
        <f ca="1">IFERROR(__xludf.DUMMYFUNCTION("IMPORTRANGE(""https://docs.google.com/spreadsheets/d/1iodCdmuK2GR3jzUwk8tpccY2JHQQA-87DLOtJP-ooyU/edit?usp=sharing"",""นราธิวาส!N207"")"),0)</f>
        <v>0</v>
      </c>
      <c r="AN79" s="98">
        <f t="shared" ca="1" si="100"/>
        <v>0</v>
      </c>
      <c r="AO79" s="97">
        <f ca="1">IFERROR(__xludf.DUMMYFUNCTION("IMPORTRANGE(""https://docs.google.com/spreadsheets/d/1iodCdmuK2GR3jzUwk8tpccY2JHQQA-87DLOtJP-ooyU/edit?usp=sharing"",""นราธิวาส!I209"")"),0)</f>
        <v>0</v>
      </c>
      <c r="AP79" s="97">
        <f ca="1">IFERROR(__xludf.DUMMYFUNCTION("IMPORTRANGE(""https://docs.google.com/spreadsheets/d/1iodCdmuK2GR3jzUwk8tpccY2JHQQA-87DLOtJP-ooyU/edit?usp=sharing"",""นราธิวาส!J209"")"),0)</f>
        <v>0</v>
      </c>
      <c r="AQ79" s="98">
        <f t="shared" ca="1" si="102"/>
        <v>0</v>
      </c>
      <c r="AR79" s="97">
        <f ca="1">IFERROR(__xludf.DUMMYFUNCTION("IMPORTRANGE(""https://docs.google.com/spreadsheets/d/1iodCdmuK2GR3jzUwk8tpccY2JHQQA-87DLOtJP-ooyU/edit?usp=sharing"",""นราธิวาส!J211"")"),0)</f>
        <v>0</v>
      </c>
      <c r="AS79" s="97">
        <f ca="1">IFERROR(__xludf.DUMMYFUNCTION("IMPORTRANGE(""https://docs.google.com/spreadsheets/d/1iodCdmuK2GR3jzUwk8tpccY2JHQQA-87DLOtJP-ooyU/edit?usp=sharing"",""นราธิวาส!J212"")"),0)</f>
        <v>0</v>
      </c>
      <c r="AT79" s="97">
        <f ca="1">IFERROR(__xludf.DUMMYFUNCTION("IMPORTRANGE(""https://docs.google.com/spreadsheets/d/1iodCdmuK2GR3jzUwk8tpccY2JHQQA-87DLOtJP-ooyU/edit?usp=sharing"",""นราธิวาส!L215"")"),0)</f>
        <v>0</v>
      </c>
      <c r="AU79" s="97">
        <f ca="1">IFERROR(__xludf.DUMMYFUNCTION("IMPORTRANGE(""https://docs.google.com/spreadsheets/d/1iodCdmuK2GR3jzUwk8tpccY2JHQQA-87DLOtJP-ooyU/edit?usp=sharing"",""นราธิวาส!N215"")"),0)</f>
        <v>0</v>
      </c>
      <c r="AV79" s="98">
        <f t="shared" ca="1" si="104"/>
        <v>0</v>
      </c>
      <c r="AW79" s="97">
        <f ca="1">IFERROR(__xludf.DUMMYFUNCTION("IMPORTRANGE(""https://docs.google.com/spreadsheets/d/1iodCdmuK2GR3jzUwk8tpccY2JHQQA-87DLOtJP-ooyU/edit?usp=sharing"",""นราธิวาส!L216"")"),0)</f>
        <v>0</v>
      </c>
      <c r="AX79" s="97">
        <f ca="1">IFERROR(__xludf.DUMMYFUNCTION("IMPORTRANGE(""https://docs.google.com/spreadsheets/d/1iodCdmuK2GR3jzUwk8tpccY2JHQQA-87DLOtJP-ooyU/edit?usp=sharing"",""นราธิวาส!N216"")"),0)</f>
        <v>0</v>
      </c>
      <c r="AY79" s="98">
        <f t="shared" ca="1" si="106"/>
        <v>0</v>
      </c>
      <c r="AZ79" s="97">
        <f ca="1">IFERROR(__xludf.DUMMYFUNCTION("IMPORTRANGE(""https://docs.google.com/spreadsheets/d/1iodCdmuK2GR3jzUwk8tpccY2JHQQA-87DLOtJP-ooyU/edit?usp=sharing"",""นราธิวาส!L217"")"),0)</f>
        <v>0</v>
      </c>
      <c r="BA79" s="97">
        <f ca="1">IFERROR(__xludf.DUMMYFUNCTION("IMPORTRANGE(""https://docs.google.com/spreadsheets/d/1iodCdmuK2GR3jzUwk8tpccY2JHQQA-87DLOtJP-ooyU/edit?usp=sharing"",""นราธิวาส!N217"")"),0)</f>
        <v>0</v>
      </c>
      <c r="BB79" s="98">
        <f t="shared" ca="1" si="108"/>
        <v>0</v>
      </c>
      <c r="BC79" s="97">
        <f ca="1">IFERROR(__xludf.DUMMYFUNCTION("IMPORTRANGE(""https://docs.google.com/spreadsheets/d/1iodCdmuK2GR3jzUwk8tpccY2JHQQA-87DLOtJP-ooyU/edit?usp=sharing"",""นราธิวาส!I219"")"),0)</f>
        <v>0</v>
      </c>
      <c r="BD79" s="97">
        <f ca="1">IFERROR(__xludf.DUMMYFUNCTION("IMPORTRANGE(""https://docs.google.com/spreadsheets/d/1iodCdmuK2GR3jzUwk8tpccY2JHQQA-87DLOtJP-ooyU/edit?usp=sharing"",""นราธิวาส!J219"")"),0)</f>
        <v>0</v>
      </c>
      <c r="BE79" s="98">
        <f t="shared" ca="1" si="110"/>
        <v>0</v>
      </c>
      <c r="BF79" s="97">
        <f ca="1">IFERROR(__xludf.DUMMYFUNCTION("IMPORTRANGE(""https://docs.google.com/spreadsheets/d/1iodCdmuK2GR3jzUwk8tpccY2JHQQA-87DLOtJP-ooyU/edit?usp=sharing"",""นราธิวาส!I220"")"),0)</f>
        <v>0</v>
      </c>
      <c r="BG79" s="97">
        <f ca="1">IFERROR(__xludf.DUMMYFUNCTION("IMPORTRANGE(""https://docs.google.com/spreadsheets/d/1iodCdmuK2GR3jzUwk8tpccY2JHQQA-87DLOtJP-ooyU/edit?usp=sharing"",""นราธิวาส!J220"")"),0)</f>
        <v>0</v>
      </c>
      <c r="BH79" s="98">
        <f t="shared" ca="1" si="112"/>
        <v>0</v>
      </c>
      <c r="BI79" s="97">
        <f ca="1">IFERROR(__xludf.DUMMYFUNCTION("IMPORTRANGE(""https://docs.google.com/spreadsheets/d/1iodCdmuK2GR3jzUwk8tpccY2JHQQA-87DLOtJP-ooyU/edit?usp=sharing"",""นราธิวาส!L223"")"),3000)</f>
        <v>3000</v>
      </c>
      <c r="BJ79" s="97">
        <f ca="1">IFERROR(__xludf.DUMMYFUNCTION("IMPORTRANGE(""https://docs.google.com/spreadsheets/d/1iodCdmuK2GR3jzUwk8tpccY2JHQQA-87DLOtJP-ooyU/edit?usp=sharing"",""นราธิวาส!N223"")"),0)</f>
        <v>0</v>
      </c>
      <c r="BK79" s="98">
        <f t="shared" ca="1" si="114"/>
        <v>0</v>
      </c>
      <c r="BL79" s="97">
        <f ca="1">IFERROR(__xludf.DUMMYFUNCTION("IMPORTRANGE(""https://docs.google.com/spreadsheets/d/1iodCdmuK2GR3jzUwk8tpccY2JHQQA-87DLOtJP-ooyU/edit?usp=sharing"",""นราธิวาส!L224"")"),1500)</f>
        <v>1500</v>
      </c>
      <c r="BM79" s="97">
        <f ca="1">IFERROR(__xludf.DUMMYFUNCTION("IMPORTRANGE(""https://docs.google.com/spreadsheets/d/1iodCdmuK2GR3jzUwk8tpccY2JHQQA-87DLOtJP-ooyU/edit?usp=sharing"",""นราธิวาส!N224"")"),0)</f>
        <v>0</v>
      </c>
      <c r="BN79" s="98">
        <f t="shared" ca="1" si="116"/>
        <v>0</v>
      </c>
      <c r="BO79" s="97">
        <f ca="1">IFERROR(__xludf.DUMMYFUNCTION("IMPORTRANGE(""https://docs.google.com/spreadsheets/d/1iodCdmuK2GR3jzUwk8tpccY2JHQQA-87DLOtJP-ooyU/edit?usp=sharing"",""นราธิวาส!I228"")"),10000)</f>
        <v>10000</v>
      </c>
      <c r="BP79" s="97">
        <f ca="1">IFERROR(__xludf.DUMMYFUNCTION("IMPORTRANGE(""https://docs.google.com/spreadsheets/d/1iodCdmuK2GR3jzUwk8tpccY2JHQQA-87DLOtJP-ooyU/edit?usp=sharing"",""นราธิวาส!J228"")"),0)</f>
        <v>0</v>
      </c>
      <c r="BQ79" s="98">
        <f t="shared" ca="1" si="118"/>
        <v>0</v>
      </c>
      <c r="BR79" s="97">
        <f ca="1">IFERROR(__xludf.DUMMYFUNCTION("IMPORTRANGE(""https://docs.google.com/spreadsheets/d/1iodCdmuK2GR3jzUwk8tpccY2JHQQA-87DLOtJP-ooyU/edit?usp=sharing"",""นราธิวาส!I229"")"),10000)</f>
        <v>10000</v>
      </c>
      <c r="BS79" s="97">
        <f ca="1">IFERROR(__xludf.DUMMYFUNCTION("IMPORTRANGE(""https://docs.google.com/spreadsheets/d/1iodCdmuK2GR3jzUwk8tpccY2JHQQA-87DLOtJP-ooyU/edit?usp=sharing"",""นราธิวาส!J229"")"),0)</f>
        <v>0</v>
      </c>
      <c r="BT79" s="98">
        <f t="shared" ca="1" si="120"/>
        <v>0</v>
      </c>
      <c r="BU79" s="97">
        <f ca="1">IFERROR(__xludf.DUMMYFUNCTION("IMPORTRANGE(""https://docs.google.com/spreadsheets/d/1iodCdmuK2GR3jzUwk8tpccY2JHQQA-87DLOtJP-ooyU/edit?usp=sharing"",""นราธิวาส!I230"")"),0)</f>
        <v>0</v>
      </c>
      <c r="BV79" s="97">
        <f ca="1">IFERROR(__xludf.DUMMYFUNCTION("IMPORTRANGE(""https://docs.google.com/spreadsheets/d/1iodCdmuK2GR3jzUwk8tpccY2JHQQA-87DLOtJP-ooyU/edit?usp=sharing"",""นราธิวาส!J230"")"),0)</f>
        <v>0</v>
      </c>
      <c r="BW79" s="98">
        <f t="shared" ca="1" si="122"/>
        <v>0</v>
      </c>
      <c r="BX79" s="97">
        <f ca="1">IFERROR(__xludf.DUMMYFUNCTION("IMPORTRANGE(""https://docs.google.com/spreadsheets/d/1iodCdmuK2GR3jzUwk8tpccY2JHQQA-87DLOtJP-ooyU/edit?usp=sharing"",""นราธิวาส!L233"")"),0)</f>
        <v>0</v>
      </c>
      <c r="BY79" s="97">
        <f ca="1">IFERROR(__xludf.DUMMYFUNCTION("IMPORTRANGE(""https://docs.google.com/spreadsheets/d/1iodCdmuK2GR3jzUwk8tpccY2JHQQA-87DLOtJP-ooyU/edit?usp=sharing"",""นราธิวาส!N233"")"),0)</f>
        <v>0</v>
      </c>
      <c r="BZ79" s="98">
        <f t="shared" ca="1" si="124"/>
        <v>0</v>
      </c>
      <c r="CA79" s="97">
        <f ca="1">IFERROR(__xludf.DUMMYFUNCTION("IMPORTRANGE(""https://docs.google.com/spreadsheets/d/1iodCdmuK2GR3jzUwk8tpccY2JHQQA-87DLOtJP-ooyU/edit?usp=sharing"",""นราธิวาส!L234"")"),0)</f>
        <v>0</v>
      </c>
      <c r="CB79" s="97">
        <f ca="1">IFERROR(__xludf.DUMMYFUNCTION("IMPORTRANGE(""https://docs.google.com/spreadsheets/d/1iodCdmuK2GR3jzUwk8tpccY2JHQQA-87DLOtJP-ooyU/edit?usp=sharing"",""นราธิวาส!N234"")"),0)</f>
        <v>0</v>
      </c>
      <c r="CC79" s="98">
        <f t="shared" ca="1" si="126"/>
        <v>0</v>
      </c>
      <c r="CD79" s="97">
        <f ca="1">IFERROR(__xludf.DUMMYFUNCTION("IMPORTRANGE(""https://docs.google.com/spreadsheets/d/1iodCdmuK2GR3jzUwk8tpccY2JHQQA-87DLOtJP-ooyU/edit?usp=sharing"",""นราธิวาส!L235"")"),0)</f>
        <v>0</v>
      </c>
      <c r="CE79" s="97">
        <f ca="1">IFERROR(__xludf.DUMMYFUNCTION("IMPORTRANGE(""https://docs.google.com/spreadsheets/d/1iodCdmuK2GR3jzUwk8tpccY2JHQQA-87DLOtJP-ooyU/edit?usp=sharing"",""นราธิวาส!N235"")"),0)</f>
        <v>0</v>
      </c>
      <c r="CF79" s="98">
        <f t="shared" ca="1" si="128"/>
        <v>0</v>
      </c>
      <c r="CG79" s="97">
        <f ca="1">IFERROR(__xludf.DUMMYFUNCTION("IMPORTRANGE(""https://docs.google.com/spreadsheets/d/1iodCdmuK2GR3jzUwk8tpccY2JHQQA-87DLOtJP-ooyU/edit?usp=sharing"",""นราธิวาส!L236"")"),0)</f>
        <v>0</v>
      </c>
      <c r="CH79" s="97">
        <f ca="1">IFERROR(__xludf.DUMMYFUNCTION("IMPORTRANGE(""https://docs.google.com/spreadsheets/d/1iodCdmuK2GR3jzUwk8tpccY2JHQQA-87DLOtJP-ooyU/edit?usp=sharing"",""นราธิวาส!N236"")"),0)</f>
        <v>0</v>
      </c>
      <c r="CI79" s="98">
        <f t="shared" ca="1" si="130"/>
        <v>0</v>
      </c>
      <c r="CJ79" s="97">
        <f ca="1">IFERROR(__xludf.DUMMYFUNCTION("IMPORTRANGE(""https://docs.google.com/spreadsheets/d/1iodCdmuK2GR3jzUwk8tpccY2JHQQA-87DLOtJP-ooyU/edit?usp=sharing"",""นราธิวาส!I238"")"),0)</f>
        <v>0</v>
      </c>
      <c r="CK79" s="97">
        <f ca="1">IFERROR(__xludf.DUMMYFUNCTION("IMPORTRANGE(""https://docs.google.com/spreadsheets/d/1iodCdmuK2GR3jzUwk8tpccY2JHQQA-87DLOtJP-ooyU/edit?usp=sharing"",""นราธิวาส!J238"")"),0)</f>
        <v>0</v>
      </c>
      <c r="CL79" s="98">
        <f t="shared" ca="1" si="132"/>
        <v>0</v>
      </c>
      <c r="CM79" s="97">
        <f ca="1">IFERROR(__xludf.DUMMYFUNCTION("IMPORTRANGE(""https://docs.google.com/spreadsheets/d/1iodCdmuK2GR3jzUwk8tpccY2JHQQA-87DLOtJP-ooyU/edit?usp=sharing"",""นราธิวาส!J240"")"),0)</f>
        <v>0</v>
      </c>
      <c r="CN79" s="97">
        <f ca="1">IFERROR(__xludf.DUMMYFUNCTION("IMPORTRANGE(""https://docs.google.com/spreadsheets/d/1iodCdmuK2GR3jzUwk8tpccY2JHQQA-87DLOtJP-ooyU/edit?usp=sharing"",""นราธิวาส!J241"")"),0)</f>
        <v>0</v>
      </c>
    </row>
    <row r="80" spans="1:92" ht="21" customHeight="1" x14ac:dyDescent="0.3">
      <c r="A80" s="89">
        <v>6</v>
      </c>
      <c r="B80" s="90" t="s">
        <v>106</v>
      </c>
      <c r="C80" s="174">
        <f t="shared" ca="1" si="80"/>
        <v>105500</v>
      </c>
      <c r="D80" s="175">
        <f t="shared" ca="1" si="209"/>
        <v>105500</v>
      </c>
      <c r="E80" s="176">
        <f ca="1">IFERROR(__xludf.DUMMYFUNCTION("IMPORTRANGE(""https://docs.google.com/spreadsheets/d/1-uDff_7J0KD5mKrp0Vvzr7lt3OU09vwQwhkpOPPYv2Y/edit?usp=sharing"",""งบพรบ!CV80"")"),82000)</f>
        <v>82000</v>
      </c>
      <c r="F80" s="176">
        <f ca="1">IFERROR(__xludf.DUMMYFUNCTION("IMPORTRANGE(""https://docs.google.com/spreadsheets/d/1-uDff_7J0KD5mKrp0Vvzr7lt3OU09vwQwhkpOPPYv2Y/edit?usp=sharing"",""งบพรบ!CW80"")"),23500)</f>
        <v>23500</v>
      </c>
      <c r="G80" s="176">
        <f ca="1">IFERROR(__xludf.DUMMYFUNCTION("IMPORTRANGE(""https://docs.google.com/spreadsheets/d/1-uDff_7J0KD5mKrp0Vvzr7lt3OU09vwQwhkpOPPYv2Y/edit?usp=sharing"",""งบพรบ!CX80"")"),0)</f>
        <v>0</v>
      </c>
      <c r="H80" s="176">
        <f ca="1">IFERROR(__xludf.DUMMYFUNCTION("IMPORTRANGE(""https://docs.google.com/spreadsheets/d/1-uDff_7J0KD5mKrp0Vvzr7lt3OU09vwQwhkpOPPYv2Y/edit?usp=sharing"",""งบพรบ!CZ80"")"),105500)</f>
        <v>105500</v>
      </c>
      <c r="I80" s="176">
        <f ca="1">IFERROR(__xludf.DUMMYFUNCTION("IMPORTRANGE(""https://docs.google.com/spreadsheets/d/1-uDff_7J0KD5mKrp0Vvzr7lt3OU09vwQwhkpOPPYv2Y/edit?usp=sharing"",""งบพรบ!DA80"")"),0)</f>
        <v>0</v>
      </c>
      <c r="J80" s="176">
        <f t="shared" ca="1" si="82"/>
        <v>59244</v>
      </c>
      <c r="K80" s="179">
        <f t="shared" ca="1" si="83"/>
        <v>56.155450236966821</v>
      </c>
      <c r="L80" s="176">
        <f ca="1">IFERROR(__xludf.DUMMYFUNCTION("IMPORTRANGE(""https://docs.google.com/spreadsheets/d/1-uDff_7J0KD5mKrp0Vvzr7lt3OU09vwQwhkpOPPYv2Y/edit?usp=sharing"",""งบพรบ!DB80"")"),59244)</f>
        <v>59244</v>
      </c>
      <c r="M80" s="87">
        <f t="shared" ca="1" si="84"/>
        <v>56.155450236966821</v>
      </c>
      <c r="N80" s="87">
        <f t="shared" ca="1" si="85"/>
        <v>56.155450236966821</v>
      </c>
      <c r="O80" s="86">
        <f ca="1">IFERROR(__xludf.DUMMYFUNCTION("IMPORTRANGE(""https://docs.google.com/spreadsheets/d/1-uDff_7J0KD5mKrp0Vvzr7lt3OU09vwQwhkpOPPYv2Y/edit?usp=sharing"",""งบพรบ!DC80"")"),0)</f>
        <v>0</v>
      </c>
      <c r="P80" s="86">
        <f t="shared" ca="1" si="86"/>
        <v>0</v>
      </c>
      <c r="Q80" s="87">
        <f t="shared" ca="1" si="87"/>
        <v>0</v>
      </c>
      <c r="R80" s="241">
        <f ca="1">IFERROR(__xludf.DUMMYFUNCTION("IMPORTRANGE(""https://docs.google.com/spreadsheets/d/1SDNX3JhDdYRuIOsj0Wh2M-Qa_eaXl0NbWmhAOTbfQAs/edit?usp=sharing"",""ปัตตานี!Q186"")"),20000)</f>
        <v>20000</v>
      </c>
      <c r="S80" s="242">
        <f ca="1">IFERROR(__xludf.DUMMYFUNCTION("IMPORTRANGE(""https://docs.google.com/spreadsheets/d/1SDNX3JhDdYRuIOsj0Wh2M-Qa_eaXl0NbWmhAOTbfQAs/edit?usp=sharing"",""ปัตตานี!R186"")"),0)</f>
        <v>0</v>
      </c>
      <c r="T80" s="242">
        <f ca="1">IFERROR(__xludf.DUMMYFUNCTION("IMPORTRANGE(""https://docs.google.com/spreadsheets/d/1SDNX3JhDdYRuIOsj0Wh2M-Qa_eaXl0NbWmhAOTbfQAs/edit?usp=sharing"",""ปัตตานี!S186"")"),0)</f>
        <v>0</v>
      </c>
      <c r="U80" s="243">
        <f t="shared" ca="1" si="89"/>
        <v>0</v>
      </c>
      <c r="V80" s="243">
        <f t="shared" ca="1" si="90"/>
        <v>0</v>
      </c>
      <c r="W80" s="97">
        <f ca="1">IFERROR(__xludf.DUMMYFUNCTION("IMPORTRANGE(""https://docs.google.com/spreadsheets/d/1SDNX3JhDdYRuIOsj0Wh2M-Qa_eaXl0NbWmhAOTbfQAs/edit?usp=sharing"",""ปัตตานี!L196"")"),6000)</f>
        <v>6000</v>
      </c>
      <c r="X80" s="97">
        <f ca="1">IFERROR(__xludf.DUMMYFUNCTION("IMPORTRANGE(""https://docs.google.com/spreadsheets/d/1SDNX3JhDdYRuIOsj0Wh2M-Qa_eaXl0NbWmhAOTbfQAs/edit?usp=sharing"",""ปัตตานี!N196"")"),0)</f>
        <v>0</v>
      </c>
      <c r="Y80" s="98">
        <f t="shared" ca="1" si="92"/>
        <v>0</v>
      </c>
      <c r="Z80" s="97">
        <f ca="1">IFERROR(__xludf.DUMMYFUNCTION("IMPORTRANGE(""https://docs.google.com/spreadsheets/d/1SDNX3JhDdYRuIOsj0Wh2M-Qa_eaXl0NbWmhAOTbfQAs/edit?usp=sharing"",""ปัตตานี!I198"")"),4)</f>
        <v>4</v>
      </c>
      <c r="AA80" s="97">
        <f ca="1">IFERROR(__xludf.DUMMYFUNCTION("IMPORTRANGE(""https://docs.google.com/spreadsheets/d/1SDNX3JhDdYRuIOsj0Wh2M-Qa_eaXl0NbWmhAOTbfQAs/edit?usp=sharing"",""ปัตตานี!J198"")"),1)</f>
        <v>1</v>
      </c>
      <c r="AB80" s="98">
        <f t="shared" ca="1" si="94"/>
        <v>25</v>
      </c>
      <c r="AC80" s="97">
        <f ca="1">IFERROR(__xludf.DUMMYFUNCTION("IMPORTRANGE(""https://docs.google.com/spreadsheets/d/1SDNX3JhDdYRuIOsj0Wh2M-Qa_eaXl0NbWmhAOTbfQAs/edit?usp=sharing"",""ปัตตานี!J199"")"),41)</f>
        <v>41</v>
      </c>
      <c r="AD80" s="97">
        <f ca="1">IFERROR(__xludf.DUMMYFUNCTION("IMPORTRANGE(""https://docs.google.com/spreadsheets/d/1SDNX3JhDdYRuIOsj0Wh2M-Qa_eaXl0NbWmhAOTbfQAs/edit?usp=sharing"",""ปัตตานี!J200"")"),41)</f>
        <v>41</v>
      </c>
      <c r="AE80" s="97">
        <f ca="1">IFERROR(__xludf.DUMMYFUNCTION("IMPORTRANGE(""https://docs.google.com/spreadsheets/d/1SDNX3JhDdYRuIOsj0Wh2M-Qa_eaXl0NbWmhAOTbfQAs/edit?usp=sharing"",""ปัตตานี!J201"")"),0)</f>
        <v>0</v>
      </c>
      <c r="AF80" s="97">
        <f ca="1">IFERROR(__xludf.DUMMYFUNCTION("IMPORTRANGE(""https://docs.google.com/spreadsheets/d/1SDNX3JhDdYRuIOsj0Wh2M-Qa_eaXl0NbWmhAOTbfQAs/edit?usp=sharing"",""ปัตตานี!L204"")"),1000)</f>
        <v>1000</v>
      </c>
      <c r="AG80" s="97">
        <f ca="1">IFERROR(__xludf.DUMMYFUNCTION("IMPORTRANGE(""https://docs.google.com/spreadsheets/d/1SDNX3JhDdYRuIOsj0Wh2M-Qa_eaXl0NbWmhAOTbfQAs/edit?usp=sharing"",""ปัตตานี!N204"")"),0)</f>
        <v>0</v>
      </c>
      <c r="AH80" s="98">
        <f t="shared" ca="1" si="96"/>
        <v>0</v>
      </c>
      <c r="AI80" s="97">
        <f ca="1">IFERROR(__xludf.DUMMYFUNCTION("IMPORTRANGE(""https://docs.google.com/spreadsheets/d/1SDNX3JhDdYRuIOsj0Wh2M-Qa_eaXl0NbWmhAOTbfQAs/edit?usp=sharing"",""ปัตตานี!L206"")"),8000)</f>
        <v>8000</v>
      </c>
      <c r="AJ80" s="97">
        <f ca="1">IFERROR(__xludf.DUMMYFUNCTION("IMPORTRANGE(""https://docs.google.com/spreadsheets/d/1SDNX3JhDdYRuIOsj0Wh2M-Qa_eaXl0NbWmhAOTbfQAs/edit?usp=sharing"",""ปัตตานี!N206"")"),0)</f>
        <v>0</v>
      </c>
      <c r="AK80" s="98">
        <f t="shared" ca="1" si="98"/>
        <v>0</v>
      </c>
      <c r="AL80" s="97">
        <f ca="1">IFERROR(__xludf.DUMMYFUNCTION("IMPORTRANGE(""https://docs.google.com/spreadsheets/d/1SDNX3JhDdYRuIOsj0Wh2M-Qa_eaXl0NbWmhAOTbfQAs/edit?usp=sharing"",""ปัตตานี!L207"")"),4000)</f>
        <v>4000</v>
      </c>
      <c r="AM80" s="97">
        <f ca="1">IFERROR(__xludf.DUMMYFUNCTION("IMPORTRANGE(""https://docs.google.com/spreadsheets/d/1SDNX3JhDdYRuIOsj0Wh2M-Qa_eaXl0NbWmhAOTbfQAs/edit?usp=sharing"",""ปัตตานี!N207"")"),0)</f>
        <v>0</v>
      </c>
      <c r="AN80" s="98">
        <f t="shared" ca="1" si="100"/>
        <v>0</v>
      </c>
      <c r="AO80" s="97">
        <f ca="1">IFERROR(__xludf.DUMMYFUNCTION("IMPORTRANGE(""https://docs.google.com/spreadsheets/d/1SDNX3JhDdYRuIOsj0Wh2M-Qa_eaXl0NbWmhAOTbfQAs/edit?usp=sharing"",""ปัตตานี!I209"")"),1)</f>
        <v>1</v>
      </c>
      <c r="AP80" s="97">
        <f ca="1">IFERROR(__xludf.DUMMYFUNCTION("IMPORTRANGE(""https://docs.google.com/spreadsheets/d/1SDNX3JhDdYRuIOsj0Wh2M-Qa_eaXl0NbWmhAOTbfQAs/edit?usp=sharing"",""ปัตตานี!J209"")"),1)</f>
        <v>1</v>
      </c>
      <c r="AQ80" s="98">
        <f t="shared" ca="1" si="102"/>
        <v>100</v>
      </c>
      <c r="AR80" s="97">
        <f ca="1">IFERROR(__xludf.DUMMYFUNCTION("IMPORTRANGE(""https://docs.google.com/spreadsheets/d/1SDNX3JhDdYRuIOsj0Wh2M-Qa_eaXl0NbWmhAOTbfQAs/edit?usp=sharing"",""ปัตตานี!J211"")"),0)</f>
        <v>0</v>
      </c>
      <c r="AS80" s="97">
        <f ca="1">IFERROR(__xludf.DUMMYFUNCTION("IMPORTRANGE(""https://docs.google.com/spreadsheets/d/1SDNX3JhDdYRuIOsj0Wh2M-Qa_eaXl0NbWmhAOTbfQAs/edit?usp=sharing"",""ปัตตานี!J212"")"),0)</f>
        <v>0</v>
      </c>
      <c r="AT80" s="97">
        <f ca="1">IFERROR(__xludf.DUMMYFUNCTION("IMPORTRANGE(""https://docs.google.com/spreadsheets/d/1SDNX3JhDdYRuIOsj0Wh2M-Qa_eaXl0NbWmhAOTbfQAs/edit?usp=sharing"",""ปัตตานี!L215"")"),0)</f>
        <v>0</v>
      </c>
      <c r="AU80" s="97">
        <f ca="1">IFERROR(__xludf.DUMMYFUNCTION("IMPORTRANGE(""https://docs.google.com/spreadsheets/d/1SDNX3JhDdYRuIOsj0Wh2M-Qa_eaXl0NbWmhAOTbfQAs/edit?usp=sharing"",""ปัตตานี!N215"")"),0)</f>
        <v>0</v>
      </c>
      <c r="AV80" s="98">
        <f t="shared" ca="1" si="104"/>
        <v>0</v>
      </c>
      <c r="AW80" s="97">
        <f ca="1">IFERROR(__xludf.DUMMYFUNCTION("IMPORTRANGE(""https://docs.google.com/spreadsheets/d/1SDNX3JhDdYRuIOsj0Wh2M-Qa_eaXl0NbWmhAOTbfQAs/edit?usp=sharing"",""ปัตตานี!L216"")"),0)</f>
        <v>0</v>
      </c>
      <c r="AX80" s="97">
        <f ca="1">IFERROR(__xludf.DUMMYFUNCTION("IMPORTRANGE(""https://docs.google.com/spreadsheets/d/1SDNX3JhDdYRuIOsj0Wh2M-Qa_eaXl0NbWmhAOTbfQAs/edit?usp=sharing"",""ปัตตานี!N216"")"),0)</f>
        <v>0</v>
      </c>
      <c r="AY80" s="98">
        <f t="shared" ca="1" si="106"/>
        <v>0</v>
      </c>
      <c r="AZ80" s="97">
        <f ca="1">IFERROR(__xludf.DUMMYFUNCTION("IMPORTRANGE(""https://docs.google.com/spreadsheets/d/1SDNX3JhDdYRuIOsj0Wh2M-Qa_eaXl0NbWmhAOTbfQAs/edit?usp=sharing"",""ปัตตานี!L217"")"),0)</f>
        <v>0</v>
      </c>
      <c r="BA80" s="97">
        <f ca="1">IFERROR(__xludf.DUMMYFUNCTION("IMPORTRANGE(""https://docs.google.com/spreadsheets/d/1SDNX3JhDdYRuIOsj0Wh2M-Qa_eaXl0NbWmhAOTbfQAs/edit?usp=sharing"",""ปัตตานี!N217"")"),0)</f>
        <v>0</v>
      </c>
      <c r="BB80" s="98">
        <f t="shared" ca="1" si="108"/>
        <v>0</v>
      </c>
      <c r="BC80" s="97">
        <f ca="1">IFERROR(__xludf.DUMMYFUNCTION("IMPORTRANGE(""https://docs.google.com/spreadsheets/d/1SDNX3JhDdYRuIOsj0Wh2M-Qa_eaXl0NbWmhAOTbfQAs/edit?usp=sharing"",""ปัตตานี!I219"")"),0)</f>
        <v>0</v>
      </c>
      <c r="BD80" s="97">
        <f ca="1">IFERROR(__xludf.DUMMYFUNCTION("IMPORTRANGE(""https://docs.google.com/spreadsheets/d/1SDNX3JhDdYRuIOsj0Wh2M-Qa_eaXl0NbWmhAOTbfQAs/edit?usp=sharing"",""ปัตตานี!J219"")"),0)</f>
        <v>0</v>
      </c>
      <c r="BE80" s="98">
        <f t="shared" ca="1" si="110"/>
        <v>0</v>
      </c>
      <c r="BF80" s="97">
        <f ca="1">IFERROR(__xludf.DUMMYFUNCTION("IMPORTRANGE(""https://docs.google.com/spreadsheets/d/1SDNX3JhDdYRuIOsj0Wh2M-Qa_eaXl0NbWmhAOTbfQAs/edit?usp=sharing"",""ปัตตานี!I220"")"),0)</f>
        <v>0</v>
      </c>
      <c r="BG80" s="97">
        <f ca="1">IFERROR(__xludf.DUMMYFUNCTION("IMPORTRANGE(""https://docs.google.com/spreadsheets/d/1SDNX3JhDdYRuIOsj0Wh2M-Qa_eaXl0NbWmhAOTbfQAs/edit?usp=sharing"",""ปัตตานี!J220"")"),0)</f>
        <v>0</v>
      </c>
      <c r="BH80" s="98">
        <f t="shared" ca="1" si="112"/>
        <v>0</v>
      </c>
      <c r="BI80" s="97">
        <f ca="1">IFERROR(__xludf.DUMMYFUNCTION("IMPORTRANGE(""https://docs.google.com/spreadsheets/d/1SDNX3JhDdYRuIOsj0Wh2M-Qa_eaXl0NbWmhAOTbfQAs/edit?usp=sharing"",""ปัตตานี!L223"")"),3000)</f>
        <v>3000</v>
      </c>
      <c r="BJ80" s="97">
        <f ca="1">IFERROR(__xludf.DUMMYFUNCTION("IMPORTRANGE(""https://docs.google.com/spreadsheets/d/1SDNX3JhDdYRuIOsj0Wh2M-Qa_eaXl0NbWmhAOTbfQAs/edit?usp=sharing"",""ปัตตานี!N223"")"),0)</f>
        <v>0</v>
      </c>
      <c r="BK80" s="98">
        <f t="shared" ca="1" si="114"/>
        <v>0</v>
      </c>
      <c r="BL80" s="97">
        <f ca="1">IFERROR(__xludf.DUMMYFUNCTION("IMPORTRANGE(""https://docs.google.com/spreadsheets/d/1SDNX3JhDdYRuIOsj0Wh2M-Qa_eaXl0NbWmhAOTbfQAs/edit?usp=sharing"",""ปัตตานี!L224"")"),1500)</f>
        <v>1500</v>
      </c>
      <c r="BM80" s="97">
        <f ca="1">IFERROR(__xludf.DUMMYFUNCTION("IMPORTRANGE(""https://docs.google.com/spreadsheets/d/1SDNX3JhDdYRuIOsj0Wh2M-Qa_eaXl0NbWmhAOTbfQAs/edit?usp=sharing"",""ปัตตานี!N224"")"),0)</f>
        <v>0</v>
      </c>
      <c r="BN80" s="98">
        <f t="shared" ca="1" si="116"/>
        <v>0</v>
      </c>
      <c r="BO80" s="97">
        <f ca="1">IFERROR(__xludf.DUMMYFUNCTION("IMPORTRANGE(""https://docs.google.com/spreadsheets/d/1SDNX3JhDdYRuIOsj0Wh2M-Qa_eaXl0NbWmhAOTbfQAs/edit?usp=sharing"",""ปัตตานี!I228"")"),12800)</f>
        <v>12800</v>
      </c>
      <c r="BP80" s="97">
        <f ca="1">IFERROR(__xludf.DUMMYFUNCTION("IMPORTRANGE(""https://docs.google.com/spreadsheets/d/1SDNX3JhDdYRuIOsj0Wh2M-Qa_eaXl0NbWmhAOTbfQAs/edit?usp=sharing"",""ปัตตานี!J228"")"),0)</f>
        <v>0</v>
      </c>
      <c r="BQ80" s="98">
        <f t="shared" ca="1" si="118"/>
        <v>0</v>
      </c>
      <c r="BR80" s="97">
        <f ca="1">IFERROR(__xludf.DUMMYFUNCTION("IMPORTRANGE(""https://docs.google.com/spreadsheets/d/1SDNX3JhDdYRuIOsj0Wh2M-Qa_eaXl0NbWmhAOTbfQAs/edit?usp=sharing"",""ปัตตานี!I229"")"),12800)</f>
        <v>12800</v>
      </c>
      <c r="BS80" s="97">
        <f ca="1">IFERROR(__xludf.DUMMYFUNCTION("IMPORTRANGE(""https://docs.google.com/spreadsheets/d/1SDNX3JhDdYRuIOsj0Wh2M-Qa_eaXl0NbWmhAOTbfQAs/edit?usp=sharing"",""ปัตตานี!J229"")"),0)</f>
        <v>0</v>
      </c>
      <c r="BT80" s="98">
        <f t="shared" ca="1" si="120"/>
        <v>0</v>
      </c>
      <c r="BU80" s="97">
        <f ca="1">IFERROR(__xludf.DUMMYFUNCTION("IMPORTRANGE(""https://docs.google.com/spreadsheets/d/1SDNX3JhDdYRuIOsj0Wh2M-Qa_eaXl0NbWmhAOTbfQAs/edit?usp=sharing"",""ปัตตานี!I230"")"),0)</f>
        <v>0</v>
      </c>
      <c r="BV80" s="97">
        <f ca="1">IFERROR(__xludf.DUMMYFUNCTION("IMPORTRANGE(""https://docs.google.com/spreadsheets/d/1SDNX3JhDdYRuIOsj0Wh2M-Qa_eaXl0NbWmhAOTbfQAs/edit?usp=sharing"",""ปัตตานี!J230"")"),0)</f>
        <v>0</v>
      </c>
      <c r="BW80" s="98">
        <f t="shared" ca="1" si="122"/>
        <v>0</v>
      </c>
      <c r="BX80" s="97">
        <f ca="1">IFERROR(__xludf.DUMMYFUNCTION("IMPORTRANGE(""https://docs.google.com/spreadsheets/d/1SDNX3JhDdYRuIOsj0Wh2M-Qa_eaXl0NbWmhAOTbfQAs/edit?usp=sharing"",""ปัตตานี!L233"")"),0)</f>
        <v>0</v>
      </c>
      <c r="BY80" s="97">
        <f ca="1">IFERROR(__xludf.DUMMYFUNCTION("IMPORTRANGE(""https://docs.google.com/spreadsheets/d/1SDNX3JhDdYRuIOsj0Wh2M-Qa_eaXl0NbWmhAOTbfQAs/edit?usp=sharing"",""ปัตตานี!N233"")"),0)</f>
        <v>0</v>
      </c>
      <c r="BZ80" s="98">
        <f t="shared" ca="1" si="124"/>
        <v>0</v>
      </c>
      <c r="CA80" s="97">
        <f ca="1">IFERROR(__xludf.DUMMYFUNCTION("IMPORTRANGE(""https://docs.google.com/spreadsheets/d/1SDNX3JhDdYRuIOsj0Wh2M-Qa_eaXl0NbWmhAOTbfQAs/edit?usp=sharing"",""ปัตตานี!L234"")"),0)</f>
        <v>0</v>
      </c>
      <c r="CB80" s="97">
        <f ca="1">IFERROR(__xludf.DUMMYFUNCTION("IMPORTRANGE(""https://docs.google.com/spreadsheets/d/1SDNX3JhDdYRuIOsj0Wh2M-Qa_eaXl0NbWmhAOTbfQAs/edit?usp=sharing"",""ปัตตานี!N234"")"),0)</f>
        <v>0</v>
      </c>
      <c r="CC80" s="98">
        <f t="shared" ca="1" si="126"/>
        <v>0</v>
      </c>
      <c r="CD80" s="97">
        <f ca="1">IFERROR(__xludf.DUMMYFUNCTION("IMPORTRANGE(""https://docs.google.com/spreadsheets/d/1SDNX3JhDdYRuIOsj0Wh2M-Qa_eaXl0NbWmhAOTbfQAs/edit?usp=sharing"",""ปัตตานี!L235"")"),0)</f>
        <v>0</v>
      </c>
      <c r="CE80" s="97">
        <f ca="1">IFERROR(__xludf.DUMMYFUNCTION("IMPORTRANGE(""https://docs.google.com/spreadsheets/d/1SDNX3JhDdYRuIOsj0Wh2M-Qa_eaXl0NbWmhAOTbfQAs/edit?usp=sharing"",""ปัตตานี!N235"")"),0)</f>
        <v>0</v>
      </c>
      <c r="CF80" s="98">
        <f t="shared" ca="1" si="128"/>
        <v>0</v>
      </c>
      <c r="CG80" s="97">
        <f ca="1">IFERROR(__xludf.DUMMYFUNCTION("IMPORTRANGE(""https://docs.google.com/spreadsheets/d/1SDNX3JhDdYRuIOsj0Wh2M-Qa_eaXl0NbWmhAOTbfQAs/edit?usp=sharing"",""ปัตตานี!L236"")"),0)</f>
        <v>0</v>
      </c>
      <c r="CH80" s="97">
        <f ca="1">IFERROR(__xludf.DUMMYFUNCTION("IMPORTRANGE(""https://docs.google.com/spreadsheets/d/1SDNX3JhDdYRuIOsj0Wh2M-Qa_eaXl0NbWmhAOTbfQAs/edit?usp=sharing"",""ปัตตานี!N236"")"),0)</f>
        <v>0</v>
      </c>
      <c r="CI80" s="98">
        <f t="shared" ca="1" si="130"/>
        <v>0</v>
      </c>
      <c r="CJ80" s="97">
        <f ca="1">IFERROR(__xludf.DUMMYFUNCTION("IMPORTRANGE(""https://docs.google.com/spreadsheets/d/1SDNX3JhDdYRuIOsj0Wh2M-Qa_eaXl0NbWmhAOTbfQAs/edit?usp=sharing"",""ปัตตานี!I238"")"),0)</f>
        <v>0</v>
      </c>
      <c r="CK80" s="97">
        <f ca="1">IFERROR(__xludf.DUMMYFUNCTION("IMPORTRANGE(""https://docs.google.com/spreadsheets/d/1SDNX3JhDdYRuIOsj0Wh2M-Qa_eaXl0NbWmhAOTbfQAs/edit?usp=sharing"",""ปัตตานี!J238"")"),0)</f>
        <v>0</v>
      </c>
      <c r="CL80" s="98">
        <f t="shared" ca="1" si="132"/>
        <v>0</v>
      </c>
      <c r="CM80" s="97">
        <f ca="1">IFERROR(__xludf.DUMMYFUNCTION("IMPORTRANGE(""https://docs.google.com/spreadsheets/d/1SDNX3JhDdYRuIOsj0Wh2M-Qa_eaXl0NbWmhAOTbfQAs/edit?usp=sharing"",""ปัตตานี!J240"")"),0)</f>
        <v>0</v>
      </c>
      <c r="CN80" s="97">
        <f ca="1">IFERROR(__xludf.DUMMYFUNCTION("IMPORTRANGE(""https://docs.google.com/spreadsheets/d/1SDNX3JhDdYRuIOsj0Wh2M-Qa_eaXl0NbWmhAOTbfQAs/edit?usp=sharing"",""ปัตตานี!J241"")"),0)</f>
        <v>0</v>
      </c>
    </row>
    <row r="81" spans="1:92" ht="21" customHeight="1" x14ac:dyDescent="0.3">
      <c r="A81" s="89">
        <v>7</v>
      </c>
      <c r="B81" s="90" t="s">
        <v>107</v>
      </c>
      <c r="C81" s="174">
        <f t="shared" ca="1" si="80"/>
        <v>121500</v>
      </c>
      <c r="D81" s="175">
        <f t="shared" ca="1" si="209"/>
        <v>121500</v>
      </c>
      <c r="E81" s="176">
        <f ca="1">IFERROR(__xludf.DUMMYFUNCTION("IMPORTRANGE(""https://docs.google.com/spreadsheets/d/1-uDff_7J0KD5mKrp0Vvzr7lt3OU09vwQwhkpOPPYv2Y/edit?usp=sharing"",""งบพรบ!CV81"")"),82000)</f>
        <v>82000</v>
      </c>
      <c r="F81" s="176">
        <f ca="1">IFERROR(__xludf.DUMMYFUNCTION("IMPORTRANGE(""https://docs.google.com/spreadsheets/d/1-uDff_7J0KD5mKrp0Vvzr7lt3OU09vwQwhkpOPPYv2Y/edit?usp=sharing"",""งบพรบ!CW81"")"),39500)</f>
        <v>39500</v>
      </c>
      <c r="G81" s="176">
        <f ca="1">IFERROR(__xludf.DUMMYFUNCTION("IMPORTRANGE(""https://docs.google.com/spreadsheets/d/1-uDff_7J0KD5mKrp0Vvzr7lt3OU09vwQwhkpOPPYv2Y/edit?usp=sharing"",""งบพรบ!CX81"")"),0)</f>
        <v>0</v>
      </c>
      <c r="H81" s="176">
        <f ca="1">IFERROR(__xludf.DUMMYFUNCTION("IMPORTRANGE(""https://docs.google.com/spreadsheets/d/1-uDff_7J0KD5mKrp0Vvzr7lt3OU09vwQwhkpOPPYv2Y/edit?usp=sharing"",""งบพรบ!CZ81"")"),121500)</f>
        <v>121500</v>
      </c>
      <c r="I81" s="176">
        <f ca="1">IFERROR(__xludf.DUMMYFUNCTION("IMPORTRANGE(""https://docs.google.com/spreadsheets/d/1-uDff_7J0KD5mKrp0Vvzr7lt3OU09vwQwhkpOPPYv2Y/edit?usp=sharing"",""งบพรบ!DA81"")"),0)</f>
        <v>0</v>
      </c>
      <c r="J81" s="176">
        <f t="shared" ca="1" si="82"/>
        <v>61798.5</v>
      </c>
      <c r="K81" s="179">
        <f t="shared" ca="1" si="83"/>
        <v>50.86296296296296</v>
      </c>
      <c r="L81" s="176">
        <f ca="1">IFERROR(__xludf.DUMMYFUNCTION("IMPORTRANGE(""https://docs.google.com/spreadsheets/d/1-uDff_7J0KD5mKrp0Vvzr7lt3OU09vwQwhkpOPPYv2Y/edit?usp=sharing"",""งบพรบ!DB81"")"),61798.5)</f>
        <v>61798.5</v>
      </c>
      <c r="M81" s="87">
        <f t="shared" ca="1" si="84"/>
        <v>50.86296296296296</v>
      </c>
      <c r="N81" s="87">
        <f t="shared" ca="1" si="85"/>
        <v>50.86296296296296</v>
      </c>
      <c r="O81" s="86">
        <f ca="1">IFERROR(__xludf.DUMMYFUNCTION("IMPORTRANGE(""https://docs.google.com/spreadsheets/d/1-uDff_7J0KD5mKrp0Vvzr7lt3OU09vwQwhkpOPPYv2Y/edit?usp=sharing"",""งบพรบ!DC81"")"),0)</f>
        <v>0</v>
      </c>
      <c r="P81" s="86">
        <f t="shared" ca="1" si="86"/>
        <v>0</v>
      </c>
      <c r="Q81" s="87">
        <f t="shared" ca="1" si="87"/>
        <v>0</v>
      </c>
      <c r="R81" s="241">
        <f ca="1">IFERROR(__xludf.DUMMYFUNCTION("IMPORTRANGE(""https://docs.google.com/spreadsheets/d/16JDLGguT8s5DsGCND1KcwHP_AWR_zDMTqLHPLJUKhaU/edit?usp=sharing"",""พังงา!Q186"")"),28000)</f>
        <v>28000</v>
      </c>
      <c r="S81" s="242">
        <f ca="1">IFERROR(__xludf.DUMMYFUNCTION("IMPORTRANGE(""https://docs.google.com/spreadsheets/d/16JDLGguT8s5DsGCND1KcwHP_AWR_zDMTqLHPLJUKhaU/edit?usp=sharing"",""พังงา!R186"")"),0)</f>
        <v>0</v>
      </c>
      <c r="T81" s="242">
        <f ca="1">IFERROR(__xludf.DUMMYFUNCTION("IMPORTRANGE(""https://docs.google.com/spreadsheets/d/16JDLGguT8s5DsGCND1KcwHP_AWR_zDMTqLHPLJUKhaU/edit?usp=sharing"",""พังงา!S186"")"),0)</f>
        <v>0</v>
      </c>
      <c r="U81" s="243">
        <f t="shared" ca="1" si="89"/>
        <v>0</v>
      </c>
      <c r="V81" s="243">
        <f t="shared" ca="1" si="90"/>
        <v>0</v>
      </c>
      <c r="W81" s="97">
        <f ca="1">IFERROR(__xludf.DUMMYFUNCTION("IMPORTRANGE(""https://docs.google.com/spreadsheets/d/16JDLGguT8s5DsGCND1KcwHP_AWR_zDMTqLHPLJUKhaU/edit?usp=sharing"",""พังงา!L196"")"),6000)</f>
        <v>6000</v>
      </c>
      <c r="X81" s="97">
        <f ca="1">IFERROR(__xludf.DUMMYFUNCTION("IMPORTRANGE(""https://docs.google.com/spreadsheets/d/16JDLGguT8s5DsGCND1KcwHP_AWR_zDMTqLHPLJUKhaU/edit?usp=sharing"",""พังงา!N196"")"),0)</f>
        <v>0</v>
      </c>
      <c r="Y81" s="98">
        <f t="shared" ca="1" si="92"/>
        <v>0</v>
      </c>
      <c r="Z81" s="97">
        <f ca="1">IFERROR(__xludf.DUMMYFUNCTION("IMPORTRANGE(""https://docs.google.com/spreadsheets/d/16JDLGguT8s5DsGCND1KcwHP_AWR_zDMTqLHPLJUKhaU/edit?usp=sharing"",""พังงา!I198"")"),4)</f>
        <v>4</v>
      </c>
      <c r="AA81" s="97">
        <f ca="1">IFERROR(__xludf.DUMMYFUNCTION("IMPORTRANGE(""https://docs.google.com/spreadsheets/d/16JDLGguT8s5DsGCND1KcwHP_AWR_zDMTqLHPLJUKhaU/edit?usp=sharing"",""พังงา!J198"")"),1)</f>
        <v>1</v>
      </c>
      <c r="AB81" s="98">
        <f t="shared" ca="1" si="94"/>
        <v>25</v>
      </c>
      <c r="AC81" s="97">
        <f ca="1">IFERROR(__xludf.DUMMYFUNCTION("IMPORTRANGE(""https://docs.google.com/spreadsheets/d/16JDLGguT8s5DsGCND1KcwHP_AWR_zDMTqLHPLJUKhaU/edit?usp=sharing"",""พังงา!J199"")"),28)</f>
        <v>28</v>
      </c>
      <c r="AD81" s="97">
        <f ca="1">IFERROR(__xludf.DUMMYFUNCTION("IMPORTRANGE(""https://docs.google.com/spreadsheets/d/16JDLGguT8s5DsGCND1KcwHP_AWR_zDMTqLHPLJUKhaU/edit?usp=sharing"",""พังงา!J200"")"),28)</f>
        <v>28</v>
      </c>
      <c r="AE81" s="97">
        <f ca="1">IFERROR(__xludf.DUMMYFUNCTION("IMPORTRANGE(""https://docs.google.com/spreadsheets/d/16JDLGguT8s5DsGCND1KcwHP_AWR_zDMTqLHPLJUKhaU/edit?usp=sharing"",""พังงา!J201"")"),0)</f>
        <v>0</v>
      </c>
      <c r="AF81" s="97">
        <f ca="1">IFERROR(__xludf.DUMMYFUNCTION("IMPORTRANGE(""https://docs.google.com/spreadsheets/d/16JDLGguT8s5DsGCND1KcwHP_AWR_zDMTqLHPLJUKhaU/edit?usp=sharing"",""พังงา!L204"")"),2000)</f>
        <v>2000</v>
      </c>
      <c r="AG81" s="97">
        <f ca="1">IFERROR(__xludf.DUMMYFUNCTION("IMPORTRANGE(""https://docs.google.com/spreadsheets/d/16JDLGguT8s5DsGCND1KcwHP_AWR_zDMTqLHPLJUKhaU/edit?usp=sharing"",""พังงา!N204"")"),0)</f>
        <v>0</v>
      </c>
      <c r="AH81" s="98">
        <f t="shared" ca="1" si="96"/>
        <v>0</v>
      </c>
      <c r="AI81" s="97">
        <f ca="1">IFERROR(__xludf.DUMMYFUNCTION("IMPORTRANGE(""https://docs.google.com/spreadsheets/d/16JDLGguT8s5DsGCND1KcwHP_AWR_zDMTqLHPLJUKhaU/edit?usp=sharing"",""พังงา!L206"")"),16000)</f>
        <v>16000</v>
      </c>
      <c r="AJ81" s="97">
        <f ca="1">IFERROR(__xludf.DUMMYFUNCTION("IMPORTRANGE(""https://docs.google.com/spreadsheets/d/16JDLGguT8s5DsGCND1KcwHP_AWR_zDMTqLHPLJUKhaU/edit?usp=sharing"",""พังงา!N206"")"),0)</f>
        <v>0</v>
      </c>
      <c r="AK81" s="98">
        <f t="shared" ca="1" si="98"/>
        <v>0</v>
      </c>
      <c r="AL81" s="97">
        <f ca="1">IFERROR(__xludf.DUMMYFUNCTION("IMPORTRANGE(""https://docs.google.com/spreadsheets/d/16JDLGguT8s5DsGCND1KcwHP_AWR_zDMTqLHPLJUKhaU/edit?usp=sharing"",""พังงา!L207"")"),11000)</f>
        <v>11000</v>
      </c>
      <c r="AM81" s="97">
        <f ca="1">IFERROR(__xludf.DUMMYFUNCTION("IMPORTRANGE(""https://docs.google.com/spreadsheets/d/16JDLGguT8s5DsGCND1KcwHP_AWR_zDMTqLHPLJUKhaU/edit?usp=sharing"",""พังงา!N207"")"),0)</f>
        <v>0</v>
      </c>
      <c r="AN81" s="98">
        <f t="shared" ca="1" si="100"/>
        <v>0</v>
      </c>
      <c r="AO81" s="97">
        <f ca="1">IFERROR(__xludf.DUMMYFUNCTION("IMPORTRANGE(""https://docs.google.com/spreadsheets/d/16JDLGguT8s5DsGCND1KcwHP_AWR_zDMTqLHPLJUKhaU/edit?usp=sharing"",""พังงา!I209"")"),2)</f>
        <v>2</v>
      </c>
      <c r="AP81" s="97">
        <f ca="1">IFERROR(__xludf.DUMMYFUNCTION("IMPORTRANGE(""https://docs.google.com/spreadsheets/d/16JDLGguT8s5DsGCND1KcwHP_AWR_zDMTqLHPLJUKhaU/edit?usp=sharing"",""พังงา!J209"")"),0)</f>
        <v>0</v>
      </c>
      <c r="AQ81" s="98">
        <f t="shared" ca="1" si="102"/>
        <v>0</v>
      </c>
      <c r="AR81" s="97">
        <f ca="1">IFERROR(__xludf.DUMMYFUNCTION("IMPORTRANGE(""https://docs.google.com/spreadsheets/d/16JDLGguT8s5DsGCND1KcwHP_AWR_zDMTqLHPLJUKhaU/edit?usp=sharing"",""พังงา!J211"")"),0)</f>
        <v>0</v>
      </c>
      <c r="AS81" s="97">
        <f ca="1">IFERROR(__xludf.DUMMYFUNCTION("IMPORTRANGE(""https://docs.google.com/spreadsheets/d/16JDLGguT8s5DsGCND1KcwHP_AWR_zDMTqLHPLJUKhaU/edit?usp=sharing"",""พังงา!J212"")"),0)</f>
        <v>0</v>
      </c>
      <c r="AT81" s="97">
        <f ca="1">IFERROR(__xludf.DUMMYFUNCTION("IMPORTRANGE(""https://docs.google.com/spreadsheets/d/16JDLGguT8s5DsGCND1KcwHP_AWR_zDMTqLHPLJUKhaU/edit?usp=sharing"",""พังงา!L215"")"),0)</f>
        <v>0</v>
      </c>
      <c r="AU81" s="97">
        <f ca="1">IFERROR(__xludf.DUMMYFUNCTION("IMPORTRANGE(""https://docs.google.com/spreadsheets/d/16JDLGguT8s5DsGCND1KcwHP_AWR_zDMTqLHPLJUKhaU/edit?usp=sharing"",""พังงา!N215"")"),0)</f>
        <v>0</v>
      </c>
      <c r="AV81" s="98">
        <f t="shared" ca="1" si="104"/>
        <v>0</v>
      </c>
      <c r="AW81" s="97">
        <f ca="1">IFERROR(__xludf.DUMMYFUNCTION("IMPORTRANGE(""https://docs.google.com/spreadsheets/d/16JDLGguT8s5DsGCND1KcwHP_AWR_zDMTqLHPLJUKhaU/edit?usp=sharing"",""พังงา!L216"")"),0)</f>
        <v>0</v>
      </c>
      <c r="AX81" s="97">
        <f ca="1">IFERROR(__xludf.DUMMYFUNCTION("IMPORTRANGE(""https://docs.google.com/spreadsheets/d/16JDLGguT8s5DsGCND1KcwHP_AWR_zDMTqLHPLJUKhaU/edit?usp=sharing"",""พังงา!N216"")"),0)</f>
        <v>0</v>
      </c>
      <c r="AY81" s="98">
        <f t="shared" ca="1" si="106"/>
        <v>0</v>
      </c>
      <c r="AZ81" s="97">
        <f ca="1">IFERROR(__xludf.DUMMYFUNCTION("IMPORTRANGE(""https://docs.google.com/spreadsheets/d/16JDLGguT8s5DsGCND1KcwHP_AWR_zDMTqLHPLJUKhaU/edit?usp=sharing"",""พังงา!L217"")"),0)</f>
        <v>0</v>
      </c>
      <c r="BA81" s="97">
        <f ca="1">IFERROR(__xludf.DUMMYFUNCTION("IMPORTRANGE(""https://docs.google.com/spreadsheets/d/16JDLGguT8s5DsGCND1KcwHP_AWR_zDMTqLHPLJUKhaU/edit?usp=sharing"",""พังงา!N217"")"),0)</f>
        <v>0</v>
      </c>
      <c r="BB81" s="98">
        <f t="shared" ca="1" si="108"/>
        <v>0</v>
      </c>
      <c r="BC81" s="97">
        <f ca="1">IFERROR(__xludf.DUMMYFUNCTION("IMPORTRANGE(""https://docs.google.com/spreadsheets/d/16JDLGguT8s5DsGCND1KcwHP_AWR_zDMTqLHPLJUKhaU/edit?usp=sharing"",""พังงา!I219"")"),0)</f>
        <v>0</v>
      </c>
      <c r="BD81" s="97">
        <f ca="1">IFERROR(__xludf.DUMMYFUNCTION("IMPORTRANGE(""https://docs.google.com/spreadsheets/d/16JDLGguT8s5DsGCND1KcwHP_AWR_zDMTqLHPLJUKhaU/edit?usp=sharing"",""พังงา!J219"")"),0)</f>
        <v>0</v>
      </c>
      <c r="BE81" s="98">
        <f t="shared" ca="1" si="110"/>
        <v>0</v>
      </c>
      <c r="BF81" s="97">
        <f ca="1">IFERROR(__xludf.DUMMYFUNCTION("IMPORTRANGE(""https://docs.google.com/spreadsheets/d/16JDLGguT8s5DsGCND1KcwHP_AWR_zDMTqLHPLJUKhaU/edit?usp=sharing"",""พังงา!I220"")"),0)</f>
        <v>0</v>
      </c>
      <c r="BG81" s="97">
        <f ca="1">IFERROR(__xludf.DUMMYFUNCTION("IMPORTRANGE(""https://docs.google.com/spreadsheets/d/16JDLGguT8s5DsGCND1KcwHP_AWR_zDMTqLHPLJUKhaU/edit?usp=sharing"",""พังงา!J220"")"),0)</f>
        <v>0</v>
      </c>
      <c r="BH81" s="98">
        <f t="shared" ca="1" si="112"/>
        <v>0</v>
      </c>
      <c r="BI81" s="97">
        <f ca="1">IFERROR(__xludf.DUMMYFUNCTION("IMPORTRANGE(""https://docs.google.com/spreadsheets/d/16JDLGguT8s5DsGCND1KcwHP_AWR_zDMTqLHPLJUKhaU/edit?usp=sharing"",""พังงา!L223"")"),3000)</f>
        <v>3000</v>
      </c>
      <c r="BJ81" s="97">
        <f ca="1">IFERROR(__xludf.DUMMYFUNCTION("IMPORTRANGE(""https://docs.google.com/spreadsheets/d/16JDLGguT8s5DsGCND1KcwHP_AWR_zDMTqLHPLJUKhaU/edit?usp=sharing"",""พังงา!N223"")"),0)</f>
        <v>0</v>
      </c>
      <c r="BK81" s="98">
        <f t="shared" ca="1" si="114"/>
        <v>0</v>
      </c>
      <c r="BL81" s="97">
        <f ca="1">IFERROR(__xludf.DUMMYFUNCTION("IMPORTRANGE(""https://docs.google.com/spreadsheets/d/16JDLGguT8s5DsGCND1KcwHP_AWR_zDMTqLHPLJUKhaU/edit?usp=sharing"",""พังงา!L224"")"),1500)</f>
        <v>1500</v>
      </c>
      <c r="BM81" s="97">
        <f ca="1">IFERROR(__xludf.DUMMYFUNCTION("IMPORTRANGE(""https://docs.google.com/spreadsheets/d/16JDLGguT8s5DsGCND1KcwHP_AWR_zDMTqLHPLJUKhaU/edit?usp=sharing"",""พังงา!N224"")"),0)</f>
        <v>0</v>
      </c>
      <c r="BN81" s="98">
        <f t="shared" ca="1" si="116"/>
        <v>0</v>
      </c>
      <c r="BO81" s="97">
        <f ca="1">IFERROR(__xludf.DUMMYFUNCTION("IMPORTRANGE(""https://docs.google.com/spreadsheets/d/16JDLGguT8s5DsGCND1KcwHP_AWR_zDMTqLHPLJUKhaU/edit?usp=sharing"",""พังงา!I228"")"),20000)</f>
        <v>20000</v>
      </c>
      <c r="BP81" s="97">
        <f ca="1">IFERROR(__xludf.DUMMYFUNCTION("IMPORTRANGE(""https://docs.google.com/spreadsheets/d/16JDLGguT8s5DsGCND1KcwHP_AWR_zDMTqLHPLJUKhaU/edit?usp=sharing"",""พังงา!J228"")"),0)</f>
        <v>0</v>
      </c>
      <c r="BQ81" s="98">
        <f t="shared" ca="1" si="118"/>
        <v>0</v>
      </c>
      <c r="BR81" s="97">
        <f ca="1">IFERROR(__xludf.DUMMYFUNCTION("IMPORTRANGE(""https://docs.google.com/spreadsheets/d/16JDLGguT8s5DsGCND1KcwHP_AWR_zDMTqLHPLJUKhaU/edit?usp=sharing"",""พังงา!I229"")"),20000)</f>
        <v>20000</v>
      </c>
      <c r="BS81" s="97">
        <f ca="1">IFERROR(__xludf.DUMMYFUNCTION("IMPORTRANGE(""https://docs.google.com/spreadsheets/d/16JDLGguT8s5DsGCND1KcwHP_AWR_zDMTqLHPLJUKhaU/edit?usp=sharing"",""พังงา!J229"")"),0)</f>
        <v>0</v>
      </c>
      <c r="BT81" s="98">
        <f t="shared" ca="1" si="120"/>
        <v>0</v>
      </c>
      <c r="BU81" s="97">
        <f ca="1">IFERROR(__xludf.DUMMYFUNCTION("IMPORTRANGE(""https://docs.google.com/spreadsheets/d/16JDLGguT8s5DsGCND1KcwHP_AWR_zDMTqLHPLJUKhaU/edit?usp=sharing"",""พังงา!I230"")"),0)</f>
        <v>0</v>
      </c>
      <c r="BV81" s="97">
        <f ca="1">IFERROR(__xludf.DUMMYFUNCTION("IMPORTRANGE(""https://docs.google.com/spreadsheets/d/16JDLGguT8s5DsGCND1KcwHP_AWR_zDMTqLHPLJUKhaU/edit?usp=sharing"",""พังงา!J230"")"),0)</f>
        <v>0</v>
      </c>
      <c r="BW81" s="98">
        <f t="shared" ca="1" si="122"/>
        <v>0</v>
      </c>
      <c r="BX81" s="97">
        <f ca="1">IFERROR(__xludf.DUMMYFUNCTION("IMPORTRANGE(""https://docs.google.com/spreadsheets/d/16JDLGguT8s5DsGCND1KcwHP_AWR_zDMTqLHPLJUKhaU/edit?usp=sharing"",""พังงา!L233"")"),0)</f>
        <v>0</v>
      </c>
      <c r="BY81" s="97">
        <f ca="1">IFERROR(__xludf.DUMMYFUNCTION("IMPORTRANGE(""https://docs.google.com/spreadsheets/d/16JDLGguT8s5DsGCND1KcwHP_AWR_zDMTqLHPLJUKhaU/edit?usp=sharing"",""พังงา!N233"")"),0)</f>
        <v>0</v>
      </c>
      <c r="BZ81" s="98">
        <f t="shared" ca="1" si="124"/>
        <v>0</v>
      </c>
      <c r="CA81" s="97">
        <f ca="1">IFERROR(__xludf.DUMMYFUNCTION("IMPORTRANGE(""https://docs.google.com/spreadsheets/d/16JDLGguT8s5DsGCND1KcwHP_AWR_zDMTqLHPLJUKhaU/edit?usp=sharing"",""พังงา!L234"")"),0)</f>
        <v>0</v>
      </c>
      <c r="CB81" s="97">
        <f ca="1">IFERROR(__xludf.DUMMYFUNCTION("IMPORTRANGE(""https://docs.google.com/spreadsheets/d/16JDLGguT8s5DsGCND1KcwHP_AWR_zDMTqLHPLJUKhaU/edit?usp=sharing"",""พังงา!N234"")"),0)</f>
        <v>0</v>
      </c>
      <c r="CC81" s="98">
        <f t="shared" ca="1" si="126"/>
        <v>0</v>
      </c>
      <c r="CD81" s="97">
        <f ca="1">IFERROR(__xludf.DUMMYFUNCTION("IMPORTRANGE(""https://docs.google.com/spreadsheets/d/16JDLGguT8s5DsGCND1KcwHP_AWR_zDMTqLHPLJUKhaU/edit?usp=sharing"",""พังงา!L235"")"),0)</f>
        <v>0</v>
      </c>
      <c r="CE81" s="97">
        <f ca="1">IFERROR(__xludf.DUMMYFUNCTION("IMPORTRANGE(""https://docs.google.com/spreadsheets/d/16JDLGguT8s5DsGCND1KcwHP_AWR_zDMTqLHPLJUKhaU/edit?usp=sharing"",""พังงา!N235"")"),0)</f>
        <v>0</v>
      </c>
      <c r="CF81" s="98">
        <f t="shared" ca="1" si="128"/>
        <v>0</v>
      </c>
      <c r="CG81" s="97">
        <f ca="1">IFERROR(__xludf.DUMMYFUNCTION("IMPORTRANGE(""https://docs.google.com/spreadsheets/d/16JDLGguT8s5DsGCND1KcwHP_AWR_zDMTqLHPLJUKhaU/edit?usp=sharing"",""พังงา!L236"")"),0)</f>
        <v>0</v>
      </c>
      <c r="CH81" s="97">
        <f ca="1">IFERROR(__xludf.DUMMYFUNCTION("IMPORTRANGE(""https://docs.google.com/spreadsheets/d/16JDLGguT8s5DsGCND1KcwHP_AWR_zDMTqLHPLJUKhaU/edit?usp=sharing"",""พังงา!N236"")"),0)</f>
        <v>0</v>
      </c>
      <c r="CI81" s="98">
        <f t="shared" ca="1" si="130"/>
        <v>0</v>
      </c>
      <c r="CJ81" s="97">
        <f ca="1">IFERROR(__xludf.DUMMYFUNCTION("IMPORTRANGE(""https://docs.google.com/spreadsheets/d/16JDLGguT8s5DsGCND1KcwHP_AWR_zDMTqLHPLJUKhaU/edit?usp=sharing"",""พังงา!I238"")"),0)</f>
        <v>0</v>
      </c>
      <c r="CK81" s="97">
        <f ca="1">IFERROR(__xludf.DUMMYFUNCTION("IMPORTRANGE(""https://docs.google.com/spreadsheets/d/16JDLGguT8s5DsGCND1KcwHP_AWR_zDMTqLHPLJUKhaU/edit?usp=sharing"",""พังงา!J238"")"),0)</f>
        <v>0</v>
      </c>
      <c r="CL81" s="98">
        <f t="shared" ca="1" si="132"/>
        <v>0</v>
      </c>
      <c r="CM81" s="97">
        <f ca="1">IFERROR(__xludf.DUMMYFUNCTION("IMPORTRANGE(""https://docs.google.com/spreadsheets/d/16JDLGguT8s5DsGCND1KcwHP_AWR_zDMTqLHPLJUKhaU/edit?usp=sharing"",""พังงา!J240"")"),0)</f>
        <v>0</v>
      </c>
      <c r="CN81" s="97">
        <f ca="1">IFERROR(__xludf.DUMMYFUNCTION("IMPORTRANGE(""https://docs.google.com/spreadsheets/d/16JDLGguT8s5DsGCND1KcwHP_AWR_zDMTqLHPLJUKhaU/edit?usp=sharing"",""พังงา!J241"")"),0)</f>
        <v>0</v>
      </c>
    </row>
    <row r="82" spans="1:92" ht="21" customHeight="1" x14ac:dyDescent="0.3">
      <c r="A82" s="89">
        <v>8</v>
      </c>
      <c r="B82" s="90" t="s">
        <v>108</v>
      </c>
      <c r="C82" s="174">
        <f t="shared" ca="1" si="80"/>
        <v>23500</v>
      </c>
      <c r="D82" s="175">
        <f t="shared" ca="1" si="209"/>
        <v>23500</v>
      </c>
      <c r="E82" s="176">
        <f ca="1">IFERROR(__xludf.DUMMYFUNCTION("IMPORTRANGE(""https://docs.google.com/spreadsheets/d/1-uDff_7J0KD5mKrp0Vvzr7lt3OU09vwQwhkpOPPYv2Y/edit?usp=sharing"",""งบพรบ!CV82"")"),0)</f>
        <v>0</v>
      </c>
      <c r="F82" s="176">
        <f ca="1">IFERROR(__xludf.DUMMYFUNCTION("IMPORTRANGE(""https://docs.google.com/spreadsheets/d/1-uDff_7J0KD5mKrp0Vvzr7lt3OU09vwQwhkpOPPYv2Y/edit?usp=sharing"",""งบพรบ!CW82"")"),23500)</f>
        <v>23500</v>
      </c>
      <c r="G82" s="176">
        <f ca="1">IFERROR(__xludf.DUMMYFUNCTION("IMPORTRANGE(""https://docs.google.com/spreadsheets/d/1-uDff_7J0KD5mKrp0Vvzr7lt3OU09vwQwhkpOPPYv2Y/edit?usp=sharing"",""งบพรบ!CX82"")"),0)</f>
        <v>0</v>
      </c>
      <c r="H82" s="176">
        <f ca="1">IFERROR(__xludf.DUMMYFUNCTION("IMPORTRANGE(""https://docs.google.com/spreadsheets/d/1-uDff_7J0KD5mKrp0Vvzr7lt3OU09vwQwhkpOPPYv2Y/edit?usp=sharing"",""งบพรบ!CZ82"")"),23500)</f>
        <v>23500</v>
      </c>
      <c r="I82" s="176">
        <f ca="1">IFERROR(__xludf.DUMMYFUNCTION("IMPORTRANGE(""https://docs.google.com/spreadsheets/d/1-uDff_7J0KD5mKrp0Vvzr7lt3OU09vwQwhkpOPPYv2Y/edit?usp=sharing"",""งบพรบ!DA82"")"),0)</f>
        <v>0</v>
      </c>
      <c r="J82" s="176">
        <f t="shared" ca="1" si="82"/>
        <v>0</v>
      </c>
      <c r="K82" s="179">
        <f t="shared" ca="1" si="83"/>
        <v>0</v>
      </c>
      <c r="L82" s="176">
        <f ca="1">IFERROR(__xludf.DUMMYFUNCTION("IMPORTRANGE(""https://docs.google.com/spreadsheets/d/1-uDff_7J0KD5mKrp0Vvzr7lt3OU09vwQwhkpOPPYv2Y/edit?usp=sharing"",""งบพรบ!DB82"")"),0)</f>
        <v>0</v>
      </c>
      <c r="M82" s="87">
        <f t="shared" ca="1" si="84"/>
        <v>0</v>
      </c>
      <c r="N82" s="87">
        <f t="shared" ca="1" si="85"/>
        <v>0</v>
      </c>
      <c r="O82" s="86">
        <f ca="1">IFERROR(__xludf.DUMMYFUNCTION("IMPORTRANGE(""https://docs.google.com/spreadsheets/d/1-uDff_7J0KD5mKrp0Vvzr7lt3OU09vwQwhkpOPPYv2Y/edit?usp=sharing"",""งบพรบ!DC82"")"),0)</f>
        <v>0</v>
      </c>
      <c r="P82" s="86">
        <f t="shared" ca="1" si="86"/>
        <v>0</v>
      </c>
      <c r="Q82" s="87">
        <f t="shared" ca="1" si="87"/>
        <v>0</v>
      </c>
      <c r="R82" s="241">
        <f ca="1">IFERROR(__xludf.DUMMYFUNCTION("IMPORTRANGE(""https://docs.google.com/spreadsheets/d/17ht0gPKzzT3PObBL1XJkeRmntBXI7wGjpLV7QorqlTk/edit?usp=sharing"",""พัทลุง!Q186"")"),28000)</f>
        <v>28000</v>
      </c>
      <c r="S82" s="242">
        <f ca="1">IFERROR(__xludf.DUMMYFUNCTION("IMPORTRANGE(""https://docs.google.com/spreadsheets/d/17ht0gPKzzT3PObBL1XJkeRmntBXI7wGjpLV7QorqlTk/edit?usp=sharing"",""พัทลุง!R186"")"),0)</f>
        <v>0</v>
      </c>
      <c r="T82" s="242">
        <f ca="1">IFERROR(__xludf.DUMMYFUNCTION("IMPORTRANGE(""https://docs.google.com/spreadsheets/d/17ht0gPKzzT3PObBL1XJkeRmntBXI7wGjpLV7QorqlTk/edit?usp=sharing"",""พัทลุง!S186"")"),0)</f>
        <v>0</v>
      </c>
      <c r="U82" s="243">
        <f t="shared" ca="1" si="89"/>
        <v>0</v>
      </c>
      <c r="V82" s="243">
        <f t="shared" ca="1" si="90"/>
        <v>0</v>
      </c>
      <c r="W82" s="97">
        <f ca="1">IFERROR(__xludf.DUMMYFUNCTION("IMPORTRANGE(""https://docs.google.com/spreadsheets/d/17ht0gPKzzT3PObBL1XJkeRmntBXI7wGjpLV7QorqlTk/edit?usp=sharing"",""พัทลุง!L196"")"),6000)</f>
        <v>6000</v>
      </c>
      <c r="X82" s="97">
        <f ca="1">IFERROR(__xludf.DUMMYFUNCTION("IMPORTRANGE(""https://docs.google.com/spreadsheets/d/17ht0gPKzzT3PObBL1XJkeRmntBXI7wGjpLV7QorqlTk/edit?usp=sharing"",""พัทลุง!N196"")"),0)</f>
        <v>0</v>
      </c>
      <c r="Y82" s="98">
        <f t="shared" ca="1" si="92"/>
        <v>0</v>
      </c>
      <c r="Z82" s="97">
        <f ca="1">IFERROR(__xludf.DUMMYFUNCTION("IMPORTRANGE(""https://docs.google.com/spreadsheets/d/17ht0gPKzzT3PObBL1XJkeRmntBXI7wGjpLV7QorqlTk/edit?usp=sharing"",""พัทลุง!I198"")"),4)</f>
        <v>4</v>
      </c>
      <c r="AA82" s="97">
        <f ca="1">IFERROR(__xludf.DUMMYFUNCTION("IMPORTRANGE(""https://docs.google.com/spreadsheets/d/17ht0gPKzzT3PObBL1XJkeRmntBXI7wGjpLV7QorqlTk/edit?usp=sharing"",""พัทลุง!J198"")"),0)</f>
        <v>0</v>
      </c>
      <c r="AB82" s="98">
        <f t="shared" ca="1" si="94"/>
        <v>0</v>
      </c>
      <c r="AC82" s="97">
        <f ca="1">IFERROR(__xludf.DUMMYFUNCTION("IMPORTRANGE(""https://docs.google.com/spreadsheets/d/17ht0gPKzzT3PObBL1XJkeRmntBXI7wGjpLV7QorqlTk/edit?usp=sharing"",""พัทลุง!J199"")"),0)</f>
        <v>0</v>
      </c>
      <c r="AD82" s="97">
        <f ca="1">IFERROR(__xludf.DUMMYFUNCTION("IMPORTRANGE(""https://docs.google.com/spreadsheets/d/17ht0gPKzzT3PObBL1XJkeRmntBXI7wGjpLV7QorqlTk/edit?usp=sharing"",""พัทลุง!J200"")"),0)</f>
        <v>0</v>
      </c>
      <c r="AE82" s="97">
        <f ca="1">IFERROR(__xludf.DUMMYFUNCTION("IMPORTRANGE(""https://docs.google.com/spreadsheets/d/17ht0gPKzzT3PObBL1XJkeRmntBXI7wGjpLV7QorqlTk/edit?usp=sharing"",""พัทลุง!J201"")"),0)</f>
        <v>0</v>
      </c>
      <c r="AF82" s="97">
        <f ca="1">IFERROR(__xludf.DUMMYFUNCTION("IMPORTRANGE(""https://docs.google.com/spreadsheets/d/17ht0gPKzzT3PObBL1XJkeRmntBXI7wGjpLV7QorqlTk/edit?usp=sharing"",""พัทลุง!L204"")"),1000)</f>
        <v>1000</v>
      </c>
      <c r="AG82" s="97">
        <f ca="1">IFERROR(__xludf.DUMMYFUNCTION("IMPORTRANGE(""https://docs.google.com/spreadsheets/d/17ht0gPKzzT3PObBL1XJkeRmntBXI7wGjpLV7QorqlTk/edit?usp=sharing"",""พัทลุง!N204"")"),0)</f>
        <v>0</v>
      </c>
      <c r="AH82" s="98">
        <f t="shared" ca="1" si="96"/>
        <v>0</v>
      </c>
      <c r="AI82" s="97">
        <f ca="1">IFERROR(__xludf.DUMMYFUNCTION("IMPORTRANGE(""https://docs.google.com/spreadsheets/d/17ht0gPKzzT3PObBL1XJkeRmntBXI7wGjpLV7QorqlTk/edit?usp=sharing"",""พัทลุง!L206"")"),8000)</f>
        <v>8000</v>
      </c>
      <c r="AJ82" s="97">
        <f ca="1">IFERROR(__xludf.DUMMYFUNCTION("IMPORTRANGE(""https://docs.google.com/spreadsheets/d/17ht0gPKzzT3PObBL1XJkeRmntBXI7wGjpLV7QorqlTk/edit?usp=sharing"",""พัทลุง!N206"")"),0)</f>
        <v>0</v>
      </c>
      <c r="AK82" s="98">
        <f t="shared" ca="1" si="98"/>
        <v>0</v>
      </c>
      <c r="AL82" s="97">
        <f ca="1">IFERROR(__xludf.DUMMYFUNCTION("IMPORTRANGE(""https://docs.google.com/spreadsheets/d/17ht0gPKzzT3PObBL1XJkeRmntBXI7wGjpLV7QorqlTk/edit?usp=sharing"",""พัทลุง!L207"")"),4000)</f>
        <v>4000</v>
      </c>
      <c r="AM82" s="97">
        <f ca="1">IFERROR(__xludf.DUMMYFUNCTION("IMPORTRANGE(""https://docs.google.com/spreadsheets/d/17ht0gPKzzT3PObBL1XJkeRmntBXI7wGjpLV7QorqlTk/edit?usp=sharing"",""พัทลุง!N207"")"),0)</f>
        <v>0</v>
      </c>
      <c r="AN82" s="98">
        <f t="shared" ca="1" si="100"/>
        <v>0</v>
      </c>
      <c r="AO82" s="97">
        <f ca="1">IFERROR(__xludf.DUMMYFUNCTION("IMPORTRANGE(""https://docs.google.com/spreadsheets/d/17ht0gPKzzT3PObBL1XJkeRmntBXI7wGjpLV7QorqlTk/edit?usp=sharing"",""พัทลุง!I209"")"),1)</f>
        <v>1</v>
      </c>
      <c r="AP82" s="97">
        <f ca="1">IFERROR(__xludf.DUMMYFUNCTION("IMPORTRANGE(""https://docs.google.com/spreadsheets/d/17ht0gPKzzT3PObBL1XJkeRmntBXI7wGjpLV7QorqlTk/edit?usp=sharing"",""พัทลุง!J209"")"),0)</f>
        <v>0</v>
      </c>
      <c r="AQ82" s="98">
        <f t="shared" ca="1" si="102"/>
        <v>0</v>
      </c>
      <c r="AR82" s="97">
        <f ca="1">IFERROR(__xludf.DUMMYFUNCTION("IMPORTRANGE(""https://docs.google.com/spreadsheets/d/17ht0gPKzzT3PObBL1XJkeRmntBXI7wGjpLV7QorqlTk/edit?usp=sharing"",""พัทลุง!J211"")"),0)</f>
        <v>0</v>
      </c>
      <c r="AS82" s="97">
        <f ca="1">IFERROR(__xludf.DUMMYFUNCTION("IMPORTRANGE(""https://docs.google.com/spreadsheets/d/17ht0gPKzzT3PObBL1XJkeRmntBXI7wGjpLV7QorqlTk/edit?usp=sharing"",""พัทลุง!J212"")"),0)</f>
        <v>0</v>
      </c>
      <c r="AT82" s="97">
        <f ca="1">IFERROR(__xludf.DUMMYFUNCTION("IMPORTRANGE(""https://docs.google.com/spreadsheets/d/17ht0gPKzzT3PObBL1XJkeRmntBXI7wGjpLV7QorqlTk/edit?usp=sharing"",""พัทลุง!L215"")"),0)</f>
        <v>0</v>
      </c>
      <c r="AU82" s="97">
        <f ca="1">IFERROR(__xludf.DUMMYFUNCTION("IMPORTRANGE(""https://docs.google.com/spreadsheets/d/17ht0gPKzzT3PObBL1XJkeRmntBXI7wGjpLV7QorqlTk/edit?usp=sharing"",""พัทลุง!N215"")"),0)</f>
        <v>0</v>
      </c>
      <c r="AV82" s="98">
        <f t="shared" ca="1" si="104"/>
        <v>0</v>
      </c>
      <c r="AW82" s="97">
        <f ca="1">IFERROR(__xludf.DUMMYFUNCTION("IMPORTRANGE(""https://docs.google.com/spreadsheets/d/17ht0gPKzzT3PObBL1XJkeRmntBXI7wGjpLV7QorqlTk/edit?usp=sharing"",""พัทลุง!L216"")"),0)</f>
        <v>0</v>
      </c>
      <c r="AX82" s="97">
        <f ca="1">IFERROR(__xludf.DUMMYFUNCTION("IMPORTRANGE(""https://docs.google.com/spreadsheets/d/17ht0gPKzzT3PObBL1XJkeRmntBXI7wGjpLV7QorqlTk/edit?usp=sharing"",""พัทลุง!N216"")"),0)</f>
        <v>0</v>
      </c>
      <c r="AY82" s="98">
        <f t="shared" ca="1" si="106"/>
        <v>0</v>
      </c>
      <c r="AZ82" s="97">
        <f ca="1">IFERROR(__xludf.DUMMYFUNCTION("IMPORTRANGE(""https://docs.google.com/spreadsheets/d/17ht0gPKzzT3PObBL1XJkeRmntBXI7wGjpLV7QorqlTk/edit?usp=sharing"",""พัทลุง!L217"")"),0)</f>
        <v>0</v>
      </c>
      <c r="BA82" s="97">
        <f ca="1">IFERROR(__xludf.DUMMYFUNCTION("IMPORTRANGE(""https://docs.google.com/spreadsheets/d/17ht0gPKzzT3PObBL1XJkeRmntBXI7wGjpLV7QorqlTk/edit?usp=sharing"",""พัทลุง!N217"")"),0)</f>
        <v>0</v>
      </c>
      <c r="BB82" s="98">
        <f t="shared" ca="1" si="108"/>
        <v>0</v>
      </c>
      <c r="BC82" s="97">
        <f ca="1">IFERROR(__xludf.DUMMYFUNCTION("IMPORTRANGE(""https://docs.google.com/spreadsheets/d/17ht0gPKzzT3PObBL1XJkeRmntBXI7wGjpLV7QorqlTk/edit?usp=sharing"",""พัทลุง!I219"")"),0)</f>
        <v>0</v>
      </c>
      <c r="BD82" s="97">
        <f ca="1">IFERROR(__xludf.DUMMYFUNCTION("IMPORTRANGE(""https://docs.google.com/spreadsheets/d/17ht0gPKzzT3PObBL1XJkeRmntBXI7wGjpLV7QorqlTk/edit?usp=sharing"",""พัทลุง!J219"")"),0)</f>
        <v>0</v>
      </c>
      <c r="BE82" s="98">
        <f t="shared" ca="1" si="110"/>
        <v>0</v>
      </c>
      <c r="BF82" s="97">
        <f ca="1">IFERROR(__xludf.DUMMYFUNCTION("IMPORTRANGE(""https://docs.google.com/spreadsheets/d/17ht0gPKzzT3PObBL1XJkeRmntBXI7wGjpLV7QorqlTk/edit?usp=sharing"",""พัทลุง!I220"")"),0)</f>
        <v>0</v>
      </c>
      <c r="BG82" s="97">
        <f ca="1">IFERROR(__xludf.DUMMYFUNCTION("IMPORTRANGE(""https://docs.google.com/spreadsheets/d/17ht0gPKzzT3PObBL1XJkeRmntBXI7wGjpLV7QorqlTk/edit?usp=sharing"",""พัทลุง!J220"")"),0)</f>
        <v>0</v>
      </c>
      <c r="BH82" s="98">
        <f t="shared" ca="1" si="112"/>
        <v>0</v>
      </c>
      <c r="BI82" s="97">
        <f ca="1">IFERROR(__xludf.DUMMYFUNCTION("IMPORTRANGE(""https://docs.google.com/spreadsheets/d/17ht0gPKzzT3PObBL1XJkeRmntBXI7wGjpLV7QorqlTk/edit?usp=sharing"",""พัทลุง!L223"")"),3000)</f>
        <v>3000</v>
      </c>
      <c r="BJ82" s="97">
        <f ca="1">IFERROR(__xludf.DUMMYFUNCTION("IMPORTRANGE(""https://docs.google.com/spreadsheets/d/17ht0gPKzzT3PObBL1XJkeRmntBXI7wGjpLV7QorqlTk/edit?usp=sharing"",""พัทลุง!N223"")"),0)</f>
        <v>0</v>
      </c>
      <c r="BK82" s="98">
        <f t="shared" ca="1" si="114"/>
        <v>0</v>
      </c>
      <c r="BL82" s="97">
        <f ca="1">IFERROR(__xludf.DUMMYFUNCTION("IMPORTRANGE(""https://docs.google.com/spreadsheets/d/17ht0gPKzzT3PObBL1XJkeRmntBXI7wGjpLV7QorqlTk/edit?usp=sharing"",""พัทลุง!L224"")"),1500)</f>
        <v>1500</v>
      </c>
      <c r="BM82" s="97">
        <f ca="1">IFERROR(__xludf.DUMMYFUNCTION("IMPORTRANGE(""https://docs.google.com/spreadsheets/d/17ht0gPKzzT3PObBL1XJkeRmntBXI7wGjpLV7QorqlTk/edit?usp=sharing"",""พัทลุง!N224"")"),0)</f>
        <v>0</v>
      </c>
      <c r="BN82" s="98">
        <f t="shared" ca="1" si="116"/>
        <v>0</v>
      </c>
      <c r="BO82" s="97">
        <f ca="1">IFERROR(__xludf.DUMMYFUNCTION("IMPORTRANGE(""https://docs.google.com/spreadsheets/d/17ht0gPKzzT3PObBL1XJkeRmntBXI7wGjpLV7QorqlTk/edit?usp=sharing"",""พัทลุง!I228"")"),10000)</f>
        <v>10000</v>
      </c>
      <c r="BP82" s="97">
        <f ca="1">IFERROR(__xludf.DUMMYFUNCTION("IMPORTRANGE(""https://docs.google.com/spreadsheets/d/17ht0gPKzzT3PObBL1XJkeRmntBXI7wGjpLV7QorqlTk/edit?usp=sharing"",""พัทลุง!J228"")"),0)</f>
        <v>0</v>
      </c>
      <c r="BQ82" s="98">
        <f t="shared" ca="1" si="118"/>
        <v>0</v>
      </c>
      <c r="BR82" s="97">
        <f ca="1">IFERROR(__xludf.DUMMYFUNCTION("IMPORTRANGE(""https://docs.google.com/spreadsheets/d/17ht0gPKzzT3PObBL1XJkeRmntBXI7wGjpLV7QorqlTk/edit?usp=sharing"",""พัทลุง!I229"")"),10000)</f>
        <v>10000</v>
      </c>
      <c r="BS82" s="97">
        <f ca="1">IFERROR(__xludf.DUMMYFUNCTION("IMPORTRANGE(""https://docs.google.com/spreadsheets/d/17ht0gPKzzT3PObBL1XJkeRmntBXI7wGjpLV7QorqlTk/edit?usp=sharing"",""พัทลุง!J229"")"),0)</f>
        <v>0</v>
      </c>
      <c r="BT82" s="98">
        <f t="shared" ca="1" si="120"/>
        <v>0</v>
      </c>
      <c r="BU82" s="97">
        <f ca="1">IFERROR(__xludf.DUMMYFUNCTION("IMPORTRANGE(""https://docs.google.com/spreadsheets/d/17ht0gPKzzT3PObBL1XJkeRmntBXI7wGjpLV7QorqlTk/edit?usp=sharing"",""พัทลุง!I230"")"),0)</f>
        <v>0</v>
      </c>
      <c r="BV82" s="97">
        <f ca="1">IFERROR(__xludf.DUMMYFUNCTION("IMPORTRANGE(""https://docs.google.com/spreadsheets/d/17ht0gPKzzT3PObBL1XJkeRmntBXI7wGjpLV7QorqlTk/edit?usp=sharing"",""พัทลุง!J230"")"),0)</f>
        <v>0</v>
      </c>
      <c r="BW82" s="98">
        <f t="shared" ca="1" si="122"/>
        <v>0</v>
      </c>
      <c r="BX82" s="97">
        <f ca="1">IFERROR(__xludf.DUMMYFUNCTION("IMPORTRANGE(""https://docs.google.com/spreadsheets/d/17ht0gPKzzT3PObBL1XJkeRmntBXI7wGjpLV7QorqlTk/edit?usp=sharing"",""พัทลุง!L233"")"),0)</f>
        <v>0</v>
      </c>
      <c r="BY82" s="97">
        <f ca="1">IFERROR(__xludf.DUMMYFUNCTION("IMPORTRANGE(""https://docs.google.com/spreadsheets/d/17ht0gPKzzT3PObBL1XJkeRmntBXI7wGjpLV7QorqlTk/edit?usp=sharing"",""พัทลุง!N233"")"),0)</f>
        <v>0</v>
      </c>
      <c r="BZ82" s="98">
        <f t="shared" ca="1" si="124"/>
        <v>0</v>
      </c>
      <c r="CA82" s="97">
        <f ca="1">IFERROR(__xludf.DUMMYFUNCTION("IMPORTRANGE(""https://docs.google.com/spreadsheets/d/17ht0gPKzzT3PObBL1XJkeRmntBXI7wGjpLV7QorqlTk/edit?usp=sharing"",""พัทลุง!L234"")"),0)</f>
        <v>0</v>
      </c>
      <c r="CB82" s="97">
        <f ca="1">IFERROR(__xludf.DUMMYFUNCTION("IMPORTRANGE(""https://docs.google.com/spreadsheets/d/17ht0gPKzzT3PObBL1XJkeRmntBXI7wGjpLV7QorqlTk/edit?usp=sharing"",""พัทลุง!N234"")"),0)</f>
        <v>0</v>
      </c>
      <c r="CC82" s="98">
        <f t="shared" ca="1" si="126"/>
        <v>0</v>
      </c>
      <c r="CD82" s="97">
        <f ca="1">IFERROR(__xludf.DUMMYFUNCTION("IMPORTRANGE(""https://docs.google.com/spreadsheets/d/17ht0gPKzzT3PObBL1XJkeRmntBXI7wGjpLV7QorqlTk/edit?usp=sharing"",""พัทลุง!L235"")"),0)</f>
        <v>0</v>
      </c>
      <c r="CE82" s="97">
        <f ca="1">IFERROR(__xludf.DUMMYFUNCTION("IMPORTRANGE(""https://docs.google.com/spreadsheets/d/17ht0gPKzzT3PObBL1XJkeRmntBXI7wGjpLV7QorqlTk/edit?usp=sharing"",""พัทลุง!N235"")"),0)</f>
        <v>0</v>
      </c>
      <c r="CF82" s="98">
        <f t="shared" ca="1" si="128"/>
        <v>0</v>
      </c>
      <c r="CG82" s="97">
        <f ca="1">IFERROR(__xludf.DUMMYFUNCTION("IMPORTRANGE(""https://docs.google.com/spreadsheets/d/17ht0gPKzzT3PObBL1XJkeRmntBXI7wGjpLV7QorqlTk/edit?usp=sharing"",""พัทลุง!L236"")"),0)</f>
        <v>0</v>
      </c>
      <c r="CH82" s="97">
        <f ca="1">IFERROR(__xludf.DUMMYFUNCTION("IMPORTRANGE(""https://docs.google.com/spreadsheets/d/17ht0gPKzzT3PObBL1XJkeRmntBXI7wGjpLV7QorqlTk/edit?usp=sharing"",""พัทลุง!N236"")"),0)</f>
        <v>0</v>
      </c>
      <c r="CI82" s="98">
        <f t="shared" ca="1" si="130"/>
        <v>0</v>
      </c>
      <c r="CJ82" s="97">
        <f ca="1">IFERROR(__xludf.DUMMYFUNCTION("IMPORTRANGE(""https://docs.google.com/spreadsheets/d/17ht0gPKzzT3PObBL1XJkeRmntBXI7wGjpLV7QorqlTk/edit?usp=sharing"",""พัทลุง!I238"")"),0)</f>
        <v>0</v>
      </c>
      <c r="CK82" s="97">
        <f ca="1">IFERROR(__xludf.DUMMYFUNCTION("IMPORTRANGE(""https://docs.google.com/spreadsheets/d/17ht0gPKzzT3PObBL1XJkeRmntBXI7wGjpLV7QorqlTk/edit?usp=sharing"",""พัทลุง!J238"")"),0)</f>
        <v>0</v>
      </c>
      <c r="CL82" s="98">
        <f t="shared" ca="1" si="132"/>
        <v>0</v>
      </c>
      <c r="CM82" s="97">
        <f ca="1">IFERROR(__xludf.DUMMYFUNCTION("IMPORTRANGE(""https://docs.google.com/spreadsheets/d/17ht0gPKzzT3PObBL1XJkeRmntBXI7wGjpLV7QorqlTk/edit?usp=sharing"",""พัทลุง!J240"")"),0)</f>
        <v>0</v>
      </c>
      <c r="CN82" s="97">
        <f ca="1">IFERROR(__xludf.DUMMYFUNCTION("IMPORTRANGE(""https://docs.google.com/spreadsheets/d/17ht0gPKzzT3PObBL1XJkeRmntBXI7wGjpLV7QorqlTk/edit?usp=sharing"",""พัทลุง!J241"")"),0)</f>
        <v>0</v>
      </c>
    </row>
    <row r="83" spans="1:92" ht="21" customHeight="1" x14ac:dyDescent="0.3">
      <c r="A83" s="89">
        <v>9</v>
      </c>
      <c r="B83" s="90" t="s">
        <v>109</v>
      </c>
      <c r="C83" s="174">
        <f t="shared" ca="1" si="80"/>
        <v>80500</v>
      </c>
      <c r="D83" s="175">
        <f t="shared" ca="1" si="209"/>
        <v>80500</v>
      </c>
      <c r="E83" s="176">
        <f ca="1">IFERROR(__xludf.DUMMYFUNCTION("IMPORTRANGE(""https://docs.google.com/spreadsheets/d/1-uDff_7J0KD5mKrp0Vvzr7lt3OU09vwQwhkpOPPYv2Y/edit?usp=sharing"",""งบพรบ!CV83"")"),74500)</f>
        <v>74500</v>
      </c>
      <c r="F83" s="176">
        <f ca="1">IFERROR(__xludf.DUMMYFUNCTION("IMPORTRANGE(""https://docs.google.com/spreadsheets/d/1-uDff_7J0KD5mKrp0Vvzr7lt3OU09vwQwhkpOPPYv2Y/edit?usp=sharing"",""งบพรบ!CW83"")"),6000)</f>
        <v>6000</v>
      </c>
      <c r="G83" s="176">
        <f ca="1">IFERROR(__xludf.DUMMYFUNCTION("IMPORTRANGE(""https://docs.google.com/spreadsheets/d/1-uDff_7J0KD5mKrp0Vvzr7lt3OU09vwQwhkpOPPYv2Y/edit?usp=sharing"",""งบพรบ!CX83"")"),0)</f>
        <v>0</v>
      </c>
      <c r="H83" s="176">
        <f ca="1">IFERROR(__xludf.DUMMYFUNCTION("IMPORTRANGE(""https://docs.google.com/spreadsheets/d/1-uDff_7J0KD5mKrp0Vvzr7lt3OU09vwQwhkpOPPYv2Y/edit?usp=sharing"",""งบพรบ!CZ83"")"),80500)</f>
        <v>80500</v>
      </c>
      <c r="I83" s="176">
        <f ca="1">IFERROR(__xludf.DUMMYFUNCTION("IMPORTRANGE(""https://docs.google.com/spreadsheets/d/1-uDff_7J0KD5mKrp0Vvzr7lt3OU09vwQwhkpOPPYv2Y/edit?usp=sharing"",""งบพรบ!DA83"")"),0)</f>
        <v>0</v>
      </c>
      <c r="J83" s="176">
        <f t="shared" ca="1" si="82"/>
        <v>1970</v>
      </c>
      <c r="K83" s="179">
        <f t="shared" ca="1" si="83"/>
        <v>2.4472049689440993</v>
      </c>
      <c r="L83" s="176">
        <f ca="1">IFERROR(__xludf.DUMMYFUNCTION("IMPORTRANGE(""https://docs.google.com/spreadsheets/d/1-uDff_7J0KD5mKrp0Vvzr7lt3OU09vwQwhkpOPPYv2Y/edit?usp=sharing"",""งบพรบ!DB83"")"),1970)</f>
        <v>1970</v>
      </c>
      <c r="M83" s="87">
        <f t="shared" ca="1" si="84"/>
        <v>2.4472049689440993</v>
      </c>
      <c r="N83" s="87">
        <f t="shared" ca="1" si="85"/>
        <v>2.4472049689440993</v>
      </c>
      <c r="O83" s="86">
        <f ca="1">IFERROR(__xludf.DUMMYFUNCTION("IMPORTRANGE(""https://docs.google.com/spreadsheets/d/1-uDff_7J0KD5mKrp0Vvzr7lt3OU09vwQwhkpOPPYv2Y/edit?usp=sharing"",""งบพรบ!DC83"")"),0)</f>
        <v>0</v>
      </c>
      <c r="P83" s="86">
        <f t="shared" ca="1" si="86"/>
        <v>0</v>
      </c>
      <c r="Q83" s="87">
        <f t="shared" ca="1" si="87"/>
        <v>0</v>
      </c>
      <c r="R83" s="241">
        <f ca="1">IFERROR(__xludf.DUMMYFUNCTION("IMPORTRANGE(""https://docs.google.com/spreadsheets/d/1rd4qoM1q_hsgaolqNGfrim9gbsoLxQsda4-vOz5x_BM/edit?usp=sharing"",""ภูเก็ต!Q186"")"),0)</f>
        <v>0</v>
      </c>
      <c r="S83" s="242">
        <f ca="1">IFERROR(__xludf.DUMMYFUNCTION("IMPORTRANGE(""https://docs.google.com/spreadsheets/d/1rd4qoM1q_hsgaolqNGfrim9gbsoLxQsda4-vOz5x_BM/edit?usp=sharing"",""ภูเก็ต!R186"")"),0)</f>
        <v>0</v>
      </c>
      <c r="T83" s="242">
        <f ca="1">IFERROR(__xludf.DUMMYFUNCTION("IMPORTRANGE(""https://docs.google.com/spreadsheets/d/1rd4qoM1q_hsgaolqNGfrim9gbsoLxQsda4-vOz5x_BM/edit?usp=sharing"",""ภูเก็ต!S186"")"),0)</f>
        <v>0</v>
      </c>
      <c r="U83" s="243">
        <f t="shared" ca="1" si="89"/>
        <v>0</v>
      </c>
      <c r="V83" s="243">
        <f t="shared" ca="1" si="90"/>
        <v>0</v>
      </c>
      <c r="W83" s="97">
        <f ca="1">IFERROR(__xludf.DUMMYFUNCTION("IMPORTRANGE(""https://docs.google.com/spreadsheets/d/1rd4qoM1q_hsgaolqNGfrim9gbsoLxQsda4-vOz5x_BM/edit?usp=sharing"",""ภูเก็ต!L196"")"),6000)</f>
        <v>6000</v>
      </c>
      <c r="X83" s="97">
        <f ca="1">IFERROR(__xludf.DUMMYFUNCTION("IMPORTRANGE(""https://docs.google.com/spreadsheets/d/1rd4qoM1q_hsgaolqNGfrim9gbsoLxQsda4-vOz5x_BM/edit?usp=sharing"",""ภูเก็ต!N196"")"),0)</f>
        <v>0</v>
      </c>
      <c r="Y83" s="98">
        <f t="shared" ca="1" si="92"/>
        <v>0</v>
      </c>
      <c r="Z83" s="97">
        <f ca="1">IFERROR(__xludf.DUMMYFUNCTION("IMPORTRANGE(""https://docs.google.com/spreadsheets/d/1rd4qoM1q_hsgaolqNGfrim9gbsoLxQsda4-vOz5x_BM/edit?usp=sharing"",""ภูเก็ต!I198"")"),4)</f>
        <v>4</v>
      </c>
      <c r="AA83" s="97">
        <f ca="1">IFERROR(__xludf.DUMMYFUNCTION("IMPORTRANGE(""https://docs.google.com/spreadsheets/d/1rd4qoM1q_hsgaolqNGfrim9gbsoLxQsda4-vOz5x_BM/edit?usp=sharing"",""ภูเก็ต!J198"")"),1)</f>
        <v>1</v>
      </c>
      <c r="AB83" s="98">
        <f t="shared" ca="1" si="94"/>
        <v>25</v>
      </c>
      <c r="AC83" s="97">
        <f ca="1">IFERROR(__xludf.DUMMYFUNCTION("IMPORTRANGE(""https://docs.google.com/spreadsheets/d/1rd4qoM1q_hsgaolqNGfrim9gbsoLxQsda4-vOz5x_BM/edit?usp=sharing"",""ภูเก็ต!J199"")"),0)</f>
        <v>0</v>
      </c>
      <c r="AD83" s="97">
        <f ca="1">IFERROR(__xludf.DUMMYFUNCTION("IMPORTRANGE(""https://docs.google.com/spreadsheets/d/1rd4qoM1q_hsgaolqNGfrim9gbsoLxQsda4-vOz5x_BM/edit?usp=sharing"",""ภูเก็ต!J200"")"),0)</f>
        <v>0</v>
      </c>
      <c r="AE83" s="97">
        <f ca="1">IFERROR(__xludf.DUMMYFUNCTION("IMPORTRANGE(""https://docs.google.com/spreadsheets/d/1rd4qoM1q_hsgaolqNGfrim9gbsoLxQsda4-vOz5x_BM/edit?usp=sharing"",""ภูเก็ต!J201"")"),0)</f>
        <v>0</v>
      </c>
      <c r="AF83" s="97">
        <f ca="1">IFERROR(__xludf.DUMMYFUNCTION("IMPORTRANGE(""https://docs.google.com/spreadsheets/d/1rd4qoM1q_hsgaolqNGfrim9gbsoLxQsda4-vOz5x_BM/edit?usp=sharing"",""ภูเก็ต!L204"")"),0)</f>
        <v>0</v>
      </c>
      <c r="AG83" s="97">
        <f ca="1">IFERROR(__xludf.DUMMYFUNCTION("IMPORTRANGE(""https://docs.google.com/spreadsheets/d/1rd4qoM1q_hsgaolqNGfrim9gbsoLxQsda4-vOz5x_BM/edit?usp=sharing"",""ภูเก็ต!N204"")"),0)</f>
        <v>0</v>
      </c>
      <c r="AH83" s="98">
        <f t="shared" ca="1" si="96"/>
        <v>0</v>
      </c>
      <c r="AI83" s="97">
        <f ca="1">IFERROR(__xludf.DUMMYFUNCTION("IMPORTRANGE(""https://docs.google.com/spreadsheets/d/1rd4qoM1q_hsgaolqNGfrim9gbsoLxQsda4-vOz5x_BM/edit?usp=sharing"",""ภูเก็ต!L206"")"),0)</f>
        <v>0</v>
      </c>
      <c r="AJ83" s="97">
        <f ca="1">IFERROR(__xludf.DUMMYFUNCTION("IMPORTRANGE(""https://docs.google.com/spreadsheets/d/1rd4qoM1q_hsgaolqNGfrim9gbsoLxQsda4-vOz5x_BM/edit?usp=sharing"",""ภูเก็ต!N206"")"),0)</f>
        <v>0</v>
      </c>
      <c r="AK83" s="98">
        <f t="shared" ca="1" si="98"/>
        <v>0</v>
      </c>
      <c r="AL83" s="97">
        <f ca="1">IFERROR(__xludf.DUMMYFUNCTION("IMPORTRANGE(""https://docs.google.com/spreadsheets/d/1rd4qoM1q_hsgaolqNGfrim9gbsoLxQsda4-vOz5x_BM/edit?usp=sharing"",""ภูเก็ต!L207"")"),0)</f>
        <v>0</v>
      </c>
      <c r="AM83" s="97">
        <f ca="1">IFERROR(__xludf.DUMMYFUNCTION("IMPORTRANGE(""https://docs.google.com/spreadsheets/d/1rd4qoM1q_hsgaolqNGfrim9gbsoLxQsda4-vOz5x_BM/edit?usp=sharing"",""ภูเก็ต!N207"")"),0)</f>
        <v>0</v>
      </c>
      <c r="AN83" s="98">
        <f t="shared" ca="1" si="100"/>
        <v>0</v>
      </c>
      <c r="AO83" s="97">
        <f ca="1">IFERROR(__xludf.DUMMYFUNCTION("IMPORTRANGE(""https://docs.google.com/spreadsheets/d/1rd4qoM1q_hsgaolqNGfrim9gbsoLxQsda4-vOz5x_BM/edit?usp=sharing"",""ภูเก็ต!I209"")"),0)</f>
        <v>0</v>
      </c>
      <c r="AP83" s="97">
        <f ca="1">IFERROR(__xludf.DUMMYFUNCTION("IMPORTRANGE(""https://docs.google.com/spreadsheets/d/1rd4qoM1q_hsgaolqNGfrim9gbsoLxQsda4-vOz5x_BM/edit?usp=sharing"",""ภูเก็ต!J209"")"),0)</f>
        <v>0</v>
      </c>
      <c r="AQ83" s="98">
        <f t="shared" ca="1" si="102"/>
        <v>0</v>
      </c>
      <c r="AR83" s="97">
        <f ca="1">IFERROR(__xludf.DUMMYFUNCTION("IMPORTRANGE(""https://docs.google.com/spreadsheets/d/1rd4qoM1q_hsgaolqNGfrim9gbsoLxQsda4-vOz5x_BM/edit?usp=sharing"",""ภูเก็ต!J211"")"),0)</f>
        <v>0</v>
      </c>
      <c r="AS83" s="97">
        <f ca="1">IFERROR(__xludf.DUMMYFUNCTION("IMPORTRANGE(""https://docs.google.com/spreadsheets/d/1rd4qoM1q_hsgaolqNGfrim9gbsoLxQsda4-vOz5x_BM/edit?usp=sharing"",""ภูเก็ต!J212"")"),0)</f>
        <v>0</v>
      </c>
      <c r="AT83" s="97">
        <f ca="1">IFERROR(__xludf.DUMMYFUNCTION("IMPORTRANGE(""https://docs.google.com/spreadsheets/d/1rd4qoM1q_hsgaolqNGfrim9gbsoLxQsda4-vOz5x_BM/edit?usp=sharing"",""ภูเก็ต!L215"")"),0)</f>
        <v>0</v>
      </c>
      <c r="AU83" s="97">
        <f ca="1">IFERROR(__xludf.DUMMYFUNCTION("IMPORTRANGE(""https://docs.google.com/spreadsheets/d/1rd4qoM1q_hsgaolqNGfrim9gbsoLxQsda4-vOz5x_BM/edit?usp=sharing"",""ภูเก็ต!N215"")"),0)</f>
        <v>0</v>
      </c>
      <c r="AV83" s="98">
        <f t="shared" ca="1" si="104"/>
        <v>0</v>
      </c>
      <c r="AW83" s="97">
        <f ca="1">IFERROR(__xludf.DUMMYFUNCTION("IMPORTRANGE(""https://docs.google.com/spreadsheets/d/1rd4qoM1q_hsgaolqNGfrim9gbsoLxQsda4-vOz5x_BM/edit?usp=sharing"",""ภูเก็ต!L216"")"),0)</f>
        <v>0</v>
      </c>
      <c r="AX83" s="97">
        <f ca="1">IFERROR(__xludf.DUMMYFUNCTION("IMPORTRANGE(""https://docs.google.com/spreadsheets/d/1rd4qoM1q_hsgaolqNGfrim9gbsoLxQsda4-vOz5x_BM/edit?usp=sharing"",""ภูเก็ต!N216"")"),0)</f>
        <v>0</v>
      </c>
      <c r="AY83" s="98">
        <f t="shared" ca="1" si="106"/>
        <v>0</v>
      </c>
      <c r="AZ83" s="97">
        <f ca="1">IFERROR(__xludf.DUMMYFUNCTION("IMPORTRANGE(""https://docs.google.com/spreadsheets/d/1rd4qoM1q_hsgaolqNGfrim9gbsoLxQsda4-vOz5x_BM/edit?usp=sharing"",""ภูเก็ต!L217"")"),0)</f>
        <v>0</v>
      </c>
      <c r="BA83" s="97">
        <f ca="1">IFERROR(__xludf.DUMMYFUNCTION("IMPORTRANGE(""https://docs.google.com/spreadsheets/d/1rd4qoM1q_hsgaolqNGfrim9gbsoLxQsda4-vOz5x_BM/edit?usp=sharing"",""ภูเก็ต!N217"")"),0)</f>
        <v>0</v>
      </c>
      <c r="BB83" s="98">
        <f t="shared" ca="1" si="108"/>
        <v>0</v>
      </c>
      <c r="BC83" s="97">
        <f ca="1">IFERROR(__xludf.DUMMYFUNCTION("IMPORTRANGE(""https://docs.google.com/spreadsheets/d/1rd4qoM1q_hsgaolqNGfrim9gbsoLxQsda4-vOz5x_BM/edit?usp=sharing"",""ภูเก็ต!I219"")"),0)</f>
        <v>0</v>
      </c>
      <c r="BD83" s="97">
        <f ca="1">IFERROR(__xludf.DUMMYFUNCTION("IMPORTRANGE(""https://docs.google.com/spreadsheets/d/1rd4qoM1q_hsgaolqNGfrim9gbsoLxQsda4-vOz5x_BM/edit?usp=sharing"",""ภูเก็ต!J219"")"),0)</f>
        <v>0</v>
      </c>
      <c r="BE83" s="98">
        <f t="shared" ca="1" si="110"/>
        <v>0</v>
      </c>
      <c r="BF83" s="97">
        <f ca="1">IFERROR(__xludf.DUMMYFUNCTION("IMPORTRANGE(""https://docs.google.com/spreadsheets/d/1rd4qoM1q_hsgaolqNGfrim9gbsoLxQsda4-vOz5x_BM/edit?usp=sharing"",""ภูเก็ต!I220"")"),0)</f>
        <v>0</v>
      </c>
      <c r="BG83" s="97">
        <f ca="1">IFERROR(__xludf.DUMMYFUNCTION("IMPORTRANGE(""https://docs.google.com/spreadsheets/d/1rd4qoM1q_hsgaolqNGfrim9gbsoLxQsda4-vOz5x_BM/edit?usp=sharing"",""ภูเก็ต!J220"")"),0)</f>
        <v>0</v>
      </c>
      <c r="BH83" s="98">
        <f t="shared" ca="1" si="112"/>
        <v>0</v>
      </c>
      <c r="BI83" s="97">
        <f ca="1">IFERROR(__xludf.DUMMYFUNCTION("IMPORTRANGE(""https://docs.google.com/spreadsheets/d/1rd4qoM1q_hsgaolqNGfrim9gbsoLxQsda4-vOz5x_BM/edit?usp=sharing"",""ภูเก็ต!L223"")"),0)</f>
        <v>0</v>
      </c>
      <c r="BJ83" s="97">
        <f ca="1">IFERROR(__xludf.DUMMYFUNCTION("IMPORTRANGE(""https://docs.google.com/spreadsheets/d/1rd4qoM1q_hsgaolqNGfrim9gbsoLxQsda4-vOz5x_BM/edit?usp=sharing"",""ภูเก็ต!N223"")"),0)</f>
        <v>0</v>
      </c>
      <c r="BK83" s="98">
        <f t="shared" ca="1" si="114"/>
        <v>0</v>
      </c>
      <c r="BL83" s="97">
        <f ca="1">IFERROR(__xludf.DUMMYFUNCTION("IMPORTRANGE(""https://docs.google.com/spreadsheets/d/1rd4qoM1q_hsgaolqNGfrim9gbsoLxQsda4-vOz5x_BM/edit?usp=sharing"",""ภูเก็ต!L224"")"),0)</f>
        <v>0</v>
      </c>
      <c r="BM83" s="97">
        <f ca="1">IFERROR(__xludf.DUMMYFUNCTION("IMPORTRANGE(""https://docs.google.com/spreadsheets/d/1rd4qoM1q_hsgaolqNGfrim9gbsoLxQsda4-vOz5x_BM/edit?usp=sharing"",""ภูเก็ต!N224"")"),0)</f>
        <v>0</v>
      </c>
      <c r="BN83" s="98">
        <f t="shared" ca="1" si="116"/>
        <v>0</v>
      </c>
      <c r="BO83" s="97">
        <f ca="1">IFERROR(__xludf.DUMMYFUNCTION("IMPORTRANGE(""https://docs.google.com/spreadsheets/d/1rd4qoM1q_hsgaolqNGfrim9gbsoLxQsda4-vOz5x_BM/edit?usp=sharing"",""ภูเก็ต!I228"")"),0)</f>
        <v>0</v>
      </c>
      <c r="BP83" s="97">
        <f ca="1">IFERROR(__xludf.DUMMYFUNCTION("IMPORTRANGE(""https://docs.google.com/spreadsheets/d/1rd4qoM1q_hsgaolqNGfrim9gbsoLxQsda4-vOz5x_BM/edit?usp=sharing"",""ภูเก็ต!J228"")"),0)</f>
        <v>0</v>
      </c>
      <c r="BQ83" s="98">
        <f t="shared" ca="1" si="118"/>
        <v>0</v>
      </c>
      <c r="BR83" s="97">
        <f ca="1">IFERROR(__xludf.DUMMYFUNCTION("IMPORTRANGE(""https://docs.google.com/spreadsheets/d/1rd4qoM1q_hsgaolqNGfrim9gbsoLxQsda4-vOz5x_BM/edit?usp=sharing"",""ภูเก็ต!I229"")"),0)</f>
        <v>0</v>
      </c>
      <c r="BS83" s="97">
        <f ca="1">IFERROR(__xludf.DUMMYFUNCTION("IMPORTRANGE(""https://docs.google.com/spreadsheets/d/1rd4qoM1q_hsgaolqNGfrim9gbsoLxQsda4-vOz5x_BM/edit?usp=sharing"",""ภูเก็ต!J229"")"),0)</f>
        <v>0</v>
      </c>
      <c r="BT83" s="98">
        <f t="shared" ca="1" si="120"/>
        <v>0</v>
      </c>
      <c r="BU83" s="97">
        <f ca="1">IFERROR(__xludf.DUMMYFUNCTION("IMPORTRANGE(""https://docs.google.com/spreadsheets/d/1rd4qoM1q_hsgaolqNGfrim9gbsoLxQsda4-vOz5x_BM/edit?usp=sharing"",""ภูเก็ต!I230"")"),0)</f>
        <v>0</v>
      </c>
      <c r="BV83" s="97">
        <f ca="1">IFERROR(__xludf.DUMMYFUNCTION("IMPORTRANGE(""https://docs.google.com/spreadsheets/d/1rd4qoM1q_hsgaolqNGfrim9gbsoLxQsda4-vOz5x_BM/edit?usp=sharing"",""ภูเก็ต!J230"")"),0)</f>
        <v>0</v>
      </c>
      <c r="BW83" s="98">
        <f t="shared" ca="1" si="122"/>
        <v>0</v>
      </c>
      <c r="BX83" s="97">
        <f ca="1">IFERROR(__xludf.DUMMYFUNCTION("IMPORTRANGE(""https://docs.google.com/spreadsheets/d/1rd4qoM1q_hsgaolqNGfrim9gbsoLxQsda4-vOz5x_BM/edit?usp=sharing"",""ภูเก็ต!L233"")"),0)</f>
        <v>0</v>
      </c>
      <c r="BY83" s="97">
        <f ca="1">IFERROR(__xludf.DUMMYFUNCTION("IMPORTRANGE(""https://docs.google.com/spreadsheets/d/1rd4qoM1q_hsgaolqNGfrim9gbsoLxQsda4-vOz5x_BM/edit?usp=sharing"",""ภูเก็ต!N233"")"),0)</f>
        <v>0</v>
      </c>
      <c r="BZ83" s="98">
        <f t="shared" ca="1" si="124"/>
        <v>0</v>
      </c>
      <c r="CA83" s="97">
        <f ca="1">IFERROR(__xludf.DUMMYFUNCTION("IMPORTRANGE(""https://docs.google.com/spreadsheets/d/1rd4qoM1q_hsgaolqNGfrim9gbsoLxQsda4-vOz5x_BM/edit?usp=sharing"",""ภูเก็ต!L234"")"),0)</f>
        <v>0</v>
      </c>
      <c r="CB83" s="97">
        <f ca="1">IFERROR(__xludf.DUMMYFUNCTION("IMPORTRANGE(""https://docs.google.com/spreadsheets/d/1rd4qoM1q_hsgaolqNGfrim9gbsoLxQsda4-vOz5x_BM/edit?usp=sharing"",""ภูเก็ต!N234"")"),0)</f>
        <v>0</v>
      </c>
      <c r="CC83" s="98">
        <f t="shared" ca="1" si="126"/>
        <v>0</v>
      </c>
      <c r="CD83" s="97">
        <f ca="1">IFERROR(__xludf.DUMMYFUNCTION("IMPORTRANGE(""https://docs.google.com/spreadsheets/d/1rd4qoM1q_hsgaolqNGfrim9gbsoLxQsda4-vOz5x_BM/edit?usp=sharing"",""ภูเก็ต!L235"")"),0)</f>
        <v>0</v>
      </c>
      <c r="CE83" s="97">
        <f ca="1">IFERROR(__xludf.DUMMYFUNCTION("IMPORTRANGE(""https://docs.google.com/spreadsheets/d/1rd4qoM1q_hsgaolqNGfrim9gbsoLxQsda4-vOz5x_BM/edit?usp=sharing"",""ภูเก็ต!N235"")"),0)</f>
        <v>0</v>
      </c>
      <c r="CF83" s="98">
        <f t="shared" ca="1" si="128"/>
        <v>0</v>
      </c>
      <c r="CG83" s="97">
        <f ca="1">IFERROR(__xludf.DUMMYFUNCTION("IMPORTRANGE(""https://docs.google.com/spreadsheets/d/1rd4qoM1q_hsgaolqNGfrim9gbsoLxQsda4-vOz5x_BM/edit?usp=sharing"",""ภูเก็ต!L236"")"),0)</f>
        <v>0</v>
      </c>
      <c r="CH83" s="97">
        <f ca="1">IFERROR(__xludf.DUMMYFUNCTION("IMPORTRANGE(""https://docs.google.com/spreadsheets/d/1rd4qoM1q_hsgaolqNGfrim9gbsoLxQsda4-vOz5x_BM/edit?usp=sharing"",""ภูเก็ต!N236"")"),0)</f>
        <v>0</v>
      </c>
      <c r="CI83" s="98">
        <f t="shared" ca="1" si="130"/>
        <v>0</v>
      </c>
      <c r="CJ83" s="97">
        <f ca="1">IFERROR(__xludf.DUMMYFUNCTION("IMPORTRANGE(""https://docs.google.com/spreadsheets/d/1rd4qoM1q_hsgaolqNGfrim9gbsoLxQsda4-vOz5x_BM/edit?usp=sharing"",""ภูเก็ต!I238"")"),0)</f>
        <v>0</v>
      </c>
      <c r="CK83" s="97">
        <f ca="1">IFERROR(__xludf.DUMMYFUNCTION("IMPORTRANGE(""https://docs.google.com/spreadsheets/d/1rd4qoM1q_hsgaolqNGfrim9gbsoLxQsda4-vOz5x_BM/edit?usp=sharing"",""ภูเก็ต!J238"")"),0)</f>
        <v>0</v>
      </c>
      <c r="CL83" s="98">
        <f t="shared" ca="1" si="132"/>
        <v>0</v>
      </c>
      <c r="CM83" s="97">
        <f ca="1">IFERROR(__xludf.DUMMYFUNCTION("IMPORTRANGE(""https://docs.google.com/spreadsheets/d/1rd4qoM1q_hsgaolqNGfrim9gbsoLxQsda4-vOz5x_BM/edit?usp=sharing"",""ภูเก็ต!J240"")"),0)</f>
        <v>0</v>
      </c>
      <c r="CN83" s="97">
        <f ca="1">IFERROR(__xludf.DUMMYFUNCTION("IMPORTRANGE(""https://docs.google.com/spreadsheets/d/1rd4qoM1q_hsgaolqNGfrim9gbsoLxQsda4-vOz5x_BM/edit?usp=sharing"",""ภูเก็ต!J241"")"),0)</f>
        <v>0</v>
      </c>
    </row>
    <row r="84" spans="1:92" ht="21" customHeight="1" x14ac:dyDescent="0.3">
      <c r="A84" s="89">
        <v>10</v>
      </c>
      <c r="B84" s="90" t="s">
        <v>110</v>
      </c>
      <c r="C84" s="174">
        <f t="shared" ca="1" si="80"/>
        <v>105500</v>
      </c>
      <c r="D84" s="175">
        <f t="shared" ca="1" si="209"/>
        <v>105500</v>
      </c>
      <c r="E84" s="176">
        <f ca="1">IFERROR(__xludf.DUMMYFUNCTION("IMPORTRANGE(""https://docs.google.com/spreadsheets/d/1-uDff_7J0KD5mKrp0Vvzr7lt3OU09vwQwhkpOPPYv2Y/edit?usp=sharing"",""งบพรบ!CV84"")"),82000)</f>
        <v>82000</v>
      </c>
      <c r="F84" s="176">
        <f ca="1">IFERROR(__xludf.DUMMYFUNCTION("IMPORTRANGE(""https://docs.google.com/spreadsheets/d/1-uDff_7J0KD5mKrp0Vvzr7lt3OU09vwQwhkpOPPYv2Y/edit?usp=sharing"",""งบพรบ!CW84"")"),23500)</f>
        <v>23500</v>
      </c>
      <c r="G84" s="176">
        <f ca="1">IFERROR(__xludf.DUMMYFUNCTION("IMPORTRANGE(""https://docs.google.com/spreadsheets/d/1-uDff_7J0KD5mKrp0Vvzr7lt3OU09vwQwhkpOPPYv2Y/edit?usp=sharing"",""งบพรบ!CX84"")"),0)</f>
        <v>0</v>
      </c>
      <c r="H84" s="176">
        <f ca="1">IFERROR(__xludf.DUMMYFUNCTION("IMPORTRANGE(""https://docs.google.com/spreadsheets/d/1-uDff_7J0KD5mKrp0Vvzr7lt3OU09vwQwhkpOPPYv2Y/edit?usp=sharing"",""งบพรบ!CZ84"")"),105500)</f>
        <v>105500</v>
      </c>
      <c r="I84" s="176">
        <f ca="1">IFERROR(__xludf.DUMMYFUNCTION("IMPORTRANGE(""https://docs.google.com/spreadsheets/d/1-uDff_7J0KD5mKrp0Vvzr7lt3OU09vwQwhkpOPPYv2Y/edit?usp=sharing"",""งบพรบ!DA84"")"),0)</f>
        <v>0</v>
      </c>
      <c r="J84" s="176">
        <f t="shared" ca="1" si="82"/>
        <v>57601.52</v>
      </c>
      <c r="K84" s="179">
        <f t="shared" ca="1" si="83"/>
        <v>54.598597156398107</v>
      </c>
      <c r="L84" s="176">
        <f ca="1">IFERROR(__xludf.DUMMYFUNCTION("IMPORTRANGE(""https://docs.google.com/spreadsheets/d/1-uDff_7J0KD5mKrp0Vvzr7lt3OU09vwQwhkpOPPYv2Y/edit?usp=sharing"",""งบพรบ!DB84"")"),57601.52)</f>
        <v>57601.52</v>
      </c>
      <c r="M84" s="87">
        <f t="shared" ca="1" si="84"/>
        <v>54.598597156398107</v>
      </c>
      <c r="N84" s="87">
        <f t="shared" ca="1" si="85"/>
        <v>54.598597156398107</v>
      </c>
      <c r="O84" s="86">
        <f ca="1">IFERROR(__xludf.DUMMYFUNCTION("IMPORTRANGE(""https://docs.google.com/spreadsheets/d/1-uDff_7J0KD5mKrp0Vvzr7lt3OU09vwQwhkpOPPYv2Y/edit?usp=sharing"",""งบพรบ!DC84"")"),0)</f>
        <v>0</v>
      </c>
      <c r="P84" s="86">
        <f t="shared" ca="1" si="86"/>
        <v>0</v>
      </c>
      <c r="Q84" s="87">
        <f t="shared" ca="1" si="87"/>
        <v>0</v>
      </c>
      <c r="R84" s="241">
        <f ca="1">IFERROR(__xludf.DUMMYFUNCTION("IMPORTRANGE(""https://docs.google.com/spreadsheets/d/1woKwKjgoLssDvPcPeVyezB5izizAn4X1JDrys69n6xI/edit?usp=sharing"",""ยะลา!Q186"")"),14000)</f>
        <v>14000</v>
      </c>
      <c r="S84" s="242">
        <f ca="1">IFERROR(__xludf.DUMMYFUNCTION("IMPORTRANGE(""https://docs.google.com/spreadsheets/d/1woKwKjgoLssDvPcPeVyezB5izizAn4X1JDrys69n6xI/edit?usp=sharing"",""ยะลา!R186"")"),0)</f>
        <v>0</v>
      </c>
      <c r="T84" s="242">
        <f ca="1">IFERROR(__xludf.DUMMYFUNCTION("IMPORTRANGE(""https://docs.google.com/spreadsheets/d/1woKwKjgoLssDvPcPeVyezB5izizAn4X1JDrys69n6xI/edit?usp=sharing"",""ยะลา!S186"")"),0)</f>
        <v>0</v>
      </c>
      <c r="U84" s="243">
        <f t="shared" ca="1" si="89"/>
        <v>0</v>
      </c>
      <c r="V84" s="243">
        <f t="shared" ca="1" si="90"/>
        <v>0</v>
      </c>
      <c r="W84" s="97">
        <f ca="1">IFERROR(__xludf.DUMMYFUNCTION("IMPORTRANGE(""https://docs.google.com/spreadsheets/d/1woKwKjgoLssDvPcPeVyezB5izizAn4X1JDrys69n6xI/edit?usp=sharing"",""ยะลา!L196"")"),6000)</f>
        <v>6000</v>
      </c>
      <c r="X84" s="97">
        <f ca="1">IFERROR(__xludf.DUMMYFUNCTION("IMPORTRANGE(""https://docs.google.com/spreadsheets/d/1woKwKjgoLssDvPcPeVyezB5izizAn4X1JDrys69n6xI/edit?usp=sharing"",""ยะลา!N196"")"),0)</f>
        <v>0</v>
      </c>
      <c r="Y84" s="98">
        <f t="shared" ca="1" si="92"/>
        <v>0</v>
      </c>
      <c r="Z84" s="97">
        <f ca="1">IFERROR(__xludf.DUMMYFUNCTION("IMPORTRANGE(""https://docs.google.com/spreadsheets/d/1woKwKjgoLssDvPcPeVyezB5izizAn4X1JDrys69n6xI/edit?usp=sharing"",""ยะลา!I198"")"),4)</f>
        <v>4</v>
      </c>
      <c r="AA84" s="97">
        <f ca="1">IFERROR(__xludf.DUMMYFUNCTION("IMPORTRANGE(""https://docs.google.com/spreadsheets/d/1woKwKjgoLssDvPcPeVyezB5izizAn4X1JDrys69n6xI/edit?usp=sharing"",""ยะลา!J198"")"),1)</f>
        <v>1</v>
      </c>
      <c r="AB84" s="98">
        <f t="shared" ca="1" si="94"/>
        <v>25</v>
      </c>
      <c r="AC84" s="97">
        <f ca="1">IFERROR(__xludf.DUMMYFUNCTION("IMPORTRANGE(""https://docs.google.com/spreadsheets/d/1woKwKjgoLssDvPcPeVyezB5izizAn4X1JDrys69n6xI/edit?usp=sharing"",""ยะลา!J199"")"),67)</f>
        <v>67</v>
      </c>
      <c r="AD84" s="97">
        <f ca="1">IFERROR(__xludf.DUMMYFUNCTION("IMPORTRANGE(""https://docs.google.com/spreadsheets/d/1woKwKjgoLssDvPcPeVyezB5izizAn4X1JDrys69n6xI/edit?usp=sharing"",""ยะลา!J200"")"),67)</f>
        <v>67</v>
      </c>
      <c r="AE84" s="97">
        <f ca="1">IFERROR(__xludf.DUMMYFUNCTION("IMPORTRANGE(""https://docs.google.com/spreadsheets/d/1woKwKjgoLssDvPcPeVyezB5izizAn4X1JDrys69n6xI/edit?usp=sharing"",""ยะลา!J201"")"),0)</f>
        <v>0</v>
      </c>
      <c r="AF84" s="97">
        <f ca="1">IFERROR(__xludf.DUMMYFUNCTION("IMPORTRANGE(""https://docs.google.com/spreadsheets/d/1woKwKjgoLssDvPcPeVyezB5izizAn4X1JDrys69n6xI/edit?usp=sharing"",""ยะลา!L204"")"),1000)</f>
        <v>1000</v>
      </c>
      <c r="AG84" s="97">
        <f ca="1">IFERROR(__xludf.DUMMYFUNCTION("IMPORTRANGE(""https://docs.google.com/spreadsheets/d/1woKwKjgoLssDvPcPeVyezB5izizAn4X1JDrys69n6xI/edit?usp=sharing"",""ยะลา!N204"")"),0)</f>
        <v>0</v>
      </c>
      <c r="AH84" s="98">
        <f t="shared" ca="1" si="96"/>
        <v>0</v>
      </c>
      <c r="AI84" s="97">
        <f ca="1">IFERROR(__xludf.DUMMYFUNCTION("IMPORTRANGE(""https://docs.google.com/spreadsheets/d/1woKwKjgoLssDvPcPeVyezB5izizAn4X1JDrys69n6xI/edit?usp=sharing"",""ยะลา!L206"")"),8000)</f>
        <v>8000</v>
      </c>
      <c r="AJ84" s="97">
        <f ca="1">IFERROR(__xludf.DUMMYFUNCTION("IMPORTRANGE(""https://docs.google.com/spreadsheets/d/1woKwKjgoLssDvPcPeVyezB5izizAn4X1JDrys69n6xI/edit?usp=sharing"",""ยะลา!N206"")"),0)</f>
        <v>0</v>
      </c>
      <c r="AK84" s="98">
        <f t="shared" ca="1" si="98"/>
        <v>0</v>
      </c>
      <c r="AL84" s="97">
        <f ca="1">IFERROR(__xludf.DUMMYFUNCTION("IMPORTRANGE(""https://docs.google.com/spreadsheets/d/1woKwKjgoLssDvPcPeVyezB5izizAn4X1JDrys69n6xI/edit?usp=sharing"",""ยะลา!L207"")"),4000)</f>
        <v>4000</v>
      </c>
      <c r="AM84" s="97">
        <f ca="1">IFERROR(__xludf.DUMMYFUNCTION("IMPORTRANGE(""https://docs.google.com/spreadsheets/d/1woKwKjgoLssDvPcPeVyezB5izizAn4X1JDrys69n6xI/edit?usp=sharing"",""ยะลา!N207"")"),0)</f>
        <v>0</v>
      </c>
      <c r="AN84" s="98">
        <f t="shared" ca="1" si="100"/>
        <v>0</v>
      </c>
      <c r="AO84" s="97">
        <f ca="1">IFERROR(__xludf.DUMMYFUNCTION("IMPORTRANGE(""https://docs.google.com/spreadsheets/d/1woKwKjgoLssDvPcPeVyezB5izizAn4X1JDrys69n6xI/edit?usp=sharing"",""ยะลา!I209"")"),1)</f>
        <v>1</v>
      </c>
      <c r="AP84" s="97">
        <f ca="1">IFERROR(__xludf.DUMMYFUNCTION("IMPORTRANGE(""https://docs.google.com/spreadsheets/d/1woKwKjgoLssDvPcPeVyezB5izizAn4X1JDrys69n6xI/edit?usp=sharing"",""ยะลา!J209"")"),0)</f>
        <v>0</v>
      </c>
      <c r="AQ84" s="98">
        <f t="shared" ca="1" si="102"/>
        <v>0</v>
      </c>
      <c r="AR84" s="97">
        <f ca="1">IFERROR(__xludf.DUMMYFUNCTION("IMPORTRANGE(""https://docs.google.com/spreadsheets/d/1woKwKjgoLssDvPcPeVyezB5izizAn4X1JDrys69n6xI/edit?usp=sharing"",""ยะลา!J211"")"),0)</f>
        <v>0</v>
      </c>
      <c r="AS84" s="97">
        <f ca="1">IFERROR(__xludf.DUMMYFUNCTION("IMPORTRANGE(""https://docs.google.com/spreadsheets/d/1woKwKjgoLssDvPcPeVyezB5izizAn4X1JDrys69n6xI/edit?usp=sharing"",""ยะลา!J212"")"),0)</f>
        <v>0</v>
      </c>
      <c r="AT84" s="97">
        <f ca="1">IFERROR(__xludf.DUMMYFUNCTION("IMPORTRANGE(""https://docs.google.com/spreadsheets/d/1woKwKjgoLssDvPcPeVyezB5izizAn4X1JDrys69n6xI/edit?usp=sharing"",""ยะลา!L215"")"),0)</f>
        <v>0</v>
      </c>
      <c r="AU84" s="97">
        <f ca="1">IFERROR(__xludf.DUMMYFUNCTION("IMPORTRANGE(""https://docs.google.com/spreadsheets/d/1woKwKjgoLssDvPcPeVyezB5izizAn4X1JDrys69n6xI/edit?usp=sharing"",""ยะลา!N215"")"),0)</f>
        <v>0</v>
      </c>
      <c r="AV84" s="98">
        <f t="shared" ca="1" si="104"/>
        <v>0</v>
      </c>
      <c r="AW84" s="97">
        <f ca="1">IFERROR(__xludf.DUMMYFUNCTION("IMPORTRANGE(""https://docs.google.com/spreadsheets/d/1woKwKjgoLssDvPcPeVyezB5izizAn4X1JDrys69n6xI/edit?usp=sharing"",""ยะลา!L216"")"),0)</f>
        <v>0</v>
      </c>
      <c r="AX84" s="97">
        <f ca="1">IFERROR(__xludf.DUMMYFUNCTION("IMPORTRANGE(""https://docs.google.com/spreadsheets/d/1woKwKjgoLssDvPcPeVyezB5izizAn4X1JDrys69n6xI/edit?usp=sharing"",""ยะลา!N216"")"),0)</f>
        <v>0</v>
      </c>
      <c r="AY84" s="98">
        <f t="shared" ca="1" si="106"/>
        <v>0</v>
      </c>
      <c r="AZ84" s="97">
        <f ca="1">IFERROR(__xludf.DUMMYFUNCTION("IMPORTRANGE(""https://docs.google.com/spreadsheets/d/1woKwKjgoLssDvPcPeVyezB5izizAn4X1JDrys69n6xI/edit?usp=sharing"",""ยะลา!L217"")"),0)</f>
        <v>0</v>
      </c>
      <c r="BA84" s="97">
        <f ca="1">IFERROR(__xludf.DUMMYFUNCTION("IMPORTRANGE(""https://docs.google.com/spreadsheets/d/1woKwKjgoLssDvPcPeVyezB5izizAn4X1JDrys69n6xI/edit?usp=sharing"",""ยะลา!N217"")"),0)</f>
        <v>0</v>
      </c>
      <c r="BB84" s="98">
        <f t="shared" ca="1" si="108"/>
        <v>0</v>
      </c>
      <c r="BC84" s="97">
        <f ca="1">IFERROR(__xludf.DUMMYFUNCTION("IMPORTRANGE(""https://docs.google.com/spreadsheets/d/1woKwKjgoLssDvPcPeVyezB5izizAn4X1JDrys69n6xI/edit?usp=sharing"",""ยะลา!I219"")"),0)</f>
        <v>0</v>
      </c>
      <c r="BD84" s="97">
        <f ca="1">IFERROR(__xludf.DUMMYFUNCTION("IMPORTRANGE(""https://docs.google.com/spreadsheets/d/1woKwKjgoLssDvPcPeVyezB5izizAn4X1JDrys69n6xI/edit?usp=sharing"",""ยะลา!J219"")"),0)</f>
        <v>0</v>
      </c>
      <c r="BE84" s="98">
        <f t="shared" ca="1" si="110"/>
        <v>0</v>
      </c>
      <c r="BF84" s="97">
        <f ca="1">IFERROR(__xludf.DUMMYFUNCTION("IMPORTRANGE(""https://docs.google.com/spreadsheets/d/1woKwKjgoLssDvPcPeVyezB5izizAn4X1JDrys69n6xI/edit?usp=sharing"",""ยะลา!I220"")"),0)</f>
        <v>0</v>
      </c>
      <c r="BG84" s="97">
        <f ca="1">IFERROR(__xludf.DUMMYFUNCTION("IMPORTRANGE(""https://docs.google.com/spreadsheets/d/1woKwKjgoLssDvPcPeVyezB5izizAn4X1JDrys69n6xI/edit?usp=sharing"",""ยะลา!J220"")"),0)</f>
        <v>0</v>
      </c>
      <c r="BH84" s="98">
        <f t="shared" ca="1" si="112"/>
        <v>0</v>
      </c>
      <c r="BI84" s="97">
        <f ca="1">IFERROR(__xludf.DUMMYFUNCTION("IMPORTRANGE(""https://docs.google.com/spreadsheets/d/1woKwKjgoLssDvPcPeVyezB5izizAn4X1JDrys69n6xI/edit?usp=sharing"",""ยะลา!L223"")"),3000)</f>
        <v>3000</v>
      </c>
      <c r="BJ84" s="97">
        <f ca="1">IFERROR(__xludf.DUMMYFUNCTION("IMPORTRANGE(""https://docs.google.com/spreadsheets/d/1woKwKjgoLssDvPcPeVyezB5izizAn4X1JDrys69n6xI/edit?usp=sharing"",""ยะลา!N223"")"),0)</f>
        <v>0</v>
      </c>
      <c r="BK84" s="98">
        <f t="shared" ca="1" si="114"/>
        <v>0</v>
      </c>
      <c r="BL84" s="97">
        <f ca="1">IFERROR(__xludf.DUMMYFUNCTION("IMPORTRANGE(""https://docs.google.com/spreadsheets/d/1woKwKjgoLssDvPcPeVyezB5izizAn4X1JDrys69n6xI/edit?usp=sharing"",""ยะลา!L224"")"),1500)</f>
        <v>1500</v>
      </c>
      <c r="BM84" s="97">
        <f ca="1">IFERROR(__xludf.DUMMYFUNCTION("IMPORTRANGE(""https://docs.google.com/spreadsheets/d/1woKwKjgoLssDvPcPeVyezB5izizAn4X1JDrys69n6xI/edit?usp=sharing"",""ยะลา!N224"")"),0)</f>
        <v>0</v>
      </c>
      <c r="BN84" s="98">
        <f t="shared" ca="1" si="116"/>
        <v>0</v>
      </c>
      <c r="BO84" s="97">
        <f ca="1">IFERROR(__xludf.DUMMYFUNCTION("IMPORTRANGE(""https://docs.google.com/spreadsheets/d/1woKwKjgoLssDvPcPeVyezB5izizAn4X1JDrys69n6xI/edit?usp=sharing"",""ยะลา!I228"")"),12000)</f>
        <v>12000</v>
      </c>
      <c r="BP84" s="97">
        <f ca="1">IFERROR(__xludf.DUMMYFUNCTION("IMPORTRANGE(""https://docs.google.com/spreadsheets/d/1woKwKjgoLssDvPcPeVyezB5izizAn4X1JDrys69n6xI/edit?usp=sharing"",""ยะลา!J228"")"),0)</f>
        <v>0</v>
      </c>
      <c r="BQ84" s="98">
        <f t="shared" ca="1" si="118"/>
        <v>0</v>
      </c>
      <c r="BR84" s="97">
        <f ca="1">IFERROR(__xludf.DUMMYFUNCTION("IMPORTRANGE(""https://docs.google.com/spreadsheets/d/1woKwKjgoLssDvPcPeVyezB5izizAn4X1JDrys69n6xI/edit?usp=sharing"",""ยะลา!I229"")"),12000)</f>
        <v>12000</v>
      </c>
      <c r="BS84" s="97">
        <f ca="1">IFERROR(__xludf.DUMMYFUNCTION("IMPORTRANGE(""https://docs.google.com/spreadsheets/d/1woKwKjgoLssDvPcPeVyezB5izizAn4X1JDrys69n6xI/edit?usp=sharing"",""ยะลา!J229"")"),0)</f>
        <v>0</v>
      </c>
      <c r="BT84" s="98">
        <f t="shared" ca="1" si="120"/>
        <v>0</v>
      </c>
      <c r="BU84" s="97">
        <f ca="1">IFERROR(__xludf.DUMMYFUNCTION("IMPORTRANGE(""https://docs.google.com/spreadsheets/d/1woKwKjgoLssDvPcPeVyezB5izizAn4X1JDrys69n6xI/edit?usp=sharing"",""ยะลา!I230"")"),0)</f>
        <v>0</v>
      </c>
      <c r="BV84" s="97">
        <f ca="1">IFERROR(__xludf.DUMMYFUNCTION("IMPORTRANGE(""https://docs.google.com/spreadsheets/d/1woKwKjgoLssDvPcPeVyezB5izizAn4X1JDrys69n6xI/edit?usp=sharing"",""ยะลา!J230"")"),0)</f>
        <v>0</v>
      </c>
      <c r="BW84" s="98">
        <f t="shared" ca="1" si="122"/>
        <v>0</v>
      </c>
      <c r="BX84" s="97">
        <f ca="1">IFERROR(__xludf.DUMMYFUNCTION("IMPORTRANGE(""https://docs.google.com/spreadsheets/d/1woKwKjgoLssDvPcPeVyezB5izizAn4X1JDrys69n6xI/edit?usp=sharing"",""ยะลา!L233"")"),0)</f>
        <v>0</v>
      </c>
      <c r="BY84" s="97">
        <f ca="1">IFERROR(__xludf.DUMMYFUNCTION("IMPORTRANGE(""https://docs.google.com/spreadsheets/d/1woKwKjgoLssDvPcPeVyezB5izizAn4X1JDrys69n6xI/edit?usp=sharing"",""ยะลา!N233"")"),0)</f>
        <v>0</v>
      </c>
      <c r="BZ84" s="98">
        <f t="shared" ca="1" si="124"/>
        <v>0</v>
      </c>
      <c r="CA84" s="97">
        <f ca="1">IFERROR(__xludf.DUMMYFUNCTION("IMPORTRANGE(""https://docs.google.com/spreadsheets/d/1woKwKjgoLssDvPcPeVyezB5izizAn4X1JDrys69n6xI/edit?usp=sharing"",""ยะลา!L234"")"),0)</f>
        <v>0</v>
      </c>
      <c r="CB84" s="97">
        <f ca="1">IFERROR(__xludf.DUMMYFUNCTION("IMPORTRANGE(""https://docs.google.com/spreadsheets/d/1woKwKjgoLssDvPcPeVyezB5izizAn4X1JDrys69n6xI/edit?usp=sharing"",""ยะลา!N234"")"),0)</f>
        <v>0</v>
      </c>
      <c r="CC84" s="98">
        <f t="shared" ca="1" si="126"/>
        <v>0</v>
      </c>
      <c r="CD84" s="97">
        <f ca="1">IFERROR(__xludf.DUMMYFUNCTION("IMPORTRANGE(""https://docs.google.com/spreadsheets/d/1woKwKjgoLssDvPcPeVyezB5izizAn4X1JDrys69n6xI/edit?usp=sharing"",""ยะลา!L235"")"),0)</f>
        <v>0</v>
      </c>
      <c r="CE84" s="97">
        <f ca="1">IFERROR(__xludf.DUMMYFUNCTION("IMPORTRANGE(""https://docs.google.com/spreadsheets/d/1woKwKjgoLssDvPcPeVyezB5izizAn4X1JDrys69n6xI/edit?usp=sharing"",""ยะลา!N235"")"),0)</f>
        <v>0</v>
      </c>
      <c r="CF84" s="98">
        <f t="shared" ca="1" si="128"/>
        <v>0</v>
      </c>
      <c r="CG84" s="97">
        <f ca="1">IFERROR(__xludf.DUMMYFUNCTION("IMPORTRANGE(""https://docs.google.com/spreadsheets/d/1woKwKjgoLssDvPcPeVyezB5izizAn4X1JDrys69n6xI/edit?usp=sharing"",""ยะลา!L236"")"),0)</f>
        <v>0</v>
      </c>
      <c r="CH84" s="97">
        <f ca="1">IFERROR(__xludf.DUMMYFUNCTION("IMPORTRANGE(""https://docs.google.com/spreadsheets/d/1woKwKjgoLssDvPcPeVyezB5izizAn4X1JDrys69n6xI/edit?usp=sharing"",""ยะลา!N236"")"),0)</f>
        <v>0</v>
      </c>
      <c r="CI84" s="98">
        <f t="shared" ca="1" si="130"/>
        <v>0</v>
      </c>
      <c r="CJ84" s="97">
        <f ca="1">IFERROR(__xludf.DUMMYFUNCTION("IMPORTRANGE(""https://docs.google.com/spreadsheets/d/1woKwKjgoLssDvPcPeVyezB5izizAn4X1JDrys69n6xI/edit?usp=sharing"",""ยะลา!I238"")"),0)</f>
        <v>0</v>
      </c>
      <c r="CK84" s="97">
        <f ca="1">IFERROR(__xludf.DUMMYFUNCTION("IMPORTRANGE(""https://docs.google.com/spreadsheets/d/1woKwKjgoLssDvPcPeVyezB5izizAn4X1JDrys69n6xI/edit?usp=sharing"",""ยะลา!J238"")"),0)</f>
        <v>0</v>
      </c>
      <c r="CL84" s="98">
        <f t="shared" ca="1" si="132"/>
        <v>0</v>
      </c>
      <c r="CM84" s="97">
        <f ca="1">IFERROR(__xludf.DUMMYFUNCTION("IMPORTRANGE(""https://docs.google.com/spreadsheets/d/1woKwKjgoLssDvPcPeVyezB5izizAn4X1JDrys69n6xI/edit?usp=sharing"",""ยะลา!J240"")"),0)</f>
        <v>0</v>
      </c>
      <c r="CN84" s="97">
        <f ca="1">IFERROR(__xludf.DUMMYFUNCTION("IMPORTRANGE(""https://docs.google.com/spreadsheets/d/1woKwKjgoLssDvPcPeVyezB5izizAn4X1JDrys69n6xI/edit?usp=sharing"",""ยะลา!J241"")"),0)</f>
        <v>0</v>
      </c>
    </row>
    <row r="85" spans="1:92" ht="21" customHeight="1" x14ac:dyDescent="0.3">
      <c r="A85" s="89">
        <v>11</v>
      </c>
      <c r="B85" s="90" t="s">
        <v>111</v>
      </c>
      <c r="C85" s="174">
        <f t="shared" ca="1" si="80"/>
        <v>270600</v>
      </c>
      <c r="D85" s="175">
        <f t="shared" ca="1" si="209"/>
        <v>270600</v>
      </c>
      <c r="E85" s="176">
        <f ca="1">IFERROR(__xludf.DUMMYFUNCTION("IMPORTRANGE(""https://docs.google.com/spreadsheets/d/1-uDff_7J0KD5mKrp0Vvzr7lt3OU09vwQwhkpOPPYv2Y/edit?usp=sharing"",""งบพรบ!CV85"")"),247100)</f>
        <v>247100</v>
      </c>
      <c r="F85" s="176">
        <f ca="1">IFERROR(__xludf.DUMMYFUNCTION("IMPORTRANGE(""https://docs.google.com/spreadsheets/d/1-uDff_7J0KD5mKrp0Vvzr7lt3OU09vwQwhkpOPPYv2Y/edit?usp=sharing"",""งบพรบ!CW85"")"),23500)</f>
        <v>23500</v>
      </c>
      <c r="G85" s="176">
        <f ca="1">IFERROR(__xludf.DUMMYFUNCTION("IMPORTRANGE(""https://docs.google.com/spreadsheets/d/1-uDff_7J0KD5mKrp0Vvzr7lt3OU09vwQwhkpOPPYv2Y/edit?usp=sharing"",""งบพรบ!CX85"")"),0)</f>
        <v>0</v>
      </c>
      <c r="H85" s="176">
        <f ca="1">IFERROR(__xludf.DUMMYFUNCTION("IMPORTRANGE(""https://docs.google.com/spreadsheets/d/1-uDff_7J0KD5mKrp0Vvzr7lt3OU09vwQwhkpOPPYv2Y/edit?usp=sharing"",""งบพรบ!CZ85"")"),270600)</f>
        <v>270600</v>
      </c>
      <c r="I85" s="176">
        <f ca="1">IFERROR(__xludf.DUMMYFUNCTION("IMPORTRANGE(""https://docs.google.com/spreadsheets/d/1-uDff_7J0KD5mKrp0Vvzr7lt3OU09vwQwhkpOPPYv2Y/edit?usp=sharing"",""งบพรบ!DA85"")"),0)</f>
        <v>0</v>
      </c>
      <c r="J85" s="176">
        <f t="shared" ca="1" si="82"/>
        <v>134127.20000000001</v>
      </c>
      <c r="K85" s="179">
        <f t="shared" ca="1" si="83"/>
        <v>49.566592756836663</v>
      </c>
      <c r="L85" s="176">
        <f ca="1">IFERROR(__xludf.DUMMYFUNCTION("IMPORTRANGE(""https://docs.google.com/spreadsheets/d/1-uDff_7J0KD5mKrp0Vvzr7lt3OU09vwQwhkpOPPYv2Y/edit?usp=sharing"",""งบพรบ!DB85"")"),134127.2)</f>
        <v>134127.20000000001</v>
      </c>
      <c r="M85" s="87">
        <f t="shared" ca="1" si="84"/>
        <v>49.566592756836663</v>
      </c>
      <c r="N85" s="87">
        <f t="shared" ca="1" si="85"/>
        <v>49.566592756836663</v>
      </c>
      <c r="O85" s="86">
        <f ca="1">IFERROR(__xludf.DUMMYFUNCTION("IMPORTRANGE(""https://docs.google.com/spreadsheets/d/1-uDff_7J0KD5mKrp0Vvzr7lt3OU09vwQwhkpOPPYv2Y/edit?usp=sharing"",""งบพรบ!DC85"")"),0)</f>
        <v>0</v>
      </c>
      <c r="P85" s="86">
        <f t="shared" ca="1" si="86"/>
        <v>0</v>
      </c>
      <c r="Q85" s="87">
        <f t="shared" ca="1" si="87"/>
        <v>0</v>
      </c>
      <c r="R85" s="241">
        <f ca="1">IFERROR(__xludf.DUMMYFUNCTION("IMPORTRANGE(""https://docs.google.com/spreadsheets/d/1qfrKjzMhm2HJfxQ-qVlJlJQ25Hne1d0khsySbZyGtPA/edit?usp=sharing"",""ระนอง!Q186"")"),28000)</f>
        <v>28000</v>
      </c>
      <c r="S85" s="242">
        <f ca="1">IFERROR(__xludf.DUMMYFUNCTION("IMPORTRANGE(""https://docs.google.com/spreadsheets/d/1qfrKjzMhm2HJfxQ-qVlJlJQ25Hne1d0khsySbZyGtPA/edit?usp=sharing"",""ระนอง!R186"")"),0)</f>
        <v>0</v>
      </c>
      <c r="T85" s="242">
        <f ca="1">IFERROR(__xludf.DUMMYFUNCTION("IMPORTRANGE(""https://docs.google.com/spreadsheets/d/1qfrKjzMhm2HJfxQ-qVlJlJQ25Hne1d0khsySbZyGtPA/edit?usp=sharing"",""ระนอง!S186"")"),0)</f>
        <v>0</v>
      </c>
      <c r="U85" s="243">
        <f t="shared" ca="1" si="89"/>
        <v>0</v>
      </c>
      <c r="V85" s="243">
        <f t="shared" ca="1" si="90"/>
        <v>0</v>
      </c>
      <c r="W85" s="97">
        <f ca="1">IFERROR(__xludf.DUMMYFUNCTION("IMPORTRANGE(""https://docs.google.com/spreadsheets/d/1qfrKjzMhm2HJfxQ-qVlJlJQ25Hne1d0khsySbZyGtPA/edit?usp=sharing"",""ระนอง!L196"")"),6000)</f>
        <v>6000</v>
      </c>
      <c r="X85" s="97">
        <f ca="1">IFERROR(__xludf.DUMMYFUNCTION("IMPORTRANGE(""https://docs.google.com/spreadsheets/d/1qfrKjzMhm2HJfxQ-qVlJlJQ25Hne1d0khsySbZyGtPA/edit?usp=sharing"",""ระนอง!N196"")"),0)</f>
        <v>0</v>
      </c>
      <c r="Y85" s="98">
        <f t="shared" ca="1" si="92"/>
        <v>0</v>
      </c>
      <c r="Z85" s="97">
        <f ca="1">IFERROR(__xludf.DUMMYFUNCTION("IMPORTRANGE(""https://docs.google.com/spreadsheets/d/1qfrKjzMhm2HJfxQ-qVlJlJQ25Hne1d0khsySbZyGtPA/edit?usp=sharing"",""ระนอง!I198"")"),4)</f>
        <v>4</v>
      </c>
      <c r="AA85" s="97">
        <f ca="1">IFERROR(__xludf.DUMMYFUNCTION("IMPORTRANGE(""https://docs.google.com/spreadsheets/d/1qfrKjzMhm2HJfxQ-qVlJlJQ25Hne1d0khsySbZyGtPA/edit?usp=sharing"",""ระนอง!J198"")"),1)</f>
        <v>1</v>
      </c>
      <c r="AB85" s="98">
        <f t="shared" ca="1" si="94"/>
        <v>25</v>
      </c>
      <c r="AC85" s="97">
        <f ca="1">IFERROR(__xludf.DUMMYFUNCTION("IMPORTRANGE(""https://docs.google.com/spreadsheets/d/1qfrKjzMhm2HJfxQ-qVlJlJQ25Hne1d0khsySbZyGtPA/edit?usp=sharing"",""ระนอง!J199"")"),0)</f>
        <v>0</v>
      </c>
      <c r="AD85" s="97">
        <f ca="1">IFERROR(__xludf.DUMMYFUNCTION("IMPORTRANGE(""https://docs.google.com/spreadsheets/d/1qfrKjzMhm2HJfxQ-qVlJlJQ25Hne1d0khsySbZyGtPA/edit?usp=sharing"",""ระนอง!J200"")"),0)</f>
        <v>0</v>
      </c>
      <c r="AE85" s="97">
        <f ca="1">IFERROR(__xludf.DUMMYFUNCTION("IMPORTRANGE(""https://docs.google.com/spreadsheets/d/1qfrKjzMhm2HJfxQ-qVlJlJQ25Hne1d0khsySbZyGtPA/edit?usp=sharing"",""ระนอง!J201"")"),0)</f>
        <v>0</v>
      </c>
      <c r="AF85" s="97">
        <f ca="1">IFERROR(__xludf.DUMMYFUNCTION("IMPORTRANGE(""https://docs.google.com/spreadsheets/d/1qfrKjzMhm2HJfxQ-qVlJlJQ25Hne1d0khsySbZyGtPA/edit?usp=sharing"",""ระนอง!L204"")"),1000)</f>
        <v>1000</v>
      </c>
      <c r="AG85" s="97">
        <f ca="1">IFERROR(__xludf.DUMMYFUNCTION("IMPORTRANGE(""https://docs.google.com/spreadsheets/d/1qfrKjzMhm2HJfxQ-qVlJlJQ25Hne1d0khsySbZyGtPA/edit?usp=sharing"",""ระนอง!N204"")"),0)</f>
        <v>0</v>
      </c>
      <c r="AH85" s="98">
        <f t="shared" ca="1" si="96"/>
        <v>0</v>
      </c>
      <c r="AI85" s="97">
        <f ca="1">IFERROR(__xludf.DUMMYFUNCTION("IMPORTRANGE(""https://docs.google.com/spreadsheets/d/1qfrKjzMhm2HJfxQ-qVlJlJQ25Hne1d0khsySbZyGtPA/edit?usp=sharing"",""ระนอง!L206"")"),8000)</f>
        <v>8000</v>
      </c>
      <c r="AJ85" s="97">
        <f ca="1">IFERROR(__xludf.DUMMYFUNCTION("IMPORTRANGE(""https://docs.google.com/spreadsheets/d/1qfrKjzMhm2HJfxQ-qVlJlJQ25Hne1d0khsySbZyGtPA/edit?usp=sharing"",""ระนอง!N206"")"),0)</f>
        <v>0</v>
      </c>
      <c r="AK85" s="98">
        <f t="shared" ca="1" si="98"/>
        <v>0</v>
      </c>
      <c r="AL85" s="97">
        <f ca="1">IFERROR(__xludf.DUMMYFUNCTION("IMPORTRANGE(""https://docs.google.com/spreadsheets/d/1qfrKjzMhm2HJfxQ-qVlJlJQ25Hne1d0khsySbZyGtPA/edit?usp=sharing"",""ระนอง!L207"")"),4000)</f>
        <v>4000</v>
      </c>
      <c r="AM85" s="97">
        <f ca="1">IFERROR(__xludf.DUMMYFUNCTION("IMPORTRANGE(""https://docs.google.com/spreadsheets/d/1qfrKjzMhm2HJfxQ-qVlJlJQ25Hne1d0khsySbZyGtPA/edit?usp=sharing"",""ระนอง!N207"")"),0)</f>
        <v>0</v>
      </c>
      <c r="AN85" s="98">
        <f t="shared" ca="1" si="100"/>
        <v>0</v>
      </c>
      <c r="AO85" s="97">
        <f ca="1">IFERROR(__xludf.DUMMYFUNCTION("IMPORTRANGE(""https://docs.google.com/spreadsheets/d/1qfrKjzMhm2HJfxQ-qVlJlJQ25Hne1d0khsySbZyGtPA/edit?usp=sharing"",""ระนอง!I209"")"),1)</f>
        <v>1</v>
      </c>
      <c r="AP85" s="97">
        <f ca="1">IFERROR(__xludf.DUMMYFUNCTION("IMPORTRANGE(""https://docs.google.com/spreadsheets/d/1qfrKjzMhm2HJfxQ-qVlJlJQ25Hne1d0khsySbZyGtPA/edit?usp=sharing"",""ระนอง!J209"")"),0)</f>
        <v>0</v>
      </c>
      <c r="AQ85" s="98">
        <f t="shared" ca="1" si="102"/>
        <v>0</v>
      </c>
      <c r="AR85" s="97">
        <f ca="1">IFERROR(__xludf.DUMMYFUNCTION("IMPORTRANGE(""https://docs.google.com/spreadsheets/d/1qfrKjzMhm2HJfxQ-qVlJlJQ25Hne1d0khsySbZyGtPA/edit?usp=sharing"",""ระนอง!J211"")"),0)</f>
        <v>0</v>
      </c>
      <c r="AS85" s="97">
        <f ca="1">IFERROR(__xludf.DUMMYFUNCTION("IMPORTRANGE(""https://docs.google.com/spreadsheets/d/1qfrKjzMhm2HJfxQ-qVlJlJQ25Hne1d0khsySbZyGtPA/edit?usp=sharing"",""ระนอง!J212"")"),0)</f>
        <v>0</v>
      </c>
      <c r="AT85" s="97">
        <f ca="1">IFERROR(__xludf.DUMMYFUNCTION("IMPORTRANGE(""https://docs.google.com/spreadsheets/d/1qfrKjzMhm2HJfxQ-qVlJlJQ25Hne1d0khsySbZyGtPA/edit?usp=sharing"",""ระนอง!L215"")"),0)</f>
        <v>0</v>
      </c>
      <c r="AU85" s="97">
        <f ca="1">IFERROR(__xludf.DUMMYFUNCTION("IMPORTRANGE(""https://docs.google.com/spreadsheets/d/1qfrKjzMhm2HJfxQ-qVlJlJQ25Hne1d0khsySbZyGtPA/edit?usp=sharing"",""ระนอง!N215"")"),0)</f>
        <v>0</v>
      </c>
      <c r="AV85" s="98">
        <f t="shared" ca="1" si="104"/>
        <v>0</v>
      </c>
      <c r="AW85" s="97">
        <f ca="1">IFERROR(__xludf.DUMMYFUNCTION("IMPORTRANGE(""https://docs.google.com/spreadsheets/d/1qfrKjzMhm2HJfxQ-qVlJlJQ25Hne1d0khsySbZyGtPA/edit?usp=sharing"",""ระนอง!L216"")"),0)</f>
        <v>0</v>
      </c>
      <c r="AX85" s="97">
        <f ca="1">IFERROR(__xludf.DUMMYFUNCTION("IMPORTRANGE(""https://docs.google.com/spreadsheets/d/1qfrKjzMhm2HJfxQ-qVlJlJQ25Hne1d0khsySbZyGtPA/edit?usp=sharing"",""ระนอง!N216"")"),0)</f>
        <v>0</v>
      </c>
      <c r="AY85" s="98">
        <f t="shared" ca="1" si="106"/>
        <v>0</v>
      </c>
      <c r="AZ85" s="97">
        <f ca="1">IFERROR(__xludf.DUMMYFUNCTION("IMPORTRANGE(""https://docs.google.com/spreadsheets/d/1qfrKjzMhm2HJfxQ-qVlJlJQ25Hne1d0khsySbZyGtPA/edit?usp=sharing"",""ระนอง!L217"")"),0)</f>
        <v>0</v>
      </c>
      <c r="BA85" s="97">
        <f ca="1">IFERROR(__xludf.DUMMYFUNCTION("IMPORTRANGE(""https://docs.google.com/spreadsheets/d/1qfrKjzMhm2HJfxQ-qVlJlJQ25Hne1d0khsySbZyGtPA/edit?usp=sharing"",""ระนอง!N217"")"),0)</f>
        <v>0</v>
      </c>
      <c r="BB85" s="98">
        <f t="shared" ca="1" si="108"/>
        <v>0</v>
      </c>
      <c r="BC85" s="97">
        <f ca="1">IFERROR(__xludf.DUMMYFUNCTION("IMPORTRANGE(""https://docs.google.com/spreadsheets/d/1qfrKjzMhm2HJfxQ-qVlJlJQ25Hne1d0khsySbZyGtPA/edit?usp=sharing"",""ระนอง!I219"")"),0)</f>
        <v>0</v>
      </c>
      <c r="BD85" s="97">
        <f ca="1">IFERROR(__xludf.DUMMYFUNCTION("IMPORTRANGE(""https://docs.google.com/spreadsheets/d/1qfrKjzMhm2HJfxQ-qVlJlJQ25Hne1d0khsySbZyGtPA/edit?usp=sharing"",""ระนอง!J219"")"),0)</f>
        <v>0</v>
      </c>
      <c r="BE85" s="98">
        <f t="shared" ca="1" si="110"/>
        <v>0</v>
      </c>
      <c r="BF85" s="97">
        <f ca="1">IFERROR(__xludf.DUMMYFUNCTION("IMPORTRANGE(""https://docs.google.com/spreadsheets/d/1qfrKjzMhm2HJfxQ-qVlJlJQ25Hne1d0khsySbZyGtPA/edit?usp=sharing"",""ระนอง!I220"")"),0)</f>
        <v>0</v>
      </c>
      <c r="BG85" s="97">
        <f ca="1">IFERROR(__xludf.DUMMYFUNCTION("IMPORTRANGE(""https://docs.google.com/spreadsheets/d/1qfrKjzMhm2HJfxQ-qVlJlJQ25Hne1d0khsySbZyGtPA/edit?usp=sharing"",""ระนอง!J220"")"),0)</f>
        <v>0</v>
      </c>
      <c r="BH85" s="98">
        <f t="shared" ca="1" si="112"/>
        <v>0</v>
      </c>
      <c r="BI85" s="97">
        <f ca="1">IFERROR(__xludf.DUMMYFUNCTION("IMPORTRANGE(""https://docs.google.com/spreadsheets/d/1qfrKjzMhm2HJfxQ-qVlJlJQ25Hne1d0khsySbZyGtPA/edit?usp=sharing"",""ระนอง!L223"")"),3000)</f>
        <v>3000</v>
      </c>
      <c r="BJ85" s="97">
        <f ca="1">IFERROR(__xludf.DUMMYFUNCTION("IMPORTRANGE(""https://docs.google.com/spreadsheets/d/1qfrKjzMhm2HJfxQ-qVlJlJQ25Hne1d0khsySbZyGtPA/edit?usp=sharing"",""ระนอง!N223"")"),0)</f>
        <v>0</v>
      </c>
      <c r="BK85" s="98">
        <f t="shared" ca="1" si="114"/>
        <v>0</v>
      </c>
      <c r="BL85" s="97">
        <f ca="1">IFERROR(__xludf.DUMMYFUNCTION("IMPORTRANGE(""https://docs.google.com/spreadsheets/d/1qfrKjzMhm2HJfxQ-qVlJlJQ25Hne1d0khsySbZyGtPA/edit?usp=sharing"",""ระนอง!L224"")"),1500)</f>
        <v>1500</v>
      </c>
      <c r="BM85" s="97">
        <f ca="1">IFERROR(__xludf.DUMMYFUNCTION("IMPORTRANGE(""https://docs.google.com/spreadsheets/d/1qfrKjzMhm2HJfxQ-qVlJlJQ25Hne1d0khsySbZyGtPA/edit?usp=sharing"",""ระนอง!N224"")"),0)</f>
        <v>0</v>
      </c>
      <c r="BN85" s="98">
        <f t="shared" ca="1" si="116"/>
        <v>0</v>
      </c>
      <c r="BO85" s="97">
        <f ca="1">IFERROR(__xludf.DUMMYFUNCTION("IMPORTRANGE(""https://docs.google.com/spreadsheets/d/1qfrKjzMhm2HJfxQ-qVlJlJQ25Hne1d0khsySbZyGtPA/edit?usp=sharing"",""ระนอง!I228"")"),12800)</f>
        <v>12800</v>
      </c>
      <c r="BP85" s="97" t="str">
        <f ca="1">IFERROR(__xludf.DUMMYFUNCTION("IMPORTRANGE(""https://docs.google.com/spreadsheets/d/1qfrKjzMhm2HJfxQ-qVlJlJQ25Hne1d0khsySbZyGtPA/edit?usp=sharing"",""ระนอง!J228"")"),"")</f>
        <v/>
      </c>
      <c r="BQ85" s="98" t="e">
        <f t="shared" ca="1" si="118"/>
        <v>#VALUE!</v>
      </c>
      <c r="BR85" s="97">
        <f ca="1">IFERROR(__xludf.DUMMYFUNCTION("IMPORTRANGE(""https://docs.google.com/spreadsheets/d/1qfrKjzMhm2HJfxQ-qVlJlJQ25Hne1d0khsySbZyGtPA/edit?usp=sharing"",""ระนอง!I229"")"),12800)</f>
        <v>12800</v>
      </c>
      <c r="BS85" s="97">
        <f ca="1">IFERROR(__xludf.DUMMYFUNCTION("IMPORTRANGE(""https://docs.google.com/spreadsheets/d/1qfrKjzMhm2HJfxQ-qVlJlJQ25Hne1d0khsySbZyGtPA/edit?usp=sharing"",""ระนอง!J229"")"),0)</f>
        <v>0</v>
      </c>
      <c r="BT85" s="98">
        <f t="shared" ca="1" si="120"/>
        <v>0</v>
      </c>
      <c r="BU85" s="97">
        <f ca="1">IFERROR(__xludf.DUMMYFUNCTION("IMPORTRANGE(""https://docs.google.com/spreadsheets/d/1qfrKjzMhm2HJfxQ-qVlJlJQ25Hne1d0khsySbZyGtPA/edit?usp=sharing"",""ระนอง!I230"")"),0)</f>
        <v>0</v>
      </c>
      <c r="BV85" s="97">
        <f ca="1">IFERROR(__xludf.DUMMYFUNCTION("IMPORTRANGE(""https://docs.google.com/spreadsheets/d/1qfrKjzMhm2HJfxQ-qVlJlJQ25Hne1d0khsySbZyGtPA/edit?usp=sharing"",""ระนอง!J230"")"),0)</f>
        <v>0</v>
      </c>
      <c r="BW85" s="98">
        <f t="shared" ca="1" si="122"/>
        <v>0</v>
      </c>
      <c r="BX85" s="97">
        <f ca="1">IFERROR(__xludf.DUMMYFUNCTION("IMPORTRANGE(""https://docs.google.com/spreadsheets/d/1qfrKjzMhm2HJfxQ-qVlJlJQ25Hne1d0khsySbZyGtPA/edit?usp=sharing"",""ระนอง!L233"")"),0)</f>
        <v>0</v>
      </c>
      <c r="BY85" s="97">
        <f ca="1">IFERROR(__xludf.DUMMYFUNCTION("IMPORTRANGE(""https://docs.google.com/spreadsheets/d/1qfrKjzMhm2HJfxQ-qVlJlJQ25Hne1d0khsySbZyGtPA/edit?usp=sharing"",""ระนอง!N233"")"),0)</f>
        <v>0</v>
      </c>
      <c r="BZ85" s="98">
        <f t="shared" ca="1" si="124"/>
        <v>0</v>
      </c>
      <c r="CA85" s="97">
        <f ca="1">IFERROR(__xludf.DUMMYFUNCTION("IMPORTRANGE(""https://docs.google.com/spreadsheets/d/1qfrKjzMhm2HJfxQ-qVlJlJQ25Hne1d0khsySbZyGtPA/edit?usp=sharing"",""ระนอง!L234"")"),0)</f>
        <v>0</v>
      </c>
      <c r="CB85" s="97">
        <f ca="1">IFERROR(__xludf.DUMMYFUNCTION("IMPORTRANGE(""https://docs.google.com/spreadsheets/d/1qfrKjzMhm2HJfxQ-qVlJlJQ25Hne1d0khsySbZyGtPA/edit?usp=sharing"",""ระนอง!N234"")"),0)</f>
        <v>0</v>
      </c>
      <c r="CC85" s="98">
        <f t="shared" ca="1" si="126"/>
        <v>0</v>
      </c>
      <c r="CD85" s="97">
        <f ca="1">IFERROR(__xludf.DUMMYFUNCTION("IMPORTRANGE(""https://docs.google.com/spreadsheets/d/1qfrKjzMhm2HJfxQ-qVlJlJQ25Hne1d0khsySbZyGtPA/edit?usp=sharing"",""ระนอง!L235"")"),0)</f>
        <v>0</v>
      </c>
      <c r="CE85" s="97">
        <f ca="1">IFERROR(__xludf.DUMMYFUNCTION("IMPORTRANGE(""https://docs.google.com/spreadsheets/d/1qfrKjzMhm2HJfxQ-qVlJlJQ25Hne1d0khsySbZyGtPA/edit?usp=sharing"",""ระนอง!N235"")"),0)</f>
        <v>0</v>
      </c>
      <c r="CF85" s="98">
        <f t="shared" ca="1" si="128"/>
        <v>0</v>
      </c>
      <c r="CG85" s="97">
        <f ca="1">IFERROR(__xludf.DUMMYFUNCTION("IMPORTRANGE(""https://docs.google.com/spreadsheets/d/1qfrKjzMhm2HJfxQ-qVlJlJQ25Hne1d0khsySbZyGtPA/edit?usp=sharing"",""ระนอง!L236"")"),0)</f>
        <v>0</v>
      </c>
      <c r="CH85" s="97">
        <f ca="1">IFERROR(__xludf.DUMMYFUNCTION("IMPORTRANGE(""https://docs.google.com/spreadsheets/d/1qfrKjzMhm2HJfxQ-qVlJlJQ25Hne1d0khsySbZyGtPA/edit?usp=sharing"",""ระนอง!N236"")"),0)</f>
        <v>0</v>
      </c>
      <c r="CI85" s="98">
        <f t="shared" ca="1" si="130"/>
        <v>0</v>
      </c>
      <c r="CJ85" s="97">
        <f ca="1">IFERROR(__xludf.DUMMYFUNCTION("IMPORTRANGE(""https://docs.google.com/spreadsheets/d/1qfrKjzMhm2HJfxQ-qVlJlJQ25Hne1d0khsySbZyGtPA/edit?usp=sharing"",""ระนอง!I238"")"),0)</f>
        <v>0</v>
      </c>
      <c r="CK85" s="97">
        <f ca="1">IFERROR(__xludf.DUMMYFUNCTION("IMPORTRANGE(""https://docs.google.com/spreadsheets/d/1qfrKjzMhm2HJfxQ-qVlJlJQ25Hne1d0khsySbZyGtPA/edit?usp=sharing"",""ระนอง!J238"")"),0)</f>
        <v>0</v>
      </c>
      <c r="CL85" s="98">
        <f t="shared" ca="1" si="132"/>
        <v>0</v>
      </c>
      <c r="CM85" s="97">
        <f ca="1">IFERROR(__xludf.DUMMYFUNCTION("IMPORTRANGE(""https://docs.google.com/spreadsheets/d/1qfrKjzMhm2HJfxQ-qVlJlJQ25Hne1d0khsySbZyGtPA/edit?usp=sharing"",""ระนอง!J240"")"),0)</f>
        <v>0</v>
      </c>
      <c r="CN85" s="97">
        <f ca="1">IFERROR(__xludf.DUMMYFUNCTION("IMPORTRANGE(""https://docs.google.com/spreadsheets/d/1qfrKjzMhm2HJfxQ-qVlJlJQ25Hne1d0khsySbZyGtPA/edit?usp=sharing"",""ระนอง!J241"")"),0)</f>
        <v>0</v>
      </c>
    </row>
    <row r="86" spans="1:92" ht="24" customHeight="1" x14ac:dyDescent="0.3">
      <c r="A86" s="89">
        <v>12</v>
      </c>
      <c r="B86" s="90" t="s">
        <v>112</v>
      </c>
      <c r="C86" s="174">
        <f t="shared" ca="1" si="80"/>
        <v>267600</v>
      </c>
      <c r="D86" s="175">
        <f t="shared" ca="1" si="209"/>
        <v>267600</v>
      </c>
      <c r="E86" s="176">
        <f ca="1">IFERROR(__xludf.DUMMYFUNCTION("IMPORTRANGE(""https://docs.google.com/spreadsheets/d/1-uDff_7J0KD5mKrp0Vvzr7lt3OU09vwQwhkpOPPYv2Y/edit?usp=sharing"",""งบพรบ!CV86"")"),164100)</f>
        <v>164100</v>
      </c>
      <c r="F86" s="176">
        <f ca="1">IFERROR(__xludf.DUMMYFUNCTION("IMPORTRANGE(""https://docs.google.com/spreadsheets/d/1-uDff_7J0KD5mKrp0Vvzr7lt3OU09vwQwhkpOPPYv2Y/edit?usp=sharing"",""งบพรบ!CW86"")"),103500)</f>
        <v>103500</v>
      </c>
      <c r="G86" s="176">
        <f ca="1">IFERROR(__xludf.DUMMYFUNCTION("IMPORTRANGE(""https://docs.google.com/spreadsheets/d/1-uDff_7J0KD5mKrp0Vvzr7lt3OU09vwQwhkpOPPYv2Y/edit?usp=sharing"",""งบพรบ!CX86"")"),0)</f>
        <v>0</v>
      </c>
      <c r="H86" s="176">
        <f ca="1">IFERROR(__xludf.DUMMYFUNCTION("IMPORTRANGE(""https://docs.google.com/spreadsheets/d/1-uDff_7J0KD5mKrp0Vvzr7lt3OU09vwQwhkpOPPYv2Y/edit?usp=sharing"",""งบพรบ!CZ86"")"),277300)</f>
        <v>277300</v>
      </c>
      <c r="I86" s="176">
        <f ca="1">IFERROR(__xludf.DUMMYFUNCTION("IMPORTRANGE(""https://docs.google.com/spreadsheets/d/1-uDff_7J0KD5mKrp0Vvzr7lt3OU09vwQwhkpOPPYv2Y/edit?usp=sharing"",""งบพรบ!DA86"")"),0)</f>
        <v>0</v>
      </c>
      <c r="J86" s="176">
        <f t="shared" ca="1" si="82"/>
        <v>66098.58</v>
      </c>
      <c r="K86" s="179">
        <f t="shared" ca="1" si="83"/>
        <v>24.700515695067264</v>
      </c>
      <c r="L86" s="176">
        <f ca="1">IFERROR(__xludf.DUMMYFUNCTION("IMPORTRANGE(""https://docs.google.com/spreadsheets/d/1-uDff_7J0KD5mKrp0Vvzr7lt3OU09vwQwhkpOPPYv2Y/edit?usp=sharing"",""งบพรบ!DB86"")"),66098.58)</f>
        <v>66098.58</v>
      </c>
      <c r="M86" s="87">
        <f t="shared" ca="1" si="84"/>
        <v>24.700515695067264</v>
      </c>
      <c r="N86" s="87">
        <f t="shared" ca="1" si="85"/>
        <v>23.836487558600794</v>
      </c>
      <c r="O86" s="86">
        <f ca="1">IFERROR(__xludf.DUMMYFUNCTION("IMPORTRANGE(""https://docs.google.com/spreadsheets/d/1-uDff_7J0KD5mKrp0Vvzr7lt3OU09vwQwhkpOPPYv2Y/edit?usp=sharing"",""งบพรบ!DC86"")"),0)</f>
        <v>0</v>
      </c>
      <c r="P86" s="86">
        <f t="shared" ca="1" si="86"/>
        <v>0</v>
      </c>
      <c r="Q86" s="87">
        <f t="shared" ca="1" si="87"/>
        <v>0</v>
      </c>
      <c r="R86" s="241">
        <f ca="1">IFERROR(__xludf.DUMMYFUNCTION("IMPORTRANGE(""https://docs.google.com/spreadsheets/d/1IbSCnFOKpZsnFogBHJnL_isstZVaOMnFiIN0fGTPZZw/edit?usp=sharing"",""สงขลา!Q186"")"),417900)</f>
        <v>417900</v>
      </c>
      <c r="S86" s="242">
        <f ca="1">IFERROR(__xludf.DUMMYFUNCTION("IMPORTRANGE(""https://docs.google.com/spreadsheets/d/1IbSCnFOKpZsnFogBHJnL_isstZVaOMnFiIN0fGTPZZw/edit?usp=sharing"",""สงขลา!R186"")"),0)</f>
        <v>0</v>
      </c>
      <c r="T86" s="242">
        <f ca="1">IFERROR(__xludf.DUMMYFUNCTION("IMPORTRANGE(""https://docs.google.com/spreadsheets/d/1IbSCnFOKpZsnFogBHJnL_isstZVaOMnFiIN0fGTPZZw/edit?usp=sharing"",""สงขลา!S186"")"),0)</f>
        <v>0</v>
      </c>
      <c r="U86" s="243">
        <f t="shared" ca="1" si="89"/>
        <v>0</v>
      </c>
      <c r="V86" s="243">
        <f t="shared" ca="1" si="90"/>
        <v>0</v>
      </c>
      <c r="W86" s="97">
        <f ca="1">IFERROR(__xludf.DUMMYFUNCTION("IMPORTRANGE(""https://docs.google.com/spreadsheets/d/1IbSCnFOKpZsnFogBHJnL_isstZVaOMnFiIN0fGTPZZw/edit?usp=sharing"",""สงขลา!L196"")"),6000)</f>
        <v>6000</v>
      </c>
      <c r="X86" s="97">
        <f ca="1">IFERROR(__xludf.DUMMYFUNCTION("IMPORTRANGE(""https://docs.google.com/spreadsheets/d/1IbSCnFOKpZsnFogBHJnL_isstZVaOMnFiIN0fGTPZZw/edit?usp=sharing"",""สงขลา!N196"")"),0)</f>
        <v>0</v>
      </c>
      <c r="Y86" s="98">
        <f t="shared" ca="1" si="92"/>
        <v>0</v>
      </c>
      <c r="Z86" s="97">
        <f ca="1">IFERROR(__xludf.DUMMYFUNCTION("IMPORTRANGE(""https://docs.google.com/spreadsheets/d/1IbSCnFOKpZsnFogBHJnL_isstZVaOMnFiIN0fGTPZZw/edit?usp=sharing"",""สงขลา!I198"")"),4)</f>
        <v>4</v>
      </c>
      <c r="AA86" s="97">
        <f ca="1">IFERROR(__xludf.DUMMYFUNCTION("IMPORTRANGE(""https://docs.google.com/spreadsheets/d/1IbSCnFOKpZsnFogBHJnL_isstZVaOMnFiIN0fGTPZZw/edit?usp=sharing"",""สงขลา!J198"")"),1)</f>
        <v>1</v>
      </c>
      <c r="AB86" s="98">
        <f t="shared" ca="1" si="94"/>
        <v>25</v>
      </c>
      <c r="AC86" s="97">
        <f ca="1">IFERROR(__xludf.DUMMYFUNCTION("IMPORTRANGE(""https://docs.google.com/spreadsheets/d/1IbSCnFOKpZsnFogBHJnL_isstZVaOMnFiIN0fGTPZZw/edit?usp=sharing"",""สงขลา!J199"")"),53)</f>
        <v>53</v>
      </c>
      <c r="AD86" s="97">
        <f ca="1">IFERROR(__xludf.DUMMYFUNCTION("IMPORTRANGE(""https://docs.google.com/spreadsheets/d/1IbSCnFOKpZsnFogBHJnL_isstZVaOMnFiIN0fGTPZZw/edit?usp=sharing"",""สงขลา!J200"")"),53)</f>
        <v>53</v>
      </c>
      <c r="AE86" s="97">
        <f ca="1">IFERROR(__xludf.DUMMYFUNCTION("IMPORTRANGE(""https://docs.google.com/spreadsheets/d/1IbSCnFOKpZsnFogBHJnL_isstZVaOMnFiIN0fGTPZZw/edit?usp=sharing"",""สงขลา!J201"")"),0)</f>
        <v>0</v>
      </c>
      <c r="AF86" s="97">
        <f ca="1">IFERROR(__xludf.DUMMYFUNCTION("IMPORTRANGE(""https://docs.google.com/spreadsheets/d/1IbSCnFOKpZsnFogBHJnL_isstZVaOMnFiIN0fGTPZZw/edit?usp=sharing"",""สงขลา!L204"")"),5000)</f>
        <v>5000</v>
      </c>
      <c r="AG86" s="97">
        <f ca="1">IFERROR(__xludf.DUMMYFUNCTION("IMPORTRANGE(""https://docs.google.com/spreadsheets/d/1IbSCnFOKpZsnFogBHJnL_isstZVaOMnFiIN0fGTPZZw/edit?usp=sharing"",""สงขลา!N204"")"),0)</f>
        <v>0</v>
      </c>
      <c r="AH86" s="98">
        <f t="shared" ca="1" si="96"/>
        <v>0</v>
      </c>
      <c r="AI86" s="97">
        <f ca="1">IFERROR(__xludf.DUMMYFUNCTION("IMPORTRANGE(""https://docs.google.com/spreadsheets/d/1IbSCnFOKpZsnFogBHJnL_isstZVaOMnFiIN0fGTPZZw/edit?usp=sharing"",""สงขลา!L206"")"),40000)</f>
        <v>40000</v>
      </c>
      <c r="AJ86" s="97">
        <f ca="1">IFERROR(__xludf.DUMMYFUNCTION("IMPORTRANGE(""https://docs.google.com/spreadsheets/d/1IbSCnFOKpZsnFogBHJnL_isstZVaOMnFiIN0fGTPZZw/edit?usp=sharing"",""สงขลา!N206"")"),0)</f>
        <v>0</v>
      </c>
      <c r="AK86" s="98">
        <f t="shared" ca="1" si="98"/>
        <v>0</v>
      </c>
      <c r="AL86" s="97">
        <f ca="1">IFERROR(__xludf.DUMMYFUNCTION("IMPORTRANGE(""https://docs.google.com/spreadsheets/d/1IbSCnFOKpZsnFogBHJnL_isstZVaOMnFiIN0fGTPZZw/edit?usp=sharing"",""สงขลา!L207"")"),20000)</f>
        <v>20000</v>
      </c>
      <c r="AM86" s="97">
        <f ca="1">IFERROR(__xludf.DUMMYFUNCTION("IMPORTRANGE(""https://docs.google.com/spreadsheets/d/1IbSCnFOKpZsnFogBHJnL_isstZVaOMnFiIN0fGTPZZw/edit?usp=sharing"",""สงขลา!N207"")"),0)</f>
        <v>0</v>
      </c>
      <c r="AN86" s="98">
        <f t="shared" ca="1" si="100"/>
        <v>0</v>
      </c>
      <c r="AO86" s="97">
        <f ca="1">IFERROR(__xludf.DUMMYFUNCTION("IMPORTRANGE(""https://docs.google.com/spreadsheets/d/1IbSCnFOKpZsnFogBHJnL_isstZVaOMnFiIN0fGTPZZw/edit?usp=sharing"",""สงขลา!I209"")"),5)</f>
        <v>5</v>
      </c>
      <c r="AP86" s="97">
        <f ca="1">IFERROR(__xludf.DUMMYFUNCTION("IMPORTRANGE(""https://docs.google.com/spreadsheets/d/1IbSCnFOKpZsnFogBHJnL_isstZVaOMnFiIN0fGTPZZw/edit?usp=sharing"",""สงขลา!J209"")"),0)</f>
        <v>0</v>
      </c>
      <c r="AQ86" s="98">
        <f t="shared" ca="1" si="102"/>
        <v>0</v>
      </c>
      <c r="AR86" s="97">
        <f ca="1">IFERROR(__xludf.DUMMYFUNCTION("IMPORTRANGE(""https://docs.google.com/spreadsheets/d/1IbSCnFOKpZsnFogBHJnL_isstZVaOMnFiIN0fGTPZZw/edit?usp=sharing"",""สงขลา!J211"")"),0)</f>
        <v>0</v>
      </c>
      <c r="AS86" s="97">
        <f ca="1">IFERROR(__xludf.DUMMYFUNCTION("IMPORTRANGE(""https://docs.google.com/spreadsheets/d/1IbSCnFOKpZsnFogBHJnL_isstZVaOMnFiIN0fGTPZZw/edit?usp=sharing"",""สงขลา!J212"")"),0)</f>
        <v>0</v>
      </c>
      <c r="AT86" s="97">
        <f ca="1">IFERROR(__xludf.DUMMYFUNCTION("IMPORTRANGE(""https://docs.google.com/spreadsheets/d/1IbSCnFOKpZsnFogBHJnL_isstZVaOMnFiIN0fGTPZZw/edit?usp=sharing"",""สงขลา!L215"")"),2000)</f>
        <v>2000</v>
      </c>
      <c r="AU86" s="97">
        <f ca="1">IFERROR(__xludf.DUMMYFUNCTION("IMPORTRANGE(""https://docs.google.com/spreadsheets/d/1IbSCnFOKpZsnFogBHJnL_isstZVaOMnFiIN0fGTPZZw/edit?usp=sharing"",""สงขลา!N215"")"),0)</f>
        <v>0</v>
      </c>
      <c r="AV86" s="98">
        <f t="shared" ca="1" si="104"/>
        <v>0</v>
      </c>
      <c r="AW86" s="97">
        <f ca="1">IFERROR(__xludf.DUMMYFUNCTION("IMPORTRANGE(""https://docs.google.com/spreadsheets/d/1IbSCnFOKpZsnFogBHJnL_isstZVaOMnFiIN0fGTPZZw/edit?usp=sharing"",""สงขลา!L216"")"),10000)</f>
        <v>10000</v>
      </c>
      <c r="AX86" s="97">
        <f ca="1">IFERROR(__xludf.DUMMYFUNCTION("IMPORTRANGE(""https://docs.google.com/spreadsheets/d/1IbSCnFOKpZsnFogBHJnL_isstZVaOMnFiIN0fGTPZZw/edit?usp=sharing"",""สงขลา!N216"")"),0)</f>
        <v>0</v>
      </c>
      <c r="AY86" s="98">
        <f t="shared" ca="1" si="106"/>
        <v>0</v>
      </c>
      <c r="AZ86" s="97">
        <f ca="1">IFERROR(__xludf.DUMMYFUNCTION("IMPORTRANGE(""https://docs.google.com/spreadsheets/d/1IbSCnFOKpZsnFogBHJnL_isstZVaOMnFiIN0fGTPZZw/edit?usp=sharing"",""สงขลา!L217"")"),16000)</f>
        <v>16000</v>
      </c>
      <c r="BA86" s="97">
        <f ca="1">IFERROR(__xludf.DUMMYFUNCTION("IMPORTRANGE(""https://docs.google.com/spreadsheets/d/1IbSCnFOKpZsnFogBHJnL_isstZVaOMnFiIN0fGTPZZw/edit?usp=sharing"",""สงขลา!N217"")"),0)</f>
        <v>0</v>
      </c>
      <c r="BB86" s="98">
        <f t="shared" ca="1" si="108"/>
        <v>0</v>
      </c>
      <c r="BC86" s="97">
        <f ca="1">IFERROR(__xludf.DUMMYFUNCTION("IMPORTRANGE(""https://docs.google.com/spreadsheets/d/1IbSCnFOKpZsnFogBHJnL_isstZVaOMnFiIN0fGTPZZw/edit?usp=sharing"",""สงขลา!I219"")"),2)</f>
        <v>2</v>
      </c>
      <c r="BD86" s="97">
        <f ca="1">IFERROR(__xludf.DUMMYFUNCTION("IMPORTRANGE(""https://docs.google.com/spreadsheets/d/1IbSCnFOKpZsnFogBHJnL_isstZVaOMnFiIN0fGTPZZw/edit?usp=sharing"",""สงขลา!J219"")"),0)</f>
        <v>0</v>
      </c>
      <c r="BE86" s="98">
        <f t="shared" ca="1" si="110"/>
        <v>0</v>
      </c>
      <c r="BF86" s="97">
        <f ca="1">IFERROR(__xludf.DUMMYFUNCTION("IMPORTRANGE(""https://docs.google.com/spreadsheets/d/1IbSCnFOKpZsnFogBHJnL_isstZVaOMnFiIN0fGTPZZw/edit?usp=sharing"",""สงขลา!I220"")"),2)</f>
        <v>2</v>
      </c>
      <c r="BG86" s="97">
        <f ca="1">IFERROR(__xludf.DUMMYFUNCTION("IMPORTRANGE(""https://docs.google.com/spreadsheets/d/1IbSCnFOKpZsnFogBHJnL_isstZVaOMnFiIN0fGTPZZw/edit?usp=sharing"",""สงขลา!J220"")"),0)</f>
        <v>0</v>
      </c>
      <c r="BH86" s="98">
        <f t="shared" ca="1" si="112"/>
        <v>0</v>
      </c>
      <c r="BI86" s="97">
        <f ca="1">IFERROR(__xludf.DUMMYFUNCTION("IMPORTRANGE(""https://docs.google.com/spreadsheets/d/1IbSCnFOKpZsnFogBHJnL_isstZVaOMnFiIN0fGTPZZw/edit?usp=sharing"",""สงขลา!L223"")"),3000)</f>
        <v>3000</v>
      </c>
      <c r="BJ86" s="97">
        <f ca="1">IFERROR(__xludf.DUMMYFUNCTION("IMPORTRANGE(""https://docs.google.com/spreadsheets/d/1IbSCnFOKpZsnFogBHJnL_isstZVaOMnFiIN0fGTPZZw/edit?usp=sharing"",""สงขลา!N223"")"),0)</f>
        <v>0</v>
      </c>
      <c r="BK86" s="98">
        <f t="shared" ca="1" si="114"/>
        <v>0</v>
      </c>
      <c r="BL86" s="97">
        <f ca="1">IFERROR(__xludf.DUMMYFUNCTION("IMPORTRANGE(""https://docs.google.com/spreadsheets/d/1IbSCnFOKpZsnFogBHJnL_isstZVaOMnFiIN0fGTPZZw/edit?usp=sharing"",""สงขลา!L224"")"),1500)</f>
        <v>1500</v>
      </c>
      <c r="BM86" s="97">
        <f ca="1">IFERROR(__xludf.DUMMYFUNCTION("IMPORTRANGE(""https://docs.google.com/spreadsheets/d/1IbSCnFOKpZsnFogBHJnL_isstZVaOMnFiIN0fGTPZZw/edit?usp=sharing"",""สงขลา!N224"")"),0)</f>
        <v>0</v>
      </c>
      <c r="BN86" s="98">
        <f t="shared" ca="1" si="116"/>
        <v>0</v>
      </c>
      <c r="BO86" s="97">
        <f ca="1">IFERROR(__xludf.DUMMYFUNCTION("IMPORTRANGE(""https://docs.google.com/spreadsheets/d/1IbSCnFOKpZsnFogBHJnL_isstZVaOMnFiIN0fGTPZZw/edit?usp=sharing"",""สงขลา!I228"")"),15000)</f>
        <v>15000</v>
      </c>
      <c r="BP86" s="97">
        <f ca="1">IFERROR(__xludf.DUMMYFUNCTION("IMPORTRANGE(""https://docs.google.com/spreadsheets/d/1IbSCnFOKpZsnFogBHJnL_isstZVaOMnFiIN0fGTPZZw/edit?usp=sharing"",""สงขลา!J228"")"),0)</f>
        <v>0</v>
      </c>
      <c r="BQ86" s="98">
        <f t="shared" ca="1" si="118"/>
        <v>0</v>
      </c>
      <c r="BR86" s="97">
        <f ca="1">IFERROR(__xludf.DUMMYFUNCTION("IMPORTRANGE(""https://docs.google.com/spreadsheets/d/1IbSCnFOKpZsnFogBHJnL_isstZVaOMnFiIN0fGTPZZw/edit?usp=sharing"",""สงขลา!I229"")"),15000)</f>
        <v>15000</v>
      </c>
      <c r="BS86" s="97">
        <f ca="1">IFERROR(__xludf.DUMMYFUNCTION("IMPORTRANGE(""https://docs.google.com/spreadsheets/d/1IbSCnFOKpZsnFogBHJnL_isstZVaOMnFiIN0fGTPZZw/edit?usp=sharing"",""สงขลา!J229"")"),0)</f>
        <v>0</v>
      </c>
      <c r="BT86" s="98">
        <f t="shared" ca="1" si="120"/>
        <v>0</v>
      </c>
      <c r="BU86" s="97">
        <f ca="1">IFERROR(__xludf.DUMMYFUNCTION("IMPORTRANGE(""https://docs.google.com/spreadsheets/d/1IbSCnFOKpZsnFogBHJnL_isstZVaOMnFiIN0fGTPZZw/edit?usp=sharing"",""สงขลา!I230"")"),0)</f>
        <v>0</v>
      </c>
      <c r="BV86" s="97">
        <f ca="1">IFERROR(__xludf.DUMMYFUNCTION("IMPORTRANGE(""https://docs.google.com/spreadsheets/d/1IbSCnFOKpZsnFogBHJnL_isstZVaOMnFiIN0fGTPZZw/edit?usp=sharing"",""สงขลา!J230"")"),0)</f>
        <v>0</v>
      </c>
      <c r="BW86" s="98">
        <f t="shared" ca="1" si="122"/>
        <v>0</v>
      </c>
      <c r="BX86" s="97">
        <f ca="1">IFERROR(__xludf.DUMMYFUNCTION("IMPORTRANGE(""https://docs.google.com/spreadsheets/d/1IbSCnFOKpZsnFogBHJnL_isstZVaOMnFiIN0fGTPZZw/edit?usp=sharing"",""สงขลา!L233"")"),0)</f>
        <v>0</v>
      </c>
      <c r="BY86" s="97">
        <f ca="1">IFERROR(__xludf.DUMMYFUNCTION("IMPORTRANGE(""https://docs.google.com/spreadsheets/d/1IbSCnFOKpZsnFogBHJnL_isstZVaOMnFiIN0fGTPZZw/edit?usp=sharing"",""สงขลา!N233"")"),0)</f>
        <v>0</v>
      </c>
      <c r="BZ86" s="98">
        <f t="shared" ca="1" si="124"/>
        <v>0</v>
      </c>
      <c r="CA86" s="97">
        <f ca="1">IFERROR(__xludf.DUMMYFUNCTION("IMPORTRANGE(""https://docs.google.com/spreadsheets/d/1IbSCnFOKpZsnFogBHJnL_isstZVaOMnFiIN0fGTPZZw/edit?usp=sharing"",""สงขลา!L234"")"),0)</f>
        <v>0</v>
      </c>
      <c r="CB86" s="97">
        <f ca="1">IFERROR(__xludf.DUMMYFUNCTION("IMPORTRANGE(""https://docs.google.com/spreadsheets/d/1IbSCnFOKpZsnFogBHJnL_isstZVaOMnFiIN0fGTPZZw/edit?usp=sharing"",""สงขลา!N234"")"),0)</f>
        <v>0</v>
      </c>
      <c r="CC86" s="98">
        <f t="shared" ca="1" si="126"/>
        <v>0</v>
      </c>
      <c r="CD86" s="97">
        <f ca="1">IFERROR(__xludf.DUMMYFUNCTION("IMPORTRANGE(""https://docs.google.com/spreadsheets/d/1IbSCnFOKpZsnFogBHJnL_isstZVaOMnFiIN0fGTPZZw/edit?usp=sharing"",""สงขลา!L235"")"),0)</f>
        <v>0</v>
      </c>
      <c r="CE86" s="97">
        <f ca="1">IFERROR(__xludf.DUMMYFUNCTION("IMPORTRANGE(""https://docs.google.com/spreadsheets/d/1IbSCnFOKpZsnFogBHJnL_isstZVaOMnFiIN0fGTPZZw/edit?usp=sharing"",""สงขลา!N235"")"),0)</f>
        <v>0</v>
      </c>
      <c r="CF86" s="98">
        <f t="shared" ca="1" si="128"/>
        <v>0</v>
      </c>
      <c r="CG86" s="97">
        <f ca="1">IFERROR(__xludf.DUMMYFUNCTION("IMPORTRANGE(""https://docs.google.com/spreadsheets/d/1IbSCnFOKpZsnFogBHJnL_isstZVaOMnFiIN0fGTPZZw/edit?usp=sharing"",""สงขลา!L236"")"),0)</f>
        <v>0</v>
      </c>
      <c r="CH86" s="97">
        <f ca="1">IFERROR(__xludf.DUMMYFUNCTION("IMPORTRANGE(""https://docs.google.com/spreadsheets/d/1IbSCnFOKpZsnFogBHJnL_isstZVaOMnFiIN0fGTPZZw/edit?usp=sharing"",""สงขลา!N236"")"),0)</f>
        <v>0</v>
      </c>
      <c r="CI86" s="98">
        <f t="shared" ca="1" si="130"/>
        <v>0</v>
      </c>
      <c r="CJ86" s="97">
        <f ca="1">IFERROR(__xludf.DUMMYFUNCTION("IMPORTRANGE(""https://docs.google.com/spreadsheets/d/1IbSCnFOKpZsnFogBHJnL_isstZVaOMnFiIN0fGTPZZw/edit?usp=sharing"",""สงขลา!I238"")"),0)</f>
        <v>0</v>
      </c>
      <c r="CK86" s="97">
        <f ca="1">IFERROR(__xludf.DUMMYFUNCTION("IMPORTRANGE(""https://docs.google.com/spreadsheets/d/1IbSCnFOKpZsnFogBHJnL_isstZVaOMnFiIN0fGTPZZw/edit?usp=sharing"",""สงขลา!J238"")"),0)</f>
        <v>0</v>
      </c>
      <c r="CL86" s="98">
        <f t="shared" ca="1" si="132"/>
        <v>0</v>
      </c>
      <c r="CM86" s="97">
        <f ca="1">IFERROR(__xludf.DUMMYFUNCTION("IMPORTRANGE(""https://docs.google.com/spreadsheets/d/1IbSCnFOKpZsnFogBHJnL_isstZVaOMnFiIN0fGTPZZw/edit?usp=sharing"",""สงขลา!J240"")"),0)</f>
        <v>0</v>
      </c>
      <c r="CN86" s="97">
        <f ca="1">IFERROR(__xludf.DUMMYFUNCTION("IMPORTRANGE(""https://docs.google.com/spreadsheets/d/1IbSCnFOKpZsnFogBHJnL_isstZVaOMnFiIN0fGTPZZw/edit?usp=sharing"",""สงขลา!J241"")"),0)</f>
        <v>0</v>
      </c>
    </row>
    <row r="87" spans="1:92" ht="24" customHeight="1" x14ac:dyDescent="0.3">
      <c r="A87" s="89">
        <v>13</v>
      </c>
      <c r="B87" s="90" t="s">
        <v>113</v>
      </c>
      <c r="C87" s="174">
        <f t="shared" ca="1" si="80"/>
        <v>269400</v>
      </c>
      <c r="D87" s="175">
        <f t="shared" ca="1" si="209"/>
        <v>269400</v>
      </c>
      <c r="E87" s="176">
        <f ca="1">IFERROR(__xludf.DUMMYFUNCTION("IMPORTRANGE(""https://docs.google.com/spreadsheets/d/1-uDff_7J0KD5mKrp0Vvzr7lt3OU09vwQwhkpOPPYv2Y/edit?usp=sharing"",""งบพรบ!CV87"")"),245900)</f>
        <v>245900</v>
      </c>
      <c r="F87" s="176">
        <f ca="1">IFERROR(__xludf.DUMMYFUNCTION("IMPORTRANGE(""https://docs.google.com/spreadsheets/d/1-uDff_7J0KD5mKrp0Vvzr7lt3OU09vwQwhkpOPPYv2Y/edit?usp=sharing"",""งบพรบ!CW87"")"),23500)</f>
        <v>23500</v>
      </c>
      <c r="G87" s="176">
        <f ca="1">IFERROR(__xludf.DUMMYFUNCTION("IMPORTRANGE(""https://docs.google.com/spreadsheets/d/1-uDff_7J0KD5mKrp0Vvzr7lt3OU09vwQwhkpOPPYv2Y/edit?usp=sharing"",""งบพรบ!CX87"")"),0)</f>
        <v>0</v>
      </c>
      <c r="H87" s="176">
        <f ca="1">IFERROR(__xludf.DUMMYFUNCTION("IMPORTRANGE(""https://docs.google.com/spreadsheets/d/1-uDff_7J0KD5mKrp0Vvzr7lt3OU09vwQwhkpOPPYv2Y/edit?usp=sharing"",""งบพรบ!CZ87"")"),279100)</f>
        <v>279100</v>
      </c>
      <c r="I87" s="176">
        <f ca="1">IFERROR(__xludf.DUMMYFUNCTION("IMPORTRANGE(""https://docs.google.com/spreadsheets/d/1-uDff_7J0KD5mKrp0Vvzr7lt3OU09vwQwhkpOPPYv2Y/edit?usp=sharing"",""งบพรบ!DA87"")"),0)</f>
        <v>0</v>
      </c>
      <c r="J87" s="176">
        <f t="shared" ca="1" si="82"/>
        <v>66743.38</v>
      </c>
      <c r="K87" s="179">
        <f t="shared" ca="1" si="83"/>
        <v>24.77482553823311</v>
      </c>
      <c r="L87" s="176">
        <f ca="1">IFERROR(__xludf.DUMMYFUNCTION("IMPORTRANGE(""https://docs.google.com/spreadsheets/d/1-uDff_7J0KD5mKrp0Vvzr7lt3OU09vwQwhkpOPPYv2Y/edit?usp=sharing"",""งบพรบ!DB87"")"),66743.38)</f>
        <v>66743.38</v>
      </c>
      <c r="M87" s="87">
        <f t="shared" ca="1" si="84"/>
        <v>24.77482553823311</v>
      </c>
      <c r="N87" s="87">
        <f t="shared" ca="1" si="85"/>
        <v>23.913787173056253</v>
      </c>
      <c r="O87" s="86">
        <f ca="1">IFERROR(__xludf.DUMMYFUNCTION("IMPORTRANGE(""https://docs.google.com/spreadsheets/d/1-uDff_7J0KD5mKrp0Vvzr7lt3OU09vwQwhkpOPPYv2Y/edit?usp=sharing"",""งบพรบ!DC87"")"),0)</f>
        <v>0</v>
      </c>
      <c r="P87" s="86">
        <f t="shared" ca="1" si="86"/>
        <v>0</v>
      </c>
      <c r="Q87" s="87">
        <f t="shared" ca="1" si="87"/>
        <v>0</v>
      </c>
      <c r="R87" s="241">
        <f ca="1">IFERROR(__xludf.DUMMYFUNCTION("IMPORTRANGE(""https://docs.google.com/spreadsheets/d/1q9nWasZJ-K8bFGvbE9n0qSRuKGA4Toe3Y89cKCiVtCU/edit?usp=sharing"",""สตูล!Q186"")"),28000)</f>
        <v>28000</v>
      </c>
      <c r="S87" s="242">
        <f ca="1">IFERROR(__xludf.DUMMYFUNCTION("IMPORTRANGE(""https://docs.google.com/spreadsheets/d/1q9nWasZJ-K8bFGvbE9n0qSRuKGA4Toe3Y89cKCiVtCU/edit?usp=sharing"",""สตูล!R186"")"),0)</f>
        <v>0</v>
      </c>
      <c r="T87" s="242">
        <f ca="1">IFERROR(__xludf.DUMMYFUNCTION("IMPORTRANGE(""https://docs.google.com/spreadsheets/d/1q9nWasZJ-K8bFGvbE9n0qSRuKGA4Toe3Y89cKCiVtCU/edit?usp=sharing"",""สตูล!S186"")"),0)</f>
        <v>0</v>
      </c>
      <c r="U87" s="243">
        <f t="shared" ca="1" si="89"/>
        <v>0</v>
      </c>
      <c r="V87" s="243">
        <f t="shared" ca="1" si="90"/>
        <v>0</v>
      </c>
      <c r="W87" s="97">
        <f ca="1">IFERROR(__xludf.DUMMYFUNCTION("IMPORTRANGE(""https://docs.google.com/spreadsheets/d/1q9nWasZJ-K8bFGvbE9n0qSRuKGA4Toe3Y89cKCiVtCU/edit?usp=sharing"",""สตูล!L196"")"),6000)</f>
        <v>6000</v>
      </c>
      <c r="X87" s="97">
        <f ca="1">IFERROR(__xludf.DUMMYFUNCTION("IMPORTRANGE(""https://docs.google.com/spreadsheets/d/1q9nWasZJ-K8bFGvbE9n0qSRuKGA4Toe3Y89cKCiVtCU/edit?usp=sharing"",""สตูล!N196"")"),0)</f>
        <v>0</v>
      </c>
      <c r="Y87" s="98">
        <f t="shared" ca="1" si="92"/>
        <v>0</v>
      </c>
      <c r="Z87" s="97">
        <f ca="1">IFERROR(__xludf.DUMMYFUNCTION("IMPORTRANGE(""https://docs.google.com/spreadsheets/d/1q9nWasZJ-K8bFGvbE9n0qSRuKGA4Toe3Y89cKCiVtCU/edit?usp=sharing"",""สตูล!I198"")"),4)</f>
        <v>4</v>
      </c>
      <c r="AA87" s="97">
        <f ca="1">IFERROR(__xludf.DUMMYFUNCTION("IMPORTRANGE(""https://docs.google.com/spreadsheets/d/1q9nWasZJ-K8bFGvbE9n0qSRuKGA4Toe3Y89cKCiVtCU/edit?usp=sharing"",""สตูล!J198"")"),1)</f>
        <v>1</v>
      </c>
      <c r="AB87" s="98">
        <f t="shared" ca="1" si="94"/>
        <v>25</v>
      </c>
      <c r="AC87" s="97">
        <f ca="1">IFERROR(__xludf.DUMMYFUNCTION("IMPORTRANGE(""https://docs.google.com/spreadsheets/d/1q9nWasZJ-K8bFGvbE9n0qSRuKGA4Toe3Y89cKCiVtCU/edit?usp=sharing"",""สตูล!J199"")"),22)</f>
        <v>22</v>
      </c>
      <c r="AD87" s="97">
        <f ca="1">IFERROR(__xludf.DUMMYFUNCTION("IMPORTRANGE(""https://docs.google.com/spreadsheets/d/1q9nWasZJ-K8bFGvbE9n0qSRuKGA4Toe3Y89cKCiVtCU/edit?usp=sharing"",""สตูล!J200"")"),22)</f>
        <v>22</v>
      </c>
      <c r="AE87" s="97">
        <f ca="1">IFERROR(__xludf.DUMMYFUNCTION("IMPORTRANGE(""https://docs.google.com/spreadsheets/d/1q9nWasZJ-K8bFGvbE9n0qSRuKGA4Toe3Y89cKCiVtCU/edit?usp=sharing"",""สตูล!J201"")"),0)</f>
        <v>0</v>
      </c>
      <c r="AF87" s="97">
        <f ca="1">IFERROR(__xludf.DUMMYFUNCTION("IMPORTRANGE(""https://docs.google.com/spreadsheets/d/1q9nWasZJ-K8bFGvbE9n0qSRuKGA4Toe3Y89cKCiVtCU/edit?usp=sharing"",""สตูล!L204"")"),1000)</f>
        <v>1000</v>
      </c>
      <c r="AG87" s="97">
        <f ca="1">IFERROR(__xludf.DUMMYFUNCTION("IMPORTRANGE(""https://docs.google.com/spreadsheets/d/1q9nWasZJ-K8bFGvbE9n0qSRuKGA4Toe3Y89cKCiVtCU/edit?usp=sharing"",""สตูล!N204"")"),0)</f>
        <v>0</v>
      </c>
      <c r="AH87" s="98">
        <f t="shared" ca="1" si="96"/>
        <v>0</v>
      </c>
      <c r="AI87" s="97">
        <f ca="1">IFERROR(__xludf.DUMMYFUNCTION("IMPORTRANGE(""https://docs.google.com/spreadsheets/d/1q9nWasZJ-K8bFGvbE9n0qSRuKGA4Toe3Y89cKCiVtCU/edit?usp=sharing"",""สตูล!L206"")"),8000)</f>
        <v>8000</v>
      </c>
      <c r="AJ87" s="97">
        <f ca="1">IFERROR(__xludf.DUMMYFUNCTION("IMPORTRANGE(""https://docs.google.com/spreadsheets/d/1q9nWasZJ-K8bFGvbE9n0qSRuKGA4Toe3Y89cKCiVtCU/edit?usp=sharing"",""สตูล!N206"")"),0)</f>
        <v>0</v>
      </c>
      <c r="AK87" s="98">
        <f t="shared" ca="1" si="98"/>
        <v>0</v>
      </c>
      <c r="AL87" s="97">
        <f ca="1">IFERROR(__xludf.DUMMYFUNCTION("IMPORTRANGE(""https://docs.google.com/spreadsheets/d/1q9nWasZJ-K8bFGvbE9n0qSRuKGA4Toe3Y89cKCiVtCU/edit?usp=sharing"",""สตูล!L207"")"),4000)</f>
        <v>4000</v>
      </c>
      <c r="AM87" s="97">
        <f ca="1">IFERROR(__xludf.DUMMYFUNCTION("IMPORTRANGE(""https://docs.google.com/spreadsheets/d/1q9nWasZJ-K8bFGvbE9n0qSRuKGA4Toe3Y89cKCiVtCU/edit?usp=sharing"",""สตูล!N207"")"),0)</f>
        <v>0</v>
      </c>
      <c r="AN87" s="98">
        <f t="shared" ca="1" si="100"/>
        <v>0</v>
      </c>
      <c r="AO87" s="97">
        <f ca="1">IFERROR(__xludf.DUMMYFUNCTION("IMPORTRANGE(""https://docs.google.com/spreadsheets/d/1q9nWasZJ-K8bFGvbE9n0qSRuKGA4Toe3Y89cKCiVtCU/edit?usp=sharing"",""สตูล!I209"")"),1)</f>
        <v>1</v>
      </c>
      <c r="AP87" s="97">
        <f ca="1">IFERROR(__xludf.DUMMYFUNCTION("IMPORTRANGE(""https://docs.google.com/spreadsheets/d/1q9nWasZJ-K8bFGvbE9n0qSRuKGA4Toe3Y89cKCiVtCU/edit?usp=sharing"",""สตูล!J209"")"),0)</f>
        <v>0</v>
      </c>
      <c r="AQ87" s="98">
        <f t="shared" ca="1" si="102"/>
        <v>0</v>
      </c>
      <c r="AR87" s="97">
        <f ca="1">IFERROR(__xludf.DUMMYFUNCTION("IMPORTRANGE(""https://docs.google.com/spreadsheets/d/1q9nWasZJ-K8bFGvbE9n0qSRuKGA4Toe3Y89cKCiVtCU/edit?usp=sharing"",""สตูล!J211"")"),0)</f>
        <v>0</v>
      </c>
      <c r="AS87" s="97">
        <f ca="1">IFERROR(__xludf.DUMMYFUNCTION("IMPORTRANGE(""https://docs.google.com/spreadsheets/d/1q9nWasZJ-K8bFGvbE9n0qSRuKGA4Toe3Y89cKCiVtCU/edit?usp=sharing"",""สตูล!J212"")"),0)</f>
        <v>0</v>
      </c>
      <c r="AT87" s="97">
        <f ca="1">IFERROR(__xludf.DUMMYFUNCTION("IMPORTRANGE(""https://docs.google.com/spreadsheets/d/1q9nWasZJ-K8bFGvbE9n0qSRuKGA4Toe3Y89cKCiVtCU/edit?usp=sharing"",""สตูล!L215"")"),0)</f>
        <v>0</v>
      </c>
      <c r="AU87" s="97">
        <f ca="1">IFERROR(__xludf.DUMMYFUNCTION("IMPORTRANGE(""https://docs.google.com/spreadsheets/d/1q9nWasZJ-K8bFGvbE9n0qSRuKGA4Toe3Y89cKCiVtCU/edit?usp=sharing"",""สตูล!N215"")"),0)</f>
        <v>0</v>
      </c>
      <c r="AV87" s="98">
        <f t="shared" ca="1" si="104"/>
        <v>0</v>
      </c>
      <c r="AW87" s="97">
        <f ca="1">IFERROR(__xludf.DUMMYFUNCTION("IMPORTRANGE(""https://docs.google.com/spreadsheets/d/1q9nWasZJ-K8bFGvbE9n0qSRuKGA4Toe3Y89cKCiVtCU/edit?usp=sharing"",""สตูล!L216"")"),0)</f>
        <v>0</v>
      </c>
      <c r="AX87" s="97">
        <f ca="1">IFERROR(__xludf.DUMMYFUNCTION("IMPORTRANGE(""https://docs.google.com/spreadsheets/d/1q9nWasZJ-K8bFGvbE9n0qSRuKGA4Toe3Y89cKCiVtCU/edit?usp=sharing"",""สตูล!N216"")"),0)</f>
        <v>0</v>
      </c>
      <c r="AY87" s="98">
        <f t="shared" ca="1" si="106"/>
        <v>0</v>
      </c>
      <c r="AZ87" s="97">
        <f ca="1">IFERROR(__xludf.DUMMYFUNCTION("IMPORTRANGE(""https://docs.google.com/spreadsheets/d/1q9nWasZJ-K8bFGvbE9n0qSRuKGA4Toe3Y89cKCiVtCU/edit?usp=sharing"",""สตูล!L217"")"),0)</f>
        <v>0</v>
      </c>
      <c r="BA87" s="97">
        <f ca="1">IFERROR(__xludf.DUMMYFUNCTION("IMPORTRANGE(""https://docs.google.com/spreadsheets/d/1q9nWasZJ-K8bFGvbE9n0qSRuKGA4Toe3Y89cKCiVtCU/edit?usp=sharing"",""สตูล!N217"")"),0)</f>
        <v>0</v>
      </c>
      <c r="BB87" s="98">
        <f t="shared" ca="1" si="108"/>
        <v>0</v>
      </c>
      <c r="BC87" s="97">
        <f ca="1">IFERROR(__xludf.DUMMYFUNCTION("IMPORTRANGE(""https://docs.google.com/spreadsheets/d/1q9nWasZJ-K8bFGvbE9n0qSRuKGA4Toe3Y89cKCiVtCU/edit?usp=sharing"",""สตูล!I219"")"),0)</f>
        <v>0</v>
      </c>
      <c r="BD87" s="97">
        <f ca="1">IFERROR(__xludf.DUMMYFUNCTION("IMPORTRANGE(""https://docs.google.com/spreadsheets/d/1q9nWasZJ-K8bFGvbE9n0qSRuKGA4Toe3Y89cKCiVtCU/edit?usp=sharing"",""สตูล!J219"")"),0)</f>
        <v>0</v>
      </c>
      <c r="BE87" s="98">
        <f t="shared" ca="1" si="110"/>
        <v>0</v>
      </c>
      <c r="BF87" s="97">
        <f ca="1">IFERROR(__xludf.DUMMYFUNCTION("IMPORTRANGE(""https://docs.google.com/spreadsheets/d/1q9nWasZJ-K8bFGvbE9n0qSRuKGA4Toe3Y89cKCiVtCU/edit?usp=sharing"",""สตูล!I220"")"),0)</f>
        <v>0</v>
      </c>
      <c r="BG87" s="97">
        <f ca="1">IFERROR(__xludf.DUMMYFUNCTION("IMPORTRANGE(""https://docs.google.com/spreadsheets/d/1q9nWasZJ-K8bFGvbE9n0qSRuKGA4Toe3Y89cKCiVtCU/edit?usp=sharing"",""สตูล!J220"")"),0)</f>
        <v>0</v>
      </c>
      <c r="BH87" s="98">
        <f t="shared" ca="1" si="112"/>
        <v>0</v>
      </c>
      <c r="BI87" s="97">
        <f ca="1">IFERROR(__xludf.DUMMYFUNCTION("IMPORTRANGE(""https://docs.google.com/spreadsheets/d/1q9nWasZJ-K8bFGvbE9n0qSRuKGA4Toe3Y89cKCiVtCU/edit?usp=sharing"",""สตูล!L223"")"),3000)</f>
        <v>3000</v>
      </c>
      <c r="BJ87" s="97">
        <f ca="1">IFERROR(__xludf.DUMMYFUNCTION("IMPORTRANGE(""https://docs.google.com/spreadsheets/d/1q9nWasZJ-K8bFGvbE9n0qSRuKGA4Toe3Y89cKCiVtCU/edit?usp=sharing"",""สตูล!N223"")"),0)</f>
        <v>0</v>
      </c>
      <c r="BK87" s="98">
        <f t="shared" ca="1" si="114"/>
        <v>0</v>
      </c>
      <c r="BL87" s="97">
        <f ca="1">IFERROR(__xludf.DUMMYFUNCTION("IMPORTRANGE(""https://docs.google.com/spreadsheets/d/1q9nWasZJ-K8bFGvbE9n0qSRuKGA4Toe3Y89cKCiVtCU/edit?usp=sharing"",""สตูล!L224"")"),1500)</f>
        <v>1500</v>
      </c>
      <c r="BM87" s="97">
        <f ca="1">IFERROR(__xludf.DUMMYFUNCTION("IMPORTRANGE(""https://docs.google.com/spreadsheets/d/1q9nWasZJ-K8bFGvbE9n0qSRuKGA4Toe3Y89cKCiVtCU/edit?usp=sharing"",""สตูล!N224"")"),0)</f>
        <v>0</v>
      </c>
      <c r="BN87" s="98">
        <f t="shared" ca="1" si="116"/>
        <v>0</v>
      </c>
      <c r="BO87" s="97">
        <f ca="1">IFERROR(__xludf.DUMMYFUNCTION("IMPORTRANGE(""https://docs.google.com/spreadsheets/d/1q9nWasZJ-K8bFGvbE9n0qSRuKGA4Toe3Y89cKCiVtCU/edit?usp=sharing"",""สตูล!I228"")"),6400)</f>
        <v>6400</v>
      </c>
      <c r="BP87" s="97">
        <f ca="1">IFERROR(__xludf.DUMMYFUNCTION("IMPORTRANGE(""https://docs.google.com/spreadsheets/d/1q9nWasZJ-K8bFGvbE9n0qSRuKGA4Toe3Y89cKCiVtCU/edit?usp=sharing"",""สตูล!J228"")"),0)</f>
        <v>0</v>
      </c>
      <c r="BQ87" s="98">
        <f t="shared" ca="1" si="118"/>
        <v>0</v>
      </c>
      <c r="BR87" s="97">
        <f ca="1">IFERROR(__xludf.DUMMYFUNCTION("IMPORTRANGE(""https://docs.google.com/spreadsheets/d/1q9nWasZJ-K8bFGvbE9n0qSRuKGA4Toe3Y89cKCiVtCU/edit?usp=sharing"",""สตูล!I229"")"),6400)</f>
        <v>6400</v>
      </c>
      <c r="BS87" s="97">
        <f ca="1">IFERROR(__xludf.DUMMYFUNCTION("IMPORTRANGE(""https://docs.google.com/spreadsheets/d/1q9nWasZJ-K8bFGvbE9n0qSRuKGA4Toe3Y89cKCiVtCU/edit?usp=sharing"",""สตูล!J229"")"),0)</f>
        <v>0</v>
      </c>
      <c r="BT87" s="98">
        <f t="shared" ca="1" si="120"/>
        <v>0</v>
      </c>
      <c r="BU87" s="97">
        <f ca="1">IFERROR(__xludf.DUMMYFUNCTION("IMPORTRANGE(""https://docs.google.com/spreadsheets/d/1q9nWasZJ-K8bFGvbE9n0qSRuKGA4Toe3Y89cKCiVtCU/edit?usp=sharing"",""สตูล!I230"")"),0)</f>
        <v>0</v>
      </c>
      <c r="BV87" s="97">
        <f ca="1">IFERROR(__xludf.DUMMYFUNCTION("IMPORTRANGE(""https://docs.google.com/spreadsheets/d/1q9nWasZJ-K8bFGvbE9n0qSRuKGA4Toe3Y89cKCiVtCU/edit?usp=sharing"",""สตูล!J230"")"),0)</f>
        <v>0</v>
      </c>
      <c r="BW87" s="98">
        <f t="shared" ca="1" si="122"/>
        <v>0</v>
      </c>
      <c r="BX87" s="97">
        <f ca="1">IFERROR(__xludf.DUMMYFUNCTION("IMPORTRANGE(""https://docs.google.com/spreadsheets/d/1q9nWasZJ-K8bFGvbE9n0qSRuKGA4Toe3Y89cKCiVtCU/edit?usp=sharing"",""สตูล!L233"")"),0)</f>
        <v>0</v>
      </c>
      <c r="BY87" s="97">
        <f ca="1">IFERROR(__xludf.DUMMYFUNCTION("IMPORTRANGE(""https://docs.google.com/spreadsheets/d/1q9nWasZJ-K8bFGvbE9n0qSRuKGA4Toe3Y89cKCiVtCU/edit?usp=sharing"",""สตูล!N233"")"),0)</f>
        <v>0</v>
      </c>
      <c r="BZ87" s="98">
        <f t="shared" ca="1" si="124"/>
        <v>0</v>
      </c>
      <c r="CA87" s="97">
        <f ca="1">IFERROR(__xludf.DUMMYFUNCTION("IMPORTRANGE(""https://docs.google.com/spreadsheets/d/1q9nWasZJ-K8bFGvbE9n0qSRuKGA4Toe3Y89cKCiVtCU/edit?usp=sharing"",""สตูล!L234"")"),0)</f>
        <v>0</v>
      </c>
      <c r="CB87" s="97">
        <f ca="1">IFERROR(__xludf.DUMMYFUNCTION("IMPORTRANGE(""https://docs.google.com/spreadsheets/d/1q9nWasZJ-K8bFGvbE9n0qSRuKGA4Toe3Y89cKCiVtCU/edit?usp=sharing"",""สตูล!N234"")"),0)</f>
        <v>0</v>
      </c>
      <c r="CC87" s="98">
        <f t="shared" ca="1" si="126"/>
        <v>0</v>
      </c>
      <c r="CD87" s="97">
        <f ca="1">IFERROR(__xludf.DUMMYFUNCTION("IMPORTRANGE(""https://docs.google.com/spreadsheets/d/1q9nWasZJ-K8bFGvbE9n0qSRuKGA4Toe3Y89cKCiVtCU/edit?usp=sharing"",""สตูล!L235"")"),0)</f>
        <v>0</v>
      </c>
      <c r="CE87" s="97">
        <f ca="1">IFERROR(__xludf.DUMMYFUNCTION("IMPORTRANGE(""https://docs.google.com/spreadsheets/d/1q9nWasZJ-K8bFGvbE9n0qSRuKGA4Toe3Y89cKCiVtCU/edit?usp=sharing"",""สตูล!N235"")"),0)</f>
        <v>0</v>
      </c>
      <c r="CF87" s="98">
        <f t="shared" ca="1" si="128"/>
        <v>0</v>
      </c>
      <c r="CG87" s="97">
        <f ca="1">IFERROR(__xludf.DUMMYFUNCTION("IMPORTRANGE(""https://docs.google.com/spreadsheets/d/1q9nWasZJ-K8bFGvbE9n0qSRuKGA4Toe3Y89cKCiVtCU/edit?usp=sharing"",""สตูล!L236"")"),0)</f>
        <v>0</v>
      </c>
      <c r="CH87" s="97">
        <f ca="1">IFERROR(__xludf.DUMMYFUNCTION("IMPORTRANGE(""https://docs.google.com/spreadsheets/d/1q9nWasZJ-K8bFGvbE9n0qSRuKGA4Toe3Y89cKCiVtCU/edit?usp=sharing"",""สตูล!N236"")"),0)</f>
        <v>0</v>
      </c>
      <c r="CI87" s="98">
        <f t="shared" ca="1" si="130"/>
        <v>0</v>
      </c>
      <c r="CJ87" s="97">
        <f ca="1">IFERROR(__xludf.DUMMYFUNCTION("IMPORTRANGE(""https://docs.google.com/spreadsheets/d/1q9nWasZJ-K8bFGvbE9n0qSRuKGA4Toe3Y89cKCiVtCU/edit?usp=sharing"",""สตูล!I238"")"),0)</f>
        <v>0</v>
      </c>
      <c r="CK87" s="97">
        <f ca="1">IFERROR(__xludf.DUMMYFUNCTION("IMPORTRANGE(""https://docs.google.com/spreadsheets/d/1q9nWasZJ-K8bFGvbE9n0qSRuKGA4Toe3Y89cKCiVtCU/edit?usp=sharing"",""สตูล!J238"")"),0)</f>
        <v>0</v>
      </c>
      <c r="CL87" s="98">
        <f t="shared" ca="1" si="132"/>
        <v>0</v>
      </c>
      <c r="CM87" s="97">
        <f ca="1">IFERROR(__xludf.DUMMYFUNCTION("IMPORTRANGE(""https://docs.google.com/spreadsheets/d/1q9nWasZJ-K8bFGvbE9n0qSRuKGA4Toe3Y89cKCiVtCU/edit?usp=sharing"",""สตูล!J240"")"),0)</f>
        <v>0</v>
      </c>
      <c r="CN87" s="97">
        <f ca="1">IFERROR(__xludf.DUMMYFUNCTION("IMPORTRANGE(""https://docs.google.com/spreadsheets/d/1q9nWasZJ-K8bFGvbE9n0qSRuKGA4Toe3Y89cKCiVtCU/edit?usp=sharing"",""สตูล!J241"")"),0)</f>
        <v>0</v>
      </c>
    </row>
    <row r="88" spans="1:92" ht="24" customHeight="1" x14ac:dyDescent="0.3">
      <c r="A88" s="100">
        <v>14</v>
      </c>
      <c r="B88" s="101" t="s">
        <v>114</v>
      </c>
      <c r="C88" s="182">
        <f t="shared" ca="1" si="80"/>
        <v>223500</v>
      </c>
      <c r="D88" s="183">
        <f t="shared" ca="1" si="209"/>
        <v>223500</v>
      </c>
      <c r="E88" s="184">
        <f ca="1">IFERROR(__xludf.DUMMYFUNCTION("IMPORTRANGE(""https://docs.google.com/spreadsheets/d/1-uDff_7J0KD5mKrp0Vvzr7lt3OU09vwQwhkpOPPYv2Y/edit?usp=sharing"",""งบพรบ!CV88"")"),182000)</f>
        <v>182000</v>
      </c>
      <c r="F88" s="184">
        <f ca="1">IFERROR(__xludf.DUMMYFUNCTION("IMPORTRANGE(""https://docs.google.com/spreadsheets/d/1-uDff_7J0KD5mKrp0Vvzr7lt3OU09vwQwhkpOPPYv2Y/edit?usp=sharing"",""งบพรบ!CW88"")"),41500)</f>
        <v>41500</v>
      </c>
      <c r="G88" s="184">
        <f ca="1">IFERROR(__xludf.DUMMYFUNCTION("IMPORTRANGE(""https://docs.google.com/spreadsheets/d/1-uDff_7J0KD5mKrp0Vvzr7lt3OU09vwQwhkpOPPYv2Y/edit?usp=sharing"",""งบพรบ!CX88"")"),0)</f>
        <v>0</v>
      </c>
      <c r="H88" s="184">
        <f ca="1">IFERROR(__xludf.DUMMYFUNCTION("IMPORTRANGE(""https://docs.google.com/spreadsheets/d/1-uDff_7J0KD5mKrp0Vvzr7lt3OU09vwQwhkpOPPYv2Y/edit?usp=sharing"",""งบพรบ!CZ88"")"),230700)</f>
        <v>230700</v>
      </c>
      <c r="I88" s="184">
        <f ca="1">IFERROR(__xludf.DUMMYFUNCTION("IMPORTRANGE(""https://docs.google.com/spreadsheets/d/1-uDff_7J0KD5mKrp0Vvzr7lt3OU09vwQwhkpOPPYv2Y/edit?usp=sharing"",""งบพรบ!DA88"")"),0)</f>
        <v>0</v>
      </c>
      <c r="J88" s="184">
        <f t="shared" ca="1" si="82"/>
        <v>85726.67</v>
      </c>
      <c r="K88" s="185">
        <f t="shared" ca="1" si="83"/>
        <v>38.356451901565997</v>
      </c>
      <c r="L88" s="184">
        <f ca="1">IFERROR(__xludf.DUMMYFUNCTION("IMPORTRANGE(""https://docs.google.com/spreadsheets/d/1-uDff_7J0KD5mKrp0Vvzr7lt3OU09vwQwhkpOPPYv2Y/edit?usp=sharing"",""งบพรบ!DB88"")"),85726.67)</f>
        <v>85726.67</v>
      </c>
      <c r="M88" s="109">
        <f t="shared" ca="1" si="84"/>
        <v>38.356451901565997</v>
      </c>
      <c r="N88" s="109">
        <f t="shared" ca="1" si="85"/>
        <v>37.159371478110103</v>
      </c>
      <c r="O88" s="108">
        <f ca="1">IFERROR(__xludf.DUMMYFUNCTION("IMPORTRANGE(""https://docs.google.com/spreadsheets/d/1-uDff_7J0KD5mKrp0Vvzr7lt3OU09vwQwhkpOPPYv2Y/edit?usp=sharing"",""งบพรบ!DC88"")"),0)</f>
        <v>0</v>
      </c>
      <c r="P88" s="108">
        <f t="shared" ca="1" si="86"/>
        <v>0</v>
      </c>
      <c r="Q88" s="109">
        <f t="shared" ca="1" si="87"/>
        <v>0</v>
      </c>
      <c r="R88" s="244">
        <f ca="1">IFERROR(__xludf.DUMMYFUNCTION("IMPORTRANGE(""https://docs.google.com/spreadsheets/d/18T20gbkS_WBjdscyTOV05cvq_JqvqQ17C81mpxf7Ncs/edit?usp=sharing"",""สุราษฎร์ธานี!Q186"")"),56000)</f>
        <v>56000</v>
      </c>
      <c r="S88" s="245">
        <f ca="1">IFERROR(__xludf.DUMMYFUNCTION("IMPORTRANGE(""https://docs.google.com/spreadsheets/d/18T20gbkS_WBjdscyTOV05cvq_JqvqQ17C81mpxf7Ncs/edit?usp=sharing"",""สุราษฎร์ธานี!R186"")"),0)</f>
        <v>0</v>
      </c>
      <c r="T88" s="245">
        <f ca="1">IFERROR(__xludf.DUMMYFUNCTION("IMPORTRANGE(""https://docs.google.com/spreadsheets/d/18T20gbkS_WBjdscyTOV05cvq_JqvqQ17C81mpxf7Ncs/edit?usp=sharing"",""สุราษฎร์ธานี!S186"")"),0)</f>
        <v>0</v>
      </c>
      <c r="U88" s="246">
        <f t="shared" ca="1" si="89"/>
        <v>0</v>
      </c>
      <c r="V88" s="246">
        <f t="shared" ca="1" si="90"/>
        <v>0</v>
      </c>
      <c r="W88" s="110">
        <f ca="1">IFERROR(__xludf.DUMMYFUNCTION("IMPORTRANGE(""https://docs.google.com/spreadsheets/d/18T20gbkS_WBjdscyTOV05cvq_JqvqQ17C81mpxf7Ncs/edit?usp=sharing"",""สุราษฎร์ธานี!L196"")"),6000)</f>
        <v>6000</v>
      </c>
      <c r="X88" s="110">
        <f ca="1">IFERROR(__xludf.DUMMYFUNCTION("IMPORTRANGE(""https://docs.google.com/spreadsheets/d/18T20gbkS_WBjdscyTOV05cvq_JqvqQ17C81mpxf7Ncs/edit?usp=sharing"",""สุราษฎร์ธานี!N196"")"),960)</f>
        <v>960</v>
      </c>
      <c r="Y88" s="111">
        <f t="shared" ca="1" si="92"/>
        <v>16</v>
      </c>
      <c r="Z88" s="110">
        <f ca="1">IFERROR(__xludf.DUMMYFUNCTION("IMPORTRANGE(""https://docs.google.com/spreadsheets/d/18T20gbkS_WBjdscyTOV05cvq_JqvqQ17C81mpxf7Ncs/edit?usp=sharing"",""สุราษฎร์ธานี!I198"")"),4)</f>
        <v>4</v>
      </c>
      <c r="AA88" s="110">
        <f ca="1">IFERROR(__xludf.DUMMYFUNCTION("IMPORTRANGE(""https://docs.google.com/spreadsheets/d/18T20gbkS_WBjdscyTOV05cvq_JqvqQ17C81mpxf7Ncs/edit?usp=sharing"",""สุราษฎร์ธานี!J198"")"),1)</f>
        <v>1</v>
      </c>
      <c r="AB88" s="111">
        <f t="shared" ca="1" si="94"/>
        <v>25</v>
      </c>
      <c r="AC88" s="110">
        <f ca="1">IFERROR(__xludf.DUMMYFUNCTION("IMPORTRANGE(""https://docs.google.com/spreadsheets/d/18T20gbkS_WBjdscyTOV05cvq_JqvqQ17C81mpxf7Ncs/edit?usp=sharing"",""สุราษฎร์ธานี!J199"")"),0)</f>
        <v>0</v>
      </c>
      <c r="AD88" s="110">
        <f ca="1">IFERROR(__xludf.DUMMYFUNCTION("IMPORTRANGE(""https://docs.google.com/spreadsheets/d/18T20gbkS_WBjdscyTOV05cvq_JqvqQ17C81mpxf7Ncs/edit?usp=sharing"",""สุราษฎร์ธานี!J200"")"),0)</f>
        <v>0</v>
      </c>
      <c r="AE88" s="110">
        <f ca="1">IFERROR(__xludf.DUMMYFUNCTION("IMPORTRANGE(""https://docs.google.com/spreadsheets/d/18T20gbkS_WBjdscyTOV05cvq_JqvqQ17C81mpxf7Ncs/edit?usp=sharing"",""สุราษฎร์ธานี!J201"")"),0)</f>
        <v>0</v>
      </c>
      <c r="AF88" s="110">
        <f ca="1">IFERROR(__xludf.DUMMYFUNCTION("IMPORTRANGE(""https://docs.google.com/spreadsheets/d/18T20gbkS_WBjdscyTOV05cvq_JqvqQ17C81mpxf7Ncs/edit?usp=sharing"",""สุราษฎร์ธานี!L204"")"),2000)</f>
        <v>2000</v>
      </c>
      <c r="AG88" s="110">
        <f ca="1">IFERROR(__xludf.DUMMYFUNCTION("IMPORTRANGE(""https://docs.google.com/spreadsheets/d/18T20gbkS_WBjdscyTOV05cvq_JqvqQ17C81mpxf7Ncs/edit?usp=sharing"",""สุราษฎร์ธานี!N204"")"),0)</f>
        <v>0</v>
      </c>
      <c r="AH88" s="111">
        <f t="shared" ca="1" si="96"/>
        <v>0</v>
      </c>
      <c r="AI88" s="110">
        <f ca="1">IFERROR(__xludf.DUMMYFUNCTION("IMPORTRANGE(""https://docs.google.com/spreadsheets/d/18T20gbkS_WBjdscyTOV05cvq_JqvqQ17C81mpxf7Ncs/edit?usp=sharing"",""สุราษฎร์ธานี!L206"")"),16000)</f>
        <v>16000</v>
      </c>
      <c r="AJ88" s="110">
        <f ca="1">IFERROR(__xludf.DUMMYFUNCTION("IMPORTRANGE(""https://docs.google.com/spreadsheets/d/18T20gbkS_WBjdscyTOV05cvq_JqvqQ17C81mpxf7Ncs/edit?usp=sharing"",""สุราษฎร์ธานี!N206"")"),0)</f>
        <v>0</v>
      </c>
      <c r="AK88" s="111">
        <f t="shared" ca="1" si="98"/>
        <v>0</v>
      </c>
      <c r="AL88" s="110">
        <f ca="1">IFERROR(__xludf.DUMMYFUNCTION("IMPORTRANGE(""https://docs.google.com/spreadsheets/d/18T20gbkS_WBjdscyTOV05cvq_JqvqQ17C81mpxf7Ncs/edit?usp=sharing"",""สุราษฎร์ธานี!L207"")"),13000)</f>
        <v>13000</v>
      </c>
      <c r="AM88" s="110">
        <f ca="1">IFERROR(__xludf.DUMMYFUNCTION("IMPORTRANGE(""https://docs.google.com/spreadsheets/d/18T20gbkS_WBjdscyTOV05cvq_JqvqQ17C81mpxf7Ncs/edit?usp=sharing"",""สุราษฎร์ธานี!N207"")"),0)</f>
        <v>0</v>
      </c>
      <c r="AN88" s="111">
        <f t="shared" ca="1" si="100"/>
        <v>0</v>
      </c>
      <c r="AO88" s="110">
        <f ca="1">IFERROR(__xludf.DUMMYFUNCTION("IMPORTRANGE(""https://docs.google.com/spreadsheets/d/18T20gbkS_WBjdscyTOV05cvq_JqvqQ17C81mpxf7Ncs/edit?usp=sharing"",""สุราษฎร์ธานี!I209"")"),2)</f>
        <v>2</v>
      </c>
      <c r="AP88" s="110">
        <f ca="1">IFERROR(__xludf.DUMMYFUNCTION("IMPORTRANGE(""https://docs.google.com/spreadsheets/d/18T20gbkS_WBjdscyTOV05cvq_JqvqQ17C81mpxf7Ncs/edit?usp=sharing"",""สุราษฎร์ธานี!J209"")"),0)</f>
        <v>0</v>
      </c>
      <c r="AQ88" s="111">
        <f t="shared" ca="1" si="102"/>
        <v>0</v>
      </c>
      <c r="AR88" s="110">
        <f ca="1">IFERROR(__xludf.DUMMYFUNCTION("IMPORTRANGE(""https://docs.google.com/spreadsheets/d/18T20gbkS_WBjdscyTOV05cvq_JqvqQ17C81mpxf7Ncs/edit?usp=sharing"",""สุราษฎร์ธานี!J211"")"),0)</f>
        <v>0</v>
      </c>
      <c r="AS88" s="110">
        <f ca="1">IFERROR(__xludf.DUMMYFUNCTION("IMPORTRANGE(""https://docs.google.com/spreadsheets/d/18T20gbkS_WBjdscyTOV05cvq_JqvqQ17C81mpxf7Ncs/edit?usp=sharing"",""สุราษฎร์ธานี!J212"")"),0)</f>
        <v>0</v>
      </c>
      <c r="AT88" s="110">
        <f ca="1">IFERROR(__xludf.DUMMYFUNCTION("IMPORTRANGE(""https://docs.google.com/spreadsheets/d/18T20gbkS_WBjdscyTOV05cvq_JqvqQ17C81mpxf7Ncs/edit?usp=sharing"",""สุราษฎร์ธานี!L215"")"),0)</f>
        <v>0</v>
      </c>
      <c r="AU88" s="110">
        <f ca="1">IFERROR(__xludf.DUMMYFUNCTION("IMPORTRANGE(""https://docs.google.com/spreadsheets/d/18T20gbkS_WBjdscyTOV05cvq_JqvqQ17C81mpxf7Ncs/edit?usp=sharing"",""สุราษฎร์ธานี!N215"")"),0)</f>
        <v>0</v>
      </c>
      <c r="AV88" s="111">
        <f t="shared" ca="1" si="104"/>
        <v>0</v>
      </c>
      <c r="AW88" s="110">
        <f ca="1">IFERROR(__xludf.DUMMYFUNCTION("IMPORTRANGE(""https://docs.google.com/spreadsheets/d/18T20gbkS_WBjdscyTOV05cvq_JqvqQ17C81mpxf7Ncs/edit?usp=sharing"",""สุราษฎร์ธานี!L216"")"),0)</f>
        <v>0</v>
      </c>
      <c r="AX88" s="110">
        <f ca="1">IFERROR(__xludf.DUMMYFUNCTION("IMPORTRANGE(""https://docs.google.com/spreadsheets/d/18T20gbkS_WBjdscyTOV05cvq_JqvqQ17C81mpxf7Ncs/edit?usp=sharing"",""สุราษฎร์ธานี!N216"")"),0)</f>
        <v>0</v>
      </c>
      <c r="AY88" s="111">
        <f t="shared" ca="1" si="106"/>
        <v>0</v>
      </c>
      <c r="AZ88" s="110">
        <f ca="1">IFERROR(__xludf.DUMMYFUNCTION("IMPORTRANGE(""https://docs.google.com/spreadsheets/d/18T20gbkS_WBjdscyTOV05cvq_JqvqQ17C81mpxf7Ncs/edit?usp=sharing"",""สุราษฎร์ธานี!L217"")"),0)</f>
        <v>0</v>
      </c>
      <c r="BA88" s="110">
        <f ca="1">IFERROR(__xludf.DUMMYFUNCTION("IMPORTRANGE(""https://docs.google.com/spreadsheets/d/18T20gbkS_WBjdscyTOV05cvq_JqvqQ17C81mpxf7Ncs/edit?usp=sharing"",""สุราษฎร์ธานี!N217"")"),0)</f>
        <v>0</v>
      </c>
      <c r="BB88" s="111">
        <f t="shared" ca="1" si="108"/>
        <v>0</v>
      </c>
      <c r="BC88" s="110">
        <f ca="1">IFERROR(__xludf.DUMMYFUNCTION("IMPORTRANGE(""https://docs.google.com/spreadsheets/d/18T20gbkS_WBjdscyTOV05cvq_JqvqQ17C81mpxf7Ncs/edit?usp=sharing"",""สุราษฎร์ธานี!I219"")"),0)</f>
        <v>0</v>
      </c>
      <c r="BD88" s="110">
        <f ca="1">IFERROR(__xludf.DUMMYFUNCTION("IMPORTRANGE(""https://docs.google.com/spreadsheets/d/18T20gbkS_WBjdscyTOV05cvq_JqvqQ17C81mpxf7Ncs/edit?usp=sharing"",""สุราษฎร์ธานี!J219"")"),0)</f>
        <v>0</v>
      </c>
      <c r="BE88" s="111">
        <f t="shared" ca="1" si="110"/>
        <v>0</v>
      </c>
      <c r="BF88" s="110">
        <f ca="1">IFERROR(__xludf.DUMMYFUNCTION("IMPORTRANGE(""https://docs.google.com/spreadsheets/d/18T20gbkS_WBjdscyTOV05cvq_JqvqQ17C81mpxf7Ncs/edit?usp=sharing"",""สุราษฎร์ธานี!I220"")"),0)</f>
        <v>0</v>
      </c>
      <c r="BG88" s="110">
        <f ca="1">IFERROR(__xludf.DUMMYFUNCTION("IMPORTRANGE(""https://docs.google.com/spreadsheets/d/18T20gbkS_WBjdscyTOV05cvq_JqvqQ17C81mpxf7Ncs/edit?usp=sharing"",""สุราษฎร์ธานี!J220"")"),0)</f>
        <v>0</v>
      </c>
      <c r="BH88" s="111">
        <f t="shared" ca="1" si="112"/>
        <v>0</v>
      </c>
      <c r="BI88" s="110">
        <f ca="1">IFERROR(__xludf.DUMMYFUNCTION("IMPORTRANGE(""https://docs.google.com/spreadsheets/d/18T20gbkS_WBjdscyTOV05cvq_JqvqQ17C81mpxf7Ncs/edit?usp=sharing"",""สุราษฎร์ธานี!L223"")"),3000)</f>
        <v>3000</v>
      </c>
      <c r="BJ88" s="110">
        <f ca="1">IFERROR(__xludf.DUMMYFUNCTION("IMPORTRANGE(""https://docs.google.com/spreadsheets/d/18T20gbkS_WBjdscyTOV05cvq_JqvqQ17C81mpxf7Ncs/edit?usp=sharing"",""สุราษฎร์ธานี!N223"")"),0)</f>
        <v>0</v>
      </c>
      <c r="BK88" s="111">
        <f t="shared" ca="1" si="114"/>
        <v>0</v>
      </c>
      <c r="BL88" s="110">
        <f ca="1">IFERROR(__xludf.DUMMYFUNCTION("IMPORTRANGE(""https://docs.google.com/spreadsheets/d/18T20gbkS_WBjdscyTOV05cvq_JqvqQ17C81mpxf7Ncs/edit?usp=sharing"",""สุราษฎร์ธานี!L224"")"),1500)</f>
        <v>1500</v>
      </c>
      <c r="BM88" s="110">
        <f ca="1">IFERROR(__xludf.DUMMYFUNCTION("IMPORTRANGE(""https://docs.google.com/spreadsheets/d/18T20gbkS_WBjdscyTOV05cvq_JqvqQ17C81mpxf7Ncs/edit?usp=sharing"",""สุราษฎร์ธานี!N224"")"),0)</f>
        <v>0</v>
      </c>
      <c r="BN88" s="111">
        <f t="shared" ca="1" si="116"/>
        <v>0</v>
      </c>
      <c r="BO88" s="110">
        <f ca="1">IFERROR(__xludf.DUMMYFUNCTION("IMPORTRANGE(""https://docs.google.com/spreadsheets/d/18T20gbkS_WBjdscyTOV05cvq_JqvqQ17C81mpxf7Ncs/edit?usp=sharing"",""สุราษฎร์ธานี!I228"")"),10000)</f>
        <v>10000</v>
      </c>
      <c r="BP88" s="110">
        <f ca="1">IFERROR(__xludf.DUMMYFUNCTION("IMPORTRANGE(""https://docs.google.com/spreadsheets/d/18T20gbkS_WBjdscyTOV05cvq_JqvqQ17C81mpxf7Ncs/edit?usp=sharing"",""สุราษฎร์ธานี!J228"")"),0)</f>
        <v>0</v>
      </c>
      <c r="BQ88" s="111">
        <f t="shared" ca="1" si="118"/>
        <v>0</v>
      </c>
      <c r="BR88" s="110">
        <f ca="1">IFERROR(__xludf.DUMMYFUNCTION("IMPORTRANGE(""https://docs.google.com/spreadsheets/d/18T20gbkS_WBjdscyTOV05cvq_JqvqQ17C81mpxf7Ncs/edit?usp=sharing"",""สุราษฎร์ธานี!I229"")"),10000)</f>
        <v>10000</v>
      </c>
      <c r="BS88" s="110">
        <f ca="1">IFERROR(__xludf.DUMMYFUNCTION("IMPORTRANGE(""https://docs.google.com/spreadsheets/d/18T20gbkS_WBjdscyTOV05cvq_JqvqQ17C81mpxf7Ncs/edit?usp=sharing"",""สุราษฎร์ธานี!J229"")"),0)</f>
        <v>0</v>
      </c>
      <c r="BT88" s="111">
        <f t="shared" ca="1" si="120"/>
        <v>0</v>
      </c>
      <c r="BU88" s="110">
        <f ca="1">IFERROR(__xludf.DUMMYFUNCTION("IMPORTRANGE(""https://docs.google.com/spreadsheets/d/18T20gbkS_WBjdscyTOV05cvq_JqvqQ17C81mpxf7Ncs/edit?usp=sharing"",""สุราษฎร์ธานี!I230"")"),0)</f>
        <v>0</v>
      </c>
      <c r="BV88" s="110">
        <f ca="1">IFERROR(__xludf.DUMMYFUNCTION("IMPORTRANGE(""https://docs.google.com/spreadsheets/d/18T20gbkS_WBjdscyTOV05cvq_JqvqQ17C81mpxf7Ncs/edit?usp=sharing"",""สุราษฎร์ธานี!J230"")"),0)</f>
        <v>0</v>
      </c>
      <c r="BW88" s="111">
        <f t="shared" ca="1" si="122"/>
        <v>0</v>
      </c>
      <c r="BX88" s="110">
        <f ca="1">IFERROR(__xludf.DUMMYFUNCTION("IMPORTRANGE(""https://docs.google.com/spreadsheets/d/18T20gbkS_WBjdscyTOV05cvq_JqvqQ17C81mpxf7Ncs/edit?usp=sharing"",""สุราษฎร์ธานี!L233"")"),0)</f>
        <v>0</v>
      </c>
      <c r="BY88" s="110">
        <f ca="1">IFERROR(__xludf.DUMMYFUNCTION("IMPORTRANGE(""https://docs.google.com/spreadsheets/d/18T20gbkS_WBjdscyTOV05cvq_JqvqQ17C81mpxf7Ncs/edit?usp=sharing"",""สุราษฎร์ธานี!N233"")"),0)</f>
        <v>0</v>
      </c>
      <c r="BZ88" s="111">
        <f t="shared" ca="1" si="124"/>
        <v>0</v>
      </c>
      <c r="CA88" s="110">
        <f ca="1">IFERROR(__xludf.DUMMYFUNCTION("IMPORTRANGE(""https://docs.google.com/spreadsheets/d/18T20gbkS_WBjdscyTOV05cvq_JqvqQ17C81mpxf7Ncs/edit?usp=sharing"",""สุราษฎร์ธานี!L234"")"),0)</f>
        <v>0</v>
      </c>
      <c r="CB88" s="110">
        <f ca="1">IFERROR(__xludf.DUMMYFUNCTION("IMPORTRANGE(""https://docs.google.com/spreadsheets/d/18T20gbkS_WBjdscyTOV05cvq_JqvqQ17C81mpxf7Ncs/edit?usp=sharing"",""สุราษฎร์ธานี!N234"")"),0)</f>
        <v>0</v>
      </c>
      <c r="CC88" s="111">
        <f t="shared" ca="1" si="126"/>
        <v>0</v>
      </c>
      <c r="CD88" s="110">
        <f ca="1">IFERROR(__xludf.DUMMYFUNCTION("IMPORTRANGE(""https://docs.google.com/spreadsheets/d/18T20gbkS_WBjdscyTOV05cvq_JqvqQ17C81mpxf7Ncs/edit?usp=sharing"",""สุราษฎร์ธานี!L235"")"),0)</f>
        <v>0</v>
      </c>
      <c r="CE88" s="110">
        <f ca="1">IFERROR(__xludf.DUMMYFUNCTION("IMPORTRANGE(""https://docs.google.com/spreadsheets/d/18T20gbkS_WBjdscyTOV05cvq_JqvqQ17C81mpxf7Ncs/edit?usp=sharing"",""สุราษฎร์ธานี!N235"")"),0)</f>
        <v>0</v>
      </c>
      <c r="CF88" s="111">
        <f t="shared" ca="1" si="128"/>
        <v>0</v>
      </c>
      <c r="CG88" s="110">
        <f ca="1">IFERROR(__xludf.DUMMYFUNCTION("IMPORTRANGE(""https://docs.google.com/spreadsheets/d/18T20gbkS_WBjdscyTOV05cvq_JqvqQ17C81mpxf7Ncs/edit?usp=sharing"",""สุราษฎร์ธานี!L236"")"),0)</f>
        <v>0</v>
      </c>
      <c r="CH88" s="110">
        <f ca="1">IFERROR(__xludf.DUMMYFUNCTION("IMPORTRANGE(""https://docs.google.com/spreadsheets/d/18T20gbkS_WBjdscyTOV05cvq_JqvqQ17C81mpxf7Ncs/edit?usp=sharing"",""สุราษฎร์ธานี!N236"")"),0)</f>
        <v>0</v>
      </c>
      <c r="CI88" s="111">
        <f t="shared" ca="1" si="130"/>
        <v>0</v>
      </c>
      <c r="CJ88" s="110">
        <f ca="1">IFERROR(__xludf.DUMMYFUNCTION("IMPORTRANGE(""https://docs.google.com/spreadsheets/d/18T20gbkS_WBjdscyTOV05cvq_JqvqQ17C81mpxf7Ncs/edit?usp=sharing"",""สุราษฎร์ธานี!I238"")"),0)</f>
        <v>0</v>
      </c>
      <c r="CK88" s="110">
        <f ca="1">IFERROR(__xludf.DUMMYFUNCTION("IMPORTRANGE(""https://docs.google.com/spreadsheets/d/18T20gbkS_WBjdscyTOV05cvq_JqvqQ17C81mpxf7Ncs/edit?usp=sharing"",""สุราษฎร์ธานี!J238"")"),0)</f>
        <v>0</v>
      </c>
      <c r="CL88" s="111">
        <f t="shared" ca="1" si="132"/>
        <v>0</v>
      </c>
      <c r="CM88" s="110">
        <f ca="1">IFERROR(__xludf.DUMMYFUNCTION("IMPORTRANGE(""https://docs.google.com/spreadsheets/d/18T20gbkS_WBjdscyTOV05cvq_JqvqQ17C81mpxf7Ncs/edit?usp=sharing"",""สุราษฎร์ธานี!J240"")"),0)</f>
        <v>0</v>
      </c>
      <c r="CN88" s="110">
        <f ca="1">IFERROR(__xludf.DUMMYFUNCTION("IMPORTRANGE(""https://docs.google.com/spreadsheets/d/18T20gbkS_WBjdscyTOV05cvq_JqvqQ17C81mpxf7Ncs/edit?usp=sharing"",""สุราษฎร์ธานี!J241"")"),0)</f>
        <v>0</v>
      </c>
    </row>
    <row r="89" spans="1:92" ht="21" hidden="1" customHeight="1" x14ac:dyDescent="0.3">
      <c r="A89" s="632" t="s">
        <v>115</v>
      </c>
      <c r="B89" s="633"/>
      <c r="C89" s="46">
        <f t="shared" ref="C89:T89" ca="1" si="210">SUM(C90:C106)</f>
        <v>2023400</v>
      </c>
      <c r="D89" s="45">
        <f t="shared" ca="1" si="210"/>
        <v>2023400</v>
      </c>
      <c r="E89" s="45">
        <f t="shared" ca="1" si="210"/>
        <v>491400</v>
      </c>
      <c r="F89" s="45">
        <f t="shared" ca="1" si="210"/>
        <v>1532000</v>
      </c>
      <c r="G89" s="45">
        <f t="shared" ca="1" si="210"/>
        <v>0</v>
      </c>
      <c r="H89" s="45">
        <f t="shared" ca="1" si="210"/>
        <v>1629535</v>
      </c>
      <c r="I89" s="45">
        <f t="shared" ca="1" si="210"/>
        <v>0</v>
      </c>
      <c r="J89" s="45">
        <f t="shared" ca="1" si="210"/>
        <v>571445.46</v>
      </c>
      <c r="K89" s="47">
        <f t="shared" ca="1" si="210"/>
        <v>99.200423171624124</v>
      </c>
      <c r="L89" s="45">
        <f t="shared" ca="1" si="210"/>
        <v>571445.46</v>
      </c>
      <c r="M89" s="47">
        <f t="shared" ca="1" si="210"/>
        <v>99.200423171624124</v>
      </c>
      <c r="N89" s="47">
        <f t="shared" ca="1" si="210"/>
        <v>105.7773439331679</v>
      </c>
      <c r="O89" s="45">
        <f t="shared" ca="1" si="210"/>
        <v>0</v>
      </c>
      <c r="P89" s="45">
        <f t="shared" ca="1" si="210"/>
        <v>0</v>
      </c>
      <c r="Q89" s="45">
        <f t="shared" ca="1" si="210"/>
        <v>0</v>
      </c>
      <c r="R89" s="247">
        <f t="shared" si="210"/>
        <v>0</v>
      </c>
      <c r="S89" s="164">
        <f t="shared" si="210"/>
        <v>0</v>
      </c>
      <c r="T89" s="164">
        <f t="shared" si="210"/>
        <v>0</v>
      </c>
      <c r="U89" s="164">
        <f t="shared" si="89"/>
        <v>0</v>
      </c>
      <c r="V89" s="164">
        <f t="shared" si="90"/>
        <v>0</v>
      </c>
      <c r="W89" s="45"/>
      <c r="X89" s="45"/>
      <c r="Y89" s="48"/>
      <c r="Z89" s="45"/>
      <c r="AA89" s="45"/>
      <c r="AB89" s="48"/>
      <c r="AC89" s="45"/>
      <c r="AD89" s="45"/>
      <c r="AE89" s="45"/>
      <c r="AF89" s="45"/>
      <c r="AG89" s="45"/>
      <c r="AH89" s="48"/>
      <c r="AI89" s="45"/>
      <c r="AJ89" s="45"/>
      <c r="AK89" s="48"/>
      <c r="AL89" s="45"/>
      <c r="AM89" s="45"/>
      <c r="AN89" s="48"/>
      <c r="AO89" s="45"/>
      <c r="AP89" s="45"/>
      <c r="AQ89" s="48"/>
      <c r="AR89" s="293"/>
      <c r="AS89" s="293"/>
      <c r="AT89" s="45"/>
      <c r="AU89" s="45"/>
      <c r="AV89" s="48"/>
      <c r="AW89" s="45"/>
      <c r="AX89" s="45"/>
      <c r="AY89" s="48"/>
      <c r="AZ89" s="45"/>
      <c r="BA89" s="45"/>
      <c r="BB89" s="48"/>
      <c r="BC89" s="45"/>
      <c r="BD89" s="45"/>
      <c r="BE89" s="48"/>
      <c r="BF89" s="45"/>
      <c r="BG89" s="45"/>
      <c r="BH89" s="48"/>
      <c r="BI89" s="45"/>
      <c r="BJ89" s="45"/>
      <c r="BK89" s="48"/>
      <c r="BL89" s="45"/>
      <c r="BM89" s="45"/>
      <c r="BN89" s="48"/>
      <c r="BO89" s="45"/>
      <c r="BP89" s="45"/>
      <c r="BQ89" s="48"/>
      <c r="BR89" s="45"/>
      <c r="BS89" s="45"/>
      <c r="BT89" s="48"/>
      <c r="BU89" s="45"/>
      <c r="BV89" s="45"/>
      <c r="BW89" s="48"/>
      <c r="BX89" s="45"/>
      <c r="BY89" s="45"/>
      <c r="BZ89" s="48"/>
      <c r="CA89" s="45"/>
      <c r="CB89" s="45"/>
      <c r="CC89" s="48"/>
      <c r="CD89" s="45"/>
      <c r="CE89" s="45"/>
      <c r="CF89" s="48"/>
      <c r="CG89" s="45"/>
      <c r="CH89" s="45"/>
      <c r="CI89" s="48"/>
      <c r="CJ89" s="45"/>
      <c r="CK89" s="45"/>
      <c r="CL89" s="48"/>
      <c r="CM89" s="45"/>
      <c r="CN89" s="45"/>
    </row>
    <row r="90" spans="1:92" ht="24" hidden="1" customHeight="1" x14ac:dyDescent="0.3">
      <c r="A90" s="197"/>
      <c r="B90" s="125" t="s">
        <v>116</v>
      </c>
      <c r="C90" s="198">
        <f t="shared" ref="C90:C106" ca="1" si="211">D90+G90</f>
        <v>0</v>
      </c>
      <c r="D90" s="199">
        <f t="shared" ref="D90:D106" ca="1" si="212">+E90+F90</f>
        <v>0</v>
      </c>
      <c r="E90" s="81">
        <f ca="1">IFERROR(__xludf.DUMMYFUNCTION("IMPORTRANGE(""https://docs.google.com/spreadsheets/d/1-uDff_7J0KD5mKrp0Vvzr7lt3OU09vwQwhkpOPPYv2Y/edit?usp=sharing"",""งบพรบ!CV90"")"),0)</f>
        <v>0</v>
      </c>
      <c r="F90" s="81">
        <f ca="1">IFERROR(__xludf.DUMMYFUNCTION("IMPORTRANGE(""https://docs.google.com/spreadsheets/d/1-uDff_7J0KD5mKrp0Vvzr7lt3OU09vwQwhkpOPPYv2Y/edit?usp=sharing"",""งบพรบ!CW90"")"),0)</f>
        <v>0</v>
      </c>
      <c r="G90" s="81">
        <f ca="1">IFERROR(__xludf.DUMMYFUNCTION("IMPORTRANGE(""https://docs.google.com/spreadsheets/d/1-uDff_7J0KD5mKrp0Vvzr7lt3OU09vwQwhkpOPPYv2Y/edit?usp=sharing"",""งบพรบ!CX90"")"),0)</f>
        <v>0</v>
      </c>
      <c r="H90" s="81">
        <f ca="1">IFERROR(__xludf.DUMMYFUNCTION("IMPORTRANGE(""https://docs.google.com/spreadsheets/d/1-uDff_7J0KD5mKrp0Vvzr7lt3OU09vwQwhkpOPPYv2Y/edit?usp=sharing"",""งบพรบ!CZ90"")"),0)</f>
        <v>0</v>
      </c>
      <c r="I90" s="81">
        <f ca="1">IFERROR(__xludf.DUMMYFUNCTION("IMPORTRANGE(""https://docs.google.com/spreadsheets/d/1-uDff_7J0KD5mKrp0Vvzr7lt3OU09vwQwhkpOPPYv2Y/edit?usp=sharing"",""งบพรบ!DA90"")"),0)</f>
        <v>0</v>
      </c>
      <c r="J90" s="81">
        <f t="shared" ref="J90:J106" ca="1" si="213">L90+O90</f>
        <v>0</v>
      </c>
      <c r="K90" s="126">
        <f t="shared" ref="K90:K106" ca="1" si="214">IF(C90&gt;0,J90*100/C90,0)</f>
        <v>0</v>
      </c>
      <c r="L90" s="81">
        <f ca="1">IFERROR(__xludf.DUMMYFUNCTION("IMPORTRANGE(""https://docs.google.com/spreadsheets/d/1-uDff_7J0KD5mKrp0Vvzr7lt3OU09vwQwhkpOPPYv2Y/edit?usp=sharing"",""งบพรบ!DB90"")"),0)</f>
        <v>0</v>
      </c>
      <c r="M90" s="84">
        <f t="shared" ref="M90:M106" ca="1" si="215">IF(D90&gt;0,L90*100/D90,0)</f>
        <v>0</v>
      </c>
      <c r="N90" s="84">
        <f t="shared" ref="N90:N106" ca="1" si="216">IF(H90&gt;0,L90*100/H90,0)</f>
        <v>0</v>
      </c>
      <c r="O90" s="85">
        <f ca="1">IFERROR(__xludf.DUMMYFUNCTION("IMPORTRANGE(""https://docs.google.com/spreadsheets/d/1-uDff_7J0KD5mKrp0Vvzr7lt3OU09vwQwhkpOPPYv2Y/edit?usp=sharing"",""งบพรบ!DC90"")"),0)</f>
        <v>0</v>
      </c>
      <c r="P90" s="85">
        <f t="shared" ref="P90:P106" ca="1" si="217">IF(G90&gt;0,O90*100/G90,0)</f>
        <v>0</v>
      </c>
      <c r="Q90" s="84">
        <f t="shared" ref="Q90:Q106" ca="1" si="218">IF(I90&gt;0,O90*100/I90,0)</f>
        <v>0</v>
      </c>
      <c r="R90" s="248">
        <v>0</v>
      </c>
      <c r="S90" s="86">
        <v>0</v>
      </c>
      <c r="T90" s="86">
        <v>0</v>
      </c>
      <c r="U90" s="87">
        <f t="shared" si="89"/>
        <v>0</v>
      </c>
      <c r="V90" s="87">
        <f t="shared" si="90"/>
        <v>0</v>
      </c>
      <c r="W90" s="81"/>
      <c r="X90" s="81"/>
      <c r="Y90" s="84"/>
      <c r="Z90" s="81"/>
      <c r="AA90" s="81"/>
      <c r="AB90" s="84"/>
      <c r="AC90" s="81"/>
      <c r="AD90" s="81"/>
      <c r="AE90" s="81"/>
      <c r="AF90" s="81"/>
      <c r="AG90" s="81"/>
      <c r="AH90" s="84"/>
      <c r="AI90" s="81"/>
      <c r="AJ90" s="81"/>
      <c r="AK90" s="84"/>
      <c r="AL90" s="81"/>
      <c r="AM90" s="81"/>
      <c r="AN90" s="84"/>
      <c r="AO90" s="81"/>
      <c r="AP90" s="81"/>
      <c r="AQ90" s="84"/>
      <c r="AR90" s="294"/>
      <c r="AS90" s="294"/>
      <c r="AT90" s="81"/>
      <c r="AU90" s="81"/>
      <c r="AV90" s="84"/>
      <c r="AW90" s="81"/>
      <c r="AX90" s="81"/>
      <c r="AY90" s="84"/>
      <c r="AZ90" s="81"/>
      <c r="BA90" s="81"/>
      <c r="BB90" s="84"/>
      <c r="BC90" s="81"/>
      <c r="BD90" s="81"/>
      <c r="BE90" s="84"/>
      <c r="BF90" s="81"/>
      <c r="BG90" s="81"/>
      <c r="BH90" s="84"/>
      <c r="BI90" s="81"/>
      <c r="BJ90" s="81"/>
      <c r="BK90" s="84"/>
      <c r="BL90" s="81"/>
      <c r="BM90" s="81"/>
      <c r="BN90" s="84"/>
      <c r="BO90" s="81"/>
      <c r="BP90" s="81"/>
      <c r="BQ90" s="84"/>
      <c r="BR90" s="81"/>
      <c r="BS90" s="81"/>
      <c r="BT90" s="84"/>
      <c r="BU90" s="81"/>
      <c r="BV90" s="81"/>
      <c r="BW90" s="84"/>
      <c r="BX90" s="81"/>
      <c r="BY90" s="81"/>
      <c r="BZ90" s="84"/>
      <c r="CA90" s="81"/>
      <c r="CB90" s="81"/>
      <c r="CC90" s="84"/>
      <c r="CD90" s="81"/>
      <c r="CE90" s="81"/>
      <c r="CF90" s="84"/>
      <c r="CG90" s="81"/>
      <c r="CH90" s="81"/>
      <c r="CI90" s="84"/>
      <c r="CJ90" s="81"/>
      <c r="CK90" s="81"/>
      <c r="CL90" s="84"/>
      <c r="CM90" s="81"/>
      <c r="CN90" s="81"/>
    </row>
    <row r="91" spans="1:92" ht="24" hidden="1" customHeight="1" x14ac:dyDescent="0.3">
      <c r="A91" s="201"/>
      <c r="B91" s="129" t="s">
        <v>117</v>
      </c>
      <c r="C91" s="202">
        <f t="shared" ca="1" si="211"/>
        <v>0</v>
      </c>
      <c r="D91" s="203">
        <f t="shared" ca="1" si="212"/>
        <v>0</v>
      </c>
      <c r="E91" s="93">
        <f ca="1">IFERROR(__xludf.DUMMYFUNCTION("IMPORTRANGE(""https://docs.google.com/spreadsheets/d/1-uDff_7J0KD5mKrp0Vvzr7lt3OU09vwQwhkpOPPYv2Y/edit?usp=sharing"",""งบพรบ!CV91"")"),0)</f>
        <v>0</v>
      </c>
      <c r="F91" s="93">
        <f ca="1">IFERROR(__xludf.DUMMYFUNCTION("IMPORTRANGE(""https://docs.google.com/spreadsheets/d/1-uDff_7J0KD5mKrp0Vvzr7lt3OU09vwQwhkpOPPYv2Y/edit?usp=sharing"",""งบพรบ!CW91"")"),0)</f>
        <v>0</v>
      </c>
      <c r="G91" s="93">
        <f ca="1">IFERROR(__xludf.DUMMYFUNCTION("IMPORTRANGE(""https://docs.google.com/spreadsheets/d/1-uDff_7J0KD5mKrp0Vvzr7lt3OU09vwQwhkpOPPYv2Y/edit?usp=sharing"",""งบพรบ!CX91"")"),0)</f>
        <v>0</v>
      </c>
      <c r="H91" s="93">
        <f ca="1">IFERROR(__xludf.DUMMYFUNCTION("IMPORTRANGE(""https://docs.google.com/spreadsheets/d/1-uDff_7J0KD5mKrp0Vvzr7lt3OU09vwQwhkpOPPYv2Y/edit?usp=sharing"",""งบพรบ!CZ91"")"),0)</f>
        <v>0</v>
      </c>
      <c r="I91" s="93">
        <f ca="1">IFERROR(__xludf.DUMMYFUNCTION("IMPORTRANGE(""https://docs.google.com/spreadsheets/d/1-uDff_7J0KD5mKrp0Vvzr7lt3OU09vwQwhkpOPPYv2Y/edit?usp=sharing"",""งบพรบ!DA91"")"),0)</f>
        <v>0</v>
      </c>
      <c r="J91" s="93">
        <f t="shared" ca="1" si="213"/>
        <v>0</v>
      </c>
      <c r="K91" s="94">
        <f t="shared" ca="1" si="214"/>
        <v>0</v>
      </c>
      <c r="L91" s="93">
        <f ca="1">IFERROR(__xludf.DUMMYFUNCTION("IMPORTRANGE(""https://docs.google.com/spreadsheets/d/1-uDff_7J0KD5mKrp0Vvzr7lt3OU09vwQwhkpOPPYv2Y/edit?usp=sharing"",""งบพรบ!DB91"")"),0)</f>
        <v>0</v>
      </c>
      <c r="M91" s="95">
        <f t="shared" ca="1" si="215"/>
        <v>0</v>
      </c>
      <c r="N91" s="95">
        <f t="shared" ca="1" si="216"/>
        <v>0</v>
      </c>
      <c r="O91" s="96">
        <f ca="1">IFERROR(__xludf.DUMMYFUNCTION("IMPORTRANGE(""https://docs.google.com/spreadsheets/d/1-uDff_7J0KD5mKrp0Vvzr7lt3OU09vwQwhkpOPPYv2Y/edit?usp=sharing"",""งบพรบ!DC91"")"),0)</f>
        <v>0</v>
      </c>
      <c r="P91" s="96">
        <f t="shared" ca="1" si="217"/>
        <v>0</v>
      </c>
      <c r="Q91" s="95">
        <f t="shared" ca="1" si="218"/>
        <v>0</v>
      </c>
      <c r="R91" s="248">
        <v>0</v>
      </c>
      <c r="S91" s="86">
        <v>0</v>
      </c>
      <c r="T91" s="86">
        <v>0</v>
      </c>
      <c r="U91" s="87">
        <f t="shared" si="89"/>
        <v>0</v>
      </c>
      <c r="V91" s="87">
        <f t="shared" si="90"/>
        <v>0</v>
      </c>
      <c r="W91" s="93"/>
      <c r="X91" s="93"/>
      <c r="Y91" s="95"/>
      <c r="Z91" s="93"/>
      <c r="AA91" s="93"/>
      <c r="AB91" s="95"/>
      <c r="AC91" s="93"/>
      <c r="AD91" s="93"/>
      <c r="AE91" s="93"/>
      <c r="AF91" s="93"/>
      <c r="AG91" s="93"/>
      <c r="AH91" s="95"/>
      <c r="AI91" s="93"/>
      <c r="AJ91" s="93"/>
      <c r="AK91" s="95"/>
      <c r="AL91" s="93"/>
      <c r="AM91" s="93"/>
      <c r="AN91" s="95"/>
      <c r="AO91" s="93"/>
      <c r="AP91" s="93"/>
      <c r="AQ91" s="95"/>
      <c r="AR91" s="294"/>
      <c r="AS91" s="294"/>
      <c r="AT91" s="93"/>
      <c r="AU91" s="93"/>
      <c r="AV91" s="95"/>
      <c r="AW91" s="93"/>
      <c r="AX91" s="93"/>
      <c r="AY91" s="95"/>
      <c r="AZ91" s="93"/>
      <c r="BA91" s="93"/>
      <c r="BB91" s="95"/>
      <c r="BC91" s="93"/>
      <c r="BD91" s="93"/>
      <c r="BE91" s="95"/>
      <c r="BF91" s="93"/>
      <c r="BG91" s="93"/>
      <c r="BH91" s="95"/>
      <c r="BI91" s="93"/>
      <c r="BJ91" s="93"/>
      <c r="BK91" s="95"/>
      <c r="BL91" s="93"/>
      <c r="BM91" s="93"/>
      <c r="BN91" s="95"/>
      <c r="BO91" s="93"/>
      <c r="BP91" s="93"/>
      <c r="BQ91" s="95"/>
      <c r="BR91" s="93"/>
      <c r="BS91" s="93"/>
      <c r="BT91" s="95"/>
      <c r="BU91" s="93"/>
      <c r="BV91" s="93"/>
      <c r="BW91" s="95"/>
      <c r="BX91" s="93"/>
      <c r="BY91" s="93"/>
      <c r="BZ91" s="95"/>
      <c r="CA91" s="93"/>
      <c r="CB91" s="93"/>
      <c r="CC91" s="95"/>
      <c r="CD91" s="93"/>
      <c r="CE91" s="93"/>
      <c r="CF91" s="95"/>
      <c r="CG91" s="93"/>
      <c r="CH91" s="93"/>
      <c r="CI91" s="95"/>
      <c r="CJ91" s="93"/>
      <c r="CK91" s="93"/>
      <c r="CL91" s="95"/>
      <c r="CM91" s="93"/>
      <c r="CN91" s="93"/>
    </row>
    <row r="92" spans="1:92" ht="24" hidden="1" customHeight="1" x14ac:dyDescent="0.3">
      <c r="A92" s="201"/>
      <c r="B92" s="129" t="s">
        <v>118</v>
      </c>
      <c r="C92" s="202">
        <f t="shared" ca="1" si="211"/>
        <v>0</v>
      </c>
      <c r="D92" s="203">
        <f t="shared" ca="1" si="212"/>
        <v>0</v>
      </c>
      <c r="E92" s="93">
        <f ca="1">IFERROR(__xludf.DUMMYFUNCTION("IMPORTRANGE(""https://docs.google.com/spreadsheets/d/1-uDff_7J0KD5mKrp0Vvzr7lt3OU09vwQwhkpOPPYv2Y/edit?usp=sharing"",""งบพรบ!CV92"")"),0)</f>
        <v>0</v>
      </c>
      <c r="F92" s="93">
        <f ca="1">IFERROR(__xludf.DUMMYFUNCTION("IMPORTRANGE(""https://docs.google.com/spreadsheets/d/1-uDff_7J0KD5mKrp0Vvzr7lt3OU09vwQwhkpOPPYv2Y/edit?usp=sharing"",""งบพรบ!CW92"")"),0)</f>
        <v>0</v>
      </c>
      <c r="G92" s="93">
        <f ca="1">IFERROR(__xludf.DUMMYFUNCTION("IMPORTRANGE(""https://docs.google.com/spreadsheets/d/1-uDff_7J0KD5mKrp0Vvzr7lt3OU09vwQwhkpOPPYv2Y/edit?usp=sharing"",""งบพรบ!CX92"")"),0)</f>
        <v>0</v>
      </c>
      <c r="H92" s="93">
        <f ca="1">IFERROR(__xludf.DUMMYFUNCTION("IMPORTRANGE(""https://docs.google.com/spreadsheets/d/1-uDff_7J0KD5mKrp0Vvzr7lt3OU09vwQwhkpOPPYv2Y/edit?usp=sharing"",""งบพรบ!CZ92"")"),0)</f>
        <v>0</v>
      </c>
      <c r="I92" s="93">
        <f ca="1">IFERROR(__xludf.DUMMYFUNCTION("IMPORTRANGE(""https://docs.google.com/spreadsheets/d/1-uDff_7J0KD5mKrp0Vvzr7lt3OU09vwQwhkpOPPYv2Y/edit?usp=sharing"",""งบพรบ!DA92"")"),0)</f>
        <v>0</v>
      </c>
      <c r="J92" s="93">
        <f t="shared" ca="1" si="213"/>
        <v>0</v>
      </c>
      <c r="K92" s="94">
        <f t="shared" ca="1" si="214"/>
        <v>0</v>
      </c>
      <c r="L92" s="93">
        <f ca="1">IFERROR(__xludf.DUMMYFUNCTION("IMPORTRANGE(""https://docs.google.com/spreadsheets/d/1-uDff_7J0KD5mKrp0Vvzr7lt3OU09vwQwhkpOPPYv2Y/edit?usp=sharing"",""งบพรบ!DB92"")"),0)</f>
        <v>0</v>
      </c>
      <c r="M92" s="95">
        <f t="shared" ca="1" si="215"/>
        <v>0</v>
      </c>
      <c r="N92" s="95">
        <f t="shared" ca="1" si="216"/>
        <v>0</v>
      </c>
      <c r="O92" s="96">
        <f ca="1">IFERROR(__xludf.DUMMYFUNCTION("IMPORTRANGE(""https://docs.google.com/spreadsheets/d/1-uDff_7J0KD5mKrp0Vvzr7lt3OU09vwQwhkpOPPYv2Y/edit?usp=sharing"",""งบพรบ!DC92"")"),0)</f>
        <v>0</v>
      </c>
      <c r="P92" s="96">
        <f t="shared" ca="1" si="217"/>
        <v>0</v>
      </c>
      <c r="Q92" s="95">
        <f t="shared" ca="1" si="218"/>
        <v>0</v>
      </c>
      <c r="R92" s="248">
        <v>0</v>
      </c>
      <c r="S92" s="86">
        <v>0</v>
      </c>
      <c r="T92" s="86">
        <v>0</v>
      </c>
      <c r="U92" s="87">
        <f t="shared" si="89"/>
        <v>0</v>
      </c>
      <c r="V92" s="87">
        <f t="shared" si="90"/>
        <v>0</v>
      </c>
      <c r="W92" s="93"/>
      <c r="X92" s="93"/>
      <c r="Y92" s="95"/>
      <c r="Z92" s="93"/>
      <c r="AA92" s="93"/>
      <c r="AB92" s="95"/>
      <c r="AC92" s="93"/>
      <c r="AD92" s="93"/>
      <c r="AE92" s="93"/>
      <c r="AF92" s="93"/>
      <c r="AG92" s="93"/>
      <c r="AH92" s="95"/>
      <c r="AI92" s="93"/>
      <c r="AJ92" s="93"/>
      <c r="AK92" s="95"/>
      <c r="AL92" s="93"/>
      <c r="AM92" s="93"/>
      <c r="AN92" s="95"/>
      <c r="AO92" s="93"/>
      <c r="AP92" s="93"/>
      <c r="AQ92" s="95"/>
      <c r="AR92" s="294"/>
      <c r="AS92" s="294"/>
      <c r="AT92" s="93"/>
      <c r="AU92" s="93"/>
      <c r="AV92" s="95"/>
      <c r="AW92" s="93"/>
      <c r="AX92" s="93"/>
      <c r="AY92" s="95"/>
      <c r="AZ92" s="93"/>
      <c r="BA92" s="93"/>
      <c r="BB92" s="95"/>
      <c r="BC92" s="93"/>
      <c r="BD92" s="93"/>
      <c r="BE92" s="95"/>
      <c r="BF92" s="93"/>
      <c r="BG92" s="93"/>
      <c r="BH92" s="95"/>
      <c r="BI92" s="93"/>
      <c r="BJ92" s="93"/>
      <c r="BK92" s="95"/>
      <c r="BL92" s="93"/>
      <c r="BM92" s="93"/>
      <c r="BN92" s="95"/>
      <c r="BO92" s="93"/>
      <c r="BP92" s="93"/>
      <c r="BQ92" s="95"/>
      <c r="BR92" s="93"/>
      <c r="BS92" s="93"/>
      <c r="BT92" s="95"/>
      <c r="BU92" s="93"/>
      <c r="BV92" s="93"/>
      <c r="BW92" s="95"/>
      <c r="BX92" s="93"/>
      <c r="BY92" s="93"/>
      <c r="BZ92" s="95"/>
      <c r="CA92" s="93"/>
      <c r="CB92" s="93"/>
      <c r="CC92" s="95"/>
      <c r="CD92" s="93"/>
      <c r="CE92" s="93"/>
      <c r="CF92" s="95"/>
      <c r="CG92" s="93"/>
      <c r="CH92" s="93"/>
      <c r="CI92" s="95"/>
      <c r="CJ92" s="93"/>
      <c r="CK92" s="93"/>
      <c r="CL92" s="95"/>
      <c r="CM92" s="93"/>
      <c r="CN92" s="93"/>
    </row>
    <row r="93" spans="1:92" ht="24" hidden="1" customHeight="1" x14ac:dyDescent="0.3">
      <c r="A93" s="201"/>
      <c r="B93" s="129" t="s">
        <v>119</v>
      </c>
      <c r="C93" s="202">
        <f t="shared" ca="1" si="211"/>
        <v>0</v>
      </c>
      <c r="D93" s="203">
        <f t="shared" ca="1" si="212"/>
        <v>0</v>
      </c>
      <c r="E93" s="93">
        <f ca="1">IFERROR(__xludf.DUMMYFUNCTION("IMPORTRANGE(""https://docs.google.com/spreadsheets/d/1-uDff_7J0KD5mKrp0Vvzr7lt3OU09vwQwhkpOPPYv2Y/edit?usp=sharing"",""งบพรบ!CV93"")"),0)</f>
        <v>0</v>
      </c>
      <c r="F93" s="93">
        <f ca="1">IFERROR(__xludf.DUMMYFUNCTION("IMPORTRANGE(""https://docs.google.com/spreadsheets/d/1-uDff_7J0KD5mKrp0Vvzr7lt3OU09vwQwhkpOPPYv2Y/edit?usp=sharing"",""งบพรบ!CW93"")"),0)</f>
        <v>0</v>
      </c>
      <c r="G93" s="93">
        <f ca="1">IFERROR(__xludf.DUMMYFUNCTION("IMPORTRANGE(""https://docs.google.com/spreadsheets/d/1-uDff_7J0KD5mKrp0Vvzr7lt3OU09vwQwhkpOPPYv2Y/edit?usp=sharing"",""งบพรบ!CX93"")"),0)</f>
        <v>0</v>
      </c>
      <c r="H93" s="93">
        <f ca="1">IFERROR(__xludf.DUMMYFUNCTION("IMPORTRANGE(""https://docs.google.com/spreadsheets/d/1-uDff_7J0KD5mKrp0Vvzr7lt3OU09vwQwhkpOPPYv2Y/edit?usp=sharing"",""งบพรบ!CZ93"")"),0)</f>
        <v>0</v>
      </c>
      <c r="I93" s="93">
        <f ca="1">IFERROR(__xludf.DUMMYFUNCTION("IMPORTRANGE(""https://docs.google.com/spreadsheets/d/1-uDff_7J0KD5mKrp0Vvzr7lt3OU09vwQwhkpOPPYv2Y/edit?usp=sharing"",""งบพรบ!DA93"")"),0)</f>
        <v>0</v>
      </c>
      <c r="J93" s="93">
        <f t="shared" ca="1" si="213"/>
        <v>0</v>
      </c>
      <c r="K93" s="94">
        <f t="shared" ca="1" si="214"/>
        <v>0</v>
      </c>
      <c r="L93" s="93">
        <f ca="1">IFERROR(__xludf.DUMMYFUNCTION("IMPORTRANGE(""https://docs.google.com/spreadsheets/d/1-uDff_7J0KD5mKrp0Vvzr7lt3OU09vwQwhkpOPPYv2Y/edit?usp=sharing"",""งบพรบ!DB93"")"),0)</f>
        <v>0</v>
      </c>
      <c r="M93" s="95">
        <f t="shared" ca="1" si="215"/>
        <v>0</v>
      </c>
      <c r="N93" s="95">
        <f t="shared" ca="1" si="216"/>
        <v>0</v>
      </c>
      <c r="O93" s="96">
        <f ca="1">IFERROR(__xludf.DUMMYFUNCTION("IMPORTRANGE(""https://docs.google.com/spreadsheets/d/1-uDff_7J0KD5mKrp0Vvzr7lt3OU09vwQwhkpOPPYv2Y/edit?usp=sharing"",""งบพรบ!DC93"")"),0)</f>
        <v>0</v>
      </c>
      <c r="P93" s="96">
        <f t="shared" ca="1" si="217"/>
        <v>0</v>
      </c>
      <c r="Q93" s="95">
        <f t="shared" ca="1" si="218"/>
        <v>0</v>
      </c>
      <c r="R93" s="248">
        <v>0</v>
      </c>
      <c r="S93" s="86">
        <v>0</v>
      </c>
      <c r="T93" s="86">
        <v>0</v>
      </c>
      <c r="U93" s="87">
        <f t="shared" si="89"/>
        <v>0</v>
      </c>
      <c r="V93" s="87">
        <f t="shared" si="90"/>
        <v>0</v>
      </c>
      <c r="W93" s="93"/>
      <c r="X93" s="93"/>
      <c r="Y93" s="95"/>
      <c r="Z93" s="93"/>
      <c r="AA93" s="93"/>
      <c r="AB93" s="95"/>
      <c r="AC93" s="93"/>
      <c r="AD93" s="93"/>
      <c r="AE93" s="93"/>
      <c r="AF93" s="93"/>
      <c r="AG93" s="93"/>
      <c r="AH93" s="95"/>
      <c r="AI93" s="93"/>
      <c r="AJ93" s="93"/>
      <c r="AK93" s="95"/>
      <c r="AL93" s="93"/>
      <c r="AM93" s="93"/>
      <c r="AN93" s="95"/>
      <c r="AO93" s="93"/>
      <c r="AP93" s="93"/>
      <c r="AQ93" s="95"/>
      <c r="AR93" s="294"/>
      <c r="AS93" s="294"/>
      <c r="AT93" s="93"/>
      <c r="AU93" s="93"/>
      <c r="AV93" s="95"/>
      <c r="AW93" s="93"/>
      <c r="AX93" s="93"/>
      <c r="AY93" s="95"/>
      <c r="AZ93" s="93"/>
      <c r="BA93" s="93"/>
      <c r="BB93" s="95"/>
      <c r="BC93" s="93"/>
      <c r="BD93" s="93"/>
      <c r="BE93" s="95"/>
      <c r="BF93" s="93"/>
      <c r="BG93" s="93"/>
      <c r="BH93" s="95"/>
      <c r="BI93" s="93"/>
      <c r="BJ93" s="93"/>
      <c r="BK93" s="95"/>
      <c r="BL93" s="93"/>
      <c r="BM93" s="93"/>
      <c r="BN93" s="95"/>
      <c r="BO93" s="93"/>
      <c r="BP93" s="93"/>
      <c r="BQ93" s="95"/>
      <c r="BR93" s="93"/>
      <c r="BS93" s="93"/>
      <c r="BT93" s="95"/>
      <c r="BU93" s="93"/>
      <c r="BV93" s="93"/>
      <c r="BW93" s="95"/>
      <c r="BX93" s="93"/>
      <c r="BY93" s="93"/>
      <c r="BZ93" s="95"/>
      <c r="CA93" s="93"/>
      <c r="CB93" s="93"/>
      <c r="CC93" s="95"/>
      <c r="CD93" s="93"/>
      <c r="CE93" s="93"/>
      <c r="CF93" s="95"/>
      <c r="CG93" s="93"/>
      <c r="CH93" s="93"/>
      <c r="CI93" s="95"/>
      <c r="CJ93" s="93"/>
      <c r="CK93" s="93"/>
      <c r="CL93" s="95"/>
      <c r="CM93" s="93"/>
      <c r="CN93" s="93"/>
    </row>
    <row r="94" spans="1:92" ht="24" hidden="1" customHeight="1" x14ac:dyDescent="0.3">
      <c r="A94" s="201"/>
      <c r="B94" s="129" t="s">
        <v>120</v>
      </c>
      <c r="C94" s="202">
        <f t="shared" ca="1" si="211"/>
        <v>0</v>
      </c>
      <c r="D94" s="203">
        <f t="shared" ca="1" si="212"/>
        <v>0</v>
      </c>
      <c r="E94" s="93">
        <f ca="1">IFERROR(__xludf.DUMMYFUNCTION("IMPORTRANGE(""https://docs.google.com/spreadsheets/d/1-uDff_7J0KD5mKrp0Vvzr7lt3OU09vwQwhkpOPPYv2Y/edit?usp=sharing"",""งบพรบ!CV94"")"),0)</f>
        <v>0</v>
      </c>
      <c r="F94" s="93">
        <f ca="1">IFERROR(__xludf.DUMMYFUNCTION("IMPORTRANGE(""https://docs.google.com/spreadsheets/d/1-uDff_7J0KD5mKrp0Vvzr7lt3OU09vwQwhkpOPPYv2Y/edit?usp=sharing"",""งบพรบ!CW94"")"),0)</f>
        <v>0</v>
      </c>
      <c r="G94" s="93">
        <f ca="1">IFERROR(__xludf.DUMMYFUNCTION("IMPORTRANGE(""https://docs.google.com/spreadsheets/d/1-uDff_7J0KD5mKrp0Vvzr7lt3OU09vwQwhkpOPPYv2Y/edit?usp=sharing"",""งบพรบ!CX94"")"),0)</f>
        <v>0</v>
      </c>
      <c r="H94" s="93">
        <f ca="1">IFERROR(__xludf.DUMMYFUNCTION("IMPORTRANGE(""https://docs.google.com/spreadsheets/d/1-uDff_7J0KD5mKrp0Vvzr7lt3OU09vwQwhkpOPPYv2Y/edit?usp=sharing"",""งบพรบ!CZ94"")"),0)</f>
        <v>0</v>
      </c>
      <c r="I94" s="93">
        <f ca="1">IFERROR(__xludf.DUMMYFUNCTION("IMPORTRANGE(""https://docs.google.com/spreadsheets/d/1-uDff_7J0KD5mKrp0Vvzr7lt3OU09vwQwhkpOPPYv2Y/edit?usp=sharing"",""งบพรบ!DA94"")"),0)</f>
        <v>0</v>
      </c>
      <c r="J94" s="93">
        <f t="shared" ca="1" si="213"/>
        <v>0</v>
      </c>
      <c r="K94" s="94">
        <f t="shared" ca="1" si="214"/>
        <v>0</v>
      </c>
      <c r="L94" s="93">
        <f ca="1">IFERROR(__xludf.DUMMYFUNCTION("IMPORTRANGE(""https://docs.google.com/spreadsheets/d/1-uDff_7J0KD5mKrp0Vvzr7lt3OU09vwQwhkpOPPYv2Y/edit?usp=sharing"",""งบพรบ!DB94"")"),0)</f>
        <v>0</v>
      </c>
      <c r="M94" s="95">
        <f t="shared" ca="1" si="215"/>
        <v>0</v>
      </c>
      <c r="N94" s="95">
        <f t="shared" ca="1" si="216"/>
        <v>0</v>
      </c>
      <c r="O94" s="96">
        <f ca="1">IFERROR(__xludf.DUMMYFUNCTION("IMPORTRANGE(""https://docs.google.com/spreadsheets/d/1-uDff_7J0KD5mKrp0Vvzr7lt3OU09vwQwhkpOPPYv2Y/edit?usp=sharing"",""งบพรบ!DC94"")"),0)</f>
        <v>0</v>
      </c>
      <c r="P94" s="96">
        <f t="shared" ca="1" si="217"/>
        <v>0</v>
      </c>
      <c r="Q94" s="95">
        <f t="shared" ca="1" si="218"/>
        <v>0</v>
      </c>
      <c r="R94" s="248">
        <v>0</v>
      </c>
      <c r="S94" s="86">
        <v>0</v>
      </c>
      <c r="T94" s="86">
        <v>0</v>
      </c>
      <c r="U94" s="87">
        <f t="shared" si="89"/>
        <v>0</v>
      </c>
      <c r="V94" s="87">
        <f t="shared" si="90"/>
        <v>0</v>
      </c>
      <c r="W94" s="93"/>
      <c r="X94" s="93"/>
      <c r="Y94" s="95"/>
      <c r="Z94" s="93"/>
      <c r="AA94" s="93"/>
      <c r="AB94" s="95"/>
      <c r="AC94" s="93"/>
      <c r="AD94" s="93"/>
      <c r="AE94" s="93"/>
      <c r="AF94" s="93"/>
      <c r="AG94" s="93"/>
      <c r="AH94" s="95"/>
      <c r="AI94" s="93"/>
      <c r="AJ94" s="93"/>
      <c r="AK94" s="95"/>
      <c r="AL94" s="93"/>
      <c r="AM94" s="93"/>
      <c r="AN94" s="95"/>
      <c r="AO94" s="93"/>
      <c r="AP94" s="93"/>
      <c r="AQ94" s="95"/>
      <c r="AR94" s="294"/>
      <c r="AS94" s="294"/>
      <c r="AT94" s="93"/>
      <c r="AU94" s="93"/>
      <c r="AV94" s="95"/>
      <c r="AW94" s="93"/>
      <c r="AX94" s="93"/>
      <c r="AY94" s="95"/>
      <c r="AZ94" s="93"/>
      <c r="BA94" s="93"/>
      <c r="BB94" s="95"/>
      <c r="BC94" s="93"/>
      <c r="BD94" s="93"/>
      <c r="BE94" s="95"/>
      <c r="BF94" s="93"/>
      <c r="BG94" s="93"/>
      <c r="BH94" s="95"/>
      <c r="BI94" s="93"/>
      <c r="BJ94" s="93"/>
      <c r="BK94" s="95"/>
      <c r="BL94" s="93"/>
      <c r="BM94" s="93"/>
      <c r="BN94" s="95"/>
      <c r="BO94" s="93"/>
      <c r="BP94" s="93"/>
      <c r="BQ94" s="95"/>
      <c r="BR94" s="93"/>
      <c r="BS94" s="93"/>
      <c r="BT94" s="95"/>
      <c r="BU94" s="93"/>
      <c r="BV94" s="93"/>
      <c r="BW94" s="95"/>
      <c r="BX94" s="93"/>
      <c r="BY94" s="93"/>
      <c r="BZ94" s="95"/>
      <c r="CA94" s="93"/>
      <c r="CB94" s="93"/>
      <c r="CC94" s="95"/>
      <c r="CD94" s="93"/>
      <c r="CE94" s="93"/>
      <c r="CF94" s="95"/>
      <c r="CG94" s="93"/>
      <c r="CH94" s="93"/>
      <c r="CI94" s="95"/>
      <c r="CJ94" s="93"/>
      <c r="CK94" s="93"/>
      <c r="CL94" s="95"/>
      <c r="CM94" s="93"/>
      <c r="CN94" s="93"/>
    </row>
    <row r="95" spans="1:92" ht="24" hidden="1" customHeight="1" x14ac:dyDescent="0.3">
      <c r="A95" s="201"/>
      <c r="B95" s="129" t="s">
        <v>121</v>
      </c>
      <c r="C95" s="202">
        <f t="shared" ca="1" si="211"/>
        <v>0</v>
      </c>
      <c r="D95" s="203">
        <f t="shared" ca="1" si="212"/>
        <v>0</v>
      </c>
      <c r="E95" s="93">
        <f ca="1">IFERROR(__xludf.DUMMYFUNCTION("IMPORTRANGE(""https://docs.google.com/spreadsheets/d/1-uDff_7J0KD5mKrp0Vvzr7lt3OU09vwQwhkpOPPYv2Y/edit?usp=sharing"",""งบพรบ!CV95"")"),0)</f>
        <v>0</v>
      </c>
      <c r="F95" s="93">
        <f ca="1">IFERROR(__xludf.DUMMYFUNCTION("IMPORTRANGE(""https://docs.google.com/spreadsheets/d/1-uDff_7J0KD5mKrp0Vvzr7lt3OU09vwQwhkpOPPYv2Y/edit?usp=sharing"",""งบพรบ!CW95"")"),0)</f>
        <v>0</v>
      </c>
      <c r="G95" s="93">
        <f ca="1">IFERROR(__xludf.DUMMYFUNCTION("IMPORTRANGE(""https://docs.google.com/spreadsheets/d/1-uDff_7J0KD5mKrp0Vvzr7lt3OU09vwQwhkpOPPYv2Y/edit?usp=sharing"",""งบพรบ!CX95"")"),0)</f>
        <v>0</v>
      </c>
      <c r="H95" s="93">
        <f ca="1">IFERROR(__xludf.DUMMYFUNCTION("IMPORTRANGE(""https://docs.google.com/spreadsheets/d/1-uDff_7J0KD5mKrp0Vvzr7lt3OU09vwQwhkpOPPYv2Y/edit?usp=sharing"",""งบพรบ!CZ95"")"),0)</f>
        <v>0</v>
      </c>
      <c r="I95" s="93">
        <f ca="1">IFERROR(__xludf.DUMMYFUNCTION("IMPORTRANGE(""https://docs.google.com/spreadsheets/d/1-uDff_7J0KD5mKrp0Vvzr7lt3OU09vwQwhkpOPPYv2Y/edit?usp=sharing"",""งบพรบ!DA95"")"),0)</f>
        <v>0</v>
      </c>
      <c r="J95" s="93">
        <f t="shared" ca="1" si="213"/>
        <v>0</v>
      </c>
      <c r="K95" s="94">
        <f t="shared" ca="1" si="214"/>
        <v>0</v>
      </c>
      <c r="L95" s="93">
        <f ca="1">IFERROR(__xludf.DUMMYFUNCTION("IMPORTRANGE(""https://docs.google.com/spreadsheets/d/1-uDff_7J0KD5mKrp0Vvzr7lt3OU09vwQwhkpOPPYv2Y/edit?usp=sharing"",""งบพรบ!DB95"")"),0)</f>
        <v>0</v>
      </c>
      <c r="M95" s="95">
        <f t="shared" ca="1" si="215"/>
        <v>0</v>
      </c>
      <c r="N95" s="95">
        <f t="shared" ca="1" si="216"/>
        <v>0</v>
      </c>
      <c r="O95" s="96">
        <f ca="1">IFERROR(__xludf.DUMMYFUNCTION("IMPORTRANGE(""https://docs.google.com/spreadsheets/d/1-uDff_7J0KD5mKrp0Vvzr7lt3OU09vwQwhkpOPPYv2Y/edit?usp=sharing"",""งบพรบ!DC95"")"),0)</f>
        <v>0</v>
      </c>
      <c r="P95" s="96">
        <f t="shared" ca="1" si="217"/>
        <v>0</v>
      </c>
      <c r="Q95" s="95">
        <f t="shared" ca="1" si="218"/>
        <v>0</v>
      </c>
      <c r="R95" s="248">
        <v>0</v>
      </c>
      <c r="S95" s="86">
        <v>0</v>
      </c>
      <c r="T95" s="86">
        <v>0</v>
      </c>
      <c r="U95" s="87">
        <f t="shared" si="89"/>
        <v>0</v>
      </c>
      <c r="V95" s="87">
        <f t="shared" si="90"/>
        <v>0</v>
      </c>
      <c r="W95" s="93"/>
      <c r="X95" s="93"/>
      <c r="Y95" s="95"/>
      <c r="Z95" s="93"/>
      <c r="AA95" s="93"/>
      <c r="AB95" s="95"/>
      <c r="AC95" s="93"/>
      <c r="AD95" s="93"/>
      <c r="AE95" s="93"/>
      <c r="AF95" s="93"/>
      <c r="AG95" s="93"/>
      <c r="AH95" s="95"/>
      <c r="AI95" s="93"/>
      <c r="AJ95" s="93"/>
      <c r="AK95" s="95"/>
      <c r="AL95" s="93"/>
      <c r="AM95" s="93"/>
      <c r="AN95" s="95"/>
      <c r="AO95" s="93"/>
      <c r="AP95" s="93"/>
      <c r="AQ95" s="95"/>
      <c r="AR95" s="294"/>
      <c r="AS95" s="294"/>
      <c r="AT95" s="93"/>
      <c r="AU95" s="93"/>
      <c r="AV95" s="95"/>
      <c r="AW95" s="93"/>
      <c r="AX95" s="93"/>
      <c r="AY95" s="95"/>
      <c r="AZ95" s="93"/>
      <c r="BA95" s="93"/>
      <c r="BB95" s="95"/>
      <c r="BC95" s="93"/>
      <c r="BD95" s="93"/>
      <c r="BE95" s="95"/>
      <c r="BF95" s="93"/>
      <c r="BG95" s="93"/>
      <c r="BH95" s="95"/>
      <c r="BI95" s="93"/>
      <c r="BJ95" s="93"/>
      <c r="BK95" s="95"/>
      <c r="BL95" s="93"/>
      <c r="BM95" s="93"/>
      <c r="BN95" s="95"/>
      <c r="BO95" s="93"/>
      <c r="BP95" s="93"/>
      <c r="BQ95" s="95"/>
      <c r="BR95" s="93"/>
      <c r="BS95" s="93"/>
      <c r="BT95" s="95"/>
      <c r="BU95" s="93"/>
      <c r="BV95" s="93"/>
      <c r="BW95" s="95"/>
      <c r="BX95" s="93"/>
      <c r="BY95" s="93"/>
      <c r="BZ95" s="95"/>
      <c r="CA95" s="93"/>
      <c r="CB95" s="93"/>
      <c r="CC95" s="95"/>
      <c r="CD95" s="93"/>
      <c r="CE95" s="93"/>
      <c r="CF95" s="95"/>
      <c r="CG95" s="93"/>
      <c r="CH95" s="93"/>
      <c r="CI95" s="95"/>
      <c r="CJ95" s="93"/>
      <c r="CK95" s="93"/>
      <c r="CL95" s="95"/>
      <c r="CM95" s="93"/>
      <c r="CN95" s="93"/>
    </row>
    <row r="96" spans="1:92" ht="24" hidden="1" customHeight="1" x14ac:dyDescent="0.3">
      <c r="A96" s="201"/>
      <c r="B96" s="129" t="s">
        <v>122</v>
      </c>
      <c r="C96" s="202">
        <f t="shared" ca="1" si="211"/>
        <v>0</v>
      </c>
      <c r="D96" s="203">
        <f t="shared" ca="1" si="212"/>
        <v>0</v>
      </c>
      <c r="E96" s="93">
        <f ca="1">IFERROR(__xludf.DUMMYFUNCTION("IMPORTRANGE(""https://docs.google.com/spreadsheets/d/1-uDff_7J0KD5mKrp0Vvzr7lt3OU09vwQwhkpOPPYv2Y/edit?usp=sharing"",""งบพรบ!CV96"")"),0)</f>
        <v>0</v>
      </c>
      <c r="F96" s="93">
        <f ca="1">IFERROR(__xludf.DUMMYFUNCTION("IMPORTRANGE(""https://docs.google.com/spreadsheets/d/1-uDff_7J0KD5mKrp0Vvzr7lt3OU09vwQwhkpOPPYv2Y/edit?usp=sharing"",""งบพรบ!CW96"")"),0)</f>
        <v>0</v>
      </c>
      <c r="G96" s="93">
        <f ca="1">IFERROR(__xludf.DUMMYFUNCTION("IMPORTRANGE(""https://docs.google.com/spreadsheets/d/1-uDff_7J0KD5mKrp0Vvzr7lt3OU09vwQwhkpOPPYv2Y/edit?usp=sharing"",""งบพรบ!CX96"")"),0)</f>
        <v>0</v>
      </c>
      <c r="H96" s="93">
        <f ca="1">IFERROR(__xludf.DUMMYFUNCTION("IMPORTRANGE(""https://docs.google.com/spreadsheets/d/1-uDff_7J0KD5mKrp0Vvzr7lt3OU09vwQwhkpOPPYv2Y/edit?usp=sharing"",""งบพรบ!CZ96"")"),0)</f>
        <v>0</v>
      </c>
      <c r="I96" s="93">
        <f ca="1">IFERROR(__xludf.DUMMYFUNCTION("IMPORTRANGE(""https://docs.google.com/spreadsheets/d/1-uDff_7J0KD5mKrp0Vvzr7lt3OU09vwQwhkpOPPYv2Y/edit?usp=sharing"",""งบพรบ!DA96"")"),0)</f>
        <v>0</v>
      </c>
      <c r="J96" s="93">
        <f t="shared" ca="1" si="213"/>
        <v>0</v>
      </c>
      <c r="K96" s="94">
        <f t="shared" ca="1" si="214"/>
        <v>0</v>
      </c>
      <c r="L96" s="93">
        <f ca="1">IFERROR(__xludf.DUMMYFUNCTION("IMPORTRANGE(""https://docs.google.com/spreadsheets/d/1-uDff_7J0KD5mKrp0Vvzr7lt3OU09vwQwhkpOPPYv2Y/edit?usp=sharing"",""งบพรบ!DB96"")"),0)</f>
        <v>0</v>
      </c>
      <c r="M96" s="95">
        <f t="shared" ca="1" si="215"/>
        <v>0</v>
      </c>
      <c r="N96" s="95">
        <f t="shared" ca="1" si="216"/>
        <v>0</v>
      </c>
      <c r="O96" s="96">
        <f ca="1">IFERROR(__xludf.DUMMYFUNCTION("IMPORTRANGE(""https://docs.google.com/spreadsheets/d/1-uDff_7J0KD5mKrp0Vvzr7lt3OU09vwQwhkpOPPYv2Y/edit?usp=sharing"",""งบพรบ!DC96"")"),0)</f>
        <v>0</v>
      </c>
      <c r="P96" s="96">
        <f t="shared" ca="1" si="217"/>
        <v>0</v>
      </c>
      <c r="Q96" s="95">
        <f t="shared" ca="1" si="218"/>
        <v>0</v>
      </c>
      <c r="R96" s="248">
        <v>0</v>
      </c>
      <c r="S96" s="86">
        <v>0</v>
      </c>
      <c r="T96" s="86">
        <v>0</v>
      </c>
      <c r="U96" s="87">
        <f t="shared" si="89"/>
        <v>0</v>
      </c>
      <c r="V96" s="87">
        <f t="shared" si="90"/>
        <v>0</v>
      </c>
      <c r="W96" s="93"/>
      <c r="X96" s="93"/>
      <c r="Y96" s="95"/>
      <c r="Z96" s="93"/>
      <c r="AA96" s="93"/>
      <c r="AB96" s="95"/>
      <c r="AC96" s="93"/>
      <c r="AD96" s="93"/>
      <c r="AE96" s="93"/>
      <c r="AF96" s="93"/>
      <c r="AG96" s="93"/>
      <c r="AH96" s="95"/>
      <c r="AI96" s="93"/>
      <c r="AJ96" s="93"/>
      <c r="AK96" s="95"/>
      <c r="AL96" s="93"/>
      <c r="AM96" s="93"/>
      <c r="AN96" s="95"/>
      <c r="AO96" s="93"/>
      <c r="AP96" s="93"/>
      <c r="AQ96" s="95"/>
      <c r="AR96" s="294"/>
      <c r="AS96" s="294"/>
      <c r="AT96" s="93"/>
      <c r="AU96" s="93"/>
      <c r="AV96" s="95"/>
      <c r="AW96" s="93"/>
      <c r="AX96" s="93"/>
      <c r="AY96" s="95"/>
      <c r="AZ96" s="93"/>
      <c r="BA96" s="93"/>
      <c r="BB96" s="95"/>
      <c r="BC96" s="93"/>
      <c r="BD96" s="93"/>
      <c r="BE96" s="95"/>
      <c r="BF96" s="93"/>
      <c r="BG96" s="93"/>
      <c r="BH96" s="95"/>
      <c r="BI96" s="93"/>
      <c r="BJ96" s="93"/>
      <c r="BK96" s="95"/>
      <c r="BL96" s="93"/>
      <c r="BM96" s="93"/>
      <c r="BN96" s="95"/>
      <c r="BO96" s="93"/>
      <c r="BP96" s="93"/>
      <c r="BQ96" s="95"/>
      <c r="BR96" s="93"/>
      <c r="BS96" s="93"/>
      <c r="BT96" s="95"/>
      <c r="BU96" s="93"/>
      <c r="BV96" s="93"/>
      <c r="BW96" s="95"/>
      <c r="BX96" s="93"/>
      <c r="BY96" s="93"/>
      <c r="BZ96" s="95"/>
      <c r="CA96" s="93"/>
      <c r="CB96" s="93"/>
      <c r="CC96" s="95"/>
      <c r="CD96" s="93"/>
      <c r="CE96" s="93"/>
      <c r="CF96" s="95"/>
      <c r="CG96" s="93"/>
      <c r="CH96" s="93"/>
      <c r="CI96" s="95"/>
      <c r="CJ96" s="93"/>
      <c r="CK96" s="93"/>
      <c r="CL96" s="95"/>
      <c r="CM96" s="93"/>
      <c r="CN96" s="93"/>
    </row>
    <row r="97" spans="1:92" ht="24" hidden="1" customHeight="1" x14ac:dyDescent="0.3">
      <c r="A97" s="201"/>
      <c r="B97" s="129" t="s">
        <v>123</v>
      </c>
      <c r="C97" s="202">
        <f t="shared" ca="1" si="211"/>
        <v>0</v>
      </c>
      <c r="D97" s="203">
        <f t="shared" ca="1" si="212"/>
        <v>0</v>
      </c>
      <c r="E97" s="93">
        <f ca="1">IFERROR(__xludf.DUMMYFUNCTION("IMPORTRANGE(""https://docs.google.com/spreadsheets/d/1-uDff_7J0KD5mKrp0Vvzr7lt3OU09vwQwhkpOPPYv2Y/edit?usp=sharing"",""งบพรบ!CV97"")"),0)</f>
        <v>0</v>
      </c>
      <c r="F97" s="93">
        <f ca="1">IFERROR(__xludf.DUMMYFUNCTION("IMPORTRANGE(""https://docs.google.com/spreadsheets/d/1-uDff_7J0KD5mKrp0Vvzr7lt3OU09vwQwhkpOPPYv2Y/edit?usp=sharing"",""งบพรบ!CW97"")"),0)</f>
        <v>0</v>
      </c>
      <c r="G97" s="93">
        <f ca="1">IFERROR(__xludf.DUMMYFUNCTION("IMPORTRANGE(""https://docs.google.com/spreadsheets/d/1-uDff_7J0KD5mKrp0Vvzr7lt3OU09vwQwhkpOPPYv2Y/edit?usp=sharing"",""งบพรบ!CX97"")"),0)</f>
        <v>0</v>
      </c>
      <c r="H97" s="93">
        <f ca="1">IFERROR(__xludf.DUMMYFUNCTION("IMPORTRANGE(""https://docs.google.com/spreadsheets/d/1-uDff_7J0KD5mKrp0Vvzr7lt3OU09vwQwhkpOPPYv2Y/edit?usp=sharing"",""งบพรบ!CZ97"")"),0)</f>
        <v>0</v>
      </c>
      <c r="I97" s="93">
        <f ca="1">IFERROR(__xludf.DUMMYFUNCTION("IMPORTRANGE(""https://docs.google.com/spreadsheets/d/1-uDff_7J0KD5mKrp0Vvzr7lt3OU09vwQwhkpOPPYv2Y/edit?usp=sharing"",""งบพรบ!DA97"")"),0)</f>
        <v>0</v>
      </c>
      <c r="J97" s="93">
        <f t="shared" ca="1" si="213"/>
        <v>0</v>
      </c>
      <c r="K97" s="94">
        <f t="shared" ca="1" si="214"/>
        <v>0</v>
      </c>
      <c r="L97" s="93">
        <f ca="1">IFERROR(__xludf.DUMMYFUNCTION("IMPORTRANGE(""https://docs.google.com/spreadsheets/d/1-uDff_7J0KD5mKrp0Vvzr7lt3OU09vwQwhkpOPPYv2Y/edit?usp=sharing"",""งบพรบ!DB97"")"),0)</f>
        <v>0</v>
      </c>
      <c r="M97" s="95">
        <f t="shared" ca="1" si="215"/>
        <v>0</v>
      </c>
      <c r="N97" s="95">
        <f t="shared" ca="1" si="216"/>
        <v>0</v>
      </c>
      <c r="O97" s="96">
        <f ca="1">IFERROR(__xludf.DUMMYFUNCTION("IMPORTRANGE(""https://docs.google.com/spreadsheets/d/1-uDff_7J0KD5mKrp0Vvzr7lt3OU09vwQwhkpOPPYv2Y/edit?usp=sharing"",""งบพรบ!DC97"")"),0)</f>
        <v>0</v>
      </c>
      <c r="P97" s="96">
        <f t="shared" ca="1" si="217"/>
        <v>0</v>
      </c>
      <c r="Q97" s="95">
        <f t="shared" ca="1" si="218"/>
        <v>0</v>
      </c>
      <c r="R97" s="248">
        <v>0</v>
      </c>
      <c r="S97" s="86">
        <v>0</v>
      </c>
      <c r="T97" s="86">
        <v>0</v>
      </c>
      <c r="U97" s="87">
        <f t="shared" si="89"/>
        <v>0</v>
      </c>
      <c r="V97" s="87">
        <f t="shared" si="90"/>
        <v>0</v>
      </c>
      <c r="W97" s="93"/>
      <c r="X97" s="93"/>
      <c r="Y97" s="95"/>
      <c r="Z97" s="93"/>
      <c r="AA97" s="93"/>
      <c r="AB97" s="95"/>
      <c r="AC97" s="93"/>
      <c r="AD97" s="93"/>
      <c r="AE97" s="93"/>
      <c r="AF97" s="93"/>
      <c r="AG97" s="93"/>
      <c r="AH97" s="95"/>
      <c r="AI97" s="93"/>
      <c r="AJ97" s="93"/>
      <c r="AK97" s="95"/>
      <c r="AL97" s="93"/>
      <c r="AM97" s="93"/>
      <c r="AN97" s="95"/>
      <c r="AO97" s="93"/>
      <c r="AP97" s="93"/>
      <c r="AQ97" s="95"/>
      <c r="AR97" s="294"/>
      <c r="AS97" s="294"/>
      <c r="AT97" s="93"/>
      <c r="AU97" s="93"/>
      <c r="AV97" s="95"/>
      <c r="AW97" s="93"/>
      <c r="AX97" s="93"/>
      <c r="AY97" s="95"/>
      <c r="AZ97" s="93"/>
      <c r="BA97" s="93"/>
      <c r="BB97" s="95"/>
      <c r="BC97" s="93"/>
      <c r="BD97" s="93"/>
      <c r="BE97" s="95"/>
      <c r="BF97" s="93"/>
      <c r="BG97" s="93"/>
      <c r="BH97" s="95"/>
      <c r="BI97" s="93"/>
      <c r="BJ97" s="93"/>
      <c r="BK97" s="95"/>
      <c r="BL97" s="93"/>
      <c r="BM97" s="93"/>
      <c r="BN97" s="95"/>
      <c r="BO97" s="93"/>
      <c r="BP97" s="93"/>
      <c r="BQ97" s="95"/>
      <c r="BR97" s="93"/>
      <c r="BS97" s="93"/>
      <c r="BT97" s="95"/>
      <c r="BU97" s="93"/>
      <c r="BV97" s="93"/>
      <c r="BW97" s="95"/>
      <c r="BX97" s="93"/>
      <c r="BY97" s="93"/>
      <c r="BZ97" s="95"/>
      <c r="CA97" s="93"/>
      <c r="CB97" s="93"/>
      <c r="CC97" s="95"/>
      <c r="CD97" s="93"/>
      <c r="CE97" s="93"/>
      <c r="CF97" s="95"/>
      <c r="CG97" s="93"/>
      <c r="CH97" s="93"/>
      <c r="CI97" s="95"/>
      <c r="CJ97" s="93"/>
      <c r="CK97" s="93"/>
      <c r="CL97" s="95"/>
      <c r="CM97" s="93"/>
      <c r="CN97" s="93"/>
    </row>
    <row r="98" spans="1:92" ht="24" hidden="1" customHeight="1" x14ac:dyDescent="0.3">
      <c r="A98" s="201"/>
      <c r="B98" s="129" t="s">
        <v>124</v>
      </c>
      <c r="C98" s="202">
        <f t="shared" ca="1" si="211"/>
        <v>0</v>
      </c>
      <c r="D98" s="203">
        <f t="shared" ca="1" si="212"/>
        <v>0</v>
      </c>
      <c r="E98" s="93">
        <f ca="1">IFERROR(__xludf.DUMMYFUNCTION("IMPORTRANGE(""https://docs.google.com/spreadsheets/d/1-uDff_7J0KD5mKrp0Vvzr7lt3OU09vwQwhkpOPPYv2Y/edit?usp=sharing"",""งบพรบ!CV98"")"),0)</f>
        <v>0</v>
      </c>
      <c r="F98" s="93">
        <f ca="1">IFERROR(__xludf.DUMMYFUNCTION("IMPORTRANGE(""https://docs.google.com/spreadsheets/d/1-uDff_7J0KD5mKrp0Vvzr7lt3OU09vwQwhkpOPPYv2Y/edit?usp=sharing"",""งบพรบ!CW98"")"),0)</f>
        <v>0</v>
      </c>
      <c r="G98" s="93">
        <f ca="1">IFERROR(__xludf.DUMMYFUNCTION("IMPORTRANGE(""https://docs.google.com/spreadsheets/d/1-uDff_7J0KD5mKrp0Vvzr7lt3OU09vwQwhkpOPPYv2Y/edit?usp=sharing"",""งบพรบ!CX98"")"),0)</f>
        <v>0</v>
      </c>
      <c r="H98" s="93">
        <f ca="1">IFERROR(__xludf.DUMMYFUNCTION("IMPORTRANGE(""https://docs.google.com/spreadsheets/d/1-uDff_7J0KD5mKrp0Vvzr7lt3OU09vwQwhkpOPPYv2Y/edit?usp=sharing"",""งบพรบ!CZ98"")"),0)</f>
        <v>0</v>
      </c>
      <c r="I98" s="93">
        <f ca="1">IFERROR(__xludf.DUMMYFUNCTION("IMPORTRANGE(""https://docs.google.com/spreadsheets/d/1-uDff_7J0KD5mKrp0Vvzr7lt3OU09vwQwhkpOPPYv2Y/edit?usp=sharing"",""งบพรบ!DA98"")"),0)</f>
        <v>0</v>
      </c>
      <c r="J98" s="93">
        <f t="shared" ca="1" si="213"/>
        <v>0</v>
      </c>
      <c r="K98" s="94">
        <f t="shared" ca="1" si="214"/>
        <v>0</v>
      </c>
      <c r="L98" s="93">
        <f ca="1">IFERROR(__xludf.DUMMYFUNCTION("IMPORTRANGE(""https://docs.google.com/spreadsheets/d/1-uDff_7J0KD5mKrp0Vvzr7lt3OU09vwQwhkpOPPYv2Y/edit?usp=sharing"",""งบพรบ!DB98"")"),0)</f>
        <v>0</v>
      </c>
      <c r="M98" s="95">
        <f t="shared" ca="1" si="215"/>
        <v>0</v>
      </c>
      <c r="N98" s="95">
        <f t="shared" ca="1" si="216"/>
        <v>0</v>
      </c>
      <c r="O98" s="96">
        <f ca="1">IFERROR(__xludf.DUMMYFUNCTION("IMPORTRANGE(""https://docs.google.com/spreadsheets/d/1-uDff_7J0KD5mKrp0Vvzr7lt3OU09vwQwhkpOPPYv2Y/edit?usp=sharing"",""งบพรบ!DC98"")"),0)</f>
        <v>0</v>
      </c>
      <c r="P98" s="96">
        <f t="shared" ca="1" si="217"/>
        <v>0</v>
      </c>
      <c r="Q98" s="95">
        <f t="shared" ca="1" si="218"/>
        <v>0</v>
      </c>
      <c r="R98" s="248">
        <v>0</v>
      </c>
      <c r="S98" s="86">
        <v>0</v>
      </c>
      <c r="T98" s="86">
        <v>0</v>
      </c>
      <c r="U98" s="87">
        <f t="shared" si="89"/>
        <v>0</v>
      </c>
      <c r="V98" s="87">
        <f t="shared" si="90"/>
        <v>0</v>
      </c>
      <c r="W98" s="93"/>
      <c r="X98" s="93"/>
      <c r="Y98" s="95"/>
      <c r="Z98" s="93"/>
      <c r="AA98" s="93"/>
      <c r="AB98" s="95"/>
      <c r="AC98" s="93"/>
      <c r="AD98" s="93"/>
      <c r="AE98" s="93"/>
      <c r="AF98" s="93"/>
      <c r="AG98" s="93"/>
      <c r="AH98" s="95"/>
      <c r="AI98" s="93"/>
      <c r="AJ98" s="93"/>
      <c r="AK98" s="95"/>
      <c r="AL98" s="93"/>
      <c r="AM98" s="93"/>
      <c r="AN98" s="95"/>
      <c r="AO98" s="93"/>
      <c r="AP98" s="93"/>
      <c r="AQ98" s="95"/>
      <c r="AR98" s="294"/>
      <c r="AS98" s="294"/>
      <c r="AT98" s="93"/>
      <c r="AU98" s="93"/>
      <c r="AV98" s="95"/>
      <c r="AW98" s="93"/>
      <c r="AX98" s="93"/>
      <c r="AY98" s="95"/>
      <c r="AZ98" s="93"/>
      <c r="BA98" s="93"/>
      <c r="BB98" s="95"/>
      <c r="BC98" s="93"/>
      <c r="BD98" s="93"/>
      <c r="BE98" s="95"/>
      <c r="BF98" s="93"/>
      <c r="BG98" s="93"/>
      <c r="BH98" s="95"/>
      <c r="BI98" s="93"/>
      <c r="BJ98" s="93"/>
      <c r="BK98" s="95"/>
      <c r="BL98" s="93"/>
      <c r="BM98" s="93"/>
      <c r="BN98" s="95"/>
      <c r="BO98" s="93"/>
      <c r="BP98" s="93"/>
      <c r="BQ98" s="95"/>
      <c r="BR98" s="93"/>
      <c r="BS98" s="93"/>
      <c r="BT98" s="95"/>
      <c r="BU98" s="93"/>
      <c r="BV98" s="93"/>
      <c r="BW98" s="95"/>
      <c r="BX98" s="93"/>
      <c r="BY98" s="93"/>
      <c r="BZ98" s="95"/>
      <c r="CA98" s="93"/>
      <c r="CB98" s="93"/>
      <c r="CC98" s="95"/>
      <c r="CD98" s="93"/>
      <c r="CE98" s="93"/>
      <c r="CF98" s="95"/>
      <c r="CG98" s="93"/>
      <c r="CH98" s="93"/>
      <c r="CI98" s="95"/>
      <c r="CJ98" s="93"/>
      <c r="CK98" s="93"/>
      <c r="CL98" s="95"/>
      <c r="CM98" s="93"/>
      <c r="CN98" s="93"/>
    </row>
    <row r="99" spans="1:92" ht="24" hidden="1" customHeight="1" x14ac:dyDescent="0.3">
      <c r="A99" s="201"/>
      <c r="B99" s="129" t="s">
        <v>125</v>
      </c>
      <c r="C99" s="202">
        <f t="shared" ca="1" si="211"/>
        <v>0</v>
      </c>
      <c r="D99" s="203">
        <f t="shared" ca="1" si="212"/>
        <v>0</v>
      </c>
      <c r="E99" s="93">
        <f ca="1">IFERROR(__xludf.DUMMYFUNCTION("IMPORTRANGE(""https://docs.google.com/spreadsheets/d/1-uDff_7J0KD5mKrp0Vvzr7lt3OU09vwQwhkpOPPYv2Y/edit?usp=sharing"",""งบพรบ!CV99"")"),0)</f>
        <v>0</v>
      </c>
      <c r="F99" s="93">
        <f ca="1">IFERROR(__xludf.DUMMYFUNCTION("IMPORTRANGE(""https://docs.google.com/spreadsheets/d/1-uDff_7J0KD5mKrp0Vvzr7lt3OU09vwQwhkpOPPYv2Y/edit?usp=sharing"",""งบพรบ!CW99"")"),0)</f>
        <v>0</v>
      </c>
      <c r="G99" s="93">
        <f ca="1">IFERROR(__xludf.DUMMYFUNCTION("IMPORTRANGE(""https://docs.google.com/spreadsheets/d/1-uDff_7J0KD5mKrp0Vvzr7lt3OU09vwQwhkpOPPYv2Y/edit?usp=sharing"",""งบพรบ!CX99"")"),0)</f>
        <v>0</v>
      </c>
      <c r="H99" s="93">
        <f ca="1">IFERROR(__xludf.DUMMYFUNCTION("IMPORTRANGE(""https://docs.google.com/spreadsheets/d/1-uDff_7J0KD5mKrp0Vvzr7lt3OU09vwQwhkpOPPYv2Y/edit?usp=sharing"",""งบพรบ!CZ99"")"),0)</f>
        <v>0</v>
      </c>
      <c r="I99" s="93">
        <f ca="1">IFERROR(__xludf.DUMMYFUNCTION("IMPORTRANGE(""https://docs.google.com/spreadsheets/d/1-uDff_7J0KD5mKrp0Vvzr7lt3OU09vwQwhkpOPPYv2Y/edit?usp=sharing"",""งบพรบ!DA99"")"),0)</f>
        <v>0</v>
      </c>
      <c r="J99" s="93">
        <f t="shared" ca="1" si="213"/>
        <v>0</v>
      </c>
      <c r="K99" s="94">
        <f t="shared" ca="1" si="214"/>
        <v>0</v>
      </c>
      <c r="L99" s="93">
        <f ca="1">IFERROR(__xludf.DUMMYFUNCTION("IMPORTRANGE(""https://docs.google.com/spreadsheets/d/1-uDff_7J0KD5mKrp0Vvzr7lt3OU09vwQwhkpOPPYv2Y/edit?usp=sharing"",""งบพรบ!DB99"")"),0)</f>
        <v>0</v>
      </c>
      <c r="M99" s="95">
        <f t="shared" ca="1" si="215"/>
        <v>0</v>
      </c>
      <c r="N99" s="95">
        <f t="shared" ca="1" si="216"/>
        <v>0</v>
      </c>
      <c r="O99" s="96">
        <f ca="1">IFERROR(__xludf.DUMMYFUNCTION("IMPORTRANGE(""https://docs.google.com/spreadsheets/d/1-uDff_7J0KD5mKrp0Vvzr7lt3OU09vwQwhkpOPPYv2Y/edit?usp=sharing"",""งบพรบ!DC99"")"),0)</f>
        <v>0</v>
      </c>
      <c r="P99" s="96">
        <f t="shared" ca="1" si="217"/>
        <v>0</v>
      </c>
      <c r="Q99" s="95">
        <f t="shared" ca="1" si="218"/>
        <v>0</v>
      </c>
      <c r="R99" s="248">
        <v>0</v>
      </c>
      <c r="S99" s="86">
        <v>0</v>
      </c>
      <c r="T99" s="86">
        <v>0</v>
      </c>
      <c r="U99" s="87">
        <f t="shared" si="89"/>
        <v>0</v>
      </c>
      <c r="V99" s="87">
        <f t="shared" si="90"/>
        <v>0</v>
      </c>
      <c r="W99" s="93"/>
      <c r="X99" s="93"/>
      <c r="Y99" s="95"/>
      <c r="Z99" s="93"/>
      <c r="AA99" s="93"/>
      <c r="AB99" s="95"/>
      <c r="AC99" s="93"/>
      <c r="AD99" s="93"/>
      <c r="AE99" s="93"/>
      <c r="AF99" s="93"/>
      <c r="AG99" s="93"/>
      <c r="AH99" s="95"/>
      <c r="AI99" s="93"/>
      <c r="AJ99" s="93"/>
      <c r="AK99" s="95"/>
      <c r="AL99" s="93"/>
      <c r="AM99" s="93"/>
      <c r="AN99" s="95"/>
      <c r="AO99" s="93"/>
      <c r="AP99" s="93"/>
      <c r="AQ99" s="95"/>
      <c r="AR99" s="294"/>
      <c r="AS99" s="294"/>
      <c r="AT99" s="93"/>
      <c r="AU99" s="93"/>
      <c r="AV99" s="95"/>
      <c r="AW99" s="93"/>
      <c r="AX99" s="93"/>
      <c r="AY99" s="95"/>
      <c r="AZ99" s="93"/>
      <c r="BA99" s="93"/>
      <c r="BB99" s="95"/>
      <c r="BC99" s="93"/>
      <c r="BD99" s="93"/>
      <c r="BE99" s="95"/>
      <c r="BF99" s="93"/>
      <c r="BG99" s="93"/>
      <c r="BH99" s="95"/>
      <c r="BI99" s="93"/>
      <c r="BJ99" s="93"/>
      <c r="BK99" s="95"/>
      <c r="BL99" s="93"/>
      <c r="BM99" s="93"/>
      <c r="BN99" s="95"/>
      <c r="BO99" s="93"/>
      <c r="BP99" s="93"/>
      <c r="BQ99" s="95"/>
      <c r="BR99" s="93"/>
      <c r="BS99" s="93"/>
      <c r="BT99" s="95"/>
      <c r="BU99" s="93"/>
      <c r="BV99" s="93"/>
      <c r="BW99" s="95"/>
      <c r="BX99" s="93"/>
      <c r="BY99" s="93"/>
      <c r="BZ99" s="95"/>
      <c r="CA99" s="93"/>
      <c r="CB99" s="93"/>
      <c r="CC99" s="95"/>
      <c r="CD99" s="93"/>
      <c r="CE99" s="93"/>
      <c r="CF99" s="95"/>
      <c r="CG99" s="93"/>
      <c r="CH99" s="93"/>
      <c r="CI99" s="95"/>
      <c r="CJ99" s="93"/>
      <c r="CK99" s="93"/>
      <c r="CL99" s="95"/>
      <c r="CM99" s="93"/>
      <c r="CN99" s="93"/>
    </row>
    <row r="100" spans="1:92" ht="24" hidden="1" customHeight="1" x14ac:dyDescent="0.3">
      <c r="A100" s="201"/>
      <c r="B100" s="129" t="s">
        <v>126</v>
      </c>
      <c r="C100" s="202">
        <f t="shared" ca="1" si="211"/>
        <v>0</v>
      </c>
      <c r="D100" s="203">
        <f t="shared" ca="1" si="212"/>
        <v>0</v>
      </c>
      <c r="E100" s="93">
        <f ca="1">IFERROR(__xludf.DUMMYFUNCTION("IMPORTRANGE(""https://docs.google.com/spreadsheets/d/1-uDff_7J0KD5mKrp0Vvzr7lt3OU09vwQwhkpOPPYv2Y/edit?usp=sharing"",""งบพรบ!CV100"")"),0)</f>
        <v>0</v>
      </c>
      <c r="F100" s="93">
        <f ca="1">IFERROR(__xludf.DUMMYFUNCTION("IMPORTRANGE(""https://docs.google.com/spreadsheets/d/1-uDff_7J0KD5mKrp0Vvzr7lt3OU09vwQwhkpOPPYv2Y/edit?usp=sharing"",""งบพรบ!CW100"")"),0)</f>
        <v>0</v>
      </c>
      <c r="G100" s="93">
        <f ca="1">IFERROR(__xludf.DUMMYFUNCTION("IMPORTRANGE(""https://docs.google.com/spreadsheets/d/1-uDff_7J0KD5mKrp0Vvzr7lt3OU09vwQwhkpOPPYv2Y/edit?usp=sharing"",""งบพรบ!CX100"")"),0)</f>
        <v>0</v>
      </c>
      <c r="H100" s="93">
        <f ca="1">IFERROR(__xludf.DUMMYFUNCTION("IMPORTRANGE(""https://docs.google.com/spreadsheets/d/1-uDff_7J0KD5mKrp0Vvzr7lt3OU09vwQwhkpOPPYv2Y/edit?usp=sharing"",""งบพรบ!CZ100"")"),0)</f>
        <v>0</v>
      </c>
      <c r="I100" s="93">
        <f ca="1">IFERROR(__xludf.DUMMYFUNCTION("IMPORTRANGE(""https://docs.google.com/spreadsheets/d/1-uDff_7J0KD5mKrp0Vvzr7lt3OU09vwQwhkpOPPYv2Y/edit?usp=sharing"",""งบพรบ!DA100"")"),0)</f>
        <v>0</v>
      </c>
      <c r="J100" s="93">
        <f t="shared" ca="1" si="213"/>
        <v>0</v>
      </c>
      <c r="K100" s="94">
        <f t="shared" ca="1" si="214"/>
        <v>0</v>
      </c>
      <c r="L100" s="93">
        <f ca="1">IFERROR(__xludf.DUMMYFUNCTION("IMPORTRANGE(""https://docs.google.com/spreadsheets/d/1-uDff_7J0KD5mKrp0Vvzr7lt3OU09vwQwhkpOPPYv2Y/edit?usp=sharing"",""งบพรบ!DB100"")"),0)</f>
        <v>0</v>
      </c>
      <c r="M100" s="95">
        <f t="shared" ca="1" si="215"/>
        <v>0</v>
      </c>
      <c r="N100" s="95">
        <f t="shared" ca="1" si="216"/>
        <v>0</v>
      </c>
      <c r="O100" s="96">
        <f ca="1">IFERROR(__xludf.DUMMYFUNCTION("IMPORTRANGE(""https://docs.google.com/spreadsheets/d/1-uDff_7J0KD5mKrp0Vvzr7lt3OU09vwQwhkpOPPYv2Y/edit?usp=sharing"",""งบพรบ!DC100"")"),0)</f>
        <v>0</v>
      </c>
      <c r="P100" s="96">
        <f t="shared" ca="1" si="217"/>
        <v>0</v>
      </c>
      <c r="Q100" s="95">
        <f t="shared" ca="1" si="218"/>
        <v>0</v>
      </c>
      <c r="R100" s="248">
        <v>0</v>
      </c>
      <c r="S100" s="86">
        <v>0</v>
      </c>
      <c r="T100" s="86">
        <v>0</v>
      </c>
      <c r="U100" s="87">
        <f t="shared" si="89"/>
        <v>0</v>
      </c>
      <c r="V100" s="87">
        <f t="shared" si="90"/>
        <v>0</v>
      </c>
      <c r="W100" s="93"/>
      <c r="X100" s="93"/>
      <c r="Y100" s="95"/>
      <c r="Z100" s="93"/>
      <c r="AA100" s="93"/>
      <c r="AB100" s="95"/>
      <c r="AC100" s="93"/>
      <c r="AD100" s="93"/>
      <c r="AE100" s="93"/>
      <c r="AF100" s="93"/>
      <c r="AG100" s="93"/>
      <c r="AH100" s="95"/>
      <c r="AI100" s="93"/>
      <c r="AJ100" s="93"/>
      <c r="AK100" s="95"/>
      <c r="AL100" s="93"/>
      <c r="AM100" s="93"/>
      <c r="AN100" s="95"/>
      <c r="AO100" s="93"/>
      <c r="AP100" s="93"/>
      <c r="AQ100" s="95"/>
      <c r="AR100" s="294"/>
      <c r="AS100" s="294"/>
      <c r="AT100" s="93"/>
      <c r="AU100" s="93"/>
      <c r="AV100" s="95"/>
      <c r="AW100" s="93"/>
      <c r="AX100" s="93"/>
      <c r="AY100" s="95"/>
      <c r="AZ100" s="93"/>
      <c r="BA100" s="93"/>
      <c r="BB100" s="95"/>
      <c r="BC100" s="93"/>
      <c r="BD100" s="93"/>
      <c r="BE100" s="95"/>
      <c r="BF100" s="93"/>
      <c r="BG100" s="93"/>
      <c r="BH100" s="95"/>
      <c r="BI100" s="93"/>
      <c r="BJ100" s="93"/>
      <c r="BK100" s="95"/>
      <c r="BL100" s="93"/>
      <c r="BM100" s="93"/>
      <c r="BN100" s="95"/>
      <c r="BO100" s="93"/>
      <c r="BP100" s="93"/>
      <c r="BQ100" s="95"/>
      <c r="BR100" s="93"/>
      <c r="BS100" s="93"/>
      <c r="BT100" s="95"/>
      <c r="BU100" s="93"/>
      <c r="BV100" s="93"/>
      <c r="BW100" s="95"/>
      <c r="BX100" s="93"/>
      <c r="BY100" s="93"/>
      <c r="BZ100" s="95"/>
      <c r="CA100" s="93"/>
      <c r="CB100" s="93"/>
      <c r="CC100" s="95"/>
      <c r="CD100" s="93"/>
      <c r="CE100" s="93"/>
      <c r="CF100" s="95"/>
      <c r="CG100" s="93"/>
      <c r="CH100" s="93"/>
      <c r="CI100" s="95"/>
      <c r="CJ100" s="93"/>
      <c r="CK100" s="93"/>
      <c r="CL100" s="95"/>
      <c r="CM100" s="93"/>
      <c r="CN100" s="93"/>
    </row>
    <row r="101" spans="1:92" ht="24" hidden="1" customHeight="1" x14ac:dyDescent="0.3">
      <c r="A101" s="201"/>
      <c r="B101" s="129" t="s">
        <v>127</v>
      </c>
      <c r="C101" s="202">
        <f t="shared" ca="1" si="211"/>
        <v>0</v>
      </c>
      <c r="D101" s="203">
        <f t="shared" ca="1" si="212"/>
        <v>0</v>
      </c>
      <c r="E101" s="93">
        <f ca="1">IFERROR(__xludf.DUMMYFUNCTION("IMPORTRANGE(""https://docs.google.com/spreadsheets/d/1-uDff_7J0KD5mKrp0Vvzr7lt3OU09vwQwhkpOPPYv2Y/edit?usp=sharing"",""งบพรบ!CV101"")"),0)</f>
        <v>0</v>
      </c>
      <c r="F101" s="93">
        <f ca="1">IFERROR(__xludf.DUMMYFUNCTION("IMPORTRANGE(""https://docs.google.com/spreadsheets/d/1-uDff_7J0KD5mKrp0Vvzr7lt3OU09vwQwhkpOPPYv2Y/edit?usp=sharing"",""งบพรบ!CW101"")"),0)</f>
        <v>0</v>
      </c>
      <c r="G101" s="93">
        <f ca="1">IFERROR(__xludf.DUMMYFUNCTION("IMPORTRANGE(""https://docs.google.com/spreadsheets/d/1-uDff_7J0KD5mKrp0Vvzr7lt3OU09vwQwhkpOPPYv2Y/edit?usp=sharing"",""งบพรบ!CX101"")"),0)</f>
        <v>0</v>
      </c>
      <c r="H101" s="93">
        <f ca="1">IFERROR(__xludf.DUMMYFUNCTION("IMPORTRANGE(""https://docs.google.com/spreadsheets/d/1-uDff_7J0KD5mKrp0Vvzr7lt3OU09vwQwhkpOPPYv2Y/edit?usp=sharing"",""งบพรบ!CZ101"")"),0)</f>
        <v>0</v>
      </c>
      <c r="I101" s="93">
        <f ca="1">IFERROR(__xludf.DUMMYFUNCTION("IMPORTRANGE(""https://docs.google.com/spreadsheets/d/1-uDff_7J0KD5mKrp0Vvzr7lt3OU09vwQwhkpOPPYv2Y/edit?usp=sharing"",""งบพรบ!DA101"")"),0)</f>
        <v>0</v>
      </c>
      <c r="J101" s="93">
        <f t="shared" ca="1" si="213"/>
        <v>0</v>
      </c>
      <c r="K101" s="94">
        <f t="shared" ca="1" si="214"/>
        <v>0</v>
      </c>
      <c r="L101" s="93">
        <f ca="1">IFERROR(__xludf.DUMMYFUNCTION("IMPORTRANGE(""https://docs.google.com/spreadsheets/d/1-uDff_7J0KD5mKrp0Vvzr7lt3OU09vwQwhkpOPPYv2Y/edit?usp=sharing"",""งบพรบ!DB101"")"),0)</f>
        <v>0</v>
      </c>
      <c r="M101" s="95">
        <f t="shared" ca="1" si="215"/>
        <v>0</v>
      </c>
      <c r="N101" s="95">
        <f t="shared" ca="1" si="216"/>
        <v>0</v>
      </c>
      <c r="O101" s="96">
        <f ca="1">IFERROR(__xludf.DUMMYFUNCTION("IMPORTRANGE(""https://docs.google.com/spreadsheets/d/1-uDff_7J0KD5mKrp0Vvzr7lt3OU09vwQwhkpOPPYv2Y/edit?usp=sharing"",""งบพรบ!DC101"")"),0)</f>
        <v>0</v>
      </c>
      <c r="P101" s="96">
        <f t="shared" ca="1" si="217"/>
        <v>0</v>
      </c>
      <c r="Q101" s="95">
        <f t="shared" ca="1" si="218"/>
        <v>0</v>
      </c>
      <c r="R101" s="248">
        <v>0</v>
      </c>
      <c r="S101" s="86">
        <v>0</v>
      </c>
      <c r="T101" s="86">
        <v>0</v>
      </c>
      <c r="U101" s="87">
        <f t="shared" si="89"/>
        <v>0</v>
      </c>
      <c r="V101" s="87">
        <f t="shared" si="90"/>
        <v>0</v>
      </c>
      <c r="W101" s="93"/>
      <c r="X101" s="93"/>
      <c r="Y101" s="95"/>
      <c r="Z101" s="93"/>
      <c r="AA101" s="93"/>
      <c r="AB101" s="95"/>
      <c r="AC101" s="93"/>
      <c r="AD101" s="93"/>
      <c r="AE101" s="93"/>
      <c r="AF101" s="93"/>
      <c r="AG101" s="93"/>
      <c r="AH101" s="95"/>
      <c r="AI101" s="93"/>
      <c r="AJ101" s="93"/>
      <c r="AK101" s="95"/>
      <c r="AL101" s="93"/>
      <c r="AM101" s="93"/>
      <c r="AN101" s="95"/>
      <c r="AO101" s="93"/>
      <c r="AP101" s="93"/>
      <c r="AQ101" s="95"/>
      <c r="AR101" s="294"/>
      <c r="AS101" s="294"/>
      <c r="AT101" s="93"/>
      <c r="AU101" s="93"/>
      <c r="AV101" s="95"/>
      <c r="AW101" s="93"/>
      <c r="AX101" s="93"/>
      <c r="AY101" s="95"/>
      <c r="AZ101" s="93"/>
      <c r="BA101" s="93"/>
      <c r="BB101" s="95"/>
      <c r="BC101" s="93"/>
      <c r="BD101" s="93"/>
      <c r="BE101" s="95"/>
      <c r="BF101" s="93"/>
      <c r="BG101" s="93"/>
      <c r="BH101" s="95"/>
      <c r="BI101" s="93"/>
      <c r="BJ101" s="93"/>
      <c r="BK101" s="95"/>
      <c r="BL101" s="93"/>
      <c r="BM101" s="93"/>
      <c r="BN101" s="95"/>
      <c r="BO101" s="93"/>
      <c r="BP101" s="93"/>
      <c r="BQ101" s="95"/>
      <c r="BR101" s="93"/>
      <c r="BS101" s="93"/>
      <c r="BT101" s="95"/>
      <c r="BU101" s="93"/>
      <c r="BV101" s="93"/>
      <c r="BW101" s="95"/>
      <c r="BX101" s="93"/>
      <c r="BY101" s="93"/>
      <c r="BZ101" s="95"/>
      <c r="CA101" s="93"/>
      <c r="CB101" s="93"/>
      <c r="CC101" s="95"/>
      <c r="CD101" s="93"/>
      <c r="CE101" s="93"/>
      <c r="CF101" s="95"/>
      <c r="CG101" s="93"/>
      <c r="CH101" s="93"/>
      <c r="CI101" s="95"/>
      <c r="CJ101" s="93"/>
      <c r="CK101" s="93"/>
      <c r="CL101" s="95"/>
      <c r="CM101" s="93"/>
      <c r="CN101" s="93"/>
    </row>
    <row r="102" spans="1:92" ht="24" hidden="1" customHeight="1" x14ac:dyDescent="0.3">
      <c r="A102" s="201"/>
      <c r="B102" s="129" t="s">
        <v>128</v>
      </c>
      <c r="C102" s="202">
        <f t="shared" ca="1" si="211"/>
        <v>0</v>
      </c>
      <c r="D102" s="203">
        <f t="shared" ca="1" si="212"/>
        <v>0</v>
      </c>
      <c r="E102" s="93">
        <f ca="1">IFERROR(__xludf.DUMMYFUNCTION("IMPORTRANGE(""https://docs.google.com/spreadsheets/d/1-uDff_7J0KD5mKrp0Vvzr7lt3OU09vwQwhkpOPPYv2Y/edit?usp=sharing"",""งบพรบ!CV102"")"),0)</f>
        <v>0</v>
      </c>
      <c r="F102" s="93">
        <f ca="1">IFERROR(__xludf.DUMMYFUNCTION("IMPORTRANGE(""https://docs.google.com/spreadsheets/d/1-uDff_7J0KD5mKrp0Vvzr7lt3OU09vwQwhkpOPPYv2Y/edit?usp=sharing"",""งบพรบ!CW102"")"),0)</f>
        <v>0</v>
      </c>
      <c r="G102" s="93">
        <f ca="1">IFERROR(__xludf.DUMMYFUNCTION("IMPORTRANGE(""https://docs.google.com/spreadsheets/d/1-uDff_7J0KD5mKrp0Vvzr7lt3OU09vwQwhkpOPPYv2Y/edit?usp=sharing"",""งบพรบ!CX102"")"),0)</f>
        <v>0</v>
      </c>
      <c r="H102" s="93">
        <f ca="1">IFERROR(__xludf.DUMMYFUNCTION("IMPORTRANGE(""https://docs.google.com/spreadsheets/d/1-uDff_7J0KD5mKrp0Vvzr7lt3OU09vwQwhkpOPPYv2Y/edit?usp=sharing"",""งบพรบ!CZ102"")"),0)</f>
        <v>0</v>
      </c>
      <c r="I102" s="93">
        <f ca="1">IFERROR(__xludf.DUMMYFUNCTION("IMPORTRANGE(""https://docs.google.com/spreadsheets/d/1-uDff_7J0KD5mKrp0Vvzr7lt3OU09vwQwhkpOPPYv2Y/edit?usp=sharing"",""งบพรบ!DA102"")"),0)</f>
        <v>0</v>
      </c>
      <c r="J102" s="93">
        <f t="shared" ca="1" si="213"/>
        <v>0</v>
      </c>
      <c r="K102" s="94">
        <f t="shared" ca="1" si="214"/>
        <v>0</v>
      </c>
      <c r="L102" s="93">
        <f ca="1">IFERROR(__xludf.DUMMYFUNCTION("IMPORTRANGE(""https://docs.google.com/spreadsheets/d/1-uDff_7J0KD5mKrp0Vvzr7lt3OU09vwQwhkpOPPYv2Y/edit?usp=sharing"",""งบพรบ!DB102"")"),0)</f>
        <v>0</v>
      </c>
      <c r="M102" s="95">
        <f t="shared" ca="1" si="215"/>
        <v>0</v>
      </c>
      <c r="N102" s="95">
        <f t="shared" ca="1" si="216"/>
        <v>0</v>
      </c>
      <c r="O102" s="96">
        <f ca="1">IFERROR(__xludf.DUMMYFUNCTION("IMPORTRANGE(""https://docs.google.com/spreadsheets/d/1-uDff_7J0KD5mKrp0Vvzr7lt3OU09vwQwhkpOPPYv2Y/edit?usp=sharing"",""งบพรบ!DC102"")"),0)</f>
        <v>0</v>
      </c>
      <c r="P102" s="96">
        <f t="shared" ca="1" si="217"/>
        <v>0</v>
      </c>
      <c r="Q102" s="95">
        <f t="shared" ca="1" si="218"/>
        <v>0</v>
      </c>
      <c r="R102" s="248">
        <v>0</v>
      </c>
      <c r="S102" s="86">
        <v>0</v>
      </c>
      <c r="T102" s="86">
        <v>0</v>
      </c>
      <c r="U102" s="87">
        <f t="shared" si="89"/>
        <v>0</v>
      </c>
      <c r="V102" s="87">
        <f t="shared" si="90"/>
        <v>0</v>
      </c>
      <c r="W102" s="93"/>
      <c r="X102" s="93"/>
      <c r="Y102" s="95"/>
      <c r="Z102" s="93"/>
      <c r="AA102" s="93"/>
      <c r="AB102" s="95"/>
      <c r="AC102" s="93"/>
      <c r="AD102" s="93"/>
      <c r="AE102" s="93"/>
      <c r="AF102" s="93"/>
      <c r="AG102" s="93"/>
      <c r="AH102" s="95"/>
      <c r="AI102" s="93"/>
      <c r="AJ102" s="93"/>
      <c r="AK102" s="95"/>
      <c r="AL102" s="93"/>
      <c r="AM102" s="93"/>
      <c r="AN102" s="95"/>
      <c r="AO102" s="93"/>
      <c r="AP102" s="93"/>
      <c r="AQ102" s="95"/>
      <c r="AR102" s="294"/>
      <c r="AS102" s="294"/>
      <c r="AT102" s="93"/>
      <c r="AU102" s="93"/>
      <c r="AV102" s="95"/>
      <c r="AW102" s="93"/>
      <c r="AX102" s="93"/>
      <c r="AY102" s="95"/>
      <c r="AZ102" s="93"/>
      <c r="BA102" s="93"/>
      <c r="BB102" s="95"/>
      <c r="BC102" s="93"/>
      <c r="BD102" s="93"/>
      <c r="BE102" s="95"/>
      <c r="BF102" s="93"/>
      <c r="BG102" s="93"/>
      <c r="BH102" s="95"/>
      <c r="BI102" s="93"/>
      <c r="BJ102" s="93"/>
      <c r="BK102" s="95"/>
      <c r="BL102" s="93"/>
      <c r="BM102" s="93"/>
      <c r="BN102" s="95"/>
      <c r="BO102" s="93"/>
      <c r="BP102" s="93"/>
      <c r="BQ102" s="95"/>
      <c r="BR102" s="93"/>
      <c r="BS102" s="93"/>
      <c r="BT102" s="95"/>
      <c r="BU102" s="93"/>
      <c r="BV102" s="93"/>
      <c r="BW102" s="95"/>
      <c r="BX102" s="93"/>
      <c r="BY102" s="93"/>
      <c r="BZ102" s="95"/>
      <c r="CA102" s="93"/>
      <c r="CB102" s="93"/>
      <c r="CC102" s="95"/>
      <c r="CD102" s="93"/>
      <c r="CE102" s="93"/>
      <c r="CF102" s="95"/>
      <c r="CG102" s="93"/>
      <c r="CH102" s="93"/>
      <c r="CI102" s="95"/>
      <c r="CJ102" s="93"/>
      <c r="CK102" s="93"/>
      <c r="CL102" s="95"/>
      <c r="CM102" s="93"/>
      <c r="CN102" s="93"/>
    </row>
    <row r="103" spans="1:92" ht="24" hidden="1" customHeight="1" x14ac:dyDescent="0.3">
      <c r="A103" s="201"/>
      <c r="B103" s="129" t="s">
        <v>129</v>
      </c>
      <c r="C103" s="202">
        <f t="shared" ca="1" si="211"/>
        <v>1888700</v>
      </c>
      <c r="D103" s="203">
        <f t="shared" ca="1" si="212"/>
        <v>1888700</v>
      </c>
      <c r="E103" s="93">
        <f ca="1">IFERROR(__xludf.DUMMYFUNCTION("IMPORTRANGE(""https://docs.google.com/spreadsheets/d/1-uDff_7J0KD5mKrp0Vvzr7lt3OU09vwQwhkpOPPYv2Y/edit?usp=sharing"",""งบพรบ!CV103"")"),356700)</f>
        <v>356700</v>
      </c>
      <c r="F103" s="93">
        <f ca="1">IFERROR(__xludf.DUMMYFUNCTION("IMPORTRANGE(""https://docs.google.com/spreadsheets/d/1-uDff_7J0KD5mKrp0Vvzr7lt3OU09vwQwhkpOPPYv2Y/edit?usp=sharing"",""งบพรบ!CW103"")"),1532000)</f>
        <v>1532000</v>
      </c>
      <c r="G103" s="93">
        <f ca="1">IFERROR(__xludf.DUMMYFUNCTION("IMPORTRANGE(""https://docs.google.com/spreadsheets/d/1-uDff_7J0KD5mKrp0Vvzr7lt3OU09vwQwhkpOPPYv2Y/edit?usp=sharing"",""งบพรบ!CX103"")"),0)</f>
        <v>0</v>
      </c>
      <c r="H103" s="93">
        <f ca="1">IFERROR(__xludf.DUMMYFUNCTION("IMPORTRANGE(""https://docs.google.com/spreadsheets/d/1-uDff_7J0KD5mKrp0Vvzr7lt3OU09vwQwhkpOPPYv2Y/edit?usp=sharing"",""งบพรบ!CZ103"")"),1494835)</f>
        <v>1494835</v>
      </c>
      <c r="I103" s="93">
        <f ca="1">IFERROR(__xludf.DUMMYFUNCTION("IMPORTRANGE(""https://docs.google.com/spreadsheets/d/1-uDff_7J0KD5mKrp0Vvzr7lt3OU09vwQwhkpOPPYv2Y/edit?usp=sharing"",""งบพรบ!DA103"")"),0)</f>
        <v>0</v>
      </c>
      <c r="J103" s="93">
        <f t="shared" ca="1" si="213"/>
        <v>471445.46</v>
      </c>
      <c r="K103" s="94">
        <f t="shared" ca="1" si="214"/>
        <v>24.961373431460792</v>
      </c>
      <c r="L103" s="93">
        <f ca="1">IFERROR(__xludf.DUMMYFUNCTION("IMPORTRANGE(""https://docs.google.com/spreadsheets/d/1-uDff_7J0KD5mKrp0Vvzr7lt3OU09vwQwhkpOPPYv2Y/edit?usp=sharing"",""งบพรบ!DB103"")"),471445.46)</f>
        <v>471445.46</v>
      </c>
      <c r="M103" s="95">
        <f t="shared" ca="1" si="215"/>
        <v>24.961373431460792</v>
      </c>
      <c r="N103" s="95">
        <f t="shared" ca="1" si="216"/>
        <v>31.538294193004578</v>
      </c>
      <c r="O103" s="96">
        <f ca="1">IFERROR(__xludf.DUMMYFUNCTION("IMPORTRANGE(""https://docs.google.com/spreadsheets/d/1-uDff_7J0KD5mKrp0Vvzr7lt3OU09vwQwhkpOPPYv2Y/edit?usp=sharing"",""งบพรบ!DC103"")"),0)</f>
        <v>0</v>
      </c>
      <c r="P103" s="96">
        <f t="shared" ca="1" si="217"/>
        <v>0</v>
      </c>
      <c r="Q103" s="95">
        <f t="shared" ca="1" si="218"/>
        <v>0</v>
      </c>
      <c r="R103" s="248">
        <v>0</v>
      </c>
      <c r="S103" s="86">
        <v>0</v>
      </c>
      <c r="T103" s="86">
        <v>0</v>
      </c>
      <c r="U103" s="87">
        <f t="shared" si="89"/>
        <v>0</v>
      </c>
      <c r="V103" s="87">
        <f t="shared" si="90"/>
        <v>0</v>
      </c>
      <c r="W103" s="249"/>
      <c r="X103" s="249"/>
      <c r="Y103" s="132"/>
      <c r="Z103" s="249"/>
      <c r="AA103" s="249"/>
      <c r="AB103" s="132"/>
      <c r="AC103" s="249"/>
      <c r="AD103" s="249"/>
      <c r="AE103" s="249"/>
      <c r="AF103" s="249"/>
      <c r="AG103" s="249"/>
      <c r="AH103" s="132"/>
      <c r="AI103" s="249"/>
      <c r="AJ103" s="249"/>
      <c r="AK103" s="132"/>
      <c r="AL103" s="249"/>
      <c r="AM103" s="249"/>
      <c r="AN103" s="132"/>
      <c r="AO103" s="249"/>
      <c r="AP103" s="249"/>
      <c r="AQ103" s="132"/>
      <c r="AR103" s="295"/>
      <c r="AS103" s="295"/>
      <c r="AT103" s="249"/>
      <c r="AU103" s="249"/>
      <c r="AV103" s="132"/>
      <c r="AW103" s="249"/>
      <c r="AX103" s="249"/>
      <c r="AY103" s="132"/>
      <c r="AZ103" s="249"/>
      <c r="BA103" s="249"/>
      <c r="BB103" s="132"/>
      <c r="BC103" s="249"/>
      <c r="BD103" s="249"/>
      <c r="BE103" s="132"/>
      <c r="BF103" s="249"/>
      <c r="BG103" s="249"/>
      <c r="BH103" s="132"/>
      <c r="BI103" s="249"/>
      <c r="BJ103" s="249"/>
      <c r="BK103" s="132"/>
      <c r="BL103" s="249"/>
      <c r="BM103" s="249"/>
      <c r="BN103" s="132"/>
      <c r="BO103" s="249"/>
      <c r="BP103" s="249"/>
      <c r="BQ103" s="132"/>
      <c r="BR103" s="249"/>
      <c r="BS103" s="249"/>
      <c r="BT103" s="132"/>
      <c r="BU103" s="249"/>
      <c r="BV103" s="249"/>
      <c r="BW103" s="132"/>
      <c r="BX103" s="249"/>
      <c r="BY103" s="249"/>
      <c r="BZ103" s="132"/>
      <c r="CA103" s="249"/>
      <c r="CB103" s="249"/>
      <c r="CC103" s="132"/>
      <c r="CD103" s="249"/>
      <c r="CE103" s="249"/>
      <c r="CF103" s="132"/>
      <c r="CG103" s="249"/>
      <c r="CH103" s="249"/>
      <c r="CI103" s="132"/>
      <c r="CJ103" s="249"/>
      <c r="CK103" s="249"/>
      <c r="CL103" s="132"/>
      <c r="CM103" s="249"/>
      <c r="CN103" s="249"/>
    </row>
    <row r="104" spans="1:92" ht="24" hidden="1" customHeight="1" x14ac:dyDescent="0.3">
      <c r="A104" s="201"/>
      <c r="B104" s="129" t="s">
        <v>130</v>
      </c>
      <c r="C104" s="202">
        <f t="shared" ca="1" si="211"/>
        <v>134700</v>
      </c>
      <c r="D104" s="203">
        <f t="shared" ca="1" si="212"/>
        <v>134700</v>
      </c>
      <c r="E104" s="93">
        <f ca="1">IFERROR(__xludf.DUMMYFUNCTION("IMPORTRANGE(""https://docs.google.com/spreadsheets/d/1-uDff_7J0KD5mKrp0Vvzr7lt3OU09vwQwhkpOPPYv2Y/edit?usp=sharing"",""งบพรบ!CV104"")"),134700)</f>
        <v>134700</v>
      </c>
      <c r="F104" s="93">
        <f ca="1">IFERROR(__xludf.DUMMYFUNCTION("IMPORTRANGE(""https://docs.google.com/spreadsheets/d/1-uDff_7J0KD5mKrp0Vvzr7lt3OU09vwQwhkpOPPYv2Y/edit?usp=sharing"",""งบพรบ!CW104"")"),0)</f>
        <v>0</v>
      </c>
      <c r="G104" s="93">
        <f ca="1">IFERROR(__xludf.DUMMYFUNCTION("IMPORTRANGE(""https://docs.google.com/spreadsheets/d/1-uDff_7J0KD5mKrp0Vvzr7lt3OU09vwQwhkpOPPYv2Y/edit?usp=sharing"",""งบพรบ!CX104"")"),0)</f>
        <v>0</v>
      </c>
      <c r="H104" s="93">
        <f ca="1">IFERROR(__xludf.DUMMYFUNCTION("IMPORTRANGE(""https://docs.google.com/spreadsheets/d/1-uDff_7J0KD5mKrp0Vvzr7lt3OU09vwQwhkpOPPYv2Y/edit?usp=sharing"",""งบพรบ!CZ104"")"),134700)</f>
        <v>134700</v>
      </c>
      <c r="I104" s="93">
        <f ca="1">IFERROR(__xludf.DUMMYFUNCTION("IMPORTRANGE(""https://docs.google.com/spreadsheets/d/1-uDff_7J0KD5mKrp0Vvzr7lt3OU09vwQwhkpOPPYv2Y/edit?usp=sharing"",""งบพรบ!DA104"")"),0)</f>
        <v>0</v>
      </c>
      <c r="J104" s="93">
        <f t="shared" ca="1" si="213"/>
        <v>100000</v>
      </c>
      <c r="K104" s="94">
        <f t="shared" ca="1" si="214"/>
        <v>74.239049740163324</v>
      </c>
      <c r="L104" s="93">
        <f ca="1">IFERROR(__xludf.DUMMYFUNCTION("IMPORTRANGE(""https://docs.google.com/spreadsheets/d/1-uDff_7J0KD5mKrp0Vvzr7lt3OU09vwQwhkpOPPYv2Y/edit?usp=sharing"",""งบพรบ!DB104"")"),100000)</f>
        <v>100000</v>
      </c>
      <c r="M104" s="95">
        <f t="shared" ca="1" si="215"/>
        <v>74.239049740163324</v>
      </c>
      <c r="N104" s="95">
        <f t="shared" ca="1" si="216"/>
        <v>74.239049740163324</v>
      </c>
      <c r="O104" s="96">
        <f ca="1">IFERROR(__xludf.DUMMYFUNCTION("IMPORTRANGE(""https://docs.google.com/spreadsheets/d/1-uDff_7J0KD5mKrp0Vvzr7lt3OU09vwQwhkpOPPYv2Y/edit?usp=sharing"",""งบพรบ!DC104"")"),0)</f>
        <v>0</v>
      </c>
      <c r="P104" s="96">
        <f t="shared" ca="1" si="217"/>
        <v>0</v>
      </c>
      <c r="Q104" s="95">
        <f t="shared" ca="1" si="218"/>
        <v>0</v>
      </c>
      <c r="R104" s="248">
        <v>0</v>
      </c>
      <c r="S104" s="86">
        <v>0</v>
      </c>
      <c r="T104" s="86">
        <v>0</v>
      </c>
      <c r="U104" s="87">
        <f t="shared" si="89"/>
        <v>0</v>
      </c>
      <c r="V104" s="87">
        <f t="shared" si="90"/>
        <v>0</v>
      </c>
      <c r="W104" s="93"/>
      <c r="X104" s="93"/>
      <c r="Y104" s="95"/>
      <c r="Z104" s="93"/>
      <c r="AA104" s="93"/>
      <c r="AB104" s="95"/>
      <c r="AC104" s="93"/>
      <c r="AD104" s="93"/>
      <c r="AE104" s="93"/>
      <c r="AF104" s="93"/>
      <c r="AG104" s="93"/>
      <c r="AH104" s="95"/>
      <c r="AI104" s="93"/>
      <c r="AJ104" s="93"/>
      <c r="AK104" s="95"/>
      <c r="AL104" s="93"/>
      <c r="AM104" s="93"/>
      <c r="AN104" s="95"/>
      <c r="AO104" s="93"/>
      <c r="AP104" s="93"/>
      <c r="AQ104" s="95"/>
      <c r="AR104" s="296"/>
      <c r="AS104" s="296"/>
      <c r="AT104" s="93"/>
      <c r="AU104" s="93"/>
      <c r="AV104" s="95"/>
      <c r="AW104" s="93"/>
      <c r="AX104" s="93"/>
      <c r="AY104" s="95"/>
      <c r="AZ104" s="93"/>
      <c r="BA104" s="93"/>
      <c r="BB104" s="95"/>
      <c r="BC104" s="93"/>
      <c r="BD104" s="93"/>
      <c r="BE104" s="95"/>
      <c r="BF104" s="93"/>
      <c r="BG104" s="93"/>
      <c r="BH104" s="95"/>
      <c r="BI104" s="93"/>
      <c r="BJ104" s="93"/>
      <c r="BK104" s="95"/>
      <c r="BL104" s="93"/>
      <c r="BM104" s="93"/>
      <c r="BN104" s="95"/>
      <c r="BO104" s="93"/>
      <c r="BP104" s="93"/>
      <c r="BQ104" s="95"/>
      <c r="BR104" s="93"/>
      <c r="BS104" s="93"/>
      <c r="BT104" s="95"/>
      <c r="BU104" s="93"/>
      <c r="BV104" s="93"/>
      <c r="BW104" s="95"/>
      <c r="BX104" s="93"/>
      <c r="BY104" s="93"/>
      <c r="BZ104" s="95"/>
      <c r="CA104" s="93"/>
      <c r="CB104" s="93"/>
      <c r="CC104" s="95"/>
      <c r="CD104" s="93"/>
      <c r="CE104" s="93"/>
      <c r="CF104" s="95"/>
      <c r="CG104" s="93"/>
      <c r="CH104" s="93"/>
      <c r="CI104" s="95"/>
      <c r="CJ104" s="93"/>
      <c r="CK104" s="93"/>
      <c r="CL104" s="95"/>
      <c r="CM104" s="93"/>
      <c r="CN104" s="93"/>
    </row>
    <row r="105" spans="1:92" ht="24" hidden="1" customHeight="1" x14ac:dyDescent="0.3">
      <c r="A105" s="201"/>
      <c r="B105" s="133" t="s">
        <v>131</v>
      </c>
      <c r="C105" s="202">
        <f t="shared" ca="1" si="211"/>
        <v>0</v>
      </c>
      <c r="D105" s="203">
        <f t="shared" ca="1" si="212"/>
        <v>0</v>
      </c>
      <c r="E105" s="93">
        <f ca="1">IFERROR(__xludf.DUMMYFUNCTION("IMPORTRANGE(""https://docs.google.com/spreadsheets/d/1-uDff_7J0KD5mKrp0Vvzr7lt3OU09vwQwhkpOPPYv2Y/edit?usp=sharing"",""งบพรบ!CV105"")"),0)</f>
        <v>0</v>
      </c>
      <c r="F105" s="93">
        <f ca="1">IFERROR(__xludf.DUMMYFUNCTION("IMPORTRANGE(""https://docs.google.com/spreadsheets/d/1-uDff_7J0KD5mKrp0Vvzr7lt3OU09vwQwhkpOPPYv2Y/edit?usp=sharing"",""งบพรบ!CW105"")"),0)</f>
        <v>0</v>
      </c>
      <c r="G105" s="93">
        <f ca="1">IFERROR(__xludf.DUMMYFUNCTION("IMPORTRANGE(""https://docs.google.com/spreadsheets/d/1-uDff_7J0KD5mKrp0Vvzr7lt3OU09vwQwhkpOPPYv2Y/edit?usp=sharing"",""งบพรบ!CX105"")"),0)</f>
        <v>0</v>
      </c>
      <c r="H105" s="93">
        <f ca="1">IFERROR(__xludf.DUMMYFUNCTION("IMPORTRANGE(""https://docs.google.com/spreadsheets/d/1-uDff_7J0KD5mKrp0Vvzr7lt3OU09vwQwhkpOPPYv2Y/edit?usp=sharing"",""งบพรบ!CZ105"")"),0)</f>
        <v>0</v>
      </c>
      <c r="I105" s="93">
        <f ca="1">IFERROR(__xludf.DUMMYFUNCTION("IMPORTRANGE(""https://docs.google.com/spreadsheets/d/1-uDff_7J0KD5mKrp0Vvzr7lt3OU09vwQwhkpOPPYv2Y/edit?usp=sharing"",""งบพรบ!DA105"")"),0)</f>
        <v>0</v>
      </c>
      <c r="J105" s="93">
        <f t="shared" ca="1" si="213"/>
        <v>0</v>
      </c>
      <c r="K105" s="94">
        <f t="shared" ca="1" si="214"/>
        <v>0</v>
      </c>
      <c r="L105" s="93">
        <f ca="1">IFERROR(__xludf.DUMMYFUNCTION("IMPORTRANGE(""https://docs.google.com/spreadsheets/d/1-uDff_7J0KD5mKrp0Vvzr7lt3OU09vwQwhkpOPPYv2Y/edit?usp=sharing"",""งบพรบ!DB105"")"),0)</f>
        <v>0</v>
      </c>
      <c r="M105" s="95">
        <f t="shared" ca="1" si="215"/>
        <v>0</v>
      </c>
      <c r="N105" s="95">
        <f t="shared" ca="1" si="216"/>
        <v>0</v>
      </c>
      <c r="O105" s="96">
        <f ca="1">IFERROR(__xludf.DUMMYFUNCTION("IMPORTRANGE(""https://docs.google.com/spreadsheets/d/1-uDff_7J0KD5mKrp0Vvzr7lt3OU09vwQwhkpOPPYv2Y/edit?usp=sharing"",""งบพรบ!DC105"")"),0)</f>
        <v>0</v>
      </c>
      <c r="P105" s="96">
        <f t="shared" ca="1" si="217"/>
        <v>0</v>
      </c>
      <c r="Q105" s="95">
        <f t="shared" ca="1" si="218"/>
        <v>0</v>
      </c>
      <c r="R105" s="248">
        <v>0</v>
      </c>
      <c r="S105" s="86">
        <v>0</v>
      </c>
      <c r="T105" s="86">
        <v>0</v>
      </c>
      <c r="U105" s="87">
        <f t="shared" si="89"/>
        <v>0</v>
      </c>
      <c r="V105" s="87">
        <f t="shared" si="90"/>
        <v>0</v>
      </c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294"/>
      <c r="AS105" s="294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  <c r="CA105" s="122"/>
      <c r="CB105" s="122"/>
      <c r="CC105" s="122"/>
      <c r="CD105" s="122"/>
      <c r="CE105" s="122"/>
      <c r="CF105" s="122"/>
      <c r="CG105" s="122"/>
      <c r="CH105" s="122"/>
      <c r="CI105" s="122"/>
      <c r="CJ105" s="122"/>
      <c r="CK105" s="122"/>
      <c r="CL105" s="122"/>
      <c r="CM105" s="122"/>
      <c r="CN105" s="122"/>
    </row>
    <row r="106" spans="1:92" ht="24" hidden="1" customHeight="1" x14ac:dyDescent="0.3">
      <c r="A106" s="205"/>
      <c r="B106" s="137" t="s">
        <v>132</v>
      </c>
      <c r="C106" s="206">
        <f t="shared" ca="1" si="211"/>
        <v>0</v>
      </c>
      <c r="D106" s="207">
        <f t="shared" ca="1" si="212"/>
        <v>0</v>
      </c>
      <c r="E106" s="104">
        <f ca="1">IFERROR(__xludf.DUMMYFUNCTION("IMPORTRANGE(""https://docs.google.com/spreadsheets/d/1-uDff_7J0KD5mKrp0Vvzr7lt3OU09vwQwhkpOPPYv2Y/edit?usp=sharing"",""งบพรบ!CV106"")"),0)</f>
        <v>0</v>
      </c>
      <c r="F106" s="104">
        <f ca="1">IFERROR(__xludf.DUMMYFUNCTION("IMPORTRANGE(""https://docs.google.com/spreadsheets/d/1-uDff_7J0KD5mKrp0Vvzr7lt3OU09vwQwhkpOPPYv2Y/edit?usp=sharing"",""งบพรบ!CW106"")"),0)</f>
        <v>0</v>
      </c>
      <c r="G106" s="104">
        <f ca="1">IFERROR(__xludf.DUMMYFUNCTION("IMPORTRANGE(""https://docs.google.com/spreadsheets/d/1-uDff_7J0KD5mKrp0Vvzr7lt3OU09vwQwhkpOPPYv2Y/edit?usp=sharing"",""งบพรบ!CX106"")"),0)</f>
        <v>0</v>
      </c>
      <c r="H106" s="104">
        <f ca="1">IFERROR(__xludf.DUMMYFUNCTION("IMPORTRANGE(""https://docs.google.com/spreadsheets/d/1-uDff_7J0KD5mKrp0Vvzr7lt3OU09vwQwhkpOPPYv2Y/edit?usp=sharing"",""งบพรบ!CZ106"")"),0)</f>
        <v>0</v>
      </c>
      <c r="I106" s="104">
        <f ca="1">IFERROR(__xludf.DUMMYFUNCTION("IMPORTRANGE(""https://docs.google.com/spreadsheets/d/1-uDff_7J0KD5mKrp0Vvzr7lt3OU09vwQwhkpOPPYv2Y/edit?usp=sharing"",""งบพรบ!DA106"")"),0)</f>
        <v>0</v>
      </c>
      <c r="J106" s="104">
        <f t="shared" ca="1" si="213"/>
        <v>0</v>
      </c>
      <c r="K106" s="105">
        <f t="shared" ca="1" si="214"/>
        <v>0</v>
      </c>
      <c r="L106" s="104">
        <f ca="1">IFERROR(__xludf.DUMMYFUNCTION("IMPORTRANGE(""https://docs.google.com/spreadsheets/d/1-uDff_7J0KD5mKrp0Vvzr7lt3OU09vwQwhkpOPPYv2Y/edit?usp=sharing"",""งบพรบ!DB106"")"),0)</f>
        <v>0</v>
      </c>
      <c r="M106" s="106">
        <f t="shared" ca="1" si="215"/>
        <v>0</v>
      </c>
      <c r="N106" s="106">
        <f t="shared" ca="1" si="216"/>
        <v>0</v>
      </c>
      <c r="O106" s="107">
        <f ca="1">IFERROR(__xludf.DUMMYFUNCTION("IMPORTRANGE(""https://docs.google.com/spreadsheets/d/1-uDff_7J0KD5mKrp0Vvzr7lt3OU09vwQwhkpOPPYv2Y/edit?usp=sharing"",""งบพรบ!DC106"")"),0)</f>
        <v>0</v>
      </c>
      <c r="P106" s="107">
        <f t="shared" ca="1" si="217"/>
        <v>0</v>
      </c>
      <c r="Q106" s="106">
        <f t="shared" ca="1" si="218"/>
        <v>0</v>
      </c>
      <c r="R106" s="250">
        <v>0</v>
      </c>
      <c r="S106" s="108">
        <v>0</v>
      </c>
      <c r="T106" s="108">
        <v>0</v>
      </c>
      <c r="U106" s="109">
        <f t="shared" si="89"/>
        <v>0</v>
      </c>
      <c r="V106" s="109">
        <f t="shared" si="90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297"/>
      <c r="AS106" s="297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  <c r="BI106" s="104"/>
      <c r="BJ106" s="104"/>
      <c r="BK106" s="104"/>
      <c r="BL106" s="104"/>
      <c r="BM106" s="104"/>
      <c r="BN106" s="104"/>
      <c r="BO106" s="104"/>
      <c r="BP106" s="104"/>
      <c r="BQ106" s="104"/>
      <c r="BR106" s="104"/>
      <c r="BS106" s="104"/>
      <c r="BT106" s="104"/>
      <c r="BU106" s="104"/>
      <c r="BV106" s="104"/>
      <c r="BW106" s="104"/>
      <c r="BX106" s="104"/>
      <c r="BY106" s="104"/>
      <c r="BZ106" s="104"/>
      <c r="CA106" s="104"/>
      <c r="CB106" s="104"/>
      <c r="CC106" s="104"/>
      <c r="CD106" s="104"/>
      <c r="CE106" s="104"/>
      <c r="CF106" s="104"/>
      <c r="CG106" s="104"/>
      <c r="CH106" s="104"/>
      <c r="CI106" s="104"/>
      <c r="CJ106" s="104"/>
      <c r="CK106" s="104"/>
      <c r="CL106" s="104"/>
      <c r="CM106" s="104"/>
      <c r="CN106" s="104"/>
    </row>
  </sheetData>
  <mergeCells count="77">
    <mergeCell ref="AT4:AV4"/>
    <mergeCell ref="AW4:AY4"/>
    <mergeCell ref="AU5:AV5"/>
    <mergeCell ref="AX5:AY5"/>
    <mergeCell ref="A7:B7"/>
    <mergeCell ref="AJ5:AK5"/>
    <mergeCell ref="AM5:AN5"/>
    <mergeCell ref="AO4:AQ4"/>
    <mergeCell ref="AR4:AS4"/>
    <mergeCell ref="AP5:AQ5"/>
    <mergeCell ref="AR5:AS5"/>
    <mergeCell ref="H4:I4"/>
    <mergeCell ref="C5:C6"/>
    <mergeCell ref="D5:D6"/>
    <mergeCell ref="E5:E6"/>
    <mergeCell ref="F5:F6"/>
    <mergeCell ref="R3:V3"/>
    <mergeCell ref="R4:R6"/>
    <mergeCell ref="S4:S6"/>
    <mergeCell ref="T4:T6"/>
    <mergeCell ref="U4:U6"/>
    <mergeCell ref="V4:V6"/>
    <mergeCell ref="G5:G6"/>
    <mergeCell ref="A31:B31"/>
    <mergeCell ref="A52:B52"/>
    <mergeCell ref="A74:B74"/>
    <mergeCell ref="A89:B89"/>
    <mergeCell ref="CK5:CL5"/>
    <mergeCell ref="AZ4:BB4"/>
    <mergeCell ref="C4:G4"/>
    <mergeCell ref="A13:B13"/>
    <mergeCell ref="CD4:CF4"/>
    <mergeCell ref="CG4:CI4"/>
    <mergeCell ref="CJ4:CL4"/>
    <mergeCell ref="A2:B6"/>
    <mergeCell ref="C2:CN2"/>
    <mergeCell ref="C3:Q3"/>
    <mergeCell ref="W3:AE3"/>
    <mergeCell ref="AF3:AS3"/>
    <mergeCell ref="AT3:BH3"/>
    <mergeCell ref="BC4:BE4"/>
    <mergeCell ref="BF4:BH4"/>
    <mergeCell ref="BI4:BK4"/>
    <mergeCell ref="CE5:CF5"/>
    <mergeCell ref="CH5:CI5"/>
    <mergeCell ref="CM4:CN4"/>
    <mergeCell ref="J5:K5"/>
    <mergeCell ref="L5:N5"/>
    <mergeCell ref="O5:Q5"/>
    <mergeCell ref="W4:Y4"/>
    <mergeCell ref="Z4:AB4"/>
    <mergeCell ref="X5:Y5"/>
    <mergeCell ref="AA5:AB5"/>
    <mergeCell ref="AC4:AE4"/>
    <mergeCell ref="AF4:AH4"/>
    <mergeCell ref="AG5:AH5"/>
    <mergeCell ref="AI4:AK4"/>
    <mergeCell ref="AL4:AN4"/>
    <mergeCell ref="J4:Q4"/>
    <mergeCell ref="BP5:BQ5"/>
    <mergeCell ref="BS5:BT5"/>
    <mergeCell ref="BV5:BW5"/>
    <mergeCell ref="BY5:BZ5"/>
    <mergeCell ref="CB5:CC5"/>
    <mergeCell ref="BA5:BB5"/>
    <mergeCell ref="BD5:BE5"/>
    <mergeCell ref="BG5:BH5"/>
    <mergeCell ref="BJ5:BK5"/>
    <mergeCell ref="BM5:BN5"/>
    <mergeCell ref="BX4:BZ4"/>
    <mergeCell ref="CA4:CC4"/>
    <mergeCell ref="BR4:BT4"/>
    <mergeCell ref="BU4:BW4"/>
    <mergeCell ref="BI3:BW3"/>
    <mergeCell ref="BX3:CN3"/>
    <mergeCell ref="BL4:BN4"/>
    <mergeCell ref="BO4:BQ4"/>
  </mergeCells>
  <printOptions horizontalCentered="1"/>
  <pageMargins left="0.23622047244094491" right="0.23622047244094491" top="0.55118110236220474" bottom="0.55118110236220474" header="0" footer="0"/>
  <pageSetup paperSize="9" scale="40" fitToWidth="0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3" manualBreakCount="3">
    <brk id="22" max="1048575" man="1"/>
    <brk id="45" max="1048575" man="1"/>
    <brk id="7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  <outlinePr summaryBelow="0" summaryRight="0"/>
    <pageSetUpPr fitToPage="1"/>
  </sheetPr>
  <dimension ref="A1:AB106"/>
  <sheetViews>
    <sheetView view="pageBreakPreview" zoomScale="60" zoomScaleNormal="55" workbookViewId="0">
      <selection activeCell="A13" sqref="A13:B13"/>
    </sheetView>
  </sheetViews>
  <sheetFormatPr defaultColWidth="12.5703125" defaultRowHeight="15.75" customHeight="1" x14ac:dyDescent="0.2"/>
  <cols>
    <col min="3" max="3" width="16.85546875" bestFit="1" customWidth="1"/>
    <col min="4" max="5" width="16.42578125" customWidth="1"/>
    <col min="6" max="6" width="16.85546875" bestFit="1" customWidth="1"/>
    <col min="7" max="7" width="13.42578125" bestFit="1" customWidth="1"/>
    <col min="8" max="8" width="16.42578125" customWidth="1"/>
    <col min="9" max="9" width="13.5703125" bestFit="1" customWidth="1"/>
    <col min="10" max="18" width="16.42578125" customWidth="1"/>
    <col min="23" max="28" width="14.140625" customWidth="1"/>
  </cols>
  <sheetData>
    <row r="1" spans="1:28" ht="19.5" x14ac:dyDescent="0.3">
      <c r="A1" s="1" t="s">
        <v>0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  <c r="N1" s="141"/>
      <c r="O1" s="142"/>
      <c r="P1" s="142"/>
      <c r="Q1" s="142"/>
      <c r="R1" s="142"/>
      <c r="S1" s="142"/>
      <c r="T1" s="142"/>
      <c r="U1" s="142"/>
      <c r="V1" s="142"/>
      <c r="W1" s="139"/>
      <c r="X1" s="139"/>
      <c r="Y1" s="139"/>
      <c r="Z1" s="139"/>
      <c r="AA1" s="139"/>
      <c r="AB1" s="139"/>
    </row>
    <row r="2" spans="1:28" ht="19.5" x14ac:dyDescent="0.2">
      <c r="A2" s="639" t="s">
        <v>1</v>
      </c>
      <c r="B2" s="607"/>
      <c r="C2" s="642" t="s">
        <v>186</v>
      </c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3"/>
    </row>
    <row r="3" spans="1:28" ht="19.5" x14ac:dyDescent="0.2">
      <c r="A3" s="640"/>
      <c r="B3" s="590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584" t="s">
        <v>4</v>
      </c>
      <c r="S3" s="585"/>
      <c r="T3" s="585"/>
      <c r="U3" s="585"/>
      <c r="V3" s="585"/>
      <c r="W3" s="643" t="s">
        <v>187</v>
      </c>
      <c r="X3" s="585"/>
      <c r="Y3" s="607"/>
      <c r="Z3" s="643" t="s">
        <v>188</v>
      </c>
      <c r="AA3" s="585"/>
      <c r="AB3" s="607"/>
    </row>
    <row r="4" spans="1:28" ht="19.5" x14ac:dyDescent="0.3">
      <c r="A4" s="640"/>
      <c r="B4" s="590"/>
      <c r="C4" s="645" t="s">
        <v>7</v>
      </c>
      <c r="D4" s="592"/>
      <c r="E4" s="592"/>
      <c r="F4" s="592"/>
      <c r="G4" s="593"/>
      <c r="H4" s="646" t="s">
        <v>8</v>
      </c>
      <c r="I4" s="593"/>
      <c r="J4" s="644" t="s">
        <v>9</v>
      </c>
      <c r="K4" s="592"/>
      <c r="L4" s="592"/>
      <c r="M4" s="592"/>
      <c r="N4" s="592"/>
      <c r="O4" s="592"/>
      <c r="P4" s="592"/>
      <c r="Q4" s="593"/>
      <c r="R4" s="614" t="s">
        <v>10</v>
      </c>
      <c r="S4" s="615" t="s">
        <v>11</v>
      </c>
      <c r="T4" s="594" t="s">
        <v>12</v>
      </c>
      <c r="U4" s="752" t="s">
        <v>13</v>
      </c>
      <c r="V4" s="752" t="s">
        <v>14</v>
      </c>
      <c r="W4" s="641"/>
      <c r="X4" s="592"/>
      <c r="Y4" s="593"/>
      <c r="Z4" s="641"/>
      <c r="AA4" s="592"/>
      <c r="AB4" s="593"/>
    </row>
    <row r="5" spans="1:28" ht="19.5" x14ac:dyDescent="0.3">
      <c r="A5" s="640"/>
      <c r="B5" s="590"/>
      <c r="C5" s="733" t="s">
        <v>19</v>
      </c>
      <c r="D5" s="734" t="s">
        <v>20</v>
      </c>
      <c r="E5" s="735" t="s">
        <v>21</v>
      </c>
      <c r="F5" s="736" t="s">
        <v>22</v>
      </c>
      <c r="G5" s="737" t="s">
        <v>23</v>
      </c>
      <c r="H5" s="143" t="s">
        <v>24</v>
      </c>
      <c r="I5" s="143" t="s">
        <v>25</v>
      </c>
      <c r="J5" s="630" t="s">
        <v>26</v>
      </c>
      <c r="K5" s="593"/>
      <c r="L5" s="630" t="s">
        <v>24</v>
      </c>
      <c r="M5" s="592"/>
      <c r="N5" s="593"/>
      <c r="O5" s="631" t="s">
        <v>25</v>
      </c>
      <c r="P5" s="592"/>
      <c r="Q5" s="593"/>
      <c r="R5" s="595"/>
      <c r="S5" s="595"/>
      <c r="T5" s="595"/>
      <c r="U5" s="753"/>
      <c r="V5" s="753"/>
      <c r="W5" s="144" t="s">
        <v>27</v>
      </c>
      <c r="X5" s="638" t="s">
        <v>28</v>
      </c>
      <c r="Y5" s="593"/>
      <c r="Z5" s="144" t="s">
        <v>27</v>
      </c>
      <c r="AA5" s="638" t="s">
        <v>28</v>
      </c>
      <c r="AB5" s="593"/>
    </row>
    <row r="6" spans="1:28" ht="46.5" customHeight="1" x14ac:dyDescent="0.2">
      <c r="A6" s="641"/>
      <c r="B6" s="593"/>
      <c r="C6" s="738"/>
      <c r="D6" s="738"/>
      <c r="E6" s="738"/>
      <c r="F6" s="738"/>
      <c r="G6" s="738"/>
      <c r="H6" s="145"/>
      <c r="I6" s="145"/>
      <c r="J6" s="748" t="s">
        <v>29</v>
      </c>
      <c r="K6" s="749" t="s">
        <v>30</v>
      </c>
      <c r="L6" s="748" t="s">
        <v>29</v>
      </c>
      <c r="M6" s="750" t="s">
        <v>31</v>
      </c>
      <c r="N6" s="750" t="s">
        <v>32</v>
      </c>
      <c r="O6" s="751" t="s">
        <v>29</v>
      </c>
      <c r="P6" s="750" t="s">
        <v>31</v>
      </c>
      <c r="Q6" s="750" t="s">
        <v>32</v>
      </c>
      <c r="R6" s="596"/>
      <c r="S6" s="596"/>
      <c r="T6" s="596"/>
      <c r="U6" s="732"/>
      <c r="V6" s="732"/>
      <c r="W6" s="148" t="s">
        <v>34</v>
      </c>
      <c r="X6" s="149" t="s">
        <v>34</v>
      </c>
      <c r="Y6" s="147" t="s">
        <v>30</v>
      </c>
      <c r="Z6" s="148" t="s">
        <v>34</v>
      </c>
      <c r="AA6" s="149" t="s">
        <v>34</v>
      </c>
      <c r="AB6" s="147" t="s">
        <v>30</v>
      </c>
    </row>
    <row r="7" spans="1:28" ht="19.5" x14ac:dyDescent="0.3">
      <c r="A7" s="634" t="s">
        <v>289</v>
      </c>
      <c r="B7" s="635"/>
      <c r="C7" s="150">
        <f t="shared" ref="C7:C9" ca="1" si="0">D7+G7</f>
        <v>2677400</v>
      </c>
      <c r="D7" s="151">
        <f t="shared" ref="D7:E7" ca="1" si="1">D8+D9+D12</f>
        <v>2677400</v>
      </c>
      <c r="E7" s="152">
        <f t="shared" ca="1" si="1"/>
        <v>1204800</v>
      </c>
      <c r="F7" s="153">
        <f ca="1">F8+F9</f>
        <v>1472600</v>
      </c>
      <c r="G7" s="154">
        <f t="shared" ref="G7:I7" ca="1" si="2">G8+G9+G12</f>
        <v>0</v>
      </c>
      <c r="H7" s="155">
        <f t="shared" ca="1" si="2"/>
        <v>2677400</v>
      </c>
      <c r="I7" s="155">
        <f t="shared" ca="1" si="2"/>
        <v>0</v>
      </c>
      <c r="J7" s="156">
        <f t="shared" ref="J7:J9" ca="1" si="3">L7+O7</f>
        <v>298772</v>
      </c>
      <c r="K7" s="157">
        <f t="shared" ref="K7:K9" ca="1" si="4">IF(C7&gt;0,J7*100/C7,0)</f>
        <v>11.159034884589527</v>
      </c>
      <c r="L7" s="156">
        <f ca="1">L8+L9+L12</f>
        <v>298772</v>
      </c>
      <c r="M7" s="27">
        <f t="shared" ref="M7:M9" ca="1" si="5">IF(D7&gt;0,L7*100/D7,0)</f>
        <v>11.159034884589527</v>
      </c>
      <c r="N7" s="27">
        <f t="shared" ref="N7:N9" ca="1" si="6">IF(H7&gt;0,L7*100/H7,0)</f>
        <v>11.159034884589527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6">
        <f t="shared" ref="R7:T7" ca="1" si="9">R8+R9</f>
        <v>3669760</v>
      </c>
      <c r="S7" s="26">
        <f t="shared" ca="1" si="9"/>
        <v>0</v>
      </c>
      <c r="T7" s="26">
        <f t="shared" ca="1" si="9"/>
        <v>0</v>
      </c>
      <c r="U7" s="27">
        <f t="shared" ref="U7:U9" ca="1" si="10">IF(R7&gt;0,T7*100/R7,0)</f>
        <v>0</v>
      </c>
      <c r="V7" s="27">
        <f t="shared" ref="V7:V9" ca="1" si="11">IF(S7&gt;0,T7*100/S7,0)</f>
        <v>0</v>
      </c>
      <c r="W7" s="28">
        <f t="shared" ref="W7:X7" ca="1" si="12">W8</f>
        <v>1600</v>
      </c>
      <c r="X7" s="29">
        <f t="shared" ca="1" si="12"/>
        <v>0</v>
      </c>
      <c r="Y7" s="158">
        <f t="shared" ref="Y7:Y8" ca="1" si="13">IF(W7&gt;0,X7*100/W7,0)</f>
        <v>0</v>
      </c>
      <c r="Z7" s="28">
        <f t="shared" ref="Z7:AA7" si="14">Z8</f>
        <v>0</v>
      </c>
      <c r="AA7" s="29">
        <f t="shared" si="14"/>
        <v>0</v>
      </c>
      <c r="AB7" s="158">
        <f t="shared" ref="AB7:AB9" si="15">IF(Z7&gt;0,AA7*100/Z7,0)</f>
        <v>0</v>
      </c>
    </row>
    <row r="8" spans="1:28" ht="19.5" x14ac:dyDescent="0.3">
      <c r="A8" s="159" t="s">
        <v>37</v>
      </c>
      <c r="B8" s="160"/>
      <c r="C8" s="161">
        <f t="shared" ca="1" si="0"/>
        <v>0</v>
      </c>
      <c r="D8" s="161">
        <f t="shared" ref="D8:I8" ca="1" si="16">+D13+D31+D52+D74</f>
        <v>0</v>
      </c>
      <c r="E8" s="161">
        <f t="shared" ca="1" si="16"/>
        <v>0</v>
      </c>
      <c r="F8" s="161">
        <f t="shared" ca="1" si="16"/>
        <v>0</v>
      </c>
      <c r="G8" s="161">
        <f t="shared" ca="1" si="16"/>
        <v>0</v>
      </c>
      <c r="H8" s="161">
        <f t="shared" ca="1" si="16"/>
        <v>0</v>
      </c>
      <c r="I8" s="161">
        <f t="shared" ca="1" si="16"/>
        <v>0</v>
      </c>
      <c r="J8" s="161">
        <f t="shared" ca="1" si="3"/>
        <v>0</v>
      </c>
      <c r="K8" s="162">
        <f t="shared" ca="1" si="4"/>
        <v>0</v>
      </c>
      <c r="L8" s="161">
        <f ca="1">+L13+L31+L52+L74</f>
        <v>0</v>
      </c>
      <c r="M8" s="40">
        <f t="shared" ca="1" si="5"/>
        <v>0</v>
      </c>
      <c r="N8" s="40">
        <f t="shared" ca="1" si="6"/>
        <v>0</v>
      </c>
      <c r="O8" s="39">
        <f ca="1">+O13+O31+O52+O74</f>
        <v>0</v>
      </c>
      <c r="P8" s="39">
        <f t="shared" ca="1" si="7"/>
        <v>0</v>
      </c>
      <c r="Q8" s="40">
        <f t="shared" ca="1" si="8"/>
        <v>0</v>
      </c>
      <c r="R8" s="39">
        <f t="shared" ref="R8:T8" ca="1" si="17">+R13+R31+R52+R74</f>
        <v>3669760</v>
      </c>
      <c r="S8" s="39">
        <f t="shared" ca="1" si="17"/>
        <v>0</v>
      </c>
      <c r="T8" s="39">
        <f t="shared" ca="1" si="17"/>
        <v>0</v>
      </c>
      <c r="U8" s="40">
        <f t="shared" ca="1" si="10"/>
        <v>0</v>
      </c>
      <c r="V8" s="40">
        <f t="shared" ca="1" si="11"/>
        <v>0</v>
      </c>
      <c r="W8" s="35">
        <f t="shared" ref="W8:X8" ca="1" si="18">+W13+W31+W52+W74</f>
        <v>1600</v>
      </c>
      <c r="X8" s="35">
        <f t="shared" ca="1" si="18"/>
        <v>0</v>
      </c>
      <c r="Y8" s="161">
        <f t="shared" ca="1" si="13"/>
        <v>0</v>
      </c>
      <c r="Z8" s="35">
        <f t="shared" ref="Z8:AA8" si="19">+Z13+Z31+Z52+Z74</f>
        <v>0</v>
      </c>
      <c r="AA8" s="35">
        <f t="shared" si="19"/>
        <v>0</v>
      </c>
      <c r="AB8" s="161">
        <f t="shared" si="15"/>
        <v>0</v>
      </c>
    </row>
    <row r="9" spans="1:28" ht="19.5" x14ac:dyDescent="0.3">
      <c r="A9" s="43" t="s">
        <v>38</v>
      </c>
      <c r="B9" s="163"/>
      <c r="C9" s="164">
        <f t="shared" ca="1" si="0"/>
        <v>2677400</v>
      </c>
      <c r="D9" s="164">
        <f t="shared" ref="D9:I9" ca="1" si="20">+D89</f>
        <v>2677400</v>
      </c>
      <c r="E9" s="164">
        <f t="shared" ca="1" si="20"/>
        <v>1204800</v>
      </c>
      <c r="F9" s="164">
        <f t="shared" ca="1" si="20"/>
        <v>1472600</v>
      </c>
      <c r="G9" s="164">
        <f t="shared" ca="1" si="20"/>
        <v>0</v>
      </c>
      <c r="H9" s="164">
        <f t="shared" ca="1" si="20"/>
        <v>2677400</v>
      </c>
      <c r="I9" s="164">
        <f t="shared" ca="1" si="20"/>
        <v>0</v>
      </c>
      <c r="J9" s="164">
        <f t="shared" ca="1" si="3"/>
        <v>298772</v>
      </c>
      <c r="K9" s="165">
        <f t="shared" ca="1" si="4"/>
        <v>11.159034884589527</v>
      </c>
      <c r="L9" s="164">
        <f ca="1">+L89</f>
        <v>298772</v>
      </c>
      <c r="M9" s="51">
        <f t="shared" ca="1" si="5"/>
        <v>11.159034884589527</v>
      </c>
      <c r="N9" s="51">
        <f t="shared" ca="1" si="6"/>
        <v>11.159034884589527</v>
      </c>
      <c r="O9" s="50">
        <f ca="1">+O89</f>
        <v>0</v>
      </c>
      <c r="P9" s="50">
        <f t="shared" ca="1" si="7"/>
        <v>0</v>
      </c>
      <c r="Q9" s="51">
        <f t="shared" ca="1" si="8"/>
        <v>0</v>
      </c>
      <c r="R9" s="50">
        <f ca="1">IFERROR(__xludf.DUMMYFUNCTION("IMPORTRANGE(""https://docs.google.com/spreadsheets/d/1ItG2mGa2ceCfYo0BwxsXqNm01IGEUdYcSSLTEv9YCik/edit?usp=sharing"",""เบิกจ่ายกองทุน!AJ11"")"),0)</f>
        <v>0</v>
      </c>
      <c r="S9" s="50">
        <f ca="1">IFERROR(__xludf.DUMMYFUNCTION("IMPORTRANGE(""https://docs.google.com/spreadsheets/d/1ItG2mGa2ceCfYo0BwxsXqNm01IGEUdYcSSLTEv9YCik/edit?usp=sharing"",""เบิกจ่ายกองทุน!AK11"")"),0)</f>
        <v>0</v>
      </c>
      <c r="T9" s="50">
        <f ca="1">IFERROR(__xludf.DUMMYFUNCTION("IMPORTRANGE(""https://docs.google.com/spreadsheets/d/1ItG2mGa2ceCfYo0BwxsXqNm01IGEUdYcSSLTEv9YCik/edit?usp=sharing"",""เบิกจ่ายกองทุน!AL11"")"),0)</f>
        <v>0</v>
      </c>
      <c r="U9" s="51">
        <f t="shared" ca="1" si="10"/>
        <v>0</v>
      </c>
      <c r="V9" s="51">
        <f t="shared" ca="1" si="11"/>
        <v>0</v>
      </c>
      <c r="W9" s="209">
        <v>0</v>
      </c>
      <c r="X9" s="209">
        <v>0</v>
      </c>
      <c r="Y9" s="210">
        <v>0</v>
      </c>
      <c r="Z9" s="45">
        <f ca="1">IFERROR(__xludf.DUMMYFUNCTION("IMPORTRANGE(""https://docs.google.com/spreadsheets/d/1W-HhGofCdyidljablT5AVQ143BAUWsE-bKbHVeok6Og/edit?usp=sharing"",""ทั้งประเทศ!I277"")"),0)</f>
        <v>0</v>
      </c>
      <c r="AA9" s="45">
        <f ca="1">IFERROR(__xludf.DUMMYFUNCTION("IMPORTRANGE(""https://docs.google.com/spreadsheets/d/1W-HhGofCdyidljablT5AVQ143BAUWsE-bKbHVeok6Og/edit?usp=sharing"",""ทั้งประเทศ!J277"")"),0)</f>
        <v>0</v>
      </c>
      <c r="AB9" s="164">
        <f t="shared" ca="1" si="15"/>
        <v>0</v>
      </c>
    </row>
    <row r="10" spans="1:28" ht="19.5" hidden="1" x14ac:dyDescent="0.3">
      <c r="A10" s="166"/>
      <c r="B10" s="16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61"/>
      <c r="S10" s="61"/>
      <c r="T10" s="61"/>
      <c r="U10" s="62"/>
      <c r="V10" s="62"/>
      <c r="W10" s="56"/>
      <c r="X10" s="56"/>
      <c r="Y10" s="168"/>
      <c r="Z10" s="56"/>
      <c r="AA10" s="56"/>
      <c r="AB10" s="168"/>
    </row>
    <row r="11" spans="1:28" ht="19.5" hidden="1" x14ac:dyDescent="0.3">
      <c r="A11" s="170"/>
      <c r="B11" s="16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61"/>
      <c r="S11" s="61"/>
      <c r="T11" s="61"/>
      <c r="U11" s="62"/>
      <c r="V11" s="62"/>
      <c r="W11" s="56"/>
      <c r="X11" s="56"/>
      <c r="Y11" s="168"/>
      <c r="Z11" s="56"/>
      <c r="AA11" s="56"/>
      <c r="AB11" s="168"/>
    </row>
    <row r="12" spans="1:28" ht="19.5" hidden="1" x14ac:dyDescent="0.3">
      <c r="A12" s="166"/>
      <c r="B12" s="171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61"/>
      <c r="S12" s="61"/>
      <c r="T12" s="61"/>
      <c r="U12" s="62"/>
      <c r="V12" s="62"/>
      <c r="W12" s="67"/>
      <c r="X12" s="67"/>
      <c r="Y12" s="168"/>
      <c r="Z12" s="67"/>
      <c r="AA12" s="67"/>
      <c r="AB12" s="168"/>
    </row>
    <row r="13" spans="1:28" ht="19.5" x14ac:dyDescent="0.3">
      <c r="A13" s="636" t="s">
        <v>39</v>
      </c>
      <c r="B13" s="633"/>
      <c r="C13" s="161">
        <f t="shared" ref="C13:C88" ca="1" si="21">D13+G13</f>
        <v>0</v>
      </c>
      <c r="D13" s="161">
        <f t="shared" ref="D13:I13" ca="1" si="22">SUM(D14:D30)</f>
        <v>0</v>
      </c>
      <c r="E13" s="161">
        <f t="shared" ca="1" si="22"/>
        <v>0</v>
      </c>
      <c r="F13" s="161">
        <f t="shared" ca="1" si="22"/>
        <v>0</v>
      </c>
      <c r="G13" s="161">
        <f t="shared" ca="1" si="22"/>
        <v>0</v>
      </c>
      <c r="H13" s="161">
        <f t="shared" ca="1" si="22"/>
        <v>0</v>
      </c>
      <c r="I13" s="161">
        <f t="shared" ca="1" si="22"/>
        <v>0</v>
      </c>
      <c r="J13" s="161">
        <f t="shared" ref="J13:J88" ca="1" si="23">L13+O13</f>
        <v>0</v>
      </c>
      <c r="K13" s="162">
        <f t="shared" ref="K13:K88" ca="1" si="24">IF(C13&gt;0,J13*100/C13,0)</f>
        <v>0</v>
      </c>
      <c r="L13" s="161">
        <f ca="1">SUM(L14:L30)</f>
        <v>0</v>
      </c>
      <c r="M13" s="40">
        <f t="shared" ref="M13:M88" ca="1" si="25">IF(D13&gt;0,L13*100/D13,0)</f>
        <v>0</v>
      </c>
      <c r="N13" s="40">
        <f t="shared" ref="N13:N88" ca="1" si="26">IF(H13&gt;0,L13*100/H13,0)</f>
        <v>0</v>
      </c>
      <c r="O13" s="39">
        <f ca="1">SUM(O14:O30)</f>
        <v>0</v>
      </c>
      <c r="P13" s="39">
        <f t="shared" ref="P13:P88" ca="1" si="27">IF(G13&gt;0,O13*100/G13,0)</f>
        <v>0</v>
      </c>
      <c r="Q13" s="40">
        <f t="shared" ref="Q13:Q88" ca="1" si="28">IF(I13&gt;0,O13*100/I13,0)</f>
        <v>0</v>
      </c>
      <c r="R13" s="39">
        <f t="shared" ref="R13:T13" ca="1" si="29">SUM(R14:R30)</f>
        <v>875120</v>
      </c>
      <c r="S13" s="39">
        <f t="shared" ca="1" si="29"/>
        <v>0</v>
      </c>
      <c r="T13" s="39">
        <f t="shared" ca="1" si="29"/>
        <v>0</v>
      </c>
      <c r="U13" s="40">
        <f t="shared" ref="U13:U106" ca="1" si="30">IF(R13&gt;0,T13*100/R13,0)</f>
        <v>0</v>
      </c>
      <c r="V13" s="40">
        <f t="shared" ref="V13:V106" ca="1" si="31">IF(S13&gt;0,T13*100/S13,0)</f>
        <v>0</v>
      </c>
      <c r="W13" s="73">
        <f t="shared" ref="W13:X13" ca="1" si="32">SUM(W14:W30)</f>
        <v>384</v>
      </c>
      <c r="X13" s="73">
        <f t="shared" ca="1" si="32"/>
        <v>0</v>
      </c>
      <c r="Y13" s="161">
        <f t="shared" ref="Y13:Y88" ca="1" si="33">IF(W13&gt;0,X13*100/W13,0)</f>
        <v>0</v>
      </c>
      <c r="Z13" s="213">
        <v>0</v>
      </c>
      <c r="AA13" s="213">
        <v>0</v>
      </c>
      <c r="AB13" s="214">
        <v>0</v>
      </c>
    </row>
    <row r="14" spans="1:28" ht="19.5" x14ac:dyDescent="0.3">
      <c r="A14" s="172">
        <v>1</v>
      </c>
      <c r="B14" s="173" t="s">
        <v>40</v>
      </c>
      <c r="C14" s="174">
        <f t="shared" ca="1" si="21"/>
        <v>0</v>
      </c>
      <c r="D14" s="175">
        <f t="shared" ref="D14:D30" ca="1" si="34">+E14+F14</f>
        <v>0</v>
      </c>
      <c r="E14" s="176">
        <f ca="1">IFERROR(__xludf.DUMMYFUNCTION("IMPORTRANGE(""https://docs.google.com/spreadsheets/d/1-uDff_7J0KD5mKrp0Vvzr7lt3OU09vwQwhkpOPPYv2Y/edit?usp=sharing"",""งบพรบ!DF14"")"),0)</f>
        <v>0</v>
      </c>
      <c r="F14" s="176">
        <f ca="1">IFERROR(__xludf.DUMMYFUNCTION("IMPORTRANGE(""https://docs.google.com/spreadsheets/d/1-uDff_7J0KD5mKrp0Vvzr7lt3OU09vwQwhkpOPPYv2Y/edit?usp=sharing"",""งบพรบ!DG14"")"),0)</f>
        <v>0</v>
      </c>
      <c r="G14" s="177">
        <f ca="1">IFERROR(__xludf.DUMMYFUNCTION("IMPORTRANGE(""https://docs.google.com/spreadsheets/d/1-uDff_7J0KD5mKrp0Vvzr7lt3OU09vwQwhkpOPPYv2Y/edit?usp=sharing"",""งบพรบ!DH14"")"),0)</f>
        <v>0</v>
      </c>
      <c r="H14" s="177">
        <f ca="1">IFERROR(__xludf.DUMMYFUNCTION("IMPORTRANGE(""https://docs.google.com/spreadsheets/d/1-uDff_7J0KD5mKrp0Vvzr7lt3OU09vwQwhkpOPPYv2Y/edit?usp=sharing"",""งบพรบ!DJ14"")"),0)</f>
        <v>0</v>
      </c>
      <c r="I14" s="177">
        <f ca="1">IFERROR(__xludf.DUMMYFUNCTION("IMPORTRANGE(""https://docs.google.com/spreadsheets/d/1-uDff_7J0KD5mKrp0Vvzr7lt3OU09vwQwhkpOPPYv2Y/edit?usp=sharing"",""งบพรบ!DK14"")"),0)</f>
        <v>0</v>
      </c>
      <c r="J14" s="177">
        <f t="shared" ca="1" si="23"/>
        <v>0</v>
      </c>
      <c r="K14" s="178">
        <f t="shared" ca="1" si="24"/>
        <v>0</v>
      </c>
      <c r="L14" s="177">
        <f ca="1">IFERROR(__xludf.DUMMYFUNCTION("IMPORTRANGE(""https://docs.google.com/spreadsheets/d/1-uDff_7J0KD5mKrp0Vvzr7lt3OU09vwQwhkpOPPYv2Y/edit?usp=sharing"",""งบพรบ!DL14"")"),0)</f>
        <v>0</v>
      </c>
      <c r="M14" s="87">
        <f t="shared" ca="1" si="25"/>
        <v>0</v>
      </c>
      <c r="N14" s="87">
        <f t="shared" ca="1" si="26"/>
        <v>0</v>
      </c>
      <c r="O14" s="86">
        <f ca="1">IFERROR(__xludf.DUMMYFUNCTION("IMPORTRANGE(""https://docs.google.com/spreadsheets/d/1-uDff_7J0KD5mKrp0Vvzr7lt3OU09vwQwhkpOPPYv2Y/edit?usp=sharing"",""งบพรบ!DM14"")"),0)</f>
        <v>0</v>
      </c>
      <c r="P14" s="86">
        <f t="shared" ca="1" si="27"/>
        <v>0</v>
      </c>
      <c r="Q14" s="87">
        <f t="shared" ca="1" si="28"/>
        <v>0</v>
      </c>
      <c r="R14" s="86">
        <f ca="1">IFERROR(__xludf.DUMMYFUNCTION("IMPORTRANGE(""https://docs.google.com/spreadsheets/d/1jTcq05yEiRwXcBMLjiodW9e4biSGYWAHcDj22rKWQ3s/edit?usp=sharing"",""กำแพงเพชร!Q266"")"),50660)</f>
        <v>50660</v>
      </c>
      <c r="S14" s="86">
        <f ca="1">IFERROR(__xludf.DUMMYFUNCTION("IMPORTRANGE(""https://docs.google.com/spreadsheets/d/1jTcq05yEiRwXcBMLjiodW9e4biSGYWAHcDj22rKWQ3s/edit?usp=sharing"",""กำแพงเพชร!R266"")"),0)</f>
        <v>0</v>
      </c>
      <c r="T14" s="86">
        <f ca="1">IFERROR(__xludf.DUMMYFUNCTION("IMPORTRANGE(""https://docs.google.com/spreadsheets/d/1jTcq05yEiRwXcBMLjiodW9e4biSGYWAHcDj22rKWQ3s/edit?usp=sharing"",""กำแพงเพชร!S266"")"),0)</f>
        <v>0</v>
      </c>
      <c r="U14" s="87">
        <f t="shared" ca="1" si="30"/>
        <v>0</v>
      </c>
      <c r="V14" s="87">
        <f t="shared" ca="1" si="31"/>
        <v>0</v>
      </c>
      <c r="W14" s="81">
        <f ca="1">IFERROR(__xludf.DUMMYFUNCTION("IMPORTRANGE(""https://docs.google.com/spreadsheets/d/1jTcq05yEiRwXcBMLjiodW9e4biSGYWAHcDj22rKWQ3s/edit?usp=sharing"",""กำแพงเพชร!I276"")"),22)</f>
        <v>22</v>
      </c>
      <c r="X14" s="81">
        <f ca="1">IFERROR(__xludf.DUMMYFUNCTION("IMPORTRANGE(""https://docs.google.com/spreadsheets/d/1jTcq05yEiRwXcBMLjiodW9e4biSGYWAHcDj22rKWQ3s/edit?usp=sharing"",""กำแพงเพชร!J276"")"),0)</f>
        <v>0</v>
      </c>
      <c r="Y14" s="177">
        <f t="shared" ca="1" si="33"/>
        <v>0</v>
      </c>
      <c r="Z14" s="215">
        <v>0</v>
      </c>
      <c r="AA14" s="215">
        <v>0</v>
      </c>
      <c r="AB14" s="215">
        <v>0</v>
      </c>
    </row>
    <row r="15" spans="1:28" ht="19.5" x14ac:dyDescent="0.3">
      <c r="A15" s="172">
        <v>2</v>
      </c>
      <c r="B15" s="173" t="s">
        <v>41</v>
      </c>
      <c r="C15" s="174">
        <f t="shared" ca="1" si="21"/>
        <v>0</v>
      </c>
      <c r="D15" s="175">
        <f t="shared" ca="1" si="34"/>
        <v>0</v>
      </c>
      <c r="E15" s="176">
        <f ca="1">IFERROR(__xludf.DUMMYFUNCTION("IMPORTRANGE(""https://docs.google.com/spreadsheets/d/1-uDff_7J0KD5mKrp0Vvzr7lt3OU09vwQwhkpOPPYv2Y/edit?usp=sharing"",""งบพรบ!DF15"")"),0)</f>
        <v>0</v>
      </c>
      <c r="F15" s="176">
        <f ca="1">IFERROR(__xludf.DUMMYFUNCTION("IMPORTRANGE(""https://docs.google.com/spreadsheets/d/1-uDff_7J0KD5mKrp0Vvzr7lt3OU09vwQwhkpOPPYv2Y/edit?usp=sharing"",""งบพรบ!DG15"")"),0)</f>
        <v>0</v>
      </c>
      <c r="G15" s="176">
        <f ca="1">IFERROR(__xludf.DUMMYFUNCTION("IMPORTRANGE(""https://docs.google.com/spreadsheets/d/1-uDff_7J0KD5mKrp0Vvzr7lt3OU09vwQwhkpOPPYv2Y/edit?usp=sharing"",""งบพรบ!DH15"")"),0)</f>
        <v>0</v>
      </c>
      <c r="H15" s="176">
        <f ca="1">IFERROR(__xludf.DUMMYFUNCTION("IMPORTRANGE(""https://docs.google.com/spreadsheets/d/1-uDff_7J0KD5mKrp0Vvzr7lt3OU09vwQwhkpOPPYv2Y/edit?usp=sharing"",""งบพรบ!DJ15"")"),0)</f>
        <v>0</v>
      </c>
      <c r="I15" s="176">
        <f ca="1">IFERROR(__xludf.DUMMYFUNCTION("IMPORTRANGE(""https://docs.google.com/spreadsheets/d/1-uDff_7J0KD5mKrp0Vvzr7lt3OU09vwQwhkpOPPYv2Y/edit?usp=sharing"",""งบพรบ!DK15"")"),0)</f>
        <v>0</v>
      </c>
      <c r="J15" s="176">
        <f t="shared" ca="1" si="23"/>
        <v>0</v>
      </c>
      <c r="K15" s="179">
        <f t="shared" ca="1" si="24"/>
        <v>0</v>
      </c>
      <c r="L15" s="176">
        <f ca="1">IFERROR(__xludf.DUMMYFUNCTION("IMPORTRANGE(""https://docs.google.com/spreadsheets/d/1-uDff_7J0KD5mKrp0Vvzr7lt3OU09vwQwhkpOPPYv2Y/edit?usp=sharing"",""งบพรบ!DL15"")"),0)</f>
        <v>0</v>
      </c>
      <c r="M15" s="87">
        <f t="shared" ca="1" si="25"/>
        <v>0</v>
      </c>
      <c r="N15" s="87">
        <f t="shared" ca="1" si="26"/>
        <v>0</v>
      </c>
      <c r="O15" s="86">
        <f ca="1">IFERROR(__xludf.DUMMYFUNCTION("IMPORTRANGE(""https://docs.google.com/spreadsheets/d/1-uDff_7J0KD5mKrp0Vvzr7lt3OU09vwQwhkpOPPYv2Y/edit?usp=sharing"",""งบพรบ!DM15"")"),0)</f>
        <v>0</v>
      </c>
      <c r="P15" s="86">
        <f t="shared" ca="1" si="27"/>
        <v>0</v>
      </c>
      <c r="Q15" s="87">
        <f t="shared" ca="1" si="28"/>
        <v>0</v>
      </c>
      <c r="R15" s="86">
        <f ca="1">IFERROR(__xludf.DUMMYFUNCTION("IMPORTRANGE(""https://docs.google.com/spreadsheets/d/1KS0zmDSZPk8KnTAbGN-Xk6MtX1YRZD0ldgdt20K4CRk/edit?usp=sharing"",""เชียงราย!Q266"")"),53440)</f>
        <v>53440</v>
      </c>
      <c r="S15" s="86">
        <f ca="1">IFERROR(__xludf.DUMMYFUNCTION("IMPORTRANGE(""https://docs.google.com/spreadsheets/d/1KS0zmDSZPk8KnTAbGN-Xk6MtX1YRZD0ldgdt20K4CRk/edit?usp=sharing"",""เชียงราย!R266"")"),0)</f>
        <v>0</v>
      </c>
      <c r="T15" s="86">
        <f ca="1">IFERROR(__xludf.DUMMYFUNCTION("IMPORTRANGE(""https://docs.google.com/spreadsheets/d/1KS0zmDSZPk8KnTAbGN-Xk6MtX1YRZD0ldgdt20K4CRk/edit?usp=sharing"",""เชียงราย!S266"")"),0)</f>
        <v>0</v>
      </c>
      <c r="U15" s="87">
        <f t="shared" ca="1" si="30"/>
        <v>0</v>
      </c>
      <c r="V15" s="87">
        <f t="shared" ca="1" si="31"/>
        <v>0</v>
      </c>
      <c r="W15" s="99">
        <f ca="1">IFERROR(__xludf.DUMMYFUNCTION("IMPORTRANGE(""https://docs.google.com/spreadsheets/d/1KS0zmDSZPk8KnTAbGN-Xk6MtX1YRZD0ldgdt20K4CRk/edit?usp=sharing"",""เชียงราย!I276"")"),24)</f>
        <v>24</v>
      </c>
      <c r="X15" s="99">
        <f ca="1">IFERROR(__xludf.DUMMYFUNCTION("IMPORTRANGE(""https://docs.google.com/spreadsheets/d/1KS0zmDSZPk8KnTAbGN-Xk6MtX1YRZD0ldgdt20K4CRk/edit?usp=sharing"",""เชียงราย!J276"")"),0)</f>
        <v>0</v>
      </c>
      <c r="Y15" s="177">
        <f t="shared" ca="1" si="33"/>
        <v>0</v>
      </c>
      <c r="Z15" s="99">
        <v>0</v>
      </c>
      <c r="AA15" s="99">
        <v>0</v>
      </c>
      <c r="AB15" s="99">
        <v>0</v>
      </c>
    </row>
    <row r="16" spans="1:28" ht="19.5" x14ac:dyDescent="0.3">
      <c r="A16" s="172">
        <v>3</v>
      </c>
      <c r="B16" s="173" t="s">
        <v>42</v>
      </c>
      <c r="C16" s="174">
        <f t="shared" ca="1" si="21"/>
        <v>0</v>
      </c>
      <c r="D16" s="175">
        <f t="shared" ca="1" si="34"/>
        <v>0</v>
      </c>
      <c r="E16" s="176">
        <f ca="1">IFERROR(__xludf.DUMMYFUNCTION("IMPORTRANGE(""https://docs.google.com/spreadsheets/d/1-uDff_7J0KD5mKrp0Vvzr7lt3OU09vwQwhkpOPPYv2Y/edit?usp=sharing"",""งบพรบ!DF16"")"),0)</f>
        <v>0</v>
      </c>
      <c r="F16" s="176">
        <f ca="1">IFERROR(__xludf.DUMMYFUNCTION("IMPORTRANGE(""https://docs.google.com/spreadsheets/d/1-uDff_7J0KD5mKrp0Vvzr7lt3OU09vwQwhkpOPPYv2Y/edit?usp=sharing"",""งบพรบ!DG16"")"),0)</f>
        <v>0</v>
      </c>
      <c r="G16" s="176">
        <f ca="1">IFERROR(__xludf.DUMMYFUNCTION("IMPORTRANGE(""https://docs.google.com/spreadsheets/d/1-uDff_7J0KD5mKrp0Vvzr7lt3OU09vwQwhkpOPPYv2Y/edit?usp=sharing"",""งบพรบ!DH16"")"),0)</f>
        <v>0</v>
      </c>
      <c r="H16" s="176">
        <f ca="1">IFERROR(__xludf.DUMMYFUNCTION("IMPORTRANGE(""https://docs.google.com/spreadsheets/d/1-uDff_7J0KD5mKrp0Vvzr7lt3OU09vwQwhkpOPPYv2Y/edit?usp=sharing"",""งบพรบ!DJ16"")"),0)</f>
        <v>0</v>
      </c>
      <c r="I16" s="176">
        <f ca="1">IFERROR(__xludf.DUMMYFUNCTION("IMPORTRANGE(""https://docs.google.com/spreadsheets/d/1-uDff_7J0KD5mKrp0Vvzr7lt3OU09vwQwhkpOPPYv2Y/edit?usp=sharing"",""งบพรบ!DK16"")"),0)</f>
        <v>0</v>
      </c>
      <c r="J16" s="176">
        <f t="shared" ca="1" si="23"/>
        <v>0</v>
      </c>
      <c r="K16" s="179">
        <f t="shared" ca="1" si="24"/>
        <v>0</v>
      </c>
      <c r="L16" s="176">
        <f ca="1">IFERROR(__xludf.DUMMYFUNCTION("IMPORTRANGE(""https://docs.google.com/spreadsheets/d/1-uDff_7J0KD5mKrp0Vvzr7lt3OU09vwQwhkpOPPYv2Y/edit?usp=sharing"",""งบพรบ!DL16"")"),0)</f>
        <v>0</v>
      </c>
      <c r="M16" s="87">
        <f t="shared" ca="1" si="25"/>
        <v>0</v>
      </c>
      <c r="N16" s="87">
        <f t="shared" ca="1" si="26"/>
        <v>0</v>
      </c>
      <c r="O16" s="86">
        <f ca="1">IFERROR(__xludf.DUMMYFUNCTION("IMPORTRANGE(""https://docs.google.com/spreadsheets/d/1-uDff_7J0KD5mKrp0Vvzr7lt3OU09vwQwhkpOPPYv2Y/edit?usp=sharing"",""งบพรบ!DM16"")"),0)</f>
        <v>0</v>
      </c>
      <c r="P16" s="86">
        <f t="shared" ca="1" si="27"/>
        <v>0</v>
      </c>
      <c r="Q16" s="87">
        <f t="shared" ca="1" si="28"/>
        <v>0</v>
      </c>
      <c r="R16" s="86">
        <f ca="1">IFERROR(__xludf.DUMMYFUNCTION("IMPORTRANGE(""https://docs.google.com/spreadsheets/d/1rEDxBtusbi64tE0zunoIbsTVV16HeL0oJ6trHQeQ7K8/edit?usp=sharing"",""เชียงใหม่!Q266"")"),53440)</f>
        <v>53440</v>
      </c>
      <c r="S16" s="86">
        <f ca="1">IFERROR(__xludf.DUMMYFUNCTION("IMPORTRANGE(""https://docs.google.com/spreadsheets/d/1rEDxBtusbi64tE0zunoIbsTVV16HeL0oJ6trHQeQ7K8/edit?usp=sharing"",""เชียงใหม่!R266"")"),0)</f>
        <v>0</v>
      </c>
      <c r="T16" s="86">
        <f ca="1">IFERROR(__xludf.DUMMYFUNCTION("IMPORTRANGE(""https://docs.google.com/spreadsheets/d/1rEDxBtusbi64tE0zunoIbsTVV16HeL0oJ6trHQeQ7K8/edit?usp=sharing"",""เชียงใหม่!S266"")"),0)</f>
        <v>0</v>
      </c>
      <c r="U16" s="87">
        <f t="shared" ca="1" si="30"/>
        <v>0</v>
      </c>
      <c r="V16" s="87">
        <f t="shared" ca="1" si="31"/>
        <v>0</v>
      </c>
      <c r="W16" s="93">
        <f ca="1">IFERROR(__xludf.DUMMYFUNCTION("IMPORTRANGE(""https://docs.google.com/spreadsheets/d/1rEDxBtusbi64tE0zunoIbsTVV16HeL0oJ6trHQeQ7K8/edit?usp=sharing"",""เชียงใหม่!I276"")"),24)</f>
        <v>24</v>
      </c>
      <c r="X16" s="93">
        <f ca="1">IFERROR(__xludf.DUMMYFUNCTION("IMPORTRANGE(""https://docs.google.com/spreadsheets/d/1rEDxBtusbi64tE0zunoIbsTVV16HeL0oJ6trHQeQ7K8/edit?usp=sharing"",""เชียงใหม่!J276"")"),0)</f>
        <v>0</v>
      </c>
      <c r="Y16" s="177">
        <f t="shared" ca="1" si="33"/>
        <v>0</v>
      </c>
      <c r="Z16" s="216">
        <v>0</v>
      </c>
      <c r="AA16" s="216">
        <v>0</v>
      </c>
      <c r="AB16" s="216">
        <v>0</v>
      </c>
    </row>
    <row r="17" spans="1:28" ht="19.5" x14ac:dyDescent="0.3">
      <c r="A17" s="172">
        <v>4</v>
      </c>
      <c r="B17" s="173" t="s">
        <v>43</v>
      </c>
      <c r="C17" s="174">
        <f t="shared" ca="1" si="21"/>
        <v>0</v>
      </c>
      <c r="D17" s="175">
        <f t="shared" ca="1" si="34"/>
        <v>0</v>
      </c>
      <c r="E17" s="176">
        <f ca="1">IFERROR(__xludf.DUMMYFUNCTION("IMPORTRANGE(""https://docs.google.com/spreadsheets/d/1-uDff_7J0KD5mKrp0Vvzr7lt3OU09vwQwhkpOPPYv2Y/edit?usp=sharing"",""งบพรบ!DF17"")"),0)</f>
        <v>0</v>
      </c>
      <c r="F17" s="176">
        <f ca="1">IFERROR(__xludf.DUMMYFUNCTION("IMPORTRANGE(""https://docs.google.com/spreadsheets/d/1-uDff_7J0KD5mKrp0Vvzr7lt3OU09vwQwhkpOPPYv2Y/edit?usp=sharing"",""งบพรบ!DG17"")"),0)</f>
        <v>0</v>
      </c>
      <c r="G17" s="176">
        <f ca="1">IFERROR(__xludf.DUMMYFUNCTION("IMPORTRANGE(""https://docs.google.com/spreadsheets/d/1-uDff_7J0KD5mKrp0Vvzr7lt3OU09vwQwhkpOPPYv2Y/edit?usp=sharing"",""งบพรบ!DH17"")"),0)</f>
        <v>0</v>
      </c>
      <c r="H17" s="176">
        <f ca="1">IFERROR(__xludf.DUMMYFUNCTION("IMPORTRANGE(""https://docs.google.com/spreadsheets/d/1-uDff_7J0KD5mKrp0Vvzr7lt3OU09vwQwhkpOPPYv2Y/edit?usp=sharing"",""งบพรบ!DJ17"")"),0)</f>
        <v>0</v>
      </c>
      <c r="I17" s="176">
        <f ca="1">IFERROR(__xludf.DUMMYFUNCTION("IMPORTRANGE(""https://docs.google.com/spreadsheets/d/1-uDff_7J0KD5mKrp0Vvzr7lt3OU09vwQwhkpOPPYv2Y/edit?usp=sharing"",""งบพรบ!DK17"")"),0)</f>
        <v>0</v>
      </c>
      <c r="J17" s="176">
        <f t="shared" ca="1" si="23"/>
        <v>0</v>
      </c>
      <c r="K17" s="179">
        <f t="shared" ca="1" si="24"/>
        <v>0</v>
      </c>
      <c r="L17" s="176">
        <f ca="1">IFERROR(__xludf.DUMMYFUNCTION("IMPORTRANGE(""https://docs.google.com/spreadsheets/d/1-uDff_7J0KD5mKrp0Vvzr7lt3OU09vwQwhkpOPPYv2Y/edit?usp=sharing"",""งบพรบ!DL17"")"),0)</f>
        <v>0</v>
      </c>
      <c r="M17" s="87">
        <f t="shared" ca="1" si="25"/>
        <v>0</v>
      </c>
      <c r="N17" s="87">
        <f t="shared" ca="1" si="26"/>
        <v>0</v>
      </c>
      <c r="O17" s="86">
        <f ca="1">IFERROR(__xludf.DUMMYFUNCTION("IMPORTRANGE(""https://docs.google.com/spreadsheets/d/1-uDff_7J0KD5mKrp0Vvzr7lt3OU09vwQwhkpOPPYv2Y/edit?usp=sharing"",""งบพรบ!DM17"")"),0)</f>
        <v>0</v>
      </c>
      <c r="P17" s="86">
        <f t="shared" ca="1" si="27"/>
        <v>0</v>
      </c>
      <c r="Q17" s="87">
        <f t="shared" ca="1" si="28"/>
        <v>0</v>
      </c>
      <c r="R17" s="86">
        <f ca="1">IFERROR(__xludf.DUMMYFUNCTION("IMPORTRANGE(""https://docs.google.com/spreadsheets/d/1W6MnUbDkMi6xHnHko_XkFDO9kkuL6Wqyc-6OCDFjW9I/edit?usp=sharing"",""ตาก!Q266"")"),50660)</f>
        <v>50660</v>
      </c>
      <c r="S17" s="86">
        <f ca="1">IFERROR(__xludf.DUMMYFUNCTION("IMPORTRANGE(""https://docs.google.com/spreadsheets/d/1W6MnUbDkMi6xHnHko_XkFDO9kkuL6Wqyc-6OCDFjW9I/edit?usp=sharing"",""ตาก!R266"")"),0)</f>
        <v>0</v>
      </c>
      <c r="T17" s="86">
        <f ca="1">IFERROR(__xludf.DUMMYFUNCTION("IMPORTRANGE(""https://docs.google.com/spreadsheets/d/1W6MnUbDkMi6xHnHko_XkFDO9kkuL6Wqyc-6OCDFjW9I/edit?usp=sharing"",""ตาก!S266"")"),0)</f>
        <v>0</v>
      </c>
      <c r="U17" s="87">
        <f t="shared" ca="1" si="30"/>
        <v>0</v>
      </c>
      <c r="V17" s="87">
        <f t="shared" ca="1" si="31"/>
        <v>0</v>
      </c>
      <c r="W17" s="93">
        <f ca="1">IFERROR(__xludf.DUMMYFUNCTION("IMPORTRANGE(""https://docs.google.com/spreadsheets/d/1W6MnUbDkMi6xHnHko_XkFDO9kkuL6Wqyc-6OCDFjW9I/edit?usp=sharing"",""ตาก!I276"")"),22)</f>
        <v>22</v>
      </c>
      <c r="X17" s="93">
        <f ca="1">IFERROR(__xludf.DUMMYFUNCTION("IMPORTRANGE(""https://docs.google.com/spreadsheets/d/1W6MnUbDkMi6xHnHko_XkFDO9kkuL6Wqyc-6OCDFjW9I/edit?usp=sharing"",""ตาก!J276"")"),0)</f>
        <v>0</v>
      </c>
      <c r="Y17" s="177">
        <f t="shared" ca="1" si="33"/>
        <v>0</v>
      </c>
      <c r="Z17" s="216">
        <v>0</v>
      </c>
      <c r="AA17" s="216">
        <v>0</v>
      </c>
      <c r="AB17" s="216">
        <v>0</v>
      </c>
    </row>
    <row r="18" spans="1:28" ht="19.5" x14ac:dyDescent="0.3">
      <c r="A18" s="172">
        <v>5</v>
      </c>
      <c r="B18" s="173" t="s">
        <v>44</v>
      </c>
      <c r="C18" s="174">
        <f t="shared" ca="1" si="21"/>
        <v>0</v>
      </c>
      <c r="D18" s="175">
        <f t="shared" ca="1" si="34"/>
        <v>0</v>
      </c>
      <c r="E18" s="176">
        <f ca="1">IFERROR(__xludf.DUMMYFUNCTION("IMPORTRANGE(""https://docs.google.com/spreadsheets/d/1-uDff_7J0KD5mKrp0Vvzr7lt3OU09vwQwhkpOPPYv2Y/edit?usp=sharing"",""งบพรบ!DF18"")"),0)</f>
        <v>0</v>
      </c>
      <c r="F18" s="176">
        <f ca="1">IFERROR(__xludf.DUMMYFUNCTION("IMPORTRANGE(""https://docs.google.com/spreadsheets/d/1-uDff_7J0KD5mKrp0Vvzr7lt3OU09vwQwhkpOPPYv2Y/edit?usp=sharing"",""งบพรบ!DG18"")"),0)</f>
        <v>0</v>
      </c>
      <c r="G18" s="176">
        <f ca="1">IFERROR(__xludf.DUMMYFUNCTION("IMPORTRANGE(""https://docs.google.com/spreadsheets/d/1-uDff_7J0KD5mKrp0Vvzr7lt3OU09vwQwhkpOPPYv2Y/edit?usp=sharing"",""งบพรบ!DH18"")"),0)</f>
        <v>0</v>
      </c>
      <c r="H18" s="176">
        <f ca="1">IFERROR(__xludf.DUMMYFUNCTION("IMPORTRANGE(""https://docs.google.com/spreadsheets/d/1-uDff_7J0KD5mKrp0Vvzr7lt3OU09vwQwhkpOPPYv2Y/edit?usp=sharing"",""งบพรบ!DJ18"")"),0)</f>
        <v>0</v>
      </c>
      <c r="I18" s="176">
        <f ca="1">IFERROR(__xludf.DUMMYFUNCTION("IMPORTRANGE(""https://docs.google.com/spreadsheets/d/1-uDff_7J0KD5mKrp0Vvzr7lt3OU09vwQwhkpOPPYv2Y/edit?usp=sharing"",""งบพรบ!DK18"")"),0)</f>
        <v>0</v>
      </c>
      <c r="J18" s="176">
        <f t="shared" ca="1" si="23"/>
        <v>0</v>
      </c>
      <c r="K18" s="179">
        <f t="shared" ca="1" si="24"/>
        <v>0</v>
      </c>
      <c r="L18" s="176">
        <f ca="1">IFERROR(__xludf.DUMMYFUNCTION("IMPORTRANGE(""https://docs.google.com/spreadsheets/d/1-uDff_7J0KD5mKrp0Vvzr7lt3OU09vwQwhkpOPPYv2Y/edit?usp=sharing"",""งบพรบ!DL18"")"),0)</f>
        <v>0</v>
      </c>
      <c r="M18" s="87">
        <f t="shared" ca="1" si="25"/>
        <v>0</v>
      </c>
      <c r="N18" s="87">
        <f t="shared" ca="1" si="26"/>
        <v>0</v>
      </c>
      <c r="O18" s="86">
        <f ca="1">IFERROR(__xludf.DUMMYFUNCTION("IMPORTRANGE(""https://docs.google.com/spreadsheets/d/1-uDff_7J0KD5mKrp0Vvzr7lt3OU09vwQwhkpOPPYv2Y/edit?usp=sharing"",""งบพรบ!DM18"")"),0)</f>
        <v>0</v>
      </c>
      <c r="P18" s="86">
        <f t="shared" ca="1" si="27"/>
        <v>0</v>
      </c>
      <c r="Q18" s="87">
        <f t="shared" ca="1" si="28"/>
        <v>0</v>
      </c>
      <c r="R18" s="86">
        <f ca="1">IFERROR(__xludf.DUMMYFUNCTION("IMPORTRANGE(""https://docs.google.com/spreadsheets/d/1IQAWArduLkta9LpYo4a_ULsyqdta6-6aDDiwpUnQT6c/edit?usp=sharing"",""นครสวรรค์!Q266"")"),53440)</f>
        <v>53440</v>
      </c>
      <c r="S18" s="86">
        <f ca="1">IFERROR(__xludf.DUMMYFUNCTION("IMPORTRANGE(""https://docs.google.com/spreadsheets/d/1IQAWArduLkta9LpYo4a_ULsyqdta6-6aDDiwpUnQT6c/edit?usp=sharing"",""นครสวรรค์!R266"")"),0)</f>
        <v>0</v>
      </c>
      <c r="T18" s="86">
        <f ca="1">IFERROR(__xludf.DUMMYFUNCTION("IMPORTRANGE(""https://docs.google.com/spreadsheets/d/1IQAWArduLkta9LpYo4a_ULsyqdta6-6aDDiwpUnQT6c/edit?usp=sharing"",""นครสวรรค์!S266"")"),0)</f>
        <v>0</v>
      </c>
      <c r="U18" s="87">
        <f t="shared" ca="1" si="30"/>
        <v>0</v>
      </c>
      <c r="V18" s="87">
        <f t="shared" ca="1" si="31"/>
        <v>0</v>
      </c>
      <c r="W18" s="93">
        <f ca="1">IFERROR(__xludf.DUMMYFUNCTION("IMPORTRANGE(""https://docs.google.com/spreadsheets/d/1IQAWArduLkta9LpYo4a_ULsyqdta6-6aDDiwpUnQT6c/edit?usp=sharing"",""นครสวรรค์!I276"")"),24)</f>
        <v>24</v>
      </c>
      <c r="X18" s="93">
        <f ca="1">IFERROR(__xludf.DUMMYFUNCTION("IMPORTRANGE(""https://docs.google.com/spreadsheets/d/1IQAWArduLkta9LpYo4a_ULsyqdta6-6aDDiwpUnQT6c/edit?usp=sharing"",""นครสวรรค์!J276"")"),0)</f>
        <v>0</v>
      </c>
      <c r="Y18" s="177">
        <f t="shared" ca="1" si="33"/>
        <v>0</v>
      </c>
      <c r="Z18" s="216">
        <v>0</v>
      </c>
      <c r="AA18" s="216">
        <v>0</v>
      </c>
      <c r="AB18" s="216">
        <v>0</v>
      </c>
    </row>
    <row r="19" spans="1:28" ht="19.5" x14ac:dyDescent="0.3">
      <c r="A19" s="172">
        <v>6</v>
      </c>
      <c r="B19" s="173" t="s">
        <v>45</v>
      </c>
      <c r="C19" s="174">
        <f t="shared" ca="1" si="21"/>
        <v>0</v>
      </c>
      <c r="D19" s="175">
        <f t="shared" ca="1" si="34"/>
        <v>0</v>
      </c>
      <c r="E19" s="176">
        <f ca="1">IFERROR(__xludf.DUMMYFUNCTION("IMPORTRANGE(""https://docs.google.com/spreadsheets/d/1-uDff_7J0KD5mKrp0Vvzr7lt3OU09vwQwhkpOPPYv2Y/edit?usp=sharing"",""งบพรบ!DF19"")"),0)</f>
        <v>0</v>
      </c>
      <c r="F19" s="176">
        <f ca="1">IFERROR(__xludf.DUMMYFUNCTION("IMPORTRANGE(""https://docs.google.com/spreadsheets/d/1-uDff_7J0KD5mKrp0Vvzr7lt3OU09vwQwhkpOPPYv2Y/edit?usp=sharing"",""งบพรบ!DG19"")"),0)</f>
        <v>0</v>
      </c>
      <c r="G19" s="176">
        <f ca="1">IFERROR(__xludf.DUMMYFUNCTION("IMPORTRANGE(""https://docs.google.com/spreadsheets/d/1-uDff_7J0KD5mKrp0Vvzr7lt3OU09vwQwhkpOPPYv2Y/edit?usp=sharing"",""งบพรบ!DH19"")"),0)</f>
        <v>0</v>
      </c>
      <c r="H19" s="176">
        <f ca="1">IFERROR(__xludf.DUMMYFUNCTION("IMPORTRANGE(""https://docs.google.com/spreadsheets/d/1-uDff_7J0KD5mKrp0Vvzr7lt3OU09vwQwhkpOPPYv2Y/edit?usp=sharing"",""งบพรบ!DJ19"")"),0)</f>
        <v>0</v>
      </c>
      <c r="I19" s="176">
        <f ca="1">IFERROR(__xludf.DUMMYFUNCTION("IMPORTRANGE(""https://docs.google.com/spreadsheets/d/1-uDff_7J0KD5mKrp0Vvzr7lt3OU09vwQwhkpOPPYv2Y/edit?usp=sharing"",""งบพรบ!DK19"")"),0)</f>
        <v>0</v>
      </c>
      <c r="J19" s="176">
        <f t="shared" ca="1" si="23"/>
        <v>0</v>
      </c>
      <c r="K19" s="179">
        <f t="shared" ca="1" si="24"/>
        <v>0</v>
      </c>
      <c r="L19" s="176">
        <f ca="1">IFERROR(__xludf.DUMMYFUNCTION("IMPORTRANGE(""https://docs.google.com/spreadsheets/d/1-uDff_7J0KD5mKrp0Vvzr7lt3OU09vwQwhkpOPPYv2Y/edit?usp=sharing"",""งบพรบ!DL19"")"),0)</f>
        <v>0</v>
      </c>
      <c r="M19" s="87">
        <f t="shared" ca="1" si="25"/>
        <v>0</v>
      </c>
      <c r="N19" s="87">
        <f t="shared" ca="1" si="26"/>
        <v>0</v>
      </c>
      <c r="O19" s="86">
        <f ca="1">IFERROR(__xludf.DUMMYFUNCTION("IMPORTRANGE(""https://docs.google.com/spreadsheets/d/1-uDff_7J0KD5mKrp0Vvzr7lt3OU09vwQwhkpOPPYv2Y/edit?usp=sharing"",""งบพรบ!DM19"")"),0)</f>
        <v>0</v>
      </c>
      <c r="P19" s="86">
        <f t="shared" ca="1" si="27"/>
        <v>0</v>
      </c>
      <c r="Q19" s="87">
        <f t="shared" ca="1" si="28"/>
        <v>0</v>
      </c>
      <c r="R19" s="86">
        <f ca="1">IFERROR(__xludf.DUMMYFUNCTION("IMPORTRANGE(""https://docs.google.com/spreadsheets/d/10s13Sk5xrltsiR-Zkbmk5DwIaDIKO8XlbJAfqyT7Gvg/edit?usp=sharing"",""น่าน!Q266"")"),50660)</f>
        <v>50660</v>
      </c>
      <c r="S19" s="86">
        <f ca="1">IFERROR(__xludf.DUMMYFUNCTION("IMPORTRANGE(""https://docs.google.com/spreadsheets/d/10s13Sk5xrltsiR-Zkbmk5DwIaDIKO8XlbJAfqyT7Gvg/edit?usp=sharing"",""น่าน!R266"")"),0)</f>
        <v>0</v>
      </c>
      <c r="T19" s="86">
        <f ca="1">IFERROR(__xludf.DUMMYFUNCTION("IMPORTRANGE(""https://docs.google.com/spreadsheets/d/10s13Sk5xrltsiR-Zkbmk5DwIaDIKO8XlbJAfqyT7Gvg/edit?usp=sharing"",""น่าน!S266"")"),0)</f>
        <v>0</v>
      </c>
      <c r="U19" s="87">
        <f t="shared" ca="1" si="30"/>
        <v>0</v>
      </c>
      <c r="V19" s="87">
        <f t="shared" ca="1" si="31"/>
        <v>0</v>
      </c>
      <c r="W19" s="93">
        <f ca="1">IFERROR(__xludf.DUMMYFUNCTION("IMPORTRANGE(""https://docs.google.com/spreadsheets/d/10s13Sk5xrltsiR-Zkbmk5DwIaDIKO8XlbJAfqyT7Gvg/edit?usp=sharing"",""น่าน!I276"")"),22)</f>
        <v>22</v>
      </c>
      <c r="X19" s="93">
        <f ca="1">IFERROR(__xludf.DUMMYFUNCTION("IMPORTRANGE(""https://docs.google.com/spreadsheets/d/10s13Sk5xrltsiR-Zkbmk5DwIaDIKO8XlbJAfqyT7Gvg/edit?usp=sharing"",""น่าน!J276"")"),0)</f>
        <v>0</v>
      </c>
      <c r="Y19" s="177">
        <f t="shared" ca="1" si="33"/>
        <v>0</v>
      </c>
      <c r="Z19" s="216">
        <v>0</v>
      </c>
      <c r="AA19" s="216">
        <v>0</v>
      </c>
      <c r="AB19" s="216">
        <v>0</v>
      </c>
    </row>
    <row r="20" spans="1:28" ht="19.5" x14ac:dyDescent="0.3">
      <c r="A20" s="172">
        <v>7</v>
      </c>
      <c r="B20" s="173" t="s">
        <v>46</v>
      </c>
      <c r="C20" s="174">
        <f t="shared" ca="1" si="21"/>
        <v>0</v>
      </c>
      <c r="D20" s="175">
        <f t="shared" ca="1" si="34"/>
        <v>0</v>
      </c>
      <c r="E20" s="176">
        <f ca="1">IFERROR(__xludf.DUMMYFUNCTION("IMPORTRANGE(""https://docs.google.com/spreadsheets/d/1-uDff_7J0KD5mKrp0Vvzr7lt3OU09vwQwhkpOPPYv2Y/edit?usp=sharing"",""งบพรบ!DF20"")"),0)</f>
        <v>0</v>
      </c>
      <c r="F20" s="176">
        <f ca="1">IFERROR(__xludf.DUMMYFUNCTION("IMPORTRANGE(""https://docs.google.com/spreadsheets/d/1-uDff_7J0KD5mKrp0Vvzr7lt3OU09vwQwhkpOPPYv2Y/edit?usp=sharing"",""งบพรบ!DG20"")"),0)</f>
        <v>0</v>
      </c>
      <c r="G20" s="176">
        <f ca="1">IFERROR(__xludf.DUMMYFUNCTION("IMPORTRANGE(""https://docs.google.com/spreadsheets/d/1-uDff_7J0KD5mKrp0Vvzr7lt3OU09vwQwhkpOPPYv2Y/edit?usp=sharing"",""งบพรบ!DH20"")"),0)</f>
        <v>0</v>
      </c>
      <c r="H20" s="176">
        <f ca="1">IFERROR(__xludf.DUMMYFUNCTION("IMPORTRANGE(""https://docs.google.com/spreadsheets/d/1-uDff_7J0KD5mKrp0Vvzr7lt3OU09vwQwhkpOPPYv2Y/edit?usp=sharing"",""งบพรบ!DJ20"")"),0)</f>
        <v>0</v>
      </c>
      <c r="I20" s="176">
        <f ca="1">IFERROR(__xludf.DUMMYFUNCTION("IMPORTRANGE(""https://docs.google.com/spreadsheets/d/1-uDff_7J0KD5mKrp0Vvzr7lt3OU09vwQwhkpOPPYv2Y/edit?usp=sharing"",""งบพรบ!DK20"")"),0)</f>
        <v>0</v>
      </c>
      <c r="J20" s="176">
        <f t="shared" ca="1" si="23"/>
        <v>0</v>
      </c>
      <c r="K20" s="179">
        <f t="shared" ca="1" si="24"/>
        <v>0</v>
      </c>
      <c r="L20" s="176">
        <f ca="1">IFERROR(__xludf.DUMMYFUNCTION("IMPORTRANGE(""https://docs.google.com/spreadsheets/d/1-uDff_7J0KD5mKrp0Vvzr7lt3OU09vwQwhkpOPPYv2Y/edit?usp=sharing"",""งบพรบ!DL20"")"),0)</f>
        <v>0</v>
      </c>
      <c r="M20" s="87">
        <f t="shared" ca="1" si="25"/>
        <v>0</v>
      </c>
      <c r="N20" s="87">
        <f t="shared" ca="1" si="26"/>
        <v>0</v>
      </c>
      <c r="O20" s="86">
        <f ca="1">IFERROR(__xludf.DUMMYFUNCTION("IMPORTRANGE(""https://docs.google.com/spreadsheets/d/1-uDff_7J0KD5mKrp0Vvzr7lt3OU09vwQwhkpOPPYv2Y/edit?usp=sharing"",""งบพรบ!DM20"")"),0)</f>
        <v>0</v>
      </c>
      <c r="P20" s="86">
        <f t="shared" ca="1" si="27"/>
        <v>0</v>
      </c>
      <c r="Q20" s="87">
        <f t="shared" ca="1" si="28"/>
        <v>0</v>
      </c>
      <c r="R20" s="86">
        <f ca="1">IFERROR(__xludf.DUMMYFUNCTION("IMPORTRANGE(""https://docs.google.com/spreadsheets/d/1uu4nAn4Dbi1XREnLKKotUANlKXa7yCgRcgq8HEzQYW8/edit?usp=sharing"",""พะเยา!Q266"")"),53440)</f>
        <v>53440</v>
      </c>
      <c r="S20" s="86">
        <f ca="1">IFERROR(__xludf.DUMMYFUNCTION("IMPORTRANGE(""https://docs.google.com/spreadsheets/d/1uu4nAn4Dbi1XREnLKKotUANlKXa7yCgRcgq8HEzQYW8/edit?usp=sharing"",""พะเยา!R266"")"),0)</f>
        <v>0</v>
      </c>
      <c r="T20" s="86">
        <f ca="1">IFERROR(__xludf.DUMMYFUNCTION("IMPORTRANGE(""https://docs.google.com/spreadsheets/d/1uu4nAn4Dbi1XREnLKKotUANlKXa7yCgRcgq8HEzQYW8/edit?usp=sharing"",""พะเยา!S266"")"),0)</f>
        <v>0</v>
      </c>
      <c r="U20" s="87">
        <f t="shared" ca="1" si="30"/>
        <v>0</v>
      </c>
      <c r="V20" s="87">
        <f t="shared" ca="1" si="31"/>
        <v>0</v>
      </c>
      <c r="W20" s="93">
        <f ca="1">IFERROR(__xludf.DUMMYFUNCTION("IMPORTRANGE(""https://docs.google.com/spreadsheets/d/1uu4nAn4Dbi1XREnLKKotUANlKXa7yCgRcgq8HEzQYW8/edit?usp=sharing"",""พะเยา!I276"")"),24)</f>
        <v>24</v>
      </c>
      <c r="X20" s="93">
        <f ca="1">IFERROR(__xludf.DUMMYFUNCTION("IMPORTRANGE(""https://docs.google.com/spreadsheets/d/1uu4nAn4Dbi1XREnLKKotUANlKXa7yCgRcgq8HEzQYW8/edit?usp=sharing"",""พะเยา!J276"")"),0)</f>
        <v>0</v>
      </c>
      <c r="Y20" s="177">
        <f t="shared" ca="1" si="33"/>
        <v>0</v>
      </c>
      <c r="Z20" s="216">
        <v>0</v>
      </c>
      <c r="AA20" s="216">
        <v>0</v>
      </c>
      <c r="AB20" s="216">
        <v>0</v>
      </c>
    </row>
    <row r="21" spans="1:28" ht="19.5" x14ac:dyDescent="0.3">
      <c r="A21" s="172">
        <v>8</v>
      </c>
      <c r="B21" s="173" t="s">
        <v>47</v>
      </c>
      <c r="C21" s="174">
        <f t="shared" ca="1" si="21"/>
        <v>0</v>
      </c>
      <c r="D21" s="175">
        <f t="shared" ca="1" si="34"/>
        <v>0</v>
      </c>
      <c r="E21" s="176">
        <f ca="1">IFERROR(__xludf.DUMMYFUNCTION("IMPORTRANGE(""https://docs.google.com/spreadsheets/d/1-uDff_7J0KD5mKrp0Vvzr7lt3OU09vwQwhkpOPPYv2Y/edit?usp=sharing"",""งบพรบ!DF21"")"),0)</f>
        <v>0</v>
      </c>
      <c r="F21" s="176">
        <f ca="1">IFERROR(__xludf.DUMMYFUNCTION("IMPORTRANGE(""https://docs.google.com/spreadsheets/d/1-uDff_7J0KD5mKrp0Vvzr7lt3OU09vwQwhkpOPPYv2Y/edit?usp=sharing"",""งบพรบ!DG21"")"),0)</f>
        <v>0</v>
      </c>
      <c r="G21" s="176">
        <f ca="1">IFERROR(__xludf.DUMMYFUNCTION("IMPORTRANGE(""https://docs.google.com/spreadsheets/d/1-uDff_7J0KD5mKrp0Vvzr7lt3OU09vwQwhkpOPPYv2Y/edit?usp=sharing"",""งบพรบ!DH21"")"),0)</f>
        <v>0</v>
      </c>
      <c r="H21" s="176">
        <f ca="1">IFERROR(__xludf.DUMMYFUNCTION("IMPORTRANGE(""https://docs.google.com/spreadsheets/d/1-uDff_7J0KD5mKrp0Vvzr7lt3OU09vwQwhkpOPPYv2Y/edit?usp=sharing"",""งบพรบ!DJ21"")"),0)</f>
        <v>0</v>
      </c>
      <c r="I21" s="176">
        <f ca="1">IFERROR(__xludf.DUMMYFUNCTION("IMPORTRANGE(""https://docs.google.com/spreadsheets/d/1-uDff_7J0KD5mKrp0Vvzr7lt3OU09vwQwhkpOPPYv2Y/edit?usp=sharing"",""งบพรบ!DK21"")"),0)</f>
        <v>0</v>
      </c>
      <c r="J21" s="176">
        <f t="shared" ca="1" si="23"/>
        <v>0</v>
      </c>
      <c r="K21" s="179">
        <f t="shared" ca="1" si="24"/>
        <v>0</v>
      </c>
      <c r="L21" s="176">
        <f ca="1">IFERROR(__xludf.DUMMYFUNCTION("IMPORTRANGE(""https://docs.google.com/spreadsheets/d/1-uDff_7J0KD5mKrp0Vvzr7lt3OU09vwQwhkpOPPYv2Y/edit?usp=sharing"",""งบพรบ!DL21"")"),0)</f>
        <v>0</v>
      </c>
      <c r="M21" s="87">
        <f t="shared" ca="1" si="25"/>
        <v>0</v>
      </c>
      <c r="N21" s="87">
        <f t="shared" ca="1" si="26"/>
        <v>0</v>
      </c>
      <c r="O21" s="86">
        <f ca="1">IFERROR(__xludf.DUMMYFUNCTION("IMPORTRANGE(""https://docs.google.com/spreadsheets/d/1-uDff_7J0KD5mKrp0Vvzr7lt3OU09vwQwhkpOPPYv2Y/edit?usp=sharing"",""งบพรบ!DM21"")"),0)</f>
        <v>0</v>
      </c>
      <c r="P21" s="86">
        <f t="shared" ca="1" si="27"/>
        <v>0</v>
      </c>
      <c r="Q21" s="87">
        <f t="shared" ca="1" si="28"/>
        <v>0</v>
      </c>
      <c r="R21" s="86">
        <f ca="1">IFERROR(__xludf.DUMMYFUNCTION("IMPORTRANGE(""https://docs.google.com/spreadsheets/d/1xfJKIQxVOaPDIICqsflNlLu3JacTDk1FP9RH4phX7mI/edit?usp=sharing"",""พิจิตร!Q266"")"),50660)</f>
        <v>50660</v>
      </c>
      <c r="S21" s="86">
        <f ca="1">IFERROR(__xludf.DUMMYFUNCTION("IMPORTRANGE(""https://docs.google.com/spreadsheets/d/1xfJKIQxVOaPDIICqsflNlLu3JacTDk1FP9RH4phX7mI/edit?usp=sharing"",""พิจิตร!R266"")"),0)</f>
        <v>0</v>
      </c>
      <c r="T21" s="86">
        <f ca="1">IFERROR(__xludf.DUMMYFUNCTION("IMPORTRANGE(""https://docs.google.com/spreadsheets/d/1xfJKIQxVOaPDIICqsflNlLu3JacTDk1FP9RH4phX7mI/edit?usp=sharing"",""พิจิตร!S266"")"),0)</f>
        <v>0</v>
      </c>
      <c r="U21" s="87">
        <f t="shared" ca="1" si="30"/>
        <v>0</v>
      </c>
      <c r="V21" s="87">
        <f t="shared" ca="1" si="31"/>
        <v>0</v>
      </c>
      <c r="W21" s="93">
        <f ca="1">IFERROR(__xludf.DUMMYFUNCTION("IMPORTRANGE(""https://docs.google.com/spreadsheets/d/1xfJKIQxVOaPDIICqsflNlLu3JacTDk1FP9RH4phX7mI/edit?usp=sharing"",""พิจิตร!I276"")"),22)</f>
        <v>22</v>
      </c>
      <c r="X21" s="93">
        <f ca="1">IFERROR(__xludf.DUMMYFUNCTION("IMPORTRANGE(""https://docs.google.com/spreadsheets/d/1xfJKIQxVOaPDIICqsflNlLu3JacTDk1FP9RH4phX7mI/edit?usp=sharing"",""พิจิตร!J276"")"),0)</f>
        <v>0</v>
      </c>
      <c r="Y21" s="177">
        <f t="shared" ca="1" si="33"/>
        <v>0</v>
      </c>
      <c r="Z21" s="216">
        <v>0</v>
      </c>
      <c r="AA21" s="216">
        <v>0</v>
      </c>
      <c r="AB21" s="216">
        <v>0</v>
      </c>
    </row>
    <row r="22" spans="1:28" ht="19.5" x14ac:dyDescent="0.3">
      <c r="A22" s="172">
        <v>9</v>
      </c>
      <c r="B22" s="173" t="s">
        <v>48</v>
      </c>
      <c r="C22" s="174">
        <f t="shared" ca="1" si="21"/>
        <v>0</v>
      </c>
      <c r="D22" s="175">
        <f t="shared" ca="1" si="34"/>
        <v>0</v>
      </c>
      <c r="E22" s="176">
        <f ca="1">IFERROR(__xludf.DUMMYFUNCTION("IMPORTRANGE(""https://docs.google.com/spreadsheets/d/1-uDff_7J0KD5mKrp0Vvzr7lt3OU09vwQwhkpOPPYv2Y/edit?usp=sharing"",""งบพรบ!DF22"")"),0)</f>
        <v>0</v>
      </c>
      <c r="F22" s="176">
        <f ca="1">IFERROR(__xludf.DUMMYFUNCTION("IMPORTRANGE(""https://docs.google.com/spreadsheets/d/1-uDff_7J0KD5mKrp0Vvzr7lt3OU09vwQwhkpOPPYv2Y/edit?usp=sharing"",""งบพรบ!DG22"")"),0)</f>
        <v>0</v>
      </c>
      <c r="G22" s="176">
        <f ca="1">IFERROR(__xludf.DUMMYFUNCTION("IMPORTRANGE(""https://docs.google.com/spreadsheets/d/1-uDff_7J0KD5mKrp0Vvzr7lt3OU09vwQwhkpOPPYv2Y/edit?usp=sharing"",""งบพรบ!DH22"")"),0)</f>
        <v>0</v>
      </c>
      <c r="H22" s="176">
        <f ca="1">IFERROR(__xludf.DUMMYFUNCTION("IMPORTRANGE(""https://docs.google.com/spreadsheets/d/1-uDff_7J0KD5mKrp0Vvzr7lt3OU09vwQwhkpOPPYv2Y/edit?usp=sharing"",""งบพรบ!DJ22"")"),0)</f>
        <v>0</v>
      </c>
      <c r="I22" s="176">
        <f ca="1">IFERROR(__xludf.DUMMYFUNCTION("IMPORTRANGE(""https://docs.google.com/spreadsheets/d/1-uDff_7J0KD5mKrp0Vvzr7lt3OU09vwQwhkpOPPYv2Y/edit?usp=sharing"",""งบพรบ!DK22"")"),0)</f>
        <v>0</v>
      </c>
      <c r="J22" s="176">
        <f t="shared" ca="1" si="23"/>
        <v>0</v>
      </c>
      <c r="K22" s="179">
        <f t="shared" ca="1" si="24"/>
        <v>0</v>
      </c>
      <c r="L22" s="176">
        <f ca="1">IFERROR(__xludf.DUMMYFUNCTION("IMPORTRANGE(""https://docs.google.com/spreadsheets/d/1-uDff_7J0KD5mKrp0Vvzr7lt3OU09vwQwhkpOPPYv2Y/edit?usp=sharing"",""งบพรบ!DL22"")"),0)</f>
        <v>0</v>
      </c>
      <c r="M22" s="87">
        <f t="shared" ca="1" si="25"/>
        <v>0</v>
      </c>
      <c r="N22" s="87">
        <f t="shared" ca="1" si="26"/>
        <v>0</v>
      </c>
      <c r="O22" s="86">
        <f ca="1">IFERROR(__xludf.DUMMYFUNCTION("IMPORTRANGE(""https://docs.google.com/spreadsheets/d/1-uDff_7J0KD5mKrp0Vvzr7lt3OU09vwQwhkpOPPYv2Y/edit?usp=sharing"",""งบพรบ!DM22"")"),0)</f>
        <v>0</v>
      </c>
      <c r="P22" s="86">
        <f t="shared" ca="1" si="27"/>
        <v>0</v>
      </c>
      <c r="Q22" s="87">
        <f t="shared" ca="1" si="28"/>
        <v>0</v>
      </c>
      <c r="R22" s="86">
        <f ca="1">IFERROR(__xludf.DUMMYFUNCTION("IMPORTRANGE(""https://docs.google.com/spreadsheets/d/1JtRfZkJMHtEhI5RdRHxYUG4FIZHqKDpNyIuN7A1Q0_k/edit?usp=sharing"",""พิษณุโลก!Q266"")"),53440)</f>
        <v>53440</v>
      </c>
      <c r="S22" s="86">
        <f ca="1">IFERROR(__xludf.DUMMYFUNCTION("IMPORTRANGE(""https://docs.google.com/spreadsheets/d/1JtRfZkJMHtEhI5RdRHxYUG4FIZHqKDpNyIuN7A1Q0_k/edit?usp=sharing"",""พิษณุโลก!R266"")"),0)</f>
        <v>0</v>
      </c>
      <c r="T22" s="86">
        <f ca="1">IFERROR(__xludf.DUMMYFUNCTION("IMPORTRANGE(""https://docs.google.com/spreadsheets/d/1JtRfZkJMHtEhI5RdRHxYUG4FIZHqKDpNyIuN7A1Q0_k/edit?usp=sharing"",""พิษณุโลก!S266"")"),0)</f>
        <v>0</v>
      </c>
      <c r="U22" s="87">
        <f t="shared" ca="1" si="30"/>
        <v>0</v>
      </c>
      <c r="V22" s="87">
        <f t="shared" ca="1" si="31"/>
        <v>0</v>
      </c>
      <c r="W22" s="93">
        <f ca="1">IFERROR(__xludf.DUMMYFUNCTION("IMPORTRANGE(""https://docs.google.com/spreadsheets/d/1JtRfZkJMHtEhI5RdRHxYUG4FIZHqKDpNyIuN7A1Q0_k/edit?usp=sharing"",""พิษณุโลก!I276"")"),24)</f>
        <v>24</v>
      </c>
      <c r="X22" s="93">
        <f ca="1">IFERROR(__xludf.DUMMYFUNCTION("IMPORTRANGE(""https://docs.google.com/spreadsheets/d/1JtRfZkJMHtEhI5RdRHxYUG4FIZHqKDpNyIuN7A1Q0_k/edit?usp=sharing"",""พิษณุโลก!J276"")"),0)</f>
        <v>0</v>
      </c>
      <c r="Y22" s="177">
        <f t="shared" ca="1" si="33"/>
        <v>0</v>
      </c>
      <c r="Z22" s="216">
        <v>0</v>
      </c>
      <c r="AA22" s="216">
        <v>0</v>
      </c>
      <c r="AB22" s="216">
        <v>0</v>
      </c>
    </row>
    <row r="23" spans="1:28" ht="19.5" x14ac:dyDescent="0.3">
      <c r="A23" s="172">
        <v>10</v>
      </c>
      <c r="B23" s="173" t="s">
        <v>49</v>
      </c>
      <c r="C23" s="174">
        <f t="shared" ca="1" si="21"/>
        <v>0</v>
      </c>
      <c r="D23" s="175">
        <f t="shared" ca="1" si="34"/>
        <v>0</v>
      </c>
      <c r="E23" s="176">
        <f ca="1">IFERROR(__xludf.DUMMYFUNCTION("IMPORTRANGE(""https://docs.google.com/spreadsheets/d/1-uDff_7J0KD5mKrp0Vvzr7lt3OU09vwQwhkpOPPYv2Y/edit?usp=sharing"",""งบพรบ!DF23"")"),0)</f>
        <v>0</v>
      </c>
      <c r="F23" s="176">
        <f ca="1">IFERROR(__xludf.DUMMYFUNCTION("IMPORTRANGE(""https://docs.google.com/spreadsheets/d/1-uDff_7J0KD5mKrp0Vvzr7lt3OU09vwQwhkpOPPYv2Y/edit?usp=sharing"",""งบพรบ!DG23"")"),0)</f>
        <v>0</v>
      </c>
      <c r="G23" s="176">
        <f ca="1">IFERROR(__xludf.DUMMYFUNCTION("IMPORTRANGE(""https://docs.google.com/spreadsheets/d/1-uDff_7J0KD5mKrp0Vvzr7lt3OU09vwQwhkpOPPYv2Y/edit?usp=sharing"",""งบพรบ!DH23"")"),0)</f>
        <v>0</v>
      </c>
      <c r="H23" s="176">
        <f ca="1">IFERROR(__xludf.DUMMYFUNCTION("IMPORTRANGE(""https://docs.google.com/spreadsheets/d/1-uDff_7J0KD5mKrp0Vvzr7lt3OU09vwQwhkpOPPYv2Y/edit?usp=sharing"",""งบพรบ!DJ23"")"),0)</f>
        <v>0</v>
      </c>
      <c r="I23" s="176">
        <f ca="1">IFERROR(__xludf.DUMMYFUNCTION("IMPORTRANGE(""https://docs.google.com/spreadsheets/d/1-uDff_7J0KD5mKrp0Vvzr7lt3OU09vwQwhkpOPPYv2Y/edit?usp=sharing"",""งบพรบ!DK23"")"),0)</f>
        <v>0</v>
      </c>
      <c r="J23" s="176">
        <f t="shared" ca="1" si="23"/>
        <v>0</v>
      </c>
      <c r="K23" s="179">
        <f t="shared" ca="1" si="24"/>
        <v>0</v>
      </c>
      <c r="L23" s="176">
        <f ca="1">IFERROR(__xludf.DUMMYFUNCTION("IMPORTRANGE(""https://docs.google.com/spreadsheets/d/1-uDff_7J0KD5mKrp0Vvzr7lt3OU09vwQwhkpOPPYv2Y/edit?usp=sharing"",""งบพรบ!DL23"")"),0)</f>
        <v>0</v>
      </c>
      <c r="M23" s="87">
        <f t="shared" ca="1" si="25"/>
        <v>0</v>
      </c>
      <c r="N23" s="87">
        <f t="shared" ca="1" si="26"/>
        <v>0</v>
      </c>
      <c r="O23" s="86">
        <f ca="1">IFERROR(__xludf.DUMMYFUNCTION("IMPORTRANGE(""https://docs.google.com/spreadsheets/d/1-uDff_7J0KD5mKrp0Vvzr7lt3OU09vwQwhkpOPPYv2Y/edit?usp=sharing"",""งบพรบ!DM23"")"),0)</f>
        <v>0</v>
      </c>
      <c r="P23" s="86">
        <f t="shared" ca="1" si="27"/>
        <v>0</v>
      </c>
      <c r="Q23" s="87">
        <f t="shared" ca="1" si="28"/>
        <v>0</v>
      </c>
      <c r="R23" s="86">
        <f ca="1">IFERROR(__xludf.DUMMYFUNCTION("IMPORTRANGE(""https://docs.google.com/spreadsheets/d/1xlcVZWUNn6SuWm0c307h32SiGkd9BaeQWlAktfD3KO8/edit?usp=sharing"",""เพชรบูรณ์!Q266"")"),50660)</f>
        <v>50660</v>
      </c>
      <c r="S23" s="86">
        <f ca="1">IFERROR(__xludf.DUMMYFUNCTION("IMPORTRANGE(""https://docs.google.com/spreadsheets/d/1xlcVZWUNn6SuWm0c307h32SiGkd9BaeQWlAktfD3KO8/edit?usp=sharing"",""เพชรบูรณ์!R266"")"),0)</f>
        <v>0</v>
      </c>
      <c r="T23" s="86">
        <f ca="1">IFERROR(__xludf.DUMMYFUNCTION("IMPORTRANGE(""https://docs.google.com/spreadsheets/d/1xlcVZWUNn6SuWm0c307h32SiGkd9BaeQWlAktfD3KO8/edit?usp=sharing"",""เพชรบูรณ์!S266"")"),0)</f>
        <v>0</v>
      </c>
      <c r="U23" s="87">
        <f t="shared" ca="1" si="30"/>
        <v>0</v>
      </c>
      <c r="V23" s="87">
        <f t="shared" ca="1" si="31"/>
        <v>0</v>
      </c>
      <c r="W23" s="93">
        <f ca="1">IFERROR(__xludf.DUMMYFUNCTION("IMPORTRANGE(""https://docs.google.com/spreadsheets/d/1xlcVZWUNn6SuWm0c307h32SiGkd9BaeQWlAktfD3KO8/edit?usp=sharing"",""เพชรบูรณ์!I276"")"),22)</f>
        <v>22</v>
      </c>
      <c r="X23" s="93">
        <f ca="1">IFERROR(__xludf.DUMMYFUNCTION("IMPORTRANGE(""https://docs.google.com/spreadsheets/d/1xlcVZWUNn6SuWm0c307h32SiGkd9BaeQWlAktfD3KO8/edit?usp=sharing"",""เพชรบูรณ์!J276"")"),0)</f>
        <v>0</v>
      </c>
      <c r="Y23" s="177">
        <f t="shared" ca="1" si="33"/>
        <v>0</v>
      </c>
      <c r="Z23" s="216">
        <v>0</v>
      </c>
      <c r="AA23" s="216">
        <v>0</v>
      </c>
      <c r="AB23" s="216">
        <v>0</v>
      </c>
    </row>
    <row r="24" spans="1:28" ht="19.5" x14ac:dyDescent="0.3">
      <c r="A24" s="172">
        <v>11</v>
      </c>
      <c r="B24" s="173" t="s">
        <v>50</v>
      </c>
      <c r="C24" s="174">
        <f t="shared" ca="1" si="21"/>
        <v>0</v>
      </c>
      <c r="D24" s="175">
        <f t="shared" ca="1" si="34"/>
        <v>0</v>
      </c>
      <c r="E24" s="176">
        <f ca="1">IFERROR(__xludf.DUMMYFUNCTION("IMPORTRANGE(""https://docs.google.com/spreadsheets/d/1-uDff_7J0KD5mKrp0Vvzr7lt3OU09vwQwhkpOPPYv2Y/edit?usp=sharing"",""งบพรบ!DF24"")"),0)</f>
        <v>0</v>
      </c>
      <c r="F24" s="176">
        <f ca="1">IFERROR(__xludf.DUMMYFUNCTION("IMPORTRANGE(""https://docs.google.com/spreadsheets/d/1-uDff_7J0KD5mKrp0Vvzr7lt3OU09vwQwhkpOPPYv2Y/edit?usp=sharing"",""งบพรบ!DG24"")"),0)</f>
        <v>0</v>
      </c>
      <c r="G24" s="176">
        <f ca="1">IFERROR(__xludf.DUMMYFUNCTION("IMPORTRANGE(""https://docs.google.com/spreadsheets/d/1-uDff_7J0KD5mKrp0Vvzr7lt3OU09vwQwhkpOPPYv2Y/edit?usp=sharing"",""งบพรบ!DH24"")"),0)</f>
        <v>0</v>
      </c>
      <c r="H24" s="176">
        <f ca="1">IFERROR(__xludf.DUMMYFUNCTION("IMPORTRANGE(""https://docs.google.com/spreadsheets/d/1-uDff_7J0KD5mKrp0Vvzr7lt3OU09vwQwhkpOPPYv2Y/edit?usp=sharing"",""งบพรบ!DJ24"")"),0)</f>
        <v>0</v>
      </c>
      <c r="I24" s="176">
        <f ca="1">IFERROR(__xludf.DUMMYFUNCTION("IMPORTRANGE(""https://docs.google.com/spreadsheets/d/1-uDff_7J0KD5mKrp0Vvzr7lt3OU09vwQwhkpOPPYv2Y/edit?usp=sharing"",""งบพรบ!DK24"")"),0)</f>
        <v>0</v>
      </c>
      <c r="J24" s="176">
        <f t="shared" ca="1" si="23"/>
        <v>0</v>
      </c>
      <c r="K24" s="179">
        <f t="shared" ca="1" si="24"/>
        <v>0</v>
      </c>
      <c r="L24" s="176">
        <f ca="1">IFERROR(__xludf.DUMMYFUNCTION("IMPORTRANGE(""https://docs.google.com/spreadsheets/d/1-uDff_7J0KD5mKrp0Vvzr7lt3OU09vwQwhkpOPPYv2Y/edit?usp=sharing"",""งบพรบ!DL24"")"),0)</f>
        <v>0</v>
      </c>
      <c r="M24" s="87">
        <f t="shared" ca="1" si="25"/>
        <v>0</v>
      </c>
      <c r="N24" s="87">
        <f t="shared" ca="1" si="26"/>
        <v>0</v>
      </c>
      <c r="O24" s="86">
        <f ca="1">IFERROR(__xludf.DUMMYFUNCTION("IMPORTRANGE(""https://docs.google.com/spreadsheets/d/1-uDff_7J0KD5mKrp0Vvzr7lt3OU09vwQwhkpOPPYv2Y/edit?usp=sharing"",""งบพรบ!DM24"")"),0)</f>
        <v>0</v>
      </c>
      <c r="P24" s="86">
        <f t="shared" ca="1" si="27"/>
        <v>0</v>
      </c>
      <c r="Q24" s="87">
        <f t="shared" ca="1" si="28"/>
        <v>0</v>
      </c>
      <c r="R24" s="86">
        <f ca="1">IFERROR(__xludf.DUMMYFUNCTION("IMPORTRANGE(""https://docs.google.com/spreadsheets/d/1lOVebEIsI9qjGXl6EX66luk7wiuP2tBaryw-wKvv4e0/edit?usp=sharing"",""แพร่!Q266"")"),50660)</f>
        <v>50660</v>
      </c>
      <c r="S24" s="86">
        <f ca="1">IFERROR(__xludf.DUMMYFUNCTION("IMPORTRANGE(""https://docs.google.com/spreadsheets/d/1lOVebEIsI9qjGXl6EX66luk7wiuP2tBaryw-wKvv4e0/edit?usp=sharing"",""แพร่!R266"")"),0)</f>
        <v>0</v>
      </c>
      <c r="T24" s="86">
        <f ca="1">IFERROR(__xludf.DUMMYFUNCTION("IMPORTRANGE(""https://docs.google.com/spreadsheets/d/1lOVebEIsI9qjGXl6EX66luk7wiuP2tBaryw-wKvv4e0/edit?usp=sharing"",""แพร่!S266"")"),0)</f>
        <v>0</v>
      </c>
      <c r="U24" s="87">
        <f t="shared" ca="1" si="30"/>
        <v>0</v>
      </c>
      <c r="V24" s="87">
        <f t="shared" ca="1" si="31"/>
        <v>0</v>
      </c>
      <c r="W24" s="93">
        <f ca="1">IFERROR(__xludf.DUMMYFUNCTION("IMPORTRANGE(""https://docs.google.com/spreadsheets/d/1lOVebEIsI9qjGXl6EX66luk7wiuP2tBaryw-wKvv4e0/edit?usp=sharing"",""แพร่!I276"")"),22)</f>
        <v>22</v>
      </c>
      <c r="X24" s="93">
        <f ca="1">IFERROR(__xludf.DUMMYFUNCTION("IMPORTRANGE(""https://docs.google.com/spreadsheets/d/1lOVebEIsI9qjGXl6EX66luk7wiuP2tBaryw-wKvv4e0/edit?usp=sharing"",""แพร่!J276"")"),0)</f>
        <v>0</v>
      </c>
      <c r="Y24" s="177">
        <f t="shared" ca="1" si="33"/>
        <v>0</v>
      </c>
      <c r="Z24" s="216">
        <v>0</v>
      </c>
      <c r="AA24" s="216">
        <v>0</v>
      </c>
      <c r="AB24" s="216">
        <v>0</v>
      </c>
    </row>
    <row r="25" spans="1:28" ht="19.5" x14ac:dyDescent="0.3">
      <c r="A25" s="172">
        <v>12</v>
      </c>
      <c r="B25" s="173" t="s">
        <v>51</v>
      </c>
      <c r="C25" s="174">
        <f t="shared" ca="1" si="21"/>
        <v>0</v>
      </c>
      <c r="D25" s="175">
        <f t="shared" ca="1" si="34"/>
        <v>0</v>
      </c>
      <c r="E25" s="176">
        <f ca="1">IFERROR(__xludf.DUMMYFUNCTION("IMPORTRANGE(""https://docs.google.com/spreadsheets/d/1-uDff_7J0KD5mKrp0Vvzr7lt3OU09vwQwhkpOPPYv2Y/edit?usp=sharing"",""งบพรบ!DF25"")"),0)</f>
        <v>0</v>
      </c>
      <c r="F25" s="176">
        <f ca="1">IFERROR(__xludf.DUMMYFUNCTION("IMPORTRANGE(""https://docs.google.com/spreadsheets/d/1-uDff_7J0KD5mKrp0Vvzr7lt3OU09vwQwhkpOPPYv2Y/edit?usp=sharing"",""งบพรบ!DG25"")"),0)</f>
        <v>0</v>
      </c>
      <c r="G25" s="176">
        <f ca="1">IFERROR(__xludf.DUMMYFUNCTION("IMPORTRANGE(""https://docs.google.com/spreadsheets/d/1-uDff_7J0KD5mKrp0Vvzr7lt3OU09vwQwhkpOPPYv2Y/edit?usp=sharing"",""งบพรบ!DH25"")"),0)</f>
        <v>0</v>
      </c>
      <c r="H25" s="176">
        <f ca="1">IFERROR(__xludf.DUMMYFUNCTION("IMPORTRANGE(""https://docs.google.com/spreadsheets/d/1-uDff_7J0KD5mKrp0Vvzr7lt3OU09vwQwhkpOPPYv2Y/edit?usp=sharing"",""งบพรบ!DJ25"")"),0)</f>
        <v>0</v>
      </c>
      <c r="I25" s="176">
        <f ca="1">IFERROR(__xludf.DUMMYFUNCTION("IMPORTRANGE(""https://docs.google.com/spreadsheets/d/1-uDff_7J0KD5mKrp0Vvzr7lt3OU09vwQwhkpOPPYv2Y/edit?usp=sharing"",""งบพรบ!DK25"")"),0)</f>
        <v>0</v>
      </c>
      <c r="J25" s="176">
        <f t="shared" ca="1" si="23"/>
        <v>0</v>
      </c>
      <c r="K25" s="179">
        <f t="shared" ca="1" si="24"/>
        <v>0</v>
      </c>
      <c r="L25" s="176">
        <f ca="1">IFERROR(__xludf.DUMMYFUNCTION("IMPORTRANGE(""https://docs.google.com/spreadsheets/d/1-uDff_7J0KD5mKrp0Vvzr7lt3OU09vwQwhkpOPPYv2Y/edit?usp=sharing"",""งบพรบ!DL25"")"),0)</f>
        <v>0</v>
      </c>
      <c r="M25" s="87">
        <f t="shared" ca="1" si="25"/>
        <v>0</v>
      </c>
      <c r="N25" s="87">
        <f t="shared" ca="1" si="26"/>
        <v>0</v>
      </c>
      <c r="O25" s="86">
        <f ca="1">IFERROR(__xludf.DUMMYFUNCTION("IMPORTRANGE(""https://docs.google.com/spreadsheets/d/1-uDff_7J0KD5mKrp0Vvzr7lt3OU09vwQwhkpOPPYv2Y/edit?usp=sharing"",""งบพรบ!DM25"")"),0)</f>
        <v>0</v>
      </c>
      <c r="P25" s="86">
        <f t="shared" ca="1" si="27"/>
        <v>0</v>
      </c>
      <c r="Q25" s="87">
        <f t="shared" ca="1" si="28"/>
        <v>0</v>
      </c>
      <c r="R25" s="86">
        <f ca="1">IFERROR(__xludf.DUMMYFUNCTION("IMPORTRANGE(""https://docs.google.com/spreadsheets/d/1dQrvX0vEcN7Gu0fnZ0B5S90AeR19zth4XlExFBeExMY/edit?usp=sharing"",""แม่ฮ่องสอน!Q266"")"),47880)</f>
        <v>47880</v>
      </c>
      <c r="S25" s="86">
        <f ca="1">IFERROR(__xludf.DUMMYFUNCTION("IMPORTRANGE(""https://docs.google.com/spreadsheets/d/1dQrvX0vEcN7Gu0fnZ0B5S90AeR19zth4XlExFBeExMY/edit?usp=sharing"",""แม่ฮ่องสอน!R266"")"),0)</f>
        <v>0</v>
      </c>
      <c r="T25" s="86">
        <f ca="1">IFERROR(__xludf.DUMMYFUNCTION("IMPORTRANGE(""https://docs.google.com/spreadsheets/d/1dQrvX0vEcN7Gu0fnZ0B5S90AeR19zth4XlExFBeExMY/edit?usp=sharing"",""แม่ฮ่องสอน!S266"")"),0)</f>
        <v>0</v>
      </c>
      <c r="U25" s="87">
        <f t="shared" ca="1" si="30"/>
        <v>0</v>
      </c>
      <c r="V25" s="87">
        <f t="shared" ca="1" si="31"/>
        <v>0</v>
      </c>
      <c r="W25" s="93">
        <f ca="1">IFERROR(__xludf.DUMMYFUNCTION("IMPORTRANGE(""https://docs.google.com/spreadsheets/d/1dQrvX0vEcN7Gu0fnZ0B5S90AeR19zth4XlExFBeExMY/edit?usp=sharing"",""แม่ฮ่องสอน!I276"")"),20)</f>
        <v>20</v>
      </c>
      <c r="X25" s="93">
        <f ca="1">IFERROR(__xludf.DUMMYFUNCTION("IMPORTRANGE(""https://docs.google.com/spreadsheets/d/1dQrvX0vEcN7Gu0fnZ0B5S90AeR19zth4XlExFBeExMY/edit?usp=sharing"",""แม่ฮ่องสอน!J276"")"),0)</f>
        <v>0</v>
      </c>
      <c r="Y25" s="177">
        <f t="shared" ca="1" si="33"/>
        <v>0</v>
      </c>
      <c r="Z25" s="216">
        <v>0</v>
      </c>
      <c r="AA25" s="216">
        <v>0</v>
      </c>
      <c r="AB25" s="216">
        <v>0</v>
      </c>
    </row>
    <row r="26" spans="1:28" ht="19.5" x14ac:dyDescent="0.3">
      <c r="A26" s="172">
        <v>13</v>
      </c>
      <c r="B26" s="173" t="s">
        <v>52</v>
      </c>
      <c r="C26" s="174">
        <f t="shared" ca="1" si="21"/>
        <v>0</v>
      </c>
      <c r="D26" s="175">
        <f t="shared" ca="1" si="34"/>
        <v>0</v>
      </c>
      <c r="E26" s="176">
        <f ca="1">IFERROR(__xludf.DUMMYFUNCTION("IMPORTRANGE(""https://docs.google.com/spreadsheets/d/1-uDff_7J0KD5mKrp0Vvzr7lt3OU09vwQwhkpOPPYv2Y/edit?usp=sharing"",""งบพรบ!DF26"")"),0)</f>
        <v>0</v>
      </c>
      <c r="F26" s="176">
        <f ca="1">IFERROR(__xludf.DUMMYFUNCTION("IMPORTRANGE(""https://docs.google.com/spreadsheets/d/1-uDff_7J0KD5mKrp0Vvzr7lt3OU09vwQwhkpOPPYv2Y/edit?usp=sharing"",""งบพรบ!DG26"")"),0)</f>
        <v>0</v>
      </c>
      <c r="G26" s="176">
        <f ca="1">IFERROR(__xludf.DUMMYFUNCTION("IMPORTRANGE(""https://docs.google.com/spreadsheets/d/1-uDff_7J0KD5mKrp0Vvzr7lt3OU09vwQwhkpOPPYv2Y/edit?usp=sharing"",""งบพรบ!DH26"")"),0)</f>
        <v>0</v>
      </c>
      <c r="H26" s="176">
        <f ca="1">IFERROR(__xludf.DUMMYFUNCTION("IMPORTRANGE(""https://docs.google.com/spreadsheets/d/1-uDff_7J0KD5mKrp0Vvzr7lt3OU09vwQwhkpOPPYv2Y/edit?usp=sharing"",""งบพรบ!DJ26"")"),0)</f>
        <v>0</v>
      </c>
      <c r="I26" s="176">
        <f ca="1">IFERROR(__xludf.DUMMYFUNCTION("IMPORTRANGE(""https://docs.google.com/spreadsheets/d/1-uDff_7J0KD5mKrp0Vvzr7lt3OU09vwQwhkpOPPYv2Y/edit?usp=sharing"",""งบพรบ!DK26"")"),0)</f>
        <v>0</v>
      </c>
      <c r="J26" s="176">
        <f t="shared" ca="1" si="23"/>
        <v>0</v>
      </c>
      <c r="K26" s="179">
        <f t="shared" ca="1" si="24"/>
        <v>0</v>
      </c>
      <c r="L26" s="176">
        <f ca="1">IFERROR(__xludf.DUMMYFUNCTION("IMPORTRANGE(""https://docs.google.com/spreadsheets/d/1-uDff_7J0KD5mKrp0Vvzr7lt3OU09vwQwhkpOPPYv2Y/edit?usp=sharing"",""งบพรบ!DL26"")"),0)</f>
        <v>0</v>
      </c>
      <c r="M26" s="87">
        <f t="shared" ca="1" si="25"/>
        <v>0</v>
      </c>
      <c r="N26" s="87">
        <f t="shared" ca="1" si="26"/>
        <v>0</v>
      </c>
      <c r="O26" s="86">
        <f ca="1">IFERROR(__xludf.DUMMYFUNCTION("IMPORTRANGE(""https://docs.google.com/spreadsheets/d/1-uDff_7J0KD5mKrp0Vvzr7lt3OU09vwQwhkpOPPYv2Y/edit?usp=sharing"",""งบพรบ!DM26"")"),0)</f>
        <v>0</v>
      </c>
      <c r="P26" s="86">
        <f t="shared" ca="1" si="27"/>
        <v>0</v>
      </c>
      <c r="Q26" s="87">
        <f t="shared" ca="1" si="28"/>
        <v>0</v>
      </c>
      <c r="R26" s="86">
        <f ca="1">IFERROR(__xludf.DUMMYFUNCTION("IMPORTRANGE(""https://docs.google.com/spreadsheets/d/1DY4XTNNwjluuxqdfdn6qvOSlMRrZqUtmYcZR0ttFiG4/edit?usp=sharing"",""ลำปาง!Q266"")"),50660)</f>
        <v>50660</v>
      </c>
      <c r="S26" s="86">
        <f ca="1">IFERROR(__xludf.DUMMYFUNCTION("IMPORTRANGE(""https://docs.google.com/spreadsheets/d/1DY4XTNNwjluuxqdfdn6qvOSlMRrZqUtmYcZR0ttFiG4/edit?usp=sharing"",""ลำปาง!R266"")"),0)</f>
        <v>0</v>
      </c>
      <c r="T26" s="86">
        <f ca="1">IFERROR(__xludf.DUMMYFUNCTION("IMPORTRANGE(""https://docs.google.com/spreadsheets/d/1DY4XTNNwjluuxqdfdn6qvOSlMRrZqUtmYcZR0ttFiG4/edit?usp=sharing"",""ลำปาง!S266"")"),0)</f>
        <v>0</v>
      </c>
      <c r="U26" s="87">
        <f t="shared" ca="1" si="30"/>
        <v>0</v>
      </c>
      <c r="V26" s="87">
        <f t="shared" ca="1" si="31"/>
        <v>0</v>
      </c>
      <c r="W26" s="93">
        <f ca="1">IFERROR(__xludf.DUMMYFUNCTION("IMPORTRANGE(""https://docs.google.com/spreadsheets/d/1DY4XTNNwjluuxqdfdn6qvOSlMRrZqUtmYcZR0ttFiG4/edit?usp=sharing"",""ลำปาง!I276"")"),22)</f>
        <v>22</v>
      </c>
      <c r="X26" s="93">
        <f ca="1">IFERROR(__xludf.DUMMYFUNCTION("IMPORTRANGE(""https://docs.google.com/spreadsheets/d/1DY4XTNNwjluuxqdfdn6qvOSlMRrZqUtmYcZR0ttFiG4/edit?usp=sharing"",""ลำปาง!J276"")"),0)</f>
        <v>0</v>
      </c>
      <c r="Y26" s="177">
        <f t="shared" ca="1" si="33"/>
        <v>0</v>
      </c>
      <c r="Z26" s="216">
        <v>0</v>
      </c>
      <c r="AA26" s="216">
        <v>0</v>
      </c>
      <c r="AB26" s="216">
        <v>0</v>
      </c>
    </row>
    <row r="27" spans="1:28" ht="19.5" x14ac:dyDescent="0.3">
      <c r="A27" s="172">
        <v>14</v>
      </c>
      <c r="B27" s="173" t="s">
        <v>53</v>
      </c>
      <c r="C27" s="174">
        <f t="shared" ca="1" si="21"/>
        <v>0</v>
      </c>
      <c r="D27" s="175">
        <f t="shared" ca="1" si="34"/>
        <v>0</v>
      </c>
      <c r="E27" s="176">
        <f ca="1">IFERROR(__xludf.DUMMYFUNCTION("IMPORTRANGE(""https://docs.google.com/spreadsheets/d/1-uDff_7J0KD5mKrp0Vvzr7lt3OU09vwQwhkpOPPYv2Y/edit?usp=sharing"",""งบพรบ!DF27"")"),0)</f>
        <v>0</v>
      </c>
      <c r="F27" s="176">
        <f ca="1">IFERROR(__xludf.DUMMYFUNCTION("IMPORTRANGE(""https://docs.google.com/spreadsheets/d/1-uDff_7J0KD5mKrp0Vvzr7lt3OU09vwQwhkpOPPYv2Y/edit?usp=sharing"",""งบพรบ!DG27"")"),0)</f>
        <v>0</v>
      </c>
      <c r="G27" s="176">
        <f ca="1">IFERROR(__xludf.DUMMYFUNCTION("IMPORTRANGE(""https://docs.google.com/spreadsheets/d/1-uDff_7J0KD5mKrp0Vvzr7lt3OU09vwQwhkpOPPYv2Y/edit?usp=sharing"",""งบพรบ!DH27"")"),0)</f>
        <v>0</v>
      </c>
      <c r="H27" s="176">
        <f ca="1">IFERROR(__xludf.DUMMYFUNCTION("IMPORTRANGE(""https://docs.google.com/spreadsheets/d/1-uDff_7J0KD5mKrp0Vvzr7lt3OU09vwQwhkpOPPYv2Y/edit?usp=sharing"",""งบพรบ!DJ27"")"),0)</f>
        <v>0</v>
      </c>
      <c r="I27" s="176">
        <f ca="1">IFERROR(__xludf.DUMMYFUNCTION("IMPORTRANGE(""https://docs.google.com/spreadsheets/d/1-uDff_7J0KD5mKrp0Vvzr7lt3OU09vwQwhkpOPPYv2Y/edit?usp=sharing"",""งบพรบ!DK27"")"),0)</f>
        <v>0</v>
      </c>
      <c r="J27" s="176">
        <f t="shared" ca="1" si="23"/>
        <v>0</v>
      </c>
      <c r="K27" s="179">
        <f t="shared" ca="1" si="24"/>
        <v>0</v>
      </c>
      <c r="L27" s="176">
        <f ca="1">IFERROR(__xludf.DUMMYFUNCTION("IMPORTRANGE(""https://docs.google.com/spreadsheets/d/1-uDff_7J0KD5mKrp0Vvzr7lt3OU09vwQwhkpOPPYv2Y/edit?usp=sharing"",""งบพรบ!DL27"")"),0)</f>
        <v>0</v>
      </c>
      <c r="M27" s="87">
        <f t="shared" ca="1" si="25"/>
        <v>0</v>
      </c>
      <c r="N27" s="87">
        <f t="shared" ca="1" si="26"/>
        <v>0</v>
      </c>
      <c r="O27" s="86">
        <f ca="1">IFERROR(__xludf.DUMMYFUNCTION("IMPORTRANGE(""https://docs.google.com/spreadsheets/d/1-uDff_7J0KD5mKrp0Vvzr7lt3OU09vwQwhkpOPPYv2Y/edit?usp=sharing"",""งบพรบ!DM27"")"),0)</f>
        <v>0</v>
      </c>
      <c r="P27" s="86">
        <f t="shared" ca="1" si="27"/>
        <v>0</v>
      </c>
      <c r="Q27" s="87">
        <f t="shared" ca="1" si="28"/>
        <v>0</v>
      </c>
      <c r="R27" s="86">
        <f ca="1">IFERROR(__xludf.DUMMYFUNCTION("IMPORTRANGE(""https://docs.google.com/spreadsheets/d/1ICwG78r0OFT8biBlxnBF8r7she7gNSzOvJ958PWT09c/edit?usp=sharing"",""ลำพูน!Q266"")"),50660)</f>
        <v>50660</v>
      </c>
      <c r="S27" s="86">
        <f ca="1">IFERROR(__xludf.DUMMYFUNCTION("IMPORTRANGE(""https://docs.google.com/spreadsheets/d/1ICwG78r0OFT8biBlxnBF8r7she7gNSzOvJ958PWT09c/edit?usp=sharing"",""ลำพูน!R266"")"),0)</f>
        <v>0</v>
      </c>
      <c r="T27" s="86">
        <f ca="1">IFERROR(__xludf.DUMMYFUNCTION("IMPORTRANGE(""https://docs.google.com/spreadsheets/d/1ICwG78r0OFT8biBlxnBF8r7she7gNSzOvJ958PWT09c/edit?usp=sharing"",""ลำพูน!S266"")"),0)</f>
        <v>0</v>
      </c>
      <c r="U27" s="87">
        <f t="shared" ca="1" si="30"/>
        <v>0</v>
      </c>
      <c r="V27" s="87">
        <f t="shared" ca="1" si="31"/>
        <v>0</v>
      </c>
      <c r="W27" s="93">
        <f ca="1">IFERROR(__xludf.DUMMYFUNCTION("IMPORTRANGE(""https://docs.google.com/spreadsheets/d/1ICwG78r0OFT8biBlxnBF8r7she7gNSzOvJ958PWT09c/edit?usp=sharing"",""ลำพูน!I276"")"),22)</f>
        <v>22</v>
      </c>
      <c r="X27" s="93">
        <f ca="1">IFERROR(__xludf.DUMMYFUNCTION("IMPORTRANGE(""https://docs.google.com/spreadsheets/d/1ICwG78r0OFT8biBlxnBF8r7she7gNSzOvJ958PWT09c/edit?usp=sharing"",""ลำพูน!J276"")"),0)</f>
        <v>0</v>
      </c>
      <c r="Y27" s="177">
        <f t="shared" ca="1" si="33"/>
        <v>0</v>
      </c>
      <c r="Z27" s="216">
        <v>0</v>
      </c>
      <c r="AA27" s="216">
        <v>0</v>
      </c>
      <c r="AB27" s="216">
        <v>0</v>
      </c>
    </row>
    <row r="28" spans="1:28" ht="19.5" x14ac:dyDescent="0.3">
      <c r="A28" s="172">
        <v>15</v>
      </c>
      <c r="B28" s="173" t="s">
        <v>54</v>
      </c>
      <c r="C28" s="174">
        <f t="shared" ca="1" si="21"/>
        <v>0</v>
      </c>
      <c r="D28" s="175">
        <f t="shared" ca="1" si="34"/>
        <v>0</v>
      </c>
      <c r="E28" s="176">
        <f ca="1">IFERROR(__xludf.DUMMYFUNCTION("IMPORTRANGE(""https://docs.google.com/spreadsheets/d/1-uDff_7J0KD5mKrp0Vvzr7lt3OU09vwQwhkpOPPYv2Y/edit?usp=sharing"",""งบพรบ!DF28"")"),0)</f>
        <v>0</v>
      </c>
      <c r="F28" s="176">
        <f ca="1">IFERROR(__xludf.DUMMYFUNCTION("IMPORTRANGE(""https://docs.google.com/spreadsheets/d/1-uDff_7J0KD5mKrp0Vvzr7lt3OU09vwQwhkpOPPYv2Y/edit?usp=sharing"",""งบพรบ!DG28"")"),0)</f>
        <v>0</v>
      </c>
      <c r="G28" s="176">
        <f ca="1">IFERROR(__xludf.DUMMYFUNCTION("IMPORTRANGE(""https://docs.google.com/spreadsheets/d/1-uDff_7J0KD5mKrp0Vvzr7lt3OU09vwQwhkpOPPYv2Y/edit?usp=sharing"",""งบพรบ!DH28"")"),0)</f>
        <v>0</v>
      </c>
      <c r="H28" s="176">
        <f ca="1">IFERROR(__xludf.DUMMYFUNCTION("IMPORTRANGE(""https://docs.google.com/spreadsheets/d/1-uDff_7J0KD5mKrp0Vvzr7lt3OU09vwQwhkpOPPYv2Y/edit?usp=sharing"",""งบพรบ!DJ28"")"),0)</f>
        <v>0</v>
      </c>
      <c r="I28" s="176">
        <f ca="1">IFERROR(__xludf.DUMMYFUNCTION("IMPORTRANGE(""https://docs.google.com/spreadsheets/d/1-uDff_7J0KD5mKrp0Vvzr7lt3OU09vwQwhkpOPPYv2Y/edit?usp=sharing"",""งบพรบ!DK28"")"),0)</f>
        <v>0</v>
      </c>
      <c r="J28" s="176">
        <f t="shared" ca="1" si="23"/>
        <v>0</v>
      </c>
      <c r="K28" s="179">
        <f t="shared" ca="1" si="24"/>
        <v>0</v>
      </c>
      <c r="L28" s="176">
        <f ca="1">IFERROR(__xludf.DUMMYFUNCTION("IMPORTRANGE(""https://docs.google.com/spreadsheets/d/1-uDff_7J0KD5mKrp0Vvzr7lt3OU09vwQwhkpOPPYv2Y/edit?usp=sharing"",""งบพรบ!DL28"")"),0)</f>
        <v>0</v>
      </c>
      <c r="M28" s="87">
        <f t="shared" ca="1" si="25"/>
        <v>0</v>
      </c>
      <c r="N28" s="87">
        <f t="shared" ca="1" si="26"/>
        <v>0</v>
      </c>
      <c r="O28" s="86">
        <f ca="1">IFERROR(__xludf.DUMMYFUNCTION("IMPORTRANGE(""https://docs.google.com/spreadsheets/d/1-uDff_7J0KD5mKrp0Vvzr7lt3OU09vwQwhkpOPPYv2Y/edit?usp=sharing"",""งบพรบ!DM28"")"),0)</f>
        <v>0</v>
      </c>
      <c r="P28" s="86">
        <f t="shared" ca="1" si="27"/>
        <v>0</v>
      </c>
      <c r="Q28" s="87">
        <f t="shared" ca="1" si="28"/>
        <v>0</v>
      </c>
      <c r="R28" s="86">
        <f ca="1">IFERROR(__xludf.DUMMYFUNCTION("IMPORTRANGE(""https://docs.google.com/spreadsheets/d/1B0f2xJpZUC6Z0xXnqKlZtEPzsf6L84eP1r1Q15seqRM/edit?usp=sharing"",""สุโขทัย!Q266"")"),53440)</f>
        <v>53440</v>
      </c>
      <c r="S28" s="86">
        <f ca="1">IFERROR(__xludf.DUMMYFUNCTION("IMPORTRANGE(""https://docs.google.com/spreadsheets/d/1B0f2xJpZUC6Z0xXnqKlZtEPzsf6L84eP1r1Q15seqRM/edit?usp=sharing"",""สุโขทัย!R266"")"),0)</f>
        <v>0</v>
      </c>
      <c r="T28" s="86">
        <f ca="1">IFERROR(__xludf.DUMMYFUNCTION("IMPORTRANGE(""https://docs.google.com/spreadsheets/d/1B0f2xJpZUC6Z0xXnqKlZtEPzsf6L84eP1r1Q15seqRM/edit?usp=sharing"",""สุโขทัย!S266"")"),0)</f>
        <v>0</v>
      </c>
      <c r="U28" s="87">
        <f t="shared" ca="1" si="30"/>
        <v>0</v>
      </c>
      <c r="V28" s="87">
        <f t="shared" ca="1" si="31"/>
        <v>0</v>
      </c>
      <c r="W28" s="93">
        <f ca="1">IFERROR(__xludf.DUMMYFUNCTION("IMPORTRANGE(""https://docs.google.com/spreadsheets/d/1B0f2xJpZUC6Z0xXnqKlZtEPzsf6L84eP1r1Q15seqRM/edit?usp=sharing"",""สุโขทัย!I276"")"),24)</f>
        <v>24</v>
      </c>
      <c r="X28" s="93">
        <f ca="1">IFERROR(__xludf.DUMMYFUNCTION("IMPORTRANGE(""https://docs.google.com/spreadsheets/d/1B0f2xJpZUC6Z0xXnqKlZtEPzsf6L84eP1r1Q15seqRM/edit?usp=sharing"",""สุโขทัย!J276"")"),0)</f>
        <v>0</v>
      </c>
      <c r="Y28" s="177">
        <f t="shared" ca="1" si="33"/>
        <v>0</v>
      </c>
      <c r="Z28" s="216">
        <v>0</v>
      </c>
      <c r="AA28" s="216">
        <v>0</v>
      </c>
      <c r="AB28" s="216">
        <v>0</v>
      </c>
    </row>
    <row r="29" spans="1:28" ht="19.5" x14ac:dyDescent="0.3">
      <c r="A29" s="172">
        <v>16</v>
      </c>
      <c r="B29" s="173" t="s">
        <v>55</v>
      </c>
      <c r="C29" s="174">
        <f t="shared" ca="1" si="21"/>
        <v>0</v>
      </c>
      <c r="D29" s="175">
        <f t="shared" ca="1" si="34"/>
        <v>0</v>
      </c>
      <c r="E29" s="176">
        <f ca="1">IFERROR(__xludf.DUMMYFUNCTION("IMPORTRANGE(""https://docs.google.com/spreadsheets/d/1-uDff_7J0KD5mKrp0Vvzr7lt3OU09vwQwhkpOPPYv2Y/edit?usp=sharing"",""งบพรบ!DF29"")"),0)</f>
        <v>0</v>
      </c>
      <c r="F29" s="176">
        <f ca="1">IFERROR(__xludf.DUMMYFUNCTION("IMPORTRANGE(""https://docs.google.com/spreadsheets/d/1-uDff_7J0KD5mKrp0Vvzr7lt3OU09vwQwhkpOPPYv2Y/edit?usp=sharing"",""งบพรบ!DG29"")"),0)</f>
        <v>0</v>
      </c>
      <c r="G29" s="176">
        <f ca="1">IFERROR(__xludf.DUMMYFUNCTION("IMPORTRANGE(""https://docs.google.com/spreadsheets/d/1-uDff_7J0KD5mKrp0Vvzr7lt3OU09vwQwhkpOPPYv2Y/edit?usp=sharing"",""งบพรบ!DH29"")"),0)</f>
        <v>0</v>
      </c>
      <c r="H29" s="176">
        <f ca="1">IFERROR(__xludf.DUMMYFUNCTION("IMPORTRANGE(""https://docs.google.com/spreadsheets/d/1-uDff_7J0KD5mKrp0Vvzr7lt3OU09vwQwhkpOPPYv2Y/edit?usp=sharing"",""งบพรบ!DJ29"")"),0)</f>
        <v>0</v>
      </c>
      <c r="I29" s="176">
        <f ca="1">IFERROR(__xludf.DUMMYFUNCTION("IMPORTRANGE(""https://docs.google.com/spreadsheets/d/1-uDff_7J0KD5mKrp0Vvzr7lt3OU09vwQwhkpOPPYv2Y/edit?usp=sharing"",""งบพรบ!DK29"")"),0)</f>
        <v>0</v>
      </c>
      <c r="J29" s="176">
        <f t="shared" ca="1" si="23"/>
        <v>0</v>
      </c>
      <c r="K29" s="179">
        <f t="shared" ca="1" si="24"/>
        <v>0</v>
      </c>
      <c r="L29" s="176">
        <f ca="1">IFERROR(__xludf.DUMMYFUNCTION("IMPORTRANGE(""https://docs.google.com/spreadsheets/d/1-uDff_7J0KD5mKrp0Vvzr7lt3OU09vwQwhkpOPPYv2Y/edit?usp=sharing"",""งบพรบ!DL29"")"),0)</f>
        <v>0</v>
      </c>
      <c r="M29" s="87">
        <f t="shared" ca="1" si="25"/>
        <v>0</v>
      </c>
      <c r="N29" s="87">
        <f t="shared" ca="1" si="26"/>
        <v>0</v>
      </c>
      <c r="O29" s="86">
        <f ca="1">IFERROR(__xludf.DUMMYFUNCTION("IMPORTRANGE(""https://docs.google.com/spreadsheets/d/1-uDff_7J0KD5mKrp0Vvzr7lt3OU09vwQwhkpOPPYv2Y/edit?usp=sharing"",""งบพรบ!DM29"")"),0)</f>
        <v>0</v>
      </c>
      <c r="P29" s="86">
        <f t="shared" ca="1" si="27"/>
        <v>0</v>
      </c>
      <c r="Q29" s="87">
        <f t="shared" ca="1" si="28"/>
        <v>0</v>
      </c>
      <c r="R29" s="86">
        <f ca="1">IFERROR(__xludf.DUMMYFUNCTION("IMPORTRANGE(""https://docs.google.com/spreadsheets/d/1v0b9pFQCsKUVExMei7AgY2yQkdeNQvtOssygGsXbiKo/edit?usp=sharing"",""อุตรดิตถ์!Q266"")"),50660)</f>
        <v>50660</v>
      </c>
      <c r="S29" s="86">
        <f ca="1">IFERROR(__xludf.DUMMYFUNCTION("IMPORTRANGE(""https://docs.google.com/spreadsheets/d/1v0b9pFQCsKUVExMei7AgY2yQkdeNQvtOssygGsXbiKo/edit?usp=sharing"",""อุตรดิตถ์!R266"")"),0)</f>
        <v>0</v>
      </c>
      <c r="T29" s="86">
        <f ca="1">IFERROR(__xludf.DUMMYFUNCTION("IMPORTRANGE(""https://docs.google.com/spreadsheets/d/1v0b9pFQCsKUVExMei7AgY2yQkdeNQvtOssygGsXbiKo/edit?usp=sharing"",""อุตรดิตถ์!S266"")"),0)</f>
        <v>0</v>
      </c>
      <c r="U29" s="87">
        <f t="shared" ca="1" si="30"/>
        <v>0</v>
      </c>
      <c r="V29" s="87">
        <f t="shared" ca="1" si="31"/>
        <v>0</v>
      </c>
      <c r="W29" s="93">
        <f ca="1">IFERROR(__xludf.DUMMYFUNCTION("IMPORTRANGE(""https://docs.google.com/spreadsheets/d/1v0b9pFQCsKUVExMei7AgY2yQkdeNQvtOssygGsXbiKo/edit?usp=sharing"",""อุตรดิตถ์!I276"")"),22)</f>
        <v>22</v>
      </c>
      <c r="X29" s="93">
        <f ca="1">IFERROR(__xludf.DUMMYFUNCTION("IMPORTRANGE(""https://docs.google.com/spreadsheets/d/1v0b9pFQCsKUVExMei7AgY2yQkdeNQvtOssygGsXbiKo/edit?usp=sharing"",""อุตรดิตถ์!J276"")"),0)</f>
        <v>0</v>
      </c>
      <c r="Y29" s="177">
        <f t="shared" ca="1" si="33"/>
        <v>0</v>
      </c>
      <c r="Z29" s="216">
        <v>0</v>
      </c>
      <c r="AA29" s="216">
        <v>0</v>
      </c>
      <c r="AB29" s="216">
        <v>0</v>
      </c>
    </row>
    <row r="30" spans="1:28" ht="19.5" x14ac:dyDescent="0.3">
      <c r="A30" s="180">
        <v>17</v>
      </c>
      <c r="B30" s="181" t="s">
        <v>56</v>
      </c>
      <c r="C30" s="182">
        <f t="shared" ca="1" si="21"/>
        <v>0</v>
      </c>
      <c r="D30" s="183">
        <f t="shared" ca="1" si="34"/>
        <v>0</v>
      </c>
      <c r="E30" s="184">
        <f ca="1">IFERROR(__xludf.DUMMYFUNCTION("IMPORTRANGE(""https://docs.google.com/spreadsheets/d/1-uDff_7J0KD5mKrp0Vvzr7lt3OU09vwQwhkpOPPYv2Y/edit?usp=sharing"",""งบพรบ!DF30"")"),0)</f>
        <v>0</v>
      </c>
      <c r="F30" s="184">
        <f ca="1">IFERROR(__xludf.DUMMYFUNCTION("IMPORTRANGE(""https://docs.google.com/spreadsheets/d/1-uDff_7J0KD5mKrp0Vvzr7lt3OU09vwQwhkpOPPYv2Y/edit?usp=sharing"",""งบพรบ!DG30"")"),0)</f>
        <v>0</v>
      </c>
      <c r="G30" s="184">
        <f ca="1">IFERROR(__xludf.DUMMYFUNCTION("IMPORTRANGE(""https://docs.google.com/spreadsheets/d/1-uDff_7J0KD5mKrp0Vvzr7lt3OU09vwQwhkpOPPYv2Y/edit?usp=sharing"",""งบพรบ!DH30"")"),0)</f>
        <v>0</v>
      </c>
      <c r="H30" s="184">
        <f ca="1">IFERROR(__xludf.DUMMYFUNCTION("IMPORTRANGE(""https://docs.google.com/spreadsheets/d/1-uDff_7J0KD5mKrp0Vvzr7lt3OU09vwQwhkpOPPYv2Y/edit?usp=sharing"",""งบพรบ!DJ30"")"),0)</f>
        <v>0</v>
      </c>
      <c r="I30" s="184">
        <f ca="1">IFERROR(__xludf.DUMMYFUNCTION("IMPORTRANGE(""https://docs.google.com/spreadsheets/d/1-uDff_7J0KD5mKrp0Vvzr7lt3OU09vwQwhkpOPPYv2Y/edit?usp=sharing"",""งบพรบ!DK30"")"),0)</f>
        <v>0</v>
      </c>
      <c r="J30" s="184">
        <f t="shared" ca="1" si="23"/>
        <v>0</v>
      </c>
      <c r="K30" s="185">
        <f t="shared" ca="1" si="24"/>
        <v>0</v>
      </c>
      <c r="L30" s="184">
        <f ca="1">IFERROR(__xludf.DUMMYFUNCTION("IMPORTRANGE(""https://docs.google.com/spreadsheets/d/1-uDff_7J0KD5mKrp0Vvzr7lt3OU09vwQwhkpOPPYv2Y/edit?usp=sharing"",""งบพรบ!DL30"")"),0)</f>
        <v>0</v>
      </c>
      <c r="M30" s="109">
        <f t="shared" ca="1" si="25"/>
        <v>0</v>
      </c>
      <c r="N30" s="109">
        <f t="shared" ca="1" si="26"/>
        <v>0</v>
      </c>
      <c r="O30" s="108">
        <f ca="1">IFERROR(__xludf.DUMMYFUNCTION("IMPORTRANGE(""https://docs.google.com/spreadsheets/d/1-uDff_7J0KD5mKrp0Vvzr7lt3OU09vwQwhkpOPPYv2Y/edit?usp=sharing"",""งบพรบ!DM30"")"),0)</f>
        <v>0</v>
      </c>
      <c r="P30" s="108">
        <f t="shared" ca="1" si="27"/>
        <v>0</v>
      </c>
      <c r="Q30" s="109">
        <f t="shared" ca="1" si="28"/>
        <v>0</v>
      </c>
      <c r="R30" s="108">
        <f ca="1">IFERROR(__xludf.DUMMYFUNCTION("IMPORTRANGE(""https://docs.google.com/spreadsheets/d/1UsNK1e-WWiCo2PvGqdNfdme4m17_Ezd3J69EeeiQPD0/edit?usp=sharing"",""อุทัยธานี!Q266"")"),50660)</f>
        <v>50660</v>
      </c>
      <c r="S30" s="108">
        <f ca="1">IFERROR(__xludf.DUMMYFUNCTION("IMPORTRANGE(""https://docs.google.com/spreadsheets/d/1UsNK1e-WWiCo2PvGqdNfdme4m17_Ezd3J69EeeiQPD0/edit?usp=sharing"",""อุทัยธานี!R266"")"),0)</f>
        <v>0</v>
      </c>
      <c r="T30" s="108">
        <f ca="1">IFERROR(__xludf.DUMMYFUNCTION("IMPORTRANGE(""https://docs.google.com/spreadsheets/d/1UsNK1e-WWiCo2PvGqdNfdme4m17_Ezd3J69EeeiQPD0/edit?usp=sharing"",""อุทัยธานี!S266"")"),0)</f>
        <v>0</v>
      </c>
      <c r="U30" s="109">
        <f t="shared" ca="1" si="30"/>
        <v>0</v>
      </c>
      <c r="V30" s="109">
        <f t="shared" ca="1" si="31"/>
        <v>0</v>
      </c>
      <c r="W30" s="104">
        <f ca="1">IFERROR(__xludf.DUMMYFUNCTION("IMPORTRANGE(""https://docs.google.com/spreadsheets/d/1UsNK1e-WWiCo2PvGqdNfdme4m17_Ezd3J69EeeiQPD0/edit?usp=sharing"",""อุทัยธานี!I276"")"),22)</f>
        <v>22</v>
      </c>
      <c r="X30" s="104">
        <f ca="1">IFERROR(__xludf.DUMMYFUNCTION("IMPORTRANGE(""https://docs.google.com/spreadsheets/d/1UsNK1e-WWiCo2PvGqdNfdme4m17_Ezd3J69EeeiQPD0/edit?usp=sharing"",""อุทัยธานี!J276"")"),0)</f>
        <v>0</v>
      </c>
      <c r="Y30" s="186">
        <f t="shared" ca="1" si="33"/>
        <v>0</v>
      </c>
      <c r="Z30" s="217">
        <v>0</v>
      </c>
      <c r="AA30" s="217">
        <v>0</v>
      </c>
      <c r="AB30" s="217">
        <v>0</v>
      </c>
    </row>
    <row r="31" spans="1:28" ht="19.5" x14ac:dyDescent="0.3">
      <c r="A31" s="636" t="s">
        <v>57</v>
      </c>
      <c r="B31" s="633"/>
      <c r="C31" s="161">
        <f t="shared" ca="1" si="21"/>
        <v>0</v>
      </c>
      <c r="D31" s="161">
        <f t="shared" ref="D31:I31" ca="1" si="35">SUM(D32:D51)</f>
        <v>0</v>
      </c>
      <c r="E31" s="161">
        <f t="shared" ca="1" si="35"/>
        <v>0</v>
      </c>
      <c r="F31" s="161">
        <f t="shared" ca="1" si="35"/>
        <v>0</v>
      </c>
      <c r="G31" s="161">
        <f t="shared" ca="1" si="35"/>
        <v>0</v>
      </c>
      <c r="H31" s="161">
        <f t="shared" ca="1" si="35"/>
        <v>0</v>
      </c>
      <c r="I31" s="161">
        <f t="shared" ca="1" si="35"/>
        <v>0</v>
      </c>
      <c r="J31" s="161">
        <f t="shared" ca="1" si="23"/>
        <v>0</v>
      </c>
      <c r="K31" s="162">
        <f t="shared" ca="1" si="24"/>
        <v>0</v>
      </c>
      <c r="L31" s="161">
        <f ca="1">SUM(L32:L51)</f>
        <v>0</v>
      </c>
      <c r="M31" s="40">
        <f t="shared" ca="1" si="25"/>
        <v>0</v>
      </c>
      <c r="N31" s="40">
        <f t="shared" ca="1" si="26"/>
        <v>0</v>
      </c>
      <c r="O31" s="39">
        <f ca="1">SUM(O32:O51)</f>
        <v>0</v>
      </c>
      <c r="P31" s="39">
        <f t="shared" ca="1" si="27"/>
        <v>0</v>
      </c>
      <c r="Q31" s="40">
        <f t="shared" ca="1" si="28"/>
        <v>0</v>
      </c>
      <c r="R31" s="39">
        <f t="shared" ref="R31:T31" ca="1" si="36">SUM(R32:R51)</f>
        <v>1046560</v>
      </c>
      <c r="S31" s="39">
        <f t="shared" ca="1" si="36"/>
        <v>0</v>
      </c>
      <c r="T31" s="39">
        <f t="shared" ca="1" si="36"/>
        <v>0</v>
      </c>
      <c r="U31" s="40">
        <f t="shared" ca="1" si="30"/>
        <v>0</v>
      </c>
      <c r="V31" s="40">
        <f t="shared" ca="1" si="31"/>
        <v>0</v>
      </c>
      <c r="W31" s="71">
        <f t="shared" ref="W31:X31" ca="1" si="37">SUM(W32:W51)</f>
        <v>464</v>
      </c>
      <c r="X31" s="71">
        <f t="shared" ca="1" si="37"/>
        <v>0</v>
      </c>
      <c r="Y31" s="161">
        <f t="shared" ca="1" si="33"/>
        <v>0</v>
      </c>
      <c r="Z31" s="218">
        <v>0</v>
      </c>
      <c r="AA31" s="218">
        <v>0</v>
      </c>
      <c r="AB31" s="214">
        <v>0</v>
      </c>
    </row>
    <row r="32" spans="1:28" ht="19.5" x14ac:dyDescent="0.3">
      <c r="A32" s="172">
        <v>1</v>
      </c>
      <c r="B32" s="173" t="s">
        <v>58</v>
      </c>
      <c r="C32" s="174">
        <f t="shared" ca="1" si="21"/>
        <v>0</v>
      </c>
      <c r="D32" s="175">
        <f t="shared" ref="D32:D51" ca="1" si="38">+E32+F32</f>
        <v>0</v>
      </c>
      <c r="E32" s="176">
        <f ca="1">IFERROR(__xludf.DUMMYFUNCTION("IMPORTRANGE(""https://docs.google.com/spreadsheets/d/1-uDff_7J0KD5mKrp0Vvzr7lt3OU09vwQwhkpOPPYv2Y/edit?usp=sharing"",""งบพรบ!DF32"")"),0)</f>
        <v>0</v>
      </c>
      <c r="F32" s="176">
        <f ca="1">IFERROR(__xludf.DUMMYFUNCTION("IMPORTRANGE(""https://docs.google.com/spreadsheets/d/1-uDff_7J0KD5mKrp0Vvzr7lt3OU09vwQwhkpOPPYv2Y/edit?usp=sharing"",""งบพรบ!DG32"")"),0)</f>
        <v>0</v>
      </c>
      <c r="G32" s="177">
        <f ca="1">IFERROR(__xludf.DUMMYFUNCTION("IMPORTRANGE(""https://docs.google.com/spreadsheets/d/1-uDff_7J0KD5mKrp0Vvzr7lt3OU09vwQwhkpOPPYv2Y/edit?usp=sharing"",""งบพรบ!DH32"")"),0)</f>
        <v>0</v>
      </c>
      <c r="H32" s="177">
        <f ca="1">IFERROR(__xludf.DUMMYFUNCTION("IMPORTRANGE(""https://docs.google.com/spreadsheets/d/1-uDff_7J0KD5mKrp0Vvzr7lt3OU09vwQwhkpOPPYv2Y/edit?usp=sharing"",""งบพรบ!DJ32"")"),0)</f>
        <v>0</v>
      </c>
      <c r="I32" s="177">
        <f ca="1">IFERROR(__xludf.DUMMYFUNCTION("IMPORTRANGE(""https://docs.google.com/spreadsheets/d/1-uDff_7J0KD5mKrp0Vvzr7lt3OU09vwQwhkpOPPYv2Y/edit?usp=sharing"",""งบพรบ!DK32"")"),0)</f>
        <v>0</v>
      </c>
      <c r="J32" s="177">
        <f t="shared" ca="1" si="23"/>
        <v>0</v>
      </c>
      <c r="K32" s="178">
        <f t="shared" ca="1" si="24"/>
        <v>0</v>
      </c>
      <c r="L32" s="177">
        <f ca="1">IFERROR(__xludf.DUMMYFUNCTION("IMPORTRANGE(""https://docs.google.com/spreadsheets/d/1-uDff_7J0KD5mKrp0Vvzr7lt3OU09vwQwhkpOPPYv2Y/edit?usp=sharing"",""งบพรบ!DL32"")"),0)</f>
        <v>0</v>
      </c>
      <c r="M32" s="87">
        <f t="shared" ca="1" si="25"/>
        <v>0</v>
      </c>
      <c r="N32" s="87">
        <f t="shared" ca="1" si="26"/>
        <v>0</v>
      </c>
      <c r="O32" s="86">
        <f ca="1">IFERROR(__xludf.DUMMYFUNCTION("IMPORTRANGE(""https://docs.google.com/spreadsheets/d/1-uDff_7J0KD5mKrp0Vvzr7lt3OU09vwQwhkpOPPYv2Y/edit?usp=sharing"",""งบพรบ!DM32"")"),0)</f>
        <v>0</v>
      </c>
      <c r="P32" s="86">
        <f t="shared" ca="1" si="27"/>
        <v>0</v>
      </c>
      <c r="Q32" s="87">
        <f t="shared" ca="1" si="28"/>
        <v>0</v>
      </c>
      <c r="R32" s="86">
        <f ca="1">IFERROR(__xludf.DUMMYFUNCTION("IMPORTRANGE(""https://docs.google.com/spreadsheets/d/1yhBcrRPreicbMKl9Bu_Snb2-OcQAF62RKfhTLhJ2eAA/edit?usp=sharing"",""กาฬสินธุ์!Q266"")"),53440)</f>
        <v>53440</v>
      </c>
      <c r="S32" s="86">
        <f ca="1">IFERROR(__xludf.DUMMYFUNCTION("IMPORTRANGE(""https://docs.google.com/spreadsheets/d/1yhBcrRPreicbMKl9Bu_Snb2-OcQAF62RKfhTLhJ2eAA/edit?usp=sharing"",""กาฬสินธุ์!R266"")"),0)</f>
        <v>0</v>
      </c>
      <c r="T32" s="86">
        <f ca="1">IFERROR(__xludf.DUMMYFUNCTION("IMPORTRANGE(""https://docs.google.com/spreadsheets/d/1yhBcrRPreicbMKl9Bu_Snb2-OcQAF62RKfhTLhJ2eAA/edit?usp=sharing"",""กาฬสินธุ์!S266"")"),0)</f>
        <v>0</v>
      </c>
      <c r="U32" s="87">
        <f t="shared" ca="1" si="30"/>
        <v>0</v>
      </c>
      <c r="V32" s="87">
        <f t="shared" ca="1" si="31"/>
        <v>0</v>
      </c>
      <c r="W32" s="81">
        <f ca="1">IFERROR(__xludf.DUMMYFUNCTION("IMPORTRANGE(""https://docs.google.com/spreadsheets/d/1yhBcrRPreicbMKl9Bu_Snb2-OcQAF62RKfhTLhJ2eAA/edit?usp=sharing"",""กาฬสินธุ์!I276"")"),24)</f>
        <v>24</v>
      </c>
      <c r="X32" s="81">
        <f ca="1">IFERROR(__xludf.DUMMYFUNCTION("IMPORTRANGE(""https://docs.google.com/spreadsheets/d/1yhBcrRPreicbMKl9Bu_Snb2-OcQAF62RKfhTLhJ2eAA/edit?usp=sharing"",""กาฬสินธุ์!J276"")"),0)</f>
        <v>0</v>
      </c>
      <c r="Y32" s="177">
        <f t="shared" ca="1" si="33"/>
        <v>0</v>
      </c>
      <c r="Z32" s="215">
        <v>0</v>
      </c>
      <c r="AA32" s="215">
        <v>0</v>
      </c>
      <c r="AB32" s="219">
        <v>0</v>
      </c>
    </row>
    <row r="33" spans="1:28" ht="19.5" x14ac:dyDescent="0.3">
      <c r="A33" s="172">
        <v>2</v>
      </c>
      <c r="B33" s="173" t="s">
        <v>59</v>
      </c>
      <c r="C33" s="174">
        <f t="shared" ca="1" si="21"/>
        <v>0</v>
      </c>
      <c r="D33" s="175">
        <f t="shared" ca="1" si="38"/>
        <v>0</v>
      </c>
      <c r="E33" s="176">
        <f ca="1">IFERROR(__xludf.DUMMYFUNCTION("IMPORTRANGE(""https://docs.google.com/spreadsheets/d/1-uDff_7J0KD5mKrp0Vvzr7lt3OU09vwQwhkpOPPYv2Y/edit?usp=sharing"",""งบพรบ!DF33"")"),0)</f>
        <v>0</v>
      </c>
      <c r="F33" s="176">
        <f ca="1">IFERROR(__xludf.DUMMYFUNCTION("IMPORTRANGE(""https://docs.google.com/spreadsheets/d/1-uDff_7J0KD5mKrp0Vvzr7lt3OU09vwQwhkpOPPYv2Y/edit?usp=sharing"",""งบพรบ!DG33"")"),0)</f>
        <v>0</v>
      </c>
      <c r="G33" s="176">
        <f ca="1">IFERROR(__xludf.DUMMYFUNCTION("IMPORTRANGE(""https://docs.google.com/spreadsheets/d/1-uDff_7J0KD5mKrp0Vvzr7lt3OU09vwQwhkpOPPYv2Y/edit?usp=sharing"",""งบพรบ!DH33"")"),0)</f>
        <v>0</v>
      </c>
      <c r="H33" s="176">
        <f ca="1">IFERROR(__xludf.DUMMYFUNCTION("IMPORTRANGE(""https://docs.google.com/spreadsheets/d/1-uDff_7J0KD5mKrp0Vvzr7lt3OU09vwQwhkpOPPYv2Y/edit?usp=sharing"",""งบพรบ!DJ33"")"),0)</f>
        <v>0</v>
      </c>
      <c r="I33" s="176">
        <f ca="1">IFERROR(__xludf.DUMMYFUNCTION("IMPORTRANGE(""https://docs.google.com/spreadsheets/d/1-uDff_7J0KD5mKrp0Vvzr7lt3OU09vwQwhkpOPPYv2Y/edit?usp=sharing"",""งบพรบ!DK33"")"),0)</f>
        <v>0</v>
      </c>
      <c r="J33" s="176">
        <f t="shared" ca="1" si="23"/>
        <v>0</v>
      </c>
      <c r="K33" s="179">
        <f t="shared" ca="1" si="24"/>
        <v>0</v>
      </c>
      <c r="L33" s="176">
        <f ca="1">IFERROR(__xludf.DUMMYFUNCTION("IMPORTRANGE(""https://docs.google.com/spreadsheets/d/1-uDff_7J0KD5mKrp0Vvzr7lt3OU09vwQwhkpOPPYv2Y/edit?usp=sharing"",""งบพรบ!DL33"")"),0)</f>
        <v>0</v>
      </c>
      <c r="M33" s="87">
        <f t="shared" ca="1" si="25"/>
        <v>0</v>
      </c>
      <c r="N33" s="87">
        <f t="shared" ca="1" si="26"/>
        <v>0</v>
      </c>
      <c r="O33" s="86">
        <f ca="1">IFERROR(__xludf.DUMMYFUNCTION("IMPORTRANGE(""https://docs.google.com/spreadsheets/d/1-uDff_7J0KD5mKrp0Vvzr7lt3OU09vwQwhkpOPPYv2Y/edit?usp=sharing"",""งบพรบ!DM33"")"),0)</f>
        <v>0</v>
      </c>
      <c r="P33" s="86">
        <f t="shared" ca="1" si="27"/>
        <v>0</v>
      </c>
      <c r="Q33" s="87">
        <f t="shared" ca="1" si="28"/>
        <v>0</v>
      </c>
      <c r="R33" s="86">
        <f ca="1">IFERROR(__xludf.DUMMYFUNCTION("IMPORTRANGE(""https://docs.google.com/spreadsheets/d/1aHkj4IaQMThhwWwevcOymEh837vdxeC_PycurhTbGFA/edit?usp=sharing"",""ขอนแก่น!Q266"")"),53440)</f>
        <v>53440</v>
      </c>
      <c r="S33" s="86">
        <f ca="1">IFERROR(__xludf.DUMMYFUNCTION("IMPORTRANGE(""https://docs.google.com/spreadsheets/d/1aHkj4IaQMThhwWwevcOymEh837vdxeC_PycurhTbGFA/edit?usp=sharing"",""ขอนแก่น!R266"")"),0)</f>
        <v>0</v>
      </c>
      <c r="T33" s="86">
        <f ca="1">IFERROR(__xludf.DUMMYFUNCTION("IMPORTRANGE(""https://docs.google.com/spreadsheets/d/1aHkj4IaQMThhwWwevcOymEh837vdxeC_PycurhTbGFA/edit?usp=sharing"",""ขอนแก่น!S266"")"),0)</f>
        <v>0</v>
      </c>
      <c r="U33" s="87">
        <f t="shared" ca="1" si="30"/>
        <v>0</v>
      </c>
      <c r="V33" s="87">
        <f t="shared" ca="1" si="31"/>
        <v>0</v>
      </c>
      <c r="W33" s="93">
        <f ca="1">IFERROR(__xludf.DUMMYFUNCTION("IMPORTRANGE(""https://docs.google.com/spreadsheets/d/1aHkj4IaQMThhwWwevcOymEh837vdxeC_PycurhTbGFA/edit?usp=sharing"",""ขอนแก่น!I276"")"),24)</f>
        <v>24</v>
      </c>
      <c r="X33" s="93">
        <f ca="1">IFERROR(__xludf.DUMMYFUNCTION("IMPORTRANGE(""https://docs.google.com/spreadsheets/d/1aHkj4IaQMThhwWwevcOymEh837vdxeC_PycurhTbGFA/edit?usp=sharing"",""ขอนแก่น!J276"")"),0)</f>
        <v>0</v>
      </c>
      <c r="Y33" s="177">
        <f t="shared" ca="1" si="33"/>
        <v>0</v>
      </c>
      <c r="Z33" s="216">
        <v>0</v>
      </c>
      <c r="AA33" s="216">
        <v>0</v>
      </c>
      <c r="AB33" s="219">
        <v>0</v>
      </c>
    </row>
    <row r="34" spans="1:28" ht="19.5" x14ac:dyDescent="0.3">
      <c r="A34" s="172">
        <v>3</v>
      </c>
      <c r="B34" s="173" t="s">
        <v>60</v>
      </c>
      <c r="C34" s="174">
        <f t="shared" ca="1" si="21"/>
        <v>0</v>
      </c>
      <c r="D34" s="175">
        <f t="shared" ca="1" si="38"/>
        <v>0</v>
      </c>
      <c r="E34" s="176">
        <f ca="1">IFERROR(__xludf.DUMMYFUNCTION("IMPORTRANGE(""https://docs.google.com/spreadsheets/d/1-uDff_7J0KD5mKrp0Vvzr7lt3OU09vwQwhkpOPPYv2Y/edit?usp=sharing"",""งบพรบ!DF34"")"),0)</f>
        <v>0</v>
      </c>
      <c r="F34" s="176">
        <f ca="1">IFERROR(__xludf.DUMMYFUNCTION("IMPORTRANGE(""https://docs.google.com/spreadsheets/d/1-uDff_7J0KD5mKrp0Vvzr7lt3OU09vwQwhkpOPPYv2Y/edit?usp=sharing"",""งบพรบ!DG34"")"),0)</f>
        <v>0</v>
      </c>
      <c r="G34" s="176">
        <f ca="1">IFERROR(__xludf.DUMMYFUNCTION("IMPORTRANGE(""https://docs.google.com/spreadsheets/d/1-uDff_7J0KD5mKrp0Vvzr7lt3OU09vwQwhkpOPPYv2Y/edit?usp=sharing"",""งบพรบ!DH34"")"),0)</f>
        <v>0</v>
      </c>
      <c r="H34" s="176">
        <f ca="1">IFERROR(__xludf.DUMMYFUNCTION("IMPORTRANGE(""https://docs.google.com/spreadsheets/d/1-uDff_7J0KD5mKrp0Vvzr7lt3OU09vwQwhkpOPPYv2Y/edit?usp=sharing"",""งบพรบ!DJ34"")"),0)</f>
        <v>0</v>
      </c>
      <c r="I34" s="176">
        <f ca="1">IFERROR(__xludf.DUMMYFUNCTION("IMPORTRANGE(""https://docs.google.com/spreadsheets/d/1-uDff_7J0KD5mKrp0Vvzr7lt3OU09vwQwhkpOPPYv2Y/edit?usp=sharing"",""งบพรบ!DK34"")"),0)</f>
        <v>0</v>
      </c>
      <c r="J34" s="176">
        <f t="shared" ca="1" si="23"/>
        <v>0</v>
      </c>
      <c r="K34" s="179">
        <f t="shared" ca="1" si="24"/>
        <v>0</v>
      </c>
      <c r="L34" s="176">
        <f ca="1">IFERROR(__xludf.DUMMYFUNCTION("IMPORTRANGE(""https://docs.google.com/spreadsheets/d/1-uDff_7J0KD5mKrp0Vvzr7lt3OU09vwQwhkpOPPYv2Y/edit?usp=sharing"",""งบพรบ!DL34"")"),0)</f>
        <v>0</v>
      </c>
      <c r="M34" s="87">
        <f t="shared" ca="1" si="25"/>
        <v>0</v>
      </c>
      <c r="N34" s="87">
        <f t="shared" ca="1" si="26"/>
        <v>0</v>
      </c>
      <c r="O34" s="86">
        <f ca="1">IFERROR(__xludf.DUMMYFUNCTION("IMPORTRANGE(""https://docs.google.com/spreadsheets/d/1-uDff_7J0KD5mKrp0Vvzr7lt3OU09vwQwhkpOPPYv2Y/edit?usp=sharing"",""งบพรบ!DM34"")"),0)</f>
        <v>0</v>
      </c>
      <c r="P34" s="86">
        <f t="shared" ca="1" si="27"/>
        <v>0</v>
      </c>
      <c r="Q34" s="87">
        <f t="shared" ca="1" si="28"/>
        <v>0</v>
      </c>
      <c r="R34" s="86">
        <f ca="1">IFERROR(__xludf.DUMMYFUNCTION("IMPORTRANGE(""https://docs.google.com/spreadsheets/d/1FvTu2DsIWUjP6WCWra38Bkj_oOl_sOMf14r5Fg5srxU/edit?usp=sharing"",""ชัยภูมิ!Q266"")"),50660)</f>
        <v>50660</v>
      </c>
      <c r="S34" s="86">
        <f ca="1">IFERROR(__xludf.DUMMYFUNCTION("IMPORTRANGE(""https://docs.google.com/spreadsheets/d/1FvTu2DsIWUjP6WCWra38Bkj_oOl_sOMf14r5Fg5srxU/edit?usp=sharing"",""ชัยภูมิ!R266"")"),0)</f>
        <v>0</v>
      </c>
      <c r="T34" s="86">
        <f ca="1">IFERROR(__xludf.DUMMYFUNCTION("IMPORTRANGE(""https://docs.google.com/spreadsheets/d/1FvTu2DsIWUjP6WCWra38Bkj_oOl_sOMf14r5Fg5srxU/edit?usp=sharing"",""ชัยภูมิ!S266"")"),0)</f>
        <v>0</v>
      </c>
      <c r="U34" s="87">
        <f t="shared" ca="1" si="30"/>
        <v>0</v>
      </c>
      <c r="V34" s="87">
        <f t="shared" ca="1" si="31"/>
        <v>0</v>
      </c>
      <c r="W34" s="93">
        <f ca="1">IFERROR(__xludf.DUMMYFUNCTION("IMPORTRANGE(""https://docs.google.com/spreadsheets/d/1FvTu2DsIWUjP6WCWra38Bkj_oOl_sOMf14r5Fg5srxU/edit?usp=sharing"",""ชัยภูมิ!I276"")"),22)</f>
        <v>22</v>
      </c>
      <c r="X34" s="93">
        <f ca="1">IFERROR(__xludf.DUMMYFUNCTION("IMPORTRANGE(""https://docs.google.com/spreadsheets/d/1FvTu2DsIWUjP6WCWra38Bkj_oOl_sOMf14r5Fg5srxU/edit?usp=sharing"",""ชัยภูมิ!J276"")"),0)</f>
        <v>0</v>
      </c>
      <c r="Y34" s="177">
        <f t="shared" ca="1" si="33"/>
        <v>0</v>
      </c>
      <c r="Z34" s="216">
        <v>0</v>
      </c>
      <c r="AA34" s="216">
        <v>0</v>
      </c>
      <c r="AB34" s="219">
        <v>0</v>
      </c>
    </row>
    <row r="35" spans="1:28" ht="19.5" x14ac:dyDescent="0.3">
      <c r="A35" s="172">
        <v>4</v>
      </c>
      <c r="B35" s="173" t="s">
        <v>61</v>
      </c>
      <c r="C35" s="174">
        <f t="shared" ca="1" si="21"/>
        <v>0</v>
      </c>
      <c r="D35" s="175">
        <f t="shared" ca="1" si="38"/>
        <v>0</v>
      </c>
      <c r="E35" s="176">
        <f ca="1">IFERROR(__xludf.DUMMYFUNCTION("IMPORTRANGE(""https://docs.google.com/spreadsheets/d/1-uDff_7J0KD5mKrp0Vvzr7lt3OU09vwQwhkpOPPYv2Y/edit?usp=sharing"",""งบพรบ!DF35"")"),0)</f>
        <v>0</v>
      </c>
      <c r="F35" s="176">
        <f ca="1">IFERROR(__xludf.DUMMYFUNCTION("IMPORTRANGE(""https://docs.google.com/spreadsheets/d/1-uDff_7J0KD5mKrp0Vvzr7lt3OU09vwQwhkpOPPYv2Y/edit?usp=sharing"",""งบพรบ!DG35"")"),0)</f>
        <v>0</v>
      </c>
      <c r="G35" s="176">
        <f ca="1">IFERROR(__xludf.DUMMYFUNCTION("IMPORTRANGE(""https://docs.google.com/spreadsheets/d/1-uDff_7J0KD5mKrp0Vvzr7lt3OU09vwQwhkpOPPYv2Y/edit?usp=sharing"",""งบพรบ!DH35"")"),0)</f>
        <v>0</v>
      </c>
      <c r="H35" s="176">
        <f ca="1">IFERROR(__xludf.DUMMYFUNCTION("IMPORTRANGE(""https://docs.google.com/spreadsheets/d/1-uDff_7J0KD5mKrp0Vvzr7lt3OU09vwQwhkpOPPYv2Y/edit?usp=sharing"",""งบพรบ!DJ35"")"),0)</f>
        <v>0</v>
      </c>
      <c r="I35" s="176">
        <f ca="1">IFERROR(__xludf.DUMMYFUNCTION("IMPORTRANGE(""https://docs.google.com/spreadsheets/d/1-uDff_7J0KD5mKrp0Vvzr7lt3OU09vwQwhkpOPPYv2Y/edit?usp=sharing"",""งบพรบ!DK35"")"),0)</f>
        <v>0</v>
      </c>
      <c r="J35" s="176">
        <f t="shared" ca="1" si="23"/>
        <v>0</v>
      </c>
      <c r="K35" s="179">
        <f t="shared" ca="1" si="24"/>
        <v>0</v>
      </c>
      <c r="L35" s="176">
        <f ca="1">IFERROR(__xludf.DUMMYFUNCTION("IMPORTRANGE(""https://docs.google.com/spreadsheets/d/1-uDff_7J0KD5mKrp0Vvzr7lt3OU09vwQwhkpOPPYv2Y/edit?usp=sharing"",""งบพรบ!DL35"")"),0)</f>
        <v>0</v>
      </c>
      <c r="M35" s="87">
        <f t="shared" ca="1" si="25"/>
        <v>0</v>
      </c>
      <c r="N35" s="87">
        <f t="shared" ca="1" si="26"/>
        <v>0</v>
      </c>
      <c r="O35" s="86">
        <f ca="1">IFERROR(__xludf.DUMMYFUNCTION("IMPORTRANGE(""https://docs.google.com/spreadsheets/d/1-uDff_7J0KD5mKrp0Vvzr7lt3OU09vwQwhkpOPPYv2Y/edit?usp=sharing"",""งบพรบ!DM35"")"),0)</f>
        <v>0</v>
      </c>
      <c r="P35" s="86">
        <f t="shared" ca="1" si="27"/>
        <v>0</v>
      </c>
      <c r="Q35" s="87">
        <f t="shared" ca="1" si="28"/>
        <v>0</v>
      </c>
      <c r="R35" s="86">
        <f ca="1">IFERROR(__xludf.DUMMYFUNCTION("IMPORTRANGE(""https://docs.google.com/spreadsheets/d/1XVB7oCJ3pr-vBUdflwPQ8Z2LlzhnCvZaaYjAfP-647E/edit?usp=sharing"",""นครพนม!Q266"")"),50660)</f>
        <v>50660</v>
      </c>
      <c r="S35" s="86">
        <f ca="1">IFERROR(__xludf.DUMMYFUNCTION("IMPORTRANGE(""https://docs.google.com/spreadsheets/d/1XVB7oCJ3pr-vBUdflwPQ8Z2LlzhnCvZaaYjAfP-647E/edit?usp=sharing"",""นครพนม!R266"")"),0)</f>
        <v>0</v>
      </c>
      <c r="T35" s="86">
        <f ca="1">IFERROR(__xludf.DUMMYFUNCTION("IMPORTRANGE(""https://docs.google.com/spreadsheets/d/1XVB7oCJ3pr-vBUdflwPQ8Z2LlzhnCvZaaYjAfP-647E/edit?usp=sharing"",""นครพนม!S266"")"),0)</f>
        <v>0</v>
      </c>
      <c r="U35" s="87">
        <f t="shared" ca="1" si="30"/>
        <v>0</v>
      </c>
      <c r="V35" s="87">
        <f t="shared" ca="1" si="31"/>
        <v>0</v>
      </c>
      <c r="W35" s="93">
        <f ca="1">IFERROR(__xludf.DUMMYFUNCTION("IMPORTRANGE(""https://docs.google.com/spreadsheets/d/1XVB7oCJ3pr-vBUdflwPQ8Z2LlzhnCvZaaYjAfP-647E/edit?usp=sharing"",""นครพนม!I276"")"),22)</f>
        <v>22</v>
      </c>
      <c r="X35" s="93">
        <f ca="1">IFERROR(__xludf.DUMMYFUNCTION("IMPORTRANGE(""https://docs.google.com/spreadsheets/d/1XVB7oCJ3pr-vBUdflwPQ8Z2LlzhnCvZaaYjAfP-647E/edit?usp=sharing"",""นครพนม!J276"")"),0)</f>
        <v>0</v>
      </c>
      <c r="Y35" s="177">
        <f t="shared" ca="1" si="33"/>
        <v>0</v>
      </c>
      <c r="Z35" s="216">
        <v>0</v>
      </c>
      <c r="AA35" s="216">
        <v>0</v>
      </c>
      <c r="AB35" s="219">
        <v>0</v>
      </c>
    </row>
    <row r="36" spans="1:28" ht="19.5" x14ac:dyDescent="0.3">
      <c r="A36" s="172">
        <v>5</v>
      </c>
      <c r="B36" s="173" t="s">
        <v>62</v>
      </c>
      <c r="C36" s="174">
        <f t="shared" ca="1" si="21"/>
        <v>0</v>
      </c>
      <c r="D36" s="175">
        <f t="shared" ca="1" si="38"/>
        <v>0</v>
      </c>
      <c r="E36" s="176">
        <f ca="1">IFERROR(__xludf.DUMMYFUNCTION("IMPORTRANGE(""https://docs.google.com/spreadsheets/d/1-uDff_7J0KD5mKrp0Vvzr7lt3OU09vwQwhkpOPPYv2Y/edit?usp=sharing"",""งบพรบ!DF36"")"),0)</f>
        <v>0</v>
      </c>
      <c r="F36" s="176">
        <f ca="1">IFERROR(__xludf.DUMMYFUNCTION("IMPORTRANGE(""https://docs.google.com/spreadsheets/d/1-uDff_7J0KD5mKrp0Vvzr7lt3OU09vwQwhkpOPPYv2Y/edit?usp=sharing"",""งบพรบ!DG36"")"),0)</f>
        <v>0</v>
      </c>
      <c r="G36" s="176">
        <f ca="1">IFERROR(__xludf.DUMMYFUNCTION("IMPORTRANGE(""https://docs.google.com/spreadsheets/d/1-uDff_7J0KD5mKrp0Vvzr7lt3OU09vwQwhkpOPPYv2Y/edit?usp=sharing"",""งบพรบ!DH36"")"),0)</f>
        <v>0</v>
      </c>
      <c r="H36" s="176">
        <f ca="1">IFERROR(__xludf.DUMMYFUNCTION("IMPORTRANGE(""https://docs.google.com/spreadsheets/d/1-uDff_7J0KD5mKrp0Vvzr7lt3OU09vwQwhkpOPPYv2Y/edit?usp=sharing"",""งบพรบ!DJ36"")"),0)</f>
        <v>0</v>
      </c>
      <c r="I36" s="176">
        <f ca="1">IFERROR(__xludf.DUMMYFUNCTION("IMPORTRANGE(""https://docs.google.com/spreadsheets/d/1-uDff_7J0KD5mKrp0Vvzr7lt3OU09vwQwhkpOPPYv2Y/edit?usp=sharing"",""งบพรบ!DK36"")"),0)</f>
        <v>0</v>
      </c>
      <c r="J36" s="176">
        <f t="shared" ca="1" si="23"/>
        <v>0</v>
      </c>
      <c r="K36" s="179">
        <f t="shared" ca="1" si="24"/>
        <v>0</v>
      </c>
      <c r="L36" s="176">
        <f ca="1">IFERROR(__xludf.DUMMYFUNCTION("IMPORTRANGE(""https://docs.google.com/spreadsheets/d/1-uDff_7J0KD5mKrp0Vvzr7lt3OU09vwQwhkpOPPYv2Y/edit?usp=sharing"",""งบพรบ!DL36"")"),0)</f>
        <v>0</v>
      </c>
      <c r="M36" s="87">
        <f t="shared" ca="1" si="25"/>
        <v>0</v>
      </c>
      <c r="N36" s="87">
        <f t="shared" ca="1" si="26"/>
        <v>0</v>
      </c>
      <c r="O36" s="86">
        <f ca="1">IFERROR(__xludf.DUMMYFUNCTION("IMPORTRANGE(""https://docs.google.com/spreadsheets/d/1-uDff_7J0KD5mKrp0Vvzr7lt3OU09vwQwhkpOPPYv2Y/edit?usp=sharing"",""งบพรบ!DM36"")"),0)</f>
        <v>0</v>
      </c>
      <c r="P36" s="86">
        <f t="shared" ca="1" si="27"/>
        <v>0</v>
      </c>
      <c r="Q36" s="87">
        <f t="shared" ca="1" si="28"/>
        <v>0</v>
      </c>
      <c r="R36" s="86">
        <f ca="1">IFERROR(__xludf.DUMMYFUNCTION("IMPORTRANGE(""https://docs.google.com/spreadsheets/d/1Mnpb-8PYAgn85W6KOTD40hc_Xc55CaLfHoGAbrZ8tls/edit?usp=sharing"",""นครราชสีมา!Q266"")"),53440)</f>
        <v>53440</v>
      </c>
      <c r="S36" s="86">
        <f ca="1">IFERROR(__xludf.DUMMYFUNCTION("IMPORTRANGE(""https://docs.google.com/spreadsheets/d/1Mnpb-8PYAgn85W6KOTD40hc_Xc55CaLfHoGAbrZ8tls/edit?usp=sharing"",""นครราชสีมา!R266"")"),0)</f>
        <v>0</v>
      </c>
      <c r="T36" s="86">
        <f ca="1">IFERROR(__xludf.DUMMYFUNCTION("IMPORTRANGE(""https://docs.google.com/spreadsheets/d/1Mnpb-8PYAgn85W6KOTD40hc_Xc55CaLfHoGAbrZ8tls/edit?usp=sharing"",""นครราชสีมา!S266"")"),0)</f>
        <v>0</v>
      </c>
      <c r="U36" s="87">
        <f t="shared" ca="1" si="30"/>
        <v>0</v>
      </c>
      <c r="V36" s="87">
        <f t="shared" ca="1" si="31"/>
        <v>0</v>
      </c>
      <c r="W36" s="93">
        <f ca="1">IFERROR(__xludf.DUMMYFUNCTION("IMPORTRANGE(""https://docs.google.com/spreadsheets/d/1Mnpb-8PYAgn85W6KOTD40hc_Xc55CaLfHoGAbrZ8tls/edit?usp=sharing"",""นครราชสีมา!I276"")"),24)</f>
        <v>24</v>
      </c>
      <c r="X36" s="93">
        <f ca="1">IFERROR(__xludf.DUMMYFUNCTION("IMPORTRANGE(""https://docs.google.com/spreadsheets/d/1Mnpb-8PYAgn85W6KOTD40hc_Xc55CaLfHoGAbrZ8tls/edit?usp=sharing"",""นครราชสีมา!J276"")"),0)</f>
        <v>0</v>
      </c>
      <c r="Y36" s="177">
        <f t="shared" ca="1" si="33"/>
        <v>0</v>
      </c>
      <c r="Z36" s="216">
        <v>0</v>
      </c>
      <c r="AA36" s="216">
        <v>0</v>
      </c>
      <c r="AB36" s="219">
        <v>0</v>
      </c>
    </row>
    <row r="37" spans="1:28" ht="19.5" x14ac:dyDescent="0.3">
      <c r="A37" s="172">
        <v>6</v>
      </c>
      <c r="B37" s="173" t="s">
        <v>63</v>
      </c>
      <c r="C37" s="174">
        <f t="shared" ca="1" si="21"/>
        <v>0</v>
      </c>
      <c r="D37" s="175">
        <f t="shared" ca="1" si="38"/>
        <v>0</v>
      </c>
      <c r="E37" s="176">
        <f ca="1">IFERROR(__xludf.DUMMYFUNCTION("IMPORTRANGE(""https://docs.google.com/spreadsheets/d/1-uDff_7J0KD5mKrp0Vvzr7lt3OU09vwQwhkpOPPYv2Y/edit?usp=sharing"",""งบพรบ!DF37"")"),0)</f>
        <v>0</v>
      </c>
      <c r="F37" s="176">
        <f ca="1">IFERROR(__xludf.DUMMYFUNCTION("IMPORTRANGE(""https://docs.google.com/spreadsheets/d/1-uDff_7J0KD5mKrp0Vvzr7lt3OU09vwQwhkpOPPYv2Y/edit?usp=sharing"",""งบพรบ!DG37"")"),0)</f>
        <v>0</v>
      </c>
      <c r="G37" s="176">
        <f ca="1">IFERROR(__xludf.DUMMYFUNCTION("IMPORTRANGE(""https://docs.google.com/spreadsheets/d/1-uDff_7J0KD5mKrp0Vvzr7lt3OU09vwQwhkpOPPYv2Y/edit?usp=sharing"",""งบพรบ!DH37"")"),0)</f>
        <v>0</v>
      </c>
      <c r="H37" s="176">
        <f ca="1">IFERROR(__xludf.DUMMYFUNCTION("IMPORTRANGE(""https://docs.google.com/spreadsheets/d/1-uDff_7J0KD5mKrp0Vvzr7lt3OU09vwQwhkpOPPYv2Y/edit?usp=sharing"",""งบพรบ!DJ37"")"),0)</f>
        <v>0</v>
      </c>
      <c r="I37" s="176">
        <f ca="1">IFERROR(__xludf.DUMMYFUNCTION("IMPORTRANGE(""https://docs.google.com/spreadsheets/d/1-uDff_7J0KD5mKrp0Vvzr7lt3OU09vwQwhkpOPPYv2Y/edit?usp=sharing"",""งบพรบ!DK37"")"),0)</f>
        <v>0</v>
      </c>
      <c r="J37" s="176">
        <f t="shared" ca="1" si="23"/>
        <v>0</v>
      </c>
      <c r="K37" s="179">
        <f t="shared" ca="1" si="24"/>
        <v>0</v>
      </c>
      <c r="L37" s="176">
        <f ca="1">IFERROR(__xludf.DUMMYFUNCTION("IMPORTRANGE(""https://docs.google.com/spreadsheets/d/1-uDff_7J0KD5mKrp0Vvzr7lt3OU09vwQwhkpOPPYv2Y/edit?usp=sharing"",""งบพรบ!DL37"")"),0)</f>
        <v>0</v>
      </c>
      <c r="M37" s="87">
        <f t="shared" ca="1" si="25"/>
        <v>0</v>
      </c>
      <c r="N37" s="87">
        <f t="shared" ca="1" si="26"/>
        <v>0</v>
      </c>
      <c r="O37" s="86">
        <f ca="1">IFERROR(__xludf.DUMMYFUNCTION("IMPORTRANGE(""https://docs.google.com/spreadsheets/d/1-uDff_7J0KD5mKrp0Vvzr7lt3OU09vwQwhkpOPPYv2Y/edit?usp=sharing"",""งบพรบ!DM37"")"),0)</f>
        <v>0</v>
      </c>
      <c r="P37" s="86">
        <f t="shared" ca="1" si="27"/>
        <v>0</v>
      </c>
      <c r="Q37" s="87">
        <f t="shared" ca="1" si="28"/>
        <v>0</v>
      </c>
      <c r="R37" s="86">
        <f ca="1">IFERROR(__xludf.DUMMYFUNCTION("IMPORTRANGE(""https://docs.google.com/spreadsheets/d/1xoDLGBv9CYbyosIhki0kTq6IpYNj-gpjxfobnaDiut0/edit?usp=sharing"",""บึงกาฬ!Q266"")"),53440)</f>
        <v>53440</v>
      </c>
      <c r="S37" s="86">
        <f ca="1">IFERROR(__xludf.DUMMYFUNCTION("IMPORTRANGE(""https://docs.google.com/spreadsheets/d/1xoDLGBv9CYbyosIhki0kTq6IpYNj-gpjxfobnaDiut0/edit?usp=sharing"",""บึงกาฬ!R266"")"),0)</f>
        <v>0</v>
      </c>
      <c r="T37" s="86">
        <f ca="1">IFERROR(__xludf.DUMMYFUNCTION("IMPORTRANGE(""https://docs.google.com/spreadsheets/d/1xoDLGBv9CYbyosIhki0kTq6IpYNj-gpjxfobnaDiut0/edit?usp=sharing"",""บึงกาฬ!S266"")"),0)</f>
        <v>0</v>
      </c>
      <c r="U37" s="87">
        <f t="shared" ca="1" si="30"/>
        <v>0</v>
      </c>
      <c r="V37" s="87">
        <f t="shared" ca="1" si="31"/>
        <v>0</v>
      </c>
      <c r="W37" s="93">
        <f ca="1">IFERROR(__xludf.DUMMYFUNCTION("IMPORTRANGE(""https://docs.google.com/spreadsheets/d/1xoDLGBv9CYbyosIhki0kTq6IpYNj-gpjxfobnaDiut0/edit?usp=sharing"",""บึงกาฬ!I276"")"),24)</f>
        <v>24</v>
      </c>
      <c r="X37" s="93">
        <f ca="1">IFERROR(__xludf.DUMMYFUNCTION("IMPORTRANGE(""https://docs.google.com/spreadsheets/d/1xoDLGBv9CYbyosIhki0kTq6IpYNj-gpjxfobnaDiut0/edit?usp=sharing"",""บึงกาฬ!J276"")"),0)</f>
        <v>0</v>
      </c>
      <c r="Y37" s="177">
        <f t="shared" ca="1" si="33"/>
        <v>0</v>
      </c>
      <c r="Z37" s="216">
        <v>0</v>
      </c>
      <c r="AA37" s="216">
        <v>0</v>
      </c>
      <c r="AB37" s="219">
        <v>0</v>
      </c>
    </row>
    <row r="38" spans="1:28" ht="19.5" x14ac:dyDescent="0.3">
      <c r="A38" s="172">
        <v>7</v>
      </c>
      <c r="B38" s="173" t="s">
        <v>64</v>
      </c>
      <c r="C38" s="174">
        <f t="shared" ca="1" si="21"/>
        <v>0</v>
      </c>
      <c r="D38" s="175">
        <f t="shared" ca="1" si="38"/>
        <v>0</v>
      </c>
      <c r="E38" s="176">
        <f ca="1">IFERROR(__xludf.DUMMYFUNCTION("IMPORTRANGE(""https://docs.google.com/spreadsheets/d/1-uDff_7J0KD5mKrp0Vvzr7lt3OU09vwQwhkpOPPYv2Y/edit?usp=sharing"",""งบพรบ!DF38"")"),0)</f>
        <v>0</v>
      </c>
      <c r="F38" s="176">
        <f ca="1">IFERROR(__xludf.DUMMYFUNCTION("IMPORTRANGE(""https://docs.google.com/spreadsheets/d/1-uDff_7J0KD5mKrp0Vvzr7lt3OU09vwQwhkpOPPYv2Y/edit?usp=sharing"",""งบพรบ!DG38"")"),0)</f>
        <v>0</v>
      </c>
      <c r="G38" s="176">
        <f ca="1">IFERROR(__xludf.DUMMYFUNCTION("IMPORTRANGE(""https://docs.google.com/spreadsheets/d/1-uDff_7J0KD5mKrp0Vvzr7lt3OU09vwQwhkpOPPYv2Y/edit?usp=sharing"",""งบพรบ!DH38"")"),0)</f>
        <v>0</v>
      </c>
      <c r="H38" s="176">
        <f ca="1">IFERROR(__xludf.DUMMYFUNCTION("IMPORTRANGE(""https://docs.google.com/spreadsheets/d/1-uDff_7J0KD5mKrp0Vvzr7lt3OU09vwQwhkpOPPYv2Y/edit?usp=sharing"",""งบพรบ!DJ38"")"),0)</f>
        <v>0</v>
      </c>
      <c r="I38" s="176">
        <f ca="1">IFERROR(__xludf.DUMMYFUNCTION("IMPORTRANGE(""https://docs.google.com/spreadsheets/d/1-uDff_7J0KD5mKrp0Vvzr7lt3OU09vwQwhkpOPPYv2Y/edit?usp=sharing"",""งบพรบ!DK38"")"),0)</f>
        <v>0</v>
      </c>
      <c r="J38" s="176">
        <f t="shared" ca="1" si="23"/>
        <v>0</v>
      </c>
      <c r="K38" s="179">
        <f t="shared" ca="1" si="24"/>
        <v>0</v>
      </c>
      <c r="L38" s="176">
        <f ca="1">IFERROR(__xludf.DUMMYFUNCTION("IMPORTRANGE(""https://docs.google.com/spreadsheets/d/1-uDff_7J0KD5mKrp0Vvzr7lt3OU09vwQwhkpOPPYv2Y/edit?usp=sharing"",""งบพรบ!DL38"")"),0)</f>
        <v>0</v>
      </c>
      <c r="M38" s="87">
        <f t="shared" ca="1" si="25"/>
        <v>0</v>
      </c>
      <c r="N38" s="87">
        <f t="shared" ca="1" si="26"/>
        <v>0</v>
      </c>
      <c r="O38" s="86">
        <f ca="1">IFERROR(__xludf.DUMMYFUNCTION("IMPORTRANGE(""https://docs.google.com/spreadsheets/d/1-uDff_7J0KD5mKrp0Vvzr7lt3OU09vwQwhkpOPPYv2Y/edit?usp=sharing"",""งบพรบ!DM38"")"),0)</f>
        <v>0</v>
      </c>
      <c r="P38" s="86">
        <f t="shared" ca="1" si="27"/>
        <v>0</v>
      </c>
      <c r="Q38" s="87">
        <f t="shared" ca="1" si="28"/>
        <v>0</v>
      </c>
      <c r="R38" s="86">
        <f ca="1">IFERROR(__xludf.DUMMYFUNCTION("IMPORTRANGE(""https://docs.google.com/spreadsheets/d/1MMPq-JyI6DSgQETxuSiXkesP-P7JHuemnE6QJIa-Nlw/edit?usp=sharing"",""บุรีรัมย์!Q266"")"),50660)</f>
        <v>50660</v>
      </c>
      <c r="S38" s="86">
        <f ca="1">IFERROR(__xludf.DUMMYFUNCTION("IMPORTRANGE(""https://docs.google.com/spreadsheets/d/1MMPq-JyI6DSgQETxuSiXkesP-P7JHuemnE6QJIa-Nlw/edit?usp=sharing"",""บุรีรัมย์!R266"")"),0)</f>
        <v>0</v>
      </c>
      <c r="T38" s="86">
        <f ca="1">IFERROR(__xludf.DUMMYFUNCTION("IMPORTRANGE(""https://docs.google.com/spreadsheets/d/1MMPq-JyI6DSgQETxuSiXkesP-P7JHuemnE6QJIa-Nlw/edit?usp=sharing"",""บุรีรัมย์!S266"")"),0)</f>
        <v>0</v>
      </c>
      <c r="U38" s="87">
        <f t="shared" ca="1" si="30"/>
        <v>0</v>
      </c>
      <c r="V38" s="87">
        <f t="shared" ca="1" si="31"/>
        <v>0</v>
      </c>
      <c r="W38" s="97">
        <f ca="1">IFERROR(__xludf.DUMMYFUNCTION("IMPORTRANGE(""https://docs.google.com/spreadsheets/d/1MMPq-JyI6DSgQETxuSiXkesP-P7JHuemnE6QJIa-Nlw/edit?usp=sharing"",""บุรีรัมย์!I276"")"),22)</f>
        <v>22</v>
      </c>
      <c r="X38" s="97">
        <f ca="1">IFERROR(__xludf.DUMMYFUNCTION("IMPORTRANGE(""https://docs.google.com/spreadsheets/d/1MMPq-JyI6DSgQETxuSiXkesP-P7JHuemnE6QJIa-Nlw/edit?usp=sharing"",""บุรีรัมย์!J276"")"),0)</f>
        <v>0</v>
      </c>
      <c r="Y38" s="177">
        <f t="shared" ca="1" si="33"/>
        <v>0</v>
      </c>
      <c r="Z38" s="99">
        <v>0</v>
      </c>
      <c r="AA38" s="99">
        <v>0</v>
      </c>
      <c r="AB38" s="219">
        <v>0</v>
      </c>
    </row>
    <row r="39" spans="1:28" ht="19.5" x14ac:dyDescent="0.3">
      <c r="A39" s="172">
        <v>8</v>
      </c>
      <c r="B39" s="173" t="s">
        <v>65</v>
      </c>
      <c r="C39" s="174">
        <f t="shared" ca="1" si="21"/>
        <v>0</v>
      </c>
      <c r="D39" s="175">
        <f t="shared" ca="1" si="38"/>
        <v>0</v>
      </c>
      <c r="E39" s="176">
        <f ca="1">IFERROR(__xludf.DUMMYFUNCTION("IMPORTRANGE(""https://docs.google.com/spreadsheets/d/1-uDff_7J0KD5mKrp0Vvzr7lt3OU09vwQwhkpOPPYv2Y/edit?usp=sharing"",""งบพรบ!DF39"")"),0)</f>
        <v>0</v>
      </c>
      <c r="F39" s="176">
        <f ca="1">IFERROR(__xludf.DUMMYFUNCTION("IMPORTRANGE(""https://docs.google.com/spreadsheets/d/1-uDff_7J0KD5mKrp0Vvzr7lt3OU09vwQwhkpOPPYv2Y/edit?usp=sharing"",""งบพรบ!DG39"")"),0)</f>
        <v>0</v>
      </c>
      <c r="G39" s="176">
        <f ca="1">IFERROR(__xludf.DUMMYFUNCTION("IMPORTRANGE(""https://docs.google.com/spreadsheets/d/1-uDff_7J0KD5mKrp0Vvzr7lt3OU09vwQwhkpOPPYv2Y/edit?usp=sharing"",""งบพรบ!DH39"")"),0)</f>
        <v>0</v>
      </c>
      <c r="H39" s="176">
        <f ca="1">IFERROR(__xludf.DUMMYFUNCTION("IMPORTRANGE(""https://docs.google.com/spreadsheets/d/1-uDff_7J0KD5mKrp0Vvzr7lt3OU09vwQwhkpOPPYv2Y/edit?usp=sharing"",""งบพรบ!DJ39"")"),0)</f>
        <v>0</v>
      </c>
      <c r="I39" s="176">
        <f ca="1">IFERROR(__xludf.DUMMYFUNCTION("IMPORTRANGE(""https://docs.google.com/spreadsheets/d/1-uDff_7J0KD5mKrp0Vvzr7lt3OU09vwQwhkpOPPYv2Y/edit?usp=sharing"",""งบพรบ!DK39"")"),0)</f>
        <v>0</v>
      </c>
      <c r="J39" s="176">
        <f t="shared" ca="1" si="23"/>
        <v>0</v>
      </c>
      <c r="K39" s="179">
        <f t="shared" ca="1" si="24"/>
        <v>0</v>
      </c>
      <c r="L39" s="176">
        <f ca="1">IFERROR(__xludf.DUMMYFUNCTION("IMPORTRANGE(""https://docs.google.com/spreadsheets/d/1-uDff_7J0KD5mKrp0Vvzr7lt3OU09vwQwhkpOPPYv2Y/edit?usp=sharing"",""งบพรบ!DL39"")"),0)</f>
        <v>0</v>
      </c>
      <c r="M39" s="87">
        <f t="shared" ca="1" si="25"/>
        <v>0</v>
      </c>
      <c r="N39" s="87">
        <f t="shared" ca="1" si="26"/>
        <v>0</v>
      </c>
      <c r="O39" s="86">
        <f ca="1">IFERROR(__xludf.DUMMYFUNCTION("IMPORTRANGE(""https://docs.google.com/spreadsheets/d/1-uDff_7J0KD5mKrp0Vvzr7lt3OU09vwQwhkpOPPYv2Y/edit?usp=sharing"",""งบพรบ!DM39"")"),0)</f>
        <v>0</v>
      </c>
      <c r="P39" s="86">
        <f t="shared" ca="1" si="27"/>
        <v>0</v>
      </c>
      <c r="Q39" s="87">
        <f t="shared" ca="1" si="28"/>
        <v>0</v>
      </c>
      <c r="R39" s="86">
        <f ca="1">IFERROR(__xludf.DUMMYFUNCTION("IMPORTRANGE(""https://docs.google.com/spreadsheets/d/1l6IZ8xUPgMrESzcTYwhA1k_tPjeQjJPTqlm8Gd9eU5g/edit?usp=sharing"",""มหาสารคาม!Q266"")"),50660)</f>
        <v>50660</v>
      </c>
      <c r="S39" s="86">
        <f ca="1">IFERROR(__xludf.DUMMYFUNCTION("IMPORTRANGE(""https://docs.google.com/spreadsheets/d/1l6IZ8xUPgMrESzcTYwhA1k_tPjeQjJPTqlm8Gd9eU5g/edit?usp=sharing"",""มหาสารคาม!R266"")"),0)</f>
        <v>0</v>
      </c>
      <c r="T39" s="86">
        <f ca="1">IFERROR(__xludf.DUMMYFUNCTION("IMPORTRANGE(""https://docs.google.com/spreadsheets/d/1l6IZ8xUPgMrESzcTYwhA1k_tPjeQjJPTqlm8Gd9eU5g/edit?usp=sharing"",""มหาสารคาม!S266"")"),0)</f>
        <v>0</v>
      </c>
      <c r="U39" s="87">
        <f t="shared" ca="1" si="30"/>
        <v>0</v>
      </c>
      <c r="V39" s="87">
        <f t="shared" ca="1" si="31"/>
        <v>0</v>
      </c>
      <c r="W39" s="97">
        <f ca="1">IFERROR(__xludf.DUMMYFUNCTION("IMPORTRANGE(""https://docs.google.com/spreadsheets/d/1l6IZ8xUPgMrESzcTYwhA1k_tPjeQjJPTqlm8Gd9eU5g/edit?usp=sharing"",""มหาสารคาม!I276"")"),22)</f>
        <v>22</v>
      </c>
      <c r="X39" s="97">
        <f ca="1">IFERROR(__xludf.DUMMYFUNCTION("IMPORTRANGE(""https://docs.google.com/spreadsheets/d/1l6IZ8xUPgMrESzcTYwhA1k_tPjeQjJPTqlm8Gd9eU5g/edit?usp=sharing"",""มหาสารคาม!J276"")"),0)</f>
        <v>0</v>
      </c>
      <c r="Y39" s="177">
        <f t="shared" ca="1" si="33"/>
        <v>0</v>
      </c>
      <c r="Z39" s="99">
        <v>0</v>
      </c>
      <c r="AA39" s="99">
        <v>0</v>
      </c>
      <c r="AB39" s="219">
        <v>0</v>
      </c>
    </row>
    <row r="40" spans="1:28" ht="19.5" x14ac:dyDescent="0.3">
      <c r="A40" s="172">
        <v>9</v>
      </c>
      <c r="B40" s="173" t="s">
        <v>66</v>
      </c>
      <c r="C40" s="174">
        <f t="shared" ca="1" si="21"/>
        <v>0</v>
      </c>
      <c r="D40" s="175">
        <f t="shared" ca="1" si="38"/>
        <v>0</v>
      </c>
      <c r="E40" s="176">
        <f ca="1">IFERROR(__xludf.DUMMYFUNCTION("IMPORTRANGE(""https://docs.google.com/spreadsheets/d/1-uDff_7J0KD5mKrp0Vvzr7lt3OU09vwQwhkpOPPYv2Y/edit?usp=sharing"",""งบพรบ!DF40"")"),0)</f>
        <v>0</v>
      </c>
      <c r="F40" s="176">
        <f ca="1">IFERROR(__xludf.DUMMYFUNCTION("IMPORTRANGE(""https://docs.google.com/spreadsheets/d/1-uDff_7J0KD5mKrp0Vvzr7lt3OU09vwQwhkpOPPYv2Y/edit?usp=sharing"",""งบพรบ!DG40"")"),0)</f>
        <v>0</v>
      </c>
      <c r="G40" s="176">
        <f ca="1">IFERROR(__xludf.DUMMYFUNCTION("IMPORTRANGE(""https://docs.google.com/spreadsheets/d/1-uDff_7J0KD5mKrp0Vvzr7lt3OU09vwQwhkpOPPYv2Y/edit?usp=sharing"",""งบพรบ!DH40"")"),0)</f>
        <v>0</v>
      </c>
      <c r="H40" s="176">
        <f ca="1">IFERROR(__xludf.DUMMYFUNCTION("IMPORTRANGE(""https://docs.google.com/spreadsheets/d/1-uDff_7J0KD5mKrp0Vvzr7lt3OU09vwQwhkpOPPYv2Y/edit?usp=sharing"",""งบพรบ!DJ40"")"),0)</f>
        <v>0</v>
      </c>
      <c r="I40" s="176">
        <f ca="1">IFERROR(__xludf.DUMMYFUNCTION("IMPORTRANGE(""https://docs.google.com/spreadsheets/d/1-uDff_7J0KD5mKrp0Vvzr7lt3OU09vwQwhkpOPPYv2Y/edit?usp=sharing"",""งบพรบ!DK40"")"),0)</f>
        <v>0</v>
      </c>
      <c r="J40" s="176">
        <f t="shared" ca="1" si="23"/>
        <v>0</v>
      </c>
      <c r="K40" s="179">
        <f t="shared" ca="1" si="24"/>
        <v>0</v>
      </c>
      <c r="L40" s="176">
        <f ca="1">IFERROR(__xludf.DUMMYFUNCTION("IMPORTRANGE(""https://docs.google.com/spreadsheets/d/1-uDff_7J0KD5mKrp0Vvzr7lt3OU09vwQwhkpOPPYv2Y/edit?usp=sharing"",""งบพรบ!DL40"")"),0)</f>
        <v>0</v>
      </c>
      <c r="M40" s="87">
        <f t="shared" ca="1" si="25"/>
        <v>0</v>
      </c>
      <c r="N40" s="87">
        <f t="shared" ca="1" si="26"/>
        <v>0</v>
      </c>
      <c r="O40" s="86">
        <f ca="1">IFERROR(__xludf.DUMMYFUNCTION("IMPORTRANGE(""https://docs.google.com/spreadsheets/d/1-uDff_7J0KD5mKrp0Vvzr7lt3OU09vwQwhkpOPPYv2Y/edit?usp=sharing"",""งบพรบ!DM40"")"),0)</f>
        <v>0</v>
      </c>
      <c r="P40" s="86">
        <f t="shared" ca="1" si="27"/>
        <v>0</v>
      </c>
      <c r="Q40" s="87">
        <f t="shared" ca="1" si="28"/>
        <v>0</v>
      </c>
      <c r="R40" s="86">
        <f ca="1">IFERROR(__xludf.DUMMYFUNCTION("IMPORTRANGE(""https://docs.google.com/spreadsheets/d/1uB74YLqNjWX6FObjekfB2NtSYigTQyR2rq9u4Ub2Sq4/edit?usp=sharing"",""มุกดาหาร!Q266"")"),53440)</f>
        <v>53440</v>
      </c>
      <c r="S40" s="86">
        <f ca="1">IFERROR(__xludf.DUMMYFUNCTION("IMPORTRANGE(""https://docs.google.com/spreadsheets/d/1uB74YLqNjWX6FObjekfB2NtSYigTQyR2rq9u4Ub2Sq4/edit?usp=sharing"",""มุกดาหาร!R266"")"),0)</f>
        <v>0</v>
      </c>
      <c r="T40" s="86">
        <f ca="1">IFERROR(__xludf.DUMMYFUNCTION("IMPORTRANGE(""https://docs.google.com/spreadsheets/d/1uB74YLqNjWX6FObjekfB2NtSYigTQyR2rq9u4Ub2Sq4/edit?usp=sharing"",""มุกดาหาร!S266"")"),0)</f>
        <v>0</v>
      </c>
      <c r="U40" s="87">
        <f t="shared" ca="1" si="30"/>
        <v>0</v>
      </c>
      <c r="V40" s="87">
        <f t="shared" ca="1" si="31"/>
        <v>0</v>
      </c>
      <c r="W40" s="97">
        <f ca="1">IFERROR(__xludf.DUMMYFUNCTION("IMPORTRANGE(""https://docs.google.com/spreadsheets/d/1uB74YLqNjWX6FObjekfB2NtSYigTQyR2rq9u4Ub2Sq4/edit?usp=sharing"",""มุกดาหาร!I276"")"),24)</f>
        <v>24</v>
      </c>
      <c r="X40" s="97">
        <f ca="1">IFERROR(__xludf.DUMMYFUNCTION("IMPORTRANGE(""https://docs.google.com/spreadsheets/d/1uB74YLqNjWX6FObjekfB2NtSYigTQyR2rq9u4Ub2Sq4/edit?usp=sharing"",""มุกดาหาร!J276"")"),0)</f>
        <v>0</v>
      </c>
      <c r="Y40" s="177">
        <f t="shared" ca="1" si="33"/>
        <v>0</v>
      </c>
      <c r="Z40" s="99">
        <v>0</v>
      </c>
      <c r="AA40" s="99">
        <v>0</v>
      </c>
      <c r="AB40" s="219">
        <v>0</v>
      </c>
    </row>
    <row r="41" spans="1:28" ht="19.5" x14ac:dyDescent="0.3">
      <c r="A41" s="172">
        <v>10</v>
      </c>
      <c r="B41" s="173" t="s">
        <v>67</v>
      </c>
      <c r="C41" s="174">
        <f t="shared" ca="1" si="21"/>
        <v>0</v>
      </c>
      <c r="D41" s="175">
        <f t="shared" ca="1" si="38"/>
        <v>0</v>
      </c>
      <c r="E41" s="176">
        <f ca="1">IFERROR(__xludf.DUMMYFUNCTION("IMPORTRANGE(""https://docs.google.com/spreadsheets/d/1-uDff_7J0KD5mKrp0Vvzr7lt3OU09vwQwhkpOPPYv2Y/edit?usp=sharing"",""งบพรบ!DF41"")"),0)</f>
        <v>0</v>
      </c>
      <c r="F41" s="176">
        <f ca="1">IFERROR(__xludf.DUMMYFUNCTION("IMPORTRANGE(""https://docs.google.com/spreadsheets/d/1-uDff_7J0KD5mKrp0Vvzr7lt3OU09vwQwhkpOPPYv2Y/edit?usp=sharing"",""งบพรบ!DG41"")"),0)</f>
        <v>0</v>
      </c>
      <c r="G41" s="176">
        <f ca="1">IFERROR(__xludf.DUMMYFUNCTION("IMPORTRANGE(""https://docs.google.com/spreadsheets/d/1-uDff_7J0KD5mKrp0Vvzr7lt3OU09vwQwhkpOPPYv2Y/edit?usp=sharing"",""งบพรบ!DH41"")"),0)</f>
        <v>0</v>
      </c>
      <c r="H41" s="176">
        <f ca="1">IFERROR(__xludf.DUMMYFUNCTION("IMPORTRANGE(""https://docs.google.com/spreadsheets/d/1-uDff_7J0KD5mKrp0Vvzr7lt3OU09vwQwhkpOPPYv2Y/edit?usp=sharing"",""งบพรบ!DJ41"")"),0)</f>
        <v>0</v>
      </c>
      <c r="I41" s="176">
        <f ca="1">IFERROR(__xludf.DUMMYFUNCTION("IMPORTRANGE(""https://docs.google.com/spreadsheets/d/1-uDff_7J0KD5mKrp0Vvzr7lt3OU09vwQwhkpOPPYv2Y/edit?usp=sharing"",""งบพรบ!DK41"")"),0)</f>
        <v>0</v>
      </c>
      <c r="J41" s="176">
        <f t="shared" ca="1" si="23"/>
        <v>0</v>
      </c>
      <c r="K41" s="179">
        <f t="shared" ca="1" si="24"/>
        <v>0</v>
      </c>
      <c r="L41" s="176">
        <f ca="1">IFERROR(__xludf.DUMMYFUNCTION("IMPORTRANGE(""https://docs.google.com/spreadsheets/d/1-uDff_7J0KD5mKrp0Vvzr7lt3OU09vwQwhkpOPPYv2Y/edit?usp=sharing"",""งบพรบ!DL41"")"),0)</f>
        <v>0</v>
      </c>
      <c r="M41" s="87">
        <f t="shared" ca="1" si="25"/>
        <v>0</v>
      </c>
      <c r="N41" s="87">
        <f t="shared" ca="1" si="26"/>
        <v>0</v>
      </c>
      <c r="O41" s="86">
        <f ca="1">IFERROR(__xludf.DUMMYFUNCTION("IMPORTRANGE(""https://docs.google.com/spreadsheets/d/1-uDff_7J0KD5mKrp0Vvzr7lt3OU09vwQwhkpOPPYv2Y/edit?usp=sharing"",""งบพรบ!DM41"")"),0)</f>
        <v>0</v>
      </c>
      <c r="P41" s="86">
        <f t="shared" ca="1" si="27"/>
        <v>0</v>
      </c>
      <c r="Q41" s="87">
        <f t="shared" ca="1" si="28"/>
        <v>0</v>
      </c>
      <c r="R41" s="86">
        <f ca="1">IFERROR(__xludf.DUMMYFUNCTION("IMPORTRANGE(""https://docs.google.com/spreadsheets/d/1NexK3geCPxCTO1fzNF8dPec7yZyUx3OaWkFBC9HsQOo/edit?usp=sharing"",""ยโสธร!Q266"")"),61780)</f>
        <v>61780</v>
      </c>
      <c r="S41" s="86">
        <f ca="1">IFERROR(__xludf.DUMMYFUNCTION("IMPORTRANGE(""https://docs.google.com/spreadsheets/d/1NexK3geCPxCTO1fzNF8dPec7yZyUx3OaWkFBC9HsQOo/edit?usp=sharing"",""ยโสธร!R266"")"),0)</f>
        <v>0</v>
      </c>
      <c r="T41" s="86">
        <f ca="1">IFERROR(__xludf.DUMMYFUNCTION("IMPORTRANGE(""https://docs.google.com/spreadsheets/d/1NexK3geCPxCTO1fzNF8dPec7yZyUx3OaWkFBC9HsQOo/edit?usp=sharing"",""ยโสธร!S266"")"),0)</f>
        <v>0</v>
      </c>
      <c r="U41" s="87">
        <f t="shared" ca="1" si="30"/>
        <v>0</v>
      </c>
      <c r="V41" s="87">
        <f t="shared" ca="1" si="31"/>
        <v>0</v>
      </c>
      <c r="W41" s="97">
        <f ca="1">IFERROR(__xludf.DUMMYFUNCTION("IMPORTRANGE(""https://docs.google.com/spreadsheets/d/1NexK3geCPxCTO1fzNF8dPec7yZyUx3OaWkFBC9HsQOo/edit?usp=sharing"",""ยโสธร!I276"")"),30)</f>
        <v>30</v>
      </c>
      <c r="X41" s="97">
        <f ca="1">IFERROR(__xludf.DUMMYFUNCTION("IMPORTRANGE(""https://docs.google.com/spreadsheets/d/1NexK3geCPxCTO1fzNF8dPec7yZyUx3OaWkFBC9HsQOo/edit?usp=sharing"",""ยโสธร!J276"")"),0)</f>
        <v>0</v>
      </c>
      <c r="Y41" s="177">
        <f t="shared" ca="1" si="33"/>
        <v>0</v>
      </c>
      <c r="Z41" s="99">
        <v>0</v>
      </c>
      <c r="AA41" s="99">
        <v>0</v>
      </c>
      <c r="AB41" s="219">
        <v>0</v>
      </c>
    </row>
    <row r="42" spans="1:28" ht="19.5" x14ac:dyDescent="0.3">
      <c r="A42" s="172">
        <v>11</v>
      </c>
      <c r="B42" s="173" t="s">
        <v>68</v>
      </c>
      <c r="C42" s="174">
        <f t="shared" ca="1" si="21"/>
        <v>0</v>
      </c>
      <c r="D42" s="175">
        <f t="shared" ca="1" si="38"/>
        <v>0</v>
      </c>
      <c r="E42" s="176">
        <f ca="1">IFERROR(__xludf.DUMMYFUNCTION("IMPORTRANGE(""https://docs.google.com/spreadsheets/d/1-uDff_7J0KD5mKrp0Vvzr7lt3OU09vwQwhkpOPPYv2Y/edit?usp=sharing"",""งบพรบ!DF42"")"),0)</f>
        <v>0</v>
      </c>
      <c r="F42" s="176">
        <f ca="1">IFERROR(__xludf.DUMMYFUNCTION("IMPORTRANGE(""https://docs.google.com/spreadsheets/d/1-uDff_7J0KD5mKrp0Vvzr7lt3OU09vwQwhkpOPPYv2Y/edit?usp=sharing"",""งบพรบ!DG42"")"),0)</f>
        <v>0</v>
      </c>
      <c r="G42" s="176">
        <f ca="1">IFERROR(__xludf.DUMMYFUNCTION("IMPORTRANGE(""https://docs.google.com/spreadsheets/d/1-uDff_7J0KD5mKrp0Vvzr7lt3OU09vwQwhkpOPPYv2Y/edit?usp=sharing"",""งบพรบ!DH42"")"),0)</f>
        <v>0</v>
      </c>
      <c r="H42" s="176">
        <f ca="1">IFERROR(__xludf.DUMMYFUNCTION("IMPORTRANGE(""https://docs.google.com/spreadsheets/d/1-uDff_7J0KD5mKrp0Vvzr7lt3OU09vwQwhkpOPPYv2Y/edit?usp=sharing"",""งบพรบ!DJ42"")"),0)</f>
        <v>0</v>
      </c>
      <c r="I42" s="176">
        <f ca="1">IFERROR(__xludf.DUMMYFUNCTION("IMPORTRANGE(""https://docs.google.com/spreadsheets/d/1-uDff_7J0KD5mKrp0Vvzr7lt3OU09vwQwhkpOPPYv2Y/edit?usp=sharing"",""งบพรบ!DK42"")"),0)</f>
        <v>0</v>
      </c>
      <c r="J42" s="176">
        <f t="shared" ca="1" si="23"/>
        <v>0</v>
      </c>
      <c r="K42" s="179">
        <f t="shared" ca="1" si="24"/>
        <v>0</v>
      </c>
      <c r="L42" s="176">
        <f ca="1">IFERROR(__xludf.DUMMYFUNCTION("IMPORTRANGE(""https://docs.google.com/spreadsheets/d/1-uDff_7J0KD5mKrp0Vvzr7lt3OU09vwQwhkpOPPYv2Y/edit?usp=sharing"",""งบพรบ!DL42"")"),0)</f>
        <v>0</v>
      </c>
      <c r="M42" s="87">
        <f t="shared" ca="1" si="25"/>
        <v>0</v>
      </c>
      <c r="N42" s="87">
        <f t="shared" ca="1" si="26"/>
        <v>0</v>
      </c>
      <c r="O42" s="86">
        <f ca="1">IFERROR(__xludf.DUMMYFUNCTION("IMPORTRANGE(""https://docs.google.com/spreadsheets/d/1-uDff_7J0KD5mKrp0Vvzr7lt3OU09vwQwhkpOPPYv2Y/edit?usp=sharing"",""งบพรบ!DM42"")"),0)</f>
        <v>0</v>
      </c>
      <c r="P42" s="86">
        <f t="shared" ca="1" si="27"/>
        <v>0</v>
      </c>
      <c r="Q42" s="87">
        <f t="shared" ca="1" si="28"/>
        <v>0</v>
      </c>
      <c r="R42" s="86">
        <f ca="1">IFERROR(__xludf.DUMMYFUNCTION("IMPORTRANGE(""https://docs.google.com/spreadsheets/d/1v_cJrbBlyqmnHPReHk44g9NrMRdENNlSy_E_c5M9fIg/edit?usp=sharing"",""ร้อยเอ็ด!Q266"")"),56220)</f>
        <v>56220</v>
      </c>
      <c r="S42" s="86">
        <f ca="1">IFERROR(__xludf.DUMMYFUNCTION("IMPORTRANGE(""https://docs.google.com/spreadsheets/d/1v_cJrbBlyqmnHPReHk44g9NrMRdENNlSy_E_c5M9fIg/edit?usp=sharing"",""ร้อยเอ็ด!R266"")"),0)</f>
        <v>0</v>
      </c>
      <c r="T42" s="86">
        <f ca="1">IFERROR(__xludf.DUMMYFUNCTION("IMPORTRANGE(""https://docs.google.com/spreadsheets/d/1v_cJrbBlyqmnHPReHk44g9NrMRdENNlSy_E_c5M9fIg/edit?usp=sharing"",""ร้อยเอ็ด!S266"")"),0)</f>
        <v>0</v>
      </c>
      <c r="U42" s="87">
        <f t="shared" ca="1" si="30"/>
        <v>0</v>
      </c>
      <c r="V42" s="87">
        <f t="shared" ca="1" si="31"/>
        <v>0</v>
      </c>
      <c r="W42" s="93">
        <f ca="1">IFERROR(__xludf.DUMMYFUNCTION("IMPORTRANGE(""https://docs.google.com/spreadsheets/d/1v_cJrbBlyqmnHPReHk44g9NrMRdENNlSy_E_c5M9fIg/edit?usp=sharing"",""ร้อยเอ็ด!I276"")"),26)</f>
        <v>26</v>
      </c>
      <c r="X42" s="93">
        <f ca="1">IFERROR(__xludf.DUMMYFUNCTION("IMPORTRANGE(""https://docs.google.com/spreadsheets/d/1v_cJrbBlyqmnHPReHk44g9NrMRdENNlSy_E_c5M9fIg/edit?usp=sharing"",""ร้อยเอ็ด!J276"")"),0)</f>
        <v>0</v>
      </c>
      <c r="Y42" s="177">
        <f t="shared" ca="1" si="33"/>
        <v>0</v>
      </c>
      <c r="Z42" s="216">
        <v>0</v>
      </c>
      <c r="AA42" s="216">
        <v>0</v>
      </c>
      <c r="AB42" s="219">
        <v>0</v>
      </c>
    </row>
    <row r="43" spans="1:28" ht="19.5" x14ac:dyDescent="0.3">
      <c r="A43" s="172">
        <v>12</v>
      </c>
      <c r="B43" s="173" t="s">
        <v>69</v>
      </c>
      <c r="C43" s="174">
        <f t="shared" ca="1" si="21"/>
        <v>0</v>
      </c>
      <c r="D43" s="175">
        <f t="shared" ca="1" si="38"/>
        <v>0</v>
      </c>
      <c r="E43" s="176">
        <f ca="1">IFERROR(__xludf.DUMMYFUNCTION("IMPORTRANGE(""https://docs.google.com/spreadsheets/d/1-uDff_7J0KD5mKrp0Vvzr7lt3OU09vwQwhkpOPPYv2Y/edit?usp=sharing"",""งบพรบ!DF43"")"),0)</f>
        <v>0</v>
      </c>
      <c r="F43" s="176">
        <f ca="1">IFERROR(__xludf.DUMMYFUNCTION("IMPORTRANGE(""https://docs.google.com/spreadsheets/d/1-uDff_7J0KD5mKrp0Vvzr7lt3OU09vwQwhkpOPPYv2Y/edit?usp=sharing"",""งบพรบ!DG43"")"),0)</f>
        <v>0</v>
      </c>
      <c r="G43" s="176">
        <f ca="1">IFERROR(__xludf.DUMMYFUNCTION("IMPORTRANGE(""https://docs.google.com/spreadsheets/d/1-uDff_7J0KD5mKrp0Vvzr7lt3OU09vwQwhkpOPPYv2Y/edit?usp=sharing"",""งบพรบ!DH43"")"),0)</f>
        <v>0</v>
      </c>
      <c r="H43" s="176">
        <f ca="1">IFERROR(__xludf.DUMMYFUNCTION("IMPORTRANGE(""https://docs.google.com/spreadsheets/d/1-uDff_7J0KD5mKrp0Vvzr7lt3OU09vwQwhkpOPPYv2Y/edit?usp=sharing"",""งบพรบ!DJ43"")"),0)</f>
        <v>0</v>
      </c>
      <c r="I43" s="176">
        <f ca="1">IFERROR(__xludf.DUMMYFUNCTION("IMPORTRANGE(""https://docs.google.com/spreadsheets/d/1-uDff_7J0KD5mKrp0Vvzr7lt3OU09vwQwhkpOPPYv2Y/edit?usp=sharing"",""งบพรบ!DK43"")"),0)</f>
        <v>0</v>
      </c>
      <c r="J43" s="176">
        <f t="shared" ca="1" si="23"/>
        <v>0</v>
      </c>
      <c r="K43" s="179">
        <f t="shared" ca="1" si="24"/>
        <v>0</v>
      </c>
      <c r="L43" s="176">
        <f ca="1">IFERROR(__xludf.DUMMYFUNCTION("IMPORTRANGE(""https://docs.google.com/spreadsheets/d/1-uDff_7J0KD5mKrp0Vvzr7lt3OU09vwQwhkpOPPYv2Y/edit?usp=sharing"",""งบพรบ!DL43"")"),0)</f>
        <v>0</v>
      </c>
      <c r="M43" s="87">
        <f t="shared" ca="1" si="25"/>
        <v>0</v>
      </c>
      <c r="N43" s="87">
        <f t="shared" ca="1" si="26"/>
        <v>0</v>
      </c>
      <c r="O43" s="86">
        <f ca="1">IFERROR(__xludf.DUMMYFUNCTION("IMPORTRANGE(""https://docs.google.com/spreadsheets/d/1-uDff_7J0KD5mKrp0Vvzr7lt3OU09vwQwhkpOPPYv2Y/edit?usp=sharing"",""งบพรบ!DM43"")"),0)</f>
        <v>0</v>
      </c>
      <c r="P43" s="86">
        <f t="shared" ca="1" si="27"/>
        <v>0</v>
      </c>
      <c r="Q43" s="87">
        <f t="shared" ca="1" si="28"/>
        <v>0</v>
      </c>
      <c r="R43" s="86">
        <f ca="1">IFERROR(__xludf.DUMMYFUNCTION("IMPORTRANGE(""https://docs.google.com/spreadsheets/d/1Ul4RCpCX66NxYADU1QpwAPjOmBzW64SsT11s1wzXw_c/edit?usp=sharing"",""เลย!Q266"")"),50660)</f>
        <v>50660</v>
      </c>
      <c r="S43" s="86">
        <f ca="1">IFERROR(__xludf.DUMMYFUNCTION("IMPORTRANGE(""https://docs.google.com/spreadsheets/d/1Ul4RCpCX66NxYADU1QpwAPjOmBzW64SsT11s1wzXw_c/edit?usp=sharing"",""เลย!R266"")"),0)</f>
        <v>0</v>
      </c>
      <c r="T43" s="86">
        <f ca="1">IFERROR(__xludf.DUMMYFUNCTION("IMPORTRANGE(""https://docs.google.com/spreadsheets/d/1Ul4RCpCX66NxYADU1QpwAPjOmBzW64SsT11s1wzXw_c/edit?usp=sharing"",""เลย!S266"")"),0)</f>
        <v>0</v>
      </c>
      <c r="U43" s="87">
        <f t="shared" ca="1" si="30"/>
        <v>0</v>
      </c>
      <c r="V43" s="87">
        <f t="shared" ca="1" si="31"/>
        <v>0</v>
      </c>
      <c r="W43" s="93">
        <f ca="1">IFERROR(__xludf.DUMMYFUNCTION("IMPORTRANGE(""https://docs.google.com/spreadsheets/d/1Ul4RCpCX66NxYADU1QpwAPjOmBzW64SsT11s1wzXw_c/edit?usp=sharing"",""เลย!I276"")"),22)</f>
        <v>22</v>
      </c>
      <c r="X43" s="93">
        <f ca="1">IFERROR(__xludf.DUMMYFUNCTION("IMPORTRANGE(""https://docs.google.com/spreadsheets/d/1Ul4RCpCX66NxYADU1QpwAPjOmBzW64SsT11s1wzXw_c/edit?usp=sharing"",""เลย!J276"")"),0)</f>
        <v>0</v>
      </c>
      <c r="Y43" s="177">
        <f t="shared" ca="1" si="33"/>
        <v>0</v>
      </c>
      <c r="Z43" s="216">
        <v>0</v>
      </c>
      <c r="AA43" s="216">
        <v>0</v>
      </c>
      <c r="AB43" s="219">
        <v>0</v>
      </c>
    </row>
    <row r="44" spans="1:28" ht="19.5" x14ac:dyDescent="0.3">
      <c r="A44" s="172">
        <v>13</v>
      </c>
      <c r="B44" s="173" t="s">
        <v>70</v>
      </c>
      <c r="C44" s="174">
        <f t="shared" ca="1" si="21"/>
        <v>0</v>
      </c>
      <c r="D44" s="175">
        <f t="shared" ca="1" si="38"/>
        <v>0</v>
      </c>
      <c r="E44" s="176">
        <f ca="1">IFERROR(__xludf.DUMMYFUNCTION("IMPORTRANGE(""https://docs.google.com/spreadsheets/d/1-uDff_7J0KD5mKrp0Vvzr7lt3OU09vwQwhkpOPPYv2Y/edit?usp=sharing"",""งบพรบ!DF44"")"),0)</f>
        <v>0</v>
      </c>
      <c r="F44" s="176">
        <f ca="1">IFERROR(__xludf.DUMMYFUNCTION("IMPORTRANGE(""https://docs.google.com/spreadsheets/d/1-uDff_7J0KD5mKrp0Vvzr7lt3OU09vwQwhkpOPPYv2Y/edit?usp=sharing"",""งบพรบ!DG44"")"),0)</f>
        <v>0</v>
      </c>
      <c r="G44" s="176">
        <f ca="1">IFERROR(__xludf.DUMMYFUNCTION("IMPORTRANGE(""https://docs.google.com/spreadsheets/d/1-uDff_7J0KD5mKrp0Vvzr7lt3OU09vwQwhkpOPPYv2Y/edit?usp=sharing"",""งบพรบ!DH44"")"),0)</f>
        <v>0</v>
      </c>
      <c r="H44" s="176">
        <f ca="1">IFERROR(__xludf.DUMMYFUNCTION("IMPORTRANGE(""https://docs.google.com/spreadsheets/d/1-uDff_7J0KD5mKrp0Vvzr7lt3OU09vwQwhkpOPPYv2Y/edit?usp=sharing"",""งบพรบ!DJ44"")"),0)</f>
        <v>0</v>
      </c>
      <c r="I44" s="176">
        <f ca="1">IFERROR(__xludf.DUMMYFUNCTION("IMPORTRANGE(""https://docs.google.com/spreadsheets/d/1-uDff_7J0KD5mKrp0Vvzr7lt3OU09vwQwhkpOPPYv2Y/edit?usp=sharing"",""งบพรบ!DK44"")"),0)</f>
        <v>0</v>
      </c>
      <c r="J44" s="176">
        <f t="shared" ca="1" si="23"/>
        <v>0</v>
      </c>
      <c r="K44" s="179">
        <f t="shared" ca="1" si="24"/>
        <v>0</v>
      </c>
      <c r="L44" s="176">
        <f ca="1">IFERROR(__xludf.DUMMYFUNCTION("IMPORTRANGE(""https://docs.google.com/spreadsheets/d/1-uDff_7J0KD5mKrp0Vvzr7lt3OU09vwQwhkpOPPYv2Y/edit?usp=sharing"",""งบพรบ!DL44"")"),0)</f>
        <v>0</v>
      </c>
      <c r="M44" s="87">
        <f t="shared" ca="1" si="25"/>
        <v>0</v>
      </c>
      <c r="N44" s="87">
        <f t="shared" ca="1" si="26"/>
        <v>0</v>
      </c>
      <c r="O44" s="86">
        <f ca="1">IFERROR(__xludf.DUMMYFUNCTION("IMPORTRANGE(""https://docs.google.com/spreadsheets/d/1-uDff_7J0KD5mKrp0Vvzr7lt3OU09vwQwhkpOPPYv2Y/edit?usp=sharing"",""งบพรบ!DM44"")"),0)</f>
        <v>0</v>
      </c>
      <c r="P44" s="86">
        <f t="shared" ca="1" si="27"/>
        <v>0</v>
      </c>
      <c r="Q44" s="87">
        <f t="shared" ca="1" si="28"/>
        <v>0</v>
      </c>
      <c r="R44" s="86">
        <f ca="1">IFERROR(__xludf.DUMMYFUNCTION("IMPORTRANGE(""https://docs.google.com/spreadsheets/d/1bRrNKwbHDVktQG10isr5vbWRtt5spIZPpkOSWgbT5ug/edit?usp=sharing"",""ศรีสะเกษ!Q266"")"),50660)</f>
        <v>50660</v>
      </c>
      <c r="S44" s="86">
        <f ca="1">IFERROR(__xludf.DUMMYFUNCTION("IMPORTRANGE(""https://docs.google.com/spreadsheets/d/1bRrNKwbHDVktQG10isr5vbWRtt5spIZPpkOSWgbT5ug/edit?usp=sharing"",""ศรีสะเกษ!R266"")"),0)</f>
        <v>0</v>
      </c>
      <c r="T44" s="86">
        <f ca="1">IFERROR(__xludf.DUMMYFUNCTION("IMPORTRANGE(""https://docs.google.com/spreadsheets/d/1bRrNKwbHDVktQG10isr5vbWRtt5spIZPpkOSWgbT5ug/edit?usp=sharing"",""ศรีสะเกษ!S266"")"),0)</f>
        <v>0</v>
      </c>
      <c r="U44" s="87">
        <f t="shared" ca="1" si="30"/>
        <v>0</v>
      </c>
      <c r="V44" s="87">
        <f t="shared" ca="1" si="31"/>
        <v>0</v>
      </c>
      <c r="W44" s="93">
        <f ca="1">IFERROR(__xludf.DUMMYFUNCTION("IMPORTRANGE(""https://docs.google.com/spreadsheets/d/1bRrNKwbHDVktQG10isr5vbWRtt5spIZPpkOSWgbT5ug/edit?usp=sharing"",""ศรีสะเกษ!I276"")"),22)</f>
        <v>22</v>
      </c>
      <c r="X44" s="93">
        <f ca="1">IFERROR(__xludf.DUMMYFUNCTION("IMPORTRANGE(""https://docs.google.com/spreadsheets/d/1bRrNKwbHDVktQG10isr5vbWRtt5spIZPpkOSWgbT5ug/edit?usp=sharing"",""ศรีสะเกษ!J276"")"),0)</f>
        <v>0</v>
      </c>
      <c r="Y44" s="177">
        <f t="shared" ca="1" si="33"/>
        <v>0</v>
      </c>
      <c r="Z44" s="216">
        <v>0</v>
      </c>
      <c r="AA44" s="216">
        <v>0</v>
      </c>
      <c r="AB44" s="219">
        <v>0</v>
      </c>
    </row>
    <row r="45" spans="1:28" ht="19.5" x14ac:dyDescent="0.3">
      <c r="A45" s="172">
        <v>14</v>
      </c>
      <c r="B45" s="173" t="s">
        <v>71</v>
      </c>
      <c r="C45" s="174">
        <f t="shared" ca="1" si="21"/>
        <v>0</v>
      </c>
      <c r="D45" s="175">
        <f t="shared" ca="1" si="38"/>
        <v>0</v>
      </c>
      <c r="E45" s="176">
        <f ca="1">IFERROR(__xludf.DUMMYFUNCTION("IMPORTRANGE(""https://docs.google.com/spreadsheets/d/1-uDff_7J0KD5mKrp0Vvzr7lt3OU09vwQwhkpOPPYv2Y/edit?usp=sharing"",""งบพรบ!DF45"")"),0)</f>
        <v>0</v>
      </c>
      <c r="F45" s="176">
        <f ca="1">IFERROR(__xludf.DUMMYFUNCTION("IMPORTRANGE(""https://docs.google.com/spreadsheets/d/1-uDff_7J0KD5mKrp0Vvzr7lt3OU09vwQwhkpOPPYv2Y/edit?usp=sharing"",""งบพรบ!DG45"")"),0)</f>
        <v>0</v>
      </c>
      <c r="G45" s="176">
        <f ca="1">IFERROR(__xludf.DUMMYFUNCTION("IMPORTRANGE(""https://docs.google.com/spreadsheets/d/1-uDff_7J0KD5mKrp0Vvzr7lt3OU09vwQwhkpOPPYv2Y/edit?usp=sharing"",""งบพรบ!DH45"")"),0)</f>
        <v>0</v>
      </c>
      <c r="H45" s="176">
        <f ca="1">IFERROR(__xludf.DUMMYFUNCTION("IMPORTRANGE(""https://docs.google.com/spreadsheets/d/1-uDff_7J0KD5mKrp0Vvzr7lt3OU09vwQwhkpOPPYv2Y/edit?usp=sharing"",""งบพรบ!DJ45"")"),0)</f>
        <v>0</v>
      </c>
      <c r="I45" s="176">
        <f ca="1">IFERROR(__xludf.DUMMYFUNCTION("IMPORTRANGE(""https://docs.google.com/spreadsheets/d/1-uDff_7J0KD5mKrp0Vvzr7lt3OU09vwQwhkpOPPYv2Y/edit?usp=sharing"",""งบพรบ!DK45"")"),0)</f>
        <v>0</v>
      </c>
      <c r="J45" s="176">
        <f t="shared" ca="1" si="23"/>
        <v>0</v>
      </c>
      <c r="K45" s="179">
        <f t="shared" ca="1" si="24"/>
        <v>0</v>
      </c>
      <c r="L45" s="176">
        <f ca="1">IFERROR(__xludf.DUMMYFUNCTION("IMPORTRANGE(""https://docs.google.com/spreadsheets/d/1-uDff_7J0KD5mKrp0Vvzr7lt3OU09vwQwhkpOPPYv2Y/edit?usp=sharing"",""งบพรบ!DL45"")"),0)</f>
        <v>0</v>
      </c>
      <c r="M45" s="87">
        <f t="shared" ca="1" si="25"/>
        <v>0</v>
      </c>
      <c r="N45" s="87">
        <f t="shared" ca="1" si="26"/>
        <v>0</v>
      </c>
      <c r="O45" s="86">
        <f ca="1">IFERROR(__xludf.DUMMYFUNCTION("IMPORTRANGE(""https://docs.google.com/spreadsheets/d/1-uDff_7J0KD5mKrp0Vvzr7lt3OU09vwQwhkpOPPYv2Y/edit?usp=sharing"",""งบพรบ!DM45"")"),0)</f>
        <v>0</v>
      </c>
      <c r="P45" s="86">
        <f t="shared" ca="1" si="27"/>
        <v>0</v>
      </c>
      <c r="Q45" s="87">
        <f t="shared" ca="1" si="28"/>
        <v>0</v>
      </c>
      <c r="R45" s="86">
        <f ca="1">IFERROR(__xludf.DUMMYFUNCTION("IMPORTRANGE(""https://docs.google.com/spreadsheets/d/17P34_Ow5kFBfdQD0qspb2UuPX5zpi6WMrQzslghyvrI/edit?usp=sharing"",""สกลนคร!Q266"")"),50660)</f>
        <v>50660</v>
      </c>
      <c r="S45" s="86">
        <f ca="1">IFERROR(__xludf.DUMMYFUNCTION("IMPORTRANGE(""https://docs.google.com/spreadsheets/d/17P34_Ow5kFBfdQD0qspb2UuPX5zpi6WMrQzslghyvrI/edit?usp=sharing"",""สกลนคร!R266"")"),0)</f>
        <v>0</v>
      </c>
      <c r="T45" s="86">
        <f ca="1">IFERROR(__xludf.DUMMYFUNCTION("IMPORTRANGE(""https://docs.google.com/spreadsheets/d/17P34_Ow5kFBfdQD0qspb2UuPX5zpi6WMrQzslghyvrI/edit?usp=sharing"",""สกลนคร!S266"")"),0)</f>
        <v>0</v>
      </c>
      <c r="U45" s="87">
        <f t="shared" ca="1" si="30"/>
        <v>0</v>
      </c>
      <c r="V45" s="87">
        <f t="shared" ca="1" si="31"/>
        <v>0</v>
      </c>
      <c r="W45" s="93">
        <f ca="1">IFERROR(__xludf.DUMMYFUNCTION("IMPORTRANGE(""https://docs.google.com/spreadsheets/d/17P34_Ow5kFBfdQD0qspb2UuPX5zpi6WMrQzslghyvrI/edit?usp=sharing"",""สกลนคร!I276"")"),22)</f>
        <v>22</v>
      </c>
      <c r="X45" s="93">
        <f ca="1">IFERROR(__xludf.DUMMYFUNCTION("IMPORTRANGE(""https://docs.google.com/spreadsheets/d/17P34_Ow5kFBfdQD0qspb2UuPX5zpi6WMrQzslghyvrI/edit?usp=sharing"",""สกลนคร!J276"")"),0)</f>
        <v>0</v>
      </c>
      <c r="Y45" s="177">
        <f t="shared" ca="1" si="33"/>
        <v>0</v>
      </c>
      <c r="Z45" s="216">
        <v>0</v>
      </c>
      <c r="AA45" s="216">
        <v>0</v>
      </c>
      <c r="AB45" s="219">
        <v>0</v>
      </c>
    </row>
    <row r="46" spans="1:28" ht="19.5" x14ac:dyDescent="0.3">
      <c r="A46" s="172">
        <v>15</v>
      </c>
      <c r="B46" s="173" t="s">
        <v>72</v>
      </c>
      <c r="C46" s="174">
        <f t="shared" ca="1" si="21"/>
        <v>0</v>
      </c>
      <c r="D46" s="175">
        <f t="shared" ca="1" si="38"/>
        <v>0</v>
      </c>
      <c r="E46" s="176">
        <f ca="1">IFERROR(__xludf.DUMMYFUNCTION("IMPORTRANGE(""https://docs.google.com/spreadsheets/d/1-uDff_7J0KD5mKrp0Vvzr7lt3OU09vwQwhkpOPPYv2Y/edit?usp=sharing"",""งบพรบ!DF46"")"),0)</f>
        <v>0</v>
      </c>
      <c r="F46" s="176">
        <f ca="1">IFERROR(__xludf.DUMMYFUNCTION("IMPORTRANGE(""https://docs.google.com/spreadsheets/d/1-uDff_7J0KD5mKrp0Vvzr7lt3OU09vwQwhkpOPPYv2Y/edit?usp=sharing"",""งบพรบ!DG46"")"),0)</f>
        <v>0</v>
      </c>
      <c r="G46" s="176">
        <f ca="1">IFERROR(__xludf.DUMMYFUNCTION("IMPORTRANGE(""https://docs.google.com/spreadsheets/d/1-uDff_7J0KD5mKrp0Vvzr7lt3OU09vwQwhkpOPPYv2Y/edit?usp=sharing"",""งบพรบ!DH46"")"),0)</f>
        <v>0</v>
      </c>
      <c r="H46" s="176">
        <f ca="1">IFERROR(__xludf.DUMMYFUNCTION("IMPORTRANGE(""https://docs.google.com/spreadsheets/d/1-uDff_7J0KD5mKrp0Vvzr7lt3OU09vwQwhkpOPPYv2Y/edit?usp=sharing"",""งบพรบ!DJ46"")"),0)</f>
        <v>0</v>
      </c>
      <c r="I46" s="176">
        <f ca="1">IFERROR(__xludf.DUMMYFUNCTION("IMPORTRANGE(""https://docs.google.com/spreadsheets/d/1-uDff_7J0KD5mKrp0Vvzr7lt3OU09vwQwhkpOPPYv2Y/edit?usp=sharing"",""งบพรบ!DK46"")"),0)</f>
        <v>0</v>
      </c>
      <c r="J46" s="176">
        <f t="shared" ca="1" si="23"/>
        <v>0</v>
      </c>
      <c r="K46" s="179">
        <f t="shared" ca="1" si="24"/>
        <v>0</v>
      </c>
      <c r="L46" s="176">
        <f ca="1">IFERROR(__xludf.DUMMYFUNCTION("IMPORTRANGE(""https://docs.google.com/spreadsheets/d/1-uDff_7J0KD5mKrp0Vvzr7lt3OU09vwQwhkpOPPYv2Y/edit?usp=sharing"",""งบพรบ!DL46"")"),0)</f>
        <v>0</v>
      </c>
      <c r="M46" s="87">
        <f t="shared" ca="1" si="25"/>
        <v>0</v>
      </c>
      <c r="N46" s="87">
        <f t="shared" ca="1" si="26"/>
        <v>0</v>
      </c>
      <c r="O46" s="86">
        <f ca="1">IFERROR(__xludf.DUMMYFUNCTION("IMPORTRANGE(""https://docs.google.com/spreadsheets/d/1-uDff_7J0KD5mKrp0Vvzr7lt3OU09vwQwhkpOPPYv2Y/edit?usp=sharing"",""งบพรบ!DM46"")"),0)</f>
        <v>0</v>
      </c>
      <c r="P46" s="86">
        <f t="shared" ca="1" si="27"/>
        <v>0</v>
      </c>
      <c r="Q46" s="87">
        <f t="shared" ca="1" si="28"/>
        <v>0</v>
      </c>
      <c r="R46" s="86">
        <f ca="1">IFERROR(__xludf.DUMMYFUNCTION("IMPORTRANGE(""https://docs.google.com/spreadsheets/d/1yswqbM3-AEpThF3ZSUa1AcmHnmRTF1vlJ1CZGcJ8YuU/edit?usp=sharing"",""สุรินทร์!Q266"")"),50660)</f>
        <v>50660</v>
      </c>
      <c r="S46" s="86">
        <f ca="1">IFERROR(__xludf.DUMMYFUNCTION("IMPORTRANGE(""https://docs.google.com/spreadsheets/d/1yswqbM3-AEpThF3ZSUa1AcmHnmRTF1vlJ1CZGcJ8YuU/edit?usp=sharing"",""สุรินทร์!R266"")"),0)</f>
        <v>0</v>
      </c>
      <c r="T46" s="86">
        <f ca="1">IFERROR(__xludf.DUMMYFUNCTION("IMPORTRANGE(""https://docs.google.com/spreadsheets/d/1yswqbM3-AEpThF3ZSUa1AcmHnmRTF1vlJ1CZGcJ8YuU/edit?usp=sharing"",""สุรินทร์!S266"")"),0)</f>
        <v>0</v>
      </c>
      <c r="U46" s="87">
        <f t="shared" ca="1" si="30"/>
        <v>0</v>
      </c>
      <c r="V46" s="87">
        <f t="shared" ca="1" si="31"/>
        <v>0</v>
      </c>
      <c r="W46" s="93">
        <f ca="1">IFERROR(__xludf.DUMMYFUNCTION("IMPORTRANGE(""https://docs.google.com/spreadsheets/d/1yswqbM3-AEpThF3ZSUa1AcmHnmRTF1vlJ1CZGcJ8YuU/edit?usp=sharing"",""สุรินทร์!I276"")"),22)</f>
        <v>22</v>
      </c>
      <c r="X46" s="93">
        <f ca="1">IFERROR(__xludf.DUMMYFUNCTION("IMPORTRANGE(""https://docs.google.com/spreadsheets/d/1yswqbM3-AEpThF3ZSUa1AcmHnmRTF1vlJ1CZGcJ8YuU/edit?usp=sharing"",""สุรินทร์!J276"")"),0)</f>
        <v>0</v>
      </c>
      <c r="Y46" s="177">
        <f t="shared" ca="1" si="33"/>
        <v>0</v>
      </c>
      <c r="Z46" s="216">
        <v>0</v>
      </c>
      <c r="AA46" s="216">
        <v>0</v>
      </c>
      <c r="AB46" s="219">
        <v>0</v>
      </c>
    </row>
    <row r="47" spans="1:28" ht="19.5" x14ac:dyDescent="0.3">
      <c r="A47" s="172">
        <v>16</v>
      </c>
      <c r="B47" s="173" t="s">
        <v>73</v>
      </c>
      <c r="C47" s="174">
        <f t="shared" ca="1" si="21"/>
        <v>0</v>
      </c>
      <c r="D47" s="175">
        <f t="shared" ca="1" si="38"/>
        <v>0</v>
      </c>
      <c r="E47" s="176">
        <f ca="1">IFERROR(__xludf.DUMMYFUNCTION("IMPORTRANGE(""https://docs.google.com/spreadsheets/d/1-uDff_7J0KD5mKrp0Vvzr7lt3OU09vwQwhkpOPPYv2Y/edit?usp=sharing"",""งบพรบ!DF47"")"),0)</f>
        <v>0</v>
      </c>
      <c r="F47" s="176">
        <f ca="1">IFERROR(__xludf.DUMMYFUNCTION("IMPORTRANGE(""https://docs.google.com/spreadsheets/d/1-uDff_7J0KD5mKrp0Vvzr7lt3OU09vwQwhkpOPPYv2Y/edit?usp=sharing"",""งบพรบ!DG47"")"),0)</f>
        <v>0</v>
      </c>
      <c r="G47" s="176">
        <f ca="1">IFERROR(__xludf.DUMMYFUNCTION("IMPORTRANGE(""https://docs.google.com/spreadsheets/d/1-uDff_7J0KD5mKrp0Vvzr7lt3OU09vwQwhkpOPPYv2Y/edit?usp=sharing"",""งบพรบ!DH47"")"),0)</f>
        <v>0</v>
      </c>
      <c r="H47" s="176">
        <f ca="1">IFERROR(__xludf.DUMMYFUNCTION("IMPORTRANGE(""https://docs.google.com/spreadsheets/d/1-uDff_7J0KD5mKrp0Vvzr7lt3OU09vwQwhkpOPPYv2Y/edit?usp=sharing"",""งบพรบ!DJ47"")"),0)</f>
        <v>0</v>
      </c>
      <c r="I47" s="176">
        <f ca="1">IFERROR(__xludf.DUMMYFUNCTION("IMPORTRANGE(""https://docs.google.com/spreadsheets/d/1-uDff_7J0KD5mKrp0Vvzr7lt3OU09vwQwhkpOPPYv2Y/edit?usp=sharing"",""งบพรบ!DK47"")"),0)</f>
        <v>0</v>
      </c>
      <c r="J47" s="176">
        <f t="shared" ca="1" si="23"/>
        <v>0</v>
      </c>
      <c r="K47" s="179">
        <f t="shared" ca="1" si="24"/>
        <v>0</v>
      </c>
      <c r="L47" s="176">
        <f ca="1">IFERROR(__xludf.DUMMYFUNCTION("IMPORTRANGE(""https://docs.google.com/spreadsheets/d/1-uDff_7J0KD5mKrp0Vvzr7lt3OU09vwQwhkpOPPYv2Y/edit?usp=sharing"",""งบพรบ!DL47"")"),0)</f>
        <v>0</v>
      </c>
      <c r="M47" s="87">
        <f t="shared" ca="1" si="25"/>
        <v>0</v>
      </c>
      <c r="N47" s="87">
        <f t="shared" ca="1" si="26"/>
        <v>0</v>
      </c>
      <c r="O47" s="86">
        <f ca="1">IFERROR(__xludf.DUMMYFUNCTION("IMPORTRANGE(""https://docs.google.com/spreadsheets/d/1-uDff_7J0KD5mKrp0Vvzr7lt3OU09vwQwhkpOPPYv2Y/edit?usp=sharing"",""งบพรบ!DM47"")"),0)</f>
        <v>0</v>
      </c>
      <c r="P47" s="86">
        <f t="shared" ca="1" si="27"/>
        <v>0</v>
      </c>
      <c r="Q47" s="87">
        <f t="shared" ca="1" si="28"/>
        <v>0</v>
      </c>
      <c r="R47" s="86">
        <f ca="1">IFERROR(__xludf.DUMMYFUNCTION("IMPORTRANGE(""https://docs.google.com/spreadsheets/d/13JHU_EFbsQOUQ0JSQ3dWy1VTRosIWcDq6Nc99z2qzdc/edit?usp=sharing"",""หนองคาย!Q266"")"),50660)</f>
        <v>50660</v>
      </c>
      <c r="S47" s="86">
        <f ca="1">IFERROR(__xludf.DUMMYFUNCTION("IMPORTRANGE(""https://docs.google.com/spreadsheets/d/13JHU_EFbsQOUQ0JSQ3dWy1VTRosIWcDq6Nc99z2qzdc/edit?usp=sharing"",""หนองคาย!R266"")"),0)</f>
        <v>0</v>
      </c>
      <c r="T47" s="86">
        <f ca="1">IFERROR(__xludf.DUMMYFUNCTION("IMPORTRANGE(""https://docs.google.com/spreadsheets/d/13JHU_EFbsQOUQ0JSQ3dWy1VTRosIWcDq6Nc99z2qzdc/edit?usp=sharing"",""หนองคาย!S266"")"),0)</f>
        <v>0</v>
      </c>
      <c r="U47" s="87">
        <f t="shared" ca="1" si="30"/>
        <v>0</v>
      </c>
      <c r="V47" s="87">
        <f t="shared" ca="1" si="31"/>
        <v>0</v>
      </c>
      <c r="W47" s="93">
        <f ca="1">IFERROR(__xludf.DUMMYFUNCTION("IMPORTRANGE(""https://docs.google.com/spreadsheets/d/13JHU_EFbsQOUQ0JSQ3dWy1VTRosIWcDq6Nc99z2qzdc/edit?usp=sharing"",""หนองคาย!I276"")"),22)</f>
        <v>22</v>
      </c>
      <c r="X47" s="93">
        <f ca="1">IFERROR(__xludf.DUMMYFUNCTION("IMPORTRANGE(""https://docs.google.com/spreadsheets/d/13JHU_EFbsQOUQ0JSQ3dWy1VTRosIWcDq6Nc99z2qzdc/edit?usp=sharing"",""หนองคาย!J276"")"),0)</f>
        <v>0</v>
      </c>
      <c r="Y47" s="177">
        <f t="shared" ca="1" si="33"/>
        <v>0</v>
      </c>
      <c r="Z47" s="216">
        <v>0</v>
      </c>
      <c r="AA47" s="216">
        <v>0</v>
      </c>
      <c r="AB47" s="219">
        <v>0</v>
      </c>
    </row>
    <row r="48" spans="1:28" ht="19.5" x14ac:dyDescent="0.3">
      <c r="A48" s="172">
        <v>17</v>
      </c>
      <c r="B48" s="173" t="s">
        <v>74</v>
      </c>
      <c r="C48" s="174">
        <f t="shared" ca="1" si="21"/>
        <v>0</v>
      </c>
      <c r="D48" s="175">
        <f t="shared" ca="1" si="38"/>
        <v>0</v>
      </c>
      <c r="E48" s="176">
        <f ca="1">IFERROR(__xludf.DUMMYFUNCTION("IMPORTRANGE(""https://docs.google.com/spreadsheets/d/1-uDff_7J0KD5mKrp0Vvzr7lt3OU09vwQwhkpOPPYv2Y/edit?usp=sharing"",""งบพรบ!DF48"")"),0)</f>
        <v>0</v>
      </c>
      <c r="F48" s="176">
        <f ca="1">IFERROR(__xludf.DUMMYFUNCTION("IMPORTRANGE(""https://docs.google.com/spreadsheets/d/1-uDff_7J0KD5mKrp0Vvzr7lt3OU09vwQwhkpOPPYv2Y/edit?usp=sharing"",""งบพรบ!DG48"")"),0)</f>
        <v>0</v>
      </c>
      <c r="G48" s="176">
        <f ca="1">IFERROR(__xludf.DUMMYFUNCTION("IMPORTRANGE(""https://docs.google.com/spreadsheets/d/1-uDff_7J0KD5mKrp0Vvzr7lt3OU09vwQwhkpOPPYv2Y/edit?usp=sharing"",""งบพรบ!DH48"")"),0)</f>
        <v>0</v>
      </c>
      <c r="H48" s="176">
        <f ca="1">IFERROR(__xludf.DUMMYFUNCTION("IMPORTRANGE(""https://docs.google.com/spreadsheets/d/1-uDff_7J0KD5mKrp0Vvzr7lt3OU09vwQwhkpOPPYv2Y/edit?usp=sharing"",""งบพรบ!DJ48"")"),0)</f>
        <v>0</v>
      </c>
      <c r="I48" s="176">
        <f ca="1">IFERROR(__xludf.DUMMYFUNCTION("IMPORTRANGE(""https://docs.google.com/spreadsheets/d/1-uDff_7J0KD5mKrp0Vvzr7lt3OU09vwQwhkpOPPYv2Y/edit?usp=sharing"",""งบพรบ!DK48"")"),0)</f>
        <v>0</v>
      </c>
      <c r="J48" s="176">
        <f t="shared" ca="1" si="23"/>
        <v>0</v>
      </c>
      <c r="K48" s="179">
        <f t="shared" ca="1" si="24"/>
        <v>0</v>
      </c>
      <c r="L48" s="176">
        <f ca="1">IFERROR(__xludf.DUMMYFUNCTION("IMPORTRANGE(""https://docs.google.com/spreadsheets/d/1-uDff_7J0KD5mKrp0Vvzr7lt3OU09vwQwhkpOPPYv2Y/edit?usp=sharing"",""งบพรบ!DL48"")"),0)</f>
        <v>0</v>
      </c>
      <c r="M48" s="87">
        <f t="shared" ca="1" si="25"/>
        <v>0</v>
      </c>
      <c r="N48" s="87">
        <f t="shared" ca="1" si="26"/>
        <v>0</v>
      </c>
      <c r="O48" s="86">
        <f ca="1">IFERROR(__xludf.DUMMYFUNCTION("IMPORTRANGE(""https://docs.google.com/spreadsheets/d/1-uDff_7J0KD5mKrp0Vvzr7lt3OU09vwQwhkpOPPYv2Y/edit?usp=sharing"",""งบพรบ!DM48"")"),0)</f>
        <v>0</v>
      </c>
      <c r="P48" s="86">
        <f t="shared" ca="1" si="27"/>
        <v>0</v>
      </c>
      <c r="Q48" s="87">
        <f t="shared" ca="1" si="28"/>
        <v>0</v>
      </c>
      <c r="R48" s="86">
        <f ca="1">IFERROR(__xludf.DUMMYFUNCTION("IMPORTRANGE(""https://docs.google.com/spreadsheets/d/1Hx73zIEgVdDZZaYSTc46Dqv64atFhpr3GelxLbaIN8A/edit?usp=sharing"",""หนองบัวลำภู!Q266"")"),50660)</f>
        <v>50660</v>
      </c>
      <c r="S48" s="86">
        <f ca="1">IFERROR(__xludf.DUMMYFUNCTION("IMPORTRANGE(""https://docs.google.com/spreadsheets/d/1Hx73zIEgVdDZZaYSTc46Dqv64atFhpr3GelxLbaIN8A/edit?usp=sharing"",""หนองบัวลำภู!R266"")"),0)</f>
        <v>0</v>
      </c>
      <c r="T48" s="86">
        <f ca="1">IFERROR(__xludf.DUMMYFUNCTION("IMPORTRANGE(""https://docs.google.com/spreadsheets/d/1Hx73zIEgVdDZZaYSTc46Dqv64atFhpr3GelxLbaIN8A/edit?usp=sharing"",""หนองบัวลำภู!S266"")"),0)</f>
        <v>0</v>
      </c>
      <c r="U48" s="87">
        <f t="shared" ca="1" si="30"/>
        <v>0</v>
      </c>
      <c r="V48" s="87">
        <f t="shared" ca="1" si="31"/>
        <v>0</v>
      </c>
      <c r="W48" s="93">
        <f ca="1">IFERROR(__xludf.DUMMYFUNCTION("IMPORTRANGE(""https://docs.google.com/spreadsheets/d/1Hx73zIEgVdDZZaYSTc46Dqv64atFhpr3GelxLbaIN8A/edit?usp=sharing"",""หนองบัวลำภู!I276"")"),22)</f>
        <v>22</v>
      </c>
      <c r="X48" s="93">
        <f ca="1">IFERROR(__xludf.DUMMYFUNCTION("IMPORTRANGE(""https://docs.google.com/spreadsheets/d/1Hx73zIEgVdDZZaYSTc46Dqv64atFhpr3GelxLbaIN8A/edit?usp=sharing"",""หนองบัวลำภู!J276"")"),0)</f>
        <v>0</v>
      </c>
      <c r="Y48" s="177">
        <f t="shared" ca="1" si="33"/>
        <v>0</v>
      </c>
      <c r="Z48" s="216">
        <v>0</v>
      </c>
      <c r="AA48" s="216">
        <v>0</v>
      </c>
      <c r="AB48" s="219">
        <v>0</v>
      </c>
    </row>
    <row r="49" spans="1:28" ht="19.5" x14ac:dyDescent="0.3">
      <c r="A49" s="172">
        <v>18</v>
      </c>
      <c r="B49" s="173" t="s">
        <v>75</v>
      </c>
      <c r="C49" s="174">
        <f t="shared" ca="1" si="21"/>
        <v>0</v>
      </c>
      <c r="D49" s="175">
        <f t="shared" ca="1" si="38"/>
        <v>0</v>
      </c>
      <c r="E49" s="176">
        <f ca="1">IFERROR(__xludf.DUMMYFUNCTION("IMPORTRANGE(""https://docs.google.com/spreadsheets/d/1-uDff_7J0KD5mKrp0Vvzr7lt3OU09vwQwhkpOPPYv2Y/edit?usp=sharing"",""งบพรบ!DF49"")"),0)</f>
        <v>0</v>
      </c>
      <c r="F49" s="176">
        <f ca="1">IFERROR(__xludf.DUMMYFUNCTION("IMPORTRANGE(""https://docs.google.com/spreadsheets/d/1-uDff_7J0KD5mKrp0Vvzr7lt3OU09vwQwhkpOPPYv2Y/edit?usp=sharing"",""งบพรบ!DG49"")"),0)</f>
        <v>0</v>
      </c>
      <c r="G49" s="176">
        <f ca="1">IFERROR(__xludf.DUMMYFUNCTION("IMPORTRANGE(""https://docs.google.com/spreadsheets/d/1-uDff_7J0KD5mKrp0Vvzr7lt3OU09vwQwhkpOPPYv2Y/edit?usp=sharing"",""งบพรบ!DH49"")"),0)</f>
        <v>0</v>
      </c>
      <c r="H49" s="176">
        <f ca="1">IFERROR(__xludf.DUMMYFUNCTION("IMPORTRANGE(""https://docs.google.com/spreadsheets/d/1-uDff_7J0KD5mKrp0Vvzr7lt3OU09vwQwhkpOPPYv2Y/edit?usp=sharing"",""งบพรบ!DJ49"")"),0)</f>
        <v>0</v>
      </c>
      <c r="I49" s="176">
        <f ca="1">IFERROR(__xludf.DUMMYFUNCTION("IMPORTRANGE(""https://docs.google.com/spreadsheets/d/1-uDff_7J0KD5mKrp0Vvzr7lt3OU09vwQwhkpOPPYv2Y/edit?usp=sharing"",""งบพรบ!DK49"")"),0)</f>
        <v>0</v>
      </c>
      <c r="J49" s="176">
        <f t="shared" ca="1" si="23"/>
        <v>0</v>
      </c>
      <c r="K49" s="179">
        <f t="shared" ca="1" si="24"/>
        <v>0</v>
      </c>
      <c r="L49" s="176">
        <f ca="1">IFERROR(__xludf.DUMMYFUNCTION("IMPORTRANGE(""https://docs.google.com/spreadsheets/d/1-uDff_7J0KD5mKrp0Vvzr7lt3OU09vwQwhkpOPPYv2Y/edit?usp=sharing"",""งบพรบ!DL49"")"),0)</f>
        <v>0</v>
      </c>
      <c r="M49" s="87">
        <f t="shared" ca="1" si="25"/>
        <v>0</v>
      </c>
      <c r="N49" s="87">
        <f t="shared" ca="1" si="26"/>
        <v>0</v>
      </c>
      <c r="O49" s="86">
        <f ca="1">IFERROR(__xludf.DUMMYFUNCTION("IMPORTRANGE(""https://docs.google.com/spreadsheets/d/1-uDff_7J0KD5mKrp0Vvzr7lt3OU09vwQwhkpOPPYv2Y/edit?usp=sharing"",""งบพรบ!DM49"")"),0)</f>
        <v>0</v>
      </c>
      <c r="P49" s="86">
        <f t="shared" ca="1" si="27"/>
        <v>0</v>
      </c>
      <c r="Q49" s="87">
        <f t="shared" ca="1" si="28"/>
        <v>0</v>
      </c>
      <c r="R49" s="86">
        <f ca="1">IFERROR(__xludf.DUMMYFUNCTION("IMPORTRANGE(""https://docs.google.com/spreadsheets/d/1lFxr3ctmjFN90yc-xV6jrQ9Ty8BKYVBWnAZ15wcNIJc/edit?usp=sharing"",""อำนาจเจริญ!Q266"")"),53440)</f>
        <v>53440</v>
      </c>
      <c r="S49" s="86">
        <f ca="1">IFERROR(__xludf.DUMMYFUNCTION("IMPORTRANGE(""https://docs.google.com/spreadsheets/d/1lFxr3ctmjFN90yc-xV6jrQ9Ty8BKYVBWnAZ15wcNIJc/edit?usp=sharing"",""อำนาจเจริญ!R266"")"),0)</f>
        <v>0</v>
      </c>
      <c r="T49" s="86">
        <f ca="1">IFERROR(__xludf.DUMMYFUNCTION("IMPORTRANGE(""https://docs.google.com/spreadsheets/d/1lFxr3ctmjFN90yc-xV6jrQ9Ty8BKYVBWnAZ15wcNIJc/edit?usp=sharing"",""อำนาจเจริญ!S266"")"),0)</f>
        <v>0</v>
      </c>
      <c r="U49" s="87">
        <f t="shared" ca="1" si="30"/>
        <v>0</v>
      </c>
      <c r="V49" s="87">
        <f t="shared" ca="1" si="31"/>
        <v>0</v>
      </c>
      <c r="W49" s="93">
        <f ca="1">IFERROR(__xludf.DUMMYFUNCTION("IMPORTRANGE(""https://docs.google.com/spreadsheets/d/1lFxr3ctmjFN90yc-xV6jrQ9Ty8BKYVBWnAZ15wcNIJc/edit?usp=sharing"",""อำนาจเจริญ!I276"")"),24)</f>
        <v>24</v>
      </c>
      <c r="X49" s="93">
        <f ca="1">IFERROR(__xludf.DUMMYFUNCTION("IMPORTRANGE(""https://docs.google.com/spreadsheets/d/1lFxr3ctmjFN90yc-xV6jrQ9Ty8BKYVBWnAZ15wcNIJc/edit?usp=sharing"",""อำนาจเจริญ!J276"")"),0)</f>
        <v>0</v>
      </c>
      <c r="Y49" s="177">
        <f t="shared" ca="1" si="33"/>
        <v>0</v>
      </c>
      <c r="Z49" s="216">
        <v>0</v>
      </c>
      <c r="AA49" s="216">
        <v>0</v>
      </c>
      <c r="AB49" s="219">
        <v>0</v>
      </c>
    </row>
    <row r="50" spans="1:28" ht="19.5" x14ac:dyDescent="0.3">
      <c r="A50" s="172">
        <v>19</v>
      </c>
      <c r="B50" s="173" t="s">
        <v>76</v>
      </c>
      <c r="C50" s="174">
        <f t="shared" ca="1" si="21"/>
        <v>0</v>
      </c>
      <c r="D50" s="175">
        <f t="shared" ca="1" si="38"/>
        <v>0</v>
      </c>
      <c r="E50" s="176">
        <f ca="1">IFERROR(__xludf.DUMMYFUNCTION("IMPORTRANGE(""https://docs.google.com/spreadsheets/d/1-uDff_7J0KD5mKrp0Vvzr7lt3OU09vwQwhkpOPPYv2Y/edit?usp=sharing"",""งบพรบ!DF50"")"),0)</f>
        <v>0</v>
      </c>
      <c r="F50" s="176">
        <f ca="1">IFERROR(__xludf.DUMMYFUNCTION("IMPORTRANGE(""https://docs.google.com/spreadsheets/d/1-uDff_7J0KD5mKrp0Vvzr7lt3OU09vwQwhkpOPPYv2Y/edit?usp=sharing"",""งบพรบ!DG50"")"),0)</f>
        <v>0</v>
      </c>
      <c r="G50" s="176">
        <f ca="1">IFERROR(__xludf.DUMMYFUNCTION("IMPORTRANGE(""https://docs.google.com/spreadsheets/d/1-uDff_7J0KD5mKrp0Vvzr7lt3OU09vwQwhkpOPPYv2Y/edit?usp=sharing"",""งบพรบ!DH50"")"),0)</f>
        <v>0</v>
      </c>
      <c r="H50" s="176">
        <f ca="1">IFERROR(__xludf.DUMMYFUNCTION("IMPORTRANGE(""https://docs.google.com/spreadsheets/d/1-uDff_7J0KD5mKrp0Vvzr7lt3OU09vwQwhkpOPPYv2Y/edit?usp=sharing"",""งบพรบ!DJ50"")"),0)</f>
        <v>0</v>
      </c>
      <c r="I50" s="176">
        <f ca="1">IFERROR(__xludf.DUMMYFUNCTION("IMPORTRANGE(""https://docs.google.com/spreadsheets/d/1-uDff_7J0KD5mKrp0Vvzr7lt3OU09vwQwhkpOPPYv2Y/edit?usp=sharing"",""งบพรบ!DK50"")"),0)</f>
        <v>0</v>
      </c>
      <c r="J50" s="176">
        <f t="shared" ca="1" si="23"/>
        <v>0</v>
      </c>
      <c r="K50" s="179">
        <f t="shared" ca="1" si="24"/>
        <v>0</v>
      </c>
      <c r="L50" s="176">
        <f ca="1">IFERROR(__xludf.DUMMYFUNCTION("IMPORTRANGE(""https://docs.google.com/spreadsheets/d/1-uDff_7J0KD5mKrp0Vvzr7lt3OU09vwQwhkpOPPYv2Y/edit?usp=sharing"",""งบพรบ!DL50"")"),0)</f>
        <v>0</v>
      </c>
      <c r="M50" s="87">
        <f t="shared" ca="1" si="25"/>
        <v>0</v>
      </c>
      <c r="N50" s="87">
        <f t="shared" ca="1" si="26"/>
        <v>0</v>
      </c>
      <c r="O50" s="86">
        <f ca="1">IFERROR(__xludf.DUMMYFUNCTION("IMPORTRANGE(""https://docs.google.com/spreadsheets/d/1-uDff_7J0KD5mKrp0Vvzr7lt3OU09vwQwhkpOPPYv2Y/edit?usp=sharing"",""งบพรบ!DM50"")"),0)</f>
        <v>0</v>
      </c>
      <c r="P50" s="86">
        <f t="shared" ca="1" si="27"/>
        <v>0</v>
      </c>
      <c r="Q50" s="87">
        <f t="shared" ca="1" si="28"/>
        <v>0</v>
      </c>
      <c r="R50" s="86">
        <f ca="1">IFERROR(__xludf.DUMMYFUNCTION("IMPORTRANGE(""https://docs.google.com/spreadsheets/d/1gF7RJpRnL-1oyjyeWxs5SFWEH7y8ahOZsQlyp2A2e-A/edit?usp=sharing"",""อุดรธานี!Q266"")"),50660)</f>
        <v>50660</v>
      </c>
      <c r="S50" s="86">
        <f ca="1">IFERROR(__xludf.DUMMYFUNCTION("IMPORTRANGE(""https://docs.google.com/spreadsheets/d/1gF7RJpRnL-1oyjyeWxs5SFWEH7y8ahOZsQlyp2A2e-A/edit?usp=sharing"",""อุดรธานี!R266"")"),0)</f>
        <v>0</v>
      </c>
      <c r="T50" s="86">
        <f ca="1">IFERROR(__xludf.DUMMYFUNCTION("IMPORTRANGE(""https://docs.google.com/spreadsheets/d/1gF7RJpRnL-1oyjyeWxs5SFWEH7y8ahOZsQlyp2A2e-A/edit?usp=sharing"",""อุดรธานี!S266"")"),0)</f>
        <v>0</v>
      </c>
      <c r="U50" s="87">
        <f t="shared" ca="1" si="30"/>
        <v>0</v>
      </c>
      <c r="V50" s="87">
        <f t="shared" ca="1" si="31"/>
        <v>0</v>
      </c>
      <c r="W50" s="93">
        <f ca="1">IFERROR(__xludf.DUMMYFUNCTION("IMPORTRANGE(""https://docs.google.com/spreadsheets/d/1gF7RJpRnL-1oyjyeWxs5SFWEH7y8ahOZsQlyp2A2e-A/edit?usp=sharing"",""อุดรธานี!I276"")"),22)</f>
        <v>22</v>
      </c>
      <c r="X50" s="93">
        <f ca="1">IFERROR(__xludf.DUMMYFUNCTION("IMPORTRANGE(""https://docs.google.com/spreadsheets/d/1gF7RJpRnL-1oyjyeWxs5SFWEH7y8ahOZsQlyp2A2e-A/edit?usp=sharing"",""อุดรธานี!J276"")"),0)</f>
        <v>0</v>
      </c>
      <c r="Y50" s="177">
        <f t="shared" ca="1" si="33"/>
        <v>0</v>
      </c>
      <c r="Z50" s="216">
        <v>0</v>
      </c>
      <c r="AA50" s="216">
        <v>0</v>
      </c>
      <c r="AB50" s="219">
        <v>0</v>
      </c>
    </row>
    <row r="51" spans="1:28" ht="19.5" x14ac:dyDescent="0.3">
      <c r="A51" s="187">
        <v>20</v>
      </c>
      <c r="B51" s="188" t="s">
        <v>77</v>
      </c>
      <c r="C51" s="189">
        <f t="shared" ca="1" si="21"/>
        <v>0</v>
      </c>
      <c r="D51" s="190">
        <f t="shared" ca="1" si="38"/>
        <v>0</v>
      </c>
      <c r="E51" s="191">
        <f ca="1">IFERROR(__xludf.DUMMYFUNCTION("IMPORTRANGE(""https://docs.google.com/spreadsheets/d/1-uDff_7J0KD5mKrp0Vvzr7lt3OU09vwQwhkpOPPYv2Y/edit?usp=sharing"",""งบพรบ!DF51"")"),0)</f>
        <v>0</v>
      </c>
      <c r="F51" s="191">
        <f ca="1">IFERROR(__xludf.DUMMYFUNCTION("IMPORTRANGE(""https://docs.google.com/spreadsheets/d/1-uDff_7J0KD5mKrp0Vvzr7lt3OU09vwQwhkpOPPYv2Y/edit?usp=sharing"",""งบพรบ!DG51"")"),0)</f>
        <v>0</v>
      </c>
      <c r="G51" s="191">
        <f ca="1">IFERROR(__xludf.DUMMYFUNCTION("IMPORTRANGE(""https://docs.google.com/spreadsheets/d/1-uDff_7J0KD5mKrp0Vvzr7lt3OU09vwQwhkpOPPYv2Y/edit?usp=sharing"",""งบพรบ!DH51"")"),0)</f>
        <v>0</v>
      </c>
      <c r="H51" s="191">
        <f ca="1">IFERROR(__xludf.DUMMYFUNCTION("IMPORTRANGE(""https://docs.google.com/spreadsheets/d/1-uDff_7J0KD5mKrp0Vvzr7lt3OU09vwQwhkpOPPYv2Y/edit?usp=sharing"",""งบพรบ!DJ51"")"),0)</f>
        <v>0</v>
      </c>
      <c r="I51" s="191">
        <f ca="1">IFERROR(__xludf.DUMMYFUNCTION("IMPORTRANGE(""https://docs.google.com/spreadsheets/d/1-uDff_7J0KD5mKrp0Vvzr7lt3OU09vwQwhkpOPPYv2Y/edit?usp=sharing"",""งบพรบ!DK51"")"),0)</f>
        <v>0</v>
      </c>
      <c r="J51" s="191">
        <f t="shared" ca="1" si="23"/>
        <v>0</v>
      </c>
      <c r="K51" s="192">
        <f t="shared" ca="1" si="24"/>
        <v>0</v>
      </c>
      <c r="L51" s="191">
        <f ca="1">IFERROR(__xludf.DUMMYFUNCTION("IMPORTRANGE(""https://docs.google.com/spreadsheets/d/1-uDff_7J0KD5mKrp0Vvzr7lt3OU09vwQwhkpOPPYv2Y/edit?usp=sharing"",""งบพรบ!DL51"")"),0)</f>
        <v>0</v>
      </c>
      <c r="M51" s="118">
        <f t="shared" ca="1" si="25"/>
        <v>0</v>
      </c>
      <c r="N51" s="118">
        <f t="shared" ca="1" si="26"/>
        <v>0</v>
      </c>
      <c r="O51" s="117">
        <f ca="1">IFERROR(__xludf.DUMMYFUNCTION("IMPORTRANGE(""https://docs.google.com/spreadsheets/d/1-uDff_7J0KD5mKrp0Vvzr7lt3OU09vwQwhkpOPPYv2Y/edit?usp=sharing"",""งบพรบ!DM51"")"),0)</f>
        <v>0</v>
      </c>
      <c r="P51" s="117">
        <f t="shared" ca="1" si="27"/>
        <v>0</v>
      </c>
      <c r="Q51" s="118">
        <f t="shared" ca="1" si="28"/>
        <v>0</v>
      </c>
      <c r="R51" s="117">
        <f ca="1">IFERROR(__xludf.DUMMYFUNCTION("IMPORTRANGE(""https://docs.google.com/spreadsheets/d/1kfLP0j3INXRa8bTDpcEmoWewMBV61jlFlfzczfjWIgc/edit?usp=sharing"",""อุบลราชธานี!Q266"")"),50660)</f>
        <v>50660</v>
      </c>
      <c r="S51" s="117">
        <f ca="1">IFERROR(__xludf.DUMMYFUNCTION("IMPORTRANGE(""https://docs.google.com/spreadsheets/d/1kfLP0j3INXRa8bTDpcEmoWewMBV61jlFlfzczfjWIgc/edit?usp=sharing"",""อุบลราชธานี!R266"")"),0)</f>
        <v>0</v>
      </c>
      <c r="T51" s="117">
        <f ca="1">IFERROR(__xludf.DUMMYFUNCTION("IMPORTRANGE(""https://docs.google.com/spreadsheets/d/1kfLP0j3INXRa8bTDpcEmoWewMBV61jlFlfzczfjWIgc/edit?usp=sharing"",""อุบลราชธานี!S266"")"),0)</f>
        <v>0</v>
      </c>
      <c r="U51" s="118">
        <f t="shared" ca="1" si="30"/>
        <v>0</v>
      </c>
      <c r="V51" s="118">
        <f t="shared" ca="1" si="31"/>
        <v>0</v>
      </c>
      <c r="W51" s="104">
        <f ca="1">IFERROR(__xludf.DUMMYFUNCTION("IMPORTRANGE(""https://docs.google.com/spreadsheets/d/1kfLP0j3INXRa8bTDpcEmoWewMBV61jlFlfzczfjWIgc/edit?usp=sharing"",""อุบลราชธานี!I276"")"),22)</f>
        <v>22</v>
      </c>
      <c r="X51" s="104">
        <f ca="1">IFERROR(__xludf.DUMMYFUNCTION("IMPORTRANGE(""https://docs.google.com/spreadsheets/d/1kfLP0j3INXRa8bTDpcEmoWewMBV61jlFlfzczfjWIgc/edit?usp=sharing"",""อุบลราชธานี!J276"")"),0)</f>
        <v>0</v>
      </c>
      <c r="Y51" s="193">
        <f t="shared" ca="1" si="33"/>
        <v>0</v>
      </c>
      <c r="Z51" s="217">
        <v>0</v>
      </c>
      <c r="AA51" s="217">
        <v>0</v>
      </c>
      <c r="AB51" s="220">
        <v>0</v>
      </c>
    </row>
    <row r="52" spans="1:28" ht="19.5" x14ac:dyDescent="0.3">
      <c r="A52" s="637" t="s">
        <v>78</v>
      </c>
      <c r="B52" s="583"/>
      <c r="C52" s="194">
        <f t="shared" ca="1" si="21"/>
        <v>0</v>
      </c>
      <c r="D52" s="194">
        <f t="shared" ref="D52:I52" ca="1" si="39">SUM(D53:D73)</f>
        <v>0</v>
      </c>
      <c r="E52" s="194">
        <f t="shared" ca="1" si="39"/>
        <v>0</v>
      </c>
      <c r="F52" s="194">
        <f t="shared" ca="1" si="39"/>
        <v>0</v>
      </c>
      <c r="G52" s="194">
        <f t="shared" ca="1" si="39"/>
        <v>0</v>
      </c>
      <c r="H52" s="194">
        <f t="shared" ca="1" si="39"/>
        <v>0</v>
      </c>
      <c r="I52" s="194">
        <f t="shared" ca="1" si="39"/>
        <v>0</v>
      </c>
      <c r="J52" s="194">
        <f t="shared" ca="1" si="23"/>
        <v>0</v>
      </c>
      <c r="K52" s="195">
        <f t="shared" ca="1" si="24"/>
        <v>0</v>
      </c>
      <c r="L52" s="194">
        <f ca="1">SUM(L53:L73)</f>
        <v>0</v>
      </c>
      <c r="M52" s="120">
        <f t="shared" ca="1" si="25"/>
        <v>0</v>
      </c>
      <c r="N52" s="120">
        <f t="shared" ca="1" si="26"/>
        <v>0</v>
      </c>
      <c r="O52" s="119">
        <f ca="1">SUM(O53:O73)</f>
        <v>0</v>
      </c>
      <c r="P52" s="119">
        <f t="shared" ca="1" si="27"/>
        <v>0</v>
      </c>
      <c r="Q52" s="120">
        <f t="shared" ca="1" si="28"/>
        <v>0</v>
      </c>
      <c r="R52" s="119">
        <f t="shared" ref="R52:T52" ca="1" si="40">SUM(R53:R73)</f>
        <v>1041620</v>
      </c>
      <c r="S52" s="119">
        <f t="shared" ca="1" si="40"/>
        <v>0</v>
      </c>
      <c r="T52" s="119">
        <f t="shared" ca="1" si="40"/>
        <v>0</v>
      </c>
      <c r="U52" s="120">
        <f t="shared" ca="1" si="30"/>
        <v>0</v>
      </c>
      <c r="V52" s="120">
        <f t="shared" ca="1" si="31"/>
        <v>0</v>
      </c>
      <c r="W52" s="71">
        <f t="shared" ref="W52:X52" ca="1" si="41">SUM(W53:W73)</f>
        <v>446</v>
      </c>
      <c r="X52" s="71">
        <f t="shared" ca="1" si="41"/>
        <v>0</v>
      </c>
      <c r="Y52" s="194">
        <f t="shared" ca="1" si="33"/>
        <v>0</v>
      </c>
      <c r="Z52" s="218">
        <v>0</v>
      </c>
      <c r="AA52" s="218">
        <v>0</v>
      </c>
      <c r="AB52" s="221">
        <v>0</v>
      </c>
    </row>
    <row r="53" spans="1:28" ht="19.5" x14ac:dyDescent="0.3">
      <c r="A53" s="172">
        <v>1</v>
      </c>
      <c r="B53" s="173" t="s">
        <v>79</v>
      </c>
      <c r="C53" s="174">
        <f t="shared" ca="1" si="21"/>
        <v>0</v>
      </c>
      <c r="D53" s="175">
        <f t="shared" ref="D53:D73" ca="1" si="42">+E53+F53</f>
        <v>0</v>
      </c>
      <c r="E53" s="176">
        <f ca="1">IFERROR(__xludf.DUMMYFUNCTION("IMPORTRANGE(""https://docs.google.com/spreadsheets/d/1-uDff_7J0KD5mKrp0Vvzr7lt3OU09vwQwhkpOPPYv2Y/edit?usp=sharing"",""งบพรบ!DF53"")"),0)</f>
        <v>0</v>
      </c>
      <c r="F53" s="176">
        <f ca="1">IFERROR(__xludf.DUMMYFUNCTION("IMPORTRANGE(""https://docs.google.com/spreadsheets/d/1-uDff_7J0KD5mKrp0Vvzr7lt3OU09vwQwhkpOPPYv2Y/edit?usp=sharing"",""งบพรบ!DG53"")"),0)</f>
        <v>0</v>
      </c>
      <c r="G53" s="177">
        <f ca="1">IFERROR(__xludf.DUMMYFUNCTION("IMPORTRANGE(""https://docs.google.com/spreadsheets/d/1-uDff_7J0KD5mKrp0Vvzr7lt3OU09vwQwhkpOPPYv2Y/edit?usp=sharing"",""งบพรบ!DH53"")"),0)</f>
        <v>0</v>
      </c>
      <c r="H53" s="177">
        <f ca="1">IFERROR(__xludf.DUMMYFUNCTION("IMPORTRANGE(""https://docs.google.com/spreadsheets/d/1-uDff_7J0KD5mKrp0Vvzr7lt3OU09vwQwhkpOPPYv2Y/edit?usp=sharing"",""งบพรบ!DJ53"")"),0)</f>
        <v>0</v>
      </c>
      <c r="I53" s="177">
        <f ca="1">IFERROR(__xludf.DUMMYFUNCTION("IMPORTRANGE(""https://docs.google.com/spreadsheets/d/1-uDff_7J0KD5mKrp0Vvzr7lt3OU09vwQwhkpOPPYv2Y/edit?usp=sharing"",""งบพรบ!DK53"")"),0)</f>
        <v>0</v>
      </c>
      <c r="J53" s="177">
        <f t="shared" ca="1" si="23"/>
        <v>0</v>
      </c>
      <c r="K53" s="178">
        <f t="shared" ca="1" si="24"/>
        <v>0</v>
      </c>
      <c r="L53" s="177">
        <f ca="1">IFERROR(__xludf.DUMMYFUNCTION("IMPORTRANGE(""https://docs.google.com/spreadsheets/d/1-uDff_7J0KD5mKrp0Vvzr7lt3OU09vwQwhkpOPPYv2Y/edit?usp=sharing"",""งบพรบ!DL53"")"),0)</f>
        <v>0</v>
      </c>
      <c r="M53" s="87">
        <f t="shared" ca="1" si="25"/>
        <v>0</v>
      </c>
      <c r="N53" s="87">
        <f t="shared" ca="1" si="26"/>
        <v>0</v>
      </c>
      <c r="O53" s="86">
        <f ca="1">IFERROR(__xludf.DUMMYFUNCTION("IMPORTRANGE(""https://docs.google.com/spreadsheets/d/1-uDff_7J0KD5mKrp0Vvzr7lt3OU09vwQwhkpOPPYv2Y/edit?usp=sharing"",""งบพรบ!DM53"")"),0)</f>
        <v>0</v>
      </c>
      <c r="P53" s="86">
        <f t="shared" ca="1" si="27"/>
        <v>0</v>
      </c>
      <c r="Q53" s="87">
        <f t="shared" ca="1" si="28"/>
        <v>0</v>
      </c>
      <c r="R53" s="86">
        <f ca="1">IFERROR(__xludf.DUMMYFUNCTION("IMPORTRANGE(""https://docs.google.com/spreadsheets/d/13wPX838HrBrQMCywv1BsuMkt4PEKTChp52zj44s2izQ/edit?usp=sharing"",""กาญจนบุรี!Q266"")"),53440)</f>
        <v>53440</v>
      </c>
      <c r="S53" s="86">
        <f ca="1">IFERROR(__xludf.DUMMYFUNCTION("IMPORTRANGE(""https://docs.google.com/spreadsheets/d/13wPX838HrBrQMCywv1BsuMkt4PEKTChp52zj44s2izQ/edit?usp=sharing"",""กาญจนบุรี!R266"")"),0)</f>
        <v>0</v>
      </c>
      <c r="T53" s="86">
        <f ca="1">IFERROR(__xludf.DUMMYFUNCTION("IMPORTRANGE(""https://docs.google.com/spreadsheets/d/13wPX838HrBrQMCywv1BsuMkt4PEKTChp52zj44s2izQ/edit?usp=sharing"",""กาญจนบุรี!S266"")"),0)</f>
        <v>0</v>
      </c>
      <c r="U53" s="87">
        <f t="shared" ca="1" si="30"/>
        <v>0</v>
      </c>
      <c r="V53" s="87">
        <f t="shared" ca="1" si="31"/>
        <v>0</v>
      </c>
      <c r="W53" s="81">
        <f ca="1">IFERROR(__xludf.DUMMYFUNCTION("IMPORTRANGE(""https://docs.google.com/spreadsheets/d/13wPX838HrBrQMCywv1BsuMkt4PEKTChp52zj44s2izQ/edit?usp=sharing"",""กาญจนบุรี!I276"")"),24)</f>
        <v>24</v>
      </c>
      <c r="X53" s="81">
        <f ca="1">IFERROR(__xludf.DUMMYFUNCTION("IMPORTRANGE(""https://docs.google.com/spreadsheets/d/13wPX838HrBrQMCywv1BsuMkt4PEKTChp52zj44s2izQ/edit?usp=sharing"",""กาญจนบุรี!J276"")"),0)</f>
        <v>0</v>
      </c>
      <c r="Y53" s="177">
        <f t="shared" ca="1" si="33"/>
        <v>0</v>
      </c>
      <c r="Z53" s="215">
        <v>0</v>
      </c>
      <c r="AA53" s="215">
        <v>0</v>
      </c>
      <c r="AB53" s="219">
        <v>0</v>
      </c>
    </row>
    <row r="54" spans="1:28" ht="19.5" x14ac:dyDescent="0.3">
      <c r="A54" s="172">
        <v>2</v>
      </c>
      <c r="B54" s="173" t="s">
        <v>80</v>
      </c>
      <c r="C54" s="174">
        <f t="shared" ca="1" si="21"/>
        <v>0</v>
      </c>
      <c r="D54" s="175">
        <f t="shared" ca="1" si="42"/>
        <v>0</v>
      </c>
      <c r="E54" s="176">
        <f ca="1">IFERROR(__xludf.DUMMYFUNCTION("IMPORTRANGE(""https://docs.google.com/spreadsheets/d/1-uDff_7J0KD5mKrp0Vvzr7lt3OU09vwQwhkpOPPYv2Y/edit?usp=sharing"",""งบพรบ!DF54"")"),0)</f>
        <v>0</v>
      </c>
      <c r="F54" s="176">
        <f ca="1">IFERROR(__xludf.DUMMYFUNCTION("IMPORTRANGE(""https://docs.google.com/spreadsheets/d/1-uDff_7J0KD5mKrp0Vvzr7lt3OU09vwQwhkpOPPYv2Y/edit?usp=sharing"",""งบพรบ!DG54"")"),0)</f>
        <v>0</v>
      </c>
      <c r="G54" s="176">
        <f ca="1">IFERROR(__xludf.DUMMYFUNCTION("IMPORTRANGE(""https://docs.google.com/spreadsheets/d/1-uDff_7J0KD5mKrp0Vvzr7lt3OU09vwQwhkpOPPYv2Y/edit?usp=sharing"",""งบพรบ!DH54"")"),0)</f>
        <v>0</v>
      </c>
      <c r="H54" s="176">
        <f ca="1">IFERROR(__xludf.DUMMYFUNCTION("IMPORTRANGE(""https://docs.google.com/spreadsheets/d/1-uDff_7J0KD5mKrp0Vvzr7lt3OU09vwQwhkpOPPYv2Y/edit?usp=sharing"",""งบพรบ!DJ54"")"),0)</f>
        <v>0</v>
      </c>
      <c r="I54" s="176">
        <f ca="1">IFERROR(__xludf.DUMMYFUNCTION("IMPORTRANGE(""https://docs.google.com/spreadsheets/d/1-uDff_7J0KD5mKrp0Vvzr7lt3OU09vwQwhkpOPPYv2Y/edit?usp=sharing"",""งบพรบ!DK54"")"),0)</f>
        <v>0</v>
      </c>
      <c r="J54" s="176">
        <f t="shared" ca="1" si="23"/>
        <v>0</v>
      </c>
      <c r="K54" s="179">
        <f t="shared" ca="1" si="24"/>
        <v>0</v>
      </c>
      <c r="L54" s="176">
        <f ca="1">IFERROR(__xludf.DUMMYFUNCTION("IMPORTRANGE(""https://docs.google.com/spreadsheets/d/1-uDff_7J0KD5mKrp0Vvzr7lt3OU09vwQwhkpOPPYv2Y/edit?usp=sharing"",""งบพรบ!DL54"")"),0)</f>
        <v>0</v>
      </c>
      <c r="M54" s="87">
        <f t="shared" ca="1" si="25"/>
        <v>0</v>
      </c>
      <c r="N54" s="87">
        <f t="shared" ca="1" si="26"/>
        <v>0</v>
      </c>
      <c r="O54" s="86">
        <f ca="1">IFERROR(__xludf.DUMMYFUNCTION("IMPORTRANGE(""https://docs.google.com/spreadsheets/d/1-uDff_7J0KD5mKrp0Vvzr7lt3OU09vwQwhkpOPPYv2Y/edit?usp=sharing"",""งบพรบ!DM54"")"),0)</f>
        <v>0</v>
      </c>
      <c r="P54" s="86">
        <f t="shared" ca="1" si="27"/>
        <v>0</v>
      </c>
      <c r="Q54" s="87">
        <f t="shared" ca="1" si="28"/>
        <v>0</v>
      </c>
      <c r="R54" s="86">
        <f ca="1">IFERROR(__xludf.DUMMYFUNCTION("IMPORTRANGE(""https://docs.google.com/spreadsheets/d/1ddFKvqj1W1NEiWytbGlB1zMx_ykJDVtmfEQ-6-lIUBA/edit?usp=sharing"",""จันทบุรี!Q266"")"),50660)</f>
        <v>50660</v>
      </c>
      <c r="S54" s="86">
        <f ca="1">IFERROR(__xludf.DUMMYFUNCTION("IMPORTRANGE(""https://docs.google.com/spreadsheets/d/1ddFKvqj1W1NEiWytbGlB1zMx_ykJDVtmfEQ-6-lIUBA/edit?usp=sharing"",""จันทบุรี!R266"")"),0)</f>
        <v>0</v>
      </c>
      <c r="T54" s="86">
        <f ca="1">IFERROR(__xludf.DUMMYFUNCTION("IMPORTRANGE(""https://docs.google.com/spreadsheets/d/1ddFKvqj1W1NEiWytbGlB1zMx_ykJDVtmfEQ-6-lIUBA/edit?usp=sharing"",""จันทบุรี!S266"")"),0)</f>
        <v>0</v>
      </c>
      <c r="U54" s="87">
        <f t="shared" ca="1" si="30"/>
        <v>0</v>
      </c>
      <c r="V54" s="87">
        <f t="shared" ca="1" si="31"/>
        <v>0</v>
      </c>
      <c r="W54" s="93">
        <f ca="1">IFERROR(__xludf.DUMMYFUNCTION("IMPORTRANGE(""https://docs.google.com/spreadsheets/d/1ddFKvqj1W1NEiWytbGlB1zMx_ykJDVtmfEQ-6-lIUBA/edit?usp=sharing"",""จันทบุรี!I276"")"),22)</f>
        <v>22</v>
      </c>
      <c r="X54" s="93">
        <f ca="1">IFERROR(__xludf.DUMMYFUNCTION("IMPORTRANGE(""https://docs.google.com/spreadsheets/d/1ddFKvqj1W1NEiWytbGlB1zMx_ykJDVtmfEQ-6-lIUBA/edit?usp=sharing"",""จันทบุรี!J276"")"),0)</f>
        <v>0</v>
      </c>
      <c r="Y54" s="177">
        <f t="shared" ca="1" si="33"/>
        <v>0</v>
      </c>
      <c r="Z54" s="216">
        <v>0</v>
      </c>
      <c r="AA54" s="216">
        <v>0</v>
      </c>
      <c r="AB54" s="219">
        <v>0</v>
      </c>
    </row>
    <row r="55" spans="1:28" ht="19.5" x14ac:dyDescent="0.3">
      <c r="A55" s="172">
        <v>3</v>
      </c>
      <c r="B55" s="173" t="s">
        <v>81</v>
      </c>
      <c r="C55" s="174">
        <f t="shared" ca="1" si="21"/>
        <v>0</v>
      </c>
      <c r="D55" s="175">
        <f t="shared" ca="1" si="42"/>
        <v>0</v>
      </c>
      <c r="E55" s="176">
        <f ca="1">IFERROR(__xludf.DUMMYFUNCTION("IMPORTRANGE(""https://docs.google.com/spreadsheets/d/1-uDff_7J0KD5mKrp0Vvzr7lt3OU09vwQwhkpOPPYv2Y/edit?usp=sharing"",""งบพรบ!DF55"")"),0)</f>
        <v>0</v>
      </c>
      <c r="F55" s="176">
        <f ca="1">IFERROR(__xludf.DUMMYFUNCTION("IMPORTRANGE(""https://docs.google.com/spreadsheets/d/1-uDff_7J0KD5mKrp0Vvzr7lt3OU09vwQwhkpOPPYv2Y/edit?usp=sharing"",""งบพรบ!DG55"")"),0)</f>
        <v>0</v>
      </c>
      <c r="G55" s="176">
        <f ca="1">IFERROR(__xludf.DUMMYFUNCTION("IMPORTRANGE(""https://docs.google.com/spreadsheets/d/1-uDff_7J0KD5mKrp0Vvzr7lt3OU09vwQwhkpOPPYv2Y/edit?usp=sharing"",""งบพรบ!DH55"")"),0)</f>
        <v>0</v>
      </c>
      <c r="H55" s="176">
        <f ca="1">IFERROR(__xludf.DUMMYFUNCTION("IMPORTRANGE(""https://docs.google.com/spreadsheets/d/1-uDff_7J0KD5mKrp0Vvzr7lt3OU09vwQwhkpOPPYv2Y/edit?usp=sharing"",""งบพรบ!DJ55"")"),0)</f>
        <v>0</v>
      </c>
      <c r="I55" s="176">
        <f ca="1">IFERROR(__xludf.DUMMYFUNCTION("IMPORTRANGE(""https://docs.google.com/spreadsheets/d/1-uDff_7J0KD5mKrp0Vvzr7lt3OU09vwQwhkpOPPYv2Y/edit?usp=sharing"",""งบพรบ!DK55"")"),0)</f>
        <v>0</v>
      </c>
      <c r="J55" s="176">
        <f t="shared" ca="1" si="23"/>
        <v>0</v>
      </c>
      <c r="K55" s="179">
        <f t="shared" ca="1" si="24"/>
        <v>0</v>
      </c>
      <c r="L55" s="176">
        <f ca="1">IFERROR(__xludf.DUMMYFUNCTION("IMPORTRANGE(""https://docs.google.com/spreadsheets/d/1-uDff_7J0KD5mKrp0Vvzr7lt3OU09vwQwhkpOPPYv2Y/edit?usp=sharing"",""งบพรบ!DL55"")"),0)</f>
        <v>0</v>
      </c>
      <c r="M55" s="87">
        <f t="shared" ca="1" si="25"/>
        <v>0</v>
      </c>
      <c r="N55" s="87">
        <f t="shared" ca="1" si="26"/>
        <v>0</v>
      </c>
      <c r="O55" s="86">
        <f ca="1">IFERROR(__xludf.DUMMYFUNCTION("IMPORTRANGE(""https://docs.google.com/spreadsheets/d/1-uDff_7J0KD5mKrp0Vvzr7lt3OU09vwQwhkpOPPYv2Y/edit?usp=sharing"",""งบพรบ!DM55"")"),0)</f>
        <v>0</v>
      </c>
      <c r="P55" s="86">
        <f t="shared" ca="1" si="27"/>
        <v>0</v>
      </c>
      <c r="Q55" s="87">
        <f t="shared" ca="1" si="28"/>
        <v>0</v>
      </c>
      <c r="R55" s="86">
        <f ca="1">IFERROR(__xludf.DUMMYFUNCTION("IMPORTRANGE(""https://docs.google.com/spreadsheets/d/1T1PQvRODqOBZk8BRht_U031fIS1beLA0Ub2CEytj2q0/edit?usp=sharing"",""ฉะเชิงเทรา!Q266"")"),50660)</f>
        <v>50660</v>
      </c>
      <c r="S55" s="86">
        <f ca="1">IFERROR(__xludf.DUMMYFUNCTION("IMPORTRANGE(""https://docs.google.com/spreadsheets/d/1T1PQvRODqOBZk8BRht_U031fIS1beLA0Ub2CEytj2q0/edit?usp=sharing"",""ฉะเชิงเทรา!R266"")"),0)</f>
        <v>0</v>
      </c>
      <c r="T55" s="86">
        <f ca="1">IFERROR(__xludf.DUMMYFUNCTION("IMPORTRANGE(""https://docs.google.com/spreadsheets/d/1T1PQvRODqOBZk8BRht_U031fIS1beLA0Ub2CEytj2q0/edit?usp=sharing"",""ฉะเชิงเทรา!S266"")"),0)</f>
        <v>0</v>
      </c>
      <c r="U55" s="87">
        <f t="shared" ca="1" si="30"/>
        <v>0</v>
      </c>
      <c r="V55" s="87">
        <f t="shared" ca="1" si="31"/>
        <v>0</v>
      </c>
      <c r="W55" s="93">
        <f ca="1">IFERROR(__xludf.DUMMYFUNCTION("IMPORTRANGE(""https://docs.google.com/spreadsheets/d/1T1PQvRODqOBZk8BRht_U031fIS1beLA0Ub2CEytj2q0/edit?usp=sharing"",""ฉะเชิงเทรา!I276"")"),22)</f>
        <v>22</v>
      </c>
      <c r="X55" s="93">
        <f ca="1">IFERROR(__xludf.DUMMYFUNCTION("IMPORTRANGE(""https://docs.google.com/spreadsheets/d/1T1PQvRODqOBZk8BRht_U031fIS1beLA0Ub2CEytj2q0/edit?usp=sharing"",""ฉะเชิงเทรา!J276"")"),0)</f>
        <v>0</v>
      </c>
      <c r="Y55" s="177">
        <f t="shared" ca="1" si="33"/>
        <v>0</v>
      </c>
      <c r="Z55" s="216">
        <v>0</v>
      </c>
      <c r="AA55" s="216">
        <v>0</v>
      </c>
      <c r="AB55" s="219">
        <v>0</v>
      </c>
    </row>
    <row r="56" spans="1:28" ht="19.5" x14ac:dyDescent="0.3">
      <c r="A56" s="172">
        <v>4</v>
      </c>
      <c r="B56" s="173" t="s">
        <v>82</v>
      </c>
      <c r="C56" s="174">
        <f t="shared" ca="1" si="21"/>
        <v>0</v>
      </c>
      <c r="D56" s="175">
        <f t="shared" ca="1" si="42"/>
        <v>0</v>
      </c>
      <c r="E56" s="176">
        <f ca="1">IFERROR(__xludf.DUMMYFUNCTION("IMPORTRANGE(""https://docs.google.com/spreadsheets/d/1-uDff_7J0KD5mKrp0Vvzr7lt3OU09vwQwhkpOPPYv2Y/edit?usp=sharing"",""งบพรบ!DF56"")"),0)</f>
        <v>0</v>
      </c>
      <c r="F56" s="176">
        <f ca="1">IFERROR(__xludf.DUMMYFUNCTION("IMPORTRANGE(""https://docs.google.com/spreadsheets/d/1-uDff_7J0KD5mKrp0Vvzr7lt3OU09vwQwhkpOPPYv2Y/edit?usp=sharing"",""งบพรบ!DG56"")"),0)</f>
        <v>0</v>
      </c>
      <c r="G56" s="176">
        <f ca="1">IFERROR(__xludf.DUMMYFUNCTION("IMPORTRANGE(""https://docs.google.com/spreadsheets/d/1-uDff_7J0KD5mKrp0Vvzr7lt3OU09vwQwhkpOPPYv2Y/edit?usp=sharing"",""งบพรบ!DH56"")"),0)</f>
        <v>0</v>
      </c>
      <c r="H56" s="176">
        <f ca="1">IFERROR(__xludf.DUMMYFUNCTION("IMPORTRANGE(""https://docs.google.com/spreadsheets/d/1-uDff_7J0KD5mKrp0Vvzr7lt3OU09vwQwhkpOPPYv2Y/edit?usp=sharing"",""งบพรบ!DJ56"")"),0)</f>
        <v>0</v>
      </c>
      <c r="I56" s="176">
        <f ca="1">IFERROR(__xludf.DUMMYFUNCTION("IMPORTRANGE(""https://docs.google.com/spreadsheets/d/1-uDff_7J0KD5mKrp0Vvzr7lt3OU09vwQwhkpOPPYv2Y/edit?usp=sharing"",""งบพรบ!DK56"")"),0)</f>
        <v>0</v>
      </c>
      <c r="J56" s="176">
        <f t="shared" ca="1" si="23"/>
        <v>0</v>
      </c>
      <c r="K56" s="179">
        <f t="shared" ca="1" si="24"/>
        <v>0</v>
      </c>
      <c r="L56" s="176">
        <f ca="1">IFERROR(__xludf.DUMMYFUNCTION("IMPORTRANGE(""https://docs.google.com/spreadsheets/d/1-uDff_7J0KD5mKrp0Vvzr7lt3OU09vwQwhkpOPPYv2Y/edit?usp=sharing"",""งบพรบ!DL56"")"),0)</f>
        <v>0</v>
      </c>
      <c r="M56" s="87">
        <f t="shared" ca="1" si="25"/>
        <v>0</v>
      </c>
      <c r="N56" s="87">
        <f t="shared" ca="1" si="26"/>
        <v>0</v>
      </c>
      <c r="O56" s="86">
        <f ca="1">IFERROR(__xludf.DUMMYFUNCTION("IMPORTRANGE(""https://docs.google.com/spreadsheets/d/1-uDff_7J0KD5mKrp0Vvzr7lt3OU09vwQwhkpOPPYv2Y/edit?usp=sharing"",""งบพรบ!DM56"")"),0)</f>
        <v>0</v>
      </c>
      <c r="P56" s="86">
        <f t="shared" ca="1" si="27"/>
        <v>0</v>
      </c>
      <c r="Q56" s="87">
        <f t="shared" ca="1" si="28"/>
        <v>0</v>
      </c>
      <c r="R56" s="86">
        <f ca="1">IFERROR(__xludf.DUMMYFUNCTION("IMPORTRANGE(""https://docs.google.com/spreadsheets/d/11tr1B-Bhyr79v2bkwVh5h_fR-PStkgjlZtkrZpYurG0/edit?usp=sharing"",""ชลบุรี!Q266"")"),50660)</f>
        <v>50660</v>
      </c>
      <c r="S56" s="86">
        <f ca="1">IFERROR(__xludf.DUMMYFUNCTION("IMPORTRANGE(""https://docs.google.com/spreadsheets/d/11tr1B-Bhyr79v2bkwVh5h_fR-PStkgjlZtkrZpYurG0/edit?usp=sharing"",""ชลบุรี!R266"")"),0)</f>
        <v>0</v>
      </c>
      <c r="T56" s="86">
        <f ca="1">IFERROR(__xludf.DUMMYFUNCTION("IMPORTRANGE(""https://docs.google.com/spreadsheets/d/11tr1B-Bhyr79v2bkwVh5h_fR-PStkgjlZtkrZpYurG0/edit?usp=sharing"",""ชลบุรี!S266"")"),0)</f>
        <v>0</v>
      </c>
      <c r="U56" s="87">
        <f t="shared" ca="1" si="30"/>
        <v>0</v>
      </c>
      <c r="V56" s="87">
        <f t="shared" ca="1" si="31"/>
        <v>0</v>
      </c>
      <c r="W56" s="93">
        <f ca="1">IFERROR(__xludf.DUMMYFUNCTION("IMPORTRANGE(""https://docs.google.com/spreadsheets/d/11tr1B-Bhyr79v2bkwVh5h_fR-PStkgjlZtkrZpYurG0/edit?usp=sharing"",""ชลบุรี!I276"")"),22)</f>
        <v>22</v>
      </c>
      <c r="X56" s="93">
        <f ca="1">IFERROR(__xludf.DUMMYFUNCTION("IMPORTRANGE(""https://docs.google.com/spreadsheets/d/11tr1B-Bhyr79v2bkwVh5h_fR-PStkgjlZtkrZpYurG0/edit?usp=sharing"",""ชลบุรี!J276"")"),0)</f>
        <v>0</v>
      </c>
      <c r="Y56" s="177">
        <f t="shared" ca="1" si="33"/>
        <v>0</v>
      </c>
      <c r="Z56" s="216">
        <v>0</v>
      </c>
      <c r="AA56" s="216">
        <v>0</v>
      </c>
      <c r="AB56" s="219">
        <v>0</v>
      </c>
    </row>
    <row r="57" spans="1:28" ht="19.5" x14ac:dyDescent="0.3">
      <c r="A57" s="172">
        <v>5</v>
      </c>
      <c r="B57" s="173" t="s">
        <v>83</v>
      </c>
      <c r="C57" s="174">
        <f t="shared" ca="1" si="21"/>
        <v>0</v>
      </c>
      <c r="D57" s="175">
        <f t="shared" ca="1" si="42"/>
        <v>0</v>
      </c>
      <c r="E57" s="176">
        <f ca="1">IFERROR(__xludf.DUMMYFUNCTION("IMPORTRANGE(""https://docs.google.com/spreadsheets/d/1-uDff_7J0KD5mKrp0Vvzr7lt3OU09vwQwhkpOPPYv2Y/edit?usp=sharing"",""งบพรบ!DF57"")"),0)</f>
        <v>0</v>
      </c>
      <c r="F57" s="176">
        <f ca="1">IFERROR(__xludf.DUMMYFUNCTION("IMPORTRANGE(""https://docs.google.com/spreadsheets/d/1-uDff_7J0KD5mKrp0Vvzr7lt3OU09vwQwhkpOPPYv2Y/edit?usp=sharing"",""งบพรบ!DG57"")"),0)</f>
        <v>0</v>
      </c>
      <c r="G57" s="176">
        <f ca="1">IFERROR(__xludf.DUMMYFUNCTION("IMPORTRANGE(""https://docs.google.com/spreadsheets/d/1-uDff_7J0KD5mKrp0Vvzr7lt3OU09vwQwhkpOPPYv2Y/edit?usp=sharing"",""งบพรบ!DH57"")"),0)</f>
        <v>0</v>
      </c>
      <c r="H57" s="176">
        <f ca="1">IFERROR(__xludf.DUMMYFUNCTION("IMPORTRANGE(""https://docs.google.com/spreadsheets/d/1-uDff_7J0KD5mKrp0Vvzr7lt3OU09vwQwhkpOPPYv2Y/edit?usp=sharing"",""งบพรบ!DJ57"")"),0)</f>
        <v>0</v>
      </c>
      <c r="I57" s="176">
        <f ca="1">IFERROR(__xludf.DUMMYFUNCTION("IMPORTRANGE(""https://docs.google.com/spreadsheets/d/1-uDff_7J0KD5mKrp0Vvzr7lt3OU09vwQwhkpOPPYv2Y/edit?usp=sharing"",""งบพรบ!DK57"")"),0)</f>
        <v>0</v>
      </c>
      <c r="J57" s="176">
        <f t="shared" ca="1" si="23"/>
        <v>0</v>
      </c>
      <c r="K57" s="179">
        <f t="shared" ca="1" si="24"/>
        <v>0</v>
      </c>
      <c r="L57" s="176">
        <f ca="1">IFERROR(__xludf.DUMMYFUNCTION("IMPORTRANGE(""https://docs.google.com/spreadsheets/d/1-uDff_7J0KD5mKrp0Vvzr7lt3OU09vwQwhkpOPPYv2Y/edit?usp=sharing"",""งบพรบ!DL57"")"),0)</f>
        <v>0</v>
      </c>
      <c r="M57" s="87">
        <f t="shared" ca="1" si="25"/>
        <v>0</v>
      </c>
      <c r="N57" s="87">
        <f t="shared" ca="1" si="26"/>
        <v>0</v>
      </c>
      <c r="O57" s="86">
        <f ca="1">IFERROR(__xludf.DUMMYFUNCTION("IMPORTRANGE(""https://docs.google.com/spreadsheets/d/1-uDff_7J0KD5mKrp0Vvzr7lt3OU09vwQwhkpOPPYv2Y/edit?usp=sharing"",""งบพรบ!DM57"")"),0)</f>
        <v>0</v>
      </c>
      <c r="P57" s="86">
        <f t="shared" ca="1" si="27"/>
        <v>0</v>
      </c>
      <c r="Q57" s="87">
        <f t="shared" ca="1" si="28"/>
        <v>0</v>
      </c>
      <c r="R57" s="86">
        <f ca="1">IFERROR(__xludf.DUMMYFUNCTION("IMPORTRANGE(""https://docs.google.com/spreadsheets/d/1hh-FVnSX0vozXhGluamEcS54Dw9_zqW0N7qJUWgJ0Sw/edit?usp=sharing"",""ชัยนาท!Q266"")"),50660)</f>
        <v>50660</v>
      </c>
      <c r="S57" s="86">
        <f ca="1">IFERROR(__xludf.DUMMYFUNCTION("IMPORTRANGE(""https://docs.google.com/spreadsheets/d/1hh-FVnSX0vozXhGluamEcS54Dw9_zqW0N7qJUWgJ0Sw/edit?usp=sharing"",""ชัยนาท!R266"")"),0)</f>
        <v>0</v>
      </c>
      <c r="T57" s="86">
        <f ca="1">IFERROR(__xludf.DUMMYFUNCTION("IMPORTRANGE(""https://docs.google.com/spreadsheets/d/1hh-FVnSX0vozXhGluamEcS54Dw9_zqW0N7qJUWgJ0Sw/edit?usp=sharing"",""ชัยนาท!S266"")"),0)</f>
        <v>0</v>
      </c>
      <c r="U57" s="87">
        <f t="shared" ca="1" si="30"/>
        <v>0</v>
      </c>
      <c r="V57" s="87">
        <f t="shared" ca="1" si="31"/>
        <v>0</v>
      </c>
      <c r="W57" s="93">
        <f ca="1">IFERROR(__xludf.DUMMYFUNCTION("IMPORTRANGE(""https://docs.google.com/spreadsheets/d/1hh-FVnSX0vozXhGluamEcS54Dw9_zqW0N7qJUWgJ0Sw/edit?usp=sharing"",""ชัยนาท!I276"")"),22)</f>
        <v>22</v>
      </c>
      <c r="X57" s="93">
        <f ca="1">IFERROR(__xludf.DUMMYFUNCTION("IMPORTRANGE(""https://docs.google.com/spreadsheets/d/1hh-FVnSX0vozXhGluamEcS54Dw9_zqW0N7qJUWgJ0Sw/edit?usp=sharing"",""ชัยนาท!J276"")"),0)</f>
        <v>0</v>
      </c>
      <c r="Y57" s="177">
        <f t="shared" ca="1" si="33"/>
        <v>0</v>
      </c>
      <c r="Z57" s="216">
        <v>0</v>
      </c>
      <c r="AA57" s="216">
        <v>0</v>
      </c>
      <c r="AB57" s="219">
        <v>0</v>
      </c>
    </row>
    <row r="58" spans="1:28" ht="19.5" x14ac:dyDescent="0.3">
      <c r="A58" s="172">
        <v>6</v>
      </c>
      <c r="B58" s="173" t="s">
        <v>84</v>
      </c>
      <c r="C58" s="174">
        <f t="shared" ca="1" si="21"/>
        <v>0</v>
      </c>
      <c r="D58" s="175">
        <f t="shared" ca="1" si="42"/>
        <v>0</v>
      </c>
      <c r="E58" s="176">
        <f ca="1">IFERROR(__xludf.DUMMYFUNCTION("IMPORTRANGE(""https://docs.google.com/spreadsheets/d/1-uDff_7J0KD5mKrp0Vvzr7lt3OU09vwQwhkpOPPYv2Y/edit?usp=sharing"",""งบพรบ!DF58"")"),0)</f>
        <v>0</v>
      </c>
      <c r="F58" s="176">
        <f ca="1">IFERROR(__xludf.DUMMYFUNCTION("IMPORTRANGE(""https://docs.google.com/spreadsheets/d/1-uDff_7J0KD5mKrp0Vvzr7lt3OU09vwQwhkpOPPYv2Y/edit?usp=sharing"",""งบพรบ!DG58"")"),0)</f>
        <v>0</v>
      </c>
      <c r="G58" s="176">
        <f ca="1">IFERROR(__xludf.DUMMYFUNCTION("IMPORTRANGE(""https://docs.google.com/spreadsheets/d/1-uDff_7J0KD5mKrp0Vvzr7lt3OU09vwQwhkpOPPYv2Y/edit?usp=sharing"",""งบพรบ!DH58"")"),0)</f>
        <v>0</v>
      </c>
      <c r="H58" s="176">
        <f ca="1">IFERROR(__xludf.DUMMYFUNCTION("IMPORTRANGE(""https://docs.google.com/spreadsheets/d/1-uDff_7J0KD5mKrp0Vvzr7lt3OU09vwQwhkpOPPYv2Y/edit?usp=sharing"",""งบพรบ!DJ58"")"),0)</f>
        <v>0</v>
      </c>
      <c r="I58" s="176">
        <f ca="1">IFERROR(__xludf.DUMMYFUNCTION("IMPORTRANGE(""https://docs.google.com/spreadsheets/d/1-uDff_7J0KD5mKrp0Vvzr7lt3OU09vwQwhkpOPPYv2Y/edit?usp=sharing"",""งบพรบ!DK58"")"),0)</f>
        <v>0</v>
      </c>
      <c r="J58" s="176">
        <f t="shared" ca="1" si="23"/>
        <v>0</v>
      </c>
      <c r="K58" s="179">
        <f t="shared" ca="1" si="24"/>
        <v>0</v>
      </c>
      <c r="L58" s="176">
        <f ca="1">IFERROR(__xludf.DUMMYFUNCTION("IMPORTRANGE(""https://docs.google.com/spreadsheets/d/1-uDff_7J0KD5mKrp0Vvzr7lt3OU09vwQwhkpOPPYv2Y/edit?usp=sharing"",""งบพรบ!DL58"")"),0)</f>
        <v>0</v>
      </c>
      <c r="M58" s="87">
        <f t="shared" ca="1" si="25"/>
        <v>0</v>
      </c>
      <c r="N58" s="87">
        <f t="shared" ca="1" si="26"/>
        <v>0</v>
      </c>
      <c r="O58" s="86">
        <f ca="1">IFERROR(__xludf.DUMMYFUNCTION("IMPORTRANGE(""https://docs.google.com/spreadsheets/d/1-uDff_7J0KD5mKrp0Vvzr7lt3OU09vwQwhkpOPPYv2Y/edit?usp=sharing"",""งบพรบ!DM58"")"),0)</f>
        <v>0</v>
      </c>
      <c r="P58" s="86">
        <f t="shared" ca="1" si="27"/>
        <v>0</v>
      </c>
      <c r="Q58" s="87">
        <f t="shared" ca="1" si="28"/>
        <v>0</v>
      </c>
      <c r="R58" s="86">
        <f ca="1">IFERROR(__xludf.DUMMYFUNCTION("IMPORTRANGE(""https://docs.google.com/spreadsheets/d/1jkqa6GXxSacMcY1eN8AHjMNJ_7dDXMJVRLDlaFSOdPM/edit?usp=sharing"",""ตราด!Q266"")"),50660)</f>
        <v>50660</v>
      </c>
      <c r="S58" s="86">
        <f ca="1">IFERROR(__xludf.DUMMYFUNCTION("IMPORTRANGE(""https://docs.google.com/spreadsheets/d/1jkqa6GXxSacMcY1eN8AHjMNJ_7dDXMJVRLDlaFSOdPM/edit?usp=sharing"",""ตราด!R266"")"),0)</f>
        <v>0</v>
      </c>
      <c r="T58" s="86">
        <f ca="1">IFERROR(__xludf.DUMMYFUNCTION("IMPORTRANGE(""https://docs.google.com/spreadsheets/d/1jkqa6GXxSacMcY1eN8AHjMNJ_7dDXMJVRLDlaFSOdPM/edit?usp=sharing"",""ตราด!S266"")"),0)</f>
        <v>0</v>
      </c>
      <c r="U58" s="87">
        <f t="shared" ca="1" si="30"/>
        <v>0</v>
      </c>
      <c r="V58" s="87">
        <f t="shared" ca="1" si="31"/>
        <v>0</v>
      </c>
      <c r="W58" s="93">
        <f ca="1">IFERROR(__xludf.DUMMYFUNCTION("IMPORTRANGE(""https://docs.google.com/spreadsheets/d/1jkqa6GXxSacMcY1eN8AHjMNJ_7dDXMJVRLDlaFSOdPM/edit?usp=sharing"",""ตราด!I276"")"),22)</f>
        <v>22</v>
      </c>
      <c r="X58" s="93">
        <f ca="1">IFERROR(__xludf.DUMMYFUNCTION("IMPORTRANGE(""https://docs.google.com/spreadsheets/d/1jkqa6GXxSacMcY1eN8AHjMNJ_7dDXMJVRLDlaFSOdPM/edit?usp=sharing"",""ตราด!J276"")"),0)</f>
        <v>0</v>
      </c>
      <c r="Y58" s="177">
        <f t="shared" ca="1" si="33"/>
        <v>0</v>
      </c>
      <c r="Z58" s="216">
        <v>0</v>
      </c>
      <c r="AA58" s="216">
        <v>0</v>
      </c>
      <c r="AB58" s="219">
        <v>0</v>
      </c>
    </row>
    <row r="59" spans="1:28" ht="19.5" x14ac:dyDescent="0.3">
      <c r="A59" s="172">
        <v>7</v>
      </c>
      <c r="B59" s="173" t="s">
        <v>85</v>
      </c>
      <c r="C59" s="174">
        <f t="shared" ca="1" si="21"/>
        <v>0</v>
      </c>
      <c r="D59" s="175">
        <f t="shared" ca="1" si="42"/>
        <v>0</v>
      </c>
      <c r="E59" s="176">
        <f ca="1">IFERROR(__xludf.DUMMYFUNCTION("IMPORTRANGE(""https://docs.google.com/spreadsheets/d/1-uDff_7J0KD5mKrp0Vvzr7lt3OU09vwQwhkpOPPYv2Y/edit?usp=sharing"",""งบพรบ!DF59"")"),0)</f>
        <v>0</v>
      </c>
      <c r="F59" s="176">
        <f ca="1">IFERROR(__xludf.DUMMYFUNCTION("IMPORTRANGE(""https://docs.google.com/spreadsheets/d/1-uDff_7J0KD5mKrp0Vvzr7lt3OU09vwQwhkpOPPYv2Y/edit?usp=sharing"",""งบพรบ!DG59"")"),0)</f>
        <v>0</v>
      </c>
      <c r="G59" s="176">
        <f ca="1">IFERROR(__xludf.DUMMYFUNCTION("IMPORTRANGE(""https://docs.google.com/spreadsheets/d/1-uDff_7J0KD5mKrp0Vvzr7lt3OU09vwQwhkpOPPYv2Y/edit?usp=sharing"",""งบพรบ!DH59"")"),0)</f>
        <v>0</v>
      </c>
      <c r="H59" s="176">
        <f ca="1">IFERROR(__xludf.DUMMYFUNCTION("IMPORTRANGE(""https://docs.google.com/spreadsheets/d/1-uDff_7J0KD5mKrp0Vvzr7lt3OU09vwQwhkpOPPYv2Y/edit?usp=sharing"",""งบพรบ!DJ59"")"),0)</f>
        <v>0</v>
      </c>
      <c r="I59" s="176">
        <f ca="1">IFERROR(__xludf.DUMMYFUNCTION("IMPORTRANGE(""https://docs.google.com/spreadsheets/d/1-uDff_7J0KD5mKrp0Vvzr7lt3OU09vwQwhkpOPPYv2Y/edit?usp=sharing"",""งบพรบ!DK59"")"),0)</f>
        <v>0</v>
      </c>
      <c r="J59" s="176">
        <f t="shared" ca="1" si="23"/>
        <v>0</v>
      </c>
      <c r="K59" s="179">
        <f t="shared" ca="1" si="24"/>
        <v>0</v>
      </c>
      <c r="L59" s="176">
        <f ca="1">IFERROR(__xludf.DUMMYFUNCTION("IMPORTRANGE(""https://docs.google.com/spreadsheets/d/1-uDff_7J0KD5mKrp0Vvzr7lt3OU09vwQwhkpOPPYv2Y/edit?usp=sharing"",""งบพรบ!DL59"")"),0)</f>
        <v>0</v>
      </c>
      <c r="M59" s="87">
        <f t="shared" ca="1" si="25"/>
        <v>0</v>
      </c>
      <c r="N59" s="87">
        <f t="shared" ca="1" si="26"/>
        <v>0</v>
      </c>
      <c r="O59" s="86">
        <f ca="1">IFERROR(__xludf.DUMMYFUNCTION("IMPORTRANGE(""https://docs.google.com/spreadsheets/d/1-uDff_7J0KD5mKrp0Vvzr7lt3OU09vwQwhkpOPPYv2Y/edit?usp=sharing"",""งบพรบ!DM59"")"),0)</f>
        <v>0</v>
      </c>
      <c r="P59" s="86">
        <f t="shared" ca="1" si="27"/>
        <v>0</v>
      </c>
      <c r="Q59" s="87">
        <f t="shared" ca="1" si="28"/>
        <v>0</v>
      </c>
      <c r="R59" s="86">
        <f ca="1">IFERROR(__xludf.DUMMYFUNCTION("IMPORTRANGE(""https://docs.google.com/spreadsheets/d/18hSgUJ3VwClqi_qtULmmW3cLr0oe3OKaSYoKzdpTsYQ/edit?usp=sharing"",""นครนายก!Q266"")"),50660)</f>
        <v>50660</v>
      </c>
      <c r="S59" s="86">
        <f ca="1">IFERROR(__xludf.DUMMYFUNCTION("IMPORTRANGE(""https://docs.google.com/spreadsheets/d/18hSgUJ3VwClqi_qtULmmW3cLr0oe3OKaSYoKzdpTsYQ/edit?usp=sharing"",""นครนายก!R266"")"),0)</f>
        <v>0</v>
      </c>
      <c r="T59" s="86">
        <f ca="1">IFERROR(__xludf.DUMMYFUNCTION("IMPORTRANGE(""https://docs.google.com/spreadsheets/d/18hSgUJ3VwClqi_qtULmmW3cLr0oe3OKaSYoKzdpTsYQ/edit?usp=sharing"",""นครนายก!S266"")"),0)</f>
        <v>0</v>
      </c>
      <c r="U59" s="87">
        <f t="shared" ca="1" si="30"/>
        <v>0</v>
      </c>
      <c r="V59" s="87">
        <f t="shared" ca="1" si="31"/>
        <v>0</v>
      </c>
      <c r="W59" s="93">
        <f ca="1">IFERROR(__xludf.DUMMYFUNCTION("IMPORTRANGE(""https://docs.google.com/spreadsheets/d/18hSgUJ3VwClqi_qtULmmW3cLr0oe3OKaSYoKzdpTsYQ/edit?usp=sharing"",""นครนายก!I276"")"),22)</f>
        <v>22</v>
      </c>
      <c r="X59" s="93">
        <f ca="1">IFERROR(__xludf.DUMMYFUNCTION("IMPORTRANGE(""https://docs.google.com/spreadsheets/d/18hSgUJ3VwClqi_qtULmmW3cLr0oe3OKaSYoKzdpTsYQ/edit?usp=sharing"",""นครนายก!J276"")"),0)</f>
        <v>0</v>
      </c>
      <c r="Y59" s="177">
        <f t="shared" ca="1" si="33"/>
        <v>0</v>
      </c>
      <c r="Z59" s="216">
        <v>0</v>
      </c>
      <c r="AA59" s="216">
        <v>0</v>
      </c>
      <c r="AB59" s="219">
        <v>0</v>
      </c>
    </row>
    <row r="60" spans="1:28" ht="19.5" x14ac:dyDescent="0.3">
      <c r="A60" s="172">
        <v>8</v>
      </c>
      <c r="B60" s="173" t="s">
        <v>86</v>
      </c>
      <c r="C60" s="174">
        <f t="shared" ca="1" si="21"/>
        <v>0</v>
      </c>
      <c r="D60" s="175">
        <f t="shared" ca="1" si="42"/>
        <v>0</v>
      </c>
      <c r="E60" s="176">
        <f ca="1">IFERROR(__xludf.DUMMYFUNCTION("IMPORTRANGE(""https://docs.google.com/spreadsheets/d/1-uDff_7J0KD5mKrp0Vvzr7lt3OU09vwQwhkpOPPYv2Y/edit?usp=sharing"",""งบพรบ!DF60"")"),0)</f>
        <v>0</v>
      </c>
      <c r="F60" s="176">
        <f ca="1">IFERROR(__xludf.DUMMYFUNCTION("IMPORTRANGE(""https://docs.google.com/spreadsheets/d/1-uDff_7J0KD5mKrp0Vvzr7lt3OU09vwQwhkpOPPYv2Y/edit?usp=sharing"",""งบพรบ!DG60"")"),0)</f>
        <v>0</v>
      </c>
      <c r="G60" s="176">
        <f ca="1">IFERROR(__xludf.DUMMYFUNCTION("IMPORTRANGE(""https://docs.google.com/spreadsheets/d/1-uDff_7J0KD5mKrp0Vvzr7lt3OU09vwQwhkpOPPYv2Y/edit?usp=sharing"",""งบพรบ!DH60"")"),0)</f>
        <v>0</v>
      </c>
      <c r="H60" s="176">
        <f ca="1">IFERROR(__xludf.DUMMYFUNCTION("IMPORTRANGE(""https://docs.google.com/spreadsheets/d/1-uDff_7J0KD5mKrp0Vvzr7lt3OU09vwQwhkpOPPYv2Y/edit?usp=sharing"",""งบพรบ!DJ60"")"),0)</f>
        <v>0</v>
      </c>
      <c r="I60" s="176">
        <f ca="1">IFERROR(__xludf.DUMMYFUNCTION("IMPORTRANGE(""https://docs.google.com/spreadsheets/d/1-uDff_7J0KD5mKrp0Vvzr7lt3OU09vwQwhkpOPPYv2Y/edit?usp=sharing"",""งบพรบ!DK60"")"),0)</f>
        <v>0</v>
      </c>
      <c r="J60" s="176">
        <f t="shared" ca="1" si="23"/>
        <v>0</v>
      </c>
      <c r="K60" s="179">
        <f t="shared" ca="1" si="24"/>
        <v>0</v>
      </c>
      <c r="L60" s="176">
        <f ca="1">IFERROR(__xludf.DUMMYFUNCTION("IMPORTRANGE(""https://docs.google.com/spreadsheets/d/1-uDff_7J0KD5mKrp0Vvzr7lt3OU09vwQwhkpOPPYv2Y/edit?usp=sharing"",""งบพรบ!DL60"")"),0)</f>
        <v>0</v>
      </c>
      <c r="M60" s="87">
        <f t="shared" ca="1" si="25"/>
        <v>0</v>
      </c>
      <c r="N60" s="87">
        <f t="shared" ca="1" si="26"/>
        <v>0</v>
      </c>
      <c r="O60" s="86">
        <f ca="1">IFERROR(__xludf.DUMMYFUNCTION("IMPORTRANGE(""https://docs.google.com/spreadsheets/d/1-uDff_7J0KD5mKrp0Vvzr7lt3OU09vwQwhkpOPPYv2Y/edit?usp=sharing"",""งบพรบ!DM60"")"),0)</f>
        <v>0</v>
      </c>
      <c r="P60" s="86">
        <f t="shared" ca="1" si="27"/>
        <v>0</v>
      </c>
      <c r="Q60" s="87">
        <f t="shared" ca="1" si="28"/>
        <v>0</v>
      </c>
      <c r="R60" s="86">
        <f ca="1">IFERROR(__xludf.DUMMYFUNCTION("IMPORTRANGE(""https://docs.google.com/spreadsheets/d/1YTZo6WM2dQ6Ix6FSdnL5P7uVnVKu40sxZu975tgG10E/edit?usp=sharing"",""นครปฐม!Q266"")"),50660)</f>
        <v>50660</v>
      </c>
      <c r="S60" s="86">
        <f ca="1">IFERROR(__xludf.DUMMYFUNCTION("IMPORTRANGE(""https://docs.google.com/spreadsheets/d/1YTZo6WM2dQ6Ix6FSdnL5P7uVnVKu40sxZu975tgG10E/edit?usp=sharing"",""นครปฐม!R266"")"),0)</f>
        <v>0</v>
      </c>
      <c r="T60" s="86">
        <f ca="1">IFERROR(__xludf.DUMMYFUNCTION("IMPORTRANGE(""https://docs.google.com/spreadsheets/d/1YTZo6WM2dQ6Ix6FSdnL5P7uVnVKu40sxZu975tgG10E/edit?usp=sharing"",""นครปฐม!S266"")"),0)</f>
        <v>0</v>
      </c>
      <c r="U60" s="87">
        <f t="shared" ca="1" si="30"/>
        <v>0</v>
      </c>
      <c r="V60" s="87">
        <f t="shared" ca="1" si="31"/>
        <v>0</v>
      </c>
      <c r="W60" s="93">
        <f ca="1">IFERROR(__xludf.DUMMYFUNCTION("IMPORTRANGE(""https://docs.google.com/spreadsheets/d/1YTZo6WM2dQ6Ix6FSdnL5P7uVnVKu40sxZu975tgG10E/edit?usp=sharing"",""นครปฐม!I276"")"),22)</f>
        <v>22</v>
      </c>
      <c r="X60" s="93">
        <f ca="1">IFERROR(__xludf.DUMMYFUNCTION("IMPORTRANGE(""https://docs.google.com/spreadsheets/d/1YTZo6WM2dQ6Ix6FSdnL5P7uVnVKu40sxZu975tgG10E/edit?usp=sharing"",""นครปฐม!J276"")"),0)</f>
        <v>0</v>
      </c>
      <c r="Y60" s="177">
        <f t="shared" ca="1" si="33"/>
        <v>0</v>
      </c>
      <c r="Z60" s="216">
        <v>0</v>
      </c>
      <c r="AA60" s="216">
        <v>0</v>
      </c>
      <c r="AB60" s="219">
        <v>0</v>
      </c>
    </row>
    <row r="61" spans="1:28" ht="19.5" x14ac:dyDescent="0.3">
      <c r="A61" s="172">
        <v>9</v>
      </c>
      <c r="B61" s="173" t="s">
        <v>87</v>
      </c>
      <c r="C61" s="174">
        <f t="shared" ca="1" si="21"/>
        <v>0</v>
      </c>
      <c r="D61" s="175">
        <f t="shared" ca="1" si="42"/>
        <v>0</v>
      </c>
      <c r="E61" s="176">
        <f ca="1">IFERROR(__xludf.DUMMYFUNCTION("IMPORTRANGE(""https://docs.google.com/spreadsheets/d/1-uDff_7J0KD5mKrp0Vvzr7lt3OU09vwQwhkpOPPYv2Y/edit?usp=sharing"",""งบพรบ!DF61"")"),0)</f>
        <v>0</v>
      </c>
      <c r="F61" s="176">
        <f ca="1">IFERROR(__xludf.DUMMYFUNCTION("IMPORTRANGE(""https://docs.google.com/spreadsheets/d/1-uDff_7J0KD5mKrp0Vvzr7lt3OU09vwQwhkpOPPYv2Y/edit?usp=sharing"",""งบพรบ!DG61"")"),0)</f>
        <v>0</v>
      </c>
      <c r="G61" s="176">
        <f ca="1">IFERROR(__xludf.DUMMYFUNCTION("IMPORTRANGE(""https://docs.google.com/spreadsheets/d/1-uDff_7J0KD5mKrp0Vvzr7lt3OU09vwQwhkpOPPYv2Y/edit?usp=sharing"",""งบพรบ!DH61"")"),0)</f>
        <v>0</v>
      </c>
      <c r="H61" s="176">
        <f ca="1">IFERROR(__xludf.DUMMYFUNCTION("IMPORTRANGE(""https://docs.google.com/spreadsheets/d/1-uDff_7J0KD5mKrp0Vvzr7lt3OU09vwQwhkpOPPYv2Y/edit?usp=sharing"",""งบพรบ!DJ61"")"),0)</f>
        <v>0</v>
      </c>
      <c r="I61" s="176">
        <f ca="1">IFERROR(__xludf.DUMMYFUNCTION("IMPORTRANGE(""https://docs.google.com/spreadsheets/d/1-uDff_7J0KD5mKrp0Vvzr7lt3OU09vwQwhkpOPPYv2Y/edit?usp=sharing"",""งบพรบ!DK61"")"),0)</f>
        <v>0</v>
      </c>
      <c r="J61" s="176">
        <f t="shared" ca="1" si="23"/>
        <v>0</v>
      </c>
      <c r="K61" s="179">
        <f t="shared" ca="1" si="24"/>
        <v>0</v>
      </c>
      <c r="L61" s="176">
        <f ca="1">IFERROR(__xludf.DUMMYFUNCTION("IMPORTRANGE(""https://docs.google.com/spreadsheets/d/1-uDff_7J0KD5mKrp0Vvzr7lt3OU09vwQwhkpOPPYv2Y/edit?usp=sharing"",""งบพรบ!DL61"")"),0)</f>
        <v>0</v>
      </c>
      <c r="M61" s="87">
        <f t="shared" ca="1" si="25"/>
        <v>0</v>
      </c>
      <c r="N61" s="87">
        <f t="shared" ca="1" si="26"/>
        <v>0</v>
      </c>
      <c r="O61" s="86">
        <f ca="1">IFERROR(__xludf.DUMMYFUNCTION("IMPORTRANGE(""https://docs.google.com/spreadsheets/d/1-uDff_7J0KD5mKrp0Vvzr7lt3OU09vwQwhkpOPPYv2Y/edit?usp=sharing"",""งบพรบ!DM61"")"),0)</f>
        <v>0</v>
      </c>
      <c r="P61" s="86">
        <f t="shared" ca="1" si="27"/>
        <v>0</v>
      </c>
      <c r="Q61" s="87">
        <f t="shared" ca="1" si="28"/>
        <v>0</v>
      </c>
      <c r="R61" s="86">
        <f ca="1">IFERROR(__xludf.DUMMYFUNCTION("IMPORTRANGE(""https://docs.google.com/spreadsheets/d/1OYoGg4WDg5RIzwGeB10padOxJF9E_Vljuvvct_M7RDo/edit?usp=sharing"",""ปทุมธานี!Q266"")"),50660)</f>
        <v>50660</v>
      </c>
      <c r="S61" s="86">
        <f ca="1">IFERROR(__xludf.DUMMYFUNCTION("IMPORTRANGE(""https://docs.google.com/spreadsheets/d/1OYoGg4WDg5RIzwGeB10padOxJF9E_Vljuvvct_M7RDo/edit?usp=sharing"",""ปทุมธานี!R266"")"),0)</f>
        <v>0</v>
      </c>
      <c r="T61" s="86">
        <f ca="1">IFERROR(__xludf.DUMMYFUNCTION("IMPORTRANGE(""https://docs.google.com/spreadsheets/d/1OYoGg4WDg5RIzwGeB10padOxJF9E_Vljuvvct_M7RDo/edit?usp=sharing"",""ปทุมธานี!S266"")"),0)</f>
        <v>0</v>
      </c>
      <c r="U61" s="87">
        <f t="shared" ca="1" si="30"/>
        <v>0</v>
      </c>
      <c r="V61" s="87">
        <f t="shared" ca="1" si="31"/>
        <v>0</v>
      </c>
      <c r="W61" s="93">
        <f ca="1">IFERROR(__xludf.DUMMYFUNCTION("IMPORTRANGE(""https://docs.google.com/spreadsheets/d/1OYoGg4WDg5RIzwGeB10padOxJF9E_Vljuvvct_M7RDo/edit?usp=sharing"",""ปทุมธานี!I276"")"),22)</f>
        <v>22</v>
      </c>
      <c r="X61" s="93">
        <f ca="1">IFERROR(__xludf.DUMMYFUNCTION("IMPORTRANGE(""https://docs.google.com/spreadsheets/d/1OYoGg4WDg5RIzwGeB10padOxJF9E_Vljuvvct_M7RDo/edit?usp=sharing"",""ปทุมธานี!J276"")"),0)</f>
        <v>0</v>
      </c>
      <c r="Y61" s="177">
        <f t="shared" ca="1" si="33"/>
        <v>0</v>
      </c>
      <c r="Z61" s="216">
        <v>0</v>
      </c>
      <c r="AA61" s="216">
        <v>0</v>
      </c>
      <c r="AB61" s="219">
        <v>0</v>
      </c>
    </row>
    <row r="62" spans="1:28" ht="19.5" x14ac:dyDescent="0.3">
      <c r="A62" s="172">
        <v>10</v>
      </c>
      <c r="B62" s="173" t="s">
        <v>88</v>
      </c>
      <c r="C62" s="174">
        <f t="shared" ca="1" si="21"/>
        <v>0</v>
      </c>
      <c r="D62" s="175">
        <f t="shared" ca="1" si="42"/>
        <v>0</v>
      </c>
      <c r="E62" s="176">
        <f ca="1">IFERROR(__xludf.DUMMYFUNCTION("IMPORTRANGE(""https://docs.google.com/spreadsheets/d/1-uDff_7J0KD5mKrp0Vvzr7lt3OU09vwQwhkpOPPYv2Y/edit?usp=sharing"",""งบพรบ!DF62"")"),0)</f>
        <v>0</v>
      </c>
      <c r="F62" s="176">
        <f ca="1">IFERROR(__xludf.DUMMYFUNCTION("IMPORTRANGE(""https://docs.google.com/spreadsheets/d/1-uDff_7J0KD5mKrp0Vvzr7lt3OU09vwQwhkpOPPYv2Y/edit?usp=sharing"",""งบพรบ!DG62"")"),0)</f>
        <v>0</v>
      </c>
      <c r="G62" s="176">
        <f ca="1">IFERROR(__xludf.DUMMYFUNCTION("IMPORTRANGE(""https://docs.google.com/spreadsheets/d/1-uDff_7J0KD5mKrp0Vvzr7lt3OU09vwQwhkpOPPYv2Y/edit?usp=sharing"",""งบพรบ!DH62"")"),0)</f>
        <v>0</v>
      </c>
      <c r="H62" s="176">
        <f ca="1">IFERROR(__xludf.DUMMYFUNCTION("IMPORTRANGE(""https://docs.google.com/spreadsheets/d/1-uDff_7J0KD5mKrp0Vvzr7lt3OU09vwQwhkpOPPYv2Y/edit?usp=sharing"",""งบพรบ!DJ62"")"),0)</f>
        <v>0</v>
      </c>
      <c r="I62" s="176">
        <f ca="1">IFERROR(__xludf.DUMMYFUNCTION("IMPORTRANGE(""https://docs.google.com/spreadsheets/d/1-uDff_7J0KD5mKrp0Vvzr7lt3OU09vwQwhkpOPPYv2Y/edit?usp=sharing"",""งบพรบ!DK62"")"),0)</f>
        <v>0</v>
      </c>
      <c r="J62" s="176">
        <f t="shared" ca="1" si="23"/>
        <v>0</v>
      </c>
      <c r="K62" s="179">
        <f t="shared" ca="1" si="24"/>
        <v>0</v>
      </c>
      <c r="L62" s="176">
        <f ca="1">IFERROR(__xludf.DUMMYFUNCTION("IMPORTRANGE(""https://docs.google.com/spreadsheets/d/1-uDff_7J0KD5mKrp0Vvzr7lt3OU09vwQwhkpOPPYv2Y/edit?usp=sharing"",""งบพรบ!DL62"")"),0)</f>
        <v>0</v>
      </c>
      <c r="M62" s="87">
        <f t="shared" ca="1" si="25"/>
        <v>0</v>
      </c>
      <c r="N62" s="87">
        <f t="shared" ca="1" si="26"/>
        <v>0</v>
      </c>
      <c r="O62" s="86">
        <f ca="1">IFERROR(__xludf.DUMMYFUNCTION("IMPORTRANGE(""https://docs.google.com/spreadsheets/d/1-uDff_7J0KD5mKrp0Vvzr7lt3OU09vwQwhkpOPPYv2Y/edit?usp=sharing"",""งบพรบ!DM62"")"),0)</f>
        <v>0</v>
      </c>
      <c r="P62" s="86">
        <f t="shared" ca="1" si="27"/>
        <v>0</v>
      </c>
      <c r="Q62" s="87">
        <f t="shared" ca="1" si="28"/>
        <v>0</v>
      </c>
      <c r="R62" s="86">
        <f ca="1">IFERROR(__xludf.DUMMYFUNCTION("IMPORTRANGE(""https://docs.google.com/spreadsheets/d/1GbCIE4D4wk9FUozzqk7SxfDMxDVBwVmI5zcaVUSzKAc/edit?usp=sharing"",""ประจวบคีรีขันธ์!Q266"")"),50660)</f>
        <v>50660</v>
      </c>
      <c r="S62" s="86">
        <f ca="1">IFERROR(__xludf.DUMMYFUNCTION("IMPORTRANGE(""https://docs.google.com/spreadsheets/d/1GbCIE4D4wk9FUozzqk7SxfDMxDVBwVmI5zcaVUSzKAc/edit?usp=sharing"",""ประจวบคีรีขันธ์!R266"")"),0)</f>
        <v>0</v>
      </c>
      <c r="T62" s="86">
        <f ca="1">IFERROR(__xludf.DUMMYFUNCTION("IMPORTRANGE(""https://docs.google.com/spreadsheets/d/1GbCIE4D4wk9FUozzqk7SxfDMxDVBwVmI5zcaVUSzKAc/edit?usp=sharing"",""ประจวบคีรีขันธ์!S266"")"),0)</f>
        <v>0</v>
      </c>
      <c r="U62" s="87">
        <f t="shared" ca="1" si="30"/>
        <v>0</v>
      </c>
      <c r="V62" s="87">
        <f t="shared" ca="1" si="31"/>
        <v>0</v>
      </c>
      <c r="W62" s="93">
        <f ca="1">IFERROR(__xludf.DUMMYFUNCTION("IMPORTRANGE(""https://docs.google.com/spreadsheets/d/1GbCIE4D4wk9FUozzqk7SxfDMxDVBwVmI5zcaVUSzKAc/edit?usp=sharing"",""ประจวบคีรีขันธ์!I276"")"),22)</f>
        <v>22</v>
      </c>
      <c r="X62" s="93">
        <f ca="1">IFERROR(__xludf.DUMMYFUNCTION("IMPORTRANGE(""https://docs.google.com/spreadsheets/d/1GbCIE4D4wk9FUozzqk7SxfDMxDVBwVmI5zcaVUSzKAc/edit?usp=sharing"",""ประจวบคีรีขันธ์!J276"")"),0)</f>
        <v>0</v>
      </c>
      <c r="Y62" s="177">
        <f t="shared" ca="1" si="33"/>
        <v>0</v>
      </c>
      <c r="Z62" s="216">
        <v>0</v>
      </c>
      <c r="AA62" s="216">
        <v>0</v>
      </c>
      <c r="AB62" s="219">
        <v>0</v>
      </c>
    </row>
    <row r="63" spans="1:28" ht="19.5" x14ac:dyDescent="0.3">
      <c r="A63" s="172">
        <v>11</v>
      </c>
      <c r="B63" s="173" t="s">
        <v>89</v>
      </c>
      <c r="C63" s="174">
        <f t="shared" ca="1" si="21"/>
        <v>0</v>
      </c>
      <c r="D63" s="175">
        <f t="shared" ca="1" si="42"/>
        <v>0</v>
      </c>
      <c r="E63" s="176">
        <f ca="1">IFERROR(__xludf.DUMMYFUNCTION("IMPORTRANGE(""https://docs.google.com/spreadsheets/d/1-uDff_7J0KD5mKrp0Vvzr7lt3OU09vwQwhkpOPPYv2Y/edit?usp=sharing"",""งบพรบ!DF63"")"),0)</f>
        <v>0</v>
      </c>
      <c r="F63" s="176">
        <f ca="1">IFERROR(__xludf.DUMMYFUNCTION("IMPORTRANGE(""https://docs.google.com/spreadsheets/d/1-uDff_7J0KD5mKrp0Vvzr7lt3OU09vwQwhkpOPPYv2Y/edit?usp=sharing"",""งบพรบ!DG63"")"),0)</f>
        <v>0</v>
      </c>
      <c r="G63" s="176">
        <f ca="1">IFERROR(__xludf.DUMMYFUNCTION("IMPORTRANGE(""https://docs.google.com/spreadsheets/d/1-uDff_7J0KD5mKrp0Vvzr7lt3OU09vwQwhkpOPPYv2Y/edit?usp=sharing"",""งบพรบ!DH63"")"),0)</f>
        <v>0</v>
      </c>
      <c r="H63" s="176">
        <f ca="1">IFERROR(__xludf.DUMMYFUNCTION("IMPORTRANGE(""https://docs.google.com/spreadsheets/d/1-uDff_7J0KD5mKrp0Vvzr7lt3OU09vwQwhkpOPPYv2Y/edit?usp=sharing"",""งบพรบ!DJ63"")"),0)</f>
        <v>0</v>
      </c>
      <c r="I63" s="176">
        <f ca="1">IFERROR(__xludf.DUMMYFUNCTION("IMPORTRANGE(""https://docs.google.com/spreadsheets/d/1-uDff_7J0KD5mKrp0Vvzr7lt3OU09vwQwhkpOPPYv2Y/edit?usp=sharing"",""งบพรบ!DK63"")"),0)</f>
        <v>0</v>
      </c>
      <c r="J63" s="176">
        <f t="shared" ca="1" si="23"/>
        <v>0</v>
      </c>
      <c r="K63" s="179">
        <f t="shared" ca="1" si="24"/>
        <v>0</v>
      </c>
      <c r="L63" s="176">
        <f ca="1">IFERROR(__xludf.DUMMYFUNCTION("IMPORTRANGE(""https://docs.google.com/spreadsheets/d/1-uDff_7J0KD5mKrp0Vvzr7lt3OU09vwQwhkpOPPYv2Y/edit?usp=sharing"",""งบพรบ!DL63"")"),0)</f>
        <v>0</v>
      </c>
      <c r="M63" s="87">
        <f t="shared" ca="1" si="25"/>
        <v>0</v>
      </c>
      <c r="N63" s="87">
        <f t="shared" ca="1" si="26"/>
        <v>0</v>
      </c>
      <c r="O63" s="86">
        <f ca="1">IFERROR(__xludf.DUMMYFUNCTION("IMPORTRANGE(""https://docs.google.com/spreadsheets/d/1-uDff_7J0KD5mKrp0Vvzr7lt3OU09vwQwhkpOPPYv2Y/edit?usp=sharing"",""งบพรบ!DM63"")"),0)</f>
        <v>0</v>
      </c>
      <c r="P63" s="86">
        <f t="shared" ca="1" si="27"/>
        <v>0</v>
      </c>
      <c r="Q63" s="87">
        <f t="shared" ca="1" si="28"/>
        <v>0</v>
      </c>
      <c r="R63" s="86">
        <f ca="1">IFERROR(__xludf.DUMMYFUNCTION("IMPORTRANGE(""https://docs.google.com/spreadsheets/d/1vVf6wykvW_lAyu7Yo9L4hUTqHqIeP_qcVuxCtosJEbg/edit?usp=sharing"",""ปราจีนบุรี!Q266"")"),50660)</f>
        <v>50660</v>
      </c>
      <c r="S63" s="86">
        <f ca="1">IFERROR(__xludf.DUMMYFUNCTION("IMPORTRANGE(""https://docs.google.com/spreadsheets/d/1vVf6wykvW_lAyu7Yo9L4hUTqHqIeP_qcVuxCtosJEbg/edit?usp=sharing"",""ปราจีนบุรี!R266"")"),0)</f>
        <v>0</v>
      </c>
      <c r="T63" s="86">
        <f ca="1">IFERROR(__xludf.DUMMYFUNCTION("IMPORTRANGE(""https://docs.google.com/spreadsheets/d/1vVf6wykvW_lAyu7Yo9L4hUTqHqIeP_qcVuxCtosJEbg/edit?usp=sharing"",""ปราจีนบุรี!S266"")"),0)</f>
        <v>0</v>
      </c>
      <c r="U63" s="87">
        <f t="shared" ca="1" si="30"/>
        <v>0</v>
      </c>
      <c r="V63" s="87">
        <f t="shared" ca="1" si="31"/>
        <v>0</v>
      </c>
      <c r="W63" s="93">
        <f ca="1">IFERROR(__xludf.DUMMYFUNCTION("IMPORTRANGE(""https://docs.google.com/spreadsheets/d/1vVf6wykvW_lAyu7Yo9L4hUTqHqIeP_qcVuxCtosJEbg/edit?usp=sharing"",""ปราจีนบุรี!I276"")"),22)</f>
        <v>22</v>
      </c>
      <c r="X63" s="93">
        <f ca="1">IFERROR(__xludf.DUMMYFUNCTION("IMPORTRANGE(""https://docs.google.com/spreadsheets/d/1vVf6wykvW_lAyu7Yo9L4hUTqHqIeP_qcVuxCtosJEbg/edit?usp=sharing"",""ปราจีนบุรี!J276"")"),0)</f>
        <v>0</v>
      </c>
      <c r="Y63" s="177">
        <f t="shared" ca="1" si="33"/>
        <v>0</v>
      </c>
      <c r="Z63" s="216">
        <v>0</v>
      </c>
      <c r="AA63" s="216">
        <v>0</v>
      </c>
      <c r="AB63" s="219">
        <v>0</v>
      </c>
    </row>
    <row r="64" spans="1:28" ht="19.5" x14ac:dyDescent="0.3">
      <c r="A64" s="172">
        <v>12</v>
      </c>
      <c r="B64" s="173" t="s">
        <v>90</v>
      </c>
      <c r="C64" s="174">
        <f t="shared" ca="1" si="21"/>
        <v>0</v>
      </c>
      <c r="D64" s="175">
        <f t="shared" ca="1" si="42"/>
        <v>0</v>
      </c>
      <c r="E64" s="176">
        <f ca="1">IFERROR(__xludf.DUMMYFUNCTION("IMPORTRANGE(""https://docs.google.com/spreadsheets/d/1-uDff_7J0KD5mKrp0Vvzr7lt3OU09vwQwhkpOPPYv2Y/edit?usp=sharing"",""งบพรบ!DF64"")"),0)</f>
        <v>0</v>
      </c>
      <c r="F64" s="176">
        <f ca="1">IFERROR(__xludf.DUMMYFUNCTION("IMPORTRANGE(""https://docs.google.com/spreadsheets/d/1-uDff_7J0KD5mKrp0Vvzr7lt3OU09vwQwhkpOPPYv2Y/edit?usp=sharing"",""งบพรบ!DG64"")"),0)</f>
        <v>0</v>
      </c>
      <c r="G64" s="176">
        <f ca="1">IFERROR(__xludf.DUMMYFUNCTION("IMPORTRANGE(""https://docs.google.com/spreadsheets/d/1-uDff_7J0KD5mKrp0Vvzr7lt3OU09vwQwhkpOPPYv2Y/edit?usp=sharing"",""งบพรบ!DH64"")"),0)</f>
        <v>0</v>
      </c>
      <c r="H64" s="176">
        <f ca="1">IFERROR(__xludf.DUMMYFUNCTION("IMPORTRANGE(""https://docs.google.com/spreadsheets/d/1-uDff_7J0KD5mKrp0Vvzr7lt3OU09vwQwhkpOPPYv2Y/edit?usp=sharing"",""งบพรบ!DJ64"")"),0)</f>
        <v>0</v>
      </c>
      <c r="I64" s="176">
        <f ca="1">IFERROR(__xludf.DUMMYFUNCTION("IMPORTRANGE(""https://docs.google.com/spreadsheets/d/1-uDff_7J0KD5mKrp0Vvzr7lt3OU09vwQwhkpOPPYv2Y/edit?usp=sharing"",""งบพรบ!DK64"")"),0)</f>
        <v>0</v>
      </c>
      <c r="J64" s="176">
        <f t="shared" ca="1" si="23"/>
        <v>0</v>
      </c>
      <c r="K64" s="179">
        <f t="shared" ca="1" si="24"/>
        <v>0</v>
      </c>
      <c r="L64" s="176">
        <f ca="1">IFERROR(__xludf.DUMMYFUNCTION("IMPORTRANGE(""https://docs.google.com/spreadsheets/d/1-uDff_7J0KD5mKrp0Vvzr7lt3OU09vwQwhkpOPPYv2Y/edit?usp=sharing"",""งบพรบ!DL64"")"),0)</f>
        <v>0</v>
      </c>
      <c r="M64" s="87">
        <f t="shared" ca="1" si="25"/>
        <v>0</v>
      </c>
      <c r="N64" s="87">
        <f t="shared" ca="1" si="26"/>
        <v>0</v>
      </c>
      <c r="O64" s="86">
        <f ca="1">IFERROR(__xludf.DUMMYFUNCTION("IMPORTRANGE(""https://docs.google.com/spreadsheets/d/1-uDff_7J0KD5mKrp0Vvzr7lt3OU09vwQwhkpOPPYv2Y/edit?usp=sharing"",""งบพรบ!DM64"")"),0)</f>
        <v>0</v>
      </c>
      <c r="P64" s="86">
        <f t="shared" ca="1" si="27"/>
        <v>0</v>
      </c>
      <c r="Q64" s="87">
        <f t="shared" ca="1" si="28"/>
        <v>0</v>
      </c>
      <c r="R64" s="86">
        <f ca="1">IFERROR(__xludf.DUMMYFUNCTION("IMPORTRANGE(""https://docs.google.com/spreadsheets/d/1BIDqLLg5jk3v59G8NlR8rk5xfQDKne0sAvZHSj7TI6I/edit?usp=sharing"",""พระนครศรีอยุธยา!Q266"")"),50660)</f>
        <v>50660</v>
      </c>
      <c r="S64" s="86">
        <f ca="1">IFERROR(__xludf.DUMMYFUNCTION("IMPORTRANGE(""https://docs.google.com/spreadsheets/d/1BIDqLLg5jk3v59G8NlR8rk5xfQDKne0sAvZHSj7TI6I/edit?usp=sharing"",""พระนครศรีอยุธยา!R266"")"),0)</f>
        <v>0</v>
      </c>
      <c r="T64" s="86">
        <f ca="1">IFERROR(__xludf.DUMMYFUNCTION("IMPORTRANGE(""https://docs.google.com/spreadsheets/d/1BIDqLLg5jk3v59G8NlR8rk5xfQDKne0sAvZHSj7TI6I/edit?usp=sharing"",""พระนครศรีอยุธยา!S266"")"),0)</f>
        <v>0</v>
      </c>
      <c r="U64" s="87">
        <f t="shared" ca="1" si="30"/>
        <v>0</v>
      </c>
      <c r="V64" s="87">
        <f t="shared" ca="1" si="31"/>
        <v>0</v>
      </c>
      <c r="W64" s="93">
        <f ca="1">IFERROR(__xludf.DUMMYFUNCTION("IMPORTRANGE(""https://docs.google.com/spreadsheets/d/1BIDqLLg5jk3v59G8NlR8rk5xfQDKne0sAvZHSj7TI6I/edit?usp=sharing"",""พระนครศรีอยุธยา!I276"")"),22)</f>
        <v>22</v>
      </c>
      <c r="X64" s="93">
        <f ca="1">IFERROR(__xludf.DUMMYFUNCTION("IMPORTRANGE(""https://docs.google.com/spreadsheets/d/1BIDqLLg5jk3v59G8NlR8rk5xfQDKne0sAvZHSj7TI6I/edit?usp=sharing"",""พระนครศรีอยุธยา!J276"")"),0)</f>
        <v>0</v>
      </c>
      <c r="Y64" s="177">
        <f t="shared" ca="1" si="33"/>
        <v>0</v>
      </c>
      <c r="Z64" s="216">
        <v>0</v>
      </c>
      <c r="AA64" s="216">
        <v>0</v>
      </c>
      <c r="AB64" s="219">
        <v>0</v>
      </c>
    </row>
    <row r="65" spans="1:28" ht="19.5" x14ac:dyDescent="0.3">
      <c r="A65" s="172">
        <v>13</v>
      </c>
      <c r="B65" s="173" t="s">
        <v>91</v>
      </c>
      <c r="C65" s="174">
        <f t="shared" ca="1" si="21"/>
        <v>0</v>
      </c>
      <c r="D65" s="175">
        <f t="shared" ca="1" si="42"/>
        <v>0</v>
      </c>
      <c r="E65" s="176">
        <f ca="1">IFERROR(__xludf.DUMMYFUNCTION("IMPORTRANGE(""https://docs.google.com/spreadsheets/d/1-uDff_7J0KD5mKrp0Vvzr7lt3OU09vwQwhkpOPPYv2Y/edit?usp=sharing"",""งบพรบ!DF65"")"),0)</f>
        <v>0</v>
      </c>
      <c r="F65" s="176">
        <f ca="1">IFERROR(__xludf.DUMMYFUNCTION("IMPORTRANGE(""https://docs.google.com/spreadsheets/d/1-uDff_7J0KD5mKrp0Vvzr7lt3OU09vwQwhkpOPPYv2Y/edit?usp=sharing"",""งบพรบ!DG65"")"),0)</f>
        <v>0</v>
      </c>
      <c r="G65" s="176">
        <f ca="1">IFERROR(__xludf.DUMMYFUNCTION("IMPORTRANGE(""https://docs.google.com/spreadsheets/d/1-uDff_7J0KD5mKrp0Vvzr7lt3OU09vwQwhkpOPPYv2Y/edit?usp=sharing"",""งบพรบ!DH65"")"),0)</f>
        <v>0</v>
      </c>
      <c r="H65" s="176">
        <f ca="1">IFERROR(__xludf.DUMMYFUNCTION("IMPORTRANGE(""https://docs.google.com/spreadsheets/d/1-uDff_7J0KD5mKrp0Vvzr7lt3OU09vwQwhkpOPPYv2Y/edit?usp=sharing"",""งบพรบ!DJ65"")"),0)</f>
        <v>0</v>
      </c>
      <c r="I65" s="176">
        <f ca="1">IFERROR(__xludf.DUMMYFUNCTION("IMPORTRANGE(""https://docs.google.com/spreadsheets/d/1-uDff_7J0KD5mKrp0Vvzr7lt3OU09vwQwhkpOPPYv2Y/edit?usp=sharing"",""งบพรบ!DK65"")"),0)</f>
        <v>0</v>
      </c>
      <c r="J65" s="176">
        <f t="shared" ca="1" si="23"/>
        <v>0</v>
      </c>
      <c r="K65" s="179">
        <f t="shared" ca="1" si="24"/>
        <v>0</v>
      </c>
      <c r="L65" s="176">
        <f ca="1">IFERROR(__xludf.DUMMYFUNCTION("IMPORTRANGE(""https://docs.google.com/spreadsheets/d/1-uDff_7J0KD5mKrp0Vvzr7lt3OU09vwQwhkpOPPYv2Y/edit?usp=sharing"",""งบพรบ!DL65"")"),0)</f>
        <v>0</v>
      </c>
      <c r="M65" s="87">
        <f t="shared" ca="1" si="25"/>
        <v>0</v>
      </c>
      <c r="N65" s="87">
        <f t="shared" ca="1" si="26"/>
        <v>0</v>
      </c>
      <c r="O65" s="86">
        <f ca="1">IFERROR(__xludf.DUMMYFUNCTION("IMPORTRANGE(""https://docs.google.com/spreadsheets/d/1-uDff_7J0KD5mKrp0Vvzr7lt3OU09vwQwhkpOPPYv2Y/edit?usp=sharing"",""งบพรบ!DM65"")"),0)</f>
        <v>0</v>
      </c>
      <c r="P65" s="86">
        <f t="shared" ca="1" si="27"/>
        <v>0</v>
      </c>
      <c r="Q65" s="87">
        <f t="shared" ca="1" si="28"/>
        <v>0</v>
      </c>
      <c r="R65" s="86">
        <f ca="1">IFERROR(__xludf.DUMMYFUNCTION("IMPORTRANGE(""https://docs.google.com/spreadsheets/d/1YXvxf8Yu6_rV4hTBrwMqAcAnv6DfhUxh5emyM3CJp_w/edit?usp=sharing"",""เพชรบุรี!Q266"")"),50660)</f>
        <v>50660</v>
      </c>
      <c r="S65" s="86">
        <f ca="1">IFERROR(__xludf.DUMMYFUNCTION("IMPORTRANGE(""https://docs.google.com/spreadsheets/d/1YXvxf8Yu6_rV4hTBrwMqAcAnv6DfhUxh5emyM3CJp_w/edit?usp=sharing"",""เพชรบุรี!R266"")"),0)</f>
        <v>0</v>
      </c>
      <c r="T65" s="86">
        <f ca="1">IFERROR(__xludf.DUMMYFUNCTION("IMPORTRANGE(""https://docs.google.com/spreadsheets/d/1YXvxf8Yu6_rV4hTBrwMqAcAnv6DfhUxh5emyM3CJp_w/edit?usp=sharing"",""เพชรบุรี!S266"")"),0)</f>
        <v>0</v>
      </c>
      <c r="U65" s="87">
        <f t="shared" ca="1" si="30"/>
        <v>0</v>
      </c>
      <c r="V65" s="87">
        <f t="shared" ca="1" si="31"/>
        <v>0</v>
      </c>
      <c r="W65" s="93">
        <f ca="1">IFERROR(__xludf.DUMMYFUNCTION("IMPORTRANGE(""https://docs.google.com/spreadsheets/d/1YXvxf8Yu6_rV4hTBrwMqAcAnv6DfhUxh5emyM3CJp_w/edit?usp=sharing"",""เพชรบุรี!I276"")"),22)</f>
        <v>22</v>
      </c>
      <c r="X65" s="93">
        <f ca="1">IFERROR(__xludf.DUMMYFUNCTION("IMPORTRANGE(""https://docs.google.com/spreadsheets/d/1YXvxf8Yu6_rV4hTBrwMqAcAnv6DfhUxh5emyM3CJp_w/edit?usp=sharing"",""เพชรบุรี!J276"")"),0)</f>
        <v>0</v>
      </c>
      <c r="Y65" s="177">
        <f t="shared" ca="1" si="33"/>
        <v>0</v>
      </c>
      <c r="Z65" s="216">
        <v>0</v>
      </c>
      <c r="AA65" s="216">
        <v>0</v>
      </c>
      <c r="AB65" s="219">
        <v>0</v>
      </c>
    </row>
    <row r="66" spans="1:28" ht="19.5" x14ac:dyDescent="0.3">
      <c r="A66" s="172">
        <v>14</v>
      </c>
      <c r="B66" s="173" t="s">
        <v>92</v>
      </c>
      <c r="C66" s="174">
        <f t="shared" ca="1" si="21"/>
        <v>0</v>
      </c>
      <c r="D66" s="175">
        <f t="shared" ca="1" si="42"/>
        <v>0</v>
      </c>
      <c r="E66" s="176">
        <f ca="1">IFERROR(__xludf.DUMMYFUNCTION("IMPORTRANGE(""https://docs.google.com/spreadsheets/d/1-uDff_7J0KD5mKrp0Vvzr7lt3OU09vwQwhkpOPPYv2Y/edit?usp=sharing"",""งบพรบ!DF66"")"),0)</f>
        <v>0</v>
      </c>
      <c r="F66" s="176">
        <f ca="1">IFERROR(__xludf.DUMMYFUNCTION("IMPORTRANGE(""https://docs.google.com/spreadsheets/d/1-uDff_7J0KD5mKrp0Vvzr7lt3OU09vwQwhkpOPPYv2Y/edit?usp=sharing"",""งบพรบ!DG66"")"),0)</f>
        <v>0</v>
      </c>
      <c r="G66" s="176">
        <f ca="1">IFERROR(__xludf.DUMMYFUNCTION("IMPORTRANGE(""https://docs.google.com/spreadsheets/d/1-uDff_7J0KD5mKrp0Vvzr7lt3OU09vwQwhkpOPPYv2Y/edit?usp=sharing"",""งบพรบ!DH66"")"),0)</f>
        <v>0</v>
      </c>
      <c r="H66" s="176">
        <f ca="1">IFERROR(__xludf.DUMMYFUNCTION("IMPORTRANGE(""https://docs.google.com/spreadsheets/d/1-uDff_7J0KD5mKrp0Vvzr7lt3OU09vwQwhkpOPPYv2Y/edit?usp=sharing"",""งบพรบ!DJ66"")"),0)</f>
        <v>0</v>
      </c>
      <c r="I66" s="176">
        <f ca="1">IFERROR(__xludf.DUMMYFUNCTION("IMPORTRANGE(""https://docs.google.com/spreadsheets/d/1-uDff_7J0KD5mKrp0Vvzr7lt3OU09vwQwhkpOPPYv2Y/edit?usp=sharing"",""งบพรบ!DK66"")"),0)</f>
        <v>0</v>
      </c>
      <c r="J66" s="176">
        <f t="shared" ca="1" si="23"/>
        <v>0</v>
      </c>
      <c r="K66" s="179">
        <f t="shared" ca="1" si="24"/>
        <v>0</v>
      </c>
      <c r="L66" s="176">
        <f ca="1">IFERROR(__xludf.DUMMYFUNCTION("IMPORTRANGE(""https://docs.google.com/spreadsheets/d/1-uDff_7J0KD5mKrp0Vvzr7lt3OU09vwQwhkpOPPYv2Y/edit?usp=sharing"",""งบพรบ!DL66"")"),0)</f>
        <v>0</v>
      </c>
      <c r="M66" s="87">
        <f t="shared" ca="1" si="25"/>
        <v>0</v>
      </c>
      <c r="N66" s="87">
        <f t="shared" ca="1" si="26"/>
        <v>0</v>
      </c>
      <c r="O66" s="86">
        <f ca="1">IFERROR(__xludf.DUMMYFUNCTION("IMPORTRANGE(""https://docs.google.com/spreadsheets/d/1-uDff_7J0KD5mKrp0Vvzr7lt3OU09vwQwhkpOPPYv2Y/edit?usp=sharing"",""งบพรบ!DM66"")"),0)</f>
        <v>0</v>
      </c>
      <c r="P66" s="86">
        <f t="shared" ca="1" si="27"/>
        <v>0</v>
      </c>
      <c r="Q66" s="87">
        <f t="shared" ca="1" si="28"/>
        <v>0</v>
      </c>
      <c r="R66" s="86">
        <f ca="1">IFERROR(__xludf.DUMMYFUNCTION("IMPORTRANGE(""https://docs.google.com/spreadsheets/d/19KBlQQs7uwvsao6t2n-KvW3Ax8J8uRRfZPq1zPbXgKc/edit?usp=sharing"",""ระยอง!Q266"")"),50660)</f>
        <v>50660</v>
      </c>
      <c r="S66" s="86">
        <f ca="1">IFERROR(__xludf.DUMMYFUNCTION("IMPORTRANGE(""https://docs.google.com/spreadsheets/d/19KBlQQs7uwvsao6t2n-KvW3Ax8J8uRRfZPq1zPbXgKc/edit?usp=sharing"",""ระยอง!R266"")"),0)</f>
        <v>0</v>
      </c>
      <c r="T66" s="86">
        <f ca="1">IFERROR(__xludf.DUMMYFUNCTION("IMPORTRANGE(""https://docs.google.com/spreadsheets/d/19KBlQQs7uwvsao6t2n-KvW3Ax8J8uRRfZPq1zPbXgKc/edit?usp=sharing"",""ระยอง!S266"")"),0)</f>
        <v>0</v>
      </c>
      <c r="U66" s="87">
        <f t="shared" ca="1" si="30"/>
        <v>0</v>
      </c>
      <c r="V66" s="87">
        <f t="shared" ca="1" si="31"/>
        <v>0</v>
      </c>
      <c r="W66" s="93">
        <f ca="1">IFERROR(__xludf.DUMMYFUNCTION("IMPORTRANGE(""https://docs.google.com/spreadsheets/d/19KBlQQs7uwvsao6t2n-KvW3Ax8J8uRRfZPq1zPbXgKc/edit?usp=sharing"",""ระยอง!I276"")"),22)</f>
        <v>22</v>
      </c>
      <c r="X66" s="93">
        <f ca="1">IFERROR(__xludf.DUMMYFUNCTION("IMPORTRANGE(""https://docs.google.com/spreadsheets/d/19KBlQQs7uwvsao6t2n-KvW3Ax8J8uRRfZPq1zPbXgKc/edit?usp=sharing"",""ระยอง!J276"")"),0)</f>
        <v>0</v>
      </c>
      <c r="Y66" s="177">
        <f t="shared" ca="1" si="33"/>
        <v>0</v>
      </c>
      <c r="Z66" s="216">
        <v>0</v>
      </c>
      <c r="AA66" s="216">
        <v>0</v>
      </c>
      <c r="AB66" s="219">
        <v>0</v>
      </c>
    </row>
    <row r="67" spans="1:28" ht="19.5" x14ac:dyDescent="0.3">
      <c r="A67" s="172">
        <v>15</v>
      </c>
      <c r="B67" s="173" t="s">
        <v>93</v>
      </c>
      <c r="C67" s="174">
        <f t="shared" ca="1" si="21"/>
        <v>0</v>
      </c>
      <c r="D67" s="175">
        <f t="shared" ca="1" si="42"/>
        <v>0</v>
      </c>
      <c r="E67" s="176">
        <f ca="1">IFERROR(__xludf.DUMMYFUNCTION("IMPORTRANGE(""https://docs.google.com/spreadsheets/d/1-uDff_7J0KD5mKrp0Vvzr7lt3OU09vwQwhkpOPPYv2Y/edit?usp=sharing"",""งบพรบ!DF67"")"),0)</f>
        <v>0</v>
      </c>
      <c r="F67" s="176">
        <f ca="1">IFERROR(__xludf.DUMMYFUNCTION("IMPORTRANGE(""https://docs.google.com/spreadsheets/d/1-uDff_7J0KD5mKrp0Vvzr7lt3OU09vwQwhkpOPPYv2Y/edit?usp=sharing"",""งบพรบ!DG67"")"),0)</f>
        <v>0</v>
      </c>
      <c r="G67" s="176">
        <f ca="1">IFERROR(__xludf.DUMMYFUNCTION("IMPORTRANGE(""https://docs.google.com/spreadsheets/d/1-uDff_7J0KD5mKrp0Vvzr7lt3OU09vwQwhkpOPPYv2Y/edit?usp=sharing"",""งบพรบ!DH67"")"),0)</f>
        <v>0</v>
      </c>
      <c r="H67" s="176">
        <f ca="1">IFERROR(__xludf.DUMMYFUNCTION("IMPORTRANGE(""https://docs.google.com/spreadsheets/d/1-uDff_7J0KD5mKrp0Vvzr7lt3OU09vwQwhkpOPPYv2Y/edit?usp=sharing"",""งบพรบ!DJ67"")"),0)</f>
        <v>0</v>
      </c>
      <c r="I67" s="176">
        <f ca="1">IFERROR(__xludf.DUMMYFUNCTION("IMPORTRANGE(""https://docs.google.com/spreadsheets/d/1-uDff_7J0KD5mKrp0Vvzr7lt3OU09vwQwhkpOPPYv2Y/edit?usp=sharing"",""งบพรบ!DK67"")"),0)</f>
        <v>0</v>
      </c>
      <c r="J67" s="176">
        <f t="shared" ca="1" si="23"/>
        <v>0</v>
      </c>
      <c r="K67" s="179">
        <f t="shared" ca="1" si="24"/>
        <v>0</v>
      </c>
      <c r="L67" s="176">
        <f ca="1">IFERROR(__xludf.DUMMYFUNCTION("IMPORTRANGE(""https://docs.google.com/spreadsheets/d/1-uDff_7J0KD5mKrp0Vvzr7lt3OU09vwQwhkpOPPYv2Y/edit?usp=sharing"",""งบพรบ!DL67"")"),0)</f>
        <v>0</v>
      </c>
      <c r="M67" s="87">
        <f t="shared" ca="1" si="25"/>
        <v>0</v>
      </c>
      <c r="N67" s="87">
        <f t="shared" ca="1" si="26"/>
        <v>0</v>
      </c>
      <c r="O67" s="86">
        <f ca="1">IFERROR(__xludf.DUMMYFUNCTION("IMPORTRANGE(""https://docs.google.com/spreadsheets/d/1-uDff_7J0KD5mKrp0Vvzr7lt3OU09vwQwhkpOPPYv2Y/edit?usp=sharing"",""งบพรบ!DM67"")"),0)</f>
        <v>0</v>
      </c>
      <c r="P67" s="86">
        <f t="shared" ca="1" si="27"/>
        <v>0</v>
      </c>
      <c r="Q67" s="87">
        <f t="shared" ca="1" si="28"/>
        <v>0</v>
      </c>
      <c r="R67" s="86">
        <f ca="1">IFERROR(__xludf.DUMMYFUNCTION("IMPORTRANGE(""https://docs.google.com/spreadsheets/d/1jQ6P4QcrGM89YfqcC_PxOHGCMq5ezhucwJd8ci-NHng/edit?usp=sharing"",""ราชบุรี!Q266"")"),53440)</f>
        <v>53440</v>
      </c>
      <c r="S67" s="86">
        <f ca="1">IFERROR(__xludf.DUMMYFUNCTION("IMPORTRANGE(""https://docs.google.com/spreadsheets/d/1jQ6P4QcrGM89YfqcC_PxOHGCMq5ezhucwJd8ci-NHng/edit?usp=sharing"",""ราชบุรี!R266"")"),0)</f>
        <v>0</v>
      </c>
      <c r="T67" s="86">
        <f ca="1">IFERROR(__xludf.DUMMYFUNCTION("IMPORTRANGE(""https://docs.google.com/spreadsheets/d/1jQ6P4QcrGM89YfqcC_PxOHGCMq5ezhucwJd8ci-NHng/edit?usp=sharing"",""ราชบุรี!S266"")"),0)</f>
        <v>0</v>
      </c>
      <c r="U67" s="87">
        <f t="shared" ca="1" si="30"/>
        <v>0</v>
      </c>
      <c r="V67" s="87">
        <f t="shared" ca="1" si="31"/>
        <v>0</v>
      </c>
      <c r="W67" s="93">
        <f ca="1">IFERROR(__xludf.DUMMYFUNCTION("IMPORTRANGE(""https://docs.google.com/spreadsheets/d/1jQ6P4QcrGM89YfqcC_PxOHGCMq5ezhucwJd8ci-NHng/edit?usp=sharing"",""ราชบุรี!I276"")"),24)</f>
        <v>24</v>
      </c>
      <c r="X67" s="93">
        <f ca="1">IFERROR(__xludf.DUMMYFUNCTION("IMPORTRANGE(""https://docs.google.com/spreadsheets/d/1jQ6P4QcrGM89YfqcC_PxOHGCMq5ezhucwJd8ci-NHng/edit?usp=sharing"",""ราชบุรี!J276"")"),0)</f>
        <v>0</v>
      </c>
      <c r="Y67" s="177">
        <f t="shared" ca="1" si="33"/>
        <v>0</v>
      </c>
      <c r="Z67" s="216">
        <v>0</v>
      </c>
      <c r="AA67" s="216">
        <v>0</v>
      </c>
      <c r="AB67" s="219">
        <v>0</v>
      </c>
    </row>
    <row r="68" spans="1:28" ht="19.5" x14ac:dyDescent="0.3">
      <c r="A68" s="172">
        <v>16</v>
      </c>
      <c r="B68" s="173" t="s">
        <v>94</v>
      </c>
      <c r="C68" s="174">
        <f t="shared" ca="1" si="21"/>
        <v>0</v>
      </c>
      <c r="D68" s="175">
        <f t="shared" ca="1" si="42"/>
        <v>0</v>
      </c>
      <c r="E68" s="176">
        <f ca="1">IFERROR(__xludf.DUMMYFUNCTION("IMPORTRANGE(""https://docs.google.com/spreadsheets/d/1-uDff_7J0KD5mKrp0Vvzr7lt3OU09vwQwhkpOPPYv2Y/edit?usp=sharing"",""งบพรบ!DF68"")"),0)</f>
        <v>0</v>
      </c>
      <c r="F68" s="176">
        <f ca="1">IFERROR(__xludf.DUMMYFUNCTION("IMPORTRANGE(""https://docs.google.com/spreadsheets/d/1-uDff_7J0KD5mKrp0Vvzr7lt3OU09vwQwhkpOPPYv2Y/edit?usp=sharing"",""งบพรบ!DG68"")"),0)</f>
        <v>0</v>
      </c>
      <c r="G68" s="176">
        <f ca="1">IFERROR(__xludf.DUMMYFUNCTION("IMPORTRANGE(""https://docs.google.com/spreadsheets/d/1-uDff_7J0KD5mKrp0Vvzr7lt3OU09vwQwhkpOPPYv2Y/edit?usp=sharing"",""งบพรบ!DH68"")"),0)</f>
        <v>0</v>
      </c>
      <c r="H68" s="176">
        <f ca="1">IFERROR(__xludf.DUMMYFUNCTION("IMPORTRANGE(""https://docs.google.com/spreadsheets/d/1-uDff_7J0KD5mKrp0Vvzr7lt3OU09vwQwhkpOPPYv2Y/edit?usp=sharing"",""งบพรบ!DJ68"")"),0)</f>
        <v>0</v>
      </c>
      <c r="I68" s="176">
        <f ca="1">IFERROR(__xludf.DUMMYFUNCTION("IMPORTRANGE(""https://docs.google.com/spreadsheets/d/1-uDff_7J0KD5mKrp0Vvzr7lt3OU09vwQwhkpOPPYv2Y/edit?usp=sharing"",""งบพรบ!DK68"")"),0)</f>
        <v>0</v>
      </c>
      <c r="J68" s="176">
        <f t="shared" ca="1" si="23"/>
        <v>0</v>
      </c>
      <c r="K68" s="179">
        <f t="shared" ca="1" si="24"/>
        <v>0</v>
      </c>
      <c r="L68" s="176">
        <f ca="1">IFERROR(__xludf.DUMMYFUNCTION("IMPORTRANGE(""https://docs.google.com/spreadsheets/d/1-uDff_7J0KD5mKrp0Vvzr7lt3OU09vwQwhkpOPPYv2Y/edit?usp=sharing"",""งบพรบ!DL68"")"),0)</f>
        <v>0</v>
      </c>
      <c r="M68" s="87">
        <f t="shared" ca="1" si="25"/>
        <v>0</v>
      </c>
      <c r="N68" s="87">
        <f t="shared" ca="1" si="26"/>
        <v>0</v>
      </c>
      <c r="O68" s="86">
        <f ca="1">IFERROR(__xludf.DUMMYFUNCTION("IMPORTRANGE(""https://docs.google.com/spreadsheets/d/1-uDff_7J0KD5mKrp0Vvzr7lt3OU09vwQwhkpOPPYv2Y/edit?usp=sharing"",""งบพรบ!DM68"")"),0)</f>
        <v>0</v>
      </c>
      <c r="P68" s="86">
        <f t="shared" ca="1" si="27"/>
        <v>0</v>
      </c>
      <c r="Q68" s="87">
        <f t="shared" ca="1" si="28"/>
        <v>0</v>
      </c>
      <c r="R68" s="86">
        <f ca="1">IFERROR(__xludf.DUMMYFUNCTION("IMPORTRANGE(""https://docs.google.com/spreadsheets/d/1lufeA2cfFqM-elVq2hznhDzC6Pr7wkJ9ZG_sYNGCMCU/edit?usp=sharing"",""ลพบุรี!Q266"")"),50660)</f>
        <v>50660</v>
      </c>
      <c r="S68" s="86">
        <f ca="1">IFERROR(__xludf.DUMMYFUNCTION("IMPORTRANGE(""https://docs.google.com/spreadsheets/d/1lufeA2cfFqM-elVq2hznhDzC6Pr7wkJ9ZG_sYNGCMCU/edit?usp=sharing"",""ลพบุรี!R266"")"),0)</f>
        <v>0</v>
      </c>
      <c r="T68" s="86">
        <f ca="1">IFERROR(__xludf.DUMMYFUNCTION("IMPORTRANGE(""https://docs.google.com/spreadsheets/d/1lufeA2cfFqM-elVq2hznhDzC6Pr7wkJ9ZG_sYNGCMCU/edit?usp=sharing"",""ลพบุรี!S266"")"),0)</f>
        <v>0</v>
      </c>
      <c r="U68" s="87">
        <f t="shared" ca="1" si="30"/>
        <v>0</v>
      </c>
      <c r="V68" s="87">
        <f t="shared" ca="1" si="31"/>
        <v>0</v>
      </c>
      <c r="W68" s="97">
        <f ca="1">IFERROR(__xludf.DUMMYFUNCTION("IMPORTRANGE(""https://docs.google.com/spreadsheets/d/1lufeA2cfFqM-elVq2hznhDzC6Pr7wkJ9ZG_sYNGCMCU/edit?usp=sharing"",""ลพบุรี!I276"")"),22)</f>
        <v>22</v>
      </c>
      <c r="X68" s="97">
        <f ca="1">IFERROR(__xludf.DUMMYFUNCTION("IMPORTRANGE(""https://docs.google.com/spreadsheets/d/1lufeA2cfFqM-elVq2hznhDzC6Pr7wkJ9ZG_sYNGCMCU/edit?usp=sharing"",""ลพบุรี!J276"")"),0)</f>
        <v>0</v>
      </c>
      <c r="Y68" s="177">
        <f t="shared" ca="1" si="33"/>
        <v>0</v>
      </c>
      <c r="Z68" s="99">
        <v>0</v>
      </c>
      <c r="AA68" s="99">
        <v>0</v>
      </c>
      <c r="AB68" s="219">
        <v>0</v>
      </c>
    </row>
    <row r="69" spans="1:28" ht="19.5" x14ac:dyDescent="0.3">
      <c r="A69" s="172">
        <v>17</v>
      </c>
      <c r="B69" s="173" t="s">
        <v>95</v>
      </c>
      <c r="C69" s="174">
        <f t="shared" ca="1" si="21"/>
        <v>0</v>
      </c>
      <c r="D69" s="175">
        <f t="shared" ca="1" si="42"/>
        <v>0</v>
      </c>
      <c r="E69" s="176">
        <f ca="1">IFERROR(__xludf.DUMMYFUNCTION("IMPORTRANGE(""https://docs.google.com/spreadsheets/d/1-uDff_7J0KD5mKrp0Vvzr7lt3OU09vwQwhkpOPPYv2Y/edit?usp=sharing"",""งบพรบ!DF69"")"),0)</f>
        <v>0</v>
      </c>
      <c r="F69" s="176">
        <f ca="1">IFERROR(__xludf.DUMMYFUNCTION("IMPORTRANGE(""https://docs.google.com/spreadsheets/d/1-uDff_7J0KD5mKrp0Vvzr7lt3OU09vwQwhkpOPPYv2Y/edit?usp=sharing"",""งบพรบ!DG69"")"),0)</f>
        <v>0</v>
      </c>
      <c r="G69" s="176">
        <f ca="1">IFERROR(__xludf.DUMMYFUNCTION("IMPORTRANGE(""https://docs.google.com/spreadsheets/d/1-uDff_7J0KD5mKrp0Vvzr7lt3OU09vwQwhkpOPPYv2Y/edit?usp=sharing"",""งบพรบ!DH69"")"),0)</f>
        <v>0</v>
      </c>
      <c r="H69" s="176">
        <f ca="1">IFERROR(__xludf.DUMMYFUNCTION("IMPORTRANGE(""https://docs.google.com/spreadsheets/d/1-uDff_7J0KD5mKrp0Vvzr7lt3OU09vwQwhkpOPPYv2Y/edit?usp=sharing"",""งบพรบ!DJ69"")"),0)</f>
        <v>0</v>
      </c>
      <c r="I69" s="176">
        <f ca="1">IFERROR(__xludf.DUMMYFUNCTION("IMPORTRANGE(""https://docs.google.com/spreadsheets/d/1-uDff_7J0KD5mKrp0Vvzr7lt3OU09vwQwhkpOPPYv2Y/edit?usp=sharing"",""งบพรบ!DK69"")"),0)</f>
        <v>0</v>
      </c>
      <c r="J69" s="176">
        <f t="shared" ca="1" si="23"/>
        <v>0</v>
      </c>
      <c r="K69" s="179">
        <f t="shared" ca="1" si="24"/>
        <v>0</v>
      </c>
      <c r="L69" s="176">
        <f ca="1">IFERROR(__xludf.DUMMYFUNCTION("IMPORTRANGE(""https://docs.google.com/spreadsheets/d/1-uDff_7J0KD5mKrp0Vvzr7lt3OU09vwQwhkpOPPYv2Y/edit?usp=sharing"",""งบพรบ!DL69"")"),0)</f>
        <v>0</v>
      </c>
      <c r="M69" s="87">
        <f t="shared" ca="1" si="25"/>
        <v>0</v>
      </c>
      <c r="N69" s="87">
        <f t="shared" ca="1" si="26"/>
        <v>0</v>
      </c>
      <c r="O69" s="86">
        <f ca="1">IFERROR(__xludf.DUMMYFUNCTION("IMPORTRANGE(""https://docs.google.com/spreadsheets/d/1-uDff_7J0KD5mKrp0Vvzr7lt3OU09vwQwhkpOPPYv2Y/edit?usp=sharing"",""งบพรบ!DM69"")"),0)</f>
        <v>0</v>
      </c>
      <c r="P69" s="86">
        <f t="shared" ca="1" si="27"/>
        <v>0</v>
      </c>
      <c r="Q69" s="87">
        <f t="shared" ca="1" si="28"/>
        <v>0</v>
      </c>
      <c r="R69" s="86">
        <f ca="1">IFERROR(__xludf.DUMMYFUNCTION("IMPORTRANGE(""https://docs.google.com/spreadsheets/d/10oOiF7loTyfsTkbd4MpaIm0HQ9SwB7IYHdIUvt-U1Uc/edit?usp=sharing"",""สระแก้ว!Q266"")"),50660)</f>
        <v>50660</v>
      </c>
      <c r="S69" s="86">
        <f ca="1">IFERROR(__xludf.DUMMYFUNCTION("IMPORTRANGE(""https://docs.google.com/spreadsheets/d/10oOiF7loTyfsTkbd4MpaIm0HQ9SwB7IYHdIUvt-U1Uc/edit?usp=sharing"",""สระแก้ว!R266"")"),0)</f>
        <v>0</v>
      </c>
      <c r="T69" s="86">
        <f ca="1">IFERROR(__xludf.DUMMYFUNCTION("IMPORTRANGE(""https://docs.google.com/spreadsheets/d/10oOiF7loTyfsTkbd4MpaIm0HQ9SwB7IYHdIUvt-U1Uc/edit?usp=sharing"",""สระแก้ว!S266"")"),0)</f>
        <v>0</v>
      </c>
      <c r="U69" s="87">
        <f t="shared" ca="1" si="30"/>
        <v>0</v>
      </c>
      <c r="V69" s="87">
        <f t="shared" ca="1" si="31"/>
        <v>0</v>
      </c>
      <c r="W69" s="93">
        <f ca="1">IFERROR(__xludf.DUMMYFUNCTION("IMPORTRANGE(""https://docs.google.com/spreadsheets/d/10oOiF7loTyfsTkbd4MpaIm0HQ9SwB7IYHdIUvt-U1Uc/edit?usp=sharing"",""สระแก้ว!I276"")"),22)</f>
        <v>22</v>
      </c>
      <c r="X69" s="93">
        <f ca="1">IFERROR(__xludf.DUMMYFUNCTION("IMPORTRANGE(""https://docs.google.com/spreadsheets/d/10oOiF7loTyfsTkbd4MpaIm0HQ9SwB7IYHdIUvt-U1Uc/edit?usp=sharing"",""สระแก้ว!J276"")"),0)</f>
        <v>0</v>
      </c>
      <c r="Y69" s="177">
        <f t="shared" ca="1" si="33"/>
        <v>0</v>
      </c>
      <c r="Z69" s="216">
        <v>0</v>
      </c>
      <c r="AA69" s="216">
        <v>0</v>
      </c>
      <c r="AB69" s="219">
        <v>0</v>
      </c>
    </row>
    <row r="70" spans="1:28" ht="19.5" x14ac:dyDescent="0.3">
      <c r="A70" s="172">
        <v>18</v>
      </c>
      <c r="B70" s="173" t="s">
        <v>96</v>
      </c>
      <c r="C70" s="174">
        <f t="shared" ca="1" si="21"/>
        <v>0</v>
      </c>
      <c r="D70" s="175">
        <f t="shared" ca="1" si="42"/>
        <v>0</v>
      </c>
      <c r="E70" s="176">
        <f ca="1">IFERROR(__xludf.DUMMYFUNCTION("IMPORTRANGE(""https://docs.google.com/spreadsheets/d/1-uDff_7J0KD5mKrp0Vvzr7lt3OU09vwQwhkpOPPYv2Y/edit?usp=sharing"",""งบพรบ!DF70"")"),0)</f>
        <v>0</v>
      </c>
      <c r="F70" s="176">
        <f ca="1">IFERROR(__xludf.DUMMYFUNCTION("IMPORTRANGE(""https://docs.google.com/spreadsheets/d/1-uDff_7J0KD5mKrp0Vvzr7lt3OU09vwQwhkpOPPYv2Y/edit?usp=sharing"",""งบพรบ!DG70"")"),0)</f>
        <v>0</v>
      </c>
      <c r="G70" s="176">
        <f ca="1">IFERROR(__xludf.DUMMYFUNCTION("IMPORTRANGE(""https://docs.google.com/spreadsheets/d/1-uDff_7J0KD5mKrp0Vvzr7lt3OU09vwQwhkpOPPYv2Y/edit?usp=sharing"",""งบพรบ!DH70"")"),0)</f>
        <v>0</v>
      </c>
      <c r="H70" s="176">
        <f ca="1">IFERROR(__xludf.DUMMYFUNCTION("IMPORTRANGE(""https://docs.google.com/spreadsheets/d/1-uDff_7J0KD5mKrp0Vvzr7lt3OU09vwQwhkpOPPYv2Y/edit?usp=sharing"",""งบพรบ!DJ70"")"),0)</f>
        <v>0</v>
      </c>
      <c r="I70" s="176">
        <f ca="1">IFERROR(__xludf.DUMMYFUNCTION("IMPORTRANGE(""https://docs.google.com/spreadsheets/d/1-uDff_7J0KD5mKrp0Vvzr7lt3OU09vwQwhkpOPPYv2Y/edit?usp=sharing"",""งบพรบ!DK70"")"),0)</f>
        <v>0</v>
      </c>
      <c r="J70" s="176">
        <f t="shared" ca="1" si="23"/>
        <v>0</v>
      </c>
      <c r="K70" s="179">
        <f t="shared" ca="1" si="24"/>
        <v>0</v>
      </c>
      <c r="L70" s="176">
        <f ca="1">IFERROR(__xludf.DUMMYFUNCTION("IMPORTRANGE(""https://docs.google.com/spreadsheets/d/1-uDff_7J0KD5mKrp0Vvzr7lt3OU09vwQwhkpOPPYv2Y/edit?usp=sharing"",""งบพรบ!DL70"")"),0)</f>
        <v>0</v>
      </c>
      <c r="M70" s="87">
        <f t="shared" ca="1" si="25"/>
        <v>0</v>
      </c>
      <c r="N70" s="87">
        <f t="shared" ca="1" si="26"/>
        <v>0</v>
      </c>
      <c r="O70" s="86">
        <f ca="1">IFERROR(__xludf.DUMMYFUNCTION("IMPORTRANGE(""https://docs.google.com/spreadsheets/d/1-uDff_7J0KD5mKrp0Vvzr7lt3OU09vwQwhkpOPPYv2Y/edit?usp=sharing"",""งบพรบ!DM70"")"),0)</f>
        <v>0</v>
      </c>
      <c r="P70" s="86">
        <f t="shared" ca="1" si="27"/>
        <v>0</v>
      </c>
      <c r="Q70" s="87">
        <f t="shared" ca="1" si="28"/>
        <v>0</v>
      </c>
      <c r="R70" s="86">
        <f ca="1">IFERROR(__xludf.DUMMYFUNCTION("IMPORTRANGE(""https://docs.google.com/spreadsheets/d/1xmPlrr1QbdSIKvl1dWUl9K4PjAfSL9oeMr_37QVzcxc/edit?usp=sharing"",""สระบุรี!Q266"")"),50660)</f>
        <v>50660</v>
      </c>
      <c r="S70" s="86">
        <f ca="1">IFERROR(__xludf.DUMMYFUNCTION("IMPORTRANGE(""https://docs.google.com/spreadsheets/d/1xmPlrr1QbdSIKvl1dWUl9K4PjAfSL9oeMr_37QVzcxc/edit?usp=sharing"",""สระบุรี!R266"")"),0)</f>
        <v>0</v>
      </c>
      <c r="T70" s="86">
        <f ca="1">IFERROR(__xludf.DUMMYFUNCTION("IMPORTRANGE(""https://docs.google.com/spreadsheets/d/1xmPlrr1QbdSIKvl1dWUl9K4PjAfSL9oeMr_37QVzcxc/edit?usp=sharing"",""สระบุรี!S266"")"),0)</f>
        <v>0</v>
      </c>
      <c r="U70" s="87">
        <f t="shared" ca="1" si="30"/>
        <v>0</v>
      </c>
      <c r="V70" s="87">
        <f t="shared" ca="1" si="31"/>
        <v>0</v>
      </c>
      <c r="W70" s="93">
        <f ca="1">IFERROR(__xludf.DUMMYFUNCTION("IMPORTRANGE(""https://docs.google.com/spreadsheets/d/1xmPlrr1QbdSIKvl1dWUl9K4PjAfSL9oeMr_37QVzcxc/edit?usp=sharing"",""สระบุรี!I276"")"),22)</f>
        <v>22</v>
      </c>
      <c r="X70" s="93">
        <f ca="1">IFERROR(__xludf.DUMMYFUNCTION("IMPORTRANGE(""https://docs.google.com/spreadsheets/d/1xmPlrr1QbdSIKvl1dWUl9K4PjAfSL9oeMr_37QVzcxc/edit?usp=sharing"",""สระบุรี!J276"")"),0)</f>
        <v>0</v>
      </c>
      <c r="Y70" s="177">
        <f t="shared" ca="1" si="33"/>
        <v>0</v>
      </c>
      <c r="Z70" s="216">
        <v>0</v>
      </c>
      <c r="AA70" s="216">
        <v>0</v>
      </c>
      <c r="AB70" s="219">
        <v>0</v>
      </c>
    </row>
    <row r="71" spans="1:28" ht="19.5" x14ac:dyDescent="0.3">
      <c r="A71" s="172">
        <v>19</v>
      </c>
      <c r="B71" s="173" t="s">
        <v>97</v>
      </c>
      <c r="C71" s="174">
        <f t="shared" ca="1" si="21"/>
        <v>0</v>
      </c>
      <c r="D71" s="175">
        <f t="shared" ca="1" si="42"/>
        <v>0</v>
      </c>
      <c r="E71" s="176">
        <f ca="1">IFERROR(__xludf.DUMMYFUNCTION("IMPORTRANGE(""https://docs.google.com/spreadsheets/d/1-uDff_7J0KD5mKrp0Vvzr7lt3OU09vwQwhkpOPPYv2Y/edit?usp=sharing"",""งบพรบ!DF71"")"),0)</f>
        <v>0</v>
      </c>
      <c r="F71" s="176">
        <f ca="1">IFERROR(__xludf.DUMMYFUNCTION("IMPORTRANGE(""https://docs.google.com/spreadsheets/d/1-uDff_7J0KD5mKrp0Vvzr7lt3OU09vwQwhkpOPPYv2Y/edit?usp=sharing"",""งบพรบ!DG71"")"),0)</f>
        <v>0</v>
      </c>
      <c r="G71" s="176">
        <f ca="1">IFERROR(__xludf.DUMMYFUNCTION("IMPORTRANGE(""https://docs.google.com/spreadsheets/d/1-uDff_7J0KD5mKrp0Vvzr7lt3OU09vwQwhkpOPPYv2Y/edit?usp=sharing"",""งบพรบ!DH71"")"),0)</f>
        <v>0</v>
      </c>
      <c r="H71" s="176">
        <f ca="1">IFERROR(__xludf.DUMMYFUNCTION("IMPORTRANGE(""https://docs.google.com/spreadsheets/d/1-uDff_7J0KD5mKrp0Vvzr7lt3OU09vwQwhkpOPPYv2Y/edit?usp=sharing"",""งบพรบ!DJ71"")"),0)</f>
        <v>0</v>
      </c>
      <c r="I71" s="176">
        <f ca="1">IFERROR(__xludf.DUMMYFUNCTION("IMPORTRANGE(""https://docs.google.com/spreadsheets/d/1-uDff_7J0KD5mKrp0Vvzr7lt3OU09vwQwhkpOPPYv2Y/edit?usp=sharing"",""งบพรบ!DK71"")"),0)</f>
        <v>0</v>
      </c>
      <c r="J71" s="176">
        <f t="shared" ca="1" si="23"/>
        <v>0</v>
      </c>
      <c r="K71" s="179">
        <f t="shared" ca="1" si="24"/>
        <v>0</v>
      </c>
      <c r="L71" s="176">
        <f ca="1">IFERROR(__xludf.DUMMYFUNCTION("IMPORTRANGE(""https://docs.google.com/spreadsheets/d/1-uDff_7J0KD5mKrp0Vvzr7lt3OU09vwQwhkpOPPYv2Y/edit?usp=sharing"",""งบพรบ!DL71"")"),0)</f>
        <v>0</v>
      </c>
      <c r="M71" s="87">
        <f t="shared" ca="1" si="25"/>
        <v>0</v>
      </c>
      <c r="N71" s="87">
        <f t="shared" ca="1" si="26"/>
        <v>0</v>
      </c>
      <c r="O71" s="86">
        <f ca="1">IFERROR(__xludf.DUMMYFUNCTION("IMPORTRANGE(""https://docs.google.com/spreadsheets/d/1-uDff_7J0KD5mKrp0Vvzr7lt3OU09vwQwhkpOPPYv2Y/edit?usp=sharing"",""งบพรบ!DM71"")"),0)</f>
        <v>0</v>
      </c>
      <c r="P71" s="86">
        <f t="shared" ca="1" si="27"/>
        <v>0</v>
      </c>
      <c r="Q71" s="87">
        <f t="shared" ca="1" si="28"/>
        <v>0</v>
      </c>
      <c r="R71" s="86">
        <f ca="1">IFERROR(__xludf.DUMMYFUNCTION("IMPORTRANGE(""https://docs.google.com/spreadsheets/d/1j51vR6CYVGhABJpv6tkstgok82RLpXieLzW1yOY5rHw/edit?usp=sharing"",""สิงห์บุรี!Q266"")"),36760)</f>
        <v>36760</v>
      </c>
      <c r="S71" s="86">
        <f ca="1">IFERROR(__xludf.DUMMYFUNCTION("IMPORTRANGE(""https://docs.google.com/spreadsheets/d/1j51vR6CYVGhABJpv6tkstgok82RLpXieLzW1yOY5rHw/edit?usp=sharing"",""สิงห์บุรี!R266"")"),0)</f>
        <v>0</v>
      </c>
      <c r="T71" s="86">
        <f ca="1">IFERROR(__xludf.DUMMYFUNCTION("IMPORTRANGE(""https://docs.google.com/spreadsheets/d/1j51vR6CYVGhABJpv6tkstgok82RLpXieLzW1yOY5rHw/edit?usp=sharing"",""สิงห์บุรี!S266"")"),0)</f>
        <v>0</v>
      </c>
      <c r="U71" s="87">
        <f t="shared" ca="1" si="30"/>
        <v>0</v>
      </c>
      <c r="V71" s="87">
        <f t="shared" ca="1" si="31"/>
        <v>0</v>
      </c>
      <c r="W71" s="93">
        <f ca="1">IFERROR(__xludf.DUMMYFUNCTION("IMPORTRANGE(""https://docs.google.com/spreadsheets/d/1j51vR6CYVGhABJpv6tkstgok82RLpXieLzW1yOY5rHw/edit?usp=sharing"",""สิงห์บุรี!I276"")"),12)</f>
        <v>12</v>
      </c>
      <c r="X71" s="93">
        <f ca="1">IFERROR(__xludf.DUMMYFUNCTION("IMPORTRANGE(""https://docs.google.com/spreadsheets/d/1j51vR6CYVGhABJpv6tkstgok82RLpXieLzW1yOY5rHw/edit?usp=sharing"",""สิงห์บุรี!J276"")"),0)</f>
        <v>0</v>
      </c>
      <c r="Y71" s="177">
        <f t="shared" ca="1" si="33"/>
        <v>0</v>
      </c>
      <c r="Z71" s="216">
        <v>0</v>
      </c>
      <c r="AA71" s="216">
        <v>0</v>
      </c>
      <c r="AB71" s="219">
        <v>0</v>
      </c>
    </row>
    <row r="72" spans="1:28" ht="19.5" x14ac:dyDescent="0.3">
      <c r="A72" s="172">
        <v>20</v>
      </c>
      <c r="B72" s="173" t="s">
        <v>98</v>
      </c>
      <c r="C72" s="174">
        <f t="shared" ca="1" si="21"/>
        <v>0</v>
      </c>
      <c r="D72" s="175">
        <f t="shared" ca="1" si="42"/>
        <v>0</v>
      </c>
      <c r="E72" s="176">
        <f ca="1">IFERROR(__xludf.DUMMYFUNCTION("IMPORTRANGE(""https://docs.google.com/spreadsheets/d/1-uDff_7J0KD5mKrp0Vvzr7lt3OU09vwQwhkpOPPYv2Y/edit?usp=sharing"",""งบพรบ!DF72"")"),0)</f>
        <v>0</v>
      </c>
      <c r="F72" s="176">
        <f ca="1">IFERROR(__xludf.DUMMYFUNCTION("IMPORTRANGE(""https://docs.google.com/spreadsheets/d/1-uDff_7J0KD5mKrp0Vvzr7lt3OU09vwQwhkpOPPYv2Y/edit?usp=sharing"",""งบพรบ!DG72"")"),0)</f>
        <v>0</v>
      </c>
      <c r="G72" s="176">
        <f ca="1">IFERROR(__xludf.DUMMYFUNCTION("IMPORTRANGE(""https://docs.google.com/spreadsheets/d/1-uDff_7J0KD5mKrp0Vvzr7lt3OU09vwQwhkpOPPYv2Y/edit?usp=sharing"",""งบพรบ!DH72"")"),0)</f>
        <v>0</v>
      </c>
      <c r="H72" s="176">
        <f ca="1">IFERROR(__xludf.DUMMYFUNCTION("IMPORTRANGE(""https://docs.google.com/spreadsheets/d/1-uDff_7J0KD5mKrp0Vvzr7lt3OU09vwQwhkpOPPYv2Y/edit?usp=sharing"",""งบพรบ!DJ72"")"),0)</f>
        <v>0</v>
      </c>
      <c r="I72" s="176">
        <f ca="1">IFERROR(__xludf.DUMMYFUNCTION("IMPORTRANGE(""https://docs.google.com/spreadsheets/d/1-uDff_7J0KD5mKrp0Vvzr7lt3OU09vwQwhkpOPPYv2Y/edit?usp=sharing"",""งบพรบ!DK72"")"),0)</f>
        <v>0</v>
      </c>
      <c r="J72" s="176">
        <f t="shared" ca="1" si="23"/>
        <v>0</v>
      </c>
      <c r="K72" s="179">
        <f t="shared" ca="1" si="24"/>
        <v>0</v>
      </c>
      <c r="L72" s="176">
        <f ca="1">IFERROR(__xludf.DUMMYFUNCTION("IMPORTRANGE(""https://docs.google.com/spreadsheets/d/1-uDff_7J0KD5mKrp0Vvzr7lt3OU09vwQwhkpOPPYv2Y/edit?usp=sharing"",""งบพรบ!DL72"")"),0)</f>
        <v>0</v>
      </c>
      <c r="M72" s="87">
        <f t="shared" ca="1" si="25"/>
        <v>0</v>
      </c>
      <c r="N72" s="87">
        <f t="shared" ca="1" si="26"/>
        <v>0</v>
      </c>
      <c r="O72" s="86">
        <f ca="1">IFERROR(__xludf.DUMMYFUNCTION("IMPORTRANGE(""https://docs.google.com/spreadsheets/d/1-uDff_7J0KD5mKrp0Vvzr7lt3OU09vwQwhkpOPPYv2Y/edit?usp=sharing"",""งบพรบ!DM72"")"),0)</f>
        <v>0</v>
      </c>
      <c r="P72" s="86">
        <f t="shared" ca="1" si="27"/>
        <v>0</v>
      </c>
      <c r="Q72" s="87">
        <f t="shared" ca="1" si="28"/>
        <v>0</v>
      </c>
      <c r="R72" s="86">
        <f ca="1">IFERROR(__xludf.DUMMYFUNCTION("IMPORTRANGE(""https://docs.google.com/spreadsheets/d/1H1EalTWKUSzO4Z1-1CwzoDUaVffgrThEBe2sl74kKG0/edit?usp=sharing"",""สุพรรณบุรี!Q266"")"),50660)</f>
        <v>50660</v>
      </c>
      <c r="S72" s="86">
        <f ca="1">IFERROR(__xludf.DUMMYFUNCTION("IMPORTRANGE(""https://docs.google.com/spreadsheets/d/1H1EalTWKUSzO4Z1-1CwzoDUaVffgrThEBe2sl74kKG0/edit?usp=sharing"",""สุพรรณบุรี!R266"")"),0)</f>
        <v>0</v>
      </c>
      <c r="T72" s="86">
        <f ca="1">IFERROR(__xludf.DUMMYFUNCTION("IMPORTRANGE(""https://docs.google.com/spreadsheets/d/1H1EalTWKUSzO4Z1-1CwzoDUaVffgrThEBe2sl74kKG0/edit?usp=sharing"",""สุพรรณบุรี!S266"")"),0)</f>
        <v>0</v>
      </c>
      <c r="U72" s="87">
        <f t="shared" ca="1" si="30"/>
        <v>0</v>
      </c>
      <c r="V72" s="87">
        <f t="shared" ca="1" si="31"/>
        <v>0</v>
      </c>
      <c r="W72" s="93">
        <f ca="1">IFERROR(__xludf.DUMMYFUNCTION("IMPORTRANGE(""https://docs.google.com/spreadsheets/d/1H1EalTWKUSzO4Z1-1CwzoDUaVffgrThEBe2sl74kKG0/edit?usp=sharing"",""สุพรรณบุรี!I276"")"),22)</f>
        <v>22</v>
      </c>
      <c r="X72" s="93">
        <f ca="1">IFERROR(__xludf.DUMMYFUNCTION("IMPORTRANGE(""https://docs.google.com/spreadsheets/d/1H1EalTWKUSzO4Z1-1CwzoDUaVffgrThEBe2sl74kKG0/edit?usp=sharing"",""สุพรรณบุรี!J276"")"),0)</f>
        <v>0</v>
      </c>
      <c r="Y72" s="177">
        <f t="shared" ca="1" si="33"/>
        <v>0</v>
      </c>
      <c r="Z72" s="216">
        <v>0</v>
      </c>
      <c r="AA72" s="216">
        <v>0</v>
      </c>
      <c r="AB72" s="219">
        <v>0</v>
      </c>
    </row>
    <row r="73" spans="1:28" ht="19.5" x14ac:dyDescent="0.3">
      <c r="A73" s="180">
        <v>21</v>
      </c>
      <c r="B73" s="181" t="s">
        <v>99</v>
      </c>
      <c r="C73" s="182">
        <f t="shared" ca="1" si="21"/>
        <v>0</v>
      </c>
      <c r="D73" s="183">
        <f t="shared" ca="1" si="42"/>
        <v>0</v>
      </c>
      <c r="E73" s="184">
        <f ca="1">IFERROR(__xludf.DUMMYFUNCTION("IMPORTRANGE(""https://docs.google.com/spreadsheets/d/1-uDff_7J0KD5mKrp0Vvzr7lt3OU09vwQwhkpOPPYv2Y/edit?usp=sharing"",""งบพรบ!DF73"")"),0)</f>
        <v>0</v>
      </c>
      <c r="F73" s="184">
        <f ca="1">IFERROR(__xludf.DUMMYFUNCTION("IMPORTRANGE(""https://docs.google.com/spreadsheets/d/1-uDff_7J0KD5mKrp0Vvzr7lt3OU09vwQwhkpOPPYv2Y/edit?usp=sharing"",""งบพรบ!DG73"")"),0)</f>
        <v>0</v>
      </c>
      <c r="G73" s="184">
        <f ca="1">IFERROR(__xludf.DUMMYFUNCTION("IMPORTRANGE(""https://docs.google.com/spreadsheets/d/1-uDff_7J0KD5mKrp0Vvzr7lt3OU09vwQwhkpOPPYv2Y/edit?usp=sharing"",""งบพรบ!DH73"")"),0)</f>
        <v>0</v>
      </c>
      <c r="H73" s="184">
        <f ca="1">IFERROR(__xludf.DUMMYFUNCTION("IMPORTRANGE(""https://docs.google.com/spreadsheets/d/1-uDff_7J0KD5mKrp0Vvzr7lt3OU09vwQwhkpOPPYv2Y/edit?usp=sharing"",""งบพรบ!DJ73"")"),0)</f>
        <v>0</v>
      </c>
      <c r="I73" s="184">
        <f ca="1">IFERROR(__xludf.DUMMYFUNCTION("IMPORTRANGE(""https://docs.google.com/spreadsheets/d/1-uDff_7J0KD5mKrp0Vvzr7lt3OU09vwQwhkpOPPYv2Y/edit?usp=sharing"",""งบพรบ!DK73"")"),0)</f>
        <v>0</v>
      </c>
      <c r="J73" s="184">
        <f t="shared" ca="1" si="23"/>
        <v>0</v>
      </c>
      <c r="K73" s="185">
        <f t="shared" ca="1" si="24"/>
        <v>0</v>
      </c>
      <c r="L73" s="184">
        <f ca="1">IFERROR(__xludf.DUMMYFUNCTION("IMPORTRANGE(""https://docs.google.com/spreadsheets/d/1-uDff_7J0KD5mKrp0Vvzr7lt3OU09vwQwhkpOPPYv2Y/edit?usp=sharing"",""งบพรบ!DL73"")"),0)</f>
        <v>0</v>
      </c>
      <c r="M73" s="109">
        <f t="shared" ca="1" si="25"/>
        <v>0</v>
      </c>
      <c r="N73" s="109">
        <f t="shared" ca="1" si="26"/>
        <v>0</v>
      </c>
      <c r="O73" s="108">
        <f ca="1">IFERROR(__xludf.DUMMYFUNCTION("IMPORTRANGE(""https://docs.google.com/spreadsheets/d/1-uDff_7J0KD5mKrp0Vvzr7lt3OU09vwQwhkpOPPYv2Y/edit?usp=sharing"",""งบพรบ!DM73"")"),0)</f>
        <v>0</v>
      </c>
      <c r="P73" s="108">
        <f t="shared" ca="1" si="27"/>
        <v>0</v>
      </c>
      <c r="Q73" s="109">
        <f t="shared" ca="1" si="28"/>
        <v>0</v>
      </c>
      <c r="R73" s="108">
        <f ca="1">IFERROR(__xludf.DUMMYFUNCTION("IMPORTRANGE(""https://docs.google.com/spreadsheets/d/1BmIruG_sIrJLYao_Pdr7zVArWsfoBt2692TMi6x_854/edit?usp=sharing"",""อ่างทอง!Q266"")"),36760)</f>
        <v>36760</v>
      </c>
      <c r="S73" s="108">
        <f ca="1">IFERROR(__xludf.DUMMYFUNCTION("IMPORTRANGE(""https://docs.google.com/spreadsheets/d/1BmIruG_sIrJLYao_Pdr7zVArWsfoBt2692TMi6x_854/edit?usp=sharing"",""อ่างทอง!R266"")"),0)</f>
        <v>0</v>
      </c>
      <c r="T73" s="108">
        <f ca="1">IFERROR(__xludf.DUMMYFUNCTION("IMPORTRANGE(""https://docs.google.com/spreadsheets/d/1BmIruG_sIrJLYao_Pdr7zVArWsfoBt2692TMi6x_854/edit?usp=sharing"",""อ่างทอง!S266"")"),0)</f>
        <v>0</v>
      </c>
      <c r="U73" s="109">
        <f t="shared" ca="1" si="30"/>
        <v>0</v>
      </c>
      <c r="V73" s="109">
        <f t="shared" ca="1" si="31"/>
        <v>0</v>
      </c>
      <c r="W73" s="104">
        <f ca="1">IFERROR(__xludf.DUMMYFUNCTION("IMPORTRANGE(""https://docs.google.com/spreadsheets/d/1BmIruG_sIrJLYao_Pdr7zVArWsfoBt2692TMi6x_854/edit?usp=sharing"",""อ่างทอง!I276"")"),12)</f>
        <v>12</v>
      </c>
      <c r="X73" s="104">
        <f ca="1">IFERROR(__xludf.DUMMYFUNCTION("IMPORTRANGE(""https://docs.google.com/spreadsheets/d/1BmIruG_sIrJLYao_Pdr7zVArWsfoBt2692TMi6x_854/edit?usp=sharing"",""อ่างทอง!J276"")"),0)</f>
        <v>0</v>
      </c>
      <c r="Y73" s="186">
        <f t="shared" ca="1" si="33"/>
        <v>0</v>
      </c>
      <c r="Z73" s="217">
        <v>0</v>
      </c>
      <c r="AA73" s="217">
        <v>0</v>
      </c>
      <c r="AB73" s="222">
        <v>0</v>
      </c>
    </row>
    <row r="74" spans="1:28" ht="19.5" x14ac:dyDescent="0.3">
      <c r="A74" s="636" t="s">
        <v>100</v>
      </c>
      <c r="B74" s="633"/>
      <c r="C74" s="161">
        <f t="shared" ca="1" si="21"/>
        <v>0</v>
      </c>
      <c r="D74" s="161">
        <f t="shared" ref="D74:I74" ca="1" si="43">SUM(D75:D88)</f>
        <v>0</v>
      </c>
      <c r="E74" s="161">
        <f t="shared" ca="1" si="43"/>
        <v>0</v>
      </c>
      <c r="F74" s="161">
        <f t="shared" ca="1" si="43"/>
        <v>0</v>
      </c>
      <c r="G74" s="161">
        <f t="shared" ca="1" si="43"/>
        <v>0</v>
      </c>
      <c r="H74" s="161">
        <f t="shared" ca="1" si="43"/>
        <v>0</v>
      </c>
      <c r="I74" s="161">
        <f t="shared" ca="1" si="43"/>
        <v>0</v>
      </c>
      <c r="J74" s="161">
        <f t="shared" ca="1" si="23"/>
        <v>0</v>
      </c>
      <c r="K74" s="162">
        <f t="shared" ca="1" si="24"/>
        <v>0</v>
      </c>
      <c r="L74" s="161">
        <f ca="1">SUM(L75:L88)</f>
        <v>0</v>
      </c>
      <c r="M74" s="40">
        <f t="shared" ca="1" si="25"/>
        <v>0</v>
      </c>
      <c r="N74" s="40">
        <f t="shared" ca="1" si="26"/>
        <v>0</v>
      </c>
      <c r="O74" s="39">
        <f ca="1">SUM(O75:O88)</f>
        <v>0</v>
      </c>
      <c r="P74" s="39">
        <f t="shared" ca="1" si="27"/>
        <v>0</v>
      </c>
      <c r="Q74" s="40">
        <f t="shared" ca="1" si="28"/>
        <v>0</v>
      </c>
      <c r="R74" s="39">
        <f t="shared" ref="R74:T74" ca="1" si="44">SUM(R75:R88)</f>
        <v>706460</v>
      </c>
      <c r="S74" s="39">
        <f t="shared" ca="1" si="44"/>
        <v>0</v>
      </c>
      <c r="T74" s="39">
        <f t="shared" ca="1" si="44"/>
        <v>0</v>
      </c>
      <c r="U74" s="40">
        <f t="shared" ca="1" si="30"/>
        <v>0</v>
      </c>
      <c r="V74" s="40">
        <f t="shared" ca="1" si="31"/>
        <v>0</v>
      </c>
      <c r="W74" s="71">
        <f t="shared" ref="W74:X74" ca="1" si="45">SUM(W75:W88)</f>
        <v>306</v>
      </c>
      <c r="X74" s="71">
        <f t="shared" ca="1" si="45"/>
        <v>0</v>
      </c>
      <c r="Y74" s="161">
        <f t="shared" ca="1" si="33"/>
        <v>0</v>
      </c>
      <c r="Z74" s="218">
        <v>0</v>
      </c>
      <c r="AA74" s="218">
        <v>0</v>
      </c>
      <c r="AB74" s="214">
        <v>0</v>
      </c>
    </row>
    <row r="75" spans="1:28" ht="19.5" x14ac:dyDescent="0.3">
      <c r="A75" s="172">
        <v>1</v>
      </c>
      <c r="B75" s="173" t="s">
        <v>101</v>
      </c>
      <c r="C75" s="174">
        <f t="shared" ca="1" si="21"/>
        <v>0</v>
      </c>
      <c r="D75" s="175">
        <f t="shared" ref="D75:D88" ca="1" si="46">+E75+F75</f>
        <v>0</v>
      </c>
      <c r="E75" s="176">
        <f ca="1">IFERROR(__xludf.DUMMYFUNCTION("IMPORTRANGE(""https://docs.google.com/spreadsheets/d/1-uDff_7J0KD5mKrp0Vvzr7lt3OU09vwQwhkpOPPYv2Y/edit?usp=sharing"",""งบพรบ!DF75"")"),0)</f>
        <v>0</v>
      </c>
      <c r="F75" s="176">
        <f ca="1">IFERROR(__xludf.DUMMYFUNCTION("IMPORTRANGE(""https://docs.google.com/spreadsheets/d/1-uDff_7J0KD5mKrp0Vvzr7lt3OU09vwQwhkpOPPYv2Y/edit?usp=sharing"",""งบพรบ!DG75"")"),0)</f>
        <v>0</v>
      </c>
      <c r="G75" s="176">
        <f ca="1">IFERROR(__xludf.DUMMYFUNCTION("IMPORTRANGE(""https://docs.google.com/spreadsheets/d/1-uDff_7J0KD5mKrp0Vvzr7lt3OU09vwQwhkpOPPYv2Y/edit?usp=sharing"",""งบพรบ!DH75"")"),0)</f>
        <v>0</v>
      </c>
      <c r="H75" s="176">
        <f ca="1">IFERROR(__xludf.DUMMYFUNCTION("IMPORTRANGE(""https://docs.google.com/spreadsheets/d/1-uDff_7J0KD5mKrp0Vvzr7lt3OU09vwQwhkpOPPYv2Y/edit?usp=sharing"",""งบพรบ!DJ75"")"),0)</f>
        <v>0</v>
      </c>
      <c r="I75" s="176">
        <f ca="1">IFERROR(__xludf.DUMMYFUNCTION("IMPORTRANGE(""https://docs.google.com/spreadsheets/d/1-uDff_7J0KD5mKrp0Vvzr7lt3OU09vwQwhkpOPPYv2Y/edit?usp=sharing"",""งบพรบ!DK75"")"),0)</f>
        <v>0</v>
      </c>
      <c r="J75" s="176">
        <f t="shared" ca="1" si="23"/>
        <v>0</v>
      </c>
      <c r="K75" s="179">
        <f t="shared" ca="1" si="24"/>
        <v>0</v>
      </c>
      <c r="L75" s="176">
        <f ca="1">IFERROR(__xludf.DUMMYFUNCTION("IMPORTRANGE(""https://docs.google.com/spreadsheets/d/1-uDff_7J0KD5mKrp0Vvzr7lt3OU09vwQwhkpOPPYv2Y/edit?usp=sharing"",""งบพรบ!DL75"")"),0)</f>
        <v>0</v>
      </c>
      <c r="M75" s="87">
        <f t="shared" ca="1" si="25"/>
        <v>0</v>
      </c>
      <c r="N75" s="87">
        <f t="shared" ca="1" si="26"/>
        <v>0</v>
      </c>
      <c r="O75" s="86">
        <f ca="1">IFERROR(__xludf.DUMMYFUNCTION("IMPORTRANGE(""https://docs.google.com/spreadsheets/d/1-uDff_7J0KD5mKrp0Vvzr7lt3OU09vwQwhkpOPPYv2Y/edit?usp=sharing"",""งบพรบ!DM75"")"),0)</f>
        <v>0</v>
      </c>
      <c r="P75" s="86">
        <f t="shared" ca="1" si="27"/>
        <v>0</v>
      </c>
      <c r="Q75" s="87">
        <f t="shared" ca="1" si="28"/>
        <v>0</v>
      </c>
      <c r="R75" s="86">
        <f ca="1">IFERROR(__xludf.DUMMYFUNCTION("IMPORTRANGE(""https://docs.google.com/spreadsheets/d/1kKUcYdkIfrgTSj8iHHHB2MD2FAtwyyocFgqGQn6ADyI/edit?usp=sharing"",""กระบี่!Q266"")"),50660)</f>
        <v>50660</v>
      </c>
      <c r="S75" s="86">
        <f ca="1">IFERROR(__xludf.DUMMYFUNCTION("IMPORTRANGE(""https://docs.google.com/spreadsheets/d/1kKUcYdkIfrgTSj8iHHHB2MD2FAtwyyocFgqGQn6ADyI/edit?usp=sharing"",""กระบี่!R266"")"),0)</f>
        <v>0</v>
      </c>
      <c r="T75" s="86">
        <f ca="1">IFERROR(__xludf.DUMMYFUNCTION("IMPORTRANGE(""https://docs.google.com/spreadsheets/d/1kKUcYdkIfrgTSj8iHHHB2MD2FAtwyyocFgqGQn6ADyI/edit?usp=sharing"",""กระบี่!S266"")"),0)</f>
        <v>0</v>
      </c>
      <c r="U75" s="87">
        <f t="shared" ca="1" si="30"/>
        <v>0</v>
      </c>
      <c r="V75" s="87">
        <f t="shared" ca="1" si="31"/>
        <v>0</v>
      </c>
      <c r="W75" s="81">
        <f ca="1">IFERROR(__xludf.DUMMYFUNCTION("IMPORTRANGE(""https://docs.google.com/spreadsheets/d/1kKUcYdkIfrgTSj8iHHHB2MD2FAtwyyocFgqGQn6ADyI/edit?usp=sharing"",""กระบี่!I276"")"),22)</f>
        <v>22</v>
      </c>
      <c r="X75" s="81">
        <f ca="1">IFERROR(__xludf.DUMMYFUNCTION("IMPORTRANGE(""https://docs.google.com/spreadsheets/d/1kKUcYdkIfrgTSj8iHHHB2MD2FAtwyyocFgqGQn6ADyI/edit?usp=sharing"",""กระบี่!J276"")"),0)</f>
        <v>0</v>
      </c>
      <c r="Y75" s="177">
        <f t="shared" ca="1" si="33"/>
        <v>0</v>
      </c>
      <c r="Z75" s="215">
        <v>0</v>
      </c>
      <c r="AA75" s="215">
        <v>0</v>
      </c>
      <c r="AB75" s="219">
        <v>0</v>
      </c>
    </row>
    <row r="76" spans="1:28" ht="19.5" x14ac:dyDescent="0.3">
      <c r="A76" s="172">
        <v>2</v>
      </c>
      <c r="B76" s="173" t="s">
        <v>102</v>
      </c>
      <c r="C76" s="174">
        <f t="shared" ca="1" si="21"/>
        <v>0</v>
      </c>
      <c r="D76" s="175">
        <f t="shared" ca="1" si="46"/>
        <v>0</v>
      </c>
      <c r="E76" s="176">
        <f ca="1">IFERROR(__xludf.DUMMYFUNCTION("IMPORTRANGE(""https://docs.google.com/spreadsheets/d/1-uDff_7J0KD5mKrp0Vvzr7lt3OU09vwQwhkpOPPYv2Y/edit?usp=sharing"",""งบพรบ!DF76"")"),0)</f>
        <v>0</v>
      </c>
      <c r="F76" s="176">
        <f ca="1">IFERROR(__xludf.DUMMYFUNCTION("IMPORTRANGE(""https://docs.google.com/spreadsheets/d/1-uDff_7J0KD5mKrp0Vvzr7lt3OU09vwQwhkpOPPYv2Y/edit?usp=sharing"",""งบพรบ!DG76"")"),0)</f>
        <v>0</v>
      </c>
      <c r="G76" s="176">
        <f ca="1">IFERROR(__xludf.DUMMYFUNCTION("IMPORTRANGE(""https://docs.google.com/spreadsheets/d/1-uDff_7J0KD5mKrp0Vvzr7lt3OU09vwQwhkpOPPYv2Y/edit?usp=sharing"",""งบพรบ!DH76"")"),0)</f>
        <v>0</v>
      </c>
      <c r="H76" s="176">
        <f ca="1">IFERROR(__xludf.DUMMYFUNCTION("IMPORTRANGE(""https://docs.google.com/spreadsheets/d/1-uDff_7J0KD5mKrp0Vvzr7lt3OU09vwQwhkpOPPYv2Y/edit?usp=sharing"",""งบพรบ!DJ76"")"),0)</f>
        <v>0</v>
      </c>
      <c r="I76" s="176">
        <f ca="1">IFERROR(__xludf.DUMMYFUNCTION("IMPORTRANGE(""https://docs.google.com/spreadsheets/d/1-uDff_7J0KD5mKrp0Vvzr7lt3OU09vwQwhkpOPPYv2Y/edit?usp=sharing"",""งบพรบ!DK76"")"),0)</f>
        <v>0</v>
      </c>
      <c r="J76" s="176">
        <f t="shared" ca="1" si="23"/>
        <v>0</v>
      </c>
      <c r="K76" s="179">
        <f t="shared" ca="1" si="24"/>
        <v>0</v>
      </c>
      <c r="L76" s="176">
        <f ca="1">IFERROR(__xludf.DUMMYFUNCTION("IMPORTRANGE(""https://docs.google.com/spreadsheets/d/1-uDff_7J0KD5mKrp0Vvzr7lt3OU09vwQwhkpOPPYv2Y/edit?usp=sharing"",""งบพรบ!DL76"")"),0)</f>
        <v>0</v>
      </c>
      <c r="M76" s="87">
        <f t="shared" ca="1" si="25"/>
        <v>0</v>
      </c>
      <c r="N76" s="87">
        <f t="shared" ca="1" si="26"/>
        <v>0</v>
      </c>
      <c r="O76" s="86">
        <f ca="1">IFERROR(__xludf.DUMMYFUNCTION("IMPORTRANGE(""https://docs.google.com/spreadsheets/d/1-uDff_7J0KD5mKrp0Vvzr7lt3OU09vwQwhkpOPPYv2Y/edit?usp=sharing"",""งบพรบ!DM76"")"),0)</f>
        <v>0</v>
      </c>
      <c r="P76" s="86">
        <f t="shared" ca="1" si="27"/>
        <v>0</v>
      </c>
      <c r="Q76" s="87">
        <f t="shared" ca="1" si="28"/>
        <v>0</v>
      </c>
      <c r="R76" s="86">
        <f ca="1">IFERROR(__xludf.DUMMYFUNCTION("IMPORTRANGE(""https://docs.google.com/spreadsheets/d/1GwtLaSlNZkLk7iDqcyZz22giiy40b_usZZBXYciEN1U/edit?usp=sharing"",""ชุมพร!Q266"")"),53440)</f>
        <v>53440</v>
      </c>
      <c r="S76" s="86">
        <f ca="1">IFERROR(__xludf.DUMMYFUNCTION("IMPORTRANGE(""https://docs.google.com/spreadsheets/d/1GwtLaSlNZkLk7iDqcyZz22giiy40b_usZZBXYciEN1U/edit?usp=sharing"",""ชุมพร!R266"")"),0)</f>
        <v>0</v>
      </c>
      <c r="T76" s="86">
        <f ca="1">IFERROR(__xludf.DUMMYFUNCTION("IMPORTRANGE(""https://docs.google.com/spreadsheets/d/1GwtLaSlNZkLk7iDqcyZz22giiy40b_usZZBXYciEN1U/edit?usp=sharing"",""ชุมพร!S266"")"),0)</f>
        <v>0</v>
      </c>
      <c r="U76" s="87">
        <f t="shared" ca="1" si="30"/>
        <v>0</v>
      </c>
      <c r="V76" s="87">
        <f t="shared" ca="1" si="31"/>
        <v>0</v>
      </c>
      <c r="W76" s="93">
        <f ca="1">IFERROR(__xludf.DUMMYFUNCTION("IMPORTRANGE(""https://docs.google.com/spreadsheets/d/1GwtLaSlNZkLk7iDqcyZz22giiy40b_usZZBXYciEN1U/edit?usp=sharing"",""ชุมพร!I276"")"),24)</f>
        <v>24</v>
      </c>
      <c r="X76" s="93">
        <f ca="1">IFERROR(__xludf.DUMMYFUNCTION("IMPORTRANGE(""https://docs.google.com/spreadsheets/d/1GwtLaSlNZkLk7iDqcyZz22giiy40b_usZZBXYciEN1U/edit?usp=sharing"",""ชุมพร!J276"")"),0)</f>
        <v>0</v>
      </c>
      <c r="Y76" s="177">
        <f t="shared" ca="1" si="33"/>
        <v>0</v>
      </c>
      <c r="Z76" s="216">
        <v>0</v>
      </c>
      <c r="AA76" s="216">
        <v>0</v>
      </c>
      <c r="AB76" s="219">
        <v>0</v>
      </c>
    </row>
    <row r="77" spans="1:28" ht="19.5" x14ac:dyDescent="0.3">
      <c r="A77" s="172">
        <v>3</v>
      </c>
      <c r="B77" s="173" t="s">
        <v>103</v>
      </c>
      <c r="C77" s="174">
        <f t="shared" ca="1" si="21"/>
        <v>0</v>
      </c>
      <c r="D77" s="175">
        <f t="shared" ca="1" si="46"/>
        <v>0</v>
      </c>
      <c r="E77" s="176">
        <f ca="1">IFERROR(__xludf.DUMMYFUNCTION("IMPORTRANGE(""https://docs.google.com/spreadsheets/d/1-uDff_7J0KD5mKrp0Vvzr7lt3OU09vwQwhkpOPPYv2Y/edit?usp=sharing"",""งบพรบ!DF77"")"),0)</f>
        <v>0</v>
      </c>
      <c r="F77" s="176">
        <f ca="1">IFERROR(__xludf.DUMMYFUNCTION("IMPORTRANGE(""https://docs.google.com/spreadsheets/d/1-uDff_7J0KD5mKrp0Vvzr7lt3OU09vwQwhkpOPPYv2Y/edit?usp=sharing"",""งบพรบ!DG77"")"),0)</f>
        <v>0</v>
      </c>
      <c r="G77" s="176">
        <f ca="1">IFERROR(__xludf.DUMMYFUNCTION("IMPORTRANGE(""https://docs.google.com/spreadsheets/d/1-uDff_7J0KD5mKrp0Vvzr7lt3OU09vwQwhkpOPPYv2Y/edit?usp=sharing"",""งบพรบ!DH77"")"),0)</f>
        <v>0</v>
      </c>
      <c r="H77" s="176">
        <f ca="1">IFERROR(__xludf.DUMMYFUNCTION("IMPORTRANGE(""https://docs.google.com/spreadsheets/d/1-uDff_7J0KD5mKrp0Vvzr7lt3OU09vwQwhkpOPPYv2Y/edit?usp=sharing"",""งบพรบ!DJ77"")"),0)</f>
        <v>0</v>
      </c>
      <c r="I77" s="176">
        <f ca="1">IFERROR(__xludf.DUMMYFUNCTION("IMPORTRANGE(""https://docs.google.com/spreadsheets/d/1-uDff_7J0KD5mKrp0Vvzr7lt3OU09vwQwhkpOPPYv2Y/edit?usp=sharing"",""งบพรบ!DK77"")"),0)</f>
        <v>0</v>
      </c>
      <c r="J77" s="176">
        <f t="shared" ca="1" si="23"/>
        <v>0</v>
      </c>
      <c r="K77" s="179">
        <f t="shared" ca="1" si="24"/>
        <v>0</v>
      </c>
      <c r="L77" s="176">
        <f ca="1">IFERROR(__xludf.DUMMYFUNCTION("IMPORTRANGE(""https://docs.google.com/spreadsheets/d/1-uDff_7J0KD5mKrp0Vvzr7lt3OU09vwQwhkpOPPYv2Y/edit?usp=sharing"",""งบพรบ!DL77"")"),0)</f>
        <v>0</v>
      </c>
      <c r="M77" s="87">
        <f t="shared" ca="1" si="25"/>
        <v>0</v>
      </c>
      <c r="N77" s="87">
        <f t="shared" ca="1" si="26"/>
        <v>0</v>
      </c>
      <c r="O77" s="86">
        <f ca="1">IFERROR(__xludf.DUMMYFUNCTION("IMPORTRANGE(""https://docs.google.com/spreadsheets/d/1-uDff_7J0KD5mKrp0Vvzr7lt3OU09vwQwhkpOPPYv2Y/edit?usp=sharing"",""งบพรบ!DM77"")"),0)</f>
        <v>0</v>
      </c>
      <c r="P77" s="86">
        <f t="shared" ca="1" si="27"/>
        <v>0</v>
      </c>
      <c r="Q77" s="87">
        <f t="shared" ca="1" si="28"/>
        <v>0</v>
      </c>
      <c r="R77" s="86">
        <f ca="1">IFERROR(__xludf.DUMMYFUNCTION("IMPORTRANGE(""https://docs.google.com/spreadsheets/d/16pAz3pOhQEZBhvFNMa5KGgZS6iKWpsKX0pg6tQmwFpo/edit?usp=sharing"",""ตรัง!Q266"")"),50660)</f>
        <v>50660</v>
      </c>
      <c r="S77" s="86">
        <f ca="1">IFERROR(__xludf.DUMMYFUNCTION("IMPORTRANGE(""https://docs.google.com/spreadsheets/d/16pAz3pOhQEZBhvFNMa5KGgZS6iKWpsKX0pg6tQmwFpo/edit?usp=sharing"",""ตรัง!R266"")"),0)</f>
        <v>0</v>
      </c>
      <c r="T77" s="86">
        <f ca="1">IFERROR(__xludf.DUMMYFUNCTION("IMPORTRANGE(""https://docs.google.com/spreadsheets/d/16pAz3pOhQEZBhvFNMa5KGgZS6iKWpsKX0pg6tQmwFpo/edit?usp=sharing"",""ตรัง!S266"")"),0)</f>
        <v>0</v>
      </c>
      <c r="U77" s="87">
        <f t="shared" ca="1" si="30"/>
        <v>0</v>
      </c>
      <c r="V77" s="87">
        <f t="shared" ca="1" si="31"/>
        <v>0</v>
      </c>
      <c r="W77" s="93">
        <f ca="1">IFERROR(__xludf.DUMMYFUNCTION("IMPORTRANGE(""https://docs.google.com/spreadsheets/d/16pAz3pOhQEZBhvFNMa5KGgZS6iKWpsKX0pg6tQmwFpo/edit?usp=sharing"",""ตรัง!I276"")"),22)</f>
        <v>22</v>
      </c>
      <c r="X77" s="93">
        <f ca="1">IFERROR(__xludf.DUMMYFUNCTION("IMPORTRANGE(""https://docs.google.com/spreadsheets/d/16pAz3pOhQEZBhvFNMa5KGgZS6iKWpsKX0pg6tQmwFpo/edit?usp=sharing"",""ตรัง!J276"")"),0)</f>
        <v>0</v>
      </c>
      <c r="Y77" s="177">
        <f t="shared" ca="1" si="33"/>
        <v>0</v>
      </c>
      <c r="Z77" s="216">
        <v>0</v>
      </c>
      <c r="AA77" s="216">
        <v>0</v>
      </c>
      <c r="AB77" s="219">
        <v>0</v>
      </c>
    </row>
    <row r="78" spans="1:28" ht="19.5" x14ac:dyDescent="0.3">
      <c r="A78" s="172">
        <v>4</v>
      </c>
      <c r="B78" s="173" t="s">
        <v>104</v>
      </c>
      <c r="C78" s="174">
        <f t="shared" ca="1" si="21"/>
        <v>0</v>
      </c>
      <c r="D78" s="175">
        <f t="shared" ca="1" si="46"/>
        <v>0</v>
      </c>
      <c r="E78" s="176">
        <f ca="1">IFERROR(__xludf.DUMMYFUNCTION("IMPORTRANGE(""https://docs.google.com/spreadsheets/d/1-uDff_7J0KD5mKrp0Vvzr7lt3OU09vwQwhkpOPPYv2Y/edit?usp=sharing"",""งบพรบ!DF78"")"),0)</f>
        <v>0</v>
      </c>
      <c r="F78" s="176">
        <f ca="1">IFERROR(__xludf.DUMMYFUNCTION("IMPORTRANGE(""https://docs.google.com/spreadsheets/d/1-uDff_7J0KD5mKrp0Vvzr7lt3OU09vwQwhkpOPPYv2Y/edit?usp=sharing"",""งบพรบ!DG78"")"),0)</f>
        <v>0</v>
      </c>
      <c r="G78" s="176">
        <f ca="1">IFERROR(__xludf.DUMMYFUNCTION("IMPORTRANGE(""https://docs.google.com/spreadsheets/d/1-uDff_7J0KD5mKrp0Vvzr7lt3OU09vwQwhkpOPPYv2Y/edit?usp=sharing"",""งบพรบ!DH78"")"),0)</f>
        <v>0</v>
      </c>
      <c r="H78" s="176">
        <f ca="1">IFERROR(__xludf.DUMMYFUNCTION("IMPORTRANGE(""https://docs.google.com/spreadsheets/d/1-uDff_7J0KD5mKrp0Vvzr7lt3OU09vwQwhkpOPPYv2Y/edit?usp=sharing"",""งบพรบ!DJ78"")"),0)</f>
        <v>0</v>
      </c>
      <c r="I78" s="176">
        <f ca="1">IFERROR(__xludf.DUMMYFUNCTION("IMPORTRANGE(""https://docs.google.com/spreadsheets/d/1-uDff_7J0KD5mKrp0Vvzr7lt3OU09vwQwhkpOPPYv2Y/edit?usp=sharing"",""งบพรบ!DK78"")"),0)</f>
        <v>0</v>
      </c>
      <c r="J78" s="176">
        <f t="shared" ca="1" si="23"/>
        <v>0</v>
      </c>
      <c r="K78" s="179">
        <f t="shared" ca="1" si="24"/>
        <v>0</v>
      </c>
      <c r="L78" s="176">
        <f ca="1">IFERROR(__xludf.DUMMYFUNCTION("IMPORTRANGE(""https://docs.google.com/spreadsheets/d/1-uDff_7J0KD5mKrp0Vvzr7lt3OU09vwQwhkpOPPYv2Y/edit?usp=sharing"",""งบพรบ!DL78"")"),0)</f>
        <v>0</v>
      </c>
      <c r="M78" s="87">
        <f t="shared" ca="1" si="25"/>
        <v>0</v>
      </c>
      <c r="N78" s="87">
        <f t="shared" ca="1" si="26"/>
        <v>0</v>
      </c>
      <c r="O78" s="86">
        <f ca="1">IFERROR(__xludf.DUMMYFUNCTION("IMPORTRANGE(""https://docs.google.com/spreadsheets/d/1-uDff_7J0KD5mKrp0Vvzr7lt3OU09vwQwhkpOPPYv2Y/edit?usp=sharing"",""งบพรบ!DM78"")"),0)</f>
        <v>0</v>
      </c>
      <c r="P78" s="86">
        <f t="shared" ca="1" si="27"/>
        <v>0</v>
      </c>
      <c r="Q78" s="87">
        <f t="shared" ca="1" si="28"/>
        <v>0</v>
      </c>
      <c r="R78" s="86">
        <f ca="1">IFERROR(__xludf.DUMMYFUNCTION("IMPORTRANGE(""https://docs.google.com/spreadsheets/d/1Dj4jcHCTV9JXKCaMoheSXS52JE63kDKyG7bPXnFogHk/edit?usp=sharing"",""นครศรีธรรมราช!Q266"")"),53440)</f>
        <v>53440</v>
      </c>
      <c r="S78" s="86">
        <f ca="1">IFERROR(__xludf.DUMMYFUNCTION("IMPORTRANGE(""https://docs.google.com/spreadsheets/d/1Dj4jcHCTV9JXKCaMoheSXS52JE63kDKyG7bPXnFogHk/edit?usp=sharing"",""นครศรีธรรมราช!R266"")"),0)</f>
        <v>0</v>
      </c>
      <c r="T78" s="86">
        <f ca="1">IFERROR(__xludf.DUMMYFUNCTION("IMPORTRANGE(""https://docs.google.com/spreadsheets/d/1Dj4jcHCTV9JXKCaMoheSXS52JE63kDKyG7bPXnFogHk/edit?usp=sharing"",""นครศรีธรรมราช!S266"")"),0)</f>
        <v>0</v>
      </c>
      <c r="U78" s="87">
        <f t="shared" ca="1" si="30"/>
        <v>0</v>
      </c>
      <c r="V78" s="87">
        <f t="shared" ca="1" si="31"/>
        <v>0</v>
      </c>
      <c r="W78" s="93">
        <f ca="1">IFERROR(__xludf.DUMMYFUNCTION("IMPORTRANGE(""https://docs.google.com/spreadsheets/d/1Dj4jcHCTV9JXKCaMoheSXS52JE63kDKyG7bPXnFogHk/edit?usp=sharing"",""นครศรีธรรมราช!I276"")"),24)</f>
        <v>24</v>
      </c>
      <c r="X78" s="93">
        <f ca="1">IFERROR(__xludf.DUMMYFUNCTION("IMPORTRANGE(""https://docs.google.com/spreadsheets/d/1Dj4jcHCTV9JXKCaMoheSXS52JE63kDKyG7bPXnFogHk/edit?usp=sharing"",""นครศรีธรรมราช!J276"")"),0)</f>
        <v>0</v>
      </c>
      <c r="Y78" s="177">
        <f t="shared" ca="1" si="33"/>
        <v>0</v>
      </c>
      <c r="Z78" s="216">
        <v>0</v>
      </c>
      <c r="AA78" s="216">
        <v>0</v>
      </c>
      <c r="AB78" s="219">
        <v>0</v>
      </c>
    </row>
    <row r="79" spans="1:28" ht="19.5" x14ac:dyDescent="0.3">
      <c r="A79" s="172">
        <v>5</v>
      </c>
      <c r="B79" s="173" t="s">
        <v>105</v>
      </c>
      <c r="C79" s="174">
        <f t="shared" ca="1" si="21"/>
        <v>0</v>
      </c>
      <c r="D79" s="175">
        <f t="shared" ca="1" si="46"/>
        <v>0</v>
      </c>
      <c r="E79" s="176">
        <f ca="1">IFERROR(__xludf.DUMMYFUNCTION("IMPORTRANGE(""https://docs.google.com/spreadsheets/d/1-uDff_7J0KD5mKrp0Vvzr7lt3OU09vwQwhkpOPPYv2Y/edit?usp=sharing"",""งบพรบ!DF79"")"),0)</f>
        <v>0</v>
      </c>
      <c r="F79" s="176">
        <f ca="1">IFERROR(__xludf.DUMMYFUNCTION("IMPORTRANGE(""https://docs.google.com/spreadsheets/d/1-uDff_7J0KD5mKrp0Vvzr7lt3OU09vwQwhkpOPPYv2Y/edit?usp=sharing"",""งบพรบ!DG79"")"),0)</f>
        <v>0</v>
      </c>
      <c r="G79" s="176">
        <f ca="1">IFERROR(__xludf.DUMMYFUNCTION("IMPORTRANGE(""https://docs.google.com/spreadsheets/d/1-uDff_7J0KD5mKrp0Vvzr7lt3OU09vwQwhkpOPPYv2Y/edit?usp=sharing"",""งบพรบ!DH79"")"),0)</f>
        <v>0</v>
      </c>
      <c r="H79" s="176">
        <f ca="1">IFERROR(__xludf.DUMMYFUNCTION("IMPORTRANGE(""https://docs.google.com/spreadsheets/d/1-uDff_7J0KD5mKrp0Vvzr7lt3OU09vwQwhkpOPPYv2Y/edit?usp=sharing"",""งบพรบ!DJ79"")"),0)</f>
        <v>0</v>
      </c>
      <c r="I79" s="176">
        <f ca="1">IFERROR(__xludf.DUMMYFUNCTION("IMPORTRANGE(""https://docs.google.com/spreadsheets/d/1-uDff_7J0KD5mKrp0Vvzr7lt3OU09vwQwhkpOPPYv2Y/edit?usp=sharing"",""งบพรบ!DK79"")"),0)</f>
        <v>0</v>
      </c>
      <c r="J79" s="176">
        <f t="shared" ca="1" si="23"/>
        <v>0</v>
      </c>
      <c r="K79" s="179">
        <f t="shared" ca="1" si="24"/>
        <v>0</v>
      </c>
      <c r="L79" s="176">
        <f ca="1">IFERROR(__xludf.DUMMYFUNCTION("IMPORTRANGE(""https://docs.google.com/spreadsheets/d/1-uDff_7J0KD5mKrp0Vvzr7lt3OU09vwQwhkpOPPYv2Y/edit?usp=sharing"",""งบพรบ!DL79"")"),0)</f>
        <v>0</v>
      </c>
      <c r="M79" s="87">
        <f t="shared" ca="1" si="25"/>
        <v>0</v>
      </c>
      <c r="N79" s="87">
        <f t="shared" ca="1" si="26"/>
        <v>0</v>
      </c>
      <c r="O79" s="86">
        <f ca="1">IFERROR(__xludf.DUMMYFUNCTION("IMPORTRANGE(""https://docs.google.com/spreadsheets/d/1-uDff_7J0KD5mKrp0Vvzr7lt3OU09vwQwhkpOPPYv2Y/edit?usp=sharing"",""งบพรบ!DM79"")"),0)</f>
        <v>0</v>
      </c>
      <c r="P79" s="86">
        <f t="shared" ca="1" si="27"/>
        <v>0</v>
      </c>
      <c r="Q79" s="87">
        <f t="shared" ca="1" si="28"/>
        <v>0</v>
      </c>
      <c r="R79" s="86">
        <f ca="1">IFERROR(__xludf.DUMMYFUNCTION("IMPORTRANGE(""https://docs.google.com/spreadsheets/d/1iodCdmuK2GR3jzUwk8tpccY2JHQQA-87DLOtJP-ooyU/edit?usp=sharing"",""นราธิวาส!Q266"")"),47880)</f>
        <v>47880</v>
      </c>
      <c r="S79" s="86">
        <f ca="1">IFERROR(__xludf.DUMMYFUNCTION("IMPORTRANGE(""https://docs.google.com/spreadsheets/d/1iodCdmuK2GR3jzUwk8tpccY2JHQQA-87DLOtJP-ooyU/edit?usp=sharing"",""นราธิวาส!R266"")"),0)</f>
        <v>0</v>
      </c>
      <c r="T79" s="86">
        <f ca="1">IFERROR(__xludf.DUMMYFUNCTION("IMPORTRANGE(""https://docs.google.com/spreadsheets/d/1iodCdmuK2GR3jzUwk8tpccY2JHQQA-87DLOtJP-ooyU/edit?usp=sharing"",""นราธิวาส!S266"")"),0)</f>
        <v>0</v>
      </c>
      <c r="U79" s="87">
        <f t="shared" ca="1" si="30"/>
        <v>0</v>
      </c>
      <c r="V79" s="87">
        <f t="shared" ca="1" si="31"/>
        <v>0</v>
      </c>
      <c r="W79" s="93">
        <f ca="1">IFERROR(__xludf.DUMMYFUNCTION("IMPORTRANGE(""https://docs.google.com/spreadsheets/d/1iodCdmuK2GR3jzUwk8tpccY2JHQQA-87DLOtJP-ooyU/edit?usp=sharing"",""นราธิวาส!I276"")"),20)</f>
        <v>20</v>
      </c>
      <c r="X79" s="93">
        <f ca="1">IFERROR(__xludf.DUMMYFUNCTION("IMPORTRANGE(""https://docs.google.com/spreadsheets/d/1iodCdmuK2GR3jzUwk8tpccY2JHQQA-87DLOtJP-ooyU/edit?usp=sharing"",""นราธิวาส!J276"")"),0)</f>
        <v>0</v>
      </c>
      <c r="Y79" s="177">
        <f t="shared" ca="1" si="33"/>
        <v>0</v>
      </c>
      <c r="Z79" s="216">
        <v>0</v>
      </c>
      <c r="AA79" s="216">
        <v>0</v>
      </c>
      <c r="AB79" s="219">
        <v>0</v>
      </c>
    </row>
    <row r="80" spans="1:28" ht="19.5" x14ac:dyDescent="0.3">
      <c r="A80" s="172">
        <v>6</v>
      </c>
      <c r="B80" s="173" t="s">
        <v>106</v>
      </c>
      <c r="C80" s="174">
        <f t="shared" ca="1" si="21"/>
        <v>0</v>
      </c>
      <c r="D80" s="175">
        <f t="shared" ca="1" si="46"/>
        <v>0</v>
      </c>
      <c r="E80" s="176">
        <f ca="1">IFERROR(__xludf.DUMMYFUNCTION("IMPORTRANGE(""https://docs.google.com/spreadsheets/d/1-uDff_7J0KD5mKrp0Vvzr7lt3OU09vwQwhkpOPPYv2Y/edit?usp=sharing"",""งบพรบ!DF80"")"),0)</f>
        <v>0</v>
      </c>
      <c r="F80" s="176">
        <f ca="1">IFERROR(__xludf.DUMMYFUNCTION("IMPORTRANGE(""https://docs.google.com/spreadsheets/d/1-uDff_7J0KD5mKrp0Vvzr7lt3OU09vwQwhkpOPPYv2Y/edit?usp=sharing"",""งบพรบ!DG80"")"),0)</f>
        <v>0</v>
      </c>
      <c r="G80" s="176">
        <f ca="1">IFERROR(__xludf.DUMMYFUNCTION("IMPORTRANGE(""https://docs.google.com/spreadsheets/d/1-uDff_7J0KD5mKrp0Vvzr7lt3OU09vwQwhkpOPPYv2Y/edit?usp=sharing"",""งบพรบ!DH80"")"),0)</f>
        <v>0</v>
      </c>
      <c r="H80" s="176">
        <f ca="1">IFERROR(__xludf.DUMMYFUNCTION("IMPORTRANGE(""https://docs.google.com/spreadsheets/d/1-uDff_7J0KD5mKrp0Vvzr7lt3OU09vwQwhkpOPPYv2Y/edit?usp=sharing"",""งบพรบ!DJ80"")"),0)</f>
        <v>0</v>
      </c>
      <c r="I80" s="176">
        <f ca="1">IFERROR(__xludf.DUMMYFUNCTION("IMPORTRANGE(""https://docs.google.com/spreadsheets/d/1-uDff_7J0KD5mKrp0Vvzr7lt3OU09vwQwhkpOPPYv2Y/edit?usp=sharing"",""งบพรบ!DK80"")"),0)</f>
        <v>0</v>
      </c>
      <c r="J80" s="176">
        <f t="shared" ca="1" si="23"/>
        <v>0</v>
      </c>
      <c r="K80" s="179">
        <f t="shared" ca="1" si="24"/>
        <v>0</v>
      </c>
      <c r="L80" s="176">
        <f ca="1">IFERROR(__xludf.DUMMYFUNCTION("IMPORTRANGE(""https://docs.google.com/spreadsheets/d/1-uDff_7J0KD5mKrp0Vvzr7lt3OU09vwQwhkpOPPYv2Y/edit?usp=sharing"",""งบพรบ!DL80"")"),0)</f>
        <v>0</v>
      </c>
      <c r="M80" s="87">
        <f t="shared" ca="1" si="25"/>
        <v>0</v>
      </c>
      <c r="N80" s="87">
        <f t="shared" ca="1" si="26"/>
        <v>0</v>
      </c>
      <c r="O80" s="86">
        <f ca="1">IFERROR(__xludf.DUMMYFUNCTION("IMPORTRANGE(""https://docs.google.com/spreadsheets/d/1-uDff_7J0KD5mKrp0Vvzr7lt3OU09vwQwhkpOPPYv2Y/edit?usp=sharing"",""งบพรบ!DM80"")"),0)</f>
        <v>0</v>
      </c>
      <c r="P80" s="86">
        <f t="shared" ca="1" si="27"/>
        <v>0</v>
      </c>
      <c r="Q80" s="87">
        <f t="shared" ca="1" si="28"/>
        <v>0</v>
      </c>
      <c r="R80" s="86">
        <f ca="1">IFERROR(__xludf.DUMMYFUNCTION("IMPORTRANGE(""https://docs.google.com/spreadsheets/d/1SDNX3JhDdYRuIOsj0Wh2M-Qa_eaXl0NbWmhAOTbfQAs/edit?usp=sharing"",""ปัตตานี!Q266"")"),47880)</f>
        <v>47880</v>
      </c>
      <c r="S80" s="86">
        <f ca="1">IFERROR(__xludf.DUMMYFUNCTION("IMPORTRANGE(""https://docs.google.com/spreadsheets/d/1SDNX3JhDdYRuIOsj0Wh2M-Qa_eaXl0NbWmhAOTbfQAs/edit?usp=sharing"",""ปัตตานี!R266"")"),0)</f>
        <v>0</v>
      </c>
      <c r="T80" s="86">
        <f ca="1">IFERROR(__xludf.DUMMYFUNCTION("IMPORTRANGE(""https://docs.google.com/spreadsheets/d/1SDNX3JhDdYRuIOsj0Wh2M-Qa_eaXl0NbWmhAOTbfQAs/edit?usp=sharing"",""ปัตตานี!S266"")"),0)</f>
        <v>0</v>
      </c>
      <c r="U80" s="87">
        <f t="shared" ca="1" si="30"/>
        <v>0</v>
      </c>
      <c r="V80" s="87">
        <f t="shared" ca="1" si="31"/>
        <v>0</v>
      </c>
      <c r="W80" s="93">
        <f ca="1">IFERROR(__xludf.DUMMYFUNCTION("IMPORTRANGE(""https://docs.google.com/spreadsheets/d/1SDNX3JhDdYRuIOsj0Wh2M-Qa_eaXl0NbWmhAOTbfQAs/edit?usp=sharing"",""ปัตตานี!I276"")"),20)</f>
        <v>20</v>
      </c>
      <c r="X80" s="93">
        <f ca="1">IFERROR(__xludf.DUMMYFUNCTION("IMPORTRANGE(""https://docs.google.com/spreadsheets/d/1SDNX3JhDdYRuIOsj0Wh2M-Qa_eaXl0NbWmhAOTbfQAs/edit?usp=sharing"",""ปัตตานี!J276"")"),0)</f>
        <v>0</v>
      </c>
      <c r="Y80" s="177">
        <f t="shared" ca="1" si="33"/>
        <v>0</v>
      </c>
      <c r="Z80" s="216">
        <v>0</v>
      </c>
      <c r="AA80" s="216">
        <v>0</v>
      </c>
      <c r="AB80" s="219">
        <v>0</v>
      </c>
    </row>
    <row r="81" spans="1:28" ht="19.5" x14ac:dyDescent="0.3">
      <c r="A81" s="172">
        <v>7</v>
      </c>
      <c r="B81" s="173" t="s">
        <v>107</v>
      </c>
      <c r="C81" s="174">
        <f t="shared" ca="1" si="21"/>
        <v>0</v>
      </c>
      <c r="D81" s="175">
        <f t="shared" ca="1" si="46"/>
        <v>0</v>
      </c>
      <c r="E81" s="176">
        <f ca="1">IFERROR(__xludf.DUMMYFUNCTION("IMPORTRANGE(""https://docs.google.com/spreadsheets/d/1-uDff_7J0KD5mKrp0Vvzr7lt3OU09vwQwhkpOPPYv2Y/edit?usp=sharing"",""งบพรบ!DF81"")"),0)</f>
        <v>0</v>
      </c>
      <c r="F81" s="176">
        <f ca="1">IFERROR(__xludf.DUMMYFUNCTION("IMPORTRANGE(""https://docs.google.com/spreadsheets/d/1-uDff_7J0KD5mKrp0Vvzr7lt3OU09vwQwhkpOPPYv2Y/edit?usp=sharing"",""งบพรบ!DG81"")"),0)</f>
        <v>0</v>
      </c>
      <c r="G81" s="176">
        <f ca="1">IFERROR(__xludf.DUMMYFUNCTION("IMPORTRANGE(""https://docs.google.com/spreadsheets/d/1-uDff_7J0KD5mKrp0Vvzr7lt3OU09vwQwhkpOPPYv2Y/edit?usp=sharing"",""งบพรบ!DH81"")"),0)</f>
        <v>0</v>
      </c>
      <c r="H81" s="176">
        <f ca="1">IFERROR(__xludf.DUMMYFUNCTION("IMPORTRANGE(""https://docs.google.com/spreadsheets/d/1-uDff_7J0KD5mKrp0Vvzr7lt3OU09vwQwhkpOPPYv2Y/edit?usp=sharing"",""งบพรบ!DJ81"")"),0)</f>
        <v>0</v>
      </c>
      <c r="I81" s="176">
        <f ca="1">IFERROR(__xludf.DUMMYFUNCTION("IMPORTRANGE(""https://docs.google.com/spreadsheets/d/1-uDff_7J0KD5mKrp0Vvzr7lt3OU09vwQwhkpOPPYv2Y/edit?usp=sharing"",""งบพรบ!DK81"")"),0)</f>
        <v>0</v>
      </c>
      <c r="J81" s="176">
        <f t="shared" ca="1" si="23"/>
        <v>0</v>
      </c>
      <c r="K81" s="179">
        <f t="shared" ca="1" si="24"/>
        <v>0</v>
      </c>
      <c r="L81" s="176">
        <f ca="1">IFERROR(__xludf.DUMMYFUNCTION("IMPORTRANGE(""https://docs.google.com/spreadsheets/d/1-uDff_7J0KD5mKrp0Vvzr7lt3OU09vwQwhkpOPPYv2Y/edit?usp=sharing"",""งบพรบ!DL81"")"),0)</f>
        <v>0</v>
      </c>
      <c r="M81" s="87">
        <f t="shared" ca="1" si="25"/>
        <v>0</v>
      </c>
      <c r="N81" s="87">
        <f t="shared" ca="1" si="26"/>
        <v>0</v>
      </c>
      <c r="O81" s="86">
        <f ca="1">IFERROR(__xludf.DUMMYFUNCTION("IMPORTRANGE(""https://docs.google.com/spreadsheets/d/1-uDff_7J0KD5mKrp0Vvzr7lt3OU09vwQwhkpOPPYv2Y/edit?usp=sharing"",""งบพรบ!DM81"")"),0)</f>
        <v>0</v>
      </c>
      <c r="P81" s="86">
        <f t="shared" ca="1" si="27"/>
        <v>0</v>
      </c>
      <c r="Q81" s="87">
        <f t="shared" ca="1" si="28"/>
        <v>0</v>
      </c>
      <c r="R81" s="86">
        <f ca="1">IFERROR(__xludf.DUMMYFUNCTION("IMPORTRANGE(""https://docs.google.com/spreadsheets/d/16JDLGguT8s5DsGCND1KcwHP_AWR_zDMTqLHPLJUKhaU/edit?usp=sharing"",""พังงา!Q266"")"),50660)</f>
        <v>50660</v>
      </c>
      <c r="S81" s="86">
        <f ca="1">IFERROR(__xludf.DUMMYFUNCTION("IMPORTRANGE(""https://docs.google.com/spreadsheets/d/16JDLGguT8s5DsGCND1KcwHP_AWR_zDMTqLHPLJUKhaU/edit?usp=sharing"",""พังงา!R266"")"),0)</f>
        <v>0</v>
      </c>
      <c r="T81" s="86">
        <f ca="1">IFERROR(__xludf.DUMMYFUNCTION("IMPORTRANGE(""https://docs.google.com/spreadsheets/d/16JDLGguT8s5DsGCND1KcwHP_AWR_zDMTqLHPLJUKhaU/edit?usp=sharing"",""พังงา!S266"")"),0)</f>
        <v>0</v>
      </c>
      <c r="U81" s="87">
        <f t="shared" ca="1" si="30"/>
        <v>0</v>
      </c>
      <c r="V81" s="87">
        <f t="shared" ca="1" si="31"/>
        <v>0</v>
      </c>
      <c r="W81" s="93">
        <f ca="1">IFERROR(__xludf.DUMMYFUNCTION("IMPORTRANGE(""https://docs.google.com/spreadsheets/d/16JDLGguT8s5DsGCND1KcwHP_AWR_zDMTqLHPLJUKhaU/edit?usp=sharing"",""พังงา!I276"")"),22)</f>
        <v>22</v>
      </c>
      <c r="X81" s="93">
        <f ca="1">IFERROR(__xludf.DUMMYFUNCTION("IMPORTRANGE(""https://docs.google.com/spreadsheets/d/16JDLGguT8s5DsGCND1KcwHP_AWR_zDMTqLHPLJUKhaU/edit?usp=sharing"",""พังงา!J276"")"),0)</f>
        <v>0</v>
      </c>
      <c r="Y81" s="177">
        <f t="shared" ca="1" si="33"/>
        <v>0</v>
      </c>
      <c r="Z81" s="216">
        <v>0</v>
      </c>
      <c r="AA81" s="216">
        <v>0</v>
      </c>
      <c r="AB81" s="219">
        <v>0</v>
      </c>
    </row>
    <row r="82" spans="1:28" ht="19.5" x14ac:dyDescent="0.3">
      <c r="A82" s="172">
        <v>8</v>
      </c>
      <c r="B82" s="173" t="s">
        <v>108</v>
      </c>
      <c r="C82" s="174">
        <f t="shared" ca="1" si="21"/>
        <v>0</v>
      </c>
      <c r="D82" s="175">
        <f t="shared" ca="1" si="46"/>
        <v>0</v>
      </c>
      <c r="E82" s="176">
        <f ca="1">IFERROR(__xludf.DUMMYFUNCTION("IMPORTRANGE(""https://docs.google.com/spreadsheets/d/1-uDff_7J0KD5mKrp0Vvzr7lt3OU09vwQwhkpOPPYv2Y/edit?usp=sharing"",""งบพรบ!DF82"")"),0)</f>
        <v>0</v>
      </c>
      <c r="F82" s="176">
        <f ca="1">IFERROR(__xludf.DUMMYFUNCTION("IMPORTRANGE(""https://docs.google.com/spreadsheets/d/1-uDff_7J0KD5mKrp0Vvzr7lt3OU09vwQwhkpOPPYv2Y/edit?usp=sharing"",""งบพรบ!DG82"")"),0)</f>
        <v>0</v>
      </c>
      <c r="G82" s="176">
        <f ca="1">IFERROR(__xludf.DUMMYFUNCTION("IMPORTRANGE(""https://docs.google.com/spreadsheets/d/1-uDff_7J0KD5mKrp0Vvzr7lt3OU09vwQwhkpOPPYv2Y/edit?usp=sharing"",""งบพรบ!DH82"")"),0)</f>
        <v>0</v>
      </c>
      <c r="H82" s="176">
        <f ca="1">IFERROR(__xludf.DUMMYFUNCTION("IMPORTRANGE(""https://docs.google.com/spreadsheets/d/1-uDff_7J0KD5mKrp0Vvzr7lt3OU09vwQwhkpOPPYv2Y/edit?usp=sharing"",""งบพรบ!DJ82"")"),0)</f>
        <v>0</v>
      </c>
      <c r="I82" s="176">
        <f ca="1">IFERROR(__xludf.DUMMYFUNCTION("IMPORTRANGE(""https://docs.google.com/spreadsheets/d/1-uDff_7J0KD5mKrp0Vvzr7lt3OU09vwQwhkpOPPYv2Y/edit?usp=sharing"",""งบพรบ!DK82"")"),0)</f>
        <v>0</v>
      </c>
      <c r="J82" s="176">
        <f t="shared" ca="1" si="23"/>
        <v>0</v>
      </c>
      <c r="K82" s="179">
        <f t="shared" ca="1" si="24"/>
        <v>0</v>
      </c>
      <c r="L82" s="176">
        <f ca="1">IFERROR(__xludf.DUMMYFUNCTION("IMPORTRANGE(""https://docs.google.com/spreadsheets/d/1-uDff_7J0KD5mKrp0Vvzr7lt3OU09vwQwhkpOPPYv2Y/edit?usp=sharing"",""งบพรบ!DL82"")"),0)</f>
        <v>0</v>
      </c>
      <c r="M82" s="87">
        <f t="shared" ca="1" si="25"/>
        <v>0</v>
      </c>
      <c r="N82" s="87">
        <f t="shared" ca="1" si="26"/>
        <v>0</v>
      </c>
      <c r="O82" s="86">
        <f ca="1">IFERROR(__xludf.DUMMYFUNCTION("IMPORTRANGE(""https://docs.google.com/spreadsheets/d/1-uDff_7J0KD5mKrp0Vvzr7lt3OU09vwQwhkpOPPYv2Y/edit?usp=sharing"",""งบพรบ!DM82"")"),0)</f>
        <v>0</v>
      </c>
      <c r="P82" s="86">
        <f t="shared" ca="1" si="27"/>
        <v>0</v>
      </c>
      <c r="Q82" s="87">
        <f t="shared" ca="1" si="28"/>
        <v>0</v>
      </c>
      <c r="R82" s="86">
        <f ca="1">IFERROR(__xludf.DUMMYFUNCTION("IMPORTRANGE(""https://docs.google.com/spreadsheets/d/17ht0gPKzzT3PObBL1XJkeRmntBXI7wGjpLV7QorqlTk/edit?usp=sharing"",""พัทลุง!Q266"")"),50660)</f>
        <v>50660</v>
      </c>
      <c r="S82" s="86">
        <f ca="1">IFERROR(__xludf.DUMMYFUNCTION("IMPORTRANGE(""https://docs.google.com/spreadsheets/d/17ht0gPKzzT3PObBL1XJkeRmntBXI7wGjpLV7QorqlTk/edit?usp=sharing"",""พัทลุง!R266"")"),0)</f>
        <v>0</v>
      </c>
      <c r="T82" s="86">
        <f ca="1">IFERROR(__xludf.DUMMYFUNCTION("IMPORTRANGE(""https://docs.google.com/spreadsheets/d/17ht0gPKzzT3PObBL1XJkeRmntBXI7wGjpLV7QorqlTk/edit?usp=sharing"",""พัทลุง!S266"")"),0)</f>
        <v>0</v>
      </c>
      <c r="U82" s="87">
        <f t="shared" ca="1" si="30"/>
        <v>0</v>
      </c>
      <c r="V82" s="87">
        <f t="shared" ca="1" si="31"/>
        <v>0</v>
      </c>
      <c r="W82" s="93">
        <f ca="1">IFERROR(__xludf.DUMMYFUNCTION("IMPORTRANGE(""https://docs.google.com/spreadsheets/d/17ht0gPKzzT3PObBL1XJkeRmntBXI7wGjpLV7QorqlTk/edit?usp=sharing"",""พัทลุง!I276"")"),22)</f>
        <v>22</v>
      </c>
      <c r="X82" s="93">
        <f ca="1">IFERROR(__xludf.DUMMYFUNCTION("IMPORTRANGE(""https://docs.google.com/spreadsheets/d/17ht0gPKzzT3PObBL1XJkeRmntBXI7wGjpLV7QorqlTk/edit?usp=sharing"",""พัทลุง!J276"")"),0)</f>
        <v>0</v>
      </c>
      <c r="Y82" s="177">
        <f t="shared" ca="1" si="33"/>
        <v>0</v>
      </c>
      <c r="Z82" s="216">
        <v>0</v>
      </c>
      <c r="AA82" s="216">
        <v>0</v>
      </c>
      <c r="AB82" s="219">
        <v>0</v>
      </c>
    </row>
    <row r="83" spans="1:28" ht="19.5" x14ac:dyDescent="0.3">
      <c r="A83" s="172">
        <v>9</v>
      </c>
      <c r="B83" s="173" t="s">
        <v>109</v>
      </c>
      <c r="C83" s="174">
        <f t="shared" ca="1" si="21"/>
        <v>0</v>
      </c>
      <c r="D83" s="175">
        <f t="shared" ca="1" si="46"/>
        <v>0</v>
      </c>
      <c r="E83" s="176">
        <f ca="1">IFERROR(__xludf.DUMMYFUNCTION("IMPORTRANGE(""https://docs.google.com/spreadsheets/d/1-uDff_7J0KD5mKrp0Vvzr7lt3OU09vwQwhkpOPPYv2Y/edit?usp=sharing"",""งบพรบ!DF83"")"),0)</f>
        <v>0</v>
      </c>
      <c r="F83" s="176">
        <f ca="1">IFERROR(__xludf.DUMMYFUNCTION("IMPORTRANGE(""https://docs.google.com/spreadsheets/d/1-uDff_7J0KD5mKrp0Vvzr7lt3OU09vwQwhkpOPPYv2Y/edit?usp=sharing"",""งบพรบ!DG83"")"),0)</f>
        <v>0</v>
      </c>
      <c r="G83" s="176">
        <f ca="1">IFERROR(__xludf.DUMMYFUNCTION("IMPORTRANGE(""https://docs.google.com/spreadsheets/d/1-uDff_7J0KD5mKrp0Vvzr7lt3OU09vwQwhkpOPPYv2Y/edit?usp=sharing"",""งบพรบ!DH83"")"),0)</f>
        <v>0</v>
      </c>
      <c r="H83" s="176">
        <f ca="1">IFERROR(__xludf.DUMMYFUNCTION("IMPORTRANGE(""https://docs.google.com/spreadsheets/d/1-uDff_7J0KD5mKrp0Vvzr7lt3OU09vwQwhkpOPPYv2Y/edit?usp=sharing"",""งบพรบ!DJ83"")"),0)</f>
        <v>0</v>
      </c>
      <c r="I83" s="176">
        <f ca="1">IFERROR(__xludf.DUMMYFUNCTION("IMPORTRANGE(""https://docs.google.com/spreadsheets/d/1-uDff_7J0KD5mKrp0Vvzr7lt3OU09vwQwhkpOPPYv2Y/edit?usp=sharing"",""งบพรบ!DK83"")"),0)</f>
        <v>0</v>
      </c>
      <c r="J83" s="176">
        <f t="shared" ca="1" si="23"/>
        <v>0</v>
      </c>
      <c r="K83" s="179">
        <f t="shared" ca="1" si="24"/>
        <v>0</v>
      </c>
      <c r="L83" s="176">
        <f ca="1">IFERROR(__xludf.DUMMYFUNCTION("IMPORTRANGE(""https://docs.google.com/spreadsheets/d/1-uDff_7J0KD5mKrp0Vvzr7lt3OU09vwQwhkpOPPYv2Y/edit?usp=sharing"",""งบพรบ!DL83"")"),0)</f>
        <v>0</v>
      </c>
      <c r="M83" s="87">
        <f t="shared" ca="1" si="25"/>
        <v>0</v>
      </c>
      <c r="N83" s="87">
        <f t="shared" ca="1" si="26"/>
        <v>0</v>
      </c>
      <c r="O83" s="86">
        <f ca="1">IFERROR(__xludf.DUMMYFUNCTION("IMPORTRANGE(""https://docs.google.com/spreadsheets/d/1-uDff_7J0KD5mKrp0Vvzr7lt3OU09vwQwhkpOPPYv2Y/edit?usp=sharing"",""งบพรบ!DM83"")"),0)</f>
        <v>0</v>
      </c>
      <c r="P83" s="86">
        <f t="shared" ca="1" si="27"/>
        <v>0</v>
      </c>
      <c r="Q83" s="87">
        <f t="shared" ca="1" si="28"/>
        <v>0</v>
      </c>
      <c r="R83" s="86">
        <f ca="1">IFERROR(__xludf.DUMMYFUNCTION("IMPORTRANGE(""https://docs.google.com/spreadsheets/d/1rd4qoM1q_hsgaolqNGfrim9gbsoLxQsda4-vOz5x_BM/edit?usp=sharing"",""ภูเก็ต!Q266"")"),50660)</f>
        <v>50660</v>
      </c>
      <c r="S83" s="86">
        <f ca="1">IFERROR(__xludf.DUMMYFUNCTION("IMPORTRANGE(""https://docs.google.com/spreadsheets/d/1rd4qoM1q_hsgaolqNGfrim9gbsoLxQsda4-vOz5x_BM/edit?usp=sharing"",""ภูเก็ต!R266"")"),0)</f>
        <v>0</v>
      </c>
      <c r="T83" s="86">
        <f ca="1">IFERROR(__xludf.DUMMYFUNCTION("IMPORTRANGE(""https://docs.google.com/spreadsheets/d/1rd4qoM1q_hsgaolqNGfrim9gbsoLxQsda4-vOz5x_BM/edit?usp=sharing"",""ภูเก็ต!S266"")"),0)</f>
        <v>0</v>
      </c>
      <c r="U83" s="87">
        <f t="shared" ca="1" si="30"/>
        <v>0</v>
      </c>
      <c r="V83" s="87">
        <f t="shared" ca="1" si="31"/>
        <v>0</v>
      </c>
      <c r="W83" s="93">
        <f ca="1">IFERROR(__xludf.DUMMYFUNCTION("IMPORTRANGE(""https://docs.google.com/spreadsheets/d/1rd4qoM1q_hsgaolqNGfrim9gbsoLxQsda4-vOz5x_BM/edit?usp=sharing"",""ภูเก็ต!I276"")"),22)</f>
        <v>22</v>
      </c>
      <c r="X83" s="93">
        <f ca="1">IFERROR(__xludf.DUMMYFUNCTION("IMPORTRANGE(""https://docs.google.com/spreadsheets/d/1rd4qoM1q_hsgaolqNGfrim9gbsoLxQsda4-vOz5x_BM/edit?usp=sharing"",""ภูเก็ต!J276"")"),0)</f>
        <v>0</v>
      </c>
      <c r="Y83" s="177">
        <f t="shared" ca="1" si="33"/>
        <v>0</v>
      </c>
      <c r="Z83" s="216">
        <v>0</v>
      </c>
      <c r="AA83" s="216">
        <v>0</v>
      </c>
      <c r="AB83" s="219">
        <v>0</v>
      </c>
    </row>
    <row r="84" spans="1:28" ht="19.5" x14ac:dyDescent="0.3">
      <c r="A84" s="172">
        <v>10</v>
      </c>
      <c r="B84" s="173" t="s">
        <v>110</v>
      </c>
      <c r="C84" s="174">
        <f t="shared" ca="1" si="21"/>
        <v>0</v>
      </c>
      <c r="D84" s="175">
        <f t="shared" ca="1" si="46"/>
        <v>0</v>
      </c>
      <c r="E84" s="176">
        <f ca="1">IFERROR(__xludf.DUMMYFUNCTION("IMPORTRANGE(""https://docs.google.com/spreadsheets/d/1-uDff_7J0KD5mKrp0Vvzr7lt3OU09vwQwhkpOPPYv2Y/edit?usp=sharing"",""งบพรบ!DF84"")"),0)</f>
        <v>0</v>
      </c>
      <c r="F84" s="176">
        <f ca="1">IFERROR(__xludf.DUMMYFUNCTION("IMPORTRANGE(""https://docs.google.com/spreadsheets/d/1-uDff_7J0KD5mKrp0Vvzr7lt3OU09vwQwhkpOPPYv2Y/edit?usp=sharing"",""งบพรบ!DG84"")"),0)</f>
        <v>0</v>
      </c>
      <c r="G84" s="176">
        <f ca="1">IFERROR(__xludf.DUMMYFUNCTION("IMPORTRANGE(""https://docs.google.com/spreadsheets/d/1-uDff_7J0KD5mKrp0Vvzr7lt3OU09vwQwhkpOPPYv2Y/edit?usp=sharing"",""งบพรบ!DH84"")"),0)</f>
        <v>0</v>
      </c>
      <c r="H84" s="176">
        <f ca="1">IFERROR(__xludf.DUMMYFUNCTION("IMPORTRANGE(""https://docs.google.com/spreadsheets/d/1-uDff_7J0KD5mKrp0Vvzr7lt3OU09vwQwhkpOPPYv2Y/edit?usp=sharing"",""งบพรบ!DJ84"")"),0)</f>
        <v>0</v>
      </c>
      <c r="I84" s="176">
        <f ca="1">IFERROR(__xludf.DUMMYFUNCTION("IMPORTRANGE(""https://docs.google.com/spreadsheets/d/1-uDff_7J0KD5mKrp0Vvzr7lt3OU09vwQwhkpOPPYv2Y/edit?usp=sharing"",""งบพรบ!DK84"")"),0)</f>
        <v>0</v>
      </c>
      <c r="J84" s="176">
        <f t="shared" ca="1" si="23"/>
        <v>0</v>
      </c>
      <c r="K84" s="179">
        <f t="shared" ca="1" si="24"/>
        <v>0</v>
      </c>
      <c r="L84" s="176">
        <f ca="1">IFERROR(__xludf.DUMMYFUNCTION("IMPORTRANGE(""https://docs.google.com/spreadsheets/d/1-uDff_7J0KD5mKrp0Vvzr7lt3OU09vwQwhkpOPPYv2Y/edit?usp=sharing"",""งบพรบ!DL84"")"),0)</f>
        <v>0</v>
      </c>
      <c r="M84" s="87">
        <f t="shared" ca="1" si="25"/>
        <v>0</v>
      </c>
      <c r="N84" s="87">
        <f t="shared" ca="1" si="26"/>
        <v>0</v>
      </c>
      <c r="O84" s="86">
        <f ca="1">IFERROR(__xludf.DUMMYFUNCTION("IMPORTRANGE(""https://docs.google.com/spreadsheets/d/1-uDff_7J0KD5mKrp0Vvzr7lt3OU09vwQwhkpOPPYv2Y/edit?usp=sharing"",""งบพรบ!DM84"")"),0)</f>
        <v>0</v>
      </c>
      <c r="P84" s="86">
        <f t="shared" ca="1" si="27"/>
        <v>0</v>
      </c>
      <c r="Q84" s="87">
        <f t="shared" ca="1" si="28"/>
        <v>0</v>
      </c>
      <c r="R84" s="86">
        <f ca="1">IFERROR(__xludf.DUMMYFUNCTION("IMPORTRANGE(""https://docs.google.com/spreadsheets/d/1woKwKjgoLssDvPcPeVyezB5izizAn4X1JDrys69n6xI/edit?usp=sharing"",""ยะลา!Q266"")"),47880)</f>
        <v>47880</v>
      </c>
      <c r="S84" s="86">
        <f ca="1">IFERROR(__xludf.DUMMYFUNCTION("IMPORTRANGE(""https://docs.google.com/spreadsheets/d/1woKwKjgoLssDvPcPeVyezB5izizAn4X1JDrys69n6xI/edit?usp=sharing"",""ยะลา!R266"")"),0)</f>
        <v>0</v>
      </c>
      <c r="T84" s="86">
        <f ca="1">IFERROR(__xludf.DUMMYFUNCTION("IMPORTRANGE(""https://docs.google.com/spreadsheets/d/1woKwKjgoLssDvPcPeVyezB5izizAn4X1JDrys69n6xI/edit?usp=sharing"",""ยะลา!S266"")"),0)</f>
        <v>0</v>
      </c>
      <c r="U84" s="87">
        <f t="shared" ca="1" si="30"/>
        <v>0</v>
      </c>
      <c r="V84" s="87">
        <f t="shared" ca="1" si="31"/>
        <v>0</v>
      </c>
      <c r="W84" s="93">
        <f ca="1">IFERROR(__xludf.DUMMYFUNCTION("IMPORTRANGE(""https://docs.google.com/spreadsheets/d/1woKwKjgoLssDvPcPeVyezB5izizAn4X1JDrys69n6xI/edit?usp=sharing"",""ยะลา!I276"")"),20)</f>
        <v>20</v>
      </c>
      <c r="X84" s="93">
        <f ca="1">IFERROR(__xludf.DUMMYFUNCTION("IMPORTRANGE(""https://docs.google.com/spreadsheets/d/1woKwKjgoLssDvPcPeVyezB5izizAn4X1JDrys69n6xI/edit?usp=sharing"",""ยะลา!J276"")"),0)</f>
        <v>0</v>
      </c>
      <c r="Y84" s="177">
        <f t="shared" ca="1" si="33"/>
        <v>0</v>
      </c>
      <c r="Z84" s="216">
        <v>0</v>
      </c>
      <c r="AA84" s="216">
        <v>0</v>
      </c>
      <c r="AB84" s="219">
        <v>0</v>
      </c>
    </row>
    <row r="85" spans="1:28" ht="19.5" x14ac:dyDescent="0.3">
      <c r="A85" s="172">
        <v>11</v>
      </c>
      <c r="B85" s="173" t="s">
        <v>111</v>
      </c>
      <c r="C85" s="174">
        <f t="shared" ca="1" si="21"/>
        <v>0</v>
      </c>
      <c r="D85" s="175">
        <f t="shared" ca="1" si="46"/>
        <v>0</v>
      </c>
      <c r="E85" s="176">
        <f ca="1">IFERROR(__xludf.DUMMYFUNCTION("IMPORTRANGE(""https://docs.google.com/spreadsheets/d/1-uDff_7J0KD5mKrp0Vvzr7lt3OU09vwQwhkpOPPYv2Y/edit?usp=sharing"",""งบพรบ!DF85"")"),0)</f>
        <v>0</v>
      </c>
      <c r="F85" s="176">
        <f ca="1">IFERROR(__xludf.DUMMYFUNCTION("IMPORTRANGE(""https://docs.google.com/spreadsheets/d/1-uDff_7J0KD5mKrp0Vvzr7lt3OU09vwQwhkpOPPYv2Y/edit?usp=sharing"",""งบพรบ!DG85"")"),0)</f>
        <v>0</v>
      </c>
      <c r="G85" s="176">
        <f ca="1">IFERROR(__xludf.DUMMYFUNCTION("IMPORTRANGE(""https://docs.google.com/spreadsheets/d/1-uDff_7J0KD5mKrp0Vvzr7lt3OU09vwQwhkpOPPYv2Y/edit?usp=sharing"",""งบพรบ!DH85"")"),0)</f>
        <v>0</v>
      </c>
      <c r="H85" s="176">
        <f ca="1">IFERROR(__xludf.DUMMYFUNCTION("IMPORTRANGE(""https://docs.google.com/spreadsheets/d/1-uDff_7J0KD5mKrp0Vvzr7lt3OU09vwQwhkpOPPYv2Y/edit?usp=sharing"",""งบพรบ!DJ85"")"),0)</f>
        <v>0</v>
      </c>
      <c r="I85" s="176">
        <f ca="1">IFERROR(__xludf.DUMMYFUNCTION("IMPORTRANGE(""https://docs.google.com/spreadsheets/d/1-uDff_7J0KD5mKrp0Vvzr7lt3OU09vwQwhkpOPPYv2Y/edit?usp=sharing"",""งบพรบ!DK85"")"),0)</f>
        <v>0</v>
      </c>
      <c r="J85" s="176">
        <f t="shared" ca="1" si="23"/>
        <v>0</v>
      </c>
      <c r="K85" s="179">
        <f t="shared" ca="1" si="24"/>
        <v>0</v>
      </c>
      <c r="L85" s="176">
        <f ca="1">IFERROR(__xludf.DUMMYFUNCTION("IMPORTRANGE(""https://docs.google.com/spreadsheets/d/1-uDff_7J0KD5mKrp0Vvzr7lt3OU09vwQwhkpOPPYv2Y/edit?usp=sharing"",""งบพรบ!DL85"")"),0)</f>
        <v>0</v>
      </c>
      <c r="M85" s="87">
        <f t="shared" ca="1" si="25"/>
        <v>0</v>
      </c>
      <c r="N85" s="87">
        <f t="shared" ca="1" si="26"/>
        <v>0</v>
      </c>
      <c r="O85" s="86">
        <f ca="1">IFERROR(__xludf.DUMMYFUNCTION("IMPORTRANGE(""https://docs.google.com/spreadsheets/d/1-uDff_7J0KD5mKrp0Vvzr7lt3OU09vwQwhkpOPPYv2Y/edit?usp=sharing"",""งบพรบ!DM85"")"),0)</f>
        <v>0</v>
      </c>
      <c r="P85" s="86">
        <f t="shared" ca="1" si="27"/>
        <v>0</v>
      </c>
      <c r="Q85" s="87">
        <f t="shared" ca="1" si="28"/>
        <v>0</v>
      </c>
      <c r="R85" s="86">
        <f ca="1">IFERROR(__xludf.DUMMYFUNCTION("IMPORTRANGE(""https://docs.google.com/spreadsheets/d/1qfrKjzMhm2HJfxQ-qVlJlJQ25Hne1d0khsySbZyGtPA/edit?usp=sharing"",""ระนอง!Q266"")"),50660)</f>
        <v>50660</v>
      </c>
      <c r="S85" s="86">
        <f ca="1">IFERROR(__xludf.DUMMYFUNCTION("IMPORTRANGE(""https://docs.google.com/spreadsheets/d/1qfrKjzMhm2HJfxQ-qVlJlJQ25Hne1d0khsySbZyGtPA/edit?usp=sharing"",""ระนอง!R266"")"),0)</f>
        <v>0</v>
      </c>
      <c r="T85" s="86">
        <f ca="1">IFERROR(__xludf.DUMMYFUNCTION("IMPORTRANGE(""https://docs.google.com/spreadsheets/d/1qfrKjzMhm2HJfxQ-qVlJlJQ25Hne1d0khsySbZyGtPA/edit?usp=sharing"",""ระนอง!S266"")"),0)</f>
        <v>0</v>
      </c>
      <c r="U85" s="87">
        <f t="shared" ca="1" si="30"/>
        <v>0</v>
      </c>
      <c r="V85" s="87">
        <f t="shared" ca="1" si="31"/>
        <v>0</v>
      </c>
      <c r="W85" s="93">
        <f ca="1">IFERROR(__xludf.DUMMYFUNCTION("IMPORTRANGE(""https://docs.google.com/spreadsheets/d/1qfrKjzMhm2HJfxQ-qVlJlJQ25Hne1d0khsySbZyGtPA/edit?usp=sharing"",""ระนอง!I276"")"),22)</f>
        <v>22</v>
      </c>
      <c r="X85" s="93">
        <f ca="1">IFERROR(__xludf.DUMMYFUNCTION("IMPORTRANGE(""https://docs.google.com/spreadsheets/d/1qfrKjzMhm2HJfxQ-qVlJlJQ25Hne1d0khsySbZyGtPA/edit?usp=sharing"",""ระนอง!J276"")"),0)</f>
        <v>0</v>
      </c>
      <c r="Y85" s="177">
        <f t="shared" ca="1" si="33"/>
        <v>0</v>
      </c>
      <c r="Z85" s="216">
        <v>0</v>
      </c>
      <c r="AA85" s="216">
        <v>0</v>
      </c>
      <c r="AB85" s="219">
        <v>0</v>
      </c>
    </row>
    <row r="86" spans="1:28" ht="19.5" x14ac:dyDescent="0.3">
      <c r="A86" s="172">
        <v>12</v>
      </c>
      <c r="B86" s="173" t="s">
        <v>112</v>
      </c>
      <c r="C86" s="174">
        <f t="shared" ca="1" si="21"/>
        <v>0</v>
      </c>
      <c r="D86" s="175">
        <f t="shared" ca="1" si="46"/>
        <v>0</v>
      </c>
      <c r="E86" s="176">
        <f ca="1">IFERROR(__xludf.DUMMYFUNCTION("IMPORTRANGE(""https://docs.google.com/spreadsheets/d/1-uDff_7J0KD5mKrp0Vvzr7lt3OU09vwQwhkpOPPYv2Y/edit?usp=sharing"",""งบพรบ!DF86"")"),0)</f>
        <v>0</v>
      </c>
      <c r="F86" s="176">
        <f ca="1">IFERROR(__xludf.DUMMYFUNCTION("IMPORTRANGE(""https://docs.google.com/spreadsheets/d/1-uDff_7J0KD5mKrp0Vvzr7lt3OU09vwQwhkpOPPYv2Y/edit?usp=sharing"",""งบพรบ!DG86"")"),0)</f>
        <v>0</v>
      </c>
      <c r="G86" s="176">
        <f ca="1">IFERROR(__xludf.DUMMYFUNCTION("IMPORTRANGE(""https://docs.google.com/spreadsheets/d/1-uDff_7J0KD5mKrp0Vvzr7lt3OU09vwQwhkpOPPYv2Y/edit?usp=sharing"",""งบพรบ!DH86"")"),0)</f>
        <v>0</v>
      </c>
      <c r="H86" s="176">
        <f ca="1">IFERROR(__xludf.DUMMYFUNCTION("IMPORTRANGE(""https://docs.google.com/spreadsheets/d/1-uDff_7J0KD5mKrp0Vvzr7lt3OU09vwQwhkpOPPYv2Y/edit?usp=sharing"",""งบพรบ!DJ86"")"),0)</f>
        <v>0</v>
      </c>
      <c r="I86" s="176">
        <f ca="1">IFERROR(__xludf.DUMMYFUNCTION("IMPORTRANGE(""https://docs.google.com/spreadsheets/d/1-uDff_7J0KD5mKrp0Vvzr7lt3OU09vwQwhkpOPPYv2Y/edit?usp=sharing"",""งบพรบ!DK86"")"),0)</f>
        <v>0</v>
      </c>
      <c r="J86" s="176">
        <f t="shared" ca="1" si="23"/>
        <v>0</v>
      </c>
      <c r="K86" s="179">
        <f t="shared" ca="1" si="24"/>
        <v>0</v>
      </c>
      <c r="L86" s="176">
        <f ca="1">IFERROR(__xludf.DUMMYFUNCTION("IMPORTRANGE(""https://docs.google.com/spreadsheets/d/1-uDff_7J0KD5mKrp0Vvzr7lt3OU09vwQwhkpOPPYv2Y/edit?usp=sharing"",""งบพรบ!DL86"")"),0)</f>
        <v>0</v>
      </c>
      <c r="M86" s="87">
        <f t="shared" ca="1" si="25"/>
        <v>0</v>
      </c>
      <c r="N86" s="87">
        <f t="shared" ca="1" si="26"/>
        <v>0</v>
      </c>
      <c r="O86" s="86">
        <f ca="1">IFERROR(__xludf.DUMMYFUNCTION("IMPORTRANGE(""https://docs.google.com/spreadsheets/d/1-uDff_7J0KD5mKrp0Vvzr7lt3OU09vwQwhkpOPPYv2Y/edit?usp=sharing"",""งบพรบ!DM86"")"),0)</f>
        <v>0</v>
      </c>
      <c r="P86" s="86">
        <f t="shared" ca="1" si="27"/>
        <v>0</v>
      </c>
      <c r="Q86" s="87">
        <f t="shared" ca="1" si="28"/>
        <v>0</v>
      </c>
      <c r="R86" s="86">
        <f ca="1">IFERROR(__xludf.DUMMYFUNCTION("IMPORTRANGE(""https://docs.google.com/spreadsheets/d/1IbSCnFOKpZsnFogBHJnL_isstZVaOMnFiIN0fGTPZZw/edit?usp=sharing"",""สงขลา!Q266"")"),50660)</f>
        <v>50660</v>
      </c>
      <c r="S86" s="86">
        <f ca="1">IFERROR(__xludf.DUMMYFUNCTION("IMPORTRANGE(""https://docs.google.com/spreadsheets/d/1IbSCnFOKpZsnFogBHJnL_isstZVaOMnFiIN0fGTPZZw/edit?usp=sharing"",""สงขลา!R266"")"),0)</f>
        <v>0</v>
      </c>
      <c r="T86" s="86">
        <f ca="1">IFERROR(__xludf.DUMMYFUNCTION("IMPORTRANGE(""https://docs.google.com/spreadsheets/d/1IbSCnFOKpZsnFogBHJnL_isstZVaOMnFiIN0fGTPZZw/edit?usp=sharing"",""สงขลา!S266"")"),0)</f>
        <v>0</v>
      </c>
      <c r="U86" s="87">
        <f t="shared" ca="1" si="30"/>
        <v>0</v>
      </c>
      <c r="V86" s="87">
        <f t="shared" ca="1" si="31"/>
        <v>0</v>
      </c>
      <c r="W86" s="93">
        <f ca="1">IFERROR(__xludf.DUMMYFUNCTION("IMPORTRANGE(""https://docs.google.com/spreadsheets/d/1IbSCnFOKpZsnFogBHJnL_isstZVaOMnFiIN0fGTPZZw/edit?usp=sharing"",""สงขลา!I276"")"),22)</f>
        <v>22</v>
      </c>
      <c r="X86" s="93">
        <f ca="1">IFERROR(__xludf.DUMMYFUNCTION("IMPORTRANGE(""https://docs.google.com/spreadsheets/d/1IbSCnFOKpZsnFogBHJnL_isstZVaOMnFiIN0fGTPZZw/edit?usp=sharing"",""สงขลา!J276"")"),0)</f>
        <v>0</v>
      </c>
      <c r="Y86" s="177">
        <f t="shared" ca="1" si="33"/>
        <v>0</v>
      </c>
      <c r="Z86" s="216">
        <v>0</v>
      </c>
      <c r="AA86" s="216">
        <v>0</v>
      </c>
      <c r="AB86" s="219">
        <v>0</v>
      </c>
    </row>
    <row r="87" spans="1:28" ht="19.5" x14ac:dyDescent="0.3">
      <c r="A87" s="172">
        <v>13</v>
      </c>
      <c r="B87" s="173" t="s">
        <v>113</v>
      </c>
      <c r="C87" s="174">
        <f t="shared" ca="1" si="21"/>
        <v>0</v>
      </c>
      <c r="D87" s="175">
        <f t="shared" ca="1" si="46"/>
        <v>0</v>
      </c>
      <c r="E87" s="176">
        <f ca="1">IFERROR(__xludf.DUMMYFUNCTION("IMPORTRANGE(""https://docs.google.com/spreadsheets/d/1-uDff_7J0KD5mKrp0Vvzr7lt3OU09vwQwhkpOPPYv2Y/edit?usp=sharing"",""งบพรบ!DF87"")"),0)</f>
        <v>0</v>
      </c>
      <c r="F87" s="176">
        <f ca="1">IFERROR(__xludf.DUMMYFUNCTION("IMPORTRANGE(""https://docs.google.com/spreadsheets/d/1-uDff_7J0KD5mKrp0Vvzr7lt3OU09vwQwhkpOPPYv2Y/edit?usp=sharing"",""งบพรบ!DG87"")"),0)</f>
        <v>0</v>
      </c>
      <c r="G87" s="176">
        <f ca="1">IFERROR(__xludf.DUMMYFUNCTION("IMPORTRANGE(""https://docs.google.com/spreadsheets/d/1-uDff_7J0KD5mKrp0Vvzr7lt3OU09vwQwhkpOPPYv2Y/edit?usp=sharing"",""งบพรบ!DH87"")"),0)</f>
        <v>0</v>
      </c>
      <c r="H87" s="176">
        <f ca="1">IFERROR(__xludf.DUMMYFUNCTION("IMPORTRANGE(""https://docs.google.com/spreadsheets/d/1-uDff_7J0KD5mKrp0Vvzr7lt3OU09vwQwhkpOPPYv2Y/edit?usp=sharing"",""งบพรบ!DJ87"")"),0)</f>
        <v>0</v>
      </c>
      <c r="I87" s="176">
        <f ca="1">IFERROR(__xludf.DUMMYFUNCTION("IMPORTRANGE(""https://docs.google.com/spreadsheets/d/1-uDff_7J0KD5mKrp0Vvzr7lt3OU09vwQwhkpOPPYv2Y/edit?usp=sharing"",""งบพรบ!DK87"")"),0)</f>
        <v>0</v>
      </c>
      <c r="J87" s="176">
        <f t="shared" ca="1" si="23"/>
        <v>0</v>
      </c>
      <c r="K87" s="179">
        <f t="shared" ca="1" si="24"/>
        <v>0</v>
      </c>
      <c r="L87" s="176">
        <f ca="1">IFERROR(__xludf.DUMMYFUNCTION("IMPORTRANGE(""https://docs.google.com/spreadsheets/d/1-uDff_7J0KD5mKrp0Vvzr7lt3OU09vwQwhkpOPPYv2Y/edit?usp=sharing"",""งบพรบ!DL87"")"),0)</f>
        <v>0</v>
      </c>
      <c r="M87" s="87">
        <f t="shared" ca="1" si="25"/>
        <v>0</v>
      </c>
      <c r="N87" s="87">
        <f t="shared" ca="1" si="26"/>
        <v>0</v>
      </c>
      <c r="O87" s="86">
        <f ca="1">IFERROR(__xludf.DUMMYFUNCTION("IMPORTRANGE(""https://docs.google.com/spreadsheets/d/1-uDff_7J0KD5mKrp0Vvzr7lt3OU09vwQwhkpOPPYv2Y/edit?usp=sharing"",""งบพรบ!DM87"")"),0)</f>
        <v>0</v>
      </c>
      <c r="P87" s="86">
        <f t="shared" ca="1" si="27"/>
        <v>0</v>
      </c>
      <c r="Q87" s="87">
        <f t="shared" ca="1" si="28"/>
        <v>0</v>
      </c>
      <c r="R87" s="86">
        <f ca="1">IFERROR(__xludf.DUMMYFUNCTION("IMPORTRANGE(""https://docs.google.com/spreadsheets/d/1q9nWasZJ-K8bFGvbE9n0qSRuKGA4Toe3Y89cKCiVtCU/edit?usp=sharing"",""สตูล!Q266"")"),50660)</f>
        <v>50660</v>
      </c>
      <c r="S87" s="86">
        <f ca="1">IFERROR(__xludf.DUMMYFUNCTION("IMPORTRANGE(""https://docs.google.com/spreadsheets/d/1q9nWasZJ-K8bFGvbE9n0qSRuKGA4Toe3Y89cKCiVtCU/edit?usp=sharing"",""สตูล!R266"")"),0)</f>
        <v>0</v>
      </c>
      <c r="T87" s="86">
        <f ca="1">IFERROR(__xludf.DUMMYFUNCTION("IMPORTRANGE(""https://docs.google.com/spreadsheets/d/1q9nWasZJ-K8bFGvbE9n0qSRuKGA4Toe3Y89cKCiVtCU/edit?usp=sharing"",""สตูล!S266"")"),0)</f>
        <v>0</v>
      </c>
      <c r="U87" s="87">
        <f t="shared" ca="1" si="30"/>
        <v>0</v>
      </c>
      <c r="V87" s="87">
        <f t="shared" ca="1" si="31"/>
        <v>0</v>
      </c>
      <c r="W87" s="93">
        <f ca="1">IFERROR(__xludf.DUMMYFUNCTION("IMPORTRANGE(""https://docs.google.com/spreadsheets/d/1q9nWasZJ-K8bFGvbE9n0qSRuKGA4Toe3Y89cKCiVtCU/edit?usp=sharing"",""สตูล!I276"")"),22)</f>
        <v>22</v>
      </c>
      <c r="X87" s="93">
        <f ca="1">IFERROR(__xludf.DUMMYFUNCTION("IMPORTRANGE(""https://docs.google.com/spreadsheets/d/1q9nWasZJ-K8bFGvbE9n0qSRuKGA4Toe3Y89cKCiVtCU/edit?usp=sharing"",""สตูล!J276"")"),0)</f>
        <v>0</v>
      </c>
      <c r="Y87" s="177">
        <f t="shared" ca="1" si="33"/>
        <v>0</v>
      </c>
      <c r="Z87" s="216">
        <v>0</v>
      </c>
      <c r="AA87" s="216">
        <v>0</v>
      </c>
      <c r="AB87" s="219">
        <v>0</v>
      </c>
    </row>
    <row r="88" spans="1:28" ht="19.5" x14ac:dyDescent="0.3">
      <c r="A88" s="180">
        <v>14</v>
      </c>
      <c r="B88" s="181" t="s">
        <v>114</v>
      </c>
      <c r="C88" s="182">
        <f t="shared" ca="1" si="21"/>
        <v>0</v>
      </c>
      <c r="D88" s="183">
        <f t="shared" ca="1" si="46"/>
        <v>0</v>
      </c>
      <c r="E88" s="184">
        <f ca="1">IFERROR(__xludf.DUMMYFUNCTION("IMPORTRANGE(""https://docs.google.com/spreadsheets/d/1-uDff_7J0KD5mKrp0Vvzr7lt3OU09vwQwhkpOPPYv2Y/edit?usp=sharing"",""งบพรบ!DF88"")"),0)</f>
        <v>0</v>
      </c>
      <c r="F88" s="184">
        <f ca="1">IFERROR(__xludf.DUMMYFUNCTION("IMPORTRANGE(""https://docs.google.com/spreadsheets/d/1-uDff_7J0KD5mKrp0Vvzr7lt3OU09vwQwhkpOPPYv2Y/edit?usp=sharing"",""งบพรบ!DG88"")"),0)</f>
        <v>0</v>
      </c>
      <c r="G88" s="184">
        <f ca="1">IFERROR(__xludf.DUMMYFUNCTION("IMPORTRANGE(""https://docs.google.com/spreadsheets/d/1-uDff_7J0KD5mKrp0Vvzr7lt3OU09vwQwhkpOPPYv2Y/edit?usp=sharing"",""งบพรบ!DH88"")"),0)</f>
        <v>0</v>
      </c>
      <c r="H88" s="184">
        <f ca="1">IFERROR(__xludf.DUMMYFUNCTION("IMPORTRANGE(""https://docs.google.com/spreadsheets/d/1-uDff_7J0KD5mKrp0Vvzr7lt3OU09vwQwhkpOPPYv2Y/edit?usp=sharing"",""งบพรบ!DJ88"")"),0)</f>
        <v>0</v>
      </c>
      <c r="I88" s="184">
        <f ca="1">IFERROR(__xludf.DUMMYFUNCTION("IMPORTRANGE(""https://docs.google.com/spreadsheets/d/1-uDff_7J0KD5mKrp0Vvzr7lt3OU09vwQwhkpOPPYv2Y/edit?usp=sharing"",""งบพรบ!DK88"")"),0)</f>
        <v>0</v>
      </c>
      <c r="J88" s="184">
        <f t="shared" ca="1" si="23"/>
        <v>0</v>
      </c>
      <c r="K88" s="185">
        <f t="shared" ca="1" si="24"/>
        <v>0</v>
      </c>
      <c r="L88" s="184">
        <f ca="1">IFERROR(__xludf.DUMMYFUNCTION("IMPORTRANGE(""https://docs.google.com/spreadsheets/d/1-uDff_7J0KD5mKrp0Vvzr7lt3OU09vwQwhkpOPPYv2Y/edit?usp=sharing"",""งบพรบ!DL88"")"),0)</f>
        <v>0</v>
      </c>
      <c r="M88" s="109">
        <f t="shared" ca="1" si="25"/>
        <v>0</v>
      </c>
      <c r="N88" s="109">
        <f t="shared" ca="1" si="26"/>
        <v>0</v>
      </c>
      <c r="O88" s="108">
        <f ca="1">IFERROR(__xludf.DUMMYFUNCTION("IMPORTRANGE(""https://docs.google.com/spreadsheets/d/1-uDff_7J0KD5mKrp0Vvzr7lt3OU09vwQwhkpOPPYv2Y/edit?usp=sharing"",""งบพรบ!DM88"")"),0)</f>
        <v>0</v>
      </c>
      <c r="P88" s="108">
        <f t="shared" ca="1" si="27"/>
        <v>0</v>
      </c>
      <c r="Q88" s="109">
        <f t="shared" ca="1" si="28"/>
        <v>0</v>
      </c>
      <c r="R88" s="108">
        <f ca="1">IFERROR(__xludf.DUMMYFUNCTION("IMPORTRANGE(""https://docs.google.com/spreadsheets/d/18T20gbkS_WBjdscyTOV05cvq_JqvqQ17C81mpxf7Ncs/edit?usp=sharing"",""สุราษฎร์ธานี!Q266"")"),50660)</f>
        <v>50660</v>
      </c>
      <c r="S88" s="108">
        <f ca="1">IFERROR(__xludf.DUMMYFUNCTION("IMPORTRANGE(""https://docs.google.com/spreadsheets/d/18T20gbkS_WBjdscyTOV05cvq_JqvqQ17C81mpxf7Ncs/edit?usp=sharing"",""สุราษฎร์ธานี!R266"")"),0)</f>
        <v>0</v>
      </c>
      <c r="T88" s="108">
        <f ca="1">IFERROR(__xludf.DUMMYFUNCTION("IMPORTRANGE(""https://docs.google.com/spreadsheets/d/18T20gbkS_WBjdscyTOV05cvq_JqvqQ17C81mpxf7Ncs/edit?usp=sharing"",""สุราษฎร์ธานี!S266"")"),0)</f>
        <v>0</v>
      </c>
      <c r="U88" s="109">
        <f t="shared" ca="1" si="30"/>
        <v>0</v>
      </c>
      <c r="V88" s="109">
        <f t="shared" ca="1" si="31"/>
        <v>0</v>
      </c>
      <c r="W88" s="104">
        <f ca="1">IFERROR(__xludf.DUMMYFUNCTION("IMPORTRANGE(""https://docs.google.com/spreadsheets/d/18T20gbkS_WBjdscyTOV05cvq_JqvqQ17C81mpxf7Ncs/edit?usp=sharing"",""สุราษฎร์ธานี!I276"")"),22)</f>
        <v>22</v>
      </c>
      <c r="X88" s="104">
        <f ca="1">IFERROR(__xludf.DUMMYFUNCTION("IMPORTRANGE(""https://docs.google.com/spreadsheets/d/18T20gbkS_WBjdscyTOV05cvq_JqvqQ17C81mpxf7Ncs/edit?usp=sharing"",""สุราษฎร์ธานี!J276"")"),0)</f>
        <v>0</v>
      </c>
      <c r="Y88" s="186">
        <f t="shared" ca="1" si="33"/>
        <v>0</v>
      </c>
      <c r="Z88" s="217">
        <v>0</v>
      </c>
      <c r="AA88" s="217">
        <v>0</v>
      </c>
      <c r="AB88" s="222">
        <v>0</v>
      </c>
    </row>
    <row r="89" spans="1:28" ht="19.5" hidden="1" x14ac:dyDescent="0.3">
      <c r="A89" s="632" t="s">
        <v>115</v>
      </c>
      <c r="B89" s="633"/>
      <c r="C89" s="45">
        <f t="shared" ref="C89:T89" ca="1" si="47">SUM(C90:C106)</f>
        <v>2677400</v>
      </c>
      <c r="D89" s="45">
        <f t="shared" ca="1" si="47"/>
        <v>2677400</v>
      </c>
      <c r="E89" s="45">
        <f t="shared" ca="1" si="47"/>
        <v>1204800</v>
      </c>
      <c r="F89" s="45">
        <f t="shared" ca="1" si="47"/>
        <v>1472600</v>
      </c>
      <c r="G89" s="45">
        <f t="shared" ca="1" si="47"/>
        <v>0</v>
      </c>
      <c r="H89" s="45">
        <f t="shared" ca="1" si="47"/>
        <v>2677400</v>
      </c>
      <c r="I89" s="45">
        <f t="shared" ca="1" si="47"/>
        <v>0</v>
      </c>
      <c r="J89" s="45">
        <f t="shared" ca="1" si="47"/>
        <v>298772</v>
      </c>
      <c r="K89" s="47">
        <f t="shared" ca="1" si="47"/>
        <v>15.762164434750472</v>
      </c>
      <c r="L89" s="45">
        <f t="shared" ca="1" si="47"/>
        <v>298772</v>
      </c>
      <c r="M89" s="47">
        <f t="shared" ca="1" si="47"/>
        <v>15.762164434750472</v>
      </c>
      <c r="N89" s="47">
        <f t="shared" ca="1" si="47"/>
        <v>116.88908326197597</v>
      </c>
      <c r="O89" s="45">
        <f t="shared" ca="1" si="47"/>
        <v>0</v>
      </c>
      <c r="P89" s="45">
        <f t="shared" ca="1" si="47"/>
        <v>0</v>
      </c>
      <c r="Q89" s="45">
        <f t="shared" ca="1" si="47"/>
        <v>0</v>
      </c>
      <c r="R89" s="45">
        <f t="shared" si="47"/>
        <v>0</v>
      </c>
      <c r="S89" s="45">
        <f t="shared" si="47"/>
        <v>0</v>
      </c>
      <c r="T89" s="45">
        <f t="shared" si="47"/>
        <v>0</v>
      </c>
      <c r="U89" s="45">
        <f t="shared" si="30"/>
        <v>0</v>
      </c>
      <c r="V89" s="45">
        <f t="shared" si="31"/>
        <v>0</v>
      </c>
      <c r="W89" s="45"/>
      <c r="X89" s="45"/>
      <c r="Y89" s="196"/>
      <c r="Z89" s="45"/>
      <c r="AA89" s="45"/>
      <c r="AB89" s="196"/>
    </row>
    <row r="90" spans="1:28" ht="19.5" hidden="1" x14ac:dyDescent="0.3">
      <c r="A90" s="197"/>
      <c r="B90" s="125" t="s">
        <v>116</v>
      </c>
      <c r="C90" s="198">
        <f t="shared" ref="C90:C106" ca="1" si="48">D90+G90</f>
        <v>0</v>
      </c>
      <c r="D90" s="199">
        <f t="shared" ref="D90:D106" ca="1" si="49">+E90+F90</f>
        <v>0</v>
      </c>
      <c r="E90" s="81">
        <f ca="1">IFERROR(__xludf.DUMMYFUNCTION("IMPORTRANGE(""https://docs.google.com/spreadsheets/d/1-uDff_7J0KD5mKrp0Vvzr7lt3OU09vwQwhkpOPPYv2Y/edit?usp=sharing"",""งบพรบ!DF90"")"),0)</f>
        <v>0</v>
      </c>
      <c r="F90" s="81">
        <f ca="1">IFERROR(__xludf.DUMMYFUNCTION("IMPORTRANGE(""https://docs.google.com/spreadsheets/d/1-uDff_7J0KD5mKrp0Vvzr7lt3OU09vwQwhkpOPPYv2Y/edit?usp=sharing"",""งบพรบ!DG90"")"),0)</f>
        <v>0</v>
      </c>
      <c r="G90" s="81">
        <f ca="1">IFERROR(__xludf.DUMMYFUNCTION("IMPORTRANGE(""https://docs.google.com/spreadsheets/d/1-uDff_7J0KD5mKrp0Vvzr7lt3OU09vwQwhkpOPPYv2Y/edit?usp=sharing"",""งบพรบ!DH90"")"),0)</f>
        <v>0</v>
      </c>
      <c r="H90" s="81">
        <f ca="1">IFERROR(__xludf.DUMMYFUNCTION("IMPORTRANGE(""https://docs.google.com/spreadsheets/d/1-uDff_7J0KD5mKrp0Vvzr7lt3OU09vwQwhkpOPPYv2Y/edit?usp=sharing"",""งบพรบ!DJ90"")"),0)</f>
        <v>0</v>
      </c>
      <c r="I90" s="81">
        <f ca="1">IFERROR(__xludf.DUMMYFUNCTION("IMPORTRANGE(""https://docs.google.com/spreadsheets/d/1-uDff_7J0KD5mKrp0Vvzr7lt3OU09vwQwhkpOPPYv2Y/edit?usp=sharing"",""งบพรบ!DK90"")"),0)</f>
        <v>0</v>
      </c>
      <c r="J90" s="81">
        <f t="shared" ref="J90:J106" ca="1" si="50">L90+O90</f>
        <v>0</v>
      </c>
      <c r="K90" s="126">
        <f t="shared" ref="K90:K106" ca="1" si="51">IF(C90&gt;0,J90*100/C90,0)</f>
        <v>0</v>
      </c>
      <c r="L90" s="81">
        <f ca="1">IFERROR(__xludf.DUMMYFUNCTION("IMPORTRANGE(""https://docs.google.com/spreadsheets/d/1-uDff_7J0KD5mKrp0Vvzr7lt3OU09vwQwhkpOPPYv2Y/edit?usp=sharing"",""งบพรบ!DL90"")"),0)</f>
        <v>0</v>
      </c>
      <c r="M90" s="84">
        <f t="shared" ref="M90:M106" ca="1" si="52">IF(D90&gt;0,L90*100/D90,0)</f>
        <v>0</v>
      </c>
      <c r="N90" s="84">
        <f t="shared" ref="N90:N106" ca="1" si="53">IF(H90&gt;0,L90*100/H90,0)</f>
        <v>0</v>
      </c>
      <c r="O90" s="85">
        <f ca="1">IFERROR(__xludf.DUMMYFUNCTION("IMPORTRANGE(""https://docs.google.com/spreadsheets/d/1-uDff_7J0KD5mKrp0Vvzr7lt3OU09vwQwhkpOPPYv2Y/edit?usp=sharing"",""งบพรบ!DM90"")"),0)</f>
        <v>0</v>
      </c>
      <c r="P90" s="85">
        <f t="shared" ref="P90:P106" ca="1" si="54">IF(G90&gt;0,O90*100/G90,0)</f>
        <v>0</v>
      </c>
      <c r="Q90" s="84">
        <f t="shared" ref="Q90:Q106" ca="1" si="55">IF(I90&gt;0,O90*100/I90,0)</f>
        <v>0</v>
      </c>
      <c r="R90" s="127">
        <v>0</v>
      </c>
      <c r="S90" s="127">
        <v>0</v>
      </c>
      <c r="T90" s="127">
        <v>0</v>
      </c>
      <c r="U90" s="84">
        <f t="shared" si="30"/>
        <v>0</v>
      </c>
      <c r="V90" s="84">
        <f t="shared" si="31"/>
        <v>0</v>
      </c>
      <c r="W90" s="81"/>
      <c r="X90" s="81"/>
      <c r="Y90" s="200"/>
      <c r="Z90" s="81"/>
      <c r="AA90" s="81"/>
      <c r="AB90" s="200"/>
    </row>
    <row r="91" spans="1:28" ht="19.5" hidden="1" x14ac:dyDescent="0.3">
      <c r="A91" s="201"/>
      <c r="B91" s="129" t="s">
        <v>117</v>
      </c>
      <c r="C91" s="202">
        <f t="shared" ca="1" si="48"/>
        <v>0</v>
      </c>
      <c r="D91" s="203">
        <f t="shared" ca="1" si="49"/>
        <v>0</v>
      </c>
      <c r="E91" s="93">
        <f ca="1">IFERROR(__xludf.DUMMYFUNCTION("IMPORTRANGE(""https://docs.google.com/spreadsheets/d/1-uDff_7J0KD5mKrp0Vvzr7lt3OU09vwQwhkpOPPYv2Y/edit?usp=sharing"",""งบพรบ!DF91"")"),0)</f>
        <v>0</v>
      </c>
      <c r="F91" s="93">
        <f ca="1">IFERROR(__xludf.DUMMYFUNCTION("IMPORTRANGE(""https://docs.google.com/spreadsheets/d/1-uDff_7J0KD5mKrp0Vvzr7lt3OU09vwQwhkpOPPYv2Y/edit?usp=sharing"",""งบพรบ!DG91"")"),0)</f>
        <v>0</v>
      </c>
      <c r="G91" s="93">
        <f ca="1">IFERROR(__xludf.DUMMYFUNCTION("IMPORTRANGE(""https://docs.google.com/spreadsheets/d/1-uDff_7J0KD5mKrp0Vvzr7lt3OU09vwQwhkpOPPYv2Y/edit?usp=sharing"",""งบพรบ!DH91"")"),0)</f>
        <v>0</v>
      </c>
      <c r="H91" s="93">
        <f ca="1">IFERROR(__xludf.DUMMYFUNCTION("IMPORTRANGE(""https://docs.google.com/spreadsheets/d/1-uDff_7J0KD5mKrp0Vvzr7lt3OU09vwQwhkpOPPYv2Y/edit?usp=sharing"",""งบพรบ!DJ91"")"),0)</f>
        <v>0</v>
      </c>
      <c r="I91" s="93">
        <f ca="1">IFERROR(__xludf.DUMMYFUNCTION("IMPORTRANGE(""https://docs.google.com/spreadsheets/d/1-uDff_7J0KD5mKrp0Vvzr7lt3OU09vwQwhkpOPPYv2Y/edit?usp=sharing"",""งบพรบ!DK91"")"),0)</f>
        <v>0</v>
      </c>
      <c r="J91" s="93">
        <f t="shared" ca="1" si="50"/>
        <v>0</v>
      </c>
      <c r="K91" s="94">
        <f t="shared" ca="1" si="51"/>
        <v>0</v>
      </c>
      <c r="L91" s="93">
        <f ca="1">IFERROR(__xludf.DUMMYFUNCTION("IMPORTRANGE(""https://docs.google.com/spreadsheets/d/1-uDff_7J0KD5mKrp0Vvzr7lt3OU09vwQwhkpOPPYv2Y/edit?usp=sharing"",""งบพรบ!DL91"")"),0)</f>
        <v>0</v>
      </c>
      <c r="M91" s="95">
        <f t="shared" ca="1" si="52"/>
        <v>0</v>
      </c>
      <c r="N91" s="95">
        <f t="shared" ca="1" si="53"/>
        <v>0</v>
      </c>
      <c r="O91" s="96">
        <f ca="1">IFERROR(__xludf.DUMMYFUNCTION("IMPORTRANGE(""https://docs.google.com/spreadsheets/d/1-uDff_7J0KD5mKrp0Vvzr7lt3OU09vwQwhkpOPPYv2Y/edit?usp=sharing"",""งบพรบ!DM91"")"),0)</f>
        <v>0</v>
      </c>
      <c r="P91" s="96">
        <f t="shared" ca="1" si="54"/>
        <v>0</v>
      </c>
      <c r="Q91" s="95">
        <f t="shared" ca="1" si="55"/>
        <v>0</v>
      </c>
      <c r="R91" s="130">
        <v>0</v>
      </c>
      <c r="S91" s="130">
        <v>0</v>
      </c>
      <c r="T91" s="130">
        <v>0</v>
      </c>
      <c r="U91" s="95">
        <f t="shared" si="30"/>
        <v>0</v>
      </c>
      <c r="V91" s="95">
        <f t="shared" si="31"/>
        <v>0</v>
      </c>
      <c r="W91" s="93"/>
      <c r="X91" s="93"/>
      <c r="Y91" s="204"/>
      <c r="Z91" s="93"/>
      <c r="AA91" s="93"/>
      <c r="AB91" s="204"/>
    </row>
    <row r="92" spans="1:28" ht="19.5" hidden="1" x14ac:dyDescent="0.3">
      <c r="A92" s="201"/>
      <c r="B92" s="129" t="s">
        <v>118</v>
      </c>
      <c r="C92" s="202">
        <f t="shared" ca="1" si="48"/>
        <v>0</v>
      </c>
      <c r="D92" s="203">
        <f t="shared" ca="1" si="49"/>
        <v>0</v>
      </c>
      <c r="E92" s="93">
        <f ca="1">IFERROR(__xludf.DUMMYFUNCTION("IMPORTRANGE(""https://docs.google.com/spreadsheets/d/1-uDff_7J0KD5mKrp0Vvzr7lt3OU09vwQwhkpOPPYv2Y/edit?usp=sharing"",""งบพรบ!DF92"")"),0)</f>
        <v>0</v>
      </c>
      <c r="F92" s="93">
        <f ca="1">IFERROR(__xludf.DUMMYFUNCTION("IMPORTRANGE(""https://docs.google.com/spreadsheets/d/1-uDff_7J0KD5mKrp0Vvzr7lt3OU09vwQwhkpOPPYv2Y/edit?usp=sharing"",""งบพรบ!DG92"")"),0)</f>
        <v>0</v>
      </c>
      <c r="G92" s="93">
        <f ca="1">IFERROR(__xludf.DUMMYFUNCTION("IMPORTRANGE(""https://docs.google.com/spreadsheets/d/1-uDff_7J0KD5mKrp0Vvzr7lt3OU09vwQwhkpOPPYv2Y/edit?usp=sharing"",""งบพรบ!DH92"")"),0)</f>
        <v>0</v>
      </c>
      <c r="H92" s="93">
        <f ca="1">IFERROR(__xludf.DUMMYFUNCTION("IMPORTRANGE(""https://docs.google.com/spreadsheets/d/1-uDff_7J0KD5mKrp0Vvzr7lt3OU09vwQwhkpOPPYv2Y/edit?usp=sharing"",""งบพรบ!DJ92"")"),0)</f>
        <v>0</v>
      </c>
      <c r="I92" s="93">
        <f ca="1">IFERROR(__xludf.DUMMYFUNCTION("IMPORTRANGE(""https://docs.google.com/spreadsheets/d/1-uDff_7J0KD5mKrp0Vvzr7lt3OU09vwQwhkpOPPYv2Y/edit?usp=sharing"",""งบพรบ!DK92"")"),0)</f>
        <v>0</v>
      </c>
      <c r="J92" s="93">
        <f t="shared" ca="1" si="50"/>
        <v>0</v>
      </c>
      <c r="K92" s="94">
        <f t="shared" ca="1" si="51"/>
        <v>0</v>
      </c>
      <c r="L92" s="93">
        <f ca="1">IFERROR(__xludf.DUMMYFUNCTION("IMPORTRANGE(""https://docs.google.com/spreadsheets/d/1-uDff_7J0KD5mKrp0Vvzr7lt3OU09vwQwhkpOPPYv2Y/edit?usp=sharing"",""งบพรบ!DL92"")"),0)</f>
        <v>0</v>
      </c>
      <c r="M92" s="95">
        <f t="shared" ca="1" si="52"/>
        <v>0</v>
      </c>
      <c r="N92" s="95">
        <f t="shared" ca="1" si="53"/>
        <v>0</v>
      </c>
      <c r="O92" s="96">
        <f ca="1">IFERROR(__xludf.DUMMYFUNCTION("IMPORTRANGE(""https://docs.google.com/spreadsheets/d/1-uDff_7J0KD5mKrp0Vvzr7lt3OU09vwQwhkpOPPYv2Y/edit?usp=sharing"",""งบพรบ!DM92"")"),0)</f>
        <v>0</v>
      </c>
      <c r="P92" s="96">
        <f t="shared" ca="1" si="54"/>
        <v>0</v>
      </c>
      <c r="Q92" s="95">
        <f t="shared" ca="1" si="55"/>
        <v>0</v>
      </c>
      <c r="R92" s="130">
        <v>0</v>
      </c>
      <c r="S92" s="130">
        <v>0</v>
      </c>
      <c r="T92" s="130">
        <v>0</v>
      </c>
      <c r="U92" s="95">
        <f t="shared" si="30"/>
        <v>0</v>
      </c>
      <c r="V92" s="95">
        <f t="shared" si="31"/>
        <v>0</v>
      </c>
      <c r="W92" s="93"/>
      <c r="X92" s="93"/>
      <c r="Y92" s="204"/>
      <c r="Z92" s="93"/>
      <c r="AA92" s="93"/>
      <c r="AB92" s="204"/>
    </row>
    <row r="93" spans="1:28" ht="19.5" hidden="1" x14ac:dyDescent="0.3">
      <c r="A93" s="201"/>
      <c r="B93" s="129" t="s">
        <v>119</v>
      </c>
      <c r="C93" s="202">
        <f t="shared" ca="1" si="48"/>
        <v>0</v>
      </c>
      <c r="D93" s="203">
        <f t="shared" ca="1" si="49"/>
        <v>0</v>
      </c>
      <c r="E93" s="93">
        <f ca="1">IFERROR(__xludf.DUMMYFUNCTION("IMPORTRANGE(""https://docs.google.com/spreadsheets/d/1-uDff_7J0KD5mKrp0Vvzr7lt3OU09vwQwhkpOPPYv2Y/edit?usp=sharing"",""งบพรบ!DF93"")"),0)</f>
        <v>0</v>
      </c>
      <c r="F93" s="93">
        <f ca="1">IFERROR(__xludf.DUMMYFUNCTION("IMPORTRANGE(""https://docs.google.com/spreadsheets/d/1-uDff_7J0KD5mKrp0Vvzr7lt3OU09vwQwhkpOPPYv2Y/edit?usp=sharing"",""งบพรบ!DG93"")"),0)</f>
        <v>0</v>
      </c>
      <c r="G93" s="93">
        <f ca="1">IFERROR(__xludf.DUMMYFUNCTION("IMPORTRANGE(""https://docs.google.com/spreadsheets/d/1-uDff_7J0KD5mKrp0Vvzr7lt3OU09vwQwhkpOPPYv2Y/edit?usp=sharing"",""งบพรบ!DH93"")"),0)</f>
        <v>0</v>
      </c>
      <c r="H93" s="93">
        <f ca="1">IFERROR(__xludf.DUMMYFUNCTION("IMPORTRANGE(""https://docs.google.com/spreadsheets/d/1-uDff_7J0KD5mKrp0Vvzr7lt3OU09vwQwhkpOPPYv2Y/edit?usp=sharing"",""งบพรบ!DJ93"")"),100000)</f>
        <v>100000</v>
      </c>
      <c r="I93" s="93">
        <f ca="1">IFERROR(__xludf.DUMMYFUNCTION("IMPORTRANGE(""https://docs.google.com/spreadsheets/d/1-uDff_7J0KD5mKrp0Vvzr7lt3OU09vwQwhkpOPPYv2Y/edit?usp=sharing"",""งบพรบ!DK93"")"),0)</f>
        <v>0</v>
      </c>
      <c r="J93" s="93">
        <f t="shared" ca="1" si="50"/>
        <v>100000</v>
      </c>
      <c r="K93" s="94">
        <f t="shared" ca="1" si="51"/>
        <v>0</v>
      </c>
      <c r="L93" s="93">
        <f ca="1">IFERROR(__xludf.DUMMYFUNCTION("IMPORTRANGE(""https://docs.google.com/spreadsheets/d/1-uDff_7J0KD5mKrp0Vvzr7lt3OU09vwQwhkpOPPYv2Y/edit?usp=sharing"",""งบพรบ!DL93"")"),100000)</f>
        <v>100000</v>
      </c>
      <c r="M93" s="95">
        <f t="shared" ca="1" si="52"/>
        <v>0</v>
      </c>
      <c r="N93" s="95">
        <f t="shared" ca="1" si="53"/>
        <v>100</v>
      </c>
      <c r="O93" s="96">
        <f ca="1">IFERROR(__xludf.DUMMYFUNCTION("IMPORTRANGE(""https://docs.google.com/spreadsheets/d/1-uDff_7J0KD5mKrp0Vvzr7lt3OU09vwQwhkpOPPYv2Y/edit?usp=sharing"",""งบพรบ!DM93"")"),0)</f>
        <v>0</v>
      </c>
      <c r="P93" s="96">
        <f t="shared" ca="1" si="54"/>
        <v>0</v>
      </c>
      <c r="Q93" s="95">
        <f t="shared" ca="1" si="55"/>
        <v>0</v>
      </c>
      <c r="R93" s="130">
        <v>0</v>
      </c>
      <c r="S93" s="130">
        <v>0</v>
      </c>
      <c r="T93" s="130">
        <v>0</v>
      </c>
      <c r="U93" s="95">
        <f t="shared" si="30"/>
        <v>0</v>
      </c>
      <c r="V93" s="95">
        <f t="shared" si="31"/>
        <v>0</v>
      </c>
      <c r="W93" s="93"/>
      <c r="X93" s="93"/>
      <c r="Y93" s="204"/>
      <c r="Z93" s="93"/>
      <c r="AA93" s="93"/>
      <c r="AB93" s="204"/>
    </row>
    <row r="94" spans="1:28" ht="19.5" hidden="1" x14ac:dyDescent="0.3">
      <c r="A94" s="201"/>
      <c r="B94" s="129" t="s">
        <v>120</v>
      </c>
      <c r="C94" s="202">
        <f t="shared" ca="1" si="48"/>
        <v>0</v>
      </c>
      <c r="D94" s="203">
        <f t="shared" ca="1" si="49"/>
        <v>0</v>
      </c>
      <c r="E94" s="93">
        <f ca="1">IFERROR(__xludf.DUMMYFUNCTION("IMPORTRANGE(""https://docs.google.com/spreadsheets/d/1-uDff_7J0KD5mKrp0Vvzr7lt3OU09vwQwhkpOPPYv2Y/edit?usp=sharing"",""งบพรบ!DF94"")"),0)</f>
        <v>0</v>
      </c>
      <c r="F94" s="93">
        <f ca="1">IFERROR(__xludf.DUMMYFUNCTION("IMPORTRANGE(""https://docs.google.com/spreadsheets/d/1-uDff_7J0KD5mKrp0Vvzr7lt3OU09vwQwhkpOPPYv2Y/edit?usp=sharing"",""งบพรบ!DG94"")"),0)</f>
        <v>0</v>
      </c>
      <c r="G94" s="93">
        <f ca="1">IFERROR(__xludf.DUMMYFUNCTION("IMPORTRANGE(""https://docs.google.com/spreadsheets/d/1-uDff_7J0KD5mKrp0Vvzr7lt3OU09vwQwhkpOPPYv2Y/edit?usp=sharing"",""งบพรบ!DH94"")"),0)</f>
        <v>0</v>
      </c>
      <c r="H94" s="93">
        <f ca="1">IFERROR(__xludf.DUMMYFUNCTION("IMPORTRANGE(""https://docs.google.com/spreadsheets/d/1-uDff_7J0KD5mKrp0Vvzr7lt3OU09vwQwhkpOPPYv2Y/edit?usp=sharing"",""งบพรบ!DJ94"")"),0)</f>
        <v>0</v>
      </c>
      <c r="I94" s="93">
        <f ca="1">IFERROR(__xludf.DUMMYFUNCTION("IMPORTRANGE(""https://docs.google.com/spreadsheets/d/1-uDff_7J0KD5mKrp0Vvzr7lt3OU09vwQwhkpOPPYv2Y/edit?usp=sharing"",""งบพรบ!DK94"")"),0)</f>
        <v>0</v>
      </c>
      <c r="J94" s="93">
        <f t="shared" ca="1" si="50"/>
        <v>0</v>
      </c>
      <c r="K94" s="94">
        <f t="shared" ca="1" si="51"/>
        <v>0</v>
      </c>
      <c r="L94" s="93">
        <f ca="1">IFERROR(__xludf.DUMMYFUNCTION("IMPORTRANGE(""https://docs.google.com/spreadsheets/d/1-uDff_7J0KD5mKrp0Vvzr7lt3OU09vwQwhkpOPPYv2Y/edit?usp=sharing"",""งบพรบ!DL94"")"),0)</f>
        <v>0</v>
      </c>
      <c r="M94" s="95">
        <f t="shared" ca="1" si="52"/>
        <v>0</v>
      </c>
      <c r="N94" s="95">
        <f t="shared" ca="1" si="53"/>
        <v>0</v>
      </c>
      <c r="O94" s="96">
        <f ca="1">IFERROR(__xludf.DUMMYFUNCTION("IMPORTRANGE(""https://docs.google.com/spreadsheets/d/1-uDff_7J0KD5mKrp0Vvzr7lt3OU09vwQwhkpOPPYv2Y/edit?usp=sharing"",""งบพรบ!DM94"")"),0)</f>
        <v>0</v>
      </c>
      <c r="P94" s="96">
        <f t="shared" ca="1" si="54"/>
        <v>0</v>
      </c>
      <c r="Q94" s="95">
        <f t="shared" ca="1" si="55"/>
        <v>0</v>
      </c>
      <c r="R94" s="130">
        <v>0</v>
      </c>
      <c r="S94" s="130">
        <v>0</v>
      </c>
      <c r="T94" s="130">
        <v>0</v>
      </c>
      <c r="U94" s="95">
        <f t="shared" si="30"/>
        <v>0</v>
      </c>
      <c r="V94" s="95">
        <f t="shared" si="31"/>
        <v>0</v>
      </c>
      <c r="W94" s="93"/>
      <c r="X94" s="93"/>
      <c r="Y94" s="204"/>
      <c r="Z94" s="93"/>
      <c r="AA94" s="93"/>
      <c r="AB94" s="204"/>
    </row>
    <row r="95" spans="1:28" ht="19.5" hidden="1" x14ac:dyDescent="0.3">
      <c r="A95" s="201"/>
      <c r="B95" s="129" t="s">
        <v>121</v>
      </c>
      <c r="C95" s="202">
        <f t="shared" ca="1" si="48"/>
        <v>0</v>
      </c>
      <c r="D95" s="203">
        <f t="shared" ca="1" si="49"/>
        <v>0</v>
      </c>
      <c r="E95" s="93">
        <f ca="1">IFERROR(__xludf.DUMMYFUNCTION("IMPORTRANGE(""https://docs.google.com/spreadsheets/d/1-uDff_7J0KD5mKrp0Vvzr7lt3OU09vwQwhkpOPPYv2Y/edit?usp=sharing"",""งบพรบ!DF95"")"),0)</f>
        <v>0</v>
      </c>
      <c r="F95" s="93">
        <f ca="1">IFERROR(__xludf.DUMMYFUNCTION("IMPORTRANGE(""https://docs.google.com/spreadsheets/d/1-uDff_7J0KD5mKrp0Vvzr7lt3OU09vwQwhkpOPPYv2Y/edit?usp=sharing"",""งบพรบ!DG95"")"),0)</f>
        <v>0</v>
      </c>
      <c r="G95" s="93">
        <f ca="1">IFERROR(__xludf.DUMMYFUNCTION("IMPORTRANGE(""https://docs.google.com/spreadsheets/d/1-uDff_7J0KD5mKrp0Vvzr7lt3OU09vwQwhkpOPPYv2Y/edit?usp=sharing"",""งบพรบ!DH95"")"),0)</f>
        <v>0</v>
      </c>
      <c r="H95" s="93">
        <f ca="1">IFERROR(__xludf.DUMMYFUNCTION("IMPORTRANGE(""https://docs.google.com/spreadsheets/d/1-uDff_7J0KD5mKrp0Vvzr7lt3OU09vwQwhkpOPPYv2Y/edit?usp=sharing"",""งบพรบ!DJ95"")"),0)</f>
        <v>0</v>
      </c>
      <c r="I95" s="93">
        <f ca="1">IFERROR(__xludf.DUMMYFUNCTION("IMPORTRANGE(""https://docs.google.com/spreadsheets/d/1-uDff_7J0KD5mKrp0Vvzr7lt3OU09vwQwhkpOPPYv2Y/edit?usp=sharing"",""งบพรบ!DK95"")"),0)</f>
        <v>0</v>
      </c>
      <c r="J95" s="93">
        <f t="shared" ca="1" si="50"/>
        <v>0</v>
      </c>
      <c r="K95" s="94">
        <f t="shared" ca="1" si="51"/>
        <v>0</v>
      </c>
      <c r="L95" s="93">
        <f ca="1">IFERROR(__xludf.DUMMYFUNCTION("IMPORTRANGE(""https://docs.google.com/spreadsheets/d/1-uDff_7J0KD5mKrp0Vvzr7lt3OU09vwQwhkpOPPYv2Y/edit?usp=sharing"",""งบพรบ!DL95"")"),0)</f>
        <v>0</v>
      </c>
      <c r="M95" s="95">
        <f t="shared" ca="1" si="52"/>
        <v>0</v>
      </c>
      <c r="N95" s="95">
        <f t="shared" ca="1" si="53"/>
        <v>0</v>
      </c>
      <c r="O95" s="96">
        <f ca="1">IFERROR(__xludf.DUMMYFUNCTION("IMPORTRANGE(""https://docs.google.com/spreadsheets/d/1-uDff_7J0KD5mKrp0Vvzr7lt3OU09vwQwhkpOPPYv2Y/edit?usp=sharing"",""งบพรบ!DM95"")"),0)</f>
        <v>0</v>
      </c>
      <c r="P95" s="96">
        <f t="shared" ca="1" si="54"/>
        <v>0</v>
      </c>
      <c r="Q95" s="95">
        <f t="shared" ca="1" si="55"/>
        <v>0</v>
      </c>
      <c r="R95" s="130">
        <v>0</v>
      </c>
      <c r="S95" s="130">
        <v>0</v>
      </c>
      <c r="T95" s="130">
        <v>0</v>
      </c>
      <c r="U95" s="95">
        <f t="shared" si="30"/>
        <v>0</v>
      </c>
      <c r="V95" s="95">
        <f t="shared" si="31"/>
        <v>0</v>
      </c>
      <c r="W95" s="93"/>
      <c r="X95" s="93"/>
      <c r="Y95" s="204"/>
      <c r="Z95" s="93"/>
      <c r="AA95" s="93"/>
      <c r="AB95" s="204"/>
    </row>
    <row r="96" spans="1:28" ht="19.5" hidden="1" x14ac:dyDescent="0.3">
      <c r="A96" s="201"/>
      <c r="B96" s="129" t="s">
        <v>122</v>
      </c>
      <c r="C96" s="202">
        <f t="shared" ca="1" si="48"/>
        <v>0</v>
      </c>
      <c r="D96" s="203">
        <f t="shared" ca="1" si="49"/>
        <v>0</v>
      </c>
      <c r="E96" s="93">
        <f ca="1">IFERROR(__xludf.DUMMYFUNCTION("IMPORTRANGE(""https://docs.google.com/spreadsheets/d/1-uDff_7J0KD5mKrp0Vvzr7lt3OU09vwQwhkpOPPYv2Y/edit?usp=sharing"",""งบพรบ!DF96"")"),0)</f>
        <v>0</v>
      </c>
      <c r="F96" s="93">
        <f ca="1">IFERROR(__xludf.DUMMYFUNCTION("IMPORTRANGE(""https://docs.google.com/spreadsheets/d/1-uDff_7J0KD5mKrp0Vvzr7lt3OU09vwQwhkpOPPYv2Y/edit?usp=sharing"",""งบพรบ!DG96"")"),0)</f>
        <v>0</v>
      </c>
      <c r="G96" s="93">
        <f ca="1">IFERROR(__xludf.DUMMYFUNCTION("IMPORTRANGE(""https://docs.google.com/spreadsheets/d/1-uDff_7J0KD5mKrp0Vvzr7lt3OU09vwQwhkpOPPYv2Y/edit?usp=sharing"",""งบพรบ!DH96"")"),0)</f>
        <v>0</v>
      </c>
      <c r="H96" s="93">
        <f ca="1">IFERROR(__xludf.DUMMYFUNCTION("IMPORTRANGE(""https://docs.google.com/spreadsheets/d/1-uDff_7J0KD5mKrp0Vvzr7lt3OU09vwQwhkpOPPYv2Y/edit?usp=sharing"",""งบพรบ!DJ96"")"),0)</f>
        <v>0</v>
      </c>
      <c r="I96" s="93">
        <f ca="1">IFERROR(__xludf.DUMMYFUNCTION("IMPORTRANGE(""https://docs.google.com/spreadsheets/d/1-uDff_7J0KD5mKrp0Vvzr7lt3OU09vwQwhkpOPPYv2Y/edit?usp=sharing"",""งบพรบ!DK96"")"),0)</f>
        <v>0</v>
      </c>
      <c r="J96" s="93">
        <f t="shared" ca="1" si="50"/>
        <v>0</v>
      </c>
      <c r="K96" s="94">
        <f t="shared" ca="1" si="51"/>
        <v>0</v>
      </c>
      <c r="L96" s="93">
        <f ca="1">IFERROR(__xludf.DUMMYFUNCTION("IMPORTRANGE(""https://docs.google.com/spreadsheets/d/1-uDff_7J0KD5mKrp0Vvzr7lt3OU09vwQwhkpOPPYv2Y/edit?usp=sharing"",""งบพรบ!DL96"")"),0)</f>
        <v>0</v>
      </c>
      <c r="M96" s="95">
        <f t="shared" ca="1" si="52"/>
        <v>0</v>
      </c>
      <c r="N96" s="95">
        <f t="shared" ca="1" si="53"/>
        <v>0</v>
      </c>
      <c r="O96" s="96">
        <f ca="1">IFERROR(__xludf.DUMMYFUNCTION("IMPORTRANGE(""https://docs.google.com/spreadsheets/d/1-uDff_7J0KD5mKrp0Vvzr7lt3OU09vwQwhkpOPPYv2Y/edit?usp=sharing"",""งบพรบ!DM96"")"),0)</f>
        <v>0</v>
      </c>
      <c r="P96" s="96">
        <f t="shared" ca="1" si="54"/>
        <v>0</v>
      </c>
      <c r="Q96" s="95">
        <f t="shared" ca="1" si="55"/>
        <v>0</v>
      </c>
      <c r="R96" s="130">
        <v>0</v>
      </c>
      <c r="S96" s="130">
        <v>0</v>
      </c>
      <c r="T96" s="130">
        <v>0</v>
      </c>
      <c r="U96" s="95">
        <f t="shared" si="30"/>
        <v>0</v>
      </c>
      <c r="V96" s="95">
        <f t="shared" si="31"/>
        <v>0</v>
      </c>
      <c r="W96" s="93"/>
      <c r="X96" s="93"/>
      <c r="Y96" s="204"/>
      <c r="Z96" s="93"/>
      <c r="AA96" s="93"/>
      <c r="AB96" s="204"/>
    </row>
    <row r="97" spans="1:28" ht="19.5" hidden="1" x14ac:dyDescent="0.3">
      <c r="A97" s="201"/>
      <c r="B97" s="129" t="s">
        <v>123</v>
      </c>
      <c r="C97" s="202">
        <f t="shared" ca="1" si="48"/>
        <v>0</v>
      </c>
      <c r="D97" s="203">
        <f t="shared" ca="1" si="49"/>
        <v>0</v>
      </c>
      <c r="E97" s="93">
        <f ca="1">IFERROR(__xludf.DUMMYFUNCTION("IMPORTRANGE(""https://docs.google.com/spreadsheets/d/1-uDff_7J0KD5mKrp0Vvzr7lt3OU09vwQwhkpOPPYv2Y/edit?usp=sharing"",""งบพรบ!DF97"")"),0)</f>
        <v>0</v>
      </c>
      <c r="F97" s="93">
        <f ca="1">IFERROR(__xludf.DUMMYFUNCTION("IMPORTRANGE(""https://docs.google.com/spreadsheets/d/1-uDff_7J0KD5mKrp0Vvzr7lt3OU09vwQwhkpOPPYv2Y/edit?usp=sharing"",""งบพรบ!DG97"")"),0)</f>
        <v>0</v>
      </c>
      <c r="G97" s="93">
        <f ca="1">IFERROR(__xludf.DUMMYFUNCTION("IMPORTRANGE(""https://docs.google.com/spreadsheets/d/1-uDff_7J0KD5mKrp0Vvzr7lt3OU09vwQwhkpOPPYv2Y/edit?usp=sharing"",""งบพรบ!DH97"")"),0)</f>
        <v>0</v>
      </c>
      <c r="H97" s="93">
        <f ca="1">IFERROR(__xludf.DUMMYFUNCTION("IMPORTRANGE(""https://docs.google.com/spreadsheets/d/1-uDff_7J0KD5mKrp0Vvzr7lt3OU09vwQwhkpOPPYv2Y/edit?usp=sharing"",""งบพรบ!DJ97"")"),0)</f>
        <v>0</v>
      </c>
      <c r="I97" s="93">
        <f ca="1">IFERROR(__xludf.DUMMYFUNCTION("IMPORTRANGE(""https://docs.google.com/spreadsheets/d/1-uDff_7J0KD5mKrp0Vvzr7lt3OU09vwQwhkpOPPYv2Y/edit?usp=sharing"",""งบพรบ!DK97"")"),0)</f>
        <v>0</v>
      </c>
      <c r="J97" s="93">
        <f t="shared" ca="1" si="50"/>
        <v>0</v>
      </c>
      <c r="K97" s="94">
        <f t="shared" ca="1" si="51"/>
        <v>0</v>
      </c>
      <c r="L97" s="93">
        <f ca="1">IFERROR(__xludf.DUMMYFUNCTION("IMPORTRANGE(""https://docs.google.com/spreadsheets/d/1-uDff_7J0KD5mKrp0Vvzr7lt3OU09vwQwhkpOPPYv2Y/edit?usp=sharing"",""งบพรบ!DL97"")"),0)</f>
        <v>0</v>
      </c>
      <c r="M97" s="95">
        <f t="shared" ca="1" si="52"/>
        <v>0</v>
      </c>
      <c r="N97" s="95">
        <f t="shared" ca="1" si="53"/>
        <v>0</v>
      </c>
      <c r="O97" s="96">
        <f ca="1">IFERROR(__xludf.DUMMYFUNCTION("IMPORTRANGE(""https://docs.google.com/spreadsheets/d/1-uDff_7J0KD5mKrp0Vvzr7lt3OU09vwQwhkpOPPYv2Y/edit?usp=sharing"",""งบพรบ!DM97"")"),0)</f>
        <v>0</v>
      </c>
      <c r="P97" s="96">
        <f t="shared" ca="1" si="54"/>
        <v>0</v>
      </c>
      <c r="Q97" s="95">
        <f t="shared" ca="1" si="55"/>
        <v>0</v>
      </c>
      <c r="R97" s="130">
        <v>0</v>
      </c>
      <c r="S97" s="130">
        <v>0</v>
      </c>
      <c r="T97" s="130">
        <v>0</v>
      </c>
      <c r="U97" s="95">
        <f t="shared" si="30"/>
        <v>0</v>
      </c>
      <c r="V97" s="95">
        <f t="shared" si="31"/>
        <v>0</v>
      </c>
      <c r="W97" s="93"/>
      <c r="X97" s="93"/>
      <c r="Y97" s="204"/>
      <c r="Z97" s="93"/>
      <c r="AA97" s="93"/>
      <c r="AB97" s="204"/>
    </row>
    <row r="98" spans="1:28" ht="19.5" hidden="1" x14ac:dyDescent="0.3">
      <c r="A98" s="201"/>
      <c r="B98" s="129" t="s">
        <v>124</v>
      </c>
      <c r="C98" s="202">
        <f t="shared" ca="1" si="48"/>
        <v>0</v>
      </c>
      <c r="D98" s="203">
        <f t="shared" ca="1" si="49"/>
        <v>0</v>
      </c>
      <c r="E98" s="93">
        <f ca="1">IFERROR(__xludf.DUMMYFUNCTION("IMPORTRANGE(""https://docs.google.com/spreadsheets/d/1-uDff_7J0KD5mKrp0Vvzr7lt3OU09vwQwhkpOPPYv2Y/edit?usp=sharing"",""งบพรบ!DF98"")"),0)</f>
        <v>0</v>
      </c>
      <c r="F98" s="93">
        <f ca="1">IFERROR(__xludf.DUMMYFUNCTION("IMPORTRANGE(""https://docs.google.com/spreadsheets/d/1-uDff_7J0KD5mKrp0Vvzr7lt3OU09vwQwhkpOPPYv2Y/edit?usp=sharing"",""งบพรบ!DG98"")"),0)</f>
        <v>0</v>
      </c>
      <c r="G98" s="93">
        <f ca="1">IFERROR(__xludf.DUMMYFUNCTION("IMPORTRANGE(""https://docs.google.com/spreadsheets/d/1-uDff_7J0KD5mKrp0Vvzr7lt3OU09vwQwhkpOPPYv2Y/edit?usp=sharing"",""งบพรบ!DH98"")"),0)</f>
        <v>0</v>
      </c>
      <c r="H98" s="93">
        <f ca="1">IFERROR(__xludf.DUMMYFUNCTION("IMPORTRANGE(""https://docs.google.com/spreadsheets/d/1-uDff_7J0KD5mKrp0Vvzr7lt3OU09vwQwhkpOPPYv2Y/edit?usp=sharing"",""งบพรบ!DJ98"")"),0)</f>
        <v>0</v>
      </c>
      <c r="I98" s="93">
        <f ca="1">IFERROR(__xludf.DUMMYFUNCTION("IMPORTRANGE(""https://docs.google.com/spreadsheets/d/1-uDff_7J0KD5mKrp0Vvzr7lt3OU09vwQwhkpOPPYv2Y/edit?usp=sharing"",""งบพรบ!DK98"")"),0)</f>
        <v>0</v>
      </c>
      <c r="J98" s="93">
        <f t="shared" ca="1" si="50"/>
        <v>0</v>
      </c>
      <c r="K98" s="94">
        <f t="shared" ca="1" si="51"/>
        <v>0</v>
      </c>
      <c r="L98" s="93">
        <f ca="1">IFERROR(__xludf.DUMMYFUNCTION("IMPORTRANGE(""https://docs.google.com/spreadsheets/d/1-uDff_7J0KD5mKrp0Vvzr7lt3OU09vwQwhkpOPPYv2Y/edit?usp=sharing"",""งบพรบ!DL98"")"),0)</f>
        <v>0</v>
      </c>
      <c r="M98" s="95">
        <f t="shared" ca="1" si="52"/>
        <v>0</v>
      </c>
      <c r="N98" s="95">
        <f t="shared" ca="1" si="53"/>
        <v>0</v>
      </c>
      <c r="O98" s="96">
        <f ca="1">IFERROR(__xludf.DUMMYFUNCTION("IMPORTRANGE(""https://docs.google.com/spreadsheets/d/1-uDff_7J0KD5mKrp0Vvzr7lt3OU09vwQwhkpOPPYv2Y/edit?usp=sharing"",""งบพรบ!DM98"")"),0)</f>
        <v>0</v>
      </c>
      <c r="P98" s="96">
        <f t="shared" ca="1" si="54"/>
        <v>0</v>
      </c>
      <c r="Q98" s="95">
        <f t="shared" ca="1" si="55"/>
        <v>0</v>
      </c>
      <c r="R98" s="130">
        <v>0</v>
      </c>
      <c r="S98" s="130">
        <v>0</v>
      </c>
      <c r="T98" s="130">
        <v>0</v>
      </c>
      <c r="U98" s="95">
        <f t="shared" si="30"/>
        <v>0</v>
      </c>
      <c r="V98" s="95">
        <f t="shared" si="31"/>
        <v>0</v>
      </c>
      <c r="W98" s="93"/>
      <c r="X98" s="93"/>
      <c r="Y98" s="204"/>
      <c r="Z98" s="93"/>
      <c r="AA98" s="93"/>
      <c r="AB98" s="204"/>
    </row>
    <row r="99" spans="1:28" ht="19.5" hidden="1" x14ac:dyDescent="0.3">
      <c r="A99" s="201"/>
      <c r="B99" s="129" t="s">
        <v>125</v>
      </c>
      <c r="C99" s="202">
        <f t="shared" ca="1" si="48"/>
        <v>0</v>
      </c>
      <c r="D99" s="203">
        <f t="shared" ca="1" si="49"/>
        <v>0</v>
      </c>
      <c r="E99" s="93">
        <f ca="1">IFERROR(__xludf.DUMMYFUNCTION("IMPORTRANGE(""https://docs.google.com/spreadsheets/d/1-uDff_7J0KD5mKrp0Vvzr7lt3OU09vwQwhkpOPPYv2Y/edit?usp=sharing"",""งบพรบ!DF99"")"),0)</f>
        <v>0</v>
      </c>
      <c r="F99" s="93">
        <f ca="1">IFERROR(__xludf.DUMMYFUNCTION("IMPORTRANGE(""https://docs.google.com/spreadsheets/d/1-uDff_7J0KD5mKrp0Vvzr7lt3OU09vwQwhkpOPPYv2Y/edit?usp=sharing"",""งบพรบ!DG99"")"),0)</f>
        <v>0</v>
      </c>
      <c r="G99" s="93">
        <f ca="1">IFERROR(__xludf.DUMMYFUNCTION("IMPORTRANGE(""https://docs.google.com/spreadsheets/d/1-uDff_7J0KD5mKrp0Vvzr7lt3OU09vwQwhkpOPPYv2Y/edit?usp=sharing"",""งบพรบ!DH99"")"),0)</f>
        <v>0</v>
      </c>
      <c r="H99" s="93">
        <f ca="1">IFERROR(__xludf.DUMMYFUNCTION("IMPORTRANGE(""https://docs.google.com/spreadsheets/d/1-uDff_7J0KD5mKrp0Vvzr7lt3OU09vwQwhkpOPPYv2Y/edit?usp=sharing"",""งบพรบ!DJ99"")"),0)</f>
        <v>0</v>
      </c>
      <c r="I99" s="93">
        <f ca="1">IFERROR(__xludf.DUMMYFUNCTION("IMPORTRANGE(""https://docs.google.com/spreadsheets/d/1-uDff_7J0KD5mKrp0Vvzr7lt3OU09vwQwhkpOPPYv2Y/edit?usp=sharing"",""งบพรบ!DK99"")"),0)</f>
        <v>0</v>
      </c>
      <c r="J99" s="93">
        <f t="shared" ca="1" si="50"/>
        <v>0</v>
      </c>
      <c r="K99" s="94">
        <f t="shared" ca="1" si="51"/>
        <v>0</v>
      </c>
      <c r="L99" s="93">
        <f ca="1">IFERROR(__xludf.DUMMYFUNCTION("IMPORTRANGE(""https://docs.google.com/spreadsheets/d/1-uDff_7J0KD5mKrp0Vvzr7lt3OU09vwQwhkpOPPYv2Y/edit?usp=sharing"",""งบพรบ!DL99"")"),0)</f>
        <v>0</v>
      </c>
      <c r="M99" s="95">
        <f t="shared" ca="1" si="52"/>
        <v>0</v>
      </c>
      <c r="N99" s="95">
        <f t="shared" ca="1" si="53"/>
        <v>0</v>
      </c>
      <c r="O99" s="96">
        <f ca="1">IFERROR(__xludf.DUMMYFUNCTION("IMPORTRANGE(""https://docs.google.com/spreadsheets/d/1-uDff_7J0KD5mKrp0Vvzr7lt3OU09vwQwhkpOPPYv2Y/edit?usp=sharing"",""งบพรบ!DM99"")"),0)</f>
        <v>0</v>
      </c>
      <c r="P99" s="96">
        <f t="shared" ca="1" si="54"/>
        <v>0</v>
      </c>
      <c r="Q99" s="95">
        <f t="shared" ca="1" si="55"/>
        <v>0</v>
      </c>
      <c r="R99" s="130">
        <v>0</v>
      </c>
      <c r="S99" s="130">
        <v>0</v>
      </c>
      <c r="T99" s="130">
        <v>0</v>
      </c>
      <c r="U99" s="95">
        <f t="shared" si="30"/>
        <v>0</v>
      </c>
      <c r="V99" s="95">
        <f t="shared" si="31"/>
        <v>0</v>
      </c>
      <c r="W99" s="93"/>
      <c r="X99" s="93"/>
      <c r="Y99" s="204"/>
      <c r="Z99" s="93"/>
      <c r="AA99" s="93"/>
      <c r="AB99" s="204"/>
    </row>
    <row r="100" spans="1:28" ht="19.5" hidden="1" x14ac:dyDescent="0.3">
      <c r="A100" s="201"/>
      <c r="B100" s="129" t="s">
        <v>126</v>
      </c>
      <c r="C100" s="202">
        <f t="shared" ca="1" si="48"/>
        <v>0</v>
      </c>
      <c r="D100" s="203">
        <f t="shared" ca="1" si="49"/>
        <v>0</v>
      </c>
      <c r="E100" s="93">
        <f ca="1">IFERROR(__xludf.DUMMYFUNCTION("IMPORTRANGE(""https://docs.google.com/spreadsheets/d/1-uDff_7J0KD5mKrp0Vvzr7lt3OU09vwQwhkpOPPYv2Y/edit?usp=sharing"",""งบพรบ!DF100"")"),0)</f>
        <v>0</v>
      </c>
      <c r="F100" s="93">
        <f ca="1">IFERROR(__xludf.DUMMYFUNCTION("IMPORTRANGE(""https://docs.google.com/spreadsheets/d/1-uDff_7J0KD5mKrp0Vvzr7lt3OU09vwQwhkpOPPYv2Y/edit?usp=sharing"",""งบพรบ!DG100"")"),0)</f>
        <v>0</v>
      </c>
      <c r="G100" s="93">
        <f ca="1">IFERROR(__xludf.DUMMYFUNCTION("IMPORTRANGE(""https://docs.google.com/spreadsheets/d/1-uDff_7J0KD5mKrp0Vvzr7lt3OU09vwQwhkpOPPYv2Y/edit?usp=sharing"",""งบพรบ!DH100"")"),0)</f>
        <v>0</v>
      </c>
      <c r="H100" s="93">
        <f ca="1">IFERROR(__xludf.DUMMYFUNCTION("IMPORTRANGE(""https://docs.google.com/spreadsheets/d/1-uDff_7J0KD5mKrp0Vvzr7lt3OU09vwQwhkpOPPYv2Y/edit?usp=sharing"",""งบพรบ!DJ100"")"),0)</f>
        <v>0</v>
      </c>
      <c r="I100" s="93">
        <f ca="1">IFERROR(__xludf.DUMMYFUNCTION("IMPORTRANGE(""https://docs.google.com/spreadsheets/d/1-uDff_7J0KD5mKrp0Vvzr7lt3OU09vwQwhkpOPPYv2Y/edit?usp=sharing"",""งบพรบ!DK100"")"),0)</f>
        <v>0</v>
      </c>
      <c r="J100" s="93">
        <f t="shared" ca="1" si="50"/>
        <v>0</v>
      </c>
      <c r="K100" s="94">
        <f t="shared" ca="1" si="51"/>
        <v>0</v>
      </c>
      <c r="L100" s="93">
        <f ca="1">IFERROR(__xludf.DUMMYFUNCTION("IMPORTRANGE(""https://docs.google.com/spreadsheets/d/1-uDff_7J0KD5mKrp0Vvzr7lt3OU09vwQwhkpOPPYv2Y/edit?usp=sharing"",""งบพรบ!DL100"")"),0)</f>
        <v>0</v>
      </c>
      <c r="M100" s="95">
        <f t="shared" ca="1" si="52"/>
        <v>0</v>
      </c>
      <c r="N100" s="95">
        <f t="shared" ca="1" si="53"/>
        <v>0</v>
      </c>
      <c r="O100" s="96">
        <f ca="1">IFERROR(__xludf.DUMMYFUNCTION("IMPORTRANGE(""https://docs.google.com/spreadsheets/d/1-uDff_7J0KD5mKrp0Vvzr7lt3OU09vwQwhkpOPPYv2Y/edit?usp=sharing"",""งบพรบ!DM100"")"),0)</f>
        <v>0</v>
      </c>
      <c r="P100" s="96">
        <f t="shared" ca="1" si="54"/>
        <v>0</v>
      </c>
      <c r="Q100" s="95">
        <f t="shared" ca="1" si="55"/>
        <v>0</v>
      </c>
      <c r="R100" s="130">
        <v>0</v>
      </c>
      <c r="S100" s="130">
        <v>0</v>
      </c>
      <c r="T100" s="130">
        <v>0</v>
      </c>
      <c r="U100" s="95">
        <f t="shared" si="30"/>
        <v>0</v>
      </c>
      <c r="V100" s="95">
        <f t="shared" si="31"/>
        <v>0</v>
      </c>
      <c r="W100" s="93"/>
      <c r="X100" s="93"/>
      <c r="Y100" s="204"/>
      <c r="Z100" s="93"/>
      <c r="AA100" s="93"/>
      <c r="AB100" s="204"/>
    </row>
    <row r="101" spans="1:28" ht="19.5" hidden="1" x14ac:dyDescent="0.3">
      <c r="A101" s="201"/>
      <c r="B101" s="129" t="s">
        <v>127</v>
      </c>
      <c r="C101" s="202">
        <f t="shared" ca="1" si="48"/>
        <v>1472600</v>
      </c>
      <c r="D101" s="203">
        <f t="shared" ca="1" si="49"/>
        <v>1472600</v>
      </c>
      <c r="E101" s="93">
        <f ca="1">IFERROR(__xludf.DUMMYFUNCTION("IMPORTRANGE(""https://docs.google.com/spreadsheets/d/1-uDff_7J0KD5mKrp0Vvzr7lt3OU09vwQwhkpOPPYv2Y/edit?usp=sharing"",""งบพรบ!DF101"")"),0)</f>
        <v>0</v>
      </c>
      <c r="F101" s="93">
        <f ca="1">IFERROR(__xludf.DUMMYFUNCTION("IMPORTRANGE(""https://docs.google.com/spreadsheets/d/1-uDff_7J0KD5mKrp0Vvzr7lt3OU09vwQwhkpOPPYv2Y/edit?usp=sharing"",""งบพรบ!DG101"")"),1472600)</f>
        <v>1472600</v>
      </c>
      <c r="G101" s="93">
        <f ca="1">IFERROR(__xludf.DUMMYFUNCTION("IMPORTRANGE(""https://docs.google.com/spreadsheets/d/1-uDff_7J0KD5mKrp0Vvzr7lt3OU09vwQwhkpOPPYv2Y/edit?usp=sharing"",""งบพรบ!DH101"")"),0)</f>
        <v>0</v>
      </c>
      <c r="H101" s="93">
        <f ca="1">IFERROR(__xludf.DUMMYFUNCTION("IMPORTRANGE(""https://docs.google.com/spreadsheets/d/1-uDff_7J0KD5mKrp0Vvzr7lt3OU09vwQwhkpOPPYv2Y/edit?usp=sharing"",""งบพรบ!DJ101"")"),1472600)</f>
        <v>1472600</v>
      </c>
      <c r="I101" s="93">
        <f ca="1">IFERROR(__xludf.DUMMYFUNCTION("IMPORTRANGE(""https://docs.google.com/spreadsheets/d/1-uDff_7J0KD5mKrp0Vvzr7lt3OU09vwQwhkpOPPYv2Y/edit?usp=sharing"",""งบพรบ!DK101"")"),0)</f>
        <v>0</v>
      </c>
      <c r="J101" s="93">
        <f t="shared" ca="1" si="50"/>
        <v>48772</v>
      </c>
      <c r="K101" s="94">
        <f t="shared" ca="1" si="51"/>
        <v>3.3119652315632213</v>
      </c>
      <c r="L101" s="93">
        <f ca="1">IFERROR(__xludf.DUMMYFUNCTION("IMPORTRANGE(""https://docs.google.com/spreadsheets/d/1-uDff_7J0KD5mKrp0Vvzr7lt3OU09vwQwhkpOPPYv2Y/edit?usp=sharing"",""งบพรบ!DL101"")"),48772)</f>
        <v>48772</v>
      </c>
      <c r="M101" s="95">
        <f t="shared" ca="1" si="52"/>
        <v>3.3119652315632213</v>
      </c>
      <c r="N101" s="95">
        <f t="shared" ca="1" si="53"/>
        <v>3.3119652315632213</v>
      </c>
      <c r="O101" s="96">
        <f ca="1">IFERROR(__xludf.DUMMYFUNCTION("IMPORTRANGE(""https://docs.google.com/spreadsheets/d/1-uDff_7J0KD5mKrp0Vvzr7lt3OU09vwQwhkpOPPYv2Y/edit?usp=sharing"",""งบพรบ!DM101"")"),0)</f>
        <v>0</v>
      </c>
      <c r="P101" s="96">
        <f t="shared" ca="1" si="54"/>
        <v>0</v>
      </c>
      <c r="Q101" s="95">
        <f t="shared" ca="1" si="55"/>
        <v>0</v>
      </c>
      <c r="R101" s="130">
        <v>0</v>
      </c>
      <c r="S101" s="130">
        <v>0</v>
      </c>
      <c r="T101" s="130">
        <v>0</v>
      </c>
      <c r="U101" s="95">
        <f t="shared" si="30"/>
        <v>0</v>
      </c>
      <c r="V101" s="95">
        <f t="shared" si="31"/>
        <v>0</v>
      </c>
      <c r="W101" s="93"/>
      <c r="X101" s="93"/>
      <c r="Y101" s="204"/>
      <c r="Z101" s="93"/>
      <c r="AA101" s="93"/>
      <c r="AB101" s="204"/>
    </row>
    <row r="102" spans="1:28" ht="19.5" hidden="1" x14ac:dyDescent="0.3">
      <c r="A102" s="201"/>
      <c r="B102" s="129" t="s">
        <v>128</v>
      </c>
      <c r="C102" s="202">
        <f t="shared" ca="1" si="48"/>
        <v>0</v>
      </c>
      <c r="D102" s="203">
        <f t="shared" ca="1" si="49"/>
        <v>0</v>
      </c>
      <c r="E102" s="93">
        <f ca="1">IFERROR(__xludf.DUMMYFUNCTION("IMPORTRANGE(""https://docs.google.com/spreadsheets/d/1-uDff_7J0KD5mKrp0Vvzr7lt3OU09vwQwhkpOPPYv2Y/edit?usp=sharing"",""งบพรบ!DF102"")"),0)</f>
        <v>0</v>
      </c>
      <c r="F102" s="93">
        <f ca="1">IFERROR(__xludf.DUMMYFUNCTION("IMPORTRANGE(""https://docs.google.com/spreadsheets/d/1-uDff_7J0KD5mKrp0Vvzr7lt3OU09vwQwhkpOPPYv2Y/edit?usp=sharing"",""งบพรบ!DG102"")"),0)</f>
        <v>0</v>
      </c>
      <c r="G102" s="93">
        <f ca="1">IFERROR(__xludf.DUMMYFUNCTION("IMPORTRANGE(""https://docs.google.com/spreadsheets/d/1-uDff_7J0KD5mKrp0Vvzr7lt3OU09vwQwhkpOPPYv2Y/edit?usp=sharing"",""งบพรบ!DH102"")"),0)</f>
        <v>0</v>
      </c>
      <c r="H102" s="93">
        <f ca="1">IFERROR(__xludf.DUMMYFUNCTION("IMPORTRANGE(""https://docs.google.com/spreadsheets/d/1-uDff_7J0KD5mKrp0Vvzr7lt3OU09vwQwhkpOPPYv2Y/edit?usp=sharing"",""งบพรบ!DJ102"")"),0)</f>
        <v>0</v>
      </c>
      <c r="I102" s="93">
        <f ca="1">IFERROR(__xludf.DUMMYFUNCTION("IMPORTRANGE(""https://docs.google.com/spreadsheets/d/1-uDff_7J0KD5mKrp0Vvzr7lt3OU09vwQwhkpOPPYv2Y/edit?usp=sharing"",""งบพรบ!DK102"")"),0)</f>
        <v>0</v>
      </c>
      <c r="J102" s="93">
        <f t="shared" ca="1" si="50"/>
        <v>0</v>
      </c>
      <c r="K102" s="94">
        <f t="shared" ca="1" si="51"/>
        <v>0</v>
      </c>
      <c r="L102" s="93">
        <f ca="1">IFERROR(__xludf.DUMMYFUNCTION("IMPORTRANGE(""https://docs.google.com/spreadsheets/d/1-uDff_7J0KD5mKrp0Vvzr7lt3OU09vwQwhkpOPPYv2Y/edit?usp=sharing"",""งบพรบ!DL102"")"),0)</f>
        <v>0</v>
      </c>
      <c r="M102" s="95">
        <f t="shared" ca="1" si="52"/>
        <v>0</v>
      </c>
      <c r="N102" s="95">
        <f t="shared" ca="1" si="53"/>
        <v>0</v>
      </c>
      <c r="O102" s="96">
        <f ca="1">IFERROR(__xludf.DUMMYFUNCTION("IMPORTRANGE(""https://docs.google.com/spreadsheets/d/1-uDff_7J0KD5mKrp0Vvzr7lt3OU09vwQwhkpOPPYv2Y/edit?usp=sharing"",""งบพรบ!DM102"")"),0)</f>
        <v>0</v>
      </c>
      <c r="P102" s="96">
        <f t="shared" ca="1" si="54"/>
        <v>0</v>
      </c>
      <c r="Q102" s="95">
        <f t="shared" ca="1" si="55"/>
        <v>0</v>
      </c>
      <c r="R102" s="130">
        <v>0</v>
      </c>
      <c r="S102" s="130">
        <v>0</v>
      </c>
      <c r="T102" s="130">
        <v>0</v>
      </c>
      <c r="U102" s="95">
        <f t="shared" si="30"/>
        <v>0</v>
      </c>
      <c r="V102" s="95">
        <f t="shared" si="31"/>
        <v>0</v>
      </c>
      <c r="W102" s="93"/>
      <c r="X102" s="93"/>
      <c r="Y102" s="204"/>
      <c r="Z102" s="93"/>
      <c r="AA102" s="93"/>
      <c r="AB102" s="204"/>
    </row>
    <row r="103" spans="1:28" ht="19.5" hidden="1" x14ac:dyDescent="0.3">
      <c r="A103" s="201"/>
      <c r="B103" s="129" t="s">
        <v>129</v>
      </c>
      <c r="C103" s="202">
        <f t="shared" ca="1" si="48"/>
        <v>0</v>
      </c>
      <c r="D103" s="203">
        <f t="shared" ca="1" si="49"/>
        <v>0</v>
      </c>
      <c r="E103" s="93">
        <f ca="1">IFERROR(__xludf.DUMMYFUNCTION("IMPORTRANGE(""https://docs.google.com/spreadsheets/d/1-uDff_7J0KD5mKrp0Vvzr7lt3OU09vwQwhkpOPPYv2Y/edit?usp=sharing"",""งบพรบ!DF103"")"),0)</f>
        <v>0</v>
      </c>
      <c r="F103" s="93">
        <f ca="1">IFERROR(__xludf.DUMMYFUNCTION("IMPORTRANGE(""https://docs.google.com/spreadsheets/d/1-uDff_7J0KD5mKrp0Vvzr7lt3OU09vwQwhkpOPPYv2Y/edit?usp=sharing"",""งบพรบ!DG103"")"),0)</f>
        <v>0</v>
      </c>
      <c r="G103" s="93">
        <f ca="1">IFERROR(__xludf.DUMMYFUNCTION("IMPORTRANGE(""https://docs.google.com/spreadsheets/d/1-uDff_7J0KD5mKrp0Vvzr7lt3OU09vwQwhkpOPPYv2Y/edit?usp=sharing"",""งบพรบ!DH103"")"),0)</f>
        <v>0</v>
      </c>
      <c r="H103" s="93">
        <f ca="1">IFERROR(__xludf.DUMMYFUNCTION("IMPORTRANGE(""https://docs.google.com/spreadsheets/d/1-uDff_7J0KD5mKrp0Vvzr7lt3OU09vwQwhkpOPPYv2Y/edit?usp=sharing"",""งบพรบ!DJ103"")"),0)</f>
        <v>0</v>
      </c>
      <c r="I103" s="93">
        <f ca="1">IFERROR(__xludf.DUMMYFUNCTION("IMPORTRANGE(""https://docs.google.com/spreadsheets/d/1-uDff_7J0KD5mKrp0Vvzr7lt3OU09vwQwhkpOPPYv2Y/edit?usp=sharing"",""งบพรบ!DK103"")"),0)</f>
        <v>0</v>
      </c>
      <c r="J103" s="93">
        <f t="shared" ca="1" si="50"/>
        <v>0</v>
      </c>
      <c r="K103" s="94">
        <f t="shared" ca="1" si="51"/>
        <v>0</v>
      </c>
      <c r="L103" s="93">
        <f ca="1">IFERROR(__xludf.DUMMYFUNCTION("IMPORTRANGE(""https://docs.google.com/spreadsheets/d/1-uDff_7J0KD5mKrp0Vvzr7lt3OU09vwQwhkpOPPYv2Y/edit?usp=sharing"",""งบพรบ!DL103"")"),0)</f>
        <v>0</v>
      </c>
      <c r="M103" s="95">
        <f t="shared" ca="1" si="52"/>
        <v>0</v>
      </c>
      <c r="N103" s="95">
        <f t="shared" ca="1" si="53"/>
        <v>0</v>
      </c>
      <c r="O103" s="96">
        <f ca="1">IFERROR(__xludf.DUMMYFUNCTION("IMPORTRANGE(""https://docs.google.com/spreadsheets/d/1-uDff_7J0KD5mKrp0Vvzr7lt3OU09vwQwhkpOPPYv2Y/edit?usp=sharing"",""งบพรบ!DM103"")"),0)</f>
        <v>0</v>
      </c>
      <c r="P103" s="96">
        <f t="shared" ca="1" si="54"/>
        <v>0</v>
      </c>
      <c r="Q103" s="95">
        <f t="shared" ca="1" si="55"/>
        <v>0</v>
      </c>
      <c r="R103" s="131">
        <v>0</v>
      </c>
      <c r="S103" s="131">
        <v>0</v>
      </c>
      <c r="T103" s="131">
        <v>0</v>
      </c>
      <c r="U103" s="132">
        <f t="shared" si="30"/>
        <v>0</v>
      </c>
      <c r="V103" s="132">
        <f t="shared" si="31"/>
        <v>0</v>
      </c>
      <c r="W103" s="93"/>
      <c r="X103" s="93"/>
      <c r="Y103" s="204"/>
      <c r="Z103" s="93"/>
      <c r="AA103" s="93"/>
      <c r="AB103" s="204"/>
    </row>
    <row r="104" spans="1:28" ht="19.5" hidden="1" x14ac:dyDescent="0.3">
      <c r="A104" s="201"/>
      <c r="B104" s="129" t="s">
        <v>130</v>
      </c>
      <c r="C104" s="202">
        <f t="shared" ca="1" si="48"/>
        <v>1204800</v>
      </c>
      <c r="D104" s="203">
        <f t="shared" ca="1" si="49"/>
        <v>1204800</v>
      </c>
      <c r="E104" s="93">
        <f ca="1">IFERROR(__xludf.DUMMYFUNCTION("IMPORTRANGE(""https://docs.google.com/spreadsheets/d/1-uDff_7J0KD5mKrp0Vvzr7lt3OU09vwQwhkpOPPYv2Y/edit?usp=sharing"",""งบพรบ!DF104"")"),1204800)</f>
        <v>1204800</v>
      </c>
      <c r="F104" s="93">
        <f ca="1">IFERROR(__xludf.DUMMYFUNCTION("IMPORTRANGE(""https://docs.google.com/spreadsheets/d/1-uDff_7J0KD5mKrp0Vvzr7lt3OU09vwQwhkpOPPYv2Y/edit?usp=sharing"",""งบพรบ!DG104"")"),0)</f>
        <v>0</v>
      </c>
      <c r="G104" s="93">
        <f ca="1">IFERROR(__xludf.DUMMYFUNCTION("IMPORTRANGE(""https://docs.google.com/spreadsheets/d/1-uDff_7J0KD5mKrp0Vvzr7lt3OU09vwQwhkpOPPYv2Y/edit?usp=sharing"",""งบพรบ!DH104"")"),0)</f>
        <v>0</v>
      </c>
      <c r="H104" s="93">
        <f ca="1">IFERROR(__xludf.DUMMYFUNCTION("IMPORTRANGE(""https://docs.google.com/spreadsheets/d/1-uDff_7J0KD5mKrp0Vvzr7lt3OU09vwQwhkpOPPYv2Y/edit?usp=sharing"",""งบพรบ!DJ104"")"),1104800)</f>
        <v>1104800</v>
      </c>
      <c r="I104" s="93">
        <f ca="1">IFERROR(__xludf.DUMMYFUNCTION("IMPORTRANGE(""https://docs.google.com/spreadsheets/d/1-uDff_7J0KD5mKrp0Vvzr7lt3OU09vwQwhkpOPPYv2Y/edit?usp=sharing"",""งบพรบ!DK104"")"),0)</f>
        <v>0</v>
      </c>
      <c r="J104" s="93">
        <f t="shared" ca="1" si="50"/>
        <v>150000</v>
      </c>
      <c r="K104" s="94">
        <f t="shared" ca="1" si="51"/>
        <v>12.450199203187251</v>
      </c>
      <c r="L104" s="93">
        <f ca="1">IFERROR(__xludf.DUMMYFUNCTION("IMPORTRANGE(""https://docs.google.com/spreadsheets/d/1-uDff_7J0KD5mKrp0Vvzr7lt3OU09vwQwhkpOPPYv2Y/edit?usp=sharing"",""งบพรบ!DL104"")"),150000)</f>
        <v>150000</v>
      </c>
      <c r="M104" s="95">
        <f t="shared" ca="1" si="52"/>
        <v>12.450199203187251</v>
      </c>
      <c r="N104" s="95">
        <f t="shared" ca="1" si="53"/>
        <v>13.577118030412745</v>
      </c>
      <c r="O104" s="96">
        <f ca="1">IFERROR(__xludf.DUMMYFUNCTION("IMPORTRANGE(""https://docs.google.com/spreadsheets/d/1-uDff_7J0KD5mKrp0Vvzr7lt3OU09vwQwhkpOPPYv2Y/edit?usp=sharing"",""งบพรบ!DM104"")"),0)</f>
        <v>0</v>
      </c>
      <c r="P104" s="96">
        <f t="shared" ca="1" si="54"/>
        <v>0</v>
      </c>
      <c r="Q104" s="95">
        <f t="shared" ca="1" si="55"/>
        <v>0</v>
      </c>
      <c r="R104" s="130">
        <v>0</v>
      </c>
      <c r="S104" s="130">
        <v>0</v>
      </c>
      <c r="T104" s="130">
        <v>0</v>
      </c>
      <c r="U104" s="95">
        <f t="shared" si="30"/>
        <v>0</v>
      </c>
      <c r="V104" s="95">
        <f t="shared" si="31"/>
        <v>0</v>
      </c>
      <c r="W104" s="93"/>
      <c r="X104" s="93"/>
      <c r="Y104" s="204"/>
      <c r="Z104" s="93"/>
      <c r="AA104" s="93"/>
      <c r="AB104" s="204"/>
    </row>
    <row r="105" spans="1:28" ht="19.5" hidden="1" x14ac:dyDescent="0.3">
      <c r="A105" s="201"/>
      <c r="B105" s="133" t="s">
        <v>131</v>
      </c>
      <c r="C105" s="202">
        <f t="shared" ca="1" si="48"/>
        <v>0</v>
      </c>
      <c r="D105" s="203">
        <f t="shared" ca="1" si="49"/>
        <v>0</v>
      </c>
      <c r="E105" s="93">
        <f ca="1">IFERROR(__xludf.DUMMYFUNCTION("IMPORTRANGE(""https://docs.google.com/spreadsheets/d/1-uDff_7J0KD5mKrp0Vvzr7lt3OU09vwQwhkpOPPYv2Y/edit?usp=sharing"",""งบพรบ!DF105"")"),0)</f>
        <v>0</v>
      </c>
      <c r="F105" s="93">
        <f ca="1">IFERROR(__xludf.DUMMYFUNCTION("IMPORTRANGE(""https://docs.google.com/spreadsheets/d/1-uDff_7J0KD5mKrp0Vvzr7lt3OU09vwQwhkpOPPYv2Y/edit?usp=sharing"",""งบพรบ!DG105"")"),0)</f>
        <v>0</v>
      </c>
      <c r="G105" s="93">
        <f ca="1">IFERROR(__xludf.DUMMYFUNCTION("IMPORTRANGE(""https://docs.google.com/spreadsheets/d/1-uDff_7J0KD5mKrp0Vvzr7lt3OU09vwQwhkpOPPYv2Y/edit?usp=sharing"",""งบพรบ!DH105"")"),0)</f>
        <v>0</v>
      </c>
      <c r="H105" s="93">
        <f ca="1">IFERROR(__xludf.DUMMYFUNCTION("IMPORTRANGE(""https://docs.google.com/spreadsheets/d/1-uDff_7J0KD5mKrp0Vvzr7lt3OU09vwQwhkpOPPYv2Y/edit?usp=sharing"",""งบพรบ!DJ105"")"),0)</f>
        <v>0</v>
      </c>
      <c r="I105" s="93">
        <f ca="1">IFERROR(__xludf.DUMMYFUNCTION("IMPORTRANGE(""https://docs.google.com/spreadsheets/d/1-uDff_7J0KD5mKrp0Vvzr7lt3OU09vwQwhkpOPPYv2Y/edit?usp=sharing"",""งบพรบ!DK105"")"),0)</f>
        <v>0</v>
      </c>
      <c r="J105" s="93">
        <f t="shared" ca="1" si="50"/>
        <v>0</v>
      </c>
      <c r="K105" s="94">
        <f t="shared" ca="1" si="51"/>
        <v>0</v>
      </c>
      <c r="L105" s="93">
        <f ca="1">IFERROR(__xludf.DUMMYFUNCTION("IMPORTRANGE(""https://docs.google.com/spreadsheets/d/1-uDff_7J0KD5mKrp0Vvzr7lt3OU09vwQwhkpOPPYv2Y/edit?usp=sharing"",""งบพรบ!DL105"")"),0)</f>
        <v>0</v>
      </c>
      <c r="M105" s="95">
        <f t="shared" ca="1" si="52"/>
        <v>0</v>
      </c>
      <c r="N105" s="95">
        <f t="shared" ca="1" si="53"/>
        <v>0</v>
      </c>
      <c r="O105" s="96">
        <f ca="1">IFERROR(__xludf.DUMMYFUNCTION("IMPORTRANGE(""https://docs.google.com/spreadsheets/d/1-uDff_7J0KD5mKrp0Vvzr7lt3OU09vwQwhkpOPPYv2Y/edit?usp=sharing"",""งบพรบ!DM105"")"),0)</f>
        <v>0</v>
      </c>
      <c r="P105" s="96">
        <f t="shared" ca="1" si="54"/>
        <v>0</v>
      </c>
      <c r="Q105" s="95">
        <f t="shared" ca="1" si="55"/>
        <v>0</v>
      </c>
      <c r="R105" s="134">
        <v>0</v>
      </c>
      <c r="S105" s="134">
        <v>0</v>
      </c>
      <c r="T105" s="134">
        <v>0</v>
      </c>
      <c r="U105" s="135">
        <f t="shared" si="30"/>
        <v>0</v>
      </c>
      <c r="V105" s="135">
        <f t="shared" si="31"/>
        <v>0</v>
      </c>
      <c r="W105" s="93"/>
      <c r="X105" s="93"/>
      <c r="Y105" s="93"/>
      <c r="Z105" s="93"/>
      <c r="AA105" s="93"/>
      <c r="AB105" s="93"/>
    </row>
    <row r="106" spans="1:28" ht="19.5" hidden="1" x14ac:dyDescent="0.3">
      <c r="A106" s="205"/>
      <c r="B106" s="137" t="s">
        <v>132</v>
      </c>
      <c r="C106" s="206">
        <f t="shared" ca="1" si="48"/>
        <v>0</v>
      </c>
      <c r="D106" s="207">
        <f t="shared" ca="1" si="49"/>
        <v>0</v>
      </c>
      <c r="E106" s="104">
        <f ca="1">IFERROR(__xludf.DUMMYFUNCTION("IMPORTRANGE(""https://docs.google.com/spreadsheets/d/1-uDff_7J0KD5mKrp0Vvzr7lt3OU09vwQwhkpOPPYv2Y/edit?usp=sharing"",""งบพรบ!DF106"")"),0)</f>
        <v>0</v>
      </c>
      <c r="F106" s="104">
        <f ca="1">IFERROR(__xludf.DUMMYFUNCTION("IMPORTRANGE(""https://docs.google.com/spreadsheets/d/1-uDff_7J0KD5mKrp0Vvzr7lt3OU09vwQwhkpOPPYv2Y/edit?usp=sharing"",""งบพรบ!DG106"")"),0)</f>
        <v>0</v>
      </c>
      <c r="G106" s="104">
        <f ca="1">IFERROR(__xludf.DUMMYFUNCTION("IMPORTRANGE(""https://docs.google.com/spreadsheets/d/1-uDff_7J0KD5mKrp0Vvzr7lt3OU09vwQwhkpOPPYv2Y/edit?usp=sharing"",""งบพรบ!DH106"")"),0)</f>
        <v>0</v>
      </c>
      <c r="H106" s="104">
        <f ca="1">IFERROR(__xludf.DUMMYFUNCTION("IMPORTRANGE(""https://docs.google.com/spreadsheets/d/1-uDff_7J0KD5mKrp0Vvzr7lt3OU09vwQwhkpOPPYv2Y/edit?usp=sharing"",""งบพรบ!DJ106"")"),0)</f>
        <v>0</v>
      </c>
      <c r="I106" s="104">
        <f ca="1">IFERROR(__xludf.DUMMYFUNCTION("IMPORTRANGE(""https://docs.google.com/spreadsheets/d/1-uDff_7J0KD5mKrp0Vvzr7lt3OU09vwQwhkpOPPYv2Y/edit?usp=sharing"",""งบพรบ!DK106"")"),0)</f>
        <v>0</v>
      </c>
      <c r="J106" s="104">
        <f t="shared" ca="1" si="50"/>
        <v>0</v>
      </c>
      <c r="K106" s="105">
        <f t="shared" ca="1" si="51"/>
        <v>0</v>
      </c>
      <c r="L106" s="104">
        <f ca="1">IFERROR(__xludf.DUMMYFUNCTION("IMPORTRANGE(""https://docs.google.com/spreadsheets/d/1-uDff_7J0KD5mKrp0Vvzr7lt3OU09vwQwhkpOPPYv2Y/edit?usp=sharing"",""งบพรบ!DL106"")"),0)</f>
        <v>0</v>
      </c>
      <c r="M106" s="106">
        <f t="shared" ca="1" si="52"/>
        <v>0</v>
      </c>
      <c r="N106" s="106">
        <f t="shared" ca="1" si="53"/>
        <v>0</v>
      </c>
      <c r="O106" s="107">
        <f ca="1">IFERROR(__xludf.DUMMYFUNCTION("IMPORTRANGE(""https://docs.google.com/spreadsheets/d/1-uDff_7J0KD5mKrp0Vvzr7lt3OU09vwQwhkpOPPYv2Y/edit?usp=sharing"",""งบพรบ!DM106"")"),0)</f>
        <v>0</v>
      </c>
      <c r="P106" s="107">
        <f t="shared" ca="1" si="54"/>
        <v>0</v>
      </c>
      <c r="Q106" s="106">
        <f t="shared" ca="1" si="55"/>
        <v>0</v>
      </c>
      <c r="R106" s="138">
        <v>0</v>
      </c>
      <c r="S106" s="138">
        <v>0</v>
      </c>
      <c r="T106" s="138">
        <v>0</v>
      </c>
      <c r="U106" s="106">
        <f t="shared" si="30"/>
        <v>0</v>
      </c>
      <c r="V106" s="106">
        <f t="shared" si="31"/>
        <v>0</v>
      </c>
      <c r="W106" s="104"/>
      <c r="X106" s="104"/>
      <c r="Y106" s="104"/>
      <c r="Z106" s="104"/>
      <c r="AA106" s="104"/>
      <c r="AB106" s="104"/>
    </row>
  </sheetData>
  <mergeCells count="30">
    <mergeCell ref="J5:K5"/>
    <mergeCell ref="L5:N5"/>
    <mergeCell ref="W3:Y4"/>
    <mergeCell ref="X5:Y5"/>
    <mergeCell ref="A52:B52"/>
    <mergeCell ref="H4:I4"/>
    <mergeCell ref="J4:Q4"/>
    <mergeCell ref="F5:F6"/>
    <mergeCell ref="G5:G6"/>
    <mergeCell ref="A74:B74"/>
    <mergeCell ref="A89:B89"/>
    <mergeCell ref="D5:D6"/>
    <mergeCell ref="E5:E6"/>
    <mergeCell ref="A2:B6"/>
    <mergeCell ref="C5:C6"/>
    <mergeCell ref="A7:B7"/>
    <mergeCell ref="A13:B13"/>
    <mergeCell ref="A31:B31"/>
    <mergeCell ref="C2:AB2"/>
    <mergeCell ref="C3:Q3"/>
    <mergeCell ref="R3:V3"/>
    <mergeCell ref="Z3:AB4"/>
    <mergeCell ref="C4:G4"/>
    <mergeCell ref="V4:V6"/>
    <mergeCell ref="O5:Q5"/>
    <mergeCell ref="AA5:AB5"/>
    <mergeCell ref="R4:R6"/>
    <mergeCell ref="S4:S6"/>
    <mergeCell ref="T4:T6"/>
    <mergeCell ref="U4:U6"/>
  </mergeCells>
  <printOptions horizontalCentered="1"/>
  <pageMargins left="0.23622047244094491" right="0.23622047244094491" top="0.55118110236220474" bottom="0.55118110236220474" header="0" footer="0"/>
  <pageSetup paperSize="9" scale="35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  <outlinePr summaryBelow="0" summaryRight="0"/>
    <pageSetUpPr fitToPage="1"/>
  </sheetPr>
  <dimension ref="A1:AB106"/>
  <sheetViews>
    <sheetView view="pageBreakPreview" zoomScale="60" zoomScaleNormal="55" workbookViewId="0">
      <pane xSplit="2" ySplit="7" topLeftCell="C8" activePane="bottomRight" state="frozen"/>
      <selection activeCell="A13" sqref="A13:B13"/>
      <selection pane="topRight" activeCell="A13" sqref="A13:B13"/>
      <selection pane="bottomLeft" activeCell="A13" sqref="A13:B13"/>
      <selection pane="bottomRight" activeCell="A10" sqref="A10:XFD12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16.85546875" bestFit="1" customWidth="1"/>
    <col min="4" max="4" width="16.7109375" bestFit="1" customWidth="1"/>
    <col min="5" max="5" width="16.85546875" bestFit="1" customWidth="1"/>
    <col min="6" max="6" width="16.5703125" bestFit="1" customWidth="1"/>
    <col min="7" max="7" width="13.42578125" bestFit="1" customWidth="1"/>
    <col min="8" max="8" width="20.140625" bestFit="1" customWidth="1"/>
    <col min="9" max="9" width="13.5703125" bestFit="1" customWidth="1"/>
    <col min="10" max="10" width="16.5703125" bestFit="1" customWidth="1"/>
    <col min="11" max="11" width="13.42578125" bestFit="1" customWidth="1"/>
    <col min="12" max="12" width="16.5703125" bestFit="1" customWidth="1"/>
    <col min="13" max="13" width="13.85546875" customWidth="1"/>
    <col min="14" max="17" width="15.140625" customWidth="1"/>
    <col min="18" max="18" width="13.42578125" bestFit="1" customWidth="1"/>
    <col min="19" max="19" width="10.85546875" bestFit="1" customWidth="1"/>
    <col min="20" max="20" width="12.5703125" bestFit="1" customWidth="1"/>
    <col min="22" max="22" width="8.42578125" bestFit="1" customWidth="1"/>
    <col min="24" max="24" width="12.42578125" bestFit="1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98"/>
      <c r="S1" s="298"/>
      <c r="T1" s="298"/>
      <c r="U1" s="299"/>
      <c r="V1" s="299"/>
      <c r="W1" s="299"/>
      <c r="X1" s="299"/>
      <c r="Y1" s="299"/>
      <c r="Z1" s="299"/>
      <c r="AA1" s="299"/>
      <c r="AB1" s="299"/>
    </row>
    <row r="2" spans="1:28" ht="24" customHeight="1" x14ac:dyDescent="0.2">
      <c r="A2" s="616" t="s">
        <v>1</v>
      </c>
      <c r="B2" s="617"/>
      <c r="C2" s="600" t="s">
        <v>189</v>
      </c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2"/>
    </row>
    <row r="3" spans="1:28" ht="30" customHeight="1" x14ac:dyDescent="0.2">
      <c r="A3" s="618"/>
      <c r="B3" s="619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666" t="s">
        <v>190</v>
      </c>
      <c r="S3" s="585"/>
      <c r="T3" s="607"/>
      <c r="U3" s="666" t="s">
        <v>5</v>
      </c>
      <c r="V3" s="585"/>
      <c r="W3" s="607"/>
      <c r="X3" s="666" t="s">
        <v>191</v>
      </c>
      <c r="Y3" s="585"/>
      <c r="Z3" s="585"/>
      <c r="AA3" s="585"/>
      <c r="AB3" s="607"/>
    </row>
    <row r="4" spans="1:28" ht="30" customHeight="1" x14ac:dyDescent="0.2">
      <c r="A4" s="618"/>
      <c r="B4" s="619"/>
      <c r="C4" s="609" t="s">
        <v>7</v>
      </c>
      <c r="D4" s="598"/>
      <c r="E4" s="598"/>
      <c r="F4" s="598"/>
      <c r="G4" s="583"/>
      <c r="H4" s="612" t="s">
        <v>8</v>
      </c>
      <c r="I4" s="583"/>
      <c r="J4" s="613" t="s">
        <v>9</v>
      </c>
      <c r="K4" s="598"/>
      <c r="L4" s="598"/>
      <c r="M4" s="598"/>
      <c r="N4" s="598"/>
      <c r="O4" s="598"/>
      <c r="P4" s="598"/>
      <c r="Q4" s="583"/>
      <c r="R4" s="640"/>
      <c r="S4" s="657"/>
      <c r="T4" s="590"/>
      <c r="U4" s="758"/>
      <c r="V4" s="759"/>
      <c r="W4" s="593"/>
      <c r="X4" s="641"/>
      <c r="Y4" s="592"/>
      <c r="Z4" s="592"/>
      <c r="AA4" s="592"/>
      <c r="AB4" s="593"/>
    </row>
    <row r="5" spans="1:28" ht="45" customHeight="1" x14ac:dyDescent="0.2">
      <c r="A5" s="618"/>
      <c r="B5" s="619"/>
      <c r="C5" s="726" t="s">
        <v>19</v>
      </c>
      <c r="D5" s="727" t="s">
        <v>20</v>
      </c>
      <c r="E5" s="728" t="s">
        <v>21</v>
      </c>
      <c r="F5" s="729" t="s">
        <v>22</v>
      </c>
      <c r="G5" s="730" t="s">
        <v>23</v>
      </c>
      <c r="H5" s="6" t="s">
        <v>24</v>
      </c>
      <c r="I5" s="6" t="s">
        <v>25</v>
      </c>
      <c r="J5" s="589" t="s">
        <v>26</v>
      </c>
      <c r="K5" s="590"/>
      <c r="L5" s="591" t="s">
        <v>24</v>
      </c>
      <c r="M5" s="592"/>
      <c r="N5" s="593"/>
      <c r="O5" s="611" t="s">
        <v>25</v>
      </c>
      <c r="P5" s="592"/>
      <c r="Q5" s="593"/>
      <c r="R5" s="300" t="s">
        <v>27</v>
      </c>
      <c r="S5" s="663" t="s">
        <v>28</v>
      </c>
      <c r="T5" s="583"/>
      <c r="U5" s="300" t="s">
        <v>27</v>
      </c>
      <c r="V5" s="664" t="s">
        <v>28</v>
      </c>
      <c r="W5" s="583"/>
      <c r="X5" s="300" t="s">
        <v>27</v>
      </c>
      <c r="Y5" s="664" t="s">
        <v>192</v>
      </c>
      <c r="Z5" s="583"/>
      <c r="AA5" s="665" t="s">
        <v>193</v>
      </c>
      <c r="AB5" s="657"/>
    </row>
    <row r="6" spans="1:28" ht="46.5" customHeight="1" x14ac:dyDescent="0.2">
      <c r="A6" s="620"/>
      <c r="B6" s="621"/>
      <c r="C6" s="731"/>
      <c r="D6" s="732"/>
      <c r="E6" s="732"/>
      <c r="F6" s="732"/>
      <c r="G6" s="732"/>
      <c r="H6" s="6"/>
      <c r="I6" s="6"/>
      <c r="J6" s="739" t="s">
        <v>29</v>
      </c>
      <c r="K6" s="740" t="s">
        <v>30</v>
      </c>
      <c r="L6" s="739" t="s">
        <v>29</v>
      </c>
      <c r="M6" s="741" t="s">
        <v>31</v>
      </c>
      <c r="N6" s="742" t="s">
        <v>32</v>
      </c>
      <c r="O6" s="743" t="s">
        <v>29</v>
      </c>
      <c r="P6" s="741" t="s">
        <v>31</v>
      </c>
      <c r="Q6" s="742" t="s">
        <v>32</v>
      </c>
      <c r="R6" s="301" t="s">
        <v>136</v>
      </c>
      <c r="S6" s="302" t="s">
        <v>136</v>
      </c>
      <c r="T6" s="303" t="s">
        <v>30</v>
      </c>
      <c r="U6" s="304" t="s">
        <v>34</v>
      </c>
      <c r="V6" s="305" t="s">
        <v>34</v>
      </c>
      <c r="W6" s="306" t="s">
        <v>30</v>
      </c>
      <c r="X6" s="304" t="s">
        <v>34</v>
      </c>
      <c r="Y6" s="305" t="s">
        <v>34</v>
      </c>
      <c r="Z6" s="306" t="s">
        <v>30</v>
      </c>
      <c r="AA6" s="305" t="s">
        <v>34</v>
      </c>
      <c r="AB6" s="306" t="s">
        <v>30</v>
      </c>
    </row>
    <row r="7" spans="1:28" ht="24" customHeight="1" x14ac:dyDescent="0.3">
      <c r="A7" s="651" t="s">
        <v>289</v>
      </c>
      <c r="B7" s="629"/>
      <c r="C7" s="150">
        <f t="shared" ref="C7:C9" ca="1" si="0">D7+G7</f>
        <v>4729400</v>
      </c>
      <c r="D7" s="151">
        <f t="shared" ref="D7:E7" ca="1" si="1">D8+D9+D12</f>
        <v>4729400</v>
      </c>
      <c r="E7" s="152">
        <f t="shared" ca="1" si="1"/>
        <v>2128200</v>
      </c>
      <c r="F7" s="153">
        <f ca="1">F8+F9</f>
        <v>2601200</v>
      </c>
      <c r="G7" s="154">
        <f t="shared" ref="G7:I7" ca="1" si="2">G8+G9+G12</f>
        <v>0</v>
      </c>
      <c r="H7" s="228">
        <f t="shared" ca="1" si="2"/>
        <v>4729400</v>
      </c>
      <c r="I7" s="228">
        <f t="shared" ca="1" si="2"/>
        <v>0</v>
      </c>
      <c r="J7" s="156">
        <f t="shared" ref="J7:J9" ca="1" si="3">L7+O7</f>
        <v>1786850.5300000003</v>
      </c>
      <c r="K7" s="157">
        <f t="shared" ref="K7:K9" ca="1" si="4">IF(C7&gt;0,J7*100/C7,0)</f>
        <v>37.781759419799556</v>
      </c>
      <c r="L7" s="156">
        <f ca="1">L8+L9+L12</f>
        <v>1786850.5300000003</v>
      </c>
      <c r="M7" s="27">
        <f t="shared" ref="M7:M9" ca="1" si="5">IF(D7&gt;0,L7*100/D7,0)</f>
        <v>37.781759419799556</v>
      </c>
      <c r="N7" s="27">
        <f t="shared" ref="N7:N9" ca="1" si="6">IF(H7&gt;0,L7*100/H7,0)</f>
        <v>37.781759419799556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8">
        <f t="shared" ref="R7:S7" ca="1" si="9">R8</f>
        <v>6600</v>
      </c>
      <c r="S7" s="29">
        <f t="shared" ca="1" si="9"/>
        <v>1700</v>
      </c>
      <c r="T7" s="30">
        <f t="shared" ref="T7:T8" ca="1" si="10">IF(R7&gt;0,S7*100/R7,0)</f>
        <v>25.757575757575758</v>
      </c>
      <c r="U7" s="28">
        <f t="shared" ref="U7:V7" ca="1" si="11">U8</f>
        <v>660</v>
      </c>
      <c r="V7" s="29">
        <f t="shared" ca="1" si="11"/>
        <v>190</v>
      </c>
      <c r="W7" s="30">
        <f t="shared" ref="W7:W8" ca="1" si="12">IF(U7&gt;0,V7*100/U7,0)</f>
        <v>28.787878787878789</v>
      </c>
      <c r="X7" s="28">
        <f t="shared" ref="X7:Y7" ca="1" si="13">X8</f>
        <v>660</v>
      </c>
      <c r="Y7" s="29">
        <f t="shared" ca="1" si="13"/>
        <v>190</v>
      </c>
      <c r="Z7" s="30">
        <f t="shared" ref="Z7:Z8" ca="1" si="14">IF(X7&gt;0,Y7*100/X7,0)</f>
        <v>28.787878787878789</v>
      </c>
      <c r="AA7" s="307">
        <f ca="1">AA8</f>
        <v>190</v>
      </c>
      <c r="AB7" s="308">
        <f t="shared" ref="AB7:AB9" ca="1" si="15">IF(X7&gt;0,AA7*100/X7,0)</f>
        <v>28.787878787878789</v>
      </c>
    </row>
    <row r="8" spans="1:28" ht="28.5" customHeight="1" x14ac:dyDescent="0.3">
      <c r="A8" s="31" t="s">
        <v>37</v>
      </c>
      <c r="B8" s="32"/>
      <c r="C8" s="161">
        <f t="shared" ca="1" si="0"/>
        <v>3505200</v>
      </c>
      <c r="D8" s="161">
        <f t="shared" ref="D8:I8" ca="1" si="16">+D13+D31+D52+D74</f>
        <v>3505200</v>
      </c>
      <c r="E8" s="161">
        <f t="shared" ca="1" si="16"/>
        <v>1488200</v>
      </c>
      <c r="F8" s="161">
        <f t="shared" ca="1" si="16"/>
        <v>2017000</v>
      </c>
      <c r="G8" s="161">
        <f t="shared" ca="1" si="16"/>
        <v>0</v>
      </c>
      <c r="H8" s="161">
        <f t="shared" ca="1" si="16"/>
        <v>3505200</v>
      </c>
      <c r="I8" s="161">
        <f t="shared" ca="1" si="16"/>
        <v>0</v>
      </c>
      <c r="J8" s="161">
        <f t="shared" ca="1" si="3"/>
        <v>1503222.4200000002</v>
      </c>
      <c r="K8" s="162">
        <f t="shared" ca="1" si="4"/>
        <v>42.885496405340646</v>
      </c>
      <c r="L8" s="161">
        <f ca="1">+L13+L31+L52+L74</f>
        <v>1503222.4200000002</v>
      </c>
      <c r="M8" s="40">
        <f t="shared" ca="1" si="5"/>
        <v>42.885496405340646</v>
      </c>
      <c r="N8" s="40">
        <f t="shared" ca="1" si="6"/>
        <v>42.885496405340646</v>
      </c>
      <c r="O8" s="39">
        <f ca="1">+O13+O31+O52+O74</f>
        <v>0</v>
      </c>
      <c r="P8" s="39">
        <f t="shared" ca="1" si="7"/>
        <v>0</v>
      </c>
      <c r="Q8" s="40">
        <f t="shared" ca="1" si="8"/>
        <v>0</v>
      </c>
      <c r="R8" s="35">
        <f t="shared" ref="R8:S8" ca="1" si="17">+R13+R31+R52+R74</f>
        <v>6600</v>
      </c>
      <c r="S8" s="35">
        <f t="shared" ca="1" si="17"/>
        <v>1700</v>
      </c>
      <c r="T8" s="37">
        <f t="shared" ca="1" si="10"/>
        <v>25.757575757575758</v>
      </c>
      <c r="U8" s="35">
        <f t="shared" ref="U8:V8" ca="1" si="18">+U13+U31+U52+U74</f>
        <v>660</v>
      </c>
      <c r="V8" s="35">
        <f t="shared" ca="1" si="18"/>
        <v>190</v>
      </c>
      <c r="W8" s="37">
        <f t="shared" ca="1" si="12"/>
        <v>28.787878787878789</v>
      </c>
      <c r="X8" s="35">
        <f t="shared" ref="X8:Y8" ca="1" si="19">+X13+X31+X52+X74</f>
        <v>660</v>
      </c>
      <c r="Y8" s="35">
        <f t="shared" ca="1" si="19"/>
        <v>190</v>
      </c>
      <c r="Z8" s="37">
        <f t="shared" ca="1" si="14"/>
        <v>28.787878787878789</v>
      </c>
      <c r="AA8" s="309">
        <f ca="1">+AA13+AA31+AA52+AA74</f>
        <v>190</v>
      </c>
      <c r="AB8" s="310">
        <f t="shared" ca="1" si="15"/>
        <v>28.787878787878789</v>
      </c>
    </row>
    <row r="9" spans="1:28" ht="28.5" customHeight="1" x14ac:dyDescent="0.3">
      <c r="A9" s="43" t="s">
        <v>38</v>
      </c>
      <c r="B9" s="44"/>
      <c r="C9" s="164">
        <f t="shared" ca="1" si="0"/>
        <v>1224200</v>
      </c>
      <c r="D9" s="164">
        <f t="shared" ref="D9:I9" ca="1" si="20">+D89</f>
        <v>1224200</v>
      </c>
      <c r="E9" s="164">
        <f t="shared" ca="1" si="20"/>
        <v>640000</v>
      </c>
      <c r="F9" s="164">
        <f t="shared" ca="1" si="20"/>
        <v>584200</v>
      </c>
      <c r="G9" s="164">
        <f t="shared" ca="1" si="20"/>
        <v>0</v>
      </c>
      <c r="H9" s="164">
        <f t="shared" ca="1" si="20"/>
        <v>1224200</v>
      </c>
      <c r="I9" s="164">
        <f t="shared" ca="1" si="20"/>
        <v>0</v>
      </c>
      <c r="J9" s="164">
        <f t="shared" ca="1" si="3"/>
        <v>283628.11</v>
      </c>
      <c r="K9" s="165">
        <f t="shared" ca="1" si="4"/>
        <v>23.168445515438655</v>
      </c>
      <c r="L9" s="164">
        <f ca="1">+L89</f>
        <v>283628.11</v>
      </c>
      <c r="M9" s="51">
        <f t="shared" ca="1" si="5"/>
        <v>23.168445515438655</v>
      </c>
      <c r="N9" s="51">
        <f t="shared" ca="1" si="6"/>
        <v>23.168445515438655</v>
      </c>
      <c r="O9" s="50">
        <f ca="1">+O89</f>
        <v>0</v>
      </c>
      <c r="P9" s="50">
        <f t="shared" ca="1" si="7"/>
        <v>0</v>
      </c>
      <c r="Q9" s="51">
        <f t="shared" ca="1" si="8"/>
        <v>0</v>
      </c>
      <c r="R9" s="45"/>
      <c r="S9" s="45"/>
      <c r="T9" s="48"/>
      <c r="U9" s="45"/>
      <c r="V9" s="45"/>
      <c r="W9" s="48"/>
      <c r="X9" s="45"/>
      <c r="Y9" s="45"/>
      <c r="Z9" s="48"/>
      <c r="AA9" s="311"/>
      <c r="AB9" s="312">
        <f t="shared" si="15"/>
        <v>0</v>
      </c>
    </row>
    <row r="10" spans="1:28" ht="28.5" hidden="1" customHeight="1" x14ac:dyDescent="0.3">
      <c r="A10" s="54"/>
      <c r="B10" s="55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56"/>
      <c r="S10" s="56"/>
      <c r="T10" s="59"/>
      <c r="U10" s="56"/>
      <c r="V10" s="56"/>
      <c r="W10" s="59"/>
      <c r="X10" s="56"/>
      <c r="Y10" s="56"/>
      <c r="Z10" s="59"/>
      <c r="AA10" s="313"/>
      <c r="AB10" s="314"/>
    </row>
    <row r="11" spans="1:28" ht="28.5" hidden="1" customHeight="1" x14ac:dyDescent="0.3">
      <c r="A11" s="65"/>
      <c r="B11" s="55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56"/>
      <c r="S11" s="56"/>
      <c r="T11" s="59"/>
      <c r="U11" s="56"/>
      <c r="V11" s="56"/>
      <c r="W11" s="59"/>
      <c r="X11" s="56"/>
      <c r="Y11" s="56"/>
      <c r="Z11" s="59"/>
      <c r="AA11" s="313"/>
      <c r="AB11" s="314"/>
    </row>
    <row r="12" spans="1:28" ht="28.5" hidden="1" customHeight="1" x14ac:dyDescent="0.3">
      <c r="A12" s="54"/>
      <c r="B12" s="55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67"/>
      <c r="S12" s="67"/>
      <c r="T12" s="69"/>
      <c r="U12" s="67"/>
      <c r="V12" s="67"/>
      <c r="W12" s="69"/>
      <c r="X12" s="67"/>
      <c r="Y12" s="67"/>
      <c r="Z12" s="69"/>
      <c r="AA12" s="315"/>
      <c r="AB12" s="316"/>
    </row>
    <row r="13" spans="1:28" ht="28.5" customHeight="1" x14ac:dyDescent="0.3">
      <c r="A13" s="624" t="s">
        <v>39</v>
      </c>
      <c r="B13" s="583"/>
      <c r="C13" s="161">
        <f t="shared" ref="C13:C88" ca="1" si="21">D13+G13</f>
        <v>1970540</v>
      </c>
      <c r="D13" s="161">
        <f t="shared" ref="D13:I13" ca="1" si="22">SUM(D14:D30)</f>
        <v>1970540</v>
      </c>
      <c r="E13" s="161">
        <f t="shared" ca="1" si="22"/>
        <v>649500</v>
      </c>
      <c r="F13" s="161">
        <f t="shared" ca="1" si="22"/>
        <v>1321040</v>
      </c>
      <c r="G13" s="161">
        <f t="shared" ca="1" si="22"/>
        <v>0</v>
      </c>
      <c r="H13" s="161">
        <f t="shared" ca="1" si="22"/>
        <v>1970540</v>
      </c>
      <c r="I13" s="161">
        <f t="shared" ca="1" si="22"/>
        <v>0</v>
      </c>
      <c r="J13" s="161">
        <f t="shared" ref="J13:J88" ca="1" si="23">L13+O13</f>
        <v>840928.46000000008</v>
      </c>
      <c r="K13" s="162">
        <f t="shared" ref="K13:K88" ca="1" si="24">IF(C13&gt;0,J13*100/C13,0)</f>
        <v>42.675026134968086</v>
      </c>
      <c r="L13" s="161">
        <f ca="1">SUM(L14:L30)</f>
        <v>840928.46000000008</v>
      </c>
      <c r="M13" s="40">
        <f t="shared" ref="M13:M88" ca="1" si="25">IF(D13&gt;0,L13*100/D13,0)</f>
        <v>42.675026134968086</v>
      </c>
      <c r="N13" s="40">
        <f t="shared" ref="N13:N88" ca="1" si="26">IF(H13&gt;0,L13*100/H13,0)</f>
        <v>42.675026134968086</v>
      </c>
      <c r="O13" s="39">
        <f ca="1">SUM(O14:O30)</f>
        <v>0</v>
      </c>
      <c r="P13" s="39">
        <f t="shared" ref="P13:P88" ca="1" si="27">IF(G13&gt;0,O13*100/G13,0)</f>
        <v>0</v>
      </c>
      <c r="Q13" s="40">
        <f t="shared" ref="Q13:Q88" ca="1" si="28">IF(I13&gt;0,O13*100/I13,0)</f>
        <v>0</v>
      </c>
      <c r="R13" s="73">
        <f t="shared" ref="R13:S13" ca="1" si="29">SUM(R14:R30)</f>
        <v>4100</v>
      </c>
      <c r="S13" s="73">
        <f t="shared" ca="1" si="29"/>
        <v>1300</v>
      </c>
      <c r="T13" s="75">
        <f t="shared" ref="T13:T88" ca="1" si="30">IF(R13&gt;0,S13*100/R13,0)</f>
        <v>31.707317073170731</v>
      </c>
      <c r="U13" s="73">
        <f t="shared" ref="U13:V13" ca="1" si="31">SUM(U14:U30)</f>
        <v>410</v>
      </c>
      <c r="V13" s="73">
        <f t="shared" ca="1" si="31"/>
        <v>150</v>
      </c>
      <c r="W13" s="75">
        <f t="shared" ref="W13:W88" ca="1" si="32">IF(U13&gt;0,V13*100/U13,0)</f>
        <v>36.585365853658537</v>
      </c>
      <c r="X13" s="73">
        <f t="shared" ref="X13:Y13" ca="1" si="33">SUM(X14:X30)</f>
        <v>410</v>
      </c>
      <c r="Y13" s="73">
        <f t="shared" ca="1" si="33"/>
        <v>150</v>
      </c>
      <c r="Z13" s="75">
        <f t="shared" ref="Z13:Z88" ca="1" si="34">IF(X13&gt;0,Y13*100/X13,0)</f>
        <v>36.585365853658537</v>
      </c>
      <c r="AA13" s="317">
        <f ca="1">SUM(AA14:AA30)</f>
        <v>150</v>
      </c>
      <c r="AB13" s="318">
        <f t="shared" ref="AB13:AB88" ca="1" si="35">IF(X13&gt;0,AA13*100/X13,0)</f>
        <v>36.585365853658537</v>
      </c>
    </row>
    <row r="14" spans="1:28" ht="24" customHeight="1" x14ac:dyDescent="0.3">
      <c r="A14" s="77">
        <v>1</v>
      </c>
      <c r="B14" s="78" t="s">
        <v>40</v>
      </c>
      <c r="C14" s="174">
        <f t="shared" ca="1" si="21"/>
        <v>197520</v>
      </c>
      <c r="D14" s="175">
        <f t="shared" ref="D14:D30" ca="1" si="36">+E14+F14</f>
        <v>197520</v>
      </c>
      <c r="E14" s="176">
        <f ca="1">IFERROR(__xludf.DUMMYFUNCTION("IMPORTRANGE(""https://docs.google.com/spreadsheets/d/1-uDff_7J0KD5mKrp0Vvzr7lt3OU09vwQwhkpOPPYv2Y/edit?usp=sharing"",""งบพรบ!DP14"")"),83400)</f>
        <v>83400</v>
      </c>
      <c r="F14" s="176">
        <f ca="1">IFERROR(__xludf.DUMMYFUNCTION("IMPORTRANGE(""https://docs.google.com/spreadsheets/d/1-uDff_7J0KD5mKrp0Vvzr7lt3OU09vwQwhkpOPPYv2Y/edit?usp=sharing"",""งบพรบ!DQ14"")"),114120)</f>
        <v>114120</v>
      </c>
      <c r="G14" s="177">
        <f ca="1">IFERROR(__xludf.DUMMYFUNCTION("IMPORTRANGE(""https://docs.google.com/spreadsheets/d/1-uDff_7J0KD5mKrp0Vvzr7lt3OU09vwQwhkpOPPYv2Y/edit?usp=sharing"",""งบพรบ!DR14"")"),0)</f>
        <v>0</v>
      </c>
      <c r="H14" s="177">
        <f ca="1">IFERROR(__xludf.DUMMYFUNCTION("IMPORTRANGE(""https://docs.google.com/spreadsheets/d/1-uDff_7J0KD5mKrp0Vvzr7lt3OU09vwQwhkpOPPYv2Y/edit?usp=sharing"",""งบพรบ!DT14"")"),197520)</f>
        <v>197520</v>
      </c>
      <c r="I14" s="177">
        <f ca="1">IFERROR(__xludf.DUMMYFUNCTION("IMPORTRANGE(""https://docs.google.com/spreadsheets/d/1-uDff_7J0KD5mKrp0Vvzr7lt3OU09vwQwhkpOPPYv2Y/edit?usp=sharing"",""งบพรบ!DU14"")"),0)</f>
        <v>0</v>
      </c>
      <c r="J14" s="177">
        <f t="shared" ca="1" si="23"/>
        <v>54419</v>
      </c>
      <c r="K14" s="178">
        <f t="shared" ca="1" si="24"/>
        <v>27.551134062373432</v>
      </c>
      <c r="L14" s="177">
        <f ca="1">IFERROR(__xludf.DUMMYFUNCTION("IMPORTRANGE(""https://docs.google.com/spreadsheets/d/1-uDff_7J0KD5mKrp0Vvzr7lt3OU09vwQwhkpOPPYv2Y/edit?usp=sharing"",""งบพรบ!DV14"")"),54419)</f>
        <v>54419</v>
      </c>
      <c r="M14" s="87">
        <f t="shared" ca="1" si="25"/>
        <v>27.551134062373432</v>
      </c>
      <c r="N14" s="87">
        <f t="shared" ca="1" si="26"/>
        <v>27.551134062373432</v>
      </c>
      <c r="O14" s="86">
        <f ca="1">IFERROR(__xludf.DUMMYFUNCTION("IMPORTRANGE(""https://docs.google.com/spreadsheets/d/1-uDff_7J0KD5mKrp0Vvzr7lt3OU09vwQwhkpOPPYv2Y/edit?usp=sharing"",""งบพรบ!DW14"")"),0)</f>
        <v>0</v>
      </c>
      <c r="P14" s="86">
        <f t="shared" ca="1" si="27"/>
        <v>0</v>
      </c>
      <c r="Q14" s="87">
        <f t="shared" ca="1" si="28"/>
        <v>0</v>
      </c>
      <c r="R14" s="82">
        <f ca="1">IFERROR(__xludf.DUMMYFUNCTION("IMPORTRANGE(""https://docs.google.com/spreadsheets/d/1jTcq05yEiRwXcBMLjiodW9e4biSGYWAHcDj22rKWQ3s/edit?usp=sharing"",""กำแพงเพชร!I292"")"),500)</f>
        <v>500</v>
      </c>
      <c r="S14" s="82">
        <f ca="1">IFERROR(__xludf.DUMMYFUNCTION("IMPORTRANGE(""https://docs.google.com/spreadsheets/d/1jTcq05yEiRwXcBMLjiodW9e4biSGYWAHcDj22rKWQ3s/edit?usp=sharing"",""กำแพงเพชร!J292"")"),0)</f>
        <v>0</v>
      </c>
      <c r="T14" s="88">
        <f t="shared" ca="1" si="30"/>
        <v>0</v>
      </c>
      <c r="U14" s="82">
        <f ca="1">IFERROR(__xludf.DUMMYFUNCTION("IMPORTRANGE(""https://docs.google.com/spreadsheets/d/1jTcq05yEiRwXcBMLjiodW9e4biSGYWAHcDj22rKWQ3s/edit?usp=sharing"",""กำแพงเพชร!I293"")"),50)</f>
        <v>50</v>
      </c>
      <c r="V14" s="82">
        <f ca="1">IFERROR(__xludf.DUMMYFUNCTION("IMPORTRANGE(""https://docs.google.com/spreadsheets/d/1jTcq05yEiRwXcBMLjiodW9e4biSGYWAHcDj22rKWQ3s/edit?usp=sharing"",""กำแพงเพชร!J293"")"),0)</f>
        <v>0</v>
      </c>
      <c r="W14" s="88">
        <f t="shared" ca="1" si="32"/>
        <v>0</v>
      </c>
      <c r="X14" s="82">
        <f ca="1">IFERROR(__xludf.DUMMYFUNCTION("IMPORTRANGE(""https://docs.google.com/spreadsheets/d/1jTcq05yEiRwXcBMLjiodW9e4biSGYWAHcDj22rKWQ3s/edit?usp=sharing"",""กำแพงเพชร!I295"")"),50)</f>
        <v>50</v>
      </c>
      <c r="Y14" s="82">
        <f ca="1">IFERROR(__xludf.DUMMYFUNCTION("IMPORTRANGE(""https://docs.google.com/spreadsheets/d/1jTcq05yEiRwXcBMLjiodW9e4biSGYWAHcDj22rKWQ3s/edit?usp=sharing"",""กำแพงเพชร!J295"")"),0)</f>
        <v>0</v>
      </c>
      <c r="Z14" s="88">
        <f t="shared" ca="1" si="34"/>
        <v>0</v>
      </c>
      <c r="AA14" s="319">
        <f ca="1">IFERROR(__xludf.DUMMYFUNCTION("IMPORTRANGE(""https://docs.google.com/spreadsheets/d/1jTcq05yEiRwXcBMLjiodW9e4biSGYWAHcDj22rKWQ3s/edit?usp=sharing"",""กำแพงเพชร!J296"")"),0)</f>
        <v>0</v>
      </c>
      <c r="AB14" s="320">
        <f t="shared" ca="1" si="35"/>
        <v>0</v>
      </c>
    </row>
    <row r="15" spans="1:28" ht="24" customHeight="1" x14ac:dyDescent="0.3">
      <c r="A15" s="89">
        <v>2</v>
      </c>
      <c r="B15" s="90" t="s">
        <v>41</v>
      </c>
      <c r="C15" s="174">
        <f t="shared" ca="1" si="21"/>
        <v>85120</v>
      </c>
      <c r="D15" s="175">
        <f t="shared" ca="1" si="36"/>
        <v>85120</v>
      </c>
      <c r="E15" s="176">
        <f ca="1">IFERROR(__xludf.DUMMYFUNCTION("IMPORTRANGE(""https://docs.google.com/spreadsheets/d/1-uDff_7J0KD5mKrp0Vvzr7lt3OU09vwQwhkpOPPYv2Y/edit?usp=sharing"",""งบพรบ!DP15"")"),0)</f>
        <v>0</v>
      </c>
      <c r="F15" s="176">
        <f ca="1">IFERROR(__xludf.DUMMYFUNCTION("IMPORTRANGE(""https://docs.google.com/spreadsheets/d/1-uDff_7J0KD5mKrp0Vvzr7lt3OU09vwQwhkpOPPYv2Y/edit?usp=sharing"",""งบพรบ!DQ15"")"),85120)</f>
        <v>85120</v>
      </c>
      <c r="G15" s="176">
        <f ca="1">IFERROR(__xludf.DUMMYFUNCTION("IMPORTRANGE(""https://docs.google.com/spreadsheets/d/1-uDff_7J0KD5mKrp0Vvzr7lt3OU09vwQwhkpOPPYv2Y/edit?usp=sharing"",""งบพรบ!DR15"")"),0)</f>
        <v>0</v>
      </c>
      <c r="H15" s="176">
        <f ca="1">IFERROR(__xludf.DUMMYFUNCTION("IMPORTRANGE(""https://docs.google.com/spreadsheets/d/1-uDff_7J0KD5mKrp0Vvzr7lt3OU09vwQwhkpOPPYv2Y/edit?usp=sharing"",""งบพรบ!DT15"")"),85120)</f>
        <v>85120</v>
      </c>
      <c r="I15" s="176">
        <f ca="1">IFERROR(__xludf.DUMMYFUNCTION("IMPORTRANGE(""https://docs.google.com/spreadsheets/d/1-uDff_7J0KD5mKrp0Vvzr7lt3OU09vwQwhkpOPPYv2Y/edit?usp=sharing"",""งบพรบ!DU15"")"),0)</f>
        <v>0</v>
      </c>
      <c r="J15" s="176">
        <f t="shared" ca="1" si="23"/>
        <v>3200</v>
      </c>
      <c r="K15" s="179">
        <f t="shared" ca="1" si="24"/>
        <v>3.7593984962406015</v>
      </c>
      <c r="L15" s="176">
        <f ca="1">IFERROR(__xludf.DUMMYFUNCTION("IMPORTRANGE(""https://docs.google.com/spreadsheets/d/1-uDff_7J0KD5mKrp0Vvzr7lt3OU09vwQwhkpOPPYv2Y/edit?usp=sharing"",""งบพรบ!DV15"")"),3200)</f>
        <v>3200</v>
      </c>
      <c r="M15" s="87">
        <f t="shared" ca="1" si="25"/>
        <v>3.7593984962406015</v>
      </c>
      <c r="N15" s="87">
        <f t="shared" ca="1" si="26"/>
        <v>3.7593984962406015</v>
      </c>
      <c r="O15" s="86">
        <f ca="1">IFERROR(__xludf.DUMMYFUNCTION("IMPORTRANGE(""https://docs.google.com/spreadsheets/d/1-uDff_7J0KD5mKrp0Vvzr7lt3OU09vwQwhkpOPPYv2Y/edit?usp=sharing"",""งบพรบ!DW15"")"),0)</f>
        <v>0</v>
      </c>
      <c r="P15" s="86">
        <f t="shared" ca="1" si="27"/>
        <v>0</v>
      </c>
      <c r="Q15" s="87">
        <f t="shared" ca="1" si="28"/>
        <v>0</v>
      </c>
      <c r="R15" s="97">
        <f ca="1">IFERROR(__xludf.DUMMYFUNCTION("IMPORTRANGE(""https://docs.google.com/spreadsheets/d/1KS0zmDSZPk8KnTAbGN-Xk6MtX1YRZD0ldgdt20K4CRk/edit?usp=sharing"",""เชียงราย!I292"")"),300)</f>
        <v>300</v>
      </c>
      <c r="S15" s="97">
        <f ca="1">IFERROR(__xludf.DUMMYFUNCTION("IMPORTRANGE(""https://docs.google.com/spreadsheets/d/1KS0zmDSZPk8KnTAbGN-Xk6MtX1YRZD0ldgdt20K4CRk/edit?usp=sharing"",""เชียงราย!J292"")"),0)</f>
        <v>0</v>
      </c>
      <c r="T15" s="98">
        <f t="shared" ca="1" si="30"/>
        <v>0</v>
      </c>
      <c r="U15" s="97">
        <f ca="1">IFERROR(__xludf.DUMMYFUNCTION("IMPORTRANGE(""https://docs.google.com/spreadsheets/d/1KS0zmDSZPk8KnTAbGN-Xk6MtX1YRZD0ldgdt20K4CRk/edit?usp=sharing"",""เชียงราย!I293"")"),30)</f>
        <v>30</v>
      </c>
      <c r="V15" s="97">
        <f ca="1">IFERROR(__xludf.DUMMYFUNCTION("IMPORTRANGE(""https://docs.google.com/spreadsheets/d/1KS0zmDSZPk8KnTAbGN-Xk6MtX1YRZD0ldgdt20K4CRk/edit?usp=sharing"",""เชียงราย!J293"")"),0)</f>
        <v>0</v>
      </c>
      <c r="W15" s="98">
        <f t="shared" ca="1" si="32"/>
        <v>0</v>
      </c>
      <c r="X15" s="97">
        <f ca="1">IFERROR(__xludf.DUMMYFUNCTION("IMPORTRANGE(""https://docs.google.com/spreadsheets/d/1KS0zmDSZPk8KnTAbGN-Xk6MtX1YRZD0ldgdt20K4CRk/edit?usp=sharing"",""เชียงราย!I295"")"),30)</f>
        <v>30</v>
      </c>
      <c r="Y15" s="97">
        <f ca="1">IFERROR(__xludf.DUMMYFUNCTION("IMPORTRANGE(""https://docs.google.com/spreadsheets/d/1KS0zmDSZPk8KnTAbGN-Xk6MtX1YRZD0ldgdt20K4CRk/edit?usp=sharing"",""เชียงราย!J295"")"),0)</f>
        <v>0</v>
      </c>
      <c r="Z15" s="98">
        <f t="shared" ca="1" si="34"/>
        <v>0</v>
      </c>
      <c r="AA15" s="321">
        <f ca="1">IFERROR(__xludf.DUMMYFUNCTION("IMPORTRANGE(""https://docs.google.com/spreadsheets/d/1KS0zmDSZPk8KnTAbGN-Xk6MtX1YRZD0ldgdt20K4CRk/edit?usp=sharing"",""เชียงราย!J296"")"),0)</f>
        <v>0</v>
      </c>
      <c r="AB15" s="322">
        <f t="shared" ca="1" si="35"/>
        <v>0</v>
      </c>
    </row>
    <row r="16" spans="1:28" ht="24" customHeight="1" x14ac:dyDescent="0.3">
      <c r="A16" s="89">
        <v>3</v>
      </c>
      <c r="B16" s="90" t="s">
        <v>42</v>
      </c>
      <c r="C16" s="174">
        <f t="shared" ca="1" si="21"/>
        <v>71120</v>
      </c>
      <c r="D16" s="175">
        <f t="shared" ca="1" si="36"/>
        <v>71120</v>
      </c>
      <c r="E16" s="176">
        <f ca="1">IFERROR(__xludf.DUMMYFUNCTION("IMPORTRANGE(""https://docs.google.com/spreadsheets/d/1-uDff_7J0KD5mKrp0Vvzr7lt3OU09vwQwhkpOPPYv2Y/edit?usp=sharing"",""งบพรบ!DP16"")"),0)</f>
        <v>0</v>
      </c>
      <c r="F16" s="176">
        <f ca="1">IFERROR(__xludf.DUMMYFUNCTION("IMPORTRANGE(""https://docs.google.com/spreadsheets/d/1-uDff_7J0KD5mKrp0Vvzr7lt3OU09vwQwhkpOPPYv2Y/edit?usp=sharing"",""งบพรบ!DQ16"")"),71120)</f>
        <v>71120</v>
      </c>
      <c r="G16" s="176">
        <f ca="1">IFERROR(__xludf.DUMMYFUNCTION("IMPORTRANGE(""https://docs.google.com/spreadsheets/d/1-uDff_7J0KD5mKrp0Vvzr7lt3OU09vwQwhkpOPPYv2Y/edit?usp=sharing"",""งบพรบ!DR16"")"),0)</f>
        <v>0</v>
      </c>
      <c r="H16" s="176">
        <f ca="1">IFERROR(__xludf.DUMMYFUNCTION("IMPORTRANGE(""https://docs.google.com/spreadsheets/d/1-uDff_7J0KD5mKrp0Vvzr7lt3OU09vwQwhkpOPPYv2Y/edit?usp=sharing"",""งบพรบ!DT16"")"),71120)</f>
        <v>71120</v>
      </c>
      <c r="I16" s="176">
        <f ca="1">IFERROR(__xludf.DUMMYFUNCTION("IMPORTRANGE(""https://docs.google.com/spreadsheets/d/1-uDff_7J0KD5mKrp0Vvzr7lt3OU09vwQwhkpOPPYv2Y/edit?usp=sharing"",""งบพรบ!DU16"")"),0)</f>
        <v>0</v>
      </c>
      <c r="J16" s="176">
        <f t="shared" ca="1" si="23"/>
        <v>49340</v>
      </c>
      <c r="K16" s="179">
        <f t="shared" ca="1" si="24"/>
        <v>69.37570303712036</v>
      </c>
      <c r="L16" s="176">
        <f ca="1">IFERROR(__xludf.DUMMYFUNCTION("IMPORTRANGE(""https://docs.google.com/spreadsheets/d/1-uDff_7J0KD5mKrp0Vvzr7lt3OU09vwQwhkpOPPYv2Y/edit?usp=sharing"",""งบพรบ!DV16"")"),49340)</f>
        <v>49340</v>
      </c>
      <c r="M16" s="87">
        <f t="shared" ca="1" si="25"/>
        <v>69.37570303712036</v>
      </c>
      <c r="N16" s="87">
        <f t="shared" ca="1" si="26"/>
        <v>69.37570303712036</v>
      </c>
      <c r="O16" s="86">
        <f ca="1">IFERROR(__xludf.DUMMYFUNCTION("IMPORTRANGE(""https://docs.google.com/spreadsheets/d/1-uDff_7J0KD5mKrp0Vvzr7lt3OU09vwQwhkpOPPYv2Y/edit?usp=sharing"",""งบพรบ!DW16"")"),0)</f>
        <v>0</v>
      </c>
      <c r="P16" s="86">
        <f t="shared" ca="1" si="27"/>
        <v>0</v>
      </c>
      <c r="Q16" s="87">
        <f t="shared" ca="1" si="28"/>
        <v>0</v>
      </c>
      <c r="R16" s="97">
        <f ca="1">IFERROR(__xludf.DUMMYFUNCTION("IMPORTRANGE(""https://docs.google.com/spreadsheets/d/1rEDxBtusbi64tE0zunoIbsTVV16HeL0oJ6trHQeQ7K8/edit?usp=sharing"",""เชียงใหม่!I292"")"),200)</f>
        <v>200</v>
      </c>
      <c r="S16" s="97">
        <f ca="1">IFERROR(__xludf.DUMMYFUNCTION("IMPORTRANGE(""https://docs.google.com/spreadsheets/d/1rEDxBtusbi64tE0zunoIbsTVV16HeL0oJ6trHQeQ7K8/edit?usp=sharing"",""เชียงใหม่!J292"")"),0)</f>
        <v>0</v>
      </c>
      <c r="T16" s="98">
        <f t="shared" ca="1" si="30"/>
        <v>0</v>
      </c>
      <c r="U16" s="97">
        <f ca="1">IFERROR(__xludf.DUMMYFUNCTION("IMPORTRANGE(""https://docs.google.com/spreadsheets/d/1rEDxBtusbi64tE0zunoIbsTVV16HeL0oJ6trHQeQ7K8/edit?usp=sharing"",""เชียงใหม่!I293"")"),20)</f>
        <v>20</v>
      </c>
      <c r="V16" s="97">
        <f ca="1">IFERROR(__xludf.DUMMYFUNCTION("IMPORTRANGE(""https://docs.google.com/spreadsheets/d/1rEDxBtusbi64tE0zunoIbsTVV16HeL0oJ6trHQeQ7K8/edit?usp=sharing"",""เชียงใหม่!J293"")"),0)</f>
        <v>0</v>
      </c>
      <c r="W16" s="98">
        <f t="shared" ca="1" si="32"/>
        <v>0</v>
      </c>
      <c r="X16" s="97">
        <f ca="1">IFERROR(__xludf.DUMMYFUNCTION("IMPORTRANGE(""https://docs.google.com/spreadsheets/d/1rEDxBtusbi64tE0zunoIbsTVV16HeL0oJ6trHQeQ7K8/edit?usp=sharing"",""เชียงใหม่!I295"")"),20)</f>
        <v>20</v>
      </c>
      <c r="Y16" s="97">
        <f ca="1">IFERROR(__xludf.DUMMYFUNCTION("IMPORTRANGE(""https://docs.google.com/spreadsheets/d/1rEDxBtusbi64tE0zunoIbsTVV16HeL0oJ6trHQeQ7K8/edit?usp=sharing"",""เชียงใหม่!J295"")"),0)</f>
        <v>0</v>
      </c>
      <c r="Z16" s="98">
        <f t="shared" ca="1" si="34"/>
        <v>0</v>
      </c>
      <c r="AA16" s="321">
        <f ca="1">IFERROR(__xludf.DUMMYFUNCTION("IMPORTRANGE(""https://docs.google.com/spreadsheets/d/1rEDxBtusbi64tE0zunoIbsTVV16HeL0oJ6trHQeQ7K8/edit?usp=sharing"",""เชียงใหม่!J296"")"),0)</f>
        <v>0</v>
      </c>
      <c r="AB16" s="322">
        <f t="shared" ca="1" si="35"/>
        <v>0</v>
      </c>
    </row>
    <row r="17" spans="1:28" ht="24" customHeight="1" x14ac:dyDescent="0.3">
      <c r="A17" s="89">
        <v>4</v>
      </c>
      <c r="B17" s="90" t="s">
        <v>43</v>
      </c>
      <c r="C17" s="174">
        <f t="shared" ca="1" si="21"/>
        <v>71120</v>
      </c>
      <c r="D17" s="175">
        <f t="shared" ca="1" si="36"/>
        <v>71120</v>
      </c>
      <c r="E17" s="176">
        <f ca="1">IFERROR(__xludf.DUMMYFUNCTION("IMPORTRANGE(""https://docs.google.com/spreadsheets/d/1-uDff_7J0KD5mKrp0Vvzr7lt3OU09vwQwhkpOPPYv2Y/edit?usp=sharing"",""งบพรบ!DP17"")"),0)</f>
        <v>0</v>
      </c>
      <c r="F17" s="176">
        <f ca="1">IFERROR(__xludf.DUMMYFUNCTION("IMPORTRANGE(""https://docs.google.com/spreadsheets/d/1-uDff_7J0KD5mKrp0Vvzr7lt3OU09vwQwhkpOPPYv2Y/edit?usp=sharing"",""งบพรบ!DQ17"")"),71120)</f>
        <v>71120</v>
      </c>
      <c r="G17" s="176">
        <f ca="1">IFERROR(__xludf.DUMMYFUNCTION("IMPORTRANGE(""https://docs.google.com/spreadsheets/d/1-uDff_7J0KD5mKrp0Vvzr7lt3OU09vwQwhkpOPPYv2Y/edit?usp=sharing"",""งบพรบ!DR17"")"),0)</f>
        <v>0</v>
      </c>
      <c r="H17" s="176">
        <f ca="1">IFERROR(__xludf.DUMMYFUNCTION("IMPORTRANGE(""https://docs.google.com/spreadsheets/d/1-uDff_7J0KD5mKrp0Vvzr7lt3OU09vwQwhkpOPPYv2Y/edit?usp=sharing"",""งบพรบ!DT17"")"),71120)</f>
        <v>71120</v>
      </c>
      <c r="I17" s="176">
        <f ca="1">IFERROR(__xludf.DUMMYFUNCTION("IMPORTRANGE(""https://docs.google.com/spreadsheets/d/1-uDff_7J0KD5mKrp0Vvzr7lt3OU09vwQwhkpOPPYv2Y/edit?usp=sharing"",""งบพรบ!DU17"")"),0)</f>
        <v>0</v>
      </c>
      <c r="J17" s="176">
        <f t="shared" ca="1" si="23"/>
        <v>25250</v>
      </c>
      <c r="K17" s="179">
        <f t="shared" ca="1" si="24"/>
        <v>35.503374578177727</v>
      </c>
      <c r="L17" s="176">
        <f ca="1">IFERROR(__xludf.DUMMYFUNCTION("IMPORTRANGE(""https://docs.google.com/spreadsheets/d/1-uDff_7J0KD5mKrp0Vvzr7lt3OU09vwQwhkpOPPYv2Y/edit?usp=sharing"",""งบพรบ!DV17"")"),25250)</f>
        <v>25250</v>
      </c>
      <c r="M17" s="87">
        <f t="shared" ca="1" si="25"/>
        <v>35.503374578177727</v>
      </c>
      <c r="N17" s="87">
        <f t="shared" ca="1" si="26"/>
        <v>35.503374578177727</v>
      </c>
      <c r="O17" s="86">
        <f ca="1">IFERROR(__xludf.DUMMYFUNCTION("IMPORTRANGE(""https://docs.google.com/spreadsheets/d/1-uDff_7J0KD5mKrp0Vvzr7lt3OU09vwQwhkpOPPYv2Y/edit?usp=sharing"",""งบพรบ!DW17"")"),0)</f>
        <v>0</v>
      </c>
      <c r="P17" s="86">
        <f t="shared" ca="1" si="27"/>
        <v>0</v>
      </c>
      <c r="Q17" s="87">
        <f t="shared" ca="1" si="28"/>
        <v>0</v>
      </c>
      <c r="R17" s="97">
        <f ca="1">IFERROR(__xludf.DUMMYFUNCTION("IMPORTRANGE(""https://docs.google.com/spreadsheets/d/1W6MnUbDkMi6xHnHko_XkFDO9kkuL6Wqyc-6OCDFjW9I/edit?usp=sharing"",""ตาก!I292"")"),200)</f>
        <v>200</v>
      </c>
      <c r="S17" s="97">
        <f ca="1">IFERROR(__xludf.DUMMYFUNCTION("IMPORTRANGE(""https://docs.google.com/spreadsheets/d/1W6MnUbDkMi6xHnHko_XkFDO9kkuL6Wqyc-6OCDFjW9I/edit?usp=sharing"",""ตาก!J292"")"),0)</f>
        <v>0</v>
      </c>
      <c r="T17" s="98">
        <f t="shared" ca="1" si="30"/>
        <v>0</v>
      </c>
      <c r="U17" s="97">
        <f ca="1">IFERROR(__xludf.DUMMYFUNCTION("IMPORTRANGE(""https://docs.google.com/spreadsheets/d/1W6MnUbDkMi6xHnHko_XkFDO9kkuL6Wqyc-6OCDFjW9I/edit?usp=sharing"",""ตาก!I293"")"),20)</f>
        <v>20</v>
      </c>
      <c r="V17" s="97">
        <f ca="1">IFERROR(__xludf.DUMMYFUNCTION("IMPORTRANGE(""https://docs.google.com/spreadsheets/d/1W6MnUbDkMi6xHnHko_XkFDO9kkuL6Wqyc-6OCDFjW9I/edit?usp=sharing"",""ตาก!J293"")"),20)</f>
        <v>20</v>
      </c>
      <c r="W17" s="98">
        <f t="shared" ca="1" si="32"/>
        <v>100</v>
      </c>
      <c r="X17" s="97">
        <f ca="1">IFERROR(__xludf.DUMMYFUNCTION("IMPORTRANGE(""https://docs.google.com/spreadsheets/d/1W6MnUbDkMi6xHnHko_XkFDO9kkuL6Wqyc-6OCDFjW9I/edit?usp=sharing"",""ตาก!I295"")"),20)</f>
        <v>20</v>
      </c>
      <c r="Y17" s="97">
        <f ca="1">IFERROR(__xludf.DUMMYFUNCTION("IMPORTRANGE(""https://docs.google.com/spreadsheets/d/1W6MnUbDkMi6xHnHko_XkFDO9kkuL6Wqyc-6OCDFjW9I/edit?usp=sharing"",""ตาก!J295"")"),20)</f>
        <v>20</v>
      </c>
      <c r="Z17" s="98">
        <f t="shared" ca="1" si="34"/>
        <v>100</v>
      </c>
      <c r="AA17" s="321">
        <f ca="1">IFERROR(__xludf.DUMMYFUNCTION("IMPORTRANGE(""https://docs.google.com/spreadsheets/d/1W6MnUbDkMi6xHnHko_XkFDO9kkuL6Wqyc-6OCDFjW9I/edit?usp=sharing"",""ตาก!J296"")"),20)</f>
        <v>20</v>
      </c>
      <c r="AB17" s="322">
        <f t="shared" ca="1" si="35"/>
        <v>100</v>
      </c>
    </row>
    <row r="18" spans="1:28" ht="24" customHeight="1" x14ac:dyDescent="0.3">
      <c r="A18" s="89">
        <v>5</v>
      </c>
      <c r="B18" s="90" t="s">
        <v>44</v>
      </c>
      <c r="C18" s="174">
        <f t="shared" ca="1" si="21"/>
        <v>193220</v>
      </c>
      <c r="D18" s="175">
        <f t="shared" ca="1" si="36"/>
        <v>193220</v>
      </c>
      <c r="E18" s="176">
        <f ca="1">IFERROR(__xludf.DUMMYFUNCTION("IMPORTRANGE(""https://docs.google.com/spreadsheets/d/1-uDff_7J0KD5mKrp0Vvzr7lt3OU09vwQwhkpOPPYv2Y/edit?usp=sharing"",""งบพรบ!DP18"")"),79100)</f>
        <v>79100</v>
      </c>
      <c r="F18" s="176">
        <f ca="1">IFERROR(__xludf.DUMMYFUNCTION("IMPORTRANGE(""https://docs.google.com/spreadsheets/d/1-uDff_7J0KD5mKrp0Vvzr7lt3OU09vwQwhkpOPPYv2Y/edit?usp=sharing"",""งบพรบ!DQ18"")"),114120)</f>
        <v>114120</v>
      </c>
      <c r="G18" s="176">
        <f ca="1">IFERROR(__xludf.DUMMYFUNCTION("IMPORTRANGE(""https://docs.google.com/spreadsheets/d/1-uDff_7J0KD5mKrp0Vvzr7lt3OU09vwQwhkpOPPYv2Y/edit?usp=sharing"",""งบพรบ!DR18"")"),0)</f>
        <v>0</v>
      </c>
      <c r="H18" s="176">
        <f ca="1">IFERROR(__xludf.DUMMYFUNCTION("IMPORTRANGE(""https://docs.google.com/spreadsheets/d/1-uDff_7J0KD5mKrp0Vvzr7lt3OU09vwQwhkpOPPYv2Y/edit?usp=sharing"",""งบพรบ!DT18"")"),193220)</f>
        <v>193220</v>
      </c>
      <c r="I18" s="176">
        <f ca="1">IFERROR(__xludf.DUMMYFUNCTION("IMPORTRANGE(""https://docs.google.com/spreadsheets/d/1-uDff_7J0KD5mKrp0Vvzr7lt3OU09vwQwhkpOPPYv2Y/edit?usp=sharing"",""งบพรบ!DU18"")"),0)</f>
        <v>0</v>
      </c>
      <c r="J18" s="176">
        <f t="shared" ca="1" si="23"/>
        <v>148692</v>
      </c>
      <c r="K18" s="179">
        <f t="shared" ca="1" si="24"/>
        <v>76.954766587309805</v>
      </c>
      <c r="L18" s="176">
        <f ca="1">IFERROR(__xludf.DUMMYFUNCTION("IMPORTRANGE(""https://docs.google.com/spreadsheets/d/1-uDff_7J0KD5mKrp0Vvzr7lt3OU09vwQwhkpOPPYv2Y/edit?usp=sharing"",""งบพรบ!DV18"")"),148692)</f>
        <v>148692</v>
      </c>
      <c r="M18" s="87">
        <f t="shared" ca="1" si="25"/>
        <v>76.954766587309805</v>
      </c>
      <c r="N18" s="87">
        <f t="shared" ca="1" si="26"/>
        <v>76.954766587309805</v>
      </c>
      <c r="O18" s="86">
        <f ca="1">IFERROR(__xludf.DUMMYFUNCTION("IMPORTRANGE(""https://docs.google.com/spreadsheets/d/1-uDff_7J0KD5mKrp0Vvzr7lt3OU09vwQwhkpOPPYv2Y/edit?usp=sharing"",""งบพรบ!DW18"")"),0)</f>
        <v>0</v>
      </c>
      <c r="P18" s="86">
        <f t="shared" ca="1" si="27"/>
        <v>0</v>
      </c>
      <c r="Q18" s="87">
        <f t="shared" ca="1" si="28"/>
        <v>0</v>
      </c>
      <c r="R18" s="97">
        <f ca="1">IFERROR(__xludf.DUMMYFUNCTION("IMPORTRANGE(""https://docs.google.com/spreadsheets/d/1IQAWArduLkta9LpYo4a_ULsyqdta6-6aDDiwpUnQT6c/edit?usp=sharing"",""นครสวรรค์!I292"")"),500)</f>
        <v>500</v>
      </c>
      <c r="S18" s="97">
        <f ca="1">IFERROR(__xludf.DUMMYFUNCTION("IMPORTRANGE(""https://docs.google.com/spreadsheets/d/1IQAWArduLkta9LpYo4a_ULsyqdta6-6aDDiwpUnQT6c/edit?usp=sharing"",""นครสวรรค์!J292"")"),0)</f>
        <v>0</v>
      </c>
      <c r="T18" s="98">
        <f t="shared" ca="1" si="30"/>
        <v>0</v>
      </c>
      <c r="U18" s="97">
        <f ca="1">IFERROR(__xludf.DUMMYFUNCTION("IMPORTRANGE(""https://docs.google.com/spreadsheets/d/1IQAWArduLkta9LpYo4a_ULsyqdta6-6aDDiwpUnQT6c/edit?usp=sharing"",""นครสวรรค์!I293"")"),50)</f>
        <v>50</v>
      </c>
      <c r="V18" s="97">
        <f ca="1">IFERROR(__xludf.DUMMYFUNCTION("IMPORTRANGE(""https://docs.google.com/spreadsheets/d/1IQAWArduLkta9LpYo4a_ULsyqdta6-6aDDiwpUnQT6c/edit?usp=sharing"",""นครสวรรค์!J293"")"),0)</f>
        <v>0</v>
      </c>
      <c r="W18" s="98">
        <f t="shared" ca="1" si="32"/>
        <v>0</v>
      </c>
      <c r="X18" s="97">
        <f ca="1">IFERROR(__xludf.DUMMYFUNCTION("IMPORTRANGE(""https://docs.google.com/spreadsheets/d/1IQAWArduLkta9LpYo4a_ULsyqdta6-6aDDiwpUnQT6c/edit?usp=sharing"",""นครสวรรค์!I295"")"),50)</f>
        <v>50</v>
      </c>
      <c r="Y18" s="97">
        <f ca="1">IFERROR(__xludf.DUMMYFUNCTION("IMPORTRANGE(""https://docs.google.com/spreadsheets/d/1IQAWArduLkta9LpYo4a_ULsyqdta6-6aDDiwpUnQT6c/edit?usp=sharing"",""นครสวรรค์!J295"")"),0)</f>
        <v>0</v>
      </c>
      <c r="Z18" s="98">
        <f t="shared" ca="1" si="34"/>
        <v>0</v>
      </c>
      <c r="AA18" s="321">
        <f ca="1">IFERROR(__xludf.DUMMYFUNCTION("IMPORTRANGE(""https://docs.google.com/spreadsheets/d/1IQAWArduLkta9LpYo4a_ULsyqdta6-6aDDiwpUnQT6c/edit?usp=sharing"",""นครสวรรค์!J296"")"),0)</f>
        <v>0</v>
      </c>
      <c r="AB18" s="322">
        <f t="shared" ca="1" si="35"/>
        <v>0</v>
      </c>
    </row>
    <row r="19" spans="1:28" ht="24" customHeight="1" x14ac:dyDescent="0.3">
      <c r="A19" s="89">
        <v>6</v>
      </c>
      <c r="B19" s="90" t="s">
        <v>45</v>
      </c>
      <c r="C19" s="174">
        <f t="shared" ca="1" si="21"/>
        <v>137220</v>
      </c>
      <c r="D19" s="175">
        <f t="shared" ca="1" si="36"/>
        <v>137220</v>
      </c>
      <c r="E19" s="176">
        <f ca="1">IFERROR(__xludf.DUMMYFUNCTION("IMPORTRANGE(""https://docs.google.com/spreadsheets/d/1-uDff_7J0KD5mKrp0Vvzr7lt3OU09vwQwhkpOPPYv2Y/edit?usp=sharing"",""งบพรบ!DP19"")"),81100)</f>
        <v>81100</v>
      </c>
      <c r="F19" s="176">
        <f ca="1">IFERROR(__xludf.DUMMYFUNCTION("IMPORTRANGE(""https://docs.google.com/spreadsheets/d/1-uDff_7J0KD5mKrp0Vvzr7lt3OU09vwQwhkpOPPYv2Y/edit?usp=sharing"",""งบพรบ!DQ19"")"),56120)</f>
        <v>56120</v>
      </c>
      <c r="G19" s="176">
        <f ca="1">IFERROR(__xludf.DUMMYFUNCTION("IMPORTRANGE(""https://docs.google.com/spreadsheets/d/1-uDff_7J0KD5mKrp0Vvzr7lt3OU09vwQwhkpOPPYv2Y/edit?usp=sharing"",""งบพรบ!DR19"")"),0)</f>
        <v>0</v>
      </c>
      <c r="H19" s="176">
        <f ca="1">IFERROR(__xludf.DUMMYFUNCTION("IMPORTRANGE(""https://docs.google.com/spreadsheets/d/1-uDff_7J0KD5mKrp0Vvzr7lt3OU09vwQwhkpOPPYv2Y/edit?usp=sharing"",""งบพรบ!DT19"")"),137220)</f>
        <v>137220</v>
      </c>
      <c r="I19" s="176">
        <f ca="1">IFERROR(__xludf.DUMMYFUNCTION("IMPORTRANGE(""https://docs.google.com/spreadsheets/d/1-uDff_7J0KD5mKrp0Vvzr7lt3OU09vwQwhkpOPPYv2Y/edit?usp=sharing"",""งบพรบ!DU19"")"),0)</f>
        <v>0</v>
      </c>
      <c r="J19" s="176">
        <f t="shared" ca="1" si="23"/>
        <v>41645.9</v>
      </c>
      <c r="K19" s="179">
        <f t="shared" ca="1" si="24"/>
        <v>30.349730360005829</v>
      </c>
      <c r="L19" s="176">
        <f ca="1">IFERROR(__xludf.DUMMYFUNCTION("IMPORTRANGE(""https://docs.google.com/spreadsheets/d/1-uDff_7J0KD5mKrp0Vvzr7lt3OU09vwQwhkpOPPYv2Y/edit?usp=sharing"",""งบพรบ!DV19"")"),41645.9)</f>
        <v>41645.9</v>
      </c>
      <c r="M19" s="87">
        <f t="shared" ca="1" si="25"/>
        <v>30.349730360005829</v>
      </c>
      <c r="N19" s="87">
        <f t="shared" ca="1" si="26"/>
        <v>30.349730360005829</v>
      </c>
      <c r="O19" s="86">
        <f ca="1">IFERROR(__xludf.DUMMYFUNCTION("IMPORTRANGE(""https://docs.google.com/spreadsheets/d/1-uDff_7J0KD5mKrp0Vvzr7lt3OU09vwQwhkpOPPYv2Y/edit?usp=sharing"",""งบพรบ!DW19"")"),0)</f>
        <v>0</v>
      </c>
      <c r="P19" s="86">
        <f t="shared" ca="1" si="27"/>
        <v>0</v>
      </c>
      <c r="Q19" s="87">
        <f t="shared" ca="1" si="28"/>
        <v>0</v>
      </c>
      <c r="R19" s="97">
        <f ca="1">IFERROR(__xludf.DUMMYFUNCTION("IMPORTRANGE(""https://docs.google.com/spreadsheets/d/10s13Sk5xrltsiR-Zkbmk5DwIaDIKO8XlbJAfqyT7Gvg/edit?usp=sharing"",""น่าน!I292"")"),100)</f>
        <v>100</v>
      </c>
      <c r="S19" s="97">
        <f ca="1">IFERROR(__xludf.DUMMYFUNCTION("IMPORTRANGE(""https://docs.google.com/spreadsheets/d/10s13Sk5xrltsiR-Zkbmk5DwIaDIKO8XlbJAfqyT7Gvg/edit?usp=sharing"",""น่าน!J292"")"),0)</f>
        <v>0</v>
      </c>
      <c r="T19" s="98">
        <f t="shared" ca="1" si="30"/>
        <v>0</v>
      </c>
      <c r="U19" s="97">
        <f ca="1">IFERROR(__xludf.DUMMYFUNCTION("IMPORTRANGE(""https://docs.google.com/spreadsheets/d/10s13Sk5xrltsiR-Zkbmk5DwIaDIKO8XlbJAfqyT7Gvg/edit?usp=sharing"",""น่าน!I293"")"),10)</f>
        <v>10</v>
      </c>
      <c r="V19" s="97">
        <f ca="1">IFERROR(__xludf.DUMMYFUNCTION("IMPORTRANGE(""https://docs.google.com/spreadsheets/d/10s13Sk5xrltsiR-Zkbmk5DwIaDIKO8XlbJAfqyT7Gvg/edit?usp=sharing"",""น่าน!J293"")"),0)</f>
        <v>0</v>
      </c>
      <c r="W19" s="98">
        <f t="shared" ca="1" si="32"/>
        <v>0</v>
      </c>
      <c r="X19" s="97">
        <f ca="1">IFERROR(__xludf.DUMMYFUNCTION("IMPORTRANGE(""https://docs.google.com/spreadsheets/d/10s13Sk5xrltsiR-Zkbmk5DwIaDIKO8XlbJAfqyT7Gvg/edit?usp=sharing"",""น่าน!I295"")"),10)</f>
        <v>10</v>
      </c>
      <c r="Y19" s="97">
        <f ca="1">IFERROR(__xludf.DUMMYFUNCTION("IMPORTRANGE(""https://docs.google.com/spreadsheets/d/10s13Sk5xrltsiR-Zkbmk5DwIaDIKO8XlbJAfqyT7Gvg/edit?usp=sharing"",""น่าน!J295"")"),0)</f>
        <v>0</v>
      </c>
      <c r="Z19" s="98">
        <f t="shared" ca="1" si="34"/>
        <v>0</v>
      </c>
      <c r="AA19" s="321">
        <f ca="1">IFERROR(__xludf.DUMMYFUNCTION("IMPORTRANGE(""https://docs.google.com/spreadsheets/d/10s13Sk5xrltsiR-Zkbmk5DwIaDIKO8XlbJAfqyT7Gvg/edit?usp=sharing"",""น่าน!J296"")"),0)</f>
        <v>0</v>
      </c>
      <c r="AB19" s="322">
        <f t="shared" ca="1" si="35"/>
        <v>0</v>
      </c>
    </row>
    <row r="20" spans="1:28" ht="24" customHeight="1" x14ac:dyDescent="0.3">
      <c r="A20" s="89">
        <v>7</v>
      </c>
      <c r="B20" s="90" t="s">
        <v>46</v>
      </c>
      <c r="C20" s="174">
        <f t="shared" ca="1" si="21"/>
        <v>56120</v>
      </c>
      <c r="D20" s="175">
        <f t="shared" ca="1" si="36"/>
        <v>56120</v>
      </c>
      <c r="E20" s="176">
        <f ca="1">IFERROR(__xludf.DUMMYFUNCTION("IMPORTRANGE(""https://docs.google.com/spreadsheets/d/1-uDff_7J0KD5mKrp0Vvzr7lt3OU09vwQwhkpOPPYv2Y/edit?usp=sharing"",""งบพรบ!DP20"")"),0)</f>
        <v>0</v>
      </c>
      <c r="F20" s="176">
        <f ca="1">IFERROR(__xludf.DUMMYFUNCTION("IMPORTRANGE(""https://docs.google.com/spreadsheets/d/1-uDff_7J0KD5mKrp0Vvzr7lt3OU09vwQwhkpOPPYv2Y/edit?usp=sharing"",""งบพรบ!DQ20"")"),56120)</f>
        <v>56120</v>
      </c>
      <c r="G20" s="176">
        <f ca="1">IFERROR(__xludf.DUMMYFUNCTION("IMPORTRANGE(""https://docs.google.com/spreadsheets/d/1-uDff_7J0KD5mKrp0Vvzr7lt3OU09vwQwhkpOPPYv2Y/edit?usp=sharing"",""งบพรบ!DR20"")"),0)</f>
        <v>0</v>
      </c>
      <c r="H20" s="176">
        <f ca="1">IFERROR(__xludf.DUMMYFUNCTION("IMPORTRANGE(""https://docs.google.com/spreadsheets/d/1-uDff_7J0KD5mKrp0Vvzr7lt3OU09vwQwhkpOPPYv2Y/edit?usp=sharing"",""งบพรบ!DT20"")"),56120)</f>
        <v>56120</v>
      </c>
      <c r="I20" s="176">
        <f ca="1">IFERROR(__xludf.DUMMYFUNCTION("IMPORTRANGE(""https://docs.google.com/spreadsheets/d/1-uDff_7J0KD5mKrp0Vvzr7lt3OU09vwQwhkpOPPYv2Y/edit?usp=sharing"",""งบพรบ!DU20"")"),0)</f>
        <v>0</v>
      </c>
      <c r="J20" s="176">
        <f t="shared" ca="1" si="23"/>
        <v>6632</v>
      </c>
      <c r="K20" s="179">
        <f t="shared" ca="1" si="24"/>
        <v>11.817533856022809</v>
      </c>
      <c r="L20" s="176">
        <f ca="1">IFERROR(__xludf.DUMMYFUNCTION("IMPORTRANGE(""https://docs.google.com/spreadsheets/d/1-uDff_7J0KD5mKrp0Vvzr7lt3OU09vwQwhkpOPPYv2Y/edit?usp=sharing"",""งบพรบ!DV20"")"),6632)</f>
        <v>6632</v>
      </c>
      <c r="M20" s="87">
        <f t="shared" ca="1" si="25"/>
        <v>11.817533856022809</v>
      </c>
      <c r="N20" s="87">
        <f t="shared" ca="1" si="26"/>
        <v>11.817533856022809</v>
      </c>
      <c r="O20" s="86">
        <f ca="1">IFERROR(__xludf.DUMMYFUNCTION("IMPORTRANGE(""https://docs.google.com/spreadsheets/d/1-uDff_7J0KD5mKrp0Vvzr7lt3OU09vwQwhkpOPPYv2Y/edit?usp=sharing"",""งบพรบ!DW20"")"),0)</f>
        <v>0</v>
      </c>
      <c r="P20" s="86">
        <f t="shared" ca="1" si="27"/>
        <v>0</v>
      </c>
      <c r="Q20" s="87">
        <f t="shared" ca="1" si="28"/>
        <v>0</v>
      </c>
      <c r="R20" s="97">
        <f ca="1">IFERROR(__xludf.DUMMYFUNCTION("IMPORTRANGE(""https://docs.google.com/spreadsheets/d/1uu4nAn4Dbi1XREnLKKotUANlKXa7yCgRcgq8HEzQYW8/edit?usp=sharing"",""พะเยา!I292"")"),100)</f>
        <v>100</v>
      </c>
      <c r="S20" s="97">
        <f ca="1">IFERROR(__xludf.DUMMYFUNCTION("IMPORTRANGE(""https://docs.google.com/spreadsheets/d/1uu4nAn4Dbi1XREnLKKotUANlKXa7yCgRcgq8HEzQYW8/edit?usp=sharing"",""พะเยา!J292"")"),0)</f>
        <v>0</v>
      </c>
      <c r="T20" s="98">
        <f t="shared" ca="1" si="30"/>
        <v>0</v>
      </c>
      <c r="U20" s="97">
        <f ca="1">IFERROR(__xludf.DUMMYFUNCTION("IMPORTRANGE(""https://docs.google.com/spreadsheets/d/1uu4nAn4Dbi1XREnLKKotUANlKXa7yCgRcgq8HEzQYW8/edit?usp=sharing"",""พะเยา!I293"")"),10)</f>
        <v>10</v>
      </c>
      <c r="V20" s="97">
        <f ca="1">IFERROR(__xludf.DUMMYFUNCTION("IMPORTRANGE(""https://docs.google.com/spreadsheets/d/1uu4nAn4Dbi1XREnLKKotUANlKXa7yCgRcgq8HEzQYW8/edit?usp=sharing"",""พะเยา!J293"")"),0)</f>
        <v>0</v>
      </c>
      <c r="W20" s="98">
        <f t="shared" ca="1" si="32"/>
        <v>0</v>
      </c>
      <c r="X20" s="97">
        <f ca="1">IFERROR(__xludf.DUMMYFUNCTION("IMPORTRANGE(""https://docs.google.com/spreadsheets/d/1uu4nAn4Dbi1XREnLKKotUANlKXa7yCgRcgq8HEzQYW8/edit?usp=sharing"",""พะเยา!I295"")"),10)</f>
        <v>10</v>
      </c>
      <c r="Y20" s="97">
        <f ca="1">IFERROR(__xludf.DUMMYFUNCTION("IMPORTRANGE(""https://docs.google.com/spreadsheets/d/1uu4nAn4Dbi1XREnLKKotUANlKXa7yCgRcgq8HEzQYW8/edit?usp=sharing"",""พะเยา!J295"")"),0)</f>
        <v>0</v>
      </c>
      <c r="Z20" s="98">
        <f t="shared" ca="1" si="34"/>
        <v>0</v>
      </c>
      <c r="AA20" s="321">
        <f ca="1">IFERROR(__xludf.DUMMYFUNCTION("IMPORTRANGE(""https://docs.google.com/spreadsheets/d/1uu4nAn4Dbi1XREnLKKotUANlKXa7yCgRcgq8HEzQYW8/edit?usp=sharing"",""พะเยา!J296"")"),0)</f>
        <v>0</v>
      </c>
      <c r="AB20" s="322">
        <f t="shared" ca="1" si="35"/>
        <v>0</v>
      </c>
    </row>
    <row r="21" spans="1:28" ht="24" customHeight="1" x14ac:dyDescent="0.3">
      <c r="A21" s="89">
        <v>8</v>
      </c>
      <c r="B21" s="90" t="s">
        <v>47</v>
      </c>
      <c r="C21" s="174">
        <f t="shared" ca="1" si="21"/>
        <v>132320</v>
      </c>
      <c r="D21" s="175">
        <f t="shared" ca="1" si="36"/>
        <v>132320</v>
      </c>
      <c r="E21" s="176">
        <f ca="1">IFERROR(__xludf.DUMMYFUNCTION("IMPORTRANGE(""https://docs.google.com/spreadsheets/d/1-uDff_7J0KD5mKrp0Vvzr7lt3OU09vwQwhkpOPPYv2Y/edit?usp=sharing"",""งบพรบ!DP21"")"),76200)</f>
        <v>76200</v>
      </c>
      <c r="F21" s="176">
        <f ca="1">IFERROR(__xludf.DUMMYFUNCTION("IMPORTRANGE(""https://docs.google.com/spreadsheets/d/1-uDff_7J0KD5mKrp0Vvzr7lt3OU09vwQwhkpOPPYv2Y/edit?usp=sharing"",""งบพรบ!DQ21"")"),56120)</f>
        <v>56120</v>
      </c>
      <c r="G21" s="176">
        <f ca="1">IFERROR(__xludf.DUMMYFUNCTION("IMPORTRANGE(""https://docs.google.com/spreadsheets/d/1-uDff_7J0KD5mKrp0Vvzr7lt3OU09vwQwhkpOPPYv2Y/edit?usp=sharing"",""งบพรบ!DR21"")"),0)</f>
        <v>0</v>
      </c>
      <c r="H21" s="176">
        <f ca="1">IFERROR(__xludf.DUMMYFUNCTION("IMPORTRANGE(""https://docs.google.com/spreadsheets/d/1-uDff_7J0KD5mKrp0Vvzr7lt3OU09vwQwhkpOPPYv2Y/edit?usp=sharing"",""งบพรบ!DT21"")"),132320)</f>
        <v>132320</v>
      </c>
      <c r="I21" s="176">
        <f ca="1">IFERROR(__xludf.DUMMYFUNCTION("IMPORTRANGE(""https://docs.google.com/spreadsheets/d/1-uDff_7J0KD5mKrp0Vvzr7lt3OU09vwQwhkpOPPYv2Y/edit?usp=sharing"",""งบพรบ!DU21"")"),0)</f>
        <v>0</v>
      </c>
      <c r="J21" s="176">
        <f t="shared" ca="1" si="23"/>
        <v>45271</v>
      </c>
      <c r="K21" s="179">
        <f t="shared" ca="1" si="24"/>
        <v>34.213270858524787</v>
      </c>
      <c r="L21" s="176">
        <f ca="1">IFERROR(__xludf.DUMMYFUNCTION("IMPORTRANGE(""https://docs.google.com/spreadsheets/d/1-uDff_7J0KD5mKrp0Vvzr7lt3OU09vwQwhkpOPPYv2Y/edit?usp=sharing"",""งบพรบ!DV21"")"),45271)</f>
        <v>45271</v>
      </c>
      <c r="M21" s="87">
        <f t="shared" ca="1" si="25"/>
        <v>34.213270858524787</v>
      </c>
      <c r="N21" s="87">
        <f t="shared" ca="1" si="26"/>
        <v>34.213270858524787</v>
      </c>
      <c r="O21" s="86">
        <f ca="1">IFERROR(__xludf.DUMMYFUNCTION("IMPORTRANGE(""https://docs.google.com/spreadsheets/d/1-uDff_7J0KD5mKrp0Vvzr7lt3OU09vwQwhkpOPPYv2Y/edit?usp=sharing"",""งบพรบ!DW21"")"),0)</f>
        <v>0</v>
      </c>
      <c r="P21" s="86">
        <f t="shared" ca="1" si="27"/>
        <v>0</v>
      </c>
      <c r="Q21" s="87">
        <f t="shared" ca="1" si="28"/>
        <v>0</v>
      </c>
      <c r="R21" s="97">
        <f ca="1">IFERROR(__xludf.DUMMYFUNCTION("IMPORTRANGE(""https://docs.google.com/spreadsheets/d/1xfJKIQxVOaPDIICqsflNlLu3JacTDk1FP9RH4phX7mI/edit?usp=sharing"",""พิจิตร!I292"")"),100)</f>
        <v>100</v>
      </c>
      <c r="S21" s="97">
        <f ca="1">IFERROR(__xludf.DUMMYFUNCTION("IMPORTRANGE(""https://docs.google.com/spreadsheets/d/1xfJKIQxVOaPDIICqsflNlLu3JacTDk1FP9RH4phX7mI/edit?usp=sharing"",""พิจิตร!J292"")"),0)</f>
        <v>0</v>
      </c>
      <c r="T21" s="98">
        <f t="shared" ca="1" si="30"/>
        <v>0</v>
      </c>
      <c r="U21" s="97">
        <f ca="1">IFERROR(__xludf.DUMMYFUNCTION("IMPORTRANGE(""https://docs.google.com/spreadsheets/d/1xfJKIQxVOaPDIICqsflNlLu3JacTDk1FP9RH4phX7mI/edit?usp=sharing"",""พิจิตร!I293"")"),10)</f>
        <v>10</v>
      </c>
      <c r="V21" s="97">
        <f ca="1">IFERROR(__xludf.DUMMYFUNCTION("IMPORTRANGE(""https://docs.google.com/spreadsheets/d/1xfJKIQxVOaPDIICqsflNlLu3JacTDk1FP9RH4phX7mI/edit?usp=sharing"",""พิจิตร!J293"")"),0)</f>
        <v>0</v>
      </c>
      <c r="W21" s="98">
        <f t="shared" ca="1" si="32"/>
        <v>0</v>
      </c>
      <c r="X21" s="97">
        <f ca="1">IFERROR(__xludf.DUMMYFUNCTION("IMPORTRANGE(""https://docs.google.com/spreadsheets/d/1xfJKIQxVOaPDIICqsflNlLu3JacTDk1FP9RH4phX7mI/edit?usp=sharing"",""พิจิตร!I295"")"),10)</f>
        <v>10</v>
      </c>
      <c r="Y21" s="97">
        <f ca="1">IFERROR(__xludf.DUMMYFUNCTION("IMPORTRANGE(""https://docs.google.com/spreadsheets/d/1xfJKIQxVOaPDIICqsflNlLu3JacTDk1FP9RH4phX7mI/edit?usp=sharing"",""พิจิตร!J295"")"),0)</f>
        <v>0</v>
      </c>
      <c r="Z21" s="98">
        <f t="shared" ca="1" si="34"/>
        <v>0</v>
      </c>
      <c r="AA21" s="321">
        <f ca="1">IFERROR(__xludf.DUMMYFUNCTION("IMPORTRANGE(""https://docs.google.com/spreadsheets/d/1xfJKIQxVOaPDIICqsflNlLu3JacTDk1FP9RH4phX7mI/edit?usp=sharing"",""พิจิตร!J296"")"),0)</f>
        <v>0</v>
      </c>
      <c r="AB21" s="322">
        <f t="shared" ca="1" si="35"/>
        <v>0</v>
      </c>
    </row>
    <row r="22" spans="1:28" ht="24" customHeight="1" x14ac:dyDescent="0.3">
      <c r="A22" s="89">
        <v>9</v>
      </c>
      <c r="B22" s="90" t="s">
        <v>48</v>
      </c>
      <c r="C22" s="174">
        <f t="shared" ca="1" si="21"/>
        <v>140620</v>
      </c>
      <c r="D22" s="175">
        <f t="shared" ca="1" si="36"/>
        <v>140620</v>
      </c>
      <c r="E22" s="176">
        <f ca="1">IFERROR(__xludf.DUMMYFUNCTION("IMPORTRANGE(""https://docs.google.com/spreadsheets/d/1-uDff_7J0KD5mKrp0Vvzr7lt3OU09vwQwhkpOPPYv2Y/edit?usp=sharing"",""งบพรบ!DP22"")"),84500)</f>
        <v>84500</v>
      </c>
      <c r="F22" s="176">
        <f ca="1">IFERROR(__xludf.DUMMYFUNCTION("IMPORTRANGE(""https://docs.google.com/spreadsheets/d/1-uDff_7J0KD5mKrp0Vvzr7lt3OU09vwQwhkpOPPYv2Y/edit?usp=sharing"",""งบพรบ!DQ22"")"),56120)</f>
        <v>56120</v>
      </c>
      <c r="G22" s="176">
        <f ca="1">IFERROR(__xludf.DUMMYFUNCTION("IMPORTRANGE(""https://docs.google.com/spreadsheets/d/1-uDff_7J0KD5mKrp0Vvzr7lt3OU09vwQwhkpOPPYv2Y/edit?usp=sharing"",""งบพรบ!DR22"")"),0)</f>
        <v>0</v>
      </c>
      <c r="H22" s="176">
        <f ca="1">IFERROR(__xludf.DUMMYFUNCTION("IMPORTRANGE(""https://docs.google.com/spreadsheets/d/1-uDff_7J0KD5mKrp0Vvzr7lt3OU09vwQwhkpOPPYv2Y/edit?usp=sharing"",""งบพรบ!DT22"")"),140620)</f>
        <v>140620</v>
      </c>
      <c r="I22" s="176">
        <f ca="1">IFERROR(__xludf.DUMMYFUNCTION("IMPORTRANGE(""https://docs.google.com/spreadsheets/d/1-uDff_7J0KD5mKrp0Vvzr7lt3OU09vwQwhkpOPPYv2Y/edit?usp=sharing"",""งบพรบ!DU22"")"),0)</f>
        <v>0</v>
      </c>
      <c r="J22" s="176">
        <f t="shared" ca="1" si="23"/>
        <v>14406.75</v>
      </c>
      <c r="K22" s="179">
        <f t="shared" ca="1" si="24"/>
        <v>10.245164272507466</v>
      </c>
      <c r="L22" s="176">
        <f ca="1">IFERROR(__xludf.DUMMYFUNCTION("IMPORTRANGE(""https://docs.google.com/spreadsheets/d/1-uDff_7J0KD5mKrp0Vvzr7lt3OU09vwQwhkpOPPYv2Y/edit?usp=sharing"",""งบพรบ!DV22"")"),14406.75)</f>
        <v>14406.75</v>
      </c>
      <c r="M22" s="87">
        <f t="shared" ca="1" si="25"/>
        <v>10.245164272507466</v>
      </c>
      <c r="N22" s="87">
        <f t="shared" ca="1" si="26"/>
        <v>10.245164272507466</v>
      </c>
      <c r="O22" s="86">
        <f ca="1">IFERROR(__xludf.DUMMYFUNCTION("IMPORTRANGE(""https://docs.google.com/spreadsheets/d/1-uDff_7J0KD5mKrp0Vvzr7lt3OU09vwQwhkpOPPYv2Y/edit?usp=sharing"",""งบพรบ!DW22"")"),0)</f>
        <v>0</v>
      </c>
      <c r="P22" s="86">
        <f t="shared" ca="1" si="27"/>
        <v>0</v>
      </c>
      <c r="Q22" s="87">
        <f t="shared" ca="1" si="28"/>
        <v>0</v>
      </c>
      <c r="R22" s="97">
        <f ca="1">IFERROR(__xludf.DUMMYFUNCTION("IMPORTRANGE(""https://docs.google.com/spreadsheets/d/1JtRfZkJMHtEhI5RdRHxYUG4FIZHqKDpNyIuN7A1Q0_k/edit?usp=sharing"",""พิษณุโลก!I292"")"),100)</f>
        <v>100</v>
      </c>
      <c r="S22" s="97">
        <f ca="1">IFERROR(__xludf.DUMMYFUNCTION("IMPORTRANGE(""https://docs.google.com/spreadsheets/d/1JtRfZkJMHtEhI5RdRHxYUG4FIZHqKDpNyIuN7A1Q0_k/edit?usp=sharing"",""พิษณุโลก!J292"")"),0)</f>
        <v>0</v>
      </c>
      <c r="T22" s="98">
        <f t="shared" ca="1" si="30"/>
        <v>0</v>
      </c>
      <c r="U22" s="97">
        <f ca="1">IFERROR(__xludf.DUMMYFUNCTION("IMPORTRANGE(""https://docs.google.com/spreadsheets/d/1JtRfZkJMHtEhI5RdRHxYUG4FIZHqKDpNyIuN7A1Q0_k/edit?usp=sharing"",""พิษณุโลก!I293"")"),10)</f>
        <v>10</v>
      </c>
      <c r="V22" s="97">
        <f ca="1">IFERROR(__xludf.DUMMYFUNCTION("IMPORTRANGE(""https://docs.google.com/spreadsheets/d/1JtRfZkJMHtEhI5RdRHxYUG4FIZHqKDpNyIuN7A1Q0_k/edit?usp=sharing"",""พิษณุโลก!J293"")"),0)</f>
        <v>0</v>
      </c>
      <c r="W22" s="98">
        <f t="shared" ca="1" si="32"/>
        <v>0</v>
      </c>
      <c r="X22" s="97">
        <f ca="1">IFERROR(__xludf.DUMMYFUNCTION("IMPORTRANGE(""https://docs.google.com/spreadsheets/d/1JtRfZkJMHtEhI5RdRHxYUG4FIZHqKDpNyIuN7A1Q0_k/edit?usp=sharing"",""พิษณุโลก!I295"")"),10)</f>
        <v>10</v>
      </c>
      <c r="Y22" s="97">
        <f ca="1">IFERROR(__xludf.DUMMYFUNCTION("IMPORTRANGE(""https://docs.google.com/spreadsheets/d/1JtRfZkJMHtEhI5RdRHxYUG4FIZHqKDpNyIuN7A1Q0_k/edit?usp=sharing"",""พิษณุโลก!J295"")"),0)</f>
        <v>0</v>
      </c>
      <c r="Z22" s="98">
        <f t="shared" ca="1" si="34"/>
        <v>0</v>
      </c>
      <c r="AA22" s="321">
        <f ca="1">IFERROR(__xludf.DUMMYFUNCTION("IMPORTRANGE(""https://docs.google.com/spreadsheets/d/1JtRfZkJMHtEhI5RdRHxYUG4FIZHqKDpNyIuN7A1Q0_k/edit?usp=sharing"",""พิษณุโลก!J296"")"),0)</f>
        <v>0</v>
      </c>
      <c r="AB22" s="322">
        <f t="shared" ca="1" si="35"/>
        <v>0</v>
      </c>
    </row>
    <row r="23" spans="1:28" ht="24" customHeight="1" x14ac:dyDescent="0.3">
      <c r="A23" s="89">
        <v>10</v>
      </c>
      <c r="B23" s="90" t="s">
        <v>49</v>
      </c>
      <c r="C23" s="174">
        <f t="shared" ca="1" si="21"/>
        <v>222220</v>
      </c>
      <c r="D23" s="175">
        <f t="shared" ca="1" si="36"/>
        <v>222220</v>
      </c>
      <c r="E23" s="176">
        <f ca="1">IFERROR(__xludf.DUMMYFUNCTION("IMPORTRANGE(""https://docs.google.com/spreadsheets/d/1-uDff_7J0KD5mKrp0Vvzr7lt3OU09vwQwhkpOPPYv2Y/edit?usp=sharing"",""งบพรบ!DP23"")"),79100)</f>
        <v>79100</v>
      </c>
      <c r="F23" s="176">
        <f ca="1">IFERROR(__xludf.DUMMYFUNCTION("IMPORTRANGE(""https://docs.google.com/spreadsheets/d/1-uDff_7J0KD5mKrp0Vvzr7lt3OU09vwQwhkpOPPYv2Y/edit?usp=sharing"",""งบพรบ!DQ23"")"),143120)</f>
        <v>143120</v>
      </c>
      <c r="G23" s="176">
        <f ca="1">IFERROR(__xludf.DUMMYFUNCTION("IMPORTRANGE(""https://docs.google.com/spreadsheets/d/1-uDff_7J0KD5mKrp0Vvzr7lt3OU09vwQwhkpOPPYv2Y/edit?usp=sharing"",""งบพรบ!DR23"")"),0)</f>
        <v>0</v>
      </c>
      <c r="H23" s="176">
        <f ca="1">IFERROR(__xludf.DUMMYFUNCTION("IMPORTRANGE(""https://docs.google.com/spreadsheets/d/1-uDff_7J0KD5mKrp0Vvzr7lt3OU09vwQwhkpOPPYv2Y/edit?usp=sharing"",""งบพรบ!DT23"")"),222220)</f>
        <v>222220</v>
      </c>
      <c r="I23" s="176">
        <f ca="1">IFERROR(__xludf.DUMMYFUNCTION("IMPORTRANGE(""https://docs.google.com/spreadsheets/d/1-uDff_7J0KD5mKrp0Vvzr7lt3OU09vwQwhkpOPPYv2Y/edit?usp=sharing"",""งบพรบ!DU23"")"),0)</f>
        <v>0</v>
      </c>
      <c r="J23" s="176">
        <f t="shared" ca="1" si="23"/>
        <v>174755.95</v>
      </c>
      <c r="K23" s="179">
        <f t="shared" ca="1" si="24"/>
        <v>78.640963909639098</v>
      </c>
      <c r="L23" s="176">
        <f ca="1">IFERROR(__xludf.DUMMYFUNCTION("IMPORTRANGE(""https://docs.google.com/spreadsheets/d/1-uDff_7J0KD5mKrp0Vvzr7lt3OU09vwQwhkpOPPYv2Y/edit?usp=sharing"",""งบพรบ!DV23"")"),174755.95)</f>
        <v>174755.95</v>
      </c>
      <c r="M23" s="87">
        <f t="shared" ca="1" si="25"/>
        <v>78.640963909639098</v>
      </c>
      <c r="N23" s="87">
        <f t="shared" ca="1" si="26"/>
        <v>78.640963909639098</v>
      </c>
      <c r="O23" s="86">
        <f ca="1">IFERROR(__xludf.DUMMYFUNCTION("IMPORTRANGE(""https://docs.google.com/spreadsheets/d/1-uDff_7J0KD5mKrp0Vvzr7lt3OU09vwQwhkpOPPYv2Y/edit?usp=sharing"",""งบพรบ!DW23"")"),0)</f>
        <v>0</v>
      </c>
      <c r="P23" s="86">
        <f t="shared" ca="1" si="27"/>
        <v>0</v>
      </c>
      <c r="Q23" s="87">
        <f t="shared" ca="1" si="28"/>
        <v>0</v>
      </c>
      <c r="R23" s="97">
        <f ca="1">IFERROR(__xludf.DUMMYFUNCTION("IMPORTRANGE(""https://docs.google.com/spreadsheets/d/1xlcVZWUNn6SuWm0c307h32SiGkd9BaeQWlAktfD3KO8/edit?usp=sharing"",""เพชรบูรณ์!I292"")"),700)</f>
        <v>700</v>
      </c>
      <c r="S23" s="97">
        <f ca="1">IFERROR(__xludf.DUMMYFUNCTION("IMPORTRANGE(""https://docs.google.com/spreadsheets/d/1xlcVZWUNn6SuWm0c307h32SiGkd9BaeQWlAktfD3KO8/edit?usp=sharing"",""เพชรบูรณ์!J292"")"),700)</f>
        <v>700</v>
      </c>
      <c r="T23" s="98">
        <f t="shared" ca="1" si="30"/>
        <v>100</v>
      </c>
      <c r="U23" s="97">
        <f ca="1">IFERROR(__xludf.DUMMYFUNCTION("IMPORTRANGE(""https://docs.google.com/spreadsheets/d/1xlcVZWUNn6SuWm0c307h32SiGkd9BaeQWlAktfD3KO8/edit?usp=sharing"",""เพชรบูรณ์!I293"")"),70)</f>
        <v>70</v>
      </c>
      <c r="V23" s="97">
        <f ca="1">IFERROR(__xludf.DUMMYFUNCTION("IMPORTRANGE(""https://docs.google.com/spreadsheets/d/1xlcVZWUNn6SuWm0c307h32SiGkd9BaeQWlAktfD3KO8/edit?usp=sharing"",""เพชรบูรณ์!J293"")"),70)</f>
        <v>70</v>
      </c>
      <c r="W23" s="98">
        <f t="shared" ca="1" si="32"/>
        <v>100</v>
      </c>
      <c r="X23" s="97">
        <f ca="1">IFERROR(__xludf.DUMMYFUNCTION("IMPORTRANGE(""https://docs.google.com/spreadsheets/d/1xlcVZWUNn6SuWm0c307h32SiGkd9BaeQWlAktfD3KO8/edit?usp=sharing"",""เพชรบูรณ์!I295"")"),70)</f>
        <v>70</v>
      </c>
      <c r="Y23" s="97">
        <f ca="1">IFERROR(__xludf.DUMMYFUNCTION("IMPORTRANGE(""https://docs.google.com/spreadsheets/d/1xlcVZWUNn6SuWm0c307h32SiGkd9BaeQWlAktfD3KO8/edit?usp=sharing"",""เพชรบูรณ์!J295"")"),70)</f>
        <v>70</v>
      </c>
      <c r="Z23" s="98">
        <f t="shared" ca="1" si="34"/>
        <v>100</v>
      </c>
      <c r="AA23" s="321">
        <f ca="1">IFERROR(__xludf.DUMMYFUNCTION("IMPORTRANGE(""https://docs.google.com/spreadsheets/d/1xlcVZWUNn6SuWm0c307h32SiGkd9BaeQWlAktfD3KO8/edit?usp=sharing"",""เพชรบูรณ์!J296"")"),70)</f>
        <v>70</v>
      </c>
      <c r="AB23" s="322">
        <f t="shared" ca="1" si="35"/>
        <v>100</v>
      </c>
    </row>
    <row r="24" spans="1:28" ht="24" customHeight="1" x14ac:dyDescent="0.3">
      <c r="A24" s="89">
        <v>11</v>
      </c>
      <c r="B24" s="90" t="s">
        <v>50</v>
      </c>
      <c r="C24" s="174">
        <f t="shared" ca="1" si="21"/>
        <v>56120</v>
      </c>
      <c r="D24" s="175">
        <f t="shared" ca="1" si="36"/>
        <v>56120</v>
      </c>
      <c r="E24" s="176">
        <f ca="1">IFERROR(__xludf.DUMMYFUNCTION("IMPORTRANGE(""https://docs.google.com/spreadsheets/d/1-uDff_7J0KD5mKrp0Vvzr7lt3OU09vwQwhkpOPPYv2Y/edit?usp=sharing"",""งบพรบ!DP24"")"),0)</f>
        <v>0</v>
      </c>
      <c r="F24" s="176">
        <f ca="1">IFERROR(__xludf.DUMMYFUNCTION("IMPORTRANGE(""https://docs.google.com/spreadsheets/d/1-uDff_7J0KD5mKrp0Vvzr7lt3OU09vwQwhkpOPPYv2Y/edit?usp=sharing"",""งบพรบ!DQ24"")"),56120)</f>
        <v>56120</v>
      </c>
      <c r="G24" s="176">
        <f ca="1">IFERROR(__xludf.DUMMYFUNCTION("IMPORTRANGE(""https://docs.google.com/spreadsheets/d/1-uDff_7J0KD5mKrp0Vvzr7lt3OU09vwQwhkpOPPYv2Y/edit?usp=sharing"",""งบพรบ!DR24"")"),0)</f>
        <v>0</v>
      </c>
      <c r="H24" s="176">
        <f ca="1">IFERROR(__xludf.DUMMYFUNCTION("IMPORTRANGE(""https://docs.google.com/spreadsheets/d/1-uDff_7J0KD5mKrp0Vvzr7lt3OU09vwQwhkpOPPYv2Y/edit?usp=sharing"",""งบพรบ!DT24"")"),56120)</f>
        <v>56120</v>
      </c>
      <c r="I24" s="176">
        <f ca="1">IFERROR(__xludf.DUMMYFUNCTION("IMPORTRANGE(""https://docs.google.com/spreadsheets/d/1-uDff_7J0KD5mKrp0Vvzr7lt3OU09vwQwhkpOPPYv2Y/edit?usp=sharing"",""งบพรบ!DU24"")"),0)</f>
        <v>0</v>
      </c>
      <c r="J24" s="176">
        <f t="shared" ca="1" si="23"/>
        <v>26210</v>
      </c>
      <c r="K24" s="179">
        <f t="shared" ca="1" si="24"/>
        <v>46.703492516037066</v>
      </c>
      <c r="L24" s="176">
        <f ca="1">IFERROR(__xludf.DUMMYFUNCTION("IMPORTRANGE(""https://docs.google.com/spreadsheets/d/1-uDff_7J0KD5mKrp0Vvzr7lt3OU09vwQwhkpOPPYv2Y/edit?usp=sharing"",""งบพรบ!DV24"")"),26210)</f>
        <v>26210</v>
      </c>
      <c r="M24" s="87">
        <f t="shared" ca="1" si="25"/>
        <v>46.703492516037066</v>
      </c>
      <c r="N24" s="87">
        <f t="shared" ca="1" si="26"/>
        <v>46.703492516037066</v>
      </c>
      <c r="O24" s="86">
        <f ca="1">IFERROR(__xludf.DUMMYFUNCTION("IMPORTRANGE(""https://docs.google.com/spreadsheets/d/1-uDff_7J0KD5mKrp0Vvzr7lt3OU09vwQwhkpOPPYv2Y/edit?usp=sharing"",""งบพรบ!DW24"")"),0)</f>
        <v>0</v>
      </c>
      <c r="P24" s="86">
        <f t="shared" ca="1" si="27"/>
        <v>0</v>
      </c>
      <c r="Q24" s="87">
        <f t="shared" ca="1" si="28"/>
        <v>0</v>
      </c>
      <c r="R24" s="97">
        <f ca="1">IFERROR(__xludf.DUMMYFUNCTION("IMPORTRANGE(""https://docs.google.com/spreadsheets/d/1lOVebEIsI9qjGXl6EX66luk7wiuP2tBaryw-wKvv4e0/edit?usp=sharing"",""แพร่!I292"")"),100)</f>
        <v>100</v>
      </c>
      <c r="S24" s="97">
        <f ca="1">IFERROR(__xludf.DUMMYFUNCTION("IMPORTRANGE(""https://docs.google.com/spreadsheets/d/1lOVebEIsI9qjGXl6EX66luk7wiuP2tBaryw-wKvv4e0/edit?usp=sharing"",""แพร่!J292"")"),0)</f>
        <v>0</v>
      </c>
      <c r="T24" s="98">
        <f t="shared" ca="1" si="30"/>
        <v>0</v>
      </c>
      <c r="U24" s="97">
        <f ca="1">IFERROR(__xludf.DUMMYFUNCTION("IMPORTRANGE(""https://docs.google.com/spreadsheets/d/1lOVebEIsI9qjGXl6EX66luk7wiuP2tBaryw-wKvv4e0/edit?usp=sharing"",""แพร่!I293"")"),10)</f>
        <v>10</v>
      </c>
      <c r="V24" s="97">
        <f ca="1">IFERROR(__xludf.DUMMYFUNCTION("IMPORTRANGE(""https://docs.google.com/spreadsheets/d/1lOVebEIsI9qjGXl6EX66luk7wiuP2tBaryw-wKvv4e0/edit?usp=sharing"",""แพร่!J293"")"),0)</f>
        <v>0</v>
      </c>
      <c r="W24" s="98">
        <f t="shared" ca="1" si="32"/>
        <v>0</v>
      </c>
      <c r="X24" s="97">
        <f ca="1">IFERROR(__xludf.DUMMYFUNCTION("IMPORTRANGE(""https://docs.google.com/spreadsheets/d/1lOVebEIsI9qjGXl6EX66luk7wiuP2tBaryw-wKvv4e0/edit?usp=sharing"",""แพร่!I295"")"),10)</f>
        <v>10</v>
      </c>
      <c r="Y24" s="97">
        <f ca="1">IFERROR(__xludf.DUMMYFUNCTION("IMPORTRANGE(""https://docs.google.com/spreadsheets/d/1lOVebEIsI9qjGXl6EX66luk7wiuP2tBaryw-wKvv4e0/edit?usp=sharing"",""แพร่!J295"")"),0)</f>
        <v>0</v>
      </c>
      <c r="Z24" s="98">
        <f t="shared" ca="1" si="34"/>
        <v>0</v>
      </c>
      <c r="AA24" s="321">
        <f ca="1">IFERROR(__xludf.DUMMYFUNCTION("IMPORTRANGE(""https://docs.google.com/spreadsheets/d/1lOVebEIsI9qjGXl6EX66luk7wiuP2tBaryw-wKvv4e0/edit?usp=sharing"",""แพร่!J296"")"),0)</f>
        <v>0</v>
      </c>
      <c r="AB24" s="322">
        <f t="shared" ca="1" si="35"/>
        <v>0</v>
      </c>
    </row>
    <row r="25" spans="1:28" ht="24" customHeight="1" x14ac:dyDescent="0.3">
      <c r="A25" s="89">
        <v>12</v>
      </c>
      <c r="B25" s="90" t="s">
        <v>51</v>
      </c>
      <c r="C25" s="174">
        <f t="shared" ca="1" si="21"/>
        <v>140120</v>
      </c>
      <c r="D25" s="175">
        <f t="shared" ca="1" si="36"/>
        <v>140120</v>
      </c>
      <c r="E25" s="176">
        <f ca="1">IFERROR(__xludf.DUMMYFUNCTION("IMPORTRANGE(""https://docs.google.com/spreadsheets/d/1-uDff_7J0KD5mKrp0Vvzr7lt3OU09vwQwhkpOPPYv2Y/edit?usp=sharing"",""งบพรบ!DP25"")"),82000)</f>
        <v>82000</v>
      </c>
      <c r="F25" s="176">
        <f ca="1">IFERROR(__xludf.DUMMYFUNCTION("IMPORTRANGE(""https://docs.google.com/spreadsheets/d/1-uDff_7J0KD5mKrp0Vvzr7lt3OU09vwQwhkpOPPYv2Y/edit?usp=sharing"",""งบพรบ!DQ25"")"),58120)</f>
        <v>58120</v>
      </c>
      <c r="G25" s="176">
        <f ca="1">IFERROR(__xludf.DUMMYFUNCTION("IMPORTRANGE(""https://docs.google.com/spreadsheets/d/1-uDff_7J0KD5mKrp0Vvzr7lt3OU09vwQwhkpOPPYv2Y/edit?usp=sharing"",""งบพรบ!DR25"")"),0)</f>
        <v>0</v>
      </c>
      <c r="H25" s="176">
        <f ca="1">IFERROR(__xludf.DUMMYFUNCTION("IMPORTRANGE(""https://docs.google.com/spreadsheets/d/1-uDff_7J0KD5mKrp0Vvzr7lt3OU09vwQwhkpOPPYv2Y/edit?usp=sharing"",""งบพรบ!DT25"")"),140120)</f>
        <v>140120</v>
      </c>
      <c r="I25" s="176">
        <f ca="1">IFERROR(__xludf.DUMMYFUNCTION("IMPORTRANGE(""https://docs.google.com/spreadsheets/d/1-uDff_7J0KD5mKrp0Vvzr7lt3OU09vwQwhkpOPPYv2Y/edit?usp=sharing"",""งบพรบ!DU25"")"),0)</f>
        <v>0</v>
      </c>
      <c r="J25" s="176">
        <f t="shared" ca="1" si="23"/>
        <v>87316.86</v>
      </c>
      <c r="K25" s="179">
        <f t="shared" ca="1" si="24"/>
        <v>62.315772195261204</v>
      </c>
      <c r="L25" s="176">
        <f ca="1">IFERROR(__xludf.DUMMYFUNCTION("IMPORTRANGE(""https://docs.google.com/spreadsheets/d/1-uDff_7J0KD5mKrp0Vvzr7lt3OU09vwQwhkpOPPYv2Y/edit?usp=sharing"",""งบพรบ!DV25"")"),87316.86)</f>
        <v>87316.86</v>
      </c>
      <c r="M25" s="87">
        <f t="shared" ca="1" si="25"/>
        <v>62.315772195261204</v>
      </c>
      <c r="N25" s="87">
        <f t="shared" ca="1" si="26"/>
        <v>62.315772195261204</v>
      </c>
      <c r="O25" s="86">
        <f ca="1">IFERROR(__xludf.DUMMYFUNCTION("IMPORTRANGE(""https://docs.google.com/spreadsheets/d/1-uDff_7J0KD5mKrp0Vvzr7lt3OU09vwQwhkpOPPYv2Y/edit?usp=sharing"",""งบพรบ!DW25"")"),0)</f>
        <v>0</v>
      </c>
      <c r="P25" s="86">
        <f t="shared" ca="1" si="27"/>
        <v>0</v>
      </c>
      <c r="Q25" s="87">
        <f t="shared" ca="1" si="28"/>
        <v>0</v>
      </c>
      <c r="R25" s="97">
        <f ca="1">IFERROR(__xludf.DUMMYFUNCTION("IMPORTRANGE(""https://docs.google.com/spreadsheets/d/1dQrvX0vEcN7Gu0fnZ0B5S90AeR19zth4XlExFBeExMY/edit?usp=sharing"",""แม่ฮ่องสอน!I292"")"),100)</f>
        <v>100</v>
      </c>
      <c r="S25" s="97">
        <f ca="1">IFERROR(__xludf.DUMMYFUNCTION("IMPORTRANGE(""https://docs.google.com/spreadsheets/d/1dQrvX0vEcN7Gu0fnZ0B5S90AeR19zth4XlExFBeExMY/edit?usp=sharing"",""แม่ฮ่องสอน!J292"")"),0)</f>
        <v>0</v>
      </c>
      <c r="T25" s="98">
        <f t="shared" ca="1" si="30"/>
        <v>0</v>
      </c>
      <c r="U25" s="97">
        <f ca="1">IFERROR(__xludf.DUMMYFUNCTION("IMPORTRANGE(""https://docs.google.com/spreadsheets/d/1dQrvX0vEcN7Gu0fnZ0B5S90AeR19zth4XlExFBeExMY/edit?usp=sharing"",""แม่ฮ่องสอน!I293"")"),10)</f>
        <v>10</v>
      </c>
      <c r="V25" s="97">
        <f ca="1">IFERROR(__xludf.DUMMYFUNCTION("IMPORTRANGE(""https://docs.google.com/spreadsheets/d/1dQrvX0vEcN7Gu0fnZ0B5S90AeR19zth4XlExFBeExMY/edit?usp=sharing"",""แม่ฮ่องสอน!J293"")"),0)</f>
        <v>0</v>
      </c>
      <c r="W25" s="98">
        <f t="shared" ca="1" si="32"/>
        <v>0</v>
      </c>
      <c r="X25" s="97">
        <f ca="1">IFERROR(__xludf.DUMMYFUNCTION("IMPORTRANGE(""https://docs.google.com/spreadsheets/d/1dQrvX0vEcN7Gu0fnZ0B5S90AeR19zth4XlExFBeExMY/edit?usp=sharing"",""แม่ฮ่องสอน!I295"")"),10)</f>
        <v>10</v>
      </c>
      <c r="Y25" s="97">
        <f ca="1">IFERROR(__xludf.DUMMYFUNCTION("IMPORTRANGE(""https://docs.google.com/spreadsheets/d/1dQrvX0vEcN7Gu0fnZ0B5S90AeR19zth4XlExFBeExMY/edit?usp=sharing"",""แม่ฮ่องสอน!J295"")"),0)</f>
        <v>0</v>
      </c>
      <c r="Z25" s="98">
        <f t="shared" ca="1" si="34"/>
        <v>0</v>
      </c>
      <c r="AA25" s="321">
        <f ca="1">IFERROR(__xludf.DUMMYFUNCTION("IMPORTRANGE(""https://docs.google.com/spreadsheets/d/1dQrvX0vEcN7Gu0fnZ0B5S90AeR19zth4XlExFBeExMY/edit?usp=sharing"",""แม่ฮ่องสอน!J296"")"),0)</f>
        <v>0</v>
      </c>
      <c r="AB25" s="322">
        <f t="shared" ca="1" si="35"/>
        <v>0</v>
      </c>
    </row>
    <row r="26" spans="1:28" ht="24" customHeight="1" x14ac:dyDescent="0.3">
      <c r="A26" s="89">
        <v>13</v>
      </c>
      <c r="B26" s="90" t="s">
        <v>52</v>
      </c>
      <c r="C26" s="174">
        <f t="shared" ca="1" si="21"/>
        <v>85120</v>
      </c>
      <c r="D26" s="175">
        <f t="shared" ca="1" si="36"/>
        <v>85120</v>
      </c>
      <c r="E26" s="176">
        <f ca="1">IFERROR(__xludf.DUMMYFUNCTION("IMPORTRANGE(""https://docs.google.com/spreadsheets/d/1-uDff_7J0KD5mKrp0Vvzr7lt3OU09vwQwhkpOPPYv2Y/edit?usp=sharing"",""งบพรบ!DP26"")"),0)</f>
        <v>0</v>
      </c>
      <c r="F26" s="176">
        <f ca="1">IFERROR(__xludf.DUMMYFUNCTION("IMPORTRANGE(""https://docs.google.com/spreadsheets/d/1-uDff_7J0KD5mKrp0Vvzr7lt3OU09vwQwhkpOPPYv2Y/edit?usp=sharing"",""งบพรบ!DQ26"")"),85120)</f>
        <v>85120</v>
      </c>
      <c r="G26" s="176">
        <f ca="1">IFERROR(__xludf.DUMMYFUNCTION("IMPORTRANGE(""https://docs.google.com/spreadsheets/d/1-uDff_7J0KD5mKrp0Vvzr7lt3OU09vwQwhkpOPPYv2Y/edit?usp=sharing"",""งบพรบ!DR26"")"),0)</f>
        <v>0</v>
      </c>
      <c r="H26" s="176">
        <f ca="1">IFERROR(__xludf.DUMMYFUNCTION("IMPORTRANGE(""https://docs.google.com/spreadsheets/d/1-uDff_7J0KD5mKrp0Vvzr7lt3OU09vwQwhkpOPPYv2Y/edit?usp=sharing"",""งบพรบ!DT26"")"),85120)</f>
        <v>85120</v>
      </c>
      <c r="I26" s="176">
        <f ca="1">IFERROR(__xludf.DUMMYFUNCTION("IMPORTRANGE(""https://docs.google.com/spreadsheets/d/1-uDff_7J0KD5mKrp0Vvzr7lt3OU09vwQwhkpOPPYv2Y/edit?usp=sharing"",""งบพรบ!DU26"")"),0)</f>
        <v>0</v>
      </c>
      <c r="J26" s="176">
        <f t="shared" ca="1" si="23"/>
        <v>62480</v>
      </c>
      <c r="K26" s="179">
        <f t="shared" ca="1" si="24"/>
        <v>73.402255639097746</v>
      </c>
      <c r="L26" s="176">
        <f ca="1">IFERROR(__xludf.DUMMYFUNCTION("IMPORTRANGE(""https://docs.google.com/spreadsheets/d/1-uDff_7J0KD5mKrp0Vvzr7lt3OU09vwQwhkpOPPYv2Y/edit?usp=sharing"",""งบพรบ!DV26"")"),62480)</f>
        <v>62480</v>
      </c>
      <c r="M26" s="87">
        <f t="shared" ca="1" si="25"/>
        <v>73.402255639097746</v>
      </c>
      <c r="N26" s="87">
        <f t="shared" ca="1" si="26"/>
        <v>73.402255639097746</v>
      </c>
      <c r="O26" s="86">
        <f ca="1">IFERROR(__xludf.DUMMYFUNCTION("IMPORTRANGE(""https://docs.google.com/spreadsheets/d/1-uDff_7J0KD5mKrp0Vvzr7lt3OU09vwQwhkpOPPYv2Y/edit?usp=sharing"",""งบพรบ!DW26"")"),0)</f>
        <v>0</v>
      </c>
      <c r="P26" s="86">
        <f t="shared" ca="1" si="27"/>
        <v>0</v>
      </c>
      <c r="Q26" s="87">
        <f t="shared" ca="1" si="28"/>
        <v>0</v>
      </c>
      <c r="R26" s="97">
        <f ca="1">IFERROR(__xludf.DUMMYFUNCTION("IMPORTRANGE(""https://docs.google.com/spreadsheets/d/1DY4XTNNwjluuxqdfdn6qvOSlMRrZqUtmYcZR0ttFiG4/edit?usp=sharing"",""ลำปาง!I292"")"),300)</f>
        <v>300</v>
      </c>
      <c r="S26" s="97">
        <f ca="1">IFERROR(__xludf.DUMMYFUNCTION("IMPORTRANGE(""https://docs.google.com/spreadsheets/d/1DY4XTNNwjluuxqdfdn6qvOSlMRrZqUtmYcZR0ttFiG4/edit?usp=sharing"",""ลำปาง!J292"")"),300)</f>
        <v>300</v>
      </c>
      <c r="T26" s="98">
        <f t="shared" ca="1" si="30"/>
        <v>100</v>
      </c>
      <c r="U26" s="97">
        <f ca="1">IFERROR(__xludf.DUMMYFUNCTION("IMPORTRANGE(""https://docs.google.com/spreadsheets/d/1DY4XTNNwjluuxqdfdn6qvOSlMRrZqUtmYcZR0ttFiG4/edit?usp=sharing"",""ลำปาง!I293"")"),30)</f>
        <v>30</v>
      </c>
      <c r="V26" s="97">
        <f ca="1">IFERROR(__xludf.DUMMYFUNCTION("IMPORTRANGE(""https://docs.google.com/spreadsheets/d/1DY4XTNNwjluuxqdfdn6qvOSlMRrZqUtmYcZR0ttFiG4/edit?usp=sharing"",""ลำปาง!J293"")"),30)</f>
        <v>30</v>
      </c>
      <c r="W26" s="98">
        <f t="shared" ca="1" si="32"/>
        <v>100</v>
      </c>
      <c r="X26" s="97">
        <f ca="1">IFERROR(__xludf.DUMMYFUNCTION("IMPORTRANGE(""https://docs.google.com/spreadsheets/d/1DY4XTNNwjluuxqdfdn6qvOSlMRrZqUtmYcZR0ttFiG4/edit?usp=sharing"",""ลำปาง!I295"")"),30)</f>
        <v>30</v>
      </c>
      <c r="Y26" s="97">
        <f ca="1">IFERROR(__xludf.DUMMYFUNCTION("IMPORTRANGE(""https://docs.google.com/spreadsheets/d/1DY4XTNNwjluuxqdfdn6qvOSlMRrZqUtmYcZR0ttFiG4/edit?usp=sharing"",""ลำปาง!J295"")"),30)</f>
        <v>30</v>
      </c>
      <c r="Z26" s="98">
        <f t="shared" ca="1" si="34"/>
        <v>100</v>
      </c>
      <c r="AA26" s="321">
        <f ca="1">IFERROR(__xludf.DUMMYFUNCTION("IMPORTRANGE(""https://docs.google.com/spreadsheets/d/1DY4XTNNwjluuxqdfdn6qvOSlMRrZqUtmYcZR0ttFiG4/edit?usp=sharing"",""ลำปาง!J296"")"),30)</f>
        <v>30</v>
      </c>
      <c r="AB26" s="322">
        <f t="shared" ca="1" si="35"/>
        <v>100</v>
      </c>
    </row>
    <row r="27" spans="1:28" ht="24" customHeight="1" x14ac:dyDescent="0.3">
      <c r="A27" s="89">
        <v>14</v>
      </c>
      <c r="B27" s="90" t="s">
        <v>53</v>
      </c>
      <c r="C27" s="174">
        <f t="shared" ca="1" si="21"/>
        <v>56120</v>
      </c>
      <c r="D27" s="175">
        <f t="shared" ca="1" si="36"/>
        <v>56120</v>
      </c>
      <c r="E27" s="176">
        <f ca="1">IFERROR(__xludf.DUMMYFUNCTION("IMPORTRANGE(""https://docs.google.com/spreadsheets/d/1-uDff_7J0KD5mKrp0Vvzr7lt3OU09vwQwhkpOPPYv2Y/edit?usp=sharing"",""งบพรบ!DP27"")"),0)</f>
        <v>0</v>
      </c>
      <c r="F27" s="176">
        <f ca="1">IFERROR(__xludf.DUMMYFUNCTION("IMPORTRANGE(""https://docs.google.com/spreadsheets/d/1-uDff_7J0KD5mKrp0Vvzr7lt3OU09vwQwhkpOPPYv2Y/edit?usp=sharing"",""งบพรบ!DQ27"")"),56120)</f>
        <v>56120</v>
      </c>
      <c r="G27" s="176">
        <f ca="1">IFERROR(__xludf.DUMMYFUNCTION("IMPORTRANGE(""https://docs.google.com/spreadsheets/d/1-uDff_7J0KD5mKrp0Vvzr7lt3OU09vwQwhkpOPPYv2Y/edit?usp=sharing"",""งบพรบ!DR27"")"),0)</f>
        <v>0</v>
      </c>
      <c r="H27" s="176">
        <f ca="1">IFERROR(__xludf.DUMMYFUNCTION("IMPORTRANGE(""https://docs.google.com/spreadsheets/d/1-uDff_7J0KD5mKrp0Vvzr7lt3OU09vwQwhkpOPPYv2Y/edit?usp=sharing"",""งบพรบ!DT27"")"),56120)</f>
        <v>56120</v>
      </c>
      <c r="I27" s="176">
        <f ca="1">IFERROR(__xludf.DUMMYFUNCTION("IMPORTRANGE(""https://docs.google.com/spreadsheets/d/1-uDff_7J0KD5mKrp0Vvzr7lt3OU09vwQwhkpOPPYv2Y/edit?usp=sharing"",""งบพรบ!DU27"")"),0)</f>
        <v>0</v>
      </c>
      <c r="J27" s="176">
        <f t="shared" ca="1" si="23"/>
        <v>27180</v>
      </c>
      <c r="K27" s="179">
        <f t="shared" ca="1" si="24"/>
        <v>48.43193157519601</v>
      </c>
      <c r="L27" s="176">
        <f ca="1">IFERROR(__xludf.DUMMYFUNCTION("IMPORTRANGE(""https://docs.google.com/spreadsheets/d/1-uDff_7J0KD5mKrp0Vvzr7lt3OU09vwQwhkpOPPYv2Y/edit?usp=sharing"",""งบพรบ!DV27"")"),27180)</f>
        <v>27180</v>
      </c>
      <c r="M27" s="87">
        <f t="shared" ca="1" si="25"/>
        <v>48.43193157519601</v>
      </c>
      <c r="N27" s="87">
        <f t="shared" ca="1" si="26"/>
        <v>48.43193157519601</v>
      </c>
      <c r="O27" s="86">
        <f ca="1">IFERROR(__xludf.DUMMYFUNCTION("IMPORTRANGE(""https://docs.google.com/spreadsheets/d/1-uDff_7J0KD5mKrp0Vvzr7lt3OU09vwQwhkpOPPYv2Y/edit?usp=sharing"",""งบพรบ!DW27"")"),0)</f>
        <v>0</v>
      </c>
      <c r="P27" s="86">
        <f t="shared" ca="1" si="27"/>
        <v>0</v>
      </c>
      <c r="Q27" s="87">
        <f t="shared" ca="1" si="28"/>
        <v>0</v>
      </c>
      <c r="R27" s="97">
        <f ca="1">IFERROR(__xludf.DUMMYFUNCTION("IMPORTRANGE(""https://docs.google.com/spreadsheets/d/1ICwG78r0OFT8biBlxnBF8r7she7gNSzOvJ958PWT09c/edit?usp=sharing"",""ลำพูน!I292"")"),100)</f>
        <v>100</v>
      </c>
      <c r="S27" s="97">
        <f ca="1">IFERROR(__xludf.DUMMYFUNCTION("IMPORTRANGE(""https://docs.google.com/spreadsheets/d/1ICwG78r0OFT8biBlxnBF8r7she7gNSzOvJ958PWT09c/edit?usp=sharing"",""ลำพูน!J292"")"),0)</f>
        <v>0</v>
      </c>
      <c r="T27" s="98">
        <f t="shared" ca="1" si="30"/>
        <v>0</v>
      </c>
      <c r="U27" s="97">
        <f ca="1">IFERROR(__xludf.DUMMYFUNCTION("IMPORTRANGE(""https://docs.google.com/spreadsheets/d/1ICwG78r0OFT8biBlxnBF8r7she7gNSzOvJ958PWT09c/edit?usp=sharing"",""ลำพูน!I293"")"),10)</f>
        <v>10</v>
      </c>
      <c r="V27" s="97">
        <f ca="1">IFERROR(__xludf.DUMMYFUNCTION("IMPORTRANGE(""https://docs.google.com/spreadsheets/d/1ICwG78r0OFT8biBlxnBF8r7she7gNSzOvJ958PWT09c/edit?usp=sharing"",""ลำพูน!J293"")"),0)</f>
        <v>0</v>
      </c>
      <c r="W27" s="98">
        <f t="shared" ca="1" si="32"/>
        <v>0</v>
      </c>
      <c r="X27" s="97">
        <f ca="1">IFERROR(__xludf.DUMMYFUNCTION("IMPORTRANGE(""https://docs.google.com/spreadsheets/d/1ICwG78r0OFT8biBlxnBF8r7she7gNSzOvJ958PWT09c/edit?usp=sharing"",""ลำพูน!I295"")"),10)</f>
        <v>10</v>
      </c>
      <c r="Y27" s="97">
        <f ca="1">IFERROR(__xludf.DUMMYFUNCTION("IMPORTRANGE(""https://docs.google.com/spreadsheets/d/1ICwG78r0OFT8biBlxnBF8r7she7gNSzOvJ958PWT09c/edit?usp=sharing"",""ลำพูน!J295"")"),0)</f>
        <v>0</v>
      </c>
      <c r="Z27" s="98">
        <f t="shared" ca="1" si="34"/>
        <v>0</v>
      </c>
      <c r="AA27" s="321">
        <f ca="1">IFERROR(__xludf.DUMMYFUNCTION("IMPORTRANGE(""https://docs.google.com/spreadsheets/d/1ICwG78r0OFT8biBlxnBF8r7she7gNSzOvJ958PWT09c/edit?usp=sharing"",""ลำพูน!J296"")"),0)</f>
        <v>0</v>
      </c>
      <c r="AB27" s="322">
        <f t="shared" ca="1" si="35"/>
        <v>0</v>
      </c>
    </row>
    <row r="28" spans="1:28" ht="24" customHeight="1" x14ac:dyDescent="0.3">
      <c r="A28" s="89">
        <v>15</v>
      </c>
      <c r="B28" s="90" t="s">
        <v>54</v>
      </c>
      <c r="C28" s="174">
        <f t="shared" ca="1" si="21"/>
        <v>155220</v>
      </c>
      <c r="D28" s="175">
        <f t="shared" ca="1" si="36"/>
        <v>155220</v>
      </c>
      <c r="E28" s="176">
        <f ca="1">IFERROR(__xludf.DUMMYFUNCTION("IMPORTRANGE(""https://docs.google.com/spreadsheets/d/1-uDff_7J0KD5mKrp0Vvzr7lt3OU09vwQwhkpOPPYv2Y/edit?usp=sharing"",""งบพรบ!DP28"")"),84100)</f>
        <v>84100</v>
      </c>
      <c r="F28" s="176">
        <f ca="1">IFERROR(__xludf.DUMMYFUNCTION("IMPORTRANGE(""https://docs.google.com/spreadsheets/d/1-uDff_7J0KD5mKrp0Vvzr7lt3OU09vwQwhkpOPPYv2Y/edit?usp=sharing"",""งบพรบ!DQ28"")"),71120)</f>
        <v>71120</v>
      </c>
      <c r="G28" s="176">
        <f ca="1">IFERROR(__xludf.DUMMYFUNCTION("IMPORTRANGE(""https://docs.google.com/spreadsheets/d/1-uDff_7J0KD5mKrp0Vvzr7lt3OU09vwQwhkpOPPYv2Y/edit?usp=sharing"",""งบพรบ!DR28"")"),0)</f>
        <v>0</v>
      </c>
      <c r="H28" s="176">
        <f ca="1">IFERROR(__xludf.DUMMYFUNCTION("IMPORTRANGE(""https://docs.google.com/spreadsheets/d/1-uDff_7J0KD5mKrp0Vvzr7lt3OU09vwQwhkpOPPYv2Y/edit?usp=sharing"",""งบพรบ!DT28"")"),155220)</f>
        <v>155220</v>
      </c>
      <c r="I28" s="176">
        <f ca="1">IFERROR(__xludf.DUMMYFUNCTION("IMPORTRANGE(""https://docs.google.com/spreadsheets/d/1-uDff_7J0KD5mKrp0Vvzr7lt3OU09vwQwhkpOPPYv2Y/edit?usp=sharing"",""งบพรบ!DU28"")"),0)</f>
        <v>0</v>
      </c>
      <c r="J28" s="176">
        <f t="shared" ca="1" si="23"/>
        <v>49879</v>
      </c>
      <c r="K28" s="179">
        <f t="shared" ca="1" si="24"/>
        <v>32.134389898208994</v>
      </c>
      <c r="L28" s="176">
        <f ca="1">IFERROR(__xludf.DUMMYFUNCTION("IMPORTRANGE(""https://docs.google.com/spreadsheets/d/1-uDff_7J0KD5mKrp0Vvzr7lt3OU09vwQwhkpOPPYv2Y/edit?usp=sharing"",""งบพรบ!DV28"")"),49879)</f>
        <v>49879</v>
      </c>
      <c r="M28" s="87">
        <f t="shared" ca="1" si="25"/>
        <v>32.134389898208994</v>
      </c>
      <c r="N28" s="87">
        <f t="shared" ca="1" si="26"/>
        <v>32.134389898208994</v>
      </c>
      <c r="O28" s="86">
        <f ca="1">IFERROR(__xludf.DUMMYFUNCTION("IMPORTRANGE(""https://docs.google.com/spreadsheets/d/1-uDff_7J0KD5mKrp0Vvzr7lt3OU09vwQwhkpOPPYv2Y/edit?usp=sharing"",""งบพรบ!DW28"")"),0)</f>
        <v>0</v>
      </c>
      <c r="P28" s="86">
        <f t="shared" ca="1" si="27"/>
        <v>0</v>
      </c>
      <c r="Q28" s="87">
        <f t="shared" ca="1" si="28"/>
        <v>0</v>
      </c>
      <c r="R28" s="97">
        <f ca="1">IFERROR(__xludf.DUMMYFUNCTION("IMPORTRANGE(""https://docs.google.com/spreadsheets/d/1B0f2xJpZUC6Z0xXnqKlZtEPzsf6L84eP1r1Q15seqRM/edit?usp=sharing"",""สุโขทัย!I292"")"),200)</f>
        <v>200</v>
      </c>
      <c r="S28" s="97">
        <f ca="1">IFERROR(__xludf.DUMMYFUNCTION("IMPORTRANGE(""https://docs.google.com/spreadsheets/d/1B0f2xJpZUC6Z0xXnqKlZtEPzsf6L84eP1r1Q15seqRM/edit?usp=sharing"",""สุโขทัย!J292"")"),0)</f>
        <v>0</v>
      </c>
      <c r="T28" s="98">
        <f t="shared" ca="1" si="30"/>
        <v>0</v>
      </c>
      <c r="U28" s="97">
        <f ca="1">IFERROR(__xludf.DUMMYFUNCTION("IMPORTRANGE(""https://docs.google.com/spreadsheets/d/1B0f2xJpZUC6Z0xXnqKlZtEPzsf6L84eP1r1Q15seqRM/edit?usp=sharing"",""สุโขทัย!I293"")"),20)</f>
        <v>20</v>
      </c>
      <c r="V28" s="97">
        <f ca="1">IFERROR(__xludf.DUMMYFUNCTION("IMPORTRANGE(""https://docs.google.com/spreadsheets/d/1B0f2xJpZUC6Z0xXnqKlZtEPzsf6L84eP1r1Q15seqRM/edit?usp=sharing"",""สุโขทัย!J293"")"),0)</f>
        <v>0</v>
      </c>
      <c r="W28" s="98">
        <f t="shared" ca="1" si="32"/>
        <v>0</v>
      </c>
      <c r="X28" s="97">
        <f ca="1">IFERROR(__xludf.DUMMYFUNCTION("IMPORTRANGE(""https://docs.google.com/spreadsheets/d/1B0f2xJpZUC6Z0xXnqKlZtEPzsf6L84eP1r1Q15seqRM/edit?usp=sharing"",""สุโขทัย!I295"")"),20)</f>
        <v>20</v>
      </c>
      <c r="Y28" s="97">
        <f ca="1">IFERROR(__xludf.DUMMYFUNCTION("IMPORTRANGE(""https://docs.google.com/spreadsheets/d/1B0f2xJpZUC6Z0xXnqKlZtEPzsf6L84eP1r1Q15seqRM/edit?usp=sharing"",""สุโขทัย!J295"")"),0)</f>
        <v>0</v>
      </c>
      <c r="Z28" s="98">
        <f t="shared" ca="1" si="34"/>
        <v>0</v>
      </c>
      <c r="AA28" s="321">
        <f ca="1">IFERROR(__xludf.DUMMYFUNCTION("IMPORTRANGE(""https://docs.google.com/spreadsheets/d/1B0f2xJpZUC6Z0xXnqKlZtEPzsf6L84eP1r1Q15seqRM/edit?usp=sharing"",""สุโขทัย!J296"")"),0)</f>
        <v>0</v>
      </c>
      <c r="AB28" s="322">
        <f t="shared" ca="1" si="35"/>
        <v>0</v>
      </c>
    </row>
    <row r="29" spans="1:28" ht="24" customHeight="1" x14ac:dyDescent="0.3">
      <c r="A29" s="89">
        <v>16</v>
      </c>
      <c r="B29" s="90" t="s">
        <v>55</v>
      </c>
      <c r="C29" s="174">
        <f t="shared" ca="1" si="21"/>
        <v>71120</v>
      </c>
      <c r="D29" s="175">
        <f t="shared" ca="1" si="36"/>
        <v>71120</v>
      </c>
      <c r="E29" s="176">
        <f ca="1">IFERROR(__xludf.DUMMYFUNCTION("IMPORTRANGE(""https://docs.google.com/spreadsheets/d/1-uDff_7J0KD5mKrp0Vvzr7lt3OU09vwQwhkpOPPYv2Y/edit?usp=sharing"",""งบพรบ!DP29"")"),0)</f>
        <v>0</v>
      </c>
      <c r="F29" s="176">
        <f ca="1">IFERROR(__xludf.DUMMYFUNCTION("IMPORTRANGE(""https://docs.google.com/spreadsheets/d/1-uDff_7J0KD5mKrp0Vvzr7lt3OU09vwQwhkpOPPYv2Y/edit?usp=sharing"",""งบพรบ!DQ29"")"),71120)</f>
        <v>71120</v>
      </c>
      <c r="G29" s="176">
        <f ca="1">IFERROR(__xludf.DUMMYFUNCTION("IMPORTRANGE(""https://docs.google.com/spreadsheets/d/1-uDff_7J0KD5mKrp0Vvzr7lt3OU09vwQwhkpOPPYv2Y/edit?usp=sharing"",""งบพรบ!DR29"")"),0)</f>
        <v>0</v>
      </c>
      <c r="H29" s="176">
        <f ca="1">IFERROR(__xludf.DUMMYFUNCTION("IMPORTRANGE(""https://docs.google.com/spreadsheets/d/1-uDff_7J0KD5mKrp0Vvzr7lt3OU09vwQwhkpOPPYv2Y/edit?usp=sharing"",""งบพรบ!DT29"")"),71120)</f>
        <v>71120</v>
      </c>
      <c r="I29" s="176">
        <f ca="1">IFERROR(__xludf.DUMMYFUNCTION("IMPORTRANGE(""https://docs.google.com/spreadsheets/d/1-uDff_7J0KD5mKrp0Vvzr7lt3OU09vwQwhkpOPPYv2Y/edit?usp=sharing"",""งบพรบ!DU29"")"),0)</f>
        <v>0</v>
      </c>
      <c r="J29" s="176">
        <f t="shared" ca="1" si="23"/>
        <v>4130</v>
      </c>
      <c r="K29" s="179">
        <f t="shared" ca="1" si="24"/>
        <v>5.8070866141732287</v>
      </c>
      <c r="L29" s="176">
        <f ca="1">IFERROR(__xludf.DUMMYFUNCTION("IMPORTRANGE(""https://docs.google.com/spreadsheets/d/1-uDff_7J0KD5mKrp0Vvzr7lt3OU09vwQwhkpOPPYv2Y/edit?usp=sharing"",""งบพรบ!DV29"")"),4130)</f>
        <v>4130</v>
      </c>
      <c r="M29" s="87">
        <f t="shared" ca="1" si="25"/>
        <v>5.8070866141732287</v>
      </c>
      <c r="N29" s="87">
        <f t="shared" ca="1" si="26"/>
        <v>5.8070866141732287</v>
      </c>
      <c r="O29" s="86">
        <f ca="1">IFERROR(__xludf.DUMMYFUNCTION("IMPORTRANGE(""https://docs.google.com/spreadsheets/d/1-uDff_7J0KD5mKrp0Vvzr7lt3OU09vwQwhkpOPPYv2Y/edit?usp=sharing"",""งบพรบ!DW29"")"),0)</f>
        <v>0</v>
      </c>
      <c r="P29" s="86">
        <f t="shared" ca="1" si="27"/>
        <v>0</v>
      </c>
      <c r="Q29" s="87">
        <f t="shared" ca="1" si="28"/>
        <v>0</v>
      </c>
      <c r="R29" s="97">
        <f ca="1">IFERROR(__xludf.DUMMYFUNCTION("IMPORTRANGE(""https://docs.google.com/spreadsheets/d/1v0b9pFQCsKUVExMei7AgY2yQkdeNQvtOssygGsXbiKo/edit?usp=sharing"",""อุตรดิตถ์!I292"")"),200)</f>
        <v>200</v>
      </c>
      <c r="S29" s="97">
        <f ca="1">IFERROR(__xludf.DUMMYFUNCTION("IMPORTRANGE(""https://docs.google.com/spreadsheets/d/1v0b9pFQCsKUVExMei7AgY2yQkdeNQvtOssygGsXbiKo/edit?usp=sharing"",""อุตรดิตถ์!J292"")"),0)</f>
        <v>0</v>
      </c>
      <c r="T29" s="98">
        <f t="shared" ca="1" si="30"/>
        <v>0</v>
      </c>
      <c r="U29" s="97">
        <f ca="1">IFERROR(__xludf.DUMMYFUNCTION("IMPORTRANGE(""https://docs.google.com/spreadsheets/d/1v0b9pFQCsKUVExMei7AgY2yQkdeNQvtOssygGsXbiKo/edit?usp=sharing"",""อุตรดิตถ์!I293"")"),20)</f>
        <v>20</v>
      </c>
      <c r="V29" s="97">
        <f ca="1">IFERROR(__xludf.DUMMYFUNCTION("IMPORTRANGE(""https://docs.google.com/spreadsheets/d/1v0b9pFQCsKUVExMei7AgY2yQkdeNQvtOssygGsXbiKo/edit?usp=sharing"",""อุตรดิตถ์!J293"")"),0)</f>
        <v>0</v>
      </c>
      <c r="W29" s="98">
        <f t="shared" ca="1" si="32"/>
        <v>0</v>
      </c>
      <c r="X29" s="97">
        <f ca="1">IFERROR(__xludf.DUMMYFUNCTION("IMPORTRANGE(""https://docs.google.com/spreadsheets/d/1v0b9pFQCsKUVExMei7AgY2yQkdeNQvtOssygGsXbiKo/edit?usp=sharing"",""อุตรดิตถ์!I295"")"),20)</f>
        <v>20</v>
      </c>
      <c r="Y29" s="97">
        <f ca="1">IFERROR(__xludf.DUMMYFUNCTION("IMPORTRANGE(""https://docs.google.com/spreadsheets/d/1v0b9pFQCsKUVExMei7AgY2yQkdeNQvtOssygGsXbiKo/edit?usp=sharing"",""อุตรดิตถ์!J295"")"),0)</f>
        <v>0</v>
      </c>
      <c r="Z29" s="98">
        <f t="shared" ca="1" si="34"/>
        <v>0</v>
      </c>
      <c r="AA29" s="321">
        <f ca="1">IFERROR(__xludf.DUMMYFUNCTION("IMPORTRANGE(""https://docs.google.com/spreadsheets/d/1v0b9pFQCsKUVExMei7AgY2yQkdeNQvtOssygGsXbiKo/edit?usp=sharing"",""อุตรดิตถ์!J296"")"),0)</f>
        <v>0</v>
      </c>
      <c r="AB29" s="322">
        <f t="shared" ca="1" si="35"/>
        <v>0</v>
      </c>
    </row>
    <row r="30" spans="1:28" ht="24" customHeight="1" x14ac:dyDescent="0.3">
      <c r="A30" s="100">
        <v>17</v>
      </c>
      <c r="B30" s="101" t="s">
        <v>56</v>
      </c>
      <c r="C30" s="182">
        <f t="shared" ca="1" si="21"/>
        <v>100120</v>
      </c>
      <c r="D30" s="183">
        <f t="shared" ca="1" si="36"/>
        <v>100120</v>
      </c>
      <c r="E30" s="184">
        <f ca="1">IFERROR(__xludf.DUMMYFUNCTION("IMPORTRANGE(""https://docs.google.com/spreadsheets/d/1-uDff_7J0KD5mKrp0Vvzr7lt3OU09vwQwhkpOPPYv2Y/edit?usp=sharing"",""งบพรบ!DP30"")"),0)</f>
        <v>0</v>
      </c>
      <c r="F30" s="184">
        <f ca="1">IFERROR(__xludf.DUMMYFUNCTION("IMPORTRANGE(""https://docs.google.com/spreadsheets/d/1-uDff_7J0KD5mKrp0Vvzr7lt3OU09vwQwhkpOPPYv2Y/edit?usp=sharing"",""งบพรบ!DQ30"")"),100120)</f>
        <v>100120</v>
      </c>
      <c r="G30" s="184">
        <f ca="1">IFERROR(__xludf.DUMMYFUNCTION("IMPORTRANGE(""https://docs.google.com/spreadsheets/d/1-uDff_7J0KD5mKrp0Vvzr7lt3OU09vwQwhkpOPPYv2Y/edit?usp=sharing"",""งบพรบ!DR30"")"),0)</f>
        <v>0</v>
      </c>
      <c r="H30" s="184">
        <f ca="1">IFERROR(__xludf.DUMMYFUNCTION("IMPORTRANGE(""https://docs.google.com/spreadsheets/d/1-uDff_7J0KD5mKrp0Vvzr7lt3OU09vwQwhkpOPPYv2Y/edit?usp=sharing"",""งบพรบ!DT30"")"),100120)</f>
        <v>100120</v>
      </c>
      <c r="I30" s="184">
        <f ca="1">IFERROR(__xludf.DUMMYFUNCTION("IMPORTRANGE(""https://docs.google.com/spreadsheets/d/1-uDff_7J0KD5mKrp0Vvzr7lt3OU09vwQwhkpOPPYv2Y/edit?usp=sharing"",""งบพรบ!DU30"")"),0)</f>
        <v>0</v>
      </c>
      <c r="J30" s="184">
        <f t="shared" ca="1" si="23"/>
        <v>20120</v>
      </c>
      <c r="K30" s="185">
        <f t="shared" ca="1" si="24"/>
        <v>20.09588493807431</v>
      </c>
      <c r="L30" s="184">
        <f ca="1">IFERROR(__xludf.DUMMYFUNCTION("IMPORTRANGE(""https://docs.google.com/spreadsheets/d/1-uDff_7J0KD5mKrp0Vvzr7lt3OU09vwQwhkpOPPYv2Y/edit?usp=sharing"",""งบพรบ!DV30"")"),20120)</f>
        <v>20120</v>
      </c>
      <c r="M30" s="109">
        <f t="shared" ca="1" si="25"/>
        <v>20.09588493807431</v>
      </c>
      <c r="N30" s="109">
        <f t="shared" ca="1" si="26"/>
        <v>20.09588493807431</v>
      </c>
      <c r="O30" s="108">
        <f ca="1">IFERROR(__xludf.DUMMYFUNCTION("IMPORTRANGE(""https://docs.google.com/spreadsheets/d/1-uDff_7J0KD5mKrp0Vvzr7lt3OU09vwQwhkpOPPYv2Y/edit?usp=sharing"",""งบพรบ!DW30"")"),0)</f>
        <v>0</v>
      </c>
      <c r="P30" s="108">
        <f t="shared" ca="1" si="27"/>
        <v>0</v>
      </c>
      <c r="Q30" s="109">
        <f t="shared" ca="1" si="28"/>
        <v>0</v>
      </c>
      <c r="R30" s="110">
        <f ca="1">IFERROR(__xludf.DUMMYFUNCTION("IMPORTRANGE(""https://docs.google.com/spreadsheets/d/1UsNK1e-WWiCo2PvGqdNfdme4m17_Ezd3J69EeeiQPD0/edit?usp=sharing"",""อุทัยธานี!I292"")"),300)</f>
        <v>300</v>
      </c>
      <c r="S30" s="110">
        <f ca="1">IFERROR(__xludf.DUMMYFUNCTION("IMPORTRANGE(""https://docs.google.com/spreadsheets/d/1UsNK1e-WWiCo2PvGqdNfdme4m17_Ezd3J69EeeiQPD0/edit?usp=sharing"",""อุทัยธานี!J292"")"),300)</f>
        <v>300</v>
      </c>
      <c r="T30" s="111">
        <f t="shared" ca="1" si="30"/>
        <v>100</v>
      </c>
      <c r="U30" s="110">
        <f ca="1">IFERROR(__xludf.DUMMYFUNCTION("IMPORTRANGE(""https://docs.google.com/spreadsheets/d/1UsNK1e-WWiCo2PvGqdNfdme4m17_Ezd3J69EeeiQPD0/edit?usp=sharing"",""อุทัยธานี!I293"")"),30)</f>
        <v>30</v>
      </c>
      <c r="V30" s="110">
        <f ca="1">IFERROR(__xludf.DUMMYFUNCTION("IMPORTRANGE(""https://docs.google.com/spreadsheets/d/1UsNK1e-WWiCo2PvGqdNfdme4m17_Ezd3J69EeeiQPD0/edit?usp=sharing"",""อุทัยธานี!J293"")"),30)</f>
        <v>30</v>
      </c>
      <c r="W30" s="111">
        <f t="shared" ca="1" si="32"/>
        <v>100</v>
      </c>
      <c r="X30" s="110">
        <f ca="1">IFERROR(__xludf.DUMMYFUNCTION("IMPORTRANGE(""https://docs.google.com/spreadsheets/d/1UsNK1e-WWiCo2PvGqdNfdme4m17_Ezd3J69EeeiQPD0/edit?usp=sharing"",""อุทัยธานี!I295"")"),30)</f>
        <v>30</v>
      </c>
      <c r="Y30" s="110">
        <f ca="1">IFERROR(__xludf.DUMMYFUNCTION("IMPORTRANGE(""https://docs.google.com/spreadsheets/d/1UsNK1e-WWiCo2PvGqdNfdme4m17_Ezd3J69EeeiQPD0/edit?usp=sharing"",""อุทัยธานี!J295"")"),30)</f>
        <v>30</v>
      </c>
      <c r="Z30" s="111">
        <f t="shared" ca="1" si="34"/>
        <v>100</v>
      </c>
      <c r="AA30" s="323">
        <f ca="1">IFERROR(__xludf.DUMMYFUNCTION("IMPORTRANGE(""https://docs.google.com/spreadsheets/d/1UsNK1e-WWiCo2PvGqdNfdme4m17_Ezd3J69EeeiQPD0/edit?usp=sharing"",""อุทัยธานี!J296"")"),30)</f>
        <v>30</v>
      </c>
      <c r="AB30" s="324">
        <f t="shared" ca="1" si="35"/>
        <v>100</v>
      </c>
    </row>
    <row r="31" spans="1:28" ht="21" customHeight="1" x14ac:dyDescent="0.3">
      <c r="A31" s="625" t="s">
        <v>57</v>
      </c>
      <c r="B31" s="626"/>
      <c r="C31" s="161">
        <f t="shared" ca="1" si="21"/>
        <v>1104420</v>
      </c>
      <c r="D31" s="161">
        <f t="shared" ref="D31:I31" ca="1" si="37">SUM(D32:D51)</f>
        <v>1104420</v>
      </c>
      <c r="E31" s="161">
        <f t="shared" ca="1" si="37"/>
        <v>520700</v>
      </c>
      <c r="F31" s="161">
        <f t="shared" ca="1" si="37"/>
        <v>583720</v>
      </c>
      <c r="G31" s="161">
        <f t="shared" ca="1" si="37"/>
        <v>0</v>
      </c>
      <c r="H31" s="161">
        <f t="shared" ca="1" si="37"/>
        <v>1104420</v>
      </c>
      <c r="I31" s="161">
        <f t="shared" ca="1" si="37"/>
        <v>0</v>
      </c>
      <c r="J31" s="161">
        <f t="shared" ca="1" si="23"/>
        <v>452621.11</v>
      </c>
      <c r="K31" s="162">
        <f t="shared" ca="1" si="24"/>
        <v>40.982697705583021</v>
      </c>
      <c r="L31" s="161">
        <f ca="1">SUM(L32:L51)</f>
        <v>452621.11</v>
      </c>
      <c r="M31" s="40">
        <f t="shared" ca="1" si="25"/>
        <v>40.982697705583021</v>
      </c>
      <c r="N31" s="40">
        <f t="shared" ca="1" si="26"/>
        <v>40.982697705583021</v>
      </c>
      <c r="O31" s="39">
        <f ca="1">SUM(O32:O51)</f>
        <v>0</v>
      </c>
      <c r="P31" s="39">
        <f t="shared" ca="1" si="27"/>
        <v>0</v>
      </c>
      <c r="Q31" s="40">
        <f t="shared" ca="1" si="28"/>
        <v>0</v>
      </c>
      <c r="R31" s="71">
        <f t="shared" ref="R31:S31" ca="1" si="38">SUM(R32:R51)</f>
        <v>2300</v>
      </c>
      <c r="S31" s="71">
        <f t="shared" ca="1" si="38"/>
        <v>300</v>
      </c>
      <c r="T31" s="114">
        <f t="shared" ca="1" si="30"/>
        <v>13.043478260869565</v>
      </c>
      <c r="U31" s="71">
        <f t="shared" ref="U31:V31" ca="1" si="39">SUM(U32:U51)</f>
        <v>230</v>
      </c>
      <c r="V31" s="71">
        <f t="shared" ca="1" si="39"/>
        <v>30</v>
      </c>
      <c r="W31" s="114">
        <f t="shared" ca="1" si="32"/>
        <v>13.043478260869565</v>
      </c>
      <c r="X31" s="71">
        <f t="shared" ref="X31:Y31" ca="1" si="40">SUM(X32:X51)</f>
        <v>230</v>
      </c>
      <c r="Y31" s="71">
        <f t="shared" ca="1" si="40"/>
        <v>30</v>
      </c>
      <c r="Z31" s="114">
        <f t="shared" ca="1" si="34"/>
        <v>13.043478260869565</v>
      </c>
      <c r="AA31" s="325">
        <f ca="1">SUM(AA32:AA51)</f>
        <v>30</v>
      </c>
      <c r="AB31" s="326">
        <f t="shared" ca="1" si="35"/>
        <v>13.043478260869565</v>
      </c>
    </row>
    <row r="32" spans="1:28" ht="21" customHeight="1" x14ac:dyDescent="0.3">
      <c r="A32" s="77">
        <v>1</v>
      </c>
      <c r="B32" s="78" t="s">
        <v>58</v>
      </c>
      <c r="C32" s="174">
        <f t="shared" ca="1" si="21"/>
        <v>156420</v>
      </c>
      <c r="D32" s="175">
        <f t="shared" ref="D32:D51" ca="1" si="41">+E32+F32</f>
        <v>156420</v>
      </c>
      <c r="E32" s="176">
        <f ca="1">IFERROR(__xludf.DUMMYFUNCTION("IMPORTRANGE(""https://docs.google.com/spreadsheets/d/1-uDff_7J0KD5mKrp0Vvzr7lt3OU09vwQwhkpOPPYv2Y/edit?usp=sharing"",""งบพรบ!DP32"")"),85300)</f>
        <v>85300</v>
      </c>
      <c r="F32" s="176">
        <f ca="1">IFERROR(__xludf.DUMMYFUNCTION("IMPORTRANGE(""https://docs.google.com/spreadsheets/d/1-uDff_7J0KD5mKrp0Vvzr7lt3OU09vwQwhkpOPPYv2Y/edit?usp=sharing"",""งบพรบ!DQ32"")"),71120)</f>
        <v>71120</v>
      </c>
      <c r="G32" s="177">
        <f ca="1">IFERROR(__xludf.DUMMYFUNCTION("IMPORTRANGE(""https://docs.google.com/spreadsheets/d/1-uDff_7J0KD5mKrp0Vvzr7lt3OU09vwQwhkpOPPYv2Y/edit?usp=sharing"",""งบพรบ!DR32"")"),0)</f>
        <v>0</v>
      </c>
      <c r="H32" s="177">
        <f ca="1">IFERROR(__xludf.DUMMYFUNCTION("IMPORTRANGE(""https://docs.google.com/spreadsheets/d/1-uDff_7J0KD5mKrp0Vvzr7lt3OU09vwQwhkpOPPYv2Y/edit?usp=sharing"",""งบพรบ!DT32"")"),156420)</f>
        <v>156420</v>
      </c>
      <c r="I32" s="177">
        <f ca="1">IFERROR(__xludf.DUMMYFUNCTION("IMPORTRANGE(""https://docs.google.com/spreadsheets/d/1-uDff_7J0KD5mKrp0Vvzr7lt3OU09vwQwhkpOPPYv2Y/edit?usp=sharing"",""งบพรบ!DU32"")"),0)</f>
        <v>0</v>
      </c>
      <c r="J32" s="177">
        <f t="shared" ca="1" si="23"/>
        <v>73871.259999999995</v>
      </c>
      <c r="K32" s="178">
        <f t="shared" ca="1" si="24"/>
        <v>47.226224267996415</v>
      </c>
      <c r="L32" s="177">
        <f ca="1">IFERROR(__xludf.DUMMYFUNCTION("IMPORTRANGE(""https://docs.google.com/spreadsheets/d/1-uDff_7J0KD5mKrp0Vvzr7lt3OU09vwQwhkpOPPYv2Y/edit?usp=sharing"",""งบพรบ!DV32"")"),73871.26)</f>
        <v>73871.259999999995</v>
      </c>
      <c r="M32" s="87">
        <f t="shared" ca="1" si="25"/>
        <v>47.226224267996415</v>
      </c>
      <c r="N32" s="87">
        <f t="shared" ca="1" si="26"/>
        <v>47.226224267996415</v>
      </c>
      <c r="O32" s="86">
        <f ca="1">IFERROR(__xludf.DUMMYFUNCTION("IMPORTRANGE(""https://docs.google.com/spreadsheets/d/1-uDff_7J0KD5mKrp0Vvzr7lt3OU09vwQwhkpOPPYv2Y/edit?usp=sharing"",""งบพรบ!DW32"")"),0)</f>
        <v>0</v>
      </c>
      <c r="P32" s="86">
        <f t="shared" ca="1" si="27"/>
        <v>0</v>
      </c>
      <c r="Q32" s="87">
        <f t="shared" ca="1" si="28"/>
        <v>0</v>
      </c>
      <c r="R32" s="82">
        <f ca="1">IFERROR(__xludf.DUMMYFUNCTION("IMPORTRANGE(""https://docs.google.com/spreadsheets/d/1yhBcrRPreicbMKl9Bu_Snb2-OcQAF62RKfhTLhJ2eAA/edit?usp=sharing"",""กาฬสินธุ์!I292"")"),200)</f>
        <v>200</v>
      </c>
      <c r="S32" s="82">
        <f ca="1">IFERROR(__xludf.DUMMYFUNCTION("IMPORTRANGE(""https://docs.google.com/spreadsheets/d/1yhBcrRPreicbMKl9Bu_Snb2-OcQAF62RKfhTLhJ2eAA/edit?usp=sharing"",""กาฬสินธุ์!J292"")"),0)</f>
        <v>0</v>
      </c>
      <c r="T32" s="88">
        <f t="shared" ca="1" si="30"/>
        <v>0</v>
      </c>
      <c r="U32" s="82">
        <f ca="1">IFERROR(__xludf.DUMMYFUNCTION("IMPORTRANGE(""https://docs.google.com/spreadsheets/d/1yhBcrRPreicbMKl9Bu_Snb2-OcQAF62RKfhTLhJ2eAA/edit?usp=sharing"",""กาฬสินธุ์!I293"")"),20)</f>
        <v>20</v>
      </c>
      <c r="V32" s="82">
        <f ca="1">IFERROR(__xludf.DUMMYFUNCTION("IMPORTRANGE(""https://docs.google.com/spreadsheets/d/1yhBcrRPreicbMKl9Bu_Snb2-OcQAF62RKfhTLhJ2eAA/edit?usp=sharing"",""กาฬสินธุ์!J293"")"),0)</f>
        <v>0</v>
      </c>
      <c r="W32" s="88">
        <f t="shared" ca="1" si="32"/>
        <v>0</v>
      </c>
      <c r="X32" s="82">
        <f ca="1">IFERROR(__xludf.DUMMYFUNCTION("IMPORTRANGE(""https://docs.google.com/spreadsheets/d/1yhBcrRPreicbMKl9Bu_Snb2-OcQAF62RKfhTLhJ2eAA/edit?usp=sharing"",""กาฬสินธุ์!I295"")"),20)</f>
        <v>20</v>
      </c>
      <c r="Y32" s="82">
        <f ca="1">IFERROR(__xludf.DUMMYFUNCTION("IMPORTRANGE(""https://docs.google.com/spreadsheets/d/1yhBcrRPreicbMKl9Bu_Snb2-OcQAF62RKfhTLhJ2eAA/edit?usp=sharing"",""กาฬสินธุ์!J295"")"),0)</f>
        <v>0</v>
      </c>
      <c r="Z32" s="88">
        <f t="shared" ca="1" si="34"/>
        <v>0</v>
      </c>
      <c r="AA32" s="319">
        <f ca="1">IFERROR(__xludf.DUMMYFUNCTION("IMPORTRANGE(""https://docs.google.com/spreadsheets/d/1yhBcrRPreicbMKl9Bu_Snb2-OcQAF62RKfhTLhJ2eAA/edit?usp=sharing"",""กาฬสินธุ์!J296"")"),0)</f>
        <v>0</v>
      </c>
      <c r="AB32" s="320">
        <f t="shared" ca="1" si="35"/>
        <v>0</v>
      </c>
    </row>
    <row r="33" spans="1:28" ht="21" customHeight="1" x14ac:dyDescent="0.3">
      <c r="A33" s="89">
        <v>2</v>
      </c>
      <c r="B33" s="90" t="s">
        <v>59</v>
      </c>
      <c r="C33" s="174">
        <f t="shared" ca="1" si="21"/>
        <v>0</v>
      </c>
      <c r="D33" s="175">
        <f t="shared" ca="1" si="41"/>
        <v>0</v>
      </c>
      <c r="E33" s="176">
        <f ca="1">IFERROR(__xludf.DUMMYFUNCTION("IMPORTRANGE(""https://docs.google.com/spreadsheets/d/1-uDff_7J0KD5mKrp0Vvzr7lt3OU09vwQwhkpOPPYv2Y/edit?usp=sharing"",""งบพรบ!DP33"")"),0)</f>
        <v>0</v>
      </c>
      <c r="F33" s="176">
        <f ca="1">IFERROR(__xludf.DUMMYFUNCTION("IMPORTRANGE(""https://docs.google.com/spreadsheets/d/1-uDff_7J0KD5mKrp0Vvzr7lt3OU09vwQwhkpOPPYv2Y/edit?usp=sharing"",""งบพรบ!DQ33"")"),0)</f>
        <v>0</v>
      </c>
      <c r="G33" s="176">
        <f ca="1">IFERROR(__xludf.DUMMYFUNCTION("IMPORTRANGE(""https://docs.google.com/spreadsheets/d/1-uDff_7J0KD5mKrp0Vvzr7lt3OU09vwQwhkpOPPYv2Y/edit?usp=sharing"",""งบพรบ!DR33"")"),0)</f>
        <v>0</v>
      </c>
      <c r="H33" s="176">
        <f ca="1">IFERROR(__xludf.DUMMYFUNCTION("IMPORTRANGE(""https://docs.google.com/spreadsheets/d/1-uDff_7J0KD5mKrp0Vvzr7lt3OU09vwQwhkpOPPYv2Y/edit?usp=sharing"",""งบพรบ!DT33"")"),0)</f>
        <v>0</v>
      </c>
      <c r="I33" s="176">
        <f ca="1">IFERROR(__xludf.DUMMYFUNCTION("IMPORTRANGE(""https://docs.google.com/spreadsheets/d/1-uDff_7J0KD5mKrp0Vvzr7lt3OU09vwQwhkpOPPYv2Y/edit?usp=sharing"",""งบพรบ!DU33"")"),0)</f>
        <v>0</v>
      </c>
      <c r="J33" s="176">
        <f t="shared" ca="1" si="23"/>
        <v>0</v>
      </c>
      <c r="K33" s="179">
        <f t="shared" ca="1" si="24"/>
        <v>0</v>
      </c>
      <c r="L33" s="176">
        <f ca="1">IFERROR(__xludf.DUMMYFUNCTION("IMPORTRANGE(""https://docs.google.com/spreadsheets/d/1-uDff_7J0KD5mKrp0Vvzr7lt3OU09vwQwhkpOPPYv2Y/edit?usp=sharing"",""งบพรบ!DV33"")"),0)</f>
        <v>0</v>
      </c>
      <c r="M33" s="87">
        <f t="shared" ca="1" si="25"/>
        <v>0</v>
      </c>
      <c r="N33" s="87">
        <f t="shared" ca="1" si="26"/>
        <v>0</v>
      </c>
      <c r="O33" s="86">
        <f ca="1">IFERROR(__xludf.DUMMYFUNCTION("IMPORTRANGE(""https://docs.google.com/spreadsheets/d/1-uDff_7J0KD5mKrp0Vvzr7lt3OU09vwQwhkpOPPYv2Y/edit?usp=sharing"",""งบพรบ!DW33"")"),0)</f>
        <v>0</v>
      </c>
      <c r="P33" s="86">
        <f t="shared" ca="1" si="27"/>
        <v>0</v>
      </c>
      <c r="Q33" s="87">
        <f t="shared" ca="1" si="28"/>
        <v>0</v>
      </c>
      <c r="R33" s="97">
        <f ca="1">IFERROR(__xludf.DUMMYFUNCTION("IMPORTRANGE(""https://docs.google.com/spreadsheets/d/1aHkj4IaQMThhwWwevcOymEh837vdxeC_PycurhTbGFA/edit?usp=sharing"",""ขอนแก่น!I292"")"),0)</f>
        <v>0</v>
      </c>
      <c r="S33" s="97">
        <f ca="1">IFERROR(__xludf.DUMMYFUNCTION("IMPORTRANGE(""https://docs.google.com/spreadsheets/d/1aHkj4IaQMThhwWwevcOymEh837vdxeC_PycurhTbGFA/edit?usp=sharing"",""ขอนแก่น!J292"")"),0)</f>
        <v>0</v>
      </c>
      <c r="T33" s="98">
        <f t="shared" ca="1" si="30"/>
        <v>0</v>
      </c>
      <c r="U33" s="97">
        <f ca="1">IFERROR(__xludf.DUMMYFUNCTION("IMPORTRANGE(""https://docs.google.com/spreadsheets/d/1aHkj4IaQMThhwWwevcOymEh837vdxeC_PycurhTbGFA/edit?usp=sharing"",""ขอนแก่น!I293"")"),0)</f>
        <v>0</v>
      </c>
      <c r="V33" s="97">
        <f ca="1">IFERROR(__xludf.DUMMYFUNCTION("IMPORTRANGE(""https://docs.google.com/spreadsheets/d/1aHkj4IaQMThhwWwevcOymEh837vdxeC_PycurhTbGFA/edit?usp=sharing"",""ขอนแก่น!J293"")"),0)</f>
        <v>0</v>
      </c>
      <c r="W33" s="98">
        <f t="shared" ca="1" si="32"/>
        <v>0</v>
      </c>
      <c r="X33" s="97">
        <f ca="1">IFERROR(__xludf.DUMMYFUNCTION("IMPORTRANGE(""https://docs.google.com/spreadsheets/d/1aHkj4IaQMThhwWwevcOymEh837vdxeC_PycurhTbGFA/edit?usp=sharing"",""ขอนแก่น!I295"")"),0)</f>
        <v>0</v>
      </c>
      <c r="Y33" s="97">
        <f ca="1">IFERROR(__xludf.DUMMYFUNCTION("IMPORTRANGE(""https://docs.google.com/spreadsheets/d/1aHkj4IaQMThhwWwevcOymEh837vdxeC_PycurhTbGFA/edit?usp=sharing"",""ขอนแก่น!J295"")"),0)</f>
        <v>0</v>
      </c>
      <c r="Z33" s="98">
        <f t="shared" ca="1" si="34"/>
        <v>0</v>
      </c>
      <c r="AA33" s="321">
        <f ca="1">IFERROR(__xludf.DUMMYFUNCTION("IMPORTRANGE(""https://docs.google.com/spreadsheets/d/1aHkj4IaQMThhwWwevcOymEh837vdxeC_PycurhTbGFA/edit?usp=sharing"",""ขอนแก่น!J296"")"),0)</f>
        <v>0</v>
      </c>
      <c r="AB33" s="322">
        <f t="shared" ca="1" si="35"/>
        <v>0</v>
      </c>
    </row>
    <row r="34" spans="1:28" ht="21" customHeight="1" x14ac:dyDescent="0.3">
      <c r="A34" s="89">
        <v>3</v>
      </c>
      <c r="B34" s="90" t="s">
        <v>60</v>
      </c>
      <c r="C34" s="174">
        <f t="shared" ca="1" si="21"/>
        <v>226520</v>
      </c>
      <c r="D34" s="175">
        <f t="shared" ca="1" si="41"/>
        <v>226520</v>
      </c>
      <c r="E34" s="176">
        <f ca="1">IFERROR(__xludf.DUMMYFUNCTION("IMPORTRANGE(""https://docs.google.com/spreadsheets/d/1-uDff_7J0KD5mKrp0Vvzr7lt3OU09vwQwhkpOPPYv2Y/edit?usp=sharing"",""งบพรบ!DP34"")"),83400)</f>
        <v>83400</v>
      </c>
      <c r="F34" s="176">
        <f ca="1">IFERROR(__xludf.DUMMYFUNCTION("IMPORTRANGE(""https://docs.google.com/spreadsheets/d/1-uDff_7J0KD5mKrp0Vvzr7lt3OU09vwQwhkpOPPYv2Y/edit?usp=sharing"",""งบพรบ!DQ34"")"),143120)</f>
        <v>143120</v>
      </c>
      <c r="G34" s="176">
        <f ca="1">IFERROR(__xludf.DUMMYFUNCTION("IMPORTRANGE(""https://docs.google.com/spreadsheets/d/1-uDff_7J0KD5mKrp0Vvzr7lt3OU09vwQwhkpOPPYv2Y/edit?usp=sharing"",""งบพรบ!DR34"")"),0)</f>
        <v>0</v>
      </c>
      <c r="H34" s="176">
        <f ca="1">IFERROR(__xludf.DUMMYFUNCTION("IMPORTRANGE(""https://docs.google.com/spreadsheets/d/1-uDff_7J0KD5mKrp0Vvzr7lt3OU09vwQwhkpOPPYv2Y/edit?usp=sharing"",""งบพรบ!DT34"")"),226520)</f>
        <v>226520</v>
      </c>
      <c r="I34" s="176">
        <f ca="1">IFERROR(__xludf.DUMMYFUNCTION("IMPORTRANGE(""https://docs.google.com/spreadsheets/d/1-uDff_7J0KD5mKrp0Vvzr7lt3OU09vwQwhkpOPPYv2Y/edit?usp=sharing"",""งบพรบ!DU34"")"),0)</f>
        <v>0</v>
      </c>
      <c r="J34" s="176">
        <f t="shared" ca="1" si="23"/>
        <v>25076</v>
      </c>
      <c r="K34" s="179">
        <f t="shared" ca="1" si="24"/>
        <v>11.070104185060922</v>
      </c>
      <c r="L34" s="176">
        <f ca="1">IFERROR(__xludf.DUMMYFUNCTION("IMPORTRANGE(""https://docs.google.com/spreadsheets/d/1-uDff_7J0KD5mKrp0Vvzr7lt3OU09vwQwhkpOPPYv2Y/edit?usp=sharing"",""งบพรบ!DV34"")"),25076)</f>
        <v>25076</v>
      </c>
      <c r="M34" s="87">
        <f t="shared" ca="1" si="25"/>
        <v>11.070104185060922</v>
      </c>
      <c r="N34" s="87">
        <f t="shared" ca="1" si="26"/>
        <v>11.070104185060922</v>
      </c>
      <c r="O34" s="86">
        <f ca="1">IFERROR(__xludf.DUMMYFUNCTION("IMPORTRANGE(""https://docs.google.com/spreadsheets/d/1-uDff_7J0KD5mKrp0Vvzr7lt3OU09vwQwhkpOPPYv2Y/edit?usp=sharing"",""งบพรบ!DW34"")"),0)</f>
        <v>0</v>
      </c>
      <c r="P34" s="86">
        <f t="shared" ca="1" si="27"/>
        <v>0</v>
      </c>
      <c r="Q34" s="87">
        <f t="shared" ca="1" si="28"/>
        <v>0</v>
      </c>
      <c r="R34" s="97">
        <f ca="1">IFERROR(__xludf.DUMMYFUNCTION("IMPORTRANGE(""https://docs.google.com/spreadsheets/d/1FvTu2DsIWUjP6WCWra38Bkj_oOl_sOMf14r5Fg5srxU/edit?usp=sharing"",""ชัยภูมิ!I292"")"),700)</f>
        <v>700</v>
      </c>
      <c r="S34" s="97">
        <f ca="1">IFERROR(__xludf.DUMMYFUNCTION("IMPORTRANGE(""https://docs.google.com/spreadsheets/d/1FvTu2DsIWUjP6WCWra38Bkj_oOl_sOMf14r5Fg5srxU/edit?usp=sharing"",""ชัยภูมิ!J292"")"),0)</f>
        <v>0</v>
      </c>
      <c r="T34" s="98">
        <f t="shared" ca="1" si="30"/>
        <v>0</v>
      </c>
      <c r="U34" s="97">
        <f ca="1">IFERROR(__xludf.DUMMYFUNCTION("IMPORTRANGE(""https://docs.google.com/spreadsheets/d/1FvTu2DsIWUjP6WCWra38Bkj_oOl_sOMf14r5Fg5srxU/edit?usp=sharing"",""ชัยภูมิ!I293"")"),70)</f>
        <v>70</v>
      </c>
      <c r="V34" s="97">
        <f ca="1">IFERROR(__xludf.DUMMYFUNCTION("IMPORTRANGE(""https://docs.google.com/spreadsheets/d/1FvTu2DsIWUjP6WCWra38Bkj_oOl_sOMf14r5Fg5srxU/edit?usp=sharing"",""ชัยภูมิ!J293"")"),0)</f>
        <v>0</v>
      </c>
      <c r="W34" s="98">
        <f t="shared" ca="1" si="32"/>
        <v>0</v>
      </c>
      <c r="X34" s="97">
        <f ca="1">IFERROR(__xludf.DUMMYFUNCTION("IMPORTRANGE(""https://docs.google.com/spreadsheets/d/1FvTu2DsIWUjP6WCWra38Bkj_oOl_sOMf14r5Fg5srxU/edit?usp=sharing"",""ชัยภูมิ!I295"")"),70)</f>
        <v>70</v>
      </c>
      <c r="Y34" s="97">
        <f ca="1">IFERROR(__xludf.DUMMYFUNCTION("IMPORTRANGE(""https://docs.google.com/spreadsheets/d/1FvTu2DsIWUjP6WCWra38Bkj_oOl_sOMf14r5Fg5srxU/edit?usp=sharing"",""ชัยภูมิ!J295"")"),0)</f>
        <v>0</v>
      </c>
      <c r="Z34" s="98">
        <f t="shared" ca="1" si="34"/>
        <v>0</v>
      </c>
      <c r="AA34" s="321">
        <f ca="1">IFERROR(__xludf.DUMMYFUNCTION("IMPORTRANGE(""https://docs.google.com/spreadsheets/d/1FvTu2DsIWUjP6WCWra38Bkj_oOl_sOMf14r5Fg5srxU/edit?usp=sharing"",""ชัยภูมิ!J296"")"),0)</f>
        <v>0</v>
      </c>
      <c r="AB34" s="322">
        <f t="shared" ca="1" si="35"/>
        <v>0</v>
      </c>
    </row>
    <row r="35" spans="1:28" ht="21" customHeight="1" x14ac:dyDescent="0.3">
      <c r="A35" s="89">
        <v>4</v>
      </c>
      <c r="B35" s="90" t="s">
        <v>61</v>
      </c>
      <c r="C35" s="174">
        <f t="shared" ca="1" si="21"/>
        <v>0</v>
      </c>
      <c r="D35" s="175">
        <f t="shared" ca="1" si="41"/>
        <v>0</v>
      </c>
      <c r="E35" s="176">
        <f ca="1">IFERROR(__xludf.DUMMYFUNCTION("IMPORTRANGE(""https://docs.google.com/spreadsheets/d/1-uDff_7J0KD5mKrp0Vvzr7lt3OU09vwQwhkpOPPYv2Y/edit?usp=sharing"",""งบพรบ!DP35"")"),0)</f>
        <v>0</v>
      </c>
      <c r="F35" s="176">
        <f ca="1">IFERROR(__xludf.DUMMYFUNCTION("IMPORTRANGE(""https://docs.google.com/spreadsheets/d/1-uDff_7J0KD5mKrp0Vvzr7lt3OU09vwQwhkpOPPYv2Y/edit?usp=sharing"",""งบพรบ!DQ35"")"),0)</f>
        <v>0</v>
      </c>
      <c r="G35" s="176">
        <f ca="1">IFERROR(__xludf.DUMMYFUNCTION("IMPORTRANGE(""https://docs.google.com/spreadsheets/d/1-uDff_7J0KD5mKrp0Vvzr7lt3OU09vwQwhkpOPPYv2Y/edit?usp=sharing"",""งบพรบ!DR35"")"),0)</f>
        <v>0</v>
      </c>
      <c r="H35" s="176">
        <f ca="1">IFERROR(__xludf.DUMMYFUNCTION("IMPORTRANGE(""https://docs.google.com/spreadsheets/d/1-uDff_7J0KD5mKrp0Vvzr7lt3OU09vwQwhkpOPPYv2Y/edit?usp=sharing"",""งบพรบ!DT35"")"),0)</f>
        <v>0</v>
      </c>
      <c r="I35" s="176">
        <f ca="1">IFERROR(__xludf.DUMMYFUNCTION("IMPORTRANGE(""https://docs.google.com/spreadsheets/d/1-uDff_7J0KD5mKrp0Vvzr7lt3OU09vwQwhkpOPPYv2Y/edit?usp=sharing"",""งบพรบ!DU35"")"),0)</f>
        <v>0</v>
      </c>
      <c r="J35" s="176">
        <f t="shared" ca="1" si="23"/>
        <v>0</v>
      </c>
      <c r="K35" s="179">
        <f t="shared" ca="1" si="24"/>
        <v>0</v>
      </c>
      <c r="L35" s="176">
        <f ca="1">IFERROR(__xludf.DUMMYFUNCTION("IMPORTRANGE(""https://docs.google.com/spreadsheets/d/1-uDff_7J0KD5mKrp0Vvzr7lt3OU09vwQwhkpOPPYv2Y/edit?usp=sharing"",""งบพรบ!DV35"")"),0)</f>
        <v>0</v>
      </c>
      <c r="M35" s="87">
        <f t="shared" ca="1" si="25"/>
        <v>0</v>
      </c>
      <c r="N35" s="87">
        <f t="shared" ca="1" si="26"/>
        <v>0</v>
      </c>
      <c r="O35" s="86">
        <f ca="1">IFERROR(__xludf.DUMMYFUNCTION("IMPORTRANGE(""https://docs.google.com/spreadsheets/d/1-uDff_7J0KD5mKrp0Vvzr7lt3OU09vwQwhkpOPPYv2Y/edit?usp=sharing"",""งบพรบ!DW35"")"),0)</f>
        <v>0</v>
      </c>
      <c r="P35" s="86">
        <f t="shared" ca="1" si="27"/>
        <v>0</v>
      </c>
      <c r="Q35" s="87">
        <f t="shared" ca="1" si="28"/>
        <v>0</v>
      </c>
      <c r="R35" s="97">
        <f ca="1">IFERROR(__xludf.DUMMYFUNCTION("IMPORTRANGE(""https://docs.google.com/spreadsheets/d/1XVB7oCJ3pr-vBUdflwPQ8Z2LlzhnCvZaaYjAfP-647E/edit?usp=sharing"",""นครพนม!I292"")"),0)</f>
        <v>0</v>
      </c>
      <c r="S35" s="97">
        <f ca="1">IFERROR(__xludf.DUMMYFUNCTION("IMPORTRANGE(""https://docs.google.com/spreadsheets/d/1XVB7oCJ3pr-vBUdflwPQ8Z2LlzhnCvZaaYjAfP-647E/edit?usp=sharing"",""นครพนม!J292"")"),0)</f>
        <v>0</v>
      </c>
      <c r="T35" s="98">
        <f t="shared" ca="1" si="30"/>
        <v>0</v>
      </c>
      <c r="U35" s="97">
        <f ca="1">IFERROR(__xludf.DUMMYFUNCTION("IMPORTRANGE(""https://docs.google.com/spreadsheets/d/1XVB7oCJ3pr-vBUdflwPQ8Z2LlzhnCvZaaYjAfP-647E/edit?usp=sharing"",""นครพนม!I293"")"),0)</f>
        <v>0</v>
      </c>
      <c r="V35" s="97">
        <f ca="1">IFERROR(__xludf.DUMMYFUNCTION("IMPORTRANGE(""https://docs.google.com/spreadsheets/d/1XVB7oCJ3pr-vBUdflwPQ8Z2LlzhnCvZaaYjAfP-647E/edit?usp=sharing"",""นครพนม!J293"")"),0)</f>
        <v>0</v>
      </c>
      <c r="W35" s="98">
        <f t="shared" ca="1" si="32"/>
        <v>0</v>
      </c>
      <c r="X35" s="97">
        <f ca="1">IFERROR(__xludf.DUMMYFUNCTION("IMPORTRANGE(""https://docs.google.com/spreadsheets/d/1XVB7oCJ3pr-vBUdflwPQ8Z2LlzhnCvZaaYjAfP-647E/edit?usp=sharing"",""นครพนม!I295"")"),0)</f>
        <v>0</v>
      </c>
      <c r="Y35" s="97">
        <f ca="1">IFERROR(__xludf.DUMMYFUNCTION("IMPORTRANGE(""https://docs.google.com/spreadsheets/d/1XVB7oCJ3pr-vBUdflwPQ8Z2LlzhnCvZaaYjAfP-647E/edit?usp=sharing"",""นครพนม!J295"")"),0)</f>
        <v>0</v>
      </c>
      <c r="Z35" s="98">
        <f t="shared" ca="1" si="34"/>
        <v>0</v>
      </c>
      <c r="AA35" s="321">
        <f ca="1">IFERROR(__xludf.DUMMYFUNCTION("IMPORTRANGE(""https://docs.google.com/spreadsheets/d/1XVB7oCJ3pr-vBUdflwPQ8Z2LlzhnCvZaaYjAfP-647E/edit?usp=sharing"",""นครพนม!J296"")"),0)</f>
        <v>0</v>
      </c>
      <c r="AB35" s="322">
        <f t="shared" ca="1" si="35"/>
        <v>0</v>
      </c>
    </row>
    <row r="36" spans="1:28" ht="21" customHeight="1" x14ac:dyDescent="0.3">
      <c r="A36" s="89">
        <v>5</v>
      </c>
      <c r="B36" s="90" t="s">
        <v>62</v>
      </c>
      <c r="C36" s="174">
        <f t="shared" ca="1" si="21"/>
        <v>219620</v>
      </c>
      <c r="D36" s="175">
        <f t="shared" ca="1" si="41"/>
        <v>219620</v>
      </c>
      <c r="E36" s="176">
        <f ca="1">IFERROR(__xludf.DUMMYFUNCTION("IMPORTRANGE(""https://docs.google.com/spreadsheets/d/1-uDff_7J0KD5mKrp0Vvzr7lt3OU09vwQwhkpOPPYv2Y/edit?usp=sharing"",""งบพรบ!DP36"")"),90500)</f>
        <v>90500</v>
      </c>
      <c r="F36" s="176">
        <f ca="1">IFERROR(__xludf.DUMMYFUNCTION("IMPORTRANGE(""https://docs.google.com/spreadsheets/d/1-uDff_7J0KD5mKrp0Vvzr7lt3OU09vwQwhkpOPPYv2Y/edit?usp=sharing"",""งบพรบ!DQ36"")"),129120)</f>
        <v>129120</v>
      </c>
      <c r="G36" s="176">
        <f ca="1">IFERROR(__xludf.DUMMYFUNCTION("IMPORTRANGE(""https://docs.google.com/spreadsheets/d/1-uDff_7J0KD5mKrp0Vvzr7lt3OU09vwQwhkpOPPYv2Y/edit?usp=sharing"",""งบพรบ!DR36"")"),0)</f>
        <v>0</v>
      </c>
      <c r="H36" s="176">
        <f ca="1">IFERROR(__xludf.DUMMYFUNCTION("IMPORTRANGE(""https://docs.google.com/spreadsheets/d/1-uDff_7J0KD5mKrp0Vvzr7lt3OU09vwQwhkpOPPYv2Y/edit?usp=sharing"",""งบพรบ!DT36"")"),219620)</f>
        <v>219620</v>
      </c>
      <c r="I36" s="176">
        <f ca="1">IFERROR(__xludf.DUMMYFUNCTION("IMPORTRANGE(""https://docs.google.com/spreadsheets/d/1-uDff_7J0KD5mKrp0Vvzr7lt3OU09vwQwhkpOPPYv2Y/edit?usp=sharing"",""งบพรบ!DU36"")"),0)</f>
        <v>0</v>
      </c>
      <c r="J36" s="176">
        <f t="shared" ca="1" si="23"/>
        <v>96895.75</v>
      </c>
      <c r="K36" s="179">
        <f t="shared" ca="1" si="24"/>
        <v>44.119729532829432</v>
      </c>
      <c r="L36" s="176">
        <f ca="1">IFERROR(__xludf.DUMMYFUNCTION("IMPORTRANGE(""https://docs.google.com/spreadsheets/d/1-uDff_7J0KD5mKrp0Vvzr7lt3OU09vwQwhkpOPPYv2Y/edit?usp=sharing"",""งบพรบ!DV36"")"),96895.75)</f>
        <v>96895.75</v>
      </c>
      <c r="M36" s="87">
        <f t="shared" ca="1" si="25"/>
        <v>44.119729532829432</v>
      </c>
      <c r="N36" s="87">
        <f t="shared" ca="1" si="26"/>
        <v>44.119729532829432</v>
      </c>
      <c r="O36" s="86">
        <f ca="1">IFERROR(__xludf.DUMMYFUNCTION("IMPORTRANGE(""https://docs.google.com/spreadsheets/d/1-uDff_7J0KD5mKrp0Vvzr7lt3OU09vwQwhkpOPPYv2Y/edit?usp=sharing"",""งบพรบ!DW36"")"),0)</f>
        <v>0</v>
      </c>
      <c r="P36" s="86">
        <f t="shared" ca="1" si="27"/>
        <v>0</v>
      </c>
      <c r="Q36" s="87">
        <f t="shared" ca="1" si="28"/>
        <v>0</v>
      </c>
      <c r="R36" s="97">
        <f ca="1">IFERROR(__xludf.DUMMYFUNCTION("IMPORTRANGE(""https://docs.google.com/spreadsheets/d/1Mnpb-8PYAgn85W6KOTD40hc_Xc55CaLfHoGAbrZ8tls/edit?usp=sharing"",""นครราชสีมา!I292"")"),600)</f>
        <v>600</v>
      </c>
      <c r="S36" s="97">
        <f ca="1">IFERROR(__xludf.DUMMYFUNCTION("IMPORTRANGE(""https://docs.google.com/spreadsheets/d/1Mnpb-8PYAgn85W6KOTD40hc_Xc55CaLfHoGAbrZ8tls/edit?usp=sharing"",""นครราชสีมา!J292"")"),0)</f>
        <v>0</v>
      </c>
      <c r="T36" s="98">
        <f t="shared" ca="1" si="30"/>
        <v>0</v>
      </c>
      <c r="U36" s="97">
        <f ca="1">IFERROR(__xludf.DUMMYFUNCTION("IMPORTRANGE(""https://docs.google.com/spreadsheets/d/1Mnpb-8PYAgn85W6KOTD40hc_Xc55CaLfHoGAbrZ8tls/edit?usp=sharing"",""นครราชสีมา!I293"")"),60)</f>
        <v>60</v>
      </c>
      <c r="V36" s="97">
        <f ca="1">IFERROR(__xludf.DUMMYFUNCTION("IMPORTRANGE(""https://docs.google.com/spreadsheets/d/1Mnpb-8PYAgn85W6KOTD40hc_Xc55CaLfHoGAbrZ8tls/edit?usp=sharing"",""นครราชสีมา!J293"")"),0)</f>
        <v>0</v>
      </c>
      <c r="W36" s="98">
        <f t="shared" ca="1" si="32"/>
        <v>0</v>
      </c>
      <c r="X36" s="97">
        <f ca="1">IFERROR(__xludf.DUMMYFUNCTION("IMPORTRANGE(""https://docs.google.com/spreadsheets/d/1Mnpb-8PYAgn85W6KOTD40hc_Xc55CaLfHoGAbrZ8tls/edit?usp=sharing"",""นครราชสีมา!I295"")"),60)</f>
        <v>60</v>
      </c>
      <c r="Y36" s="97">
        <f ca="1">IFERROR(__xludf.DUMMYFUNCTION("IMPORTRANGE(""https://docs.google.com/spreadsheets/d/1Mnpb-8PYAgn85W6KOTD40hc_Xc55CaLfHoGAbrZ8tls/edit?usp=sharing"",""นครราชสีมา!J295"")"),0)</f>
        <v>0</v>
      </c>
      <c r="Z36" s="98">
        <f t="shared" ca="1" si="34"/>
        <v>0</v>
      </c>
      <c r="AA36" s="321">
        <f ca="1">IFERROR(__xludf.DUMMYFUNCTION("IMPORTRANGE(""https://docs.google.com/spreadsheets/d/1Mnpb-8PYAgn85W6KOTD40hc_Xc55CaLfHoGAbrZ8tls/edit?usp=sharing"",""นครราชสีมา!J296"")"),0)</f>
        <v>0</v>
      </c>
      <c r="AB36" s="322">
        <f t="shared" ca="1" si="35"/>
        <v>0</v>
      </c>
    </row>
    <row r="37" spans="1:28" ht="21" customHeight="1" x14ac:dyDescent="0.3">
      <c r="A37" s="89">
        <v>6</v>
      </c>
      <c r="B37" s="90" t="s">
        <v>63</v>
      </c>
      <c r="C37" s="174">
        <f t="shared" ca="1" si="21"/>
        <v>0</v>
      </c>
      <c r="D37" s="175">
        <f t="shared" ca="1" si="41"/>
        <v>0</v>
      </c>
      <c r="E37" s="176">
        <f ca="1">IFERROR(__xludf.DUMMYFUNCTION("IMPORTRANGE(""https://docs.google.com/spreadsheets/d/1-uDff_7J0KD5mKrp0Vvzr7lt3OU09vwQwhkpOPPYv2Y/edit?usp=sharing"",""งบพรบ!DP37"")"),0)</f>
        <v>0</v>
      </c>
      <c r="F37" s="176">
        <f ca="1">IFERROR(__xludf.DUMMYFUNCTION("IMPORTRANGE(""https://docs.google.com/spreadsheets/d/1-uDff_7J0KD5mKrp0Vvzr7lt3OU09vwQwhkpOPPYv2Y/edit?usp=sharing"",""งบพรบ!DQ37"")"),0)</f>
        <v>0</v>
      </c>
      <c r="G37" s="176">
        <f ca="1">IFERROR(__xludf.DUMMYFUNCTION("IMPORTRANGE(""https://docs.google.com/spreadsheets/d/1-uDff_7J0KD5mKrp0Vvzr7lt3OU09vwQwhkpOPPYv2Y/edit?usp=sharing"",""งบพรบ!DR37"")"),0)</f>
        <v>0</v>
      </c>
      <c r="H37" s="176">
        <f ca="1">IFERROR(__xludf.DUMMYFUNCTION("IMPORTRANGE(""https://docs.google.com/spreadsheets/d/1-uDff_7J0KD5mKrp0Vvzr7lt3OU09vwQwhkpOPPYv2Y/edit?usp=sharing"",""งบพรบ!DT37"")"),0)</f>
        <v>0</v>
      </c>
      <c r="I37" s="176">
        <f ca="1">IFERROR(__xludf.DUMMYFUNCTION("IMPORTRANGE(""https://docs.google.com/spreadsheets/d/1-uDff_7J0KD5mKrp0Vvzr7lt3OU09vwQwhkpOPPYv2Y/edit?usp=sharing"",""งบพรบ!DU37"")"),0)</f>
        <v>0</v>
      </c>
      <c r="J37" s="176">
        <f t="shared" ca="1" si="23"/>
        <v>0</v>
      </c>
      <c r="K37" s="179">
        <f t="shared" ca="1" si="24"/>
        <v>0</v>
      </c>
      <c r="L37" s="176">
        <f ca="1">IFERROR(__xludf.DUMMYFUNCTION("IMPORTRANGE(""https://docs.google.com/spreadsheets/d/1-uDff_7J0KD5mKrp0Vvzr7lt3OU09vwQwhkpOPPYv2Y/edit?usp=sharing"",""งบพรบ!DV37"")"),0)</f>
        <v>0</v>
      </c>
      <c r="M37" s="87">
        <f t="shared" ca="1" si="25"/>
        <v>0</v>
      </c>
      <c r="N37" s="87">
        <f t="shared" ca="1" si="26"/>
        <v>0</v>
      </c>
      <c r="O37" s="86">
        <f ca="1">IFERROR(__xludf.DUMMYFUNCTION("IMPORTRANGE(""https://docs.google.com/spreadsheets/d/1-uDff_7J0KD5mKrp0Vvzr7lt3OU09vwQwhkpOPPYv2Y/edit?usp=sharing"",""งบพรบ!DW37"")"),0)</f>
        <v>0</v>
      </c>
      <c r="P37" s="86">
        <f t="shared" ca="1" si="27"/>
        <v>0</v>
      </c>
      <c r="Q37" s="87">
        <f t="shared" ca="1" si="28"/>
        <v>0</v>
      </c>
      <c r="R37" s="97">
        <f ca="1">IFERROR(__xludf.DUMMYFUNCTION("IMPORTRANGE(""https://docs.google.com/spreadsheets/d/1xoDLGBv9CYbyosIhki0kTq6IpYNj-gpjxfobnaDiut0/edit?usp=sharing"",""บึงกาฬ!I292"")"),0)</f>
        <v>0</v>
      </c>
      <c r="S37" s="97">
        <f ca="1">IFERROR(__xludf.DUMMYFUNCTION("IMPORTRANGE(""https://docs.google.com/spreadsheets/d/1xoDLGBv9CYbyosIhki0kTq6IpYNj-gpjxfobnaDiut0/edit?usp=sharing"",""บึงกาฬ!J292"")"),0)</f>
        <v>0</v>
      </c>
      <c r="T37" s="98">
        <f t="shared" ca="1" si="30"/>
        <v>0</v>
      </c>
      <c r="U37" s="97">
        <f ca="1">IFERROR(__xludf.DUMMYFUNCTION("IMPORTRANGE(""https://docs.google.com/spreadsheets/d/1xoDLGBv9CYbyosIhki0kTq6IpYNj-gpjxfobnaDiut0/edit?usp=sharing"",""บึงกาฬ!I293"")"),0)</f>
        <v>0</v>
      </c>
      <c r="V37" s="97">
        <f ca="1">IFERROR(__xludf.DUMMYFUNCTION("IMPORTRANGE(""https://docs.google.com/spreadsheets/d/1xoDLGBv9CYbyosIhki0kTq6IpYNj-gpjxfobnaDiut0/edit?usp=sharing"",""บึงกาฬ!J293"")"),0)</f>
        <v>0</v>
      </c>
      <c r="W37" s="98">
        <f t="shared" ca="1" si="32"/>
        <v>0</v>
      </c>
      <c r="X37" s="97">
        <f ca="1">IFERROR(__xludf.DUMMYFUNCTION("IMPORTRANGE(""https://docs.google.com/spreadsheets/d/1xoDLGBv9CYbyosIhki0kTq6IpYNj-gpjxfobnaDiut0/edit?usp=sharing"",""บึงกาฬ!I295"")"),0)</f>
        <v>0</v>
      </c>
      <c r="Y37" s="97">
        <f ca="1">IFERROR(__xludf.DUMMYFUNCTION("IMPORTRANGE(""https://docs.google.com/spreadsheets/d/1xoDLGBv9CYbyosIhki0kTq6IpYNj-gpjxfobnaDiut0/edit?usp=sharing"",""บึงกาฬ!J295"")"),0)</f>
        <v>0</v>
      </c>
      <c r="Z37" s="98">
        <f t="shared" ca="1" si="34"/>
        <v>0</v>
      </c>
      <c r="AA37" s="321">
        <f ca="1">IFERROR(__xludf.DUMMYFUNCTION("IMPORTRANGE(""https://docs.google.com/spreadsheets/d/1xoDLGBv9CYbyosIhki0kTq6IpYNj-gpjxfobnaDiut0/edit?usp=sharing"",""บึงกาฬ!J296"")"),0)</f>
        <v>0</v>
      </c>
      <c r="AB37" s="322">
        <f t="shared" ca="1" si="35"/>
        <v>0</v>
      </c>
    </row>
    <row r="38" spans="1:28" ht="21" customHeight="1" x14ac:dyDescent="0.3">
      <c r="A38" s="89">
        <v>7</v>
      </c>
      <c r="B38" s="90" t="s">
        <v>64</v>
      </c>
      <c r="C38" s="174">
        <f t="shared" ca="1" si="21"/>
        <v>0</v>
      </c>
      <c r="D38" s="175">
        <f t="shared" ca="1" si="41"/>
        <v>0</v>
      </c>
      <c r="E38" s="176">
        <f ca="1">IFERROR(__xludf.DUMMYFUNCTION("IMPORTRANGE(""https://docs.google.com/spreadsheets/d/1-uDff_7J0KD5mKrp0Vvzr7lt3OU09vwQwhkpOPPYv2Y/edit?usp=sharing"",""งบพรบ!DP38"")"),0)</f>
        <v>0</v>
      </c>
      <c r="F38" s="176">
        <f ca="1">IFERROR(__xludf.DUMMYFUNCTION("IMPORTRANGE(""https://docs.google.com/spreadsheets/d/1-uDff_7J0KD5mKrp0Vvzr7lt3OU09vwQwhkpOPPYv2Y/edit?usp=sharing"",""งบพรบ!DQ38"")"),0)</f>
        <v>0</v>
      </c>
      <c r="G38" s="176">
        <f ca="1">IFERROR(__xludf.DUMMYFUNCTION("IMPORTRANGE(""https://docs.google.com/spreadsheets/d/1-uDff_7J0KD5mKrp0Vvzr7lt3OU09vwQwhkpOPPYv2Y/edit?usp=sharing"",""งบพรบ!DR38"")"),0)</f>
        <v>0</v>
      </c>
      <c r="H38" s="176">
        <f ca="1">IFERROR(__xludf.DUMMYFUNCTION("IMPORTRANGE(""https://docs.google.com/spreadsheets/d/1-uDff_7J0KD5mKrp0Vvzr7lt3OU09vwQwhkpOPPYv2Y/edit?usp=sharing"",""งบพรบ!DT38"")"),0)</f>
        <v>0</v>
      </c>
      <c r="I38" s="176">
        <f ca="1">IFERROR(__xludf.DUMMYFUNCTION("IMPORTRANGE(""https://docs.google.com/spreadsheets/d/1-uDff_7J0KD5mKrp0Vvzr7lt3OU09vwQwhkpOPPYv2Y/edit?usp=sharing"",""งบพรบ!DU38"")"),0)</f>
        <v>0</v>
      </c>
      <c r="J38" s="176">
        <f t="shared" ca="1" si="23"/>
        <v>0</v>
      </c>
      <c r="K38" s="179">
        <f t="shared" ca="1" si="24"/>
        <v>0</v>
      </c>
      <c r="L38" s="176">
        <f ca="1">IFERROR(__xludf.DUMMYFUNCTION("IMPORTRANGE(""https://docs.google.com/spreadsheets/d/1-uDff_7J0KD5mKrp0Vvzr7lt3OU09vwQwhkpOPPYv2Y/edit?usp=sharing"",""งบพรบ!DV38"")"),0)</f>
        <v>0</v>
      </c>
      <c r="M38" s="87">
        <f t="shared" ca="1" si="25"/>
        <v>0</v>
      </c>
      <c r="N38" s="87">
        <f t="shared" ca="1" si="26"/>
        <v>0</v>
      </c>
      <c r="O38" s="86">
        <f ca="1">IFERROR(__xludf.DUMMYFUNCTION("IMPORTRANGE(""https://docs.google.com/spreadsheets/d/1-uDff_7J0KD5mKrp0Vvzr7lt3OU09vwQwhkpOPPYv2Y/edit?usp=sharing"",""งบพรบ!DW38"")"),0)</f>
        <v>0</v>
      </c>
      <c r="P38" s="86">
        <f t="shared" ca="1" si="27"/>
        <v>0</v>
      </c>
      <c r="Q38" s="87">
        <f t="shared" ca="1" si="28"/>
        <v>0</v>
      </c>
      <c r="R38" s="97">
        <f ca="1">IFERROR(__xludf.DUMMYFUNCTION("IMPORTRANGE(""https://docs.google.com/spreadsheets/d/1MMPq-JyI6DSgQETxuSiXkesP-P7JHuemnE6QJIa-Nlw/edit?usp=sharing"",""บุรีรัมย์!I292"")"),0)</f>
        <v>0</v>
      </c>
      <c r="S38" s="97">
        <f ca="1">IFERROR(__xludf.DUMMYFUNCTION("IMPORTRANGE(""https://docs.google.com/spreadsheets/d/1MMPq-JyI6DSgQETxuSiXkesP-P7JHuemnE6QJIa-Nlw/edit?usp=sharing"",""บุรีรัมย์!J292"")"),0)</f>
        <v>0</v>
      </c>
      <c r="T38" s="98">
        <f t="shared" ca="1" si="30"/>
        <v>0</v>
      </c>
      <c r="U38" s="97">
        <f ca="1">IFERROR(__xludf.DUMMYFUNCTION("IMPORTRANGE(""https://docs.google.com/spreadsheets/d/1MMPq-JyI6DSgQETxuSiXkesP-P7JHuemnE6QJIa-Nlw/edit?usp=sharing"",""บุรีรัมย์!I293"")"),0)</f>
        <v>0</v>
      </c>
      <c r="V38" s="97">
        <f ca="1">IFERROR(__xludf.DUMMYFUNCTION("IMPORTRANGE(""https://docs.google.com/spreadsheets/d/1MMPq-JyI6DSgQETxuSiXkesP-P7JHuemnE6QJIa-Nlw/edit?usp=sharing"",""บุรีรัมย์!J293"")"),0)</f>
        <v>0</v>
      </c>
      <c r="W38" s="98">
        <f t="shared" ca="1" si="32"/>
        <v>0</v>
      </c>
      <c r="X38" s="97">
        <f ca="1">IFERROR(__xludf.DUMMYFUNCTION("IMPORTRANGE(""https://docs.google.com/spreadsheets/d/1MMPq-JyI6DSgQETxuSiXkesP-P7JHuemnE6QJIa-Nlw/edit?usp=sharing"",""บุรีรัมย์!I295"")"),0)</f>
        <v>0</v>
      </c>
      <c r="Y38" s="97">
        <f ca="1">IFERROR(__xludf.DUMMYFUNCTION("IMPORTRANGE(""https://docs.google.com/spreadsheets/d/1MMPq-JyI6DSgQETxuSiXkesP-P7JHuemnE6QJIa-Nlw/edit?usp=sharing"",""บุรีรัมย์!J295"")"),0)</f>
        <v>0</v>
      </c>
      <c r="Z38" s="98">
        <f t="shared" ca="1" si="34"/>
        <v>0</v>
      </c>
      <c r="AA38" s="321">
        <f ca="1">IFERROR(__xludf.DUMMYFUNCTION("IMPORTRANGE(""https://docs.google.com/spreadsheets/d/1MMPq-JyI6DSgQETxuSiXkesP-P7JHuemnE6QJIa-Nlw/edit?usp=sharing"",""บุรีรัมย์!J296"")"),0)</f>
        <v>0</v>
      </c>
      <c r="AB38" s="322">
        <f t="shared" ca="1" si="35"/>
        <v>0</v>
      </c>
    </row>
    <row r="39" spans="1:28" ht="21" customHeight="1" x14ac:dyDescent="0.3">
      <c r="A39" s="89">
        <v>8</v>
      </c>
      <c r="B39" s="90" t="s">
        <v>65</v>
      </c>
      <c r="C39" s="174">
        <f t="shared" ca="1" si="21"/>
        <v>0</v>
      </c>
      <c r="D39" s="175">
        <f t="shared" ca="1" si="41"/>
        <v>0</v>
      </c>
      <c r="E39" s="176">
        <f ca="1">IFERROR(__xludf.DUMMYFUNCTION("IMPORTRANGE(""https://docs.google.com/spreadsheets/d/1-uDff_7J0KD5mKrp0Vvzr7lt3OU09vwQwhkpOPPYv2Y/edit?usp=sharing"",""งบพรบ!DP39"")"),0)</f>
        <v>0</v>
      </c>
      <c r="F39" s="176">
        <f ca="1">IFERROR(__xludf.DUMMYFUNCTION("IMPORTRANGE(""https://docs.google.com/spreadsheets/d/1-uDff_7J0KD5mKrp0Vvzr7lt3OU09vwQwhkpOPPYv2Y/edit?usp=sharing"",""งบพรบ!DQ39"")"),0)</f>
        <v>0</v>
      </c>
      <c r="G39" s="176">
        <f ca="1">IFERROR(__xludf.DUMMYFUNCTION("IMPORTRANGE(""https://docs.google.com/spreadsheets/d/1-uDff_7J0KD5mKrp0Vvzr7lt3OU09vwQwhkpOPPYv2Y/edit?usp=sharing"",""งบพรบ!DR39"")"),0)</f>
        <v>0</v>
      </c>
      <c r="H39" s="176">
        <f ca="1">IFERROR(__xludf.DUMMYFUNCTION("IMPORTRANGE(""https://docs.google.com/spreadsheets/d/1-uDff_7J0KD5mKrp0Vvzr7lt3OU09vwQwhkpOPPYv2Y/edit?usp=sharing"",""งบพรบ!DT39"")"),0)</f>
        <v>0</v>
      </c>
      <c r="I39" s="176">
        <f ca="1">IFERROR(__xludf.DUMMYFUNCTION("IMPORTRANGE(""https://docs.google.com/spreadsheets/d/1-uDff_7J0KD5mKrp0Vvzr7lt3OU09vwQwhkpOPPYv2Y/edit?usp=sharing"",""งบพรบ!DU39"")"),0)</f>
        <v>0</v>
      </c>
      <c r="J39" s="176">
        <f t="shared" ca="1" si="23"/>
        <v>0</v>
      </c>
      <c r="K39" s="179">
        <f t="shared" ca="1" si="24"/>
        <v>0</v>
      </c>
      <c r="L39" s="176">
        <f ca="1">IFERROR(__xludf.DUMMYFUNCTION("IMPORTRANGE(""https://docs.google.com/spreadsheets/d/1-uDff_7J0KD5mKrp0Vvzr7lt3OU09vwQwhkpOPPYv2Y/edit?usp=sharing"",""งบพรบ!DV39"")"),0)</f>
        <v>0</v>
      </c>
      <c r="M39" s="87">
        <f t="shared" ca="1" si="25"/>
        <v>0</v>
      </c>
      <c r="N39" s="87">
        <f t="shared" ca="1" si="26"/>
        <v>0</v>
      </c>
      <c r="O39" s="86">
        <f ca="1">IFERROR(__xludf.DUMMYFUNCTION("IMPORTRANGE(""https://docs.google.com/spreadsheets/d/1-uDff_7J0KD5mKrp0Vvzr7lt3OU09vwQwhkpOPPYv2Y/edit?usp=sharing"",""งบพรบ!DW39"")"),0)</f>
        <v>0</v>
      </c>
      <c r="P39" s="86">
        <f t="shared" ca="1" si="27"/>
        <v>0</v>
      </c>
      <c r="Q39" s="87">
        <f t="shared" ca="1" si="28"/>
        <v>0</v>
      </c>
      <c r="R39" s="97">
        <f ca="1">IFERROR(__xludf.DUMMYFUNCTION("IMPORTRANGE(""https://docs.google.com/spreadsheets/d/1l6IZ8xUPgMrESzcTYwhA1k_tPjeQjJPTqlm8Gd9eU5g/edit?usp=sharing"",""มหาสารคาม!I292"")"),0)</f>
        <v>0</v>
      </c>
      <c r="S39" s="97">
        <f ca="1">IFERROR(__xludf.DUMMYFUNCTION("IMPORTRANGE(""https://docs.google.com/spreadsheets/d/1l6IZ8xUPgMrESzcTYwhA1k_tPjeQjJPTqlm8Gd9eU5g/edit?usp=sharing"",""มหาสารคาม!J292"")"),0)</f>
        <v>0</v>
      </c>
      <c r="T39" s="98">
        <f t="shared" ca="1" si="30"/>
        <v>0</v>
      </c>
      <c r="U39" s="97">
        <f ca="1">IFERROR(__xludf.DUMMYFUNCTION("IMPORTRANGE(""https://docs.google.com/spreadsheets/d/1l6IZ8xUPgMrESzcTYwhA1k_tPjeQjJPTqlm8Gd9eU5g/edit?usp=sharing"",""มหาสารคาม!I293"")"),0)</f>
        <v>0</v>
      </c>
      <c r="V39" s="97">
        <f ca="1">IFERROR(__xludf.DUMMYFUNCTION("IMPORTRANGE(""https://docs.google.com/spreadsheets/d/1l6IZ8xUPgMrESzcTYwhA1k_tPjeQjJPTqlm8Gd9eU5g/edit?usp=sharing"",""มหาสารคาม!J293"")"),0)</f>
        <v>0</v>
      </c>
      <c r="W39" s="98">
        <f t="shared" ca="1" si="32"/>
        <v>0</v>
      </c>
      <c r="X39" s="97">
        <f ca="1">IFERROR(__xludf.DUMMYFUNCTION("IMPORTRANGE(""https://docs.google.com/spreadsheets/d/1l6IZ8xUPgMrESzcTYwhA1k_tPjeQjJPTqlm8Gd9eU5g/edit?usp=sharing"",""มหาสารคาม!I295"")"),0)</f>
        <v>0</v>
      </c>
      <c r="Y39" s="97">
        <f ca="1">IFERROR(__xludf.DUMMYFUNCTION("IMPORTRANGE(""https://docs.google.com/spreadsheets/d/1l6IZ8xUPgMrESzcTYwhA1k_tPjeQjJPTqlm8Gd9eU5g/edit?usp=sharing"",""มหาสารคาม!J295"")"),0)</f>
        <v>0</v>
      </c>
      <c r="Z39" s="98">
        <f t="shared" ca="1" si="34"/>
        <v>0</v>
      </c>
      <c r="AA39" s="321">
        <f ca="1">IFERROR(__xludf.DUMMYFUNCTION("IMPORTRANGE(""https://docs.google.com/spreadsheets/d/1l6IZ8xUPgMrESzcTYwhA1k_tPjeQjJPTqlm8Gd9eU5g/edit?usp=sharing"",""มหาสารคาม!J296"")"),0)</f>
        <v>0</v>
      </c>
      <c r="AB39" s="322">
        <f t="shared" ca="1" si="35"/>
        <v>0</v>
      </c>
    </row>
    <row r="40" spans="1:28" ht="21" customHeight="1" x14ac:dyDescent="0.3">
      <c r="A40" s="89">
        <v>9</v>
      </c>
      <c r="B40" s="90" t="s">
        <v>66</v>
      </c>
      <c r="C40" s="174">
        <f t="shared" ca="1" si="21"/>
        <v>0</v>
      </c>
      <c r="D40" s="175">
        <f t="shared" ca="1" si="41"/>
        <v>0</v>
      </c>
      <c r="E40" s="176">
        <f ca="1">IFERROR(__xludf.DUMMYFUNCTION("IMPORTRANGE(""https://docs.google.com/spreadsheets/d/1-uDff_7J0KD5mKrp0Vvzr7lt3OU09vwQwhkpOPPYv2Y/edit?usp=sharing"",""งบพรบ!DP40"")"),0)</f>
        <v>0</v>
      </c>
      <c r="F40" s="176">
        <f ca="1">IFERROR(__xludf.DUMMYFUNCTION("IMPORTRANGE(""https://docs.google.com/spreadsheets/d/1-uDff_7J0KD5mKrp0Vvzr7lt3OU09vwQwhkpOPPYv2Y/edit?usp=sharing"",""งบพรบ!DQ40"")"),0)</f>
        <v>0</v>
      </c>
      <c r="G40" s="176">
        <f ca="1">IFERROR(__xludf.DUMMYFUNCTION("IMPORTRANGE(""https://docs.google.com/spreadsheets/d/1-uDff_7J0KD5mKrp0Vvzr7lt3OU09vwQwhkpOPPYv2Y/edit?usp=sharing"",""งบพรบ!DR40"")"),0)</f>
        <v>0</v>
      </c>
      <c r="H40" s="176">
        <f ca="1">IFERROR(__xludf.DUMMYFUNCTION("IMPORTRANGE(""https://docs.google.com/spreadsheets/d/1-uDff_7J0KD5mKrp0Vvzr7lt3OU09vwQwhkpOPPYv2Y/edit?usp=sharing"",""งบพรบ!DT40"")"),0)</f>
        <v>0</v>
      </c>
      <c r="I40" s="176">
        <f ca="1">IFERROR(__xludf.DUMMYFUNCTION("IMPORTRANGE(""https://docs.google.com/spreadsheets/d/1-uDff_7J0KD5mKrp0Vvzr7lt3OU09vwQwhkpOPPYv2Y/edit?usp=sharing"",""งบพรบ!DU40"")"),0)</f>
        <v>0</v>
      </c>
      <c r="J40" s="176">
        <f t="shared" ca="1" si="23"/>
        <v>0</v>
      </c>
      <c r="K40" s="179">
        <f t="shared" ca="1" si="24"/>
        <v>0</v>
      </c>
      <c r="L40" s="176">
        <f ca="1">IFERROR(__xludf.DUMMYFUNCTION("IMPORTRANGE(""https://docs.google.com/spreadsheets/d/1-uDff_7J0KD5mKrp0Vvzr7lt3OU09vwQwhkpOPPYv2Y/edit?usp=sharing"",""งบพรบ!DV40"")"),0)</f>
        <v>0</v>
      </c>
      <c r="M40" s="87">
        <f t="shared" ca="1" si="25"/>
        <v>0</v>
      </c>
      <c r="N40" s="87">
        <f t="shared" ca="1" si="26"/>
        <v>0</v>
      </c>
      <c r="O40" s="86">
        <f ca="1">IFERROR(__xludf.DUMMYFUNCTION("IMPORTRANGE(""https://docs.google.com/spreadsheets/d/1-uDff_7J0KD5mKrp0Vvzr7lt3OU09vwQwhkpOPPYv2Y/edit?usp=sharing"",""งบพรบ!DW40"")"),0)</f>
        <v>0</v>
      </c>
      <c r="P40" s="86">
        <f t="shared" ca="1" si="27"/>
        <v>0</v>
      </c>
      <c r="Q40" s="87">
        <f t="shared" ca="1" si="28"/>
        <v>0</v>
      </c>
      <c r="R40" s="97">
        <f ca="1">IFERROR(__xludf.DUMMYFUNCTION("IMPORTRANGE(""https://docs.google.com/spreadsheets/d/1uB74YLqNjWX6FObjekfB2NtSYigTQyR2rq9u4Ub2Sq4/edit?usp=sharing"",""มุกดาหาร!I292"")"),0)</f>
        <v>0</v>
      </c>
      <c r="S40" s="97">
        <f ca="1">IFERROR(__xludf.DUMMYFUNCTION("IMPORTRANGE(""https://docs.google.com/spreadsheets/d/1uB74YLqNjWX6FObjekfB2NtSYigTQyR2rq9u4Ub2Sq4/edit?usp=sharing"",""มุกดาหาร!J292"")"),0)</f>
        <v>0</v>
      </c>
      <c r="T40" s="98">
        <f t="shared" ca="1" si="30"/>
        <v>0</v>
      </c>
      <c r="U40" s="97">
        <f ca="1">IFERROR(__xludf.DUMMYFUNCTION("IMPORTRANGE(""https://docs.google.com/spreadsheets/d/1uB74YLqNjWX6FObjekfB2NtSYigTQyR2rq9u4Ub2Sq4/edit?usp=sharing"",""มุกดาหาร!I293"")"),0)</f>
        <v>0</v>
      </c>
      <c r="V40" s="97">
        <f ca="1">IFERROR(__xludf.DUMMYFUNCTION("IMPORTRANGE(""https://docs.google.com/spreadsheets/d/1uB74YLqNjWX6FObjekfB2NtSYigTQyR2rq9u4Ub2Sq4/edit?usp=sharing"",""มุกดาหาร!J293"")"),0)</f>
        <v>0</v>
      </c>
      <c r="W40" s="98">
        <f t="shared" ca="1" si="32"/>
        <v>0</v>
      </c>
      <c r="X40" s="97">
        <f ca="1">IFERROR(__xludf.DUMMYFUNCTION("IMPORTRANGE(""https://docs.google.com/spreadsheets/d/1uB74YLqNjWX6FObjekfB2NtSYigTQyR2rq9u4Ub2Sq4/edit?usp=sharing"",""มุกดาหาร!I295"")"),0)</f>
        <v>0</v>
      </c>
      <c r="Y40" s="97">
        <f ca="1">IFERROR(__xludf.DUMMYFUNCTION("IMPORTRANGE(""https://docs.google.com/spreadsheets/d/1uB74YLqNjWX6FObjekfB2NtSYigTQyR2rq9u4Ub2Sq4/edit?usp=sharing"",""มุกดาหาร!J295"")"),0)</f>
        <v>0</v>
      </c>
      <c r="Z40" s="98">
        <f t="shared" ca="1" si="34"/>
        <v>0</v>
      </c>
      <c r="AA40" s="321">
        <f ca="1">IFERROR(__xludf.DUMMYFUNCTION("IMPORTRANGE(""https://docs.google.com/spreadsheets/d/1uB74YLqNjWX6FObjekfB2NtSYigTQyR2rq9u4Ub2Sq4/edit?usp=sharing"",""มุกดาหาร!J296"")"),0)</f>
        <v>0</v>
      </c>
      <c r="AB40" s="322">
        <f t="shared" ca="1" si="35"/>
        <v>0</v>
      </c>
    </row>
    <row r="41" spans="1:28" ht="21" customHeight="1" x14ac:dyDescent="0.3">
      <c r="A41" s="89">
        <v>10</v>
      </c>
      <c r="B41" s="90" t="s">
        <v>67</v>
      </c>
      <c r="C41" s="174">
        <f t="shared" ca="1" si="21"/>
        <v>0</v>
      </c>
      <c r="D41" s="175">
        <f t="shared" ca="1" si="41"/>
        <v>0</v>
      </c>
      <c r="E41" s="176">
        <f ca="1">IFERROR(__xludf.DUMMYFUNCTION("IMPORTRANGE(""https://docs.google.com/spreadsheets/d/1-uDff_7J0KD5mKrp0Vvzr7lt3OU09vwQwhkpOPPYv2Y/edit?usp=sharing"",""งบพรบ!DP41"")"),0)</f>
        <v>0</v>
      </c>
      <c r="F41" s="176">
        <f ca="1">IFERROR(__xludf.DUMMYFUNCTION("IMPORTRANGE(""https://docs.google.com/spreadsheets/d/1-uDff_7J0KD5mKrp0Vvzr7lt3OU09vwQwhkpOPPYv2Y/edit?usp=sharing"",""งบพรบ!DQ41"")"),0)</f>
        <v>0</v>
      </c>
      <c r="G41" s="176">
        <f ca="1">IFERROR(__xludf.DUMMYFUNCTION("IMPORTRANGE(""https://docs.google.com/spreadsheets/d/1-uDff_7J0KD5mKrp0Vvzr7lt3OU09vwQwhkpOPPYv2Y/edit?usp=sharing"",""งบพรบ!DR41"")"),0)</f>
        <v>0</v>
      </c>
      <c r="H41" s="176">
        <f ca="1">IFERROR(__xludf.DUMMYFUNCTION("IMPORTRANGE(""https://docs.google.com/spreadsheets/d/1-uDff_7J0KD5mKrp0Vvzr7lt3OU09vwQwhkpOPPYv2Y/edit?usp=sharing"",""งบพรบ!DT41"")"),0)</f>
        <v>0</v>
      </c>
      <c r="I41" s="176">
        <f ca="1">IFERROR(__xludf.DUMMYFUNCTION("IMPORTRANGE(""https://docs.google.com/spreadsheets/d/1-uDff_7J0KD5mKrp0Vvzr7lt3OU09vwQwhkpOPPYv2Y/edit?usp=sharing"",""งบพรบ!DU41"")"),0)</f>
        <v>0</v>
      </c>
      <c r="J41" s="176">
        <f t="shared" ca="1" si="23"/>
        <v>0</v>
      </c>
      <c r="K41" s="179">
        <f t="shared" ca="1" si="24"/>
        <v>0</v>
      </c>
      <c r="L41" s="176">
        <f ca="1">IFERROR(__xludf.DUMMYFUNCTION("IMPORTRANGE(""https://docs.google.com/spreadsheets/d/1-uDff_7J0KD5mKrp0Vvzr7lt3OU09vwQwhkpOPPYv2Y/edit?usp=sharing"",""งบพรบ!DV41"")"),0)</f>
        <v>0</v>
      </c>
      <c r="M41" s="87">
        <f t="shared" ca="1" si="25"/>
        <v>0</v>
      </c>
      <c r="N41" s="87">
        <f t="shared" ca="1" si="26"/>
        <v>0</v>
      </c>
      <c r="O41" s="86">
        <f ca="1">IFERROR(__xludf.DUMMYFUNCTION("IMPORTRANGE(""https://docs.google.com/spreadsheets/d/1-uDff_7J0KD5mKrp0Vvzr7lt3OU09vwQwhkpOPPYv2Y/edit?usp=sharing"",""งบพรบ!DW41"")"),0)</f>
        <v>0</v>
      </c>
      <c r="P41" s="86">
        <f t="shared" ca="1" si="27"/>
        <v>0</v>
      </c>
      <c r="Q41" s="87">
        <f t="shared" ca="1" si="28"/>
        <v>0</v>
      </c>
      <c r="R41" s="97">
        <f ca="1">IFERROR(__xludf.DUMMYFUNCTION("IMPORTRANGE(""https://docs.google.com/spreadsheets/d/1NexK3geCPxCTO1fzNF8dPec7yZyUx3OaWkFBC9HsQOo/edit?usp=sharing"",""ยโสธร!I292"")"),0)</f>
        <v>0</v>
      </c>
      <c r="S41" s="97">
        <f ca="1">IFERROR(__xludf.DUMMYFUNCTION("IMPORTRANGE(""https://docs.google.com/spreadsheets/d/1NexK3geCPxCTO1fzNF8dPec7yZyUx3OaWkFBC9HsQOo/edit?usp=sharing"",""ยโสธร!J292"")"),0)</f>
        <v>0</v>
      </c>
      <c r="T41" s="98">
        <f t="shared" ca="1" si="30"/>
        <v>0</v>
      </c>
      <c r="U41" s="97">
        <f ca="1">IFERROR(__xludf.DUMMYFUNCTION("IMPORTRANGE(""https://docs.google.com/spreadsheets/d/1NexK3geCPxCTO1fzNF8dPec7yZyUx3OaWkFBC9HsQOo/edit?usp=sharing"",""ยโสธร!I293"")"),0)</f>
        <v>0</v>
      </c>
      <c r="V41" s="97">
        <f ca="1">IFERROR(__xludf.DUMMYFUNCTION("IMPORTRANGE(""https://docs.google.com/spreadsheets/d/1NexK3geCPxCTO1fzNF8dPec7yZyUx3OaWkFBC9HsQOo/edit?usp=sharing"",""ยโสธร!J293"")"),0)</f>
        <v>0</v>
      </c>
      <c r="W41" s="98">
        <f t="shared" ca="1" si="32"/>
        <v>0</v>
      </c>
      <c r="X41" s="97">
        <f ca="1">IFERROR(__xludf.DUMMYFUNCTION("IMPORTRANGE(""https://docs.google.com/spreadsheets/d/1NexK3geCPxCTO1fzNF8dPec7yZyUx3OaWkFBC9HsQOo/edit?usp=sharing"",""ยโสธร!I295"")"),0)</f>
        <v>0</v>
      </c>
      <c r="Y41" s="97">
        <f ca="1">IFERROR(__xludf.DUMMYFUNCTION("IMPORTRANGE(""https://docs.google.com/spreadsheets/d/1NexK3geCPxCTO1fzNF8dPec7yZyUx3OaWkFBC9HsQOo/edit?usp=sharing"",""ยโสธร!J295"")"),0)</f>
        <v>0</v>
      </c>
      <c r="Z41" s="98">
        <f t="shared" ca="1" si="34"/>
        <v>0</v>
      </c>
      <c r="AA41" s="321">
        <f ca="1">IFERROR(__xludf.DUMMYFUNCTION("IMPORTRANGE(""https://docs.google.com/spreadsheets/d/1NexK3geCPxCTO1fzNF8dPec7yZyUx3OaWkFBC9HsQOo/edit?usp=sharing"",""ยโสธร!J296"")"),0)</f>
        <v>0</v>
      </c>
      <c r="AB41" s="322">
        <f t="shared" ca="1" si="35"/>
        <v>0</v>
      </c>
    </row>
    <row r="42" spans="1:28" ht="21" customHeight="1" x14ac:dyDescent="0.3">
      <c r="A42" s="89">
        <v>11</v>
      </c>
      <c r="B42" s="90" t="s">
        <v>68</v>
      </c>
      <c r="C42" s="174">
        <f t="shared" ca="1" si="21"/>
        <v>172920</v>
      </c>
      <c r="D42" s="175">
        <f t="shared" ca="1" si="41"/>
        <v>172920</v>
      </c>
      <c r="E42" s="176">
        <f ca="1">IFERROR(__xludf.DUMMYFUNCTION("IMPORTRANGE(""https://docs.google.com/spreadsheets/d/1-uDff_7J0KD5mKrp0Vvzr7lt3OU09vwQwhkpOPPYv2Y/edit?usp=sharing"",""งบพรบ!DP42"")"),87800)</f>
        <v>87800</v>
      </c>
      <c r="F42" s="176">
        <f ca="1">IFERROR(__xludf.DUMMYFUNCTION("IMPORTRANGE(""https://docs.google.com/spreadsheets/d/1-uDff_7J0KD5mKrp0Vvzr7lt3OU09vwQwhkpOPPYv2Y/edit?usp=sharing"",""งบพรบ!DQ42"")"),85120)</f>
        <v>85120</v>
      </c>
      <c r="G42" s="176">
        <f ca="1">IFERROR(__xludf.DUMMYFUNCTION("IMPORTRANGE(""https://docs.google.com/spreadsheets/d/1-uDff_7J0KD5mKrp0Vvzr7lt3OU09vwQwhkpOPPYv2Y/edit?usp=sharing"",""งบพรบ!DR42"")"),0)</f>
        <v>0</v>
      </c>
      <c r="H42" s="176">
        <f ca="1">IFERROR(__xludf.DUMMYFUNCTION("IMPORTRANGE(""https://docs.google.com/spreadsheets/d/1-uDff_7J0KD5mKrp0Vvzr7lt3OU09vwQwhkpOPPYv2Y/edit?usp=sharing"",""งบพรบ!DT42"")"),172920)</f>
        <v>172920</v>
      </c>
      <c r="I42" s="176">
        <f ca="1">IFERROR(__xludf.DUMMYFUNCTION("IMPORTRANGE(""https://docs.google.com/spreadsheets/d/1-uDff_7J0KD5mKrp0Vvzr7lt3OU09vwQwhkpOPPYv2Y/edit?usp=sharing"",""งบพรบ!DU42"")"),0)</f>
        <v>0</v>
      </c>
      <c r="J42" s="176">
        <f t="shared" ca="1" si="23"/>
        <v>94816.8</v>
      </c>
      <c r="K42" s="179">
        <f t="shared" ca="1" si="24"/>
        <v>54.832755031228317</v>
      </c>
      <c r="L42" s="176">
        <f ca="1">IFERROR(__xludf.DUMMYFUNCTION("IMPORTRANGE(""https://docs.google.com/spreadsheets/d/1-uDff_7J0KD5mKrp0Vvzr7lt3OU09vwQwhkpOPPYv2Y/edit?usp=sharing"",""งบพรบ!DV42"")"),94816.8)</f>
        <v>94816.8</v>
      </c>
      <c r="M42" s="87">
        <f t="shared" ca="1" si="25"/>
        <v>54.832755031228317</v>
      </c>
      <c r="N42" s="87">
        <f t="shared" ca="1" si="26"/>
        <v>54.832755031228317</v>
      </c>
      <c r="O42" s="86">
        <f ca="1">IFERROR(__xludf.DUMMYFUNCTION("IMPORTRANGE(""https://docs.google.com/spreadsheets/d/1-uDff_7J0KD5mKrp0Vvzr7lt3OU09vwQwhkpOPPYv2Y/edit?usp=sharing"",""งบพรบ!DW42"")"),0)</f>
        <v>0</v>
      </c>
      <c r="P42" s="86">
        <f t="shared" ca="1" si="27"/>
        <v>0</v>
      </c>
      <c r="Q42" s="87">
        <f t="shared" ca="1" si="28"/>
        <v>0</v>
      </c>
      <c r="R42" s="97">
        <f ca="1">IFERROR(__xludf.DUMMYFUNCTION("IMPORTRANGE(""https://docs.google.com/spreadsheets/d/1v_cJrbBlyqmnHPReHk44g9NrMRdENNlSy_E_c5M9fIg/edit?usp=sharing"",""ร้อยเอ็ด!I292"")"),300)</f>
        <v>300</v>
      </c>
      <c r="S42" s="97">
        <f ca="1">IFERROR(__xludf.DUMMYFUNCTION("IMPORTRANGE(""https://docs.google.com/spreadsheets/d/1v_cJrbBlyqmnHPReHk44g9NrMRdENNlSy_E_c5M9fIg/edit?usp=sharing"",""ร้อยเอ็ด!J292"")"),300)</f>
        <v>300</v>
      </c>
      <c r="T42" s="98">
        <f t="shared" ca="1" si="30"/>
        <v>100</v>
      </c>
      <c r="U42" s="97">
        <f ca="1">IFERROR(__xludf.DUMMYFUNCTION("IMPORTRANGE(""https://docs.google.com/spreadsheets/d/1v_cJrbBlyqmnHPReHk44g9NrMRdENNlSy_E_c5M9fIg/edit?usp=sharing"",""ร้อยเอ็ด!I293"")"),30)</f>
        <v>30</v>
      </c>
      <c r="V42" s="97">
        <f ca="1">IFERROR(__xludf.DUMMYFUNCTION("IMPORTRANGE(""https://docs.google.com/spreadsheets/d/1v_cJrbBlyqmnHPReHk44g9NrMRdENNlSy_E_c5M9fIg/edit?usp=sharing"",""ร้อยเอ็ด!J293"")"),30)</f>
        <v>30</v>
      </c>
      <c r="W42" s="98">
        <f t="shared" ca="1" si="32"/>
        <v>100</v>
      </c>
      <c r="X42" s="97">
        <f ca="1">IFERROR(__xludf.DUMMYFUNCTION("IMPORTRANGE(""https://docs.google.com/spreadsheets/d/1v_cJrbBlyqmnHPReHk44g9NrMRdENNlSy_E_c5M9fIg/edit?usp=sharing"",""ร้อยเอ็ด!I295"")"),30)</f>
        <v>30</v>
      </c>
      <c r="Y42" s="97">
        <f ca="1">IFERROR(__xludf.DUMMYFUNCTION("IMPORTRANGE(""https://docs.google.com/spreadsheets/d/1v_cJrbBlyqmnHPReHk44g9NrMRdENNlSy_E_c5M9fIg/edit?usp=sharing"",""ร้อยเอ็ด!J295"")"),30)</f>
        <v>30</v>
      </c>
      <c r="Z42" s="98">
        <f t="shared" ca="1" si="34"/>
        <v>100</v>
      </c>
      <c r="AA42" s="321">
        <f ca="1">IFERROR(__xludf.DUMMYFUNCTION("IMPORTRANGE(""https://docs.google.com/spreadsheets/d/1v_cJrbBlyqmnHPReHk44g9NrMRdENNlSy_E_c5M9fIg/edit?usp=sharing"",""ร้อยเอ็ด!J296"")"),30)</f>
        <v>30</v>
      </c>
      <c r="AB42" s="322">
        <f t="shared" ca="1" si="35"/>
        <v>100</v>
      </c>
    </row>
    <row r="43" spans="1:28" ht="21" customHeight="1" x14ac:dyDescent="0.3">
      <c r="A43" s="89">
        <v>12</v>
      </c>
      <c r="B43" s="90" t="s">
        <v>69</v>
      </c>
      <c r="C43" s="174">
        <f t="shared" ca="1" si="21"/>
        <v>0</v>
      </c>
      <c r="D43" s="175">
        <f t="shared" ca="1" si="41"/>
        <v>0</v>
      </c>
      <c r="E43" s="176">
        <f ca="1">IFERROR(__xludf.DUMMYFUNCTION("IMPORTRANGE(""https://docs.google.com/spreadsheets/d/1-uDff_7J0KD5mKrp0Vvzr7lt3OU09vwQwhkpOPPYv2Y/edit?usp=sharing"",""งบพรบ!DP43"")"),0)</f>
        <v>0</v>
      </c>
      <c r="F43" s="176">
        <f ca="1">IFERROR(__xludf.DUMMYFUNCTION("IMPORTRANGE(""https://docs.google.com/spreadsheets/d/1-uDff_7J0KD5mKrp0Vvzr7lt3OU09vwQwhkpOPPYv2Y/edit?usp=sharing"",""งบพรบ!DQ43"")"),0)</f>
        <v>0</v>
      </c>
      <c r="G43" s="176">
        <f ca="1">IFERROR(__xludf.DUMMYFUNCTION("IMPORTRANGE(""https://docs.google.com/spreadsheets/d/1-uDff_7J0KD5mKrp0Vvzr7lt3OU09vwQwhkpOPPYv2Y/edit?usp=sharing"",""งบพรบ!DR43"")"),0)</f>
        <v>0</v>
      </c>
      <c r="H43" s="176">
        <f ca="1">IFERROR(__xludf.DUMMYFUNCTION("IMPORTRANGE(""https://docs.google.com/spreadsheets/d/1-uDff_7J0KD5mKrp0Vvzr7lt3OU09vwQwhkpOPPYv2Y/edit?usp=sharing"",""งบพรบ!DT43"")"),0)</f>
        <v>0</v>
      </c>
      <c r="I43" s="176">
        <f ca="1">IFERROR(__xludf.DUMMYFUNCTION("IMPORTRANGE(""https://docs.google.com/spreadsheets/d/1-uDff_7J0KD5mKrp0Vvzr7lt3OU09vwQwhkpOPPYv2Y/edit?usp=sharing"",""งบพรบ!DU43"")"),0)</f>
        <v>0</v>
      </c>
      <c r="J43" s="176">
        <f t="shared" ca="1" si="23"/>
        <v>0</v>
      </c>
      <c r="K43" s="179">
        <f t="shared" ca="1" si="24"/>
        <v>0</v>
      </c>
      <c r="L43" s="176">
        <f ca="1">IFERROR(__xludf.DUMMYFUNCTION("IMPORTRANGE(""https://docs.google.com/spreadsheets/d/1-uDff_7J0KD5mKrp0Vvzr7lt3OU09vwQwhkpOPPYv2Y/edit?usp=sharing"",""งบพรบ!DV43"")"),0)</f>
        <v>0</v>
      </c>
      <c r="M43" s="87">
        <f t="shared" ca="1" si="25"/>
        <v>0</v>
      </c>
      <c r="N43" s="87">
        <f t="shared" ca="1" si="26"/>
        <v>0</v>
      </c>
      <c r="O43" s="86">
        <f ca="1">IFERROR(__xludf.DUMMYFUNCTION("IMPORTRANGE(""https://docs.google.com/spreadsheets/d/1-uDff_7J0KD5mKrp0Vvzr7lt3OU09vwQwhkpOPPYv2Y/edit?usp=sharing"",""งบพรบ!DW43"")"),0)</f>
        <v>0</v>
      </c>
      <c r="P43" s="86">
        <f t="shared" ca="1" si="27"/>
        <v>0</v>
      </c>
      <c r="Q43" s="87">
        <f t="shared" ca="1" si="28"/>
        <v>0</v>
      </c>
      <c r="R43" s="97">
        <f ca="1">IFERROR(__xludf.DUMMYFUNCTION("IMPORTRANGE(""https://docs.google.com/spreadsheets/d/1Ul4RCpCX66NxYADU1QpwAPjOmBzW64SsT11s1wzXw_c/edit?usp=sharing"",""เลย!I292"")"),0)</f>
        <v>0</v>
      </c>
      <c r="S43" s="97">
        <f ca="1">IFERROR(__xludf.DUMMYFUNCTION("IMPORTRANGE(""https://docs.google.com/spreadsheets/d/1Ul4RCpCX66NxYADU1QpwAPjOmBzW64SsT11s1wzXw_c/edit?usp=sharing"",""เลย!J292"")"),0)</f>
        <v>0</v>
      </c>
      <c r="T43" s="98">
        <f t="shared" ca="1" si="30"/>
        <v>0</v>
      </c>
      <c r="U43" s="97">
        <f ca="1">IFERROR(__xludf.DUMMYFUNCTION("IMPORTRANGE(""https://docs.google.com/spreadsheets/d/1Ul4RCpCX66NxYADU1QpwAPjOmBzW64SsT11s1wzXw_c/edit?usp=sharing"",""เลย!I293"")"),0)</f>
        <v>0</v>
      </c>
      <c r="V43" s="97">
        <f ca="1">IFERROR(__xludf.DUMMYFUNCTION("IMPORTRANGE(""https://docs.google.com/spreadsheets/d/1Ul4RCpCX66NxYADU1QpwAPjOmBzW64SsT11s1wzXw_c/edit?usp=sharing"",""เลย!J293"")"),0)</f>
        <v>0</v>
      </c>
      <c r="W43" s="98">
        <f t="shared" ca="1" si="32"/>
        <v>0</v>
      </c>
      <c r="X43" s="97">
        <f ca="1">IFERROR(__xludf.DUMMYFUNCTION("IMPORTRANGE(""https://docs.google.com/spreadsheets/d/1Ul4RCpCX66NxYADU1QpwAPjOmBzW64SsT11s1wzXw_c/edit?usp=sharing"",""เลย!I295"")"),0)</f>
        <v>0</v>
      </c>
      <c r="Y43" s="97">
        <f ca="1">IFERROR(__xludf.DUMMYFUNCTION("IMPORTRANGE(""https://docs.google.com/spreadsheets/d/1Ul4RCpCX66NxYADU1QpwAPjOmBzW64SsT11s1wzXw_c/edit?usp=sharing"",""เลย!J295"")"),0)</f>
        <v>0</v>
      </c>
      <c r="Z43" s="98">
        <f t="shared" ca="1" si="34"/>
        <v>0</v>
      </c>
      <c r="AA43" s="321">
        <f ca="1">IFERROR(__xludf.DUMMYFUNCTION("IMPORTRANGE(""https://docs.google.com/spreadsheets/d/1Ul4RCpCX66NxYADU1QpwAPjOmBzW64SsT11s1wzXw_c/edit?usp=sharing"",""เลย!J296"")"),0)</f>
        <v>0</v>
      </c>
      <c r="AB43" s="322">
        <f t="shared" ca="1" si="35"/>
        <v>0</v>
      </c>
    </row>
    <row r="44" spans="1:28" ht="21" customHeight="1" x14ac:dyDescent="0.3">
      <c r="A44" s="89">
        <v>13</v>
      </c>
      <c r="B44" s="90" t="s">
        <v>70</v>
      </c>
      <c r="C44" s="174">
        <f t="shared" ca="1" si="21"/>
        <v>0</v>
      </c>
      <c r="D44" s="175">
        <f t="shared" ca="1" si="41"/>
        <v>0</v>
      </c>
      <c r="E44" s="176">
        <f ca="1">IFERROR(__xludf.DUMMYFUNCTION("IMPORTRANGE(""https://docs.google.com/spreadsheets/d/1-uDff_7J0KD5mKrp0Vvzr7lt3OU09vwQwhkpOPPYv2Y/edit?usp=sharing"",""งบพรบ!DP44"")"),0)</f>
        <v>0</v>
      </c>
      <c r="F44" s="176">
        <f ca="1">IFERROR(__xludf.DUMMYFUNCTION("IMPORTRANGE(""https://docs.google.com/spreadsheets/d/1-uDff_7J0KD5mKrp0Vvzr7lt3OU09vwQwhkpOPPYv2Y/edit?usp=sharing"",""งบพรบ!DQ44"")"),0)</f>
        <v>0</v>
      </c>
      <c r="G44" s="176">
        <f ca="1">IFERROR(__xludf.DUMMYFUNCTION("IMPORTRANGE(""https://docs.google.com/spreadsheets/d/1-uDff_7J0KD5mKrp0Vvzr7lt3OU09vwQwhkpOPPYv2Y/edit?usp=sharing"",""งบพรบ!DR44"")"),0)</f>
        <v>0</v>
      </c>
      <c r="H44" s="176">
        <f ca="1">IFERROR(__xludf.DUMMYFUNCTION("IMPORTRANGE(""https://docs.google.com/spreadsheets/d/1-uDff_7J0KD5mKrp0Vvzr7lt3OU09vwQwhkpOPPYv2Y/edit?usp=sharing"",""งบพรบ!DT44"")"),0)</f>
        <v>0</v>
      </c>
      <c r="I44" s="176">
        <f ca="1">IFERROR(__xludf.DUMMYFUNCTION("IMPORTRANGE(""https://docs.google.com/spreadsheets/d/1-uDff_7J0KD5mKrp0Vvzr7lt3OU09vwQwhkpOPPYv2Y/edit?usp=sharing"",""งบพรบ!DU44"")"),0)</f>
        <v>0</v>
      </c>
      <c r="J44" s="176">
        <f t="shared" ca="1" si="23"/>
        <v>0</v>
      </c>
      <c r="K44" s="179">
        <f t="shared" ca="1" si="24"/>
        <v>0</v>
      </c>
      <c r="L44" s="176">
        <f ca="1">IFERROR(__xludf.DUMMYFUNCTION("IMPORTRANGE(""https://docs.google.com/spreadsheets/d/1-uDff_7J0KD5mKrp0Vvzr7lt3OU09vwQwhkpOPPYv2Y/edit?usp=sharing"",""งบพรบ!DV44"")"),0)</f>
        <v>0</v>
      </c>
      <c r="M44" s="87">
        <f t="shared" ca="1" si="25"/>
        <v>0</v>
      </c>
      <c r="N44" s="87">
        <f t="shared" ca="1" si="26"/>
        <v>0</v>
      </c>
      <c r="O44" s="86">
        <f ca="1">IFERROR(__xludf.DUMMYFUNCTION("IMPORTRANGE(""https://docs.google.com/spreadsheets/d/1-uDff_7J0KD5mKrp0Vvzr7lt3OU09vwQwhkpOPPYv2Y/edit?usp=sharing"",""งบพรบ!DW44"")"),0)</f>
        <v>0</v>
      </c>
      <c r="P44" s="86">
        <f t="shared" ca="1" si="27"/>
        <v>0</v>
      </c>
      <c r="Q44" s="87">
        <f t="shared" ca="1" si="28"/>
        <v>0</v>
      </c>
      <c r="R44" s="97">
        <f ca="1">IFERROR(__xludf.DUMMYFUNCTION("IMPORTRANGE(""https://docs.google.com/spreadsheets/d/1bRrNKwbHDVktQG10isr5vbWRtt5spIZPpkOSWgbT5ug/edit?usp=sharing"",""ศรีสะเกษ!I292"")"),0)</f>
        <v>0</v>
      </c>
      <c r="S44" s="97">
        <f ca="1">IFERROR(__xludf.DUMMYFUNCTION("IMPORTRANGE(""https://docs.google.com/spreadsheets/d/1bRrNKwbHDVktQG10isr5vbWRtt5spIZPpkOSWgbT5ug/edit?usp=sharing"",""ศรีสะเกษ!J292"")"),0)</f>
        <v>0</v>
      </c>
      <c r="T44" s="98">
        <f t="shared" ca="1" si="30"/>
        <v>0</v>
      </c>
      <c r="U44" s="97">
        <f ca="1">IFERROR(__xludf.DUMMYFUNCTION("IMPORTRANGE(""https://docs.google.com/spreadsheets/d/1bRrNKwbHDVktQG10isr5vbWRtt5spIZPpkOSWgbT5ug/edit?usp=sharing"",""ศรีสะเกษ!I293"")"),0)</f>
        <v>0</v>
      </c>
      <c r="V44" s="97">
        <f ca="1">IFERROR(__xludf.DUMMYFUNCTION("IMPORTRANGE(""https://docs.google.com/spreadsheets/d/1bRrNKwbHDVktQG10isr5vbWRtt5spIZPpkOSWgbT5ug/edit?usp=sharing"",""ศรีสะเกษ!J293"")"),0)</f>
        <v>0</v>
      </c>
      <c r="W44" s="98">
        <f t="shared" ca="1" si="32"/>
        <v>0</v>
      </c>
      <c r="X44" s="97">
        <f ca="1">IFERROR(__xludf.DUMMYFUNCTION("IMPORTRANGE(""https://docs.google.com/spreadsheets/d/1bRrNKwbHDVktQG10isr5vbWRtt5spIZPpkOSWgbT5ug/edit?usp=sharing"",""ศรีสะเกษ!I295"")"),0)</f>
        <v>0</v>
      </c>
      <c r="Y44" s="97">
        <f ca="1">IFERROR(__xludf.DUMMYFUNCTION("IMPORTRANGE(""https://docs.google.com/spreadsheets/d/1bRrNKwbHDVktQG10isr5vbWRtt5spIZPpkOSWgbT5ug/edit?usp=sharing"",""ศรีสะเกษ!J295"")"),0)</f>
        <v>0</v>
      </c>
      <c r="Z44" s="98">
        <f t="shared" ca="1" si="34"/>
        <v>0</v>
      </c>
      <c r="AA44" s="321">
        <f ca="1">IFERROR(__xludf.DUMMYFUNCTION("IMPORTRANGE(""https://docs.google.com/spreadsheets/d/1bRrNKwbHDVktQG10isr5vbWRtt5spIZPpkOSWgbT5ug/edit?usp=sharing"",""ศรีสะเกษ!J296"")"),0)</f>
        <v>0</v>
      </c>
      <c r="AB44" s="322">
        <f t="shared" ca="1" si="35"/>
        <v>0</v>
      </c>
    </row>
    <row r="45" spans="1:28" ht="21" customHeight="1" x14ac:dyDescent="0.3">
      <c r="A45" s="89">
        <v>14</v>
      </c>
      <c r="B45" s="90" t="s">
        <v>71</v>
      </c>
      <c r="C45" s="174">
        <f t="shared" ca="1" si="21"/>
        <v>175420</v>
      </c>
      <c r="D45" s="175">
        <f t="shared" ca="1" si="41"/>
        <v>175420</v>
      </c>
      <c r="E45" s="176">
        <f ca="1">IFERROR(__xludf.DUMMYFUNCTION("IMPORTRANGE(""https://docs.google.com/spreadsheets/d/1-uDff_7J0KD5mKrp0Vvzr7lt3OU09vwQwhkpOPPYv2Y/edit?usp=sharing"",""งบพรบ!DP45"")"),90300)</f>
        <v>90300</v>
      </c>
      <c r="F45" s="176">
        <f ca="1">IFERROR(__xludf.DUMMYFUNCTION("IMPORTRANGE(""https://docs.google.com/spreadsheets/d/1-uDff_7J0KD5mKrp0Vvzr7lt3OU09vwQwhkpOPPYv2Y/edit?usp=sharing"",""งบพรบ!DQ45"")"),85120)</f>
        <v>85120</v>
      </c>
      <c r="G45" s="176">
        <f ca="1">IFERROR(__xludf.DUMMYFUNCTION("IMPORTRANGE(""https://docs.google.com/spreadsheets/d/1-uDff_7J0KD5mKrp0Vvzr7lt3OU09vwQwhkpOPPYv2Y/edit?usp=sharing"",""งบพรบ!DR45"")"),0)</f>
        <v>0</v>
      </c>
      <c r="H45" s="176">
        <f ca="1">IFERROR(__xludf.DUMMYFUNCTION("IMPORTRANGE(""https://docs.google.com/spreadsheets/d/1-uDff_7J0KD5mKrp0Vvzr7lt3OU09vwQwhkpOPPYv2Y/edit?usp=sharing"",""งบพรบ!DT45"")"),175420)</f>
        <v>175420</v>
      </c>
      <c r="I45" s="176">
        <f ca="1">IFERROR(__xludf.DUMMYFUNCTION("IMPORTRANGE(""https://docs.google.com/spreadsheets/d/1-uDff_7J0KD5mKrp0Vvzr7lt3OU09vwQwhkpOPPYv2Y/edit?usp=sharing"",""งบพรบ!DU45"")"),0)</f>
        <v>0</v>
      </c>
      <c r="J45" s="176">
        <f t="shared" ca="1" si="23"/>
        <v>73662.399999999994</v>
      </c>
      <c r="K45" s="179">
        <f t="shared" ca="1" si="24"/>
        <v>41.992019154030324</v>
      </c>
      <c r="L45" s="176">
        <f ca="1">IFERROR(__xludf.DUMMYFUNCTION("IMPORTRANGE(""https://docs.google.com/spreadsheets/d/1-uDff_7J0KD5mKrp0Vvzr7lt3OU09vwQwhkpOPPYv2Y/edit?usp=sharing"",""งบพรบ!DV45"")"),73662.4)</f>
        <v>73662.399999999994</v>
      </c>
      <c r="M45" s="87">
        <f t="shared" ca="1" si="25"/>
        <v>41.992019154030324</v>
      </c>
      <c r="N45" s="87">
        <f t="shared" ca="1" si="26"/>
        <v>41.992019154030324</v>
      </c>
      <c r="O45" s="86">
        <f ca="1">IFERROR(__xludf.DUMMYFUNCTION("IMPORTRANGE(""https://docs.google.com/spreadsheets/d/1-uDff_7J0KD5mKrp0Vvzr7lt3OU09vwQwhkpOPPYv2Y/edit?usp=sharing"",""งบพรบ!DW45"")"),0)</f>
        <v>0</v>
      </c>
      <c r="P45" s="86">
        <f t="shared" ca="1" si="27"/>
        <v>0</v>
      </c>
      <c r="Q45" s="87">
        <f t="shared" ca="1" si="28"/>
        <v>0</v>
      </c>
      <c r="R45" s="97">
        <f ca="1">IFERROR(__xludf.DUMMYFUNCTION("IMPORTRANGE(""https://docs.google.com/spreadsheets/d/17P34_Ow5kFBfdQD0qspb2UuPX5zpi6WMrQzslghyvrI/edit?usp=sharing"",""สกลนคร!I292"")"),300)</f>
        <v>300</v>
      </c>
      <c r="S45" s="97">
        <f ca="1">IFERROR(__xludf.DUMMYFUNCTION("IMPORTRANGE(""https://docs.google.com/spreadsheets/d/17P34_Ow5kFBfdQD0qspb2UuPX5zpi6WMrQzslghyvrI/edit?usp=sharing"",""สกลนคร!J292"")"),0)</f>
        <v>0</v>
      </c>
      <c r="T45" s="98">
        <f t="shared" ca="1" si="30"/>
        <v>0</v>
      </c>
      <c r="U45" s="97">
        <f ca="1">IFERROR(__xludf.DUMMYFUNCTION("IMPORTRANGE(""https://docs.google.com/spreadsheets/d/17P34_Ow5kFBfdQD0qspb2UuPX5zpi6WMrQzslghyvrI/edit?usp=sharing"",""สกลนคร!I293"")"),30)</f>
        <v>30</v>
      </c>
      <c r="V45" s="97">
        <f ca="1">IFERROR(__xludf.DUMMYFUNCTION("IMPORTRANGE(""https://docs.google.com/spreadsheets/d/17P34_Ow5kFBfdQD0qspb2UuPX5zpi6WMrQzslghyvrI/edit?usp=sharing"",""สกลนคร!J293"")"),0)</f>
        <v>0</v>
      </c>
      <c r="W45" s="98">
        <f t="shared" ca="1" si="32"/>
        <v>0</v>
      </c>
      <c r="X45" s="97">
        <f ca="1">IFERROR(__xludf.DUMMYFUNCTION("IMPORTRANGE(""https://docs.google.com/spreadsheets/d/17P34_Ow5kFBfdQD0qspb2UuPX5zpi6WMrQzslghyvrI/edit?usp=sharing"",""สกลนคร!I295"")"),30)</f>
        <v>30</v>
      </c>
      <c r="Y45" s="97">
        <f ca="1">IFERROR(__xludf.DUMMYFUNCTION("IMPORTRANGE(""https://docs.google.com/spreadsheets/d/17P34_Ow5kFBfdQD0qspb2UuPX5zpi6WMrQzslghyvrI/edit?usp=sharing"",""สกลนคร!J295"")"),0)</f>
        <v>0</v>
      </c>
      <c r="Z45" s="98">
        <f t="shared" ca="1" si="34"/>
        <v>0</v>
      </c>
      <c r="AA45" s="321">
        <f ca="1">IFERROR(__xludf.DUMMYFUNCTION("IMPORTRANGE(""https://docs.google.com/spreadsheets/d/17P34_Ow5kFBfdQD0qspb2UuPX5zpi6WMrQzslghyvrI/edit?usp=sharing"",""สกลนคร!J296"")"),0)</f>
        <v>0</v>
      </c>
      <c r="AB45" s="322">
        <f t="shared" ca="1" si="35"/>
        <v>0</v>
      </c>
    </row>
    <row r="46" spans="1:28" ht="21" customHeight="1" x14ac:dyDescent="0.3">
      <c r="A46" s="89">
        <v>15</v>
      </c>
      <c r="B46" s="90" t="s">
        <v>72</v>
      </c>
      <c r="C46" s="174">
        <f t="shared" ca="1" si="21"/>
        <v>153520</v>
      </c>
      <c r="D46" s="175">
        <f t="shared" ca="1" si="41"/>
        <v>153520</v>
      </c>
      <c r="E46" s="176">
        <f ca="1">IFERROR(__xludf.DUMMYFUNCTION("IMPORTRANGE(""https://docs.google.com/spreadsheets/d/1-uDff_7J0KD5mKrp0Vvzr7lt3OU09vwQwhkpOPPYv2Y/edit?usp=sharing"",""งบพรบ!DP46"")"),83400)</f>
        <v>83400</v>
      </c>
      <c r="F46" s="176">
        <f ca="1">IFERROR(__xludf.DUMMYFUNCTION("IMPORTRANGE(""https://docs.google.com/spreadsheets/d/1-uDff_7J0KD5mKrp0Vvzr7lt3OU09vwQwhkpOPPYv2Y/edit?usp=sharing"",""งบพรบ!DQ46"")"),70120)</f>
        <v>70120</v>
      </c>
      <c r="G46" s="176">
        <f ca="1">IFERROR(__xludf.DUMMYFUNCTION("IMPORTRANGE(""https://docs.google.com/spreadsheets/d/1-uDff_7J0KD5mKrp0Vvzr7lt3OU09vwQwhkpOPPYv2Y/edit?usp=sharing"",""งบพรบ!DR46"")"),0)</f>
        <v>0</v>
      </c>
      <c r="H46" s="176">
        <f ca="1">IFERROR(__xludf.DUMMYFUNCTION("IMPORTRANGE(""https://docs.google.com/spreadsheets/d/1-uDff_7J0KD5mKrp0Vvzr7lt3OU09vwQwhkpOPPYv2Y/edit?usp=sharing"",""งบพรบ!DT46"")"),153520)</f>
        <v>153520</v>
      </c>
      <c r="I46" s="176">
        <f ca="1">IFERROR(__xludf.DUMMYFUNCTION("IMPORTRANGE(""https://docs.google.com/spreadsheets/d/1-uDff_7J0KD5mKrp0Vvzr7lt3OU09vwQwhkpOPPYv2Y/edit?usp=sharing"",""งบพรบ!DU46"")"),0)</f>
        <v>0</v>
      </c>
      <c r="J46" s="176">
        <f t="shared" ca="1" si="23"/>
        <v>88298.9</v>
      </c>
      <c r="K46" s="179">
        <f t="shared" ca="1" si="24"/>
        <v>57.516219385096406</v>
      </c>
      <c r="L46" s="176">
        <f ca="1">IFERROR(__xludf.DUMMYFUNCTION("IMPORTRANGE(""https://docs.google.com/spreadsheets/d/1-uDff_7J0KD5mKrp0Vvzr7lt3OU09vwQwhkpOPPYv2Y/edit?usp=sharing"",""งบพรบ!DV46"")"),88298.9)</f>
        <v>88298.9</v>
      </c>
      <c r="M46" s="87">
        <f t="shared" ca="1" si="25"/>
        <v>57.516219385096406</v>
      </c>
      <c r="N46" s="87">
        <f t="shared" ca="1" si="26"/>
        <v>57.516219385096406</v>
      </c>
      <c r="O46" s="86">
        <f ca="1">IFERROR(__xludf.DUMMYFUNCTION("IMPORTRANGE(""https://docs.google.com/spreadsheets/d/1-uDff_7J0KD5mKrp0Vvzr7lt3OU09vwQwhkpOPPYv2Y/edit?usp=sharing"",""งบพรบ!DW46"")"),0)</f>
        <v>0</v>
      </c>
      <c r="P46" s="86">
        <f t="shared" ca="1" si="27"/>
        <v>0</v>
      </c>
      <c r="Q46" s="87">
        <f t="shared" ca="1" si="28"/>
        <v>0</v>
      </c>
      <c r="R46" s="97">
        <f ca="1">IFERROR(__xludf.DUMMYFUNCTION("IMPORTRANGE(""https://docs.google.com/spreadsheets/d/1yswqbM3-AEpThF3ZSUa1AcmHnmRTF1vlJ1CZGcJ8YuU/edit?usp=sharing"",""สุรินทร์!I292"")"),200)</f>
        <v>200</v>
      </c>
      <c r="S46" s="97">
        <f ca="1">IFERROR(__xludf.DUMMYFUNCTION("IMPORTRANGE(""https://docs.google.com/spreadsheets/d/1yswqbM3-AEpThF3ZSUa1AcmHnmRTF1vlJ1CZGcJ8YuU/edit?usp=sharing"",""สุรินทร์!J292"")"),0)</f>
        <v>0</v>
      </c>
      <c r="T46" s="98">
        <f t="shared" ca="1" si="30"/>
        <v>0</v>
      </c>
      <c r="U46" s="97">
        <f ca="1">IFERROR(__xludf.DUMMYFUNCTION("IMPORTRANGE(""https://docs.google.com/spreadsheets/d/1yswqbM3-AEpThF3ZSUa1AcmHnmRTF1vlJ1CZGcJ8YuU/edit?usp=sharing"",""สุรินทร์!I293"")"),20)</f>
        <v>20</v>
      </c>
      <c r="V46" s="97">
        <f ca="1">IFERROR(__xludf.DUMMYFUNCTION("IMPORTRANGE(""https://docs.google.com/spreadsheets/d/1yswqbM3-AEpThF3ZSUa1AcmHnmRTF1vlJ1CZGcJ8YuU/edit?usp=sharing"",""สุรินทร์!J293"")"),0)</f>
        <v>0</v>
      </c>
      <c r="W46" s="98">
        <f t="shared" ca="1" si="32"/>
        <v>0</v>
      </c>
      <c r="X46" s="97">
        <f ca="1">IFERROR(__xludf.DUMMYFUNCTION("IMPORTRANGE(""https://docs.google.com/spreadsheets/d/1yswqbM3-AEpThF3ZSUa1AcmHnmRTF1vlJ1CZGcJ8YuU/edit?usp=sharing"",""สุรินทร์!I295"")"),20)</f>
        <v>20</v>
      </c>
      <c r="Y46" s="97">
        <f ca="1">IFERROR(__xludf.DUMMYFUNCTION("IMPORTRANGE(""https://docs.google.com/spreadsheets/d/1yswqbM3-AEpThF3ZSUa1AcmHnmRTF1vlJ1CZGcJ8YuU/edit?usp=sharing"",""สุรินทร์!J295"")"),0)</f>
        <v>0</v>
      </c>
      <c r="Z46" s="98">
        <f t="shared" ca="1" si="34"/>
        <v>0</v>
      </c>
      <c r="AA46" s="321">
        <f ca="1">IFERROR(__xludf.DUMMYFUNCTION("IMPORTRANGE(""https://docs.google.com/spreadsheets/d/1yswqbM3-AEpThF3ZSUa1AcmHnmRTF1vlJ1CZGcJ8YuU/edit?usp=sharing"",""สุรินทร์!J296"")"),0)</f>
        <v>0</v>
      </c>
      <c r="AB46" s="322">
        <f t="shared" ca="1" si="35"/>
        <v>0</v>
      </c>
    </row>
    <row r="47" spans="1:28" ht="21" customHeight="1" x14ac:dyDescent="0.3">
      <c r="A47" s="89">
        <v>16</v>
      </c>
      <c r="B47" s="90" t="s">
        <v>73</v>
      </c>
      <c r="C47" s="174">
        <f t="shared" ca="1" si="21"/>
        <v>0</v>
      </c>
      <c r="D47" s="175">
        <f t="shared" ca="1" si="41"/>
        <v>0</v>
      </c>
      <c r="E47" s="176">
        <f ca="1">IFERROR(__xludf.DUMMYFUNCTION("IMPORTRANGE(""https://docs.google.com/spreadsheets/d/1-uDff_7J0KD5mKrp0Vvzr7lt3OU09vwQwhkpOPPYv2Y/edit?usp=sharing"",""งบพรบ!DP47"")"),0)</f>
        <v>0</v>
      </c>
      <c r="F47" s="176">
        <f ca="1">IFERROR(__xludf.DUMMYFUNCTION("IMPORTRANGE(""https://docs.google.com/spreadsheets/d/1-uDff_7J0KD5mKrp0Vvzr7lt3OU09vwQwhkpOPPYv2Y/edit?usp=sharing"",""งบพรบ!DQ47"")"),0)</f>
        <v>0</v>
      </c>
      <c r="G47" s="176">
        <f ca="1">IFERROR(__xludf.DUMMYFUNCTION("IMPORTRANGE(""https://docs.google.com/spreadsheets/d/1-uDff_7J0KD5mKrp0Vvzr7lt3OU09vwQwhkpOPPYv2Y/edit?usp=sharing"",""งบพรบ!DR47"")"),0)</f>
        <v>0</v>
      </c>
      <c r="H47" s="176">
        <f ca="1">IFERROR(__xludf.DUMMYFUNCTION("IMPORTRANGE(""https://docs.google.com/spreadsheets/d/1-uDff_7J0KD5mKrp0Vvzr7lt3OU09vwQwhkpOPPYv2Y/edit?usp=sharing"",""งบพรบ!DT47"")"),0)</f>
        <v>0</v>
      </c>
      <c r="I47" s="176">
        <f ca="1">IFERROR(__xludf.DUMMYFUNCTION("IMPORTRANGE(""https://docs.google.com/spreadsheets/d/1-uDff_7J0KD5mKrp0Vvzr7lt3OU09vwQwhkpOPPYv2Y/edit?usp=sharing"",""งบพรบ!DU47"")"),0)</f>
        <v>0</v>
      </c>
      <c r="J47" s="176">
        <f t="shared" ca="1" si="23"/>
        <v>0</v>
      </c>
      <c r="K47" s="179">
        <f t="shared" ca="1" si="24"/>
        <v>0</v>
      </c>
      <c r="L47" s="176">
        <f ca="1">IFERROR(__xludf.DUMMYFUNCTION("IMPORTRANGE(""https://docs.google.com/spreadsheets/d/1-uDff_7J0KD5mKrp0Vvzr7lt3OU09vwQwhkpOPPYv2Y/edit?usp=sharing"",""งบพรบ!DV47"")"),0)</f>
        <v>0</v>
      </c>
      <c r="M47" s="87">
        <f t="shared" ca="1" si="25"/>
        <v>0</v>
      </c>
      <c r="N47" s="87">
        <f t="shared" ca="1" si="26"/>
        <v>0</v>
      </c>
      <c r="O47" s="86">
        <f ca="1">IFERROR(__xludf.DUMMYFUNCTION("IMPORTRANGE(""https://docs.google.com/spreadsheets/d/1-uDff_7J0KD5mKrp0Vvzr7lt3OU09vwQwhkpOPPYv2Y/edit?usp=sharing"",""งบพรบ!DW47"")"),0)</f>
        <v>0</v>
      </c>
      <c r="P47" s="86">
        <f t="shared" ca="1" si="27"/>
        <v>0</v>
      </c>
      <c r="Q47" s="87">
        <f t="shared" ca="1" si="28"/>
        <v>0</v>
      </c>
      <c r="R47" s="97">
        <f ca="1">IFERROR(__xludf.DUMMYFUNCTION("IMPORTRANGE(""https://docs.google.com/spreadsheets/d/13JHU_EFbsQOUQ0JSQ3dWy1VTRosIWcDq6Nc99z2qzdc/edit?usp=sharing"",""หนองคาย!I292"")"),0)</f>
        <v>0</v>
      </c>
      <c r="S47" s="97">
        <f ca="1">IFERROR(__xludf.DUMMYFUNCTION("IMPORTRANGE(""https://docs.google.com/spreadsheets/d/13JHU_EFbsQOUQ0JSQ3dWy1VTRosIWcDq6Nc99z2qzdc/edit?usp=sharing"",""หนองคาย!J292"")"),0)</f>
        <v>0</v>
      </c>
      <c r="T47" s="98">
        <f t="shared" ca="1" si="30"/>
        <v>0</v>
      </c>
      <c r="U47" s="97">
        <f ca="1">IFERROR(__xludf.DUMMYFUNCTION("IMPORTRANGE(""https://docs.google.com/spreadsheets/d/13JHU_EFbsQOUQ0JSQ3dWy1VTRosIWcDq6Nc99z2qzdc/edit?usp=sharing"",""หนองคาย!I293"")"),0)</f>
        <v>0</v>
      </c>
      <c r="V47" s="97">
        <f ca="1">IFERROR(__xludf.DUMMYFUNCTION("IMPORTRANGE(""https://docs.google.com/spreadsheets/d/13JHU_EFbsQOUQ0JSQ3dWy1VTRosIWcDq6Nc99z2qzdc/edit?usp=sharing"",""หนองคาย!J293"")"),0)</f>
        <v>0</v>
      </c>
      <c r="W47" s="98">
        <f t="shared" ca="1" si="32"/>
        <v>0</v>
      </c>
      <c r="X47" s="97">
        <f ca="1">IFERROR(__xludf.DUMMYFUNCTION("IMPORTRANGE(""https://docs.google.com/spreadsheets/d/13JHU_EFbsQOUQ0JSQ3dWy1VTRosIWcDq6Nc99z2qzdc/edit?usp=sharing"",""หนองคาย!I295"")"),0)</f>
        <v>0</v>
      </c>
      <c r="Y47" s="97">
        <f ca="1">IFERROR(__xludf.DUMMYFUNCTION("IMPORTRANGE(""https://docs.google.com/spreadsheets/d/13JHU_EFbsQOUQ0JSQ3dWy1VTRosIWcDq6Nc99z2qzdc/edit?usp=sharing"",""หนองคาย!J295"")"),0)</f>
        <v>0</v>
      </c>
      <c r="Z47" s="98">
        <f t="shared" ca="1" si="34"/>
        <v>0</v>
      </c>
      <c r="AA47" s="321">
        <f ca="1">IFERROR(__xludf.DUMMYFUNCTION("IMPORTRANGE(""https://docs.google.com/spreadsheets/d/13JHU_EFbsQOUQ0JSQ3dWy1VTRosIWcDq6Nc99z2qzdc/edit?usp=sharing"",""หนองคาย!J296"")"),0)</f>
        <v>0</v>
      </c>
      <c r="AB47" s="322">
        <f t="shared" ca="1" si="35"/>
        <v>0</v>
      </c>
    </row>
    <row r="48" spans="1:28" ht="21" customHeight="1" x14ac:dyDescent="0.3">
      <c r="A48" s="89">
        <v>17</v>
      </c>
      <c r="B48" s="90" t="s">
        <v>74</v>
      </c>
      <c r="C48" s="174">
        <f t="shared" ca="1" si="21"/>
        <v>0</v>
      </c>
      <c r="D48" s="175">
        <f t="shared" ca="1" si="41"/>
        <v>0</v>
      </c>
      <c r="E48" s="176">
        <f ca="1">IFERROR(__xludf.DUMMYFUNCTION("IMPORTRANGE(""https://docs.google.com/spreadsheets/d/1-uDff_7J0KD5mKrp0Vvzr7lt3OU09vwQwhkpOPPYv2Y/edit?usp=sharing"",""งบพรบ!DP48"")"),0)</f>
        <v>0</v>
      </c>
      <c r="F48" s="176">
        <f ca="1">IFERROR(__xludf.DUMMYFUNCTION("IMPORTRANGE(""https://docs.google.com/spreadsheets/d/1-uDff_7J0KD5mKrp0Vvzr7lt3OU09vwQwhkpOPPYv2Y/edit?usp=sharing"",""งบพรบ!DQ48"")"),0)</f>
        <v>0</v>
      </c>
      <c r="G48" s="176">
        <f ca="1">IFERROR(__xludf.DUMMYFUNCTION("IMPORTRANGE(""https://docs.google.com/spreadsheets/d/1-uDff_7J0KD5mKrp0Vvzr7lt3OU09vwQwhkpOPPYv2Y/edit?usp=sharing"",""งบพรบ!DR48"")"),0)</f>
        <v>0</v>
      </c>
      <c r="H48" s="176">
        <f ca="1">IFERROR(__xludf.DUMMYFUNCTION("IMPORTRANGE(""https://docs.google.com/spreadsheets/d/1-uDff_7J0KD5mKrp0Vvzr7lt3OU09vwQwhkpOPPYv2Y/edit?usp=sharing"",""งบพรบ!DT48"")"),0)</f>
        <v>0</v>
      </c>
      <c r="I48" s="176">
        <f ca="1">IFERROR(__xludf.DUMMYFUNCTION("IMPORTRANGE(""https://docs.google.com/spreadsheets/d/1-uDff_7J0KD5mKrp0Vvzr7lt3OU09vwQwhkpOPPYv2Y/edit?usp=sharing"",""งบพรบ!DU48"")"),0)</f>
        <v>0</v>
      </c>
      <c r="J48" s="176">
        <f t="shared" ca="1" si="23"/>
        <v>0</v>
      </c>
      <c r="K48" s="179">
        <f t="shared" ca="1" si="24"/>
        <v>0</v>
      </c>
      <c r="L48" s="176">
        <f ca="1">IFERROR(__xludf.DUMMYFUNCTION("IMPORTRANGE(""https://docs.google.com/spreadsheets/d/1-uDff_7J0KD5mKrp0Vvzr7lt3OU09vwQwhkpOPPYv2Y/edit?usp=sharing"",""งบพรบ!DV48"")"),0)</f>
        <v>0</v>
      </c>
      <c r="M48" s="87">
        <f t="shared" ca="1" si="25"/>
        <v>0</v>
      </c>
      <c r="N48" s="87">
        <f t="shared" ca="1" si="26"/>
        <v>0</v>
      </c>
      <c r="O48" s="86">
        <f ca="1">IFERROR(__xludf.DUMMYFUNCTION("IMPORTRANGE(""https://docs.google.com/spreadsheets/d/1-uDff_7J0KD5mKrp0Vvzr7lt3OU09vwQwhkpOPPYv2Y/edit?usp=sharing"",""งบพรบ!DW48"")"),0)</f>
        <v>0</v>
      </c>
      <c r="P48" s="86">
        <f t="shared" ca="1" si="27"/>
        <v>0</v>
      </c>
      <c r="Q48" s="87">
        <f t="shared" ca="1" si="28"/>
        <v>0</v>
      </c>
      <c r="R48" s="97">
        <f ca="1">IFERROR(__xludf.DUMMYFUNCTION("IMPORTRANGE(""https://docs.google.com/spreadsheets/d/1Hx73zIEgVdDZZaYSTc46Dqv64atFhpr3GelxLbaIN8A/edit?usp=sharing"",""หนองบัวลำภู!I292"")"),0)</f>
        <v>0</v>
      </c>
      <c r="S48" s="97">
        <f ca="1">IFERROR(__xludf.DUMMYFUNCTION("IMPORTRANGE(""https://docs.google.com/spreadsheets/d/1Hx73zIEgVdDZZaYSTc46Dqv64atFhpr3GelxLbaIN8A/edit?usp=sharing"",""หนองบัวลำภู!J292"")"),0)</f>
        <v>0</v>
      </c>
      <c r="T48" s="98">
        <f t="shared" ca="1" si="30"/>
        <v>0</v>
      </c>
      <c r="U48" s="97">
        <f ca="1">IFERROR(__xludf.DUMMYFUNCTION("IMPORTRANGE(""https://docs.google.com/spreadsheets/d/1Hx73zIEgVdDZZaYSTc46Dqv64atFhpr3GelxLbaIN8A/edit?usp=sharing"",""หนองบัวลำภู!I293"")"),0)</f>
        <v>0</v>
      </c>
      <c r="V48" s="97">
        <f ca="1">IFERROR(__xludf.DUMMYFUNCTION("IMPORTRANGE(""https://docs.google.com/spreadsheets/d/1Hx73zIEgVdDZZaYSTc46Dqv64atFhpr3GelxLbaIN8A/edit?usp=sharing"",""หนองบัวลำภู!J293"")"),0)</f>
        <v>0</v>
      </c>
      <c r="W48" s="98">
        <f t="shared" ca="1" si="32"/>
        <v>0</v>
      </c>
      <c r="X48" s="97">
        <f ca="1">IFERROR(__xludf.DUMMYFUNCTION("IMPORTRANGE(""https://docs.google.com/spreadsheets/d/1Hx73zIEgVdDZZaYSTc46Dqv64atFhpr3GelxLbaIN8A/edit?usp=sharing"",""หนองบัวลำภู!I295"")"),0)</f>
        <v>0</v>
      </c>
      <c r="Y48" s="97">
        <f ca="1">IFERROR(__xludf.DUMMYFUNCTION("IMPORTRANGE(""https://docs.google.com/spreadsheets/d/1Hx73zIEgVdDZZaYSTc46Dqv64atFhpr3GelxLbaIN8A/edit?usp=sharing"",""หนองบัวลำภู!J295"")"),0)</f>
        <v>0</v>
      </c>
      <c r="Z48" s="98">
        <f t="shared" ca="1" si="34"/>
        <v>0</v>
      </c>
      <c r="AA48" s="321">
        <f ca="1">IFERROR(__xludf.DUMMYFUNCTION("IMPORTRANGE(""https://docs.google.com/spreadsheets/d/1Hx73zIEgVdDZZaYSTc46Dqv64atFhpr3GelxLbaIN8A/edit?usp=sharing"",""หนองบัวลำภู!J296"")"),0)</f>
        <v>0</v>
      </c>
      <c r="AB48" s="322">
        <f t="shared" ca="1" si="35"/>
        <v>0</v>
      </c>
    </row>
    <row r="49" spans="1:28" ht="21" customHeight="1" x14ac:dyDescent="0.3">
      <c r="A49" s="89">
        <v>18</v>
      </c>
      <c r="B49" s="90" t="s">
        <v>75</v>
      </c>
      <c r="C49" s="174">
        <f t="shared" ca="1" si="21"/>
        <v>0</v>
      </c>
      <c r="D49" s="175">
        <f t="shared" ca="1" si="41"/>
        <v>0</v>
      </c>
      <c r="E49" s="176">
        <f ca="1">IFERROR(__xludf.DUMMYFUNCTION("IMPORTRANGE(""https://docs.google.com/spreadsheets/d/1-uDff_7J0KD5mKrp0Vvzr7lt3OU09vwQwhkpOPPYv2Y/edit?usp=sharing"",""งบพรบ!DP49"")"),0)</f>
        <v>0</v>
      </c>
      <c r="F49" s="176">
        <f ca="1">IFERROR(__xludf.DUMMYFUNCTION("IMPORTRANGE(""https://docs.google.com/spreadsheets/d/1-uDff_7J0KD5mKrp0Vvzr7lt3OU09vwQwhkpOPPYv2Y/edit?usp=sharing"",""งบพรบ!DQ49"")"),0)</f>
        <v>0</v>
      </c>
      <c r="G49" s="176">
        <f ca="1">IFERROR(__xludf.DUMMYFUNCTION("IMPORTRANGE(""https://docs.google.com/spreadsheets/d/1-uDff_7J0KD5mKrp0Vvzr7lt3OU09vwQwhkpOPPYv2Y/edit?usp=sharing"",""งบพรบ!DR49"")"),0)</f>
        <v>0</v>
      </c>
      <c r="H49" s="176">
        <f ca="1">IFERROR(__xludf.DUMMYFUNCTION("IMPORTRANGE(""https://docs.google.com/spreadsheets/d/1-uDff_7J0KD5mKrp0Vvzr7lt3OU09vwQwhkpOPPYv2Y/edit?usp=sharing"",""งบพรบ!DT49"")"),0)</f>
        <v>0</v>
      </c>
      <c r="I49" s="176">
        <f ca="1">IFERROR(__xludf.DUMMYFUNCTION("IMPORTRANGE(""https://docs.google.com/spreadsheets/d/1-uDff_7J0KD5mKrp0Vvzr7lt3OU09vwQwhkpOPPYv2Y/edit?usp=sharing"",""งบพรบ!DU49"")"),0)</f>
        <v>0</v>
      </c>
      <c r="J49" s="176">
        <f t="shared" ca="1" si="23"/>
        <v>0</v>
      </c>
      <c r="K49" s="179">
        <f t="shared" ca="1" si="24"/>
        <v>0</v>
      </c>
      <c r="L49" s="176">
        <f ca="1">IFERROR(__xludf.DUMMYFUNCTION("IMPORTRANGE(""https://docs.google.com/spreadsheets/d/1-uDff_7J0KD5mKrp0Vvzr7lt3OU09vwQwhkpOPPYv2Y/edit?usp=sharing"",""งบพรบ!DV49"")"),0)</f>
        <v>0</v>
      </c>
      <c r="M49" s="87">
        <f t="shared" ca="1" si="25"/>
        <v>0</v>
      </c>
      <c r="N49" s="87">
        <f t="shared" ca="1" si="26"/>
        <v>0</v>
      </c>
      <c r="O49" s="86">
        <f ca="1">IFERROR(__xludf.DUMMYFUNCTION("IMPORTRANGE(""https://docs.google.com/spreadsheets/d/1-uDff_7J0KD5mKrp0Vvzr7lt3OU09vwQwhkpOPPYv2Y/edit?usp=sharing"",""งบพรบ!DW49"")"),0)</f>
        <v>0</v>
      </c>
      <c r="P49" s="86">
        <f t="shared" ca="1" si="27"/>
        <v>0</v>
      </c>
      <c r="Q49" s="87">
        <f t="shared" ca="1" si="28"/>
        <v>0</v>
      </c>
      <c r="R49" s="97">
        <f ca="1">IFERROR(__xludf.DUMMYFUNCTION("IMPORTRANGE(""https://docs.google.com/spreadsheets/d/1lFxr3ctmjFN90yc-xV6jrQ9Ty8BKYVBWnAZ15wcNIJc/edit?usp=sharing"",""อำนาจเจริญ!I292"")"),0)</f>
        <v>0</v>
      </c>
      <c r="S49" s="97">
        <f ca="1">IFERROR(__xludf.DUMMYFUNCTION("IMPORTRANGE(""https://docs.google.com/spreadsheets/d/1lFxr3ctmjFN90yc-xV6jrQ9Ty8BKYVBWnAZ15wcNIJc/edit?usp=sharing"",""อำนาจเจริญ!J292"")"),0)</f>
        <v>0</v>
      </c>
      <c r="T49" s="98">
        <f t="shared" ca="1" si="30"/>
        <v>0</v>
      </c>
      <c r="U49" s="97">
        <f ca="1">IFERROR(__xludf.DUMMYFUNCTION("IMPORTRANGE(""https://docs.google.com/spreadsheets/d/1lFxr3ctmjFN90yc-xV6jrQ9Ty8BKYVBWnAZ15wcNIJc/edit?usp=sharing"",""อำนาจเจริญ!I293"")"),0)</f>
        <v>0</v>
      </c>
      <c r="V49" s="97">
        <f ca="1">IFERROR(__xludf.DUMMYFUNCTION("IMPORTRANGE(""https://docs.google.com/spreadsheets/d/1lFxr3ctmjFN90yc-xV6jrQ9Ty8BKYVBWnAZ15wcNIJc/edit?usp=sharing"",""อำนาจเจริญ!J293"")"),0)</f>
        <v>0</v>
      </c>
      <c r="W49" s="98">
        <f t="shared" ca="1" si="32"/>
        <v>0</v>
      </c>
      <c r="X49" s="97">
        <f ca="1">IFERROR(__xludf.DUMMYFUNCTION("IMPORTRANGE(""https://docs.google.com/spreadsheets/d/1lFxr3ctmjFN90yc-xV6jrQ9Ty8BKYVBWnAZ15wcNIJc/edit?usp=sharing"",""อำนาจเจริญ!I295"")"),0)</f>
        <v>0</v>
      </c>
      <c r="Y49" s="97">
        <f ca="1">IFERROR(__xludf.DUMMYFUNCTION("IMPORTRANGE(""https://docs.google.com/spreadsheets/d/1lFxr3ctmjFN90yc-xV6jrQ9Ty8BKYVBWnAZ15wcNIJc/edit?usp=sharing"",""อำนาจเจริญ!J295"")"),0)</f>
        <v>0</v>
      </c>
      <c r="Z49" s="98">
        <f t="shared" ca="1" si="34"/>
        <v>0</v>
      </c>
      <c r="AA49" s="321">
        <f ca="1">IFERROR(__xludf.DUMMYFUNCTION("IMPORTRANGE(""https://docs.google.com/spreadsheets/d/1lFxr3ctmjFN90yc-xV6jrQ9Ty8BKYVBWnAZ15wcNIJc/edit?usp=sharing"",""อำนาจเจริญ!J296"")"),0)</f>
        <v>0</v>
      </c>
      <c r="AB49" s="322">
        <f t="shared" ca="1" si="35"/>
        <v>0</v>
      </c>
    </row>
    <row r="50" spans="1:28" ht="21" customHeight="1" x14ac:dyDescent="0.3">
      <c r="A50" s="89">
        <v>19</v>
      </c>
      <c r="B50" s="90" t="s">
        <v>76</v>
      </c>
      <c r="C50" s="174">
        <f t="shared" ca="1" si="21"/>
        <v>0</v>
      </c>
      <c r="D50" s="175">
        <f t="shared" ca="1" si="41"/>
        <v>0</v>
      </c>
      <c r="E50" s="176">
        <f ca="1">IFERROR(__xludf.DUMMYFUNCTION("IMPORTRANGE(""https://docs.google.com/spreadsheets/d/1-uDff_7J0KD5mKrp0Vvzr7lt3OU09vwQwhkpOPPYv2Y/edit?usp=sharing"",""งบพรบ!DP50"")"),0)</f>
        <v>0</v>
      </c>
      <c r="F50" s="176">
        <f ca="1">IFERROR(__xludf.DUMMYFUNCTION("IMPORTRANGE(""https://docs.google.com/spreadsheets/d/1-uDff_7J0KD5mKrp0Vvzr7lt3OU09vwQwhkpOPPYv2Y/edit?usp=sharing"",""งบพรบ!DQ50"")"),0)</f>
        <v>0</v>
      </c>
      <c r="G50" s="176">
        <f ca="1">IFERROR(__xludf.DUMMYFUNCTION("IMPORTRANGE(""https://docs.google.com/spreadsheets/d/1-uDff_7J0KD5mKrp0Vvzr7lt3OU09vwQwhkpOPPYv2Y/edit?usp=sharing"",""งบพรบ!DR50"")"),0)</f>
        <v>0</v>
      </c>
      <c r="H50" s="176">
        <f ca="1">IFERROR(__xludf.DUMMYFUNCTION("IMPORTRANGE(""https://docs.google.com/spreadsheets/d/1-uDff_7J0KD5mKrp0Vvzr7lt3OU09vwQwhkpOPPYv2Y/edit?usp=sharing"",""งบพรบ!DT50"")"),0)</f>
        <v>0</v>
      </c>
      <c r="I50" s="176">
        <f ca="1">IFERROR(__xludf.DUMMYFUNCTION("IMPORTRANGE(""https://docs.google.com/spreadsheets/d/1-uDff_7J0KD5mKrp0Vvzr7lt3OU09vwQwhkpOPPYv2Y/edit?usp=sharing"",""งบพรบ!DU50"")"),0)</f>
        <v>0</v>
      </c>
      <c r="J50" s="176">
        <f t="shared" ca="1" si="23"/>
        <v>0</v>
      </c>
      <c r="K50" s="179">
        <f t="shared" ca="1" si="24"/>
        <v>0</v>
      </c>
      <c r="L50" s="176">
        <f ca="1">IFERROR(__xludf.DUMMYFUNCTION("IMPORTRANGE(""https://docs.google.com/spreadsheets/d/1-uDff_7J0KD5mKrp0Vvzr7lt3OU09vwQwhkpOPPYv2Y/edit?usp=sharing"",""งบพรบ!DV50"")"),0)</f>
        <v>0</v>
      </c>
      <c r="M50" s="87">
        <f t="shared" ca="1" si="25"/>
        <v>0</v>
      </c>
      <c r="N50" s="87">
        <f t="shared" ca="1" si="26"/>
        <v>0</v>
      </c>
      <c r="O50" s="86">
        <f ca="1">IFERROR(__xludf.DUMMYFUNCTION("IMPORTRANGE(""https://docs.google.com/spreadsheets/d/1-uDff_7J0KD5mKrp0Vvzr7lt3OU09vwQwhkpOPPYv2Y/edit?usp=sharing"",""งบพรบ!DW50"")"),0)</f>
        <v>0</v>
      </c>
      <c r="P50" s="86">
        <f t="shared" ca="1" si="27"/>
        <v>0</v>
      </c>
      <c r="Q50" s="87">
        <f t="shared" ca="1" si="28"/>
        <v>0</v>
      </c>
      <c r="R50" s="97">
        <f ca="1">IFERROR(__xludf.DUMMYFUNCTION("IMPORTRANGE(""https://docs.google.com/spreadsheets/d/1gF7RJpRnL-1oyjyeWxs5SFWEH7y8ahOZsQlyp2A2e-A/edit?usp=sharing"",""อุดรธานี!I292"")"),0)</f>
        <v>0</v>
      </c>
      <c r="S50" s="97">
        <f ca="1">IFERROR(__xludf.DUMMYFUNCTION("IMPORTRANGE(""https://docs.google.com/spreadsheets/d/1gF7RJpRnL-1oyjyeWxs5SFWEH7y8ahOZsQlyp2A2e-A/edit?usp=sharing"",""อุดรธานี!J292"")"),0)</f>
        <v>0</v>
      </c>
      <c r="T50" s="98">
        <f t="shared" ca="1" si="30"/>
        <v>0</v>
      </c>
      <c r="U50" s="97">
        <f ca="1">IFERROR(__xludf.DUMMYFUNCTION("IMPORTRANGE(""https://docs.google.com/spreadsheets/d/1gF7RJpRnL-1oyjyeWxs5SFWEH7y8ahOZsQlyp2A2e-A/edit?usp=sharing"",""อุดรธานี!I293"")"),0)</f>
        <v>0</v>
      </c>
      <c r="V50" s="97">
        <f ca="1">IFERROR(__xludf.DUMMYFUNCTION("IMPORTRANGE(""https://docs.google.com/spreadsheets/d/1gF7RJpRnL-1oyjyeWxs5SFWEH7y8ahOZsQlyp2A2e-A/edit?usp=sharing"",""อุดรธานี!J293"")"),0)</f>
        <v>0</v>
      </c>
      <c r="W50" s="98">
        <f t="shared" ca="1" si="32"/>
        <v>0</v>
      </c>
      <c r="X50" s="97">
        <f ca="1">IFERROR(__xludf.DUMMYFUNCTION("IMPORTRANGE(""https://docs.google.com/spreadsheets/d/1gF7RJpRnL-1oyjyeWxs5SFWEH7y8ahOZsQlyp2A2e-A/edit?usp=sharing"",""อุดรธานี!I295"")"),0)</f>
        <v>0</v>
      </c>
      <c r="Y50" s="97">
        <f ca="1">IFERROR(__xludf.DUMMYFUNCTION("IMPORTRANGE(""https://docs.google.com/spreadsheets/d/1gF7RJpRnL-1oyjyeWxs5SFWEH7y8ahOZsQlyp2A2e-A/edit?usp=sharing"",""อุดรธานี!J295"")"),0)</f>
        <v>0</v>
      </c>
      <c r="Z50" s="98">
        <f t="shared" ca="1" si="34"/>
        <v>0</v>
      </c>
      <c r="AA50" s="321">
        <f ca="1">IFERROR(__xludf.DUMMYFUNCTION("IMPORTRANGE(""https://docs.google.com/spreadsheets/d/1gF7RJpRnL-1oyjyeWxs5SFWEH7y8ahOZsQlyp2A2e-A/edit?usp=sharing"",""อุดรธานี!J296"")"),0)</f>
        <v>0</v>
      </c>
      <c r="AB50" s="322">
        <f t="shared" ca="1" si="35"/>
        <v>0</v>
      </c>
    </row>
    <row r="51" spans="1:28" ht="21" customHeight="1" x14ac:dyDescent="0.3">
      <c r="A51" s="100">
        <v>20</v>
      </c>
      <c r="B51" s="101" t="s">
        <v>77</v>
      </c>
      <c r="C51" s="189">
        <f t="shared" ca="1" si="21"/>
        <v>0</v>
      </c>
      <c r="D51" s="190">
        <f t="shared" ca="1" si="41"/>
        <v>0</v>
      </c>
      <c r="E51" s="191">
        <f ca="1">IFERROR(__xludf.DUMMYFUNCTION("IMPORTRANGE(""https://docs.google.com/spreadsheets/d/1-uDff_7J0KD5mKrp0Vvzr7lt3OU09vwQwhkpOPPYv2Y/edit?usp=sharing"",""งบพรบ!DP51"")"),0)</f>
        <v>0</v>
      </c>
      <c r="F51" s="191">
        <f ca="1">IFERROR(__xludf.DUMMYFUNCTION("IMPORTRANGE(""https://docs.google.com/spreadsheets/d/1-uDff_7J0KD5mKrp0Vvzr7lt3OU09vwQwhkpOPPYv2Y/edit?usp=sharing"",""งบพรบ!DQ51"")"),0)</f>
        <v>0</v>
      </c>
      <c r="G51" s="191">
        <f ca="1">IFERROR(__xludf.DUMMYFUNCTION("IMPORTRANGE(""https://docs.google.com/spreadsheets/d/1-uDff_7J0KD5mKrp0Vvzr7lt3OU09vwQwhkpOPPYv2Y/edit?usp=sharing"",""งบพรบ!DR51"")"),0)</f>
        <v>0</v>
      </c>
      <c r="H51" s="191">
        <f ca="1">IFERROR(__xludf.DUMMYFUNCTION("IMPORTRANGE(""https://docs.google.com/spreadsheets/d/1-uDff_7J0KD5mKrp0Vvzr7lt3OU09vwQwhkpOPPYv2Y/edit?usp=sharing"",""งบพรบ!DT51"")"),0)</f>
        <v>0</v>
      </c>
      <c r="I51" s="191">
        <f ca="1">IFERROR(__xludf.DUMMYFUNCTION("IMPORTRANGE(""https://docs.google.com/spreadsheets/d/1-uDff_7J0KD5mKrp0Vvzr7lt3OU09vwQwhkpOPPYv2Y/edit?usp=sharing"",""งบพรบ!DU51"")"),0)</f>
        <v>0</v>
      </c>
      <c r="J51" s="191">
        <f t="shared" ca="1" si="23"/>
        <v>0</v>
      </c>
      <c r="K51" s="192">
        <f t="shared" ca="1" si="24"/>
        <v>0</v>
      </c>
      <c r="L51" s="191">
        <f ca="1">IFERROR(__xludf.DUMMYFUNCTION("IMPORTRANGE(""https://docs.google.com/spreadsheets/d/1-uDff_7J0KD5mKrp0Vvzr7lt3OU09vwQwhkpOPPYv2Y/edit?usp=sharing"",""งบพรบ!DV51"")"),0)</f>
        <v>0</v>
      </c>
      <c r="M51" s="118">
        <f t="shared" ca="1" si="25"/>
        <v>0</v>
      </c>
      <c r="N51" s="118">
        <f t="shared" ca="1" si="26"/>
        <v>0</v>
      </c>
      <c r="O51" s="117">
        <f ca="1">IFERROR(__xludf.DUMMYFUNCTION("IMPORTRANGE(""https://docs.google.com/spreadsheets/d/1-uDff_7J0KD5mKrp0Vvzr7lt3OU09vwQwhkpOPPYv2Y/edit?usp=sharing"",""งบพรบ!DW51"")"),0)</f>
        <v>0</v>
      </c>
      <c r="P51" s="117">
        <f t="shared" ca="1" si="27"/>
        <v>0</v>
      </c>
      <c r="Q51" s="118">
        <f t="shared" ca="1" si="28"/>
        <v>0</v>
      </c>
      <c r="R51" s="110">
        <f ca="1">IFERROR(__xludf.DUMMYFUNCTION("IMPORTRANGE(""https://docs.google.com/spreadsheets/d/1kfLP0j3INXRa8bTDpcEmoWewMBV61jlFlfzczfjWIgc/edit?usp=sharing"",""อุบลราชธานี!I292"")"),0)</f>
        <v>0</v>
      </c>
      <c r="S51" s="110">
        <f ca="1">IFERROR(__xludf.DUMMYFUNCTION("IMPORTRANGE(""https://docs.google.com/spreadsheets/d/1kfLP0j3INXRa8bTDpcEmoWewMBV61jlFlfzczfjWIgc/edit?usp=sharing"",""อุบลราชธานี!J292"")"),0)</f>
        <v>0</v>
      </c>
      <c r="T51" s="111">
        <f t="shared" ca="1" si="30"/>
        <v>0</v>
      </c>
      <c r="U51" s="110">
        <f ca="1">IFERROR(__xludf.DUMMYFUNCTION("IMPORTRANGE(""https://docs.google.com/spreadsheets/d/1kfLP0j3INXRa8bTDpcEmoWewMBV61jlFlfzczfjWIgc/edit?usp=sharing"",""อุบลราชธานี!I293"")"),0)</f>
        <v>0</v>
      </c>
      <c r="V51" s="110">
        <f ca="1">IFERROR(__xludf.DUMMYFUNCTION("IMPORTRANGE(""https://docs.google.com/spreadsheets/d/1kfLP0j3INXRa8bTDpcEmoWewMBV61jlFlfzczfjWIgc/edit?usp=sharing"",""อุบลราชธานี!J293"")"),0)</f>
        <v>0</v>
      </c>
      <c r="W51" s="111">
        <f t="shared" ca="1" si="32"/>
        <v>0</v>
      </c>
      <c r="X51" s="110">
        <f ca="1">IFERROR(__xludf.DUMMYFUNCTION("IMPORTRANGE(""https://docs.google.com/spreadsheets/d/1kfLP0j3INXRa8bTDpcEmoWewMBV61jlFlfzczfjWIgc/edit?usp=sharing"",""อุบลราชธานี!I295"")"),0)</f>
        <v>0</v>
      </c>
      <c r="Y51" s="110">
        <f ca="1">IFERROR(__xludf.DUMMYFUNCTION("IMPORTRANGE(""https://docs.google.com/spreadsheets/d/1kfLP0j3INXRa8bTDpcEmoWewMBV61jlFlfzczfjWIgc/edit?usp=sharing"",""อุบลราชธานี!J295"")"),0)</f>
        <v>0</v>
      </c>
      <c r="Z51" s="111">
        <f t="shared" ca="1" si="34"/>
        <v>0</v>
      </c>
      <c r="AA51" s="323">
        <f ca="1">IFERROR(__xludf.DUMMYFUNCTION("IMPORTRANGE(""https://docs.google.com/spreadsheets/d/1kfLP0j3INXRa8bTDpcEmoWewMBV61jlFlfzczfjWIgc/edit?usp=sharing"",""อุบลราชธานี!J296"")"),0)</f>
        <v>0</v>
      </c>
      <c r="AB51" s="324">
        <f t="shared" ca="1" si="35"/>
        <v>0</v>
      </c>
    </row>
    <row r="52" spans="1:28" ht="21" customHeight="1" x14ac:dyDescent="0.3">
      <c r="A52" s="650" t="s">
        <v>78</v>
      </c>
      <c r="B52" s="583"/>
      <c r="C52" s="194">
        <f t="shared" ca="1" si="21"/>
        <v>137720</v>
      </c>
      <c r="D52" s="194">
        <f t="shared" ref="D52:I52" ca="1" si="42">SUM(D53:D73)</f>
        <v>137720</v>
      </c>
      <c r="E52" s="194">
        <f t="shared" ca="1" si="42"/>
        <v>81600</v>
      </c>
      <c r="F52" s="194">
        <f t="shared" ca="1" si="42"/>
        <v>56120</v>
      </c>
      <c r="G52" s="194">
        <f t="shared" ca="1" si="42"/>
        <v>0</v>
      </c>
      <c r="H52" s="194">
        <f t="shared" ca="1" si="42"/>
        <v>137720</v>
      </c>
      <c r="I52" s="194">
        <f t="shared" ca="1" si="42"/>
        <v>0</v>
      </c>
      <c r="J52" s="194">
        <f t="shared" ca="1" si="23"/>
        <v>66810</v>
      </c>
      <c r="K52" s="195">
        <f t="shared" ca="1" si="24"/>
        <v>48.511472553006101</v>
      </c>
      <c r="L52" s="194">
        <f ca="1">SUM(L53:L73)</f>
        <v>66810</v>
      </c>
      <c r="M52" s="120">
        <f t="shared" ca="1" si="25"/>
        <v>48.511472553006101</v>
      </c>
      <c r="N52" s="120">
        <f t="shared" ca="1" si="26"/>
        <v>48.511472553006101</v>
      </c>
      <c r="O52" s="119">
        <f ca="1">SUM(O53:O73)</f>
        <v>0</v>
      </c>
      <c r="P52" s="119">
        <f t="shared" ca="1" si="27"/>
        <v>0</v>
      </c>
      <c r="Q52" s="120">
        <f t="shared" ca="1" si="28"/>
        <v>0</v>
      </c>
      <c r="R52" s="71">
        <f t="shared" ref="R52:S52" ca="1" si="43">SUM(R53:R73)</f>
        <v>100</v>
      </c>
      <c r="S52" s="71">
        <f t="shared" ca="1" si="43"/>
        <v>0</v>
      </c>
      <c r="T52" s="114">
        <f t="shared" ca="1" si="30"/>
        <v>0</v>
      </c>
      <c r="U52" s="71">
        <f t="shared" ref="U52:V52" ca="1" si="44">SUM(U53:U73)</f>
        <v>10</v>
      </c>
      <c r="V52" s="71">
        <f t="shared" ca="1" si="44"/>
        <v>0</v>
      </c>
      <c r="W52" s="114">
        <f t="shared" ca="1" si="32"/>
        <v>0</v>
      </c>
      <c r="X52" s="71">
        <f t="shared" ref="X52:Y52" ca="1" si="45">SUM(X53:X73)</f>
        <v>10</v>
      </c>
      <c r="Y52" s="71">
        <f t="shared" ca="1" si="45"/>
        <v>0</v>
      </c>
      <c r="Z52" s="114">
        <f t="shared" ca="1" si="34"/>
        <v>0</v>
      </c>
      <c r="AA52" s="325">
        <f ca="1">SUM(AA53:AA73)</f>
        <v>0</v>
      </c>
      <c r="AB52" s="326">
        <f t="shared" ca="1" si="35"/>
        <v>0</v>
      </c>
    </row>
    <row r="53" spans="1:28" ht="21" customHeight="1" x14ac:dyDescent="0.3">
      <c r="A53" s="77">
        <v>1</v>
      </c>
      <c r="B53" s="78" t="s">
        <v>79</v>
      </c>
      <c r="C53" s="174">
        <f t="shared" ca="1" si="21"/>
        <v>0</v>
      </c>
      <c r="D53" s="175">
        <f t="shared" ref="D53:D73" ca="1" si="46">+E53+F53</f>
        <v>0</v>
      </c>
      <c r="E53" s="176">
        <f ca="1">IFERROR(__xludf.DUMMYFUNCTION("IMPORTRANGE(""https://docs.google.com/spreadsheets/d/1-uDff_7J0KD5mKrp0Vvzr7lt3OU09vwQwhkpOPPYv2Y/edit?usp=sharing"",""งบพรบ!DP53"")"),0)</f>
        <v>0</v>
      </c>
      <c r="F53" s="176">
        <f ca="1">IFERROR(__xludf.DUMMYFUNCTION("IMPORTRANGE(""https://docs.google.com/spreadsheets/d/1-uDff_7J0KD5mKrp0Vvzr7lt3OU09vwQwhkpOPPYv2Y/edit?usp=sharing"",""งบพรบ!DQ53"")"),0)</f>
        <v>0</v>
      </c>
      <c r="G53" s="177">
        <f ca="1">IFERROR(__xludf.DUMMYFUNCTION("IMPORTRANGE(""https://docs.google.com/spreadsheets/d/1-uDff_7J0KD5mKrp0Vvzr7lt3OU09vwQwhkpOPPYv2Y/edit?usp=sharing"",""งบพรบ!DR53"")"),0)</f>
        <v>0</v>
      </c>
      <c r="H53" s="177">
        <f ca="1">IFERROR(__xludf.DUMMYFUNCTION("IMPORTRANGE(""https://docs.google.com/spreadsheets/d/1-uDff_7J0KD5mKrp0Vvzr7lt3OU09vwQwhkpOPPYv2Y/edit?usp=sharing"",""งบพรบ!DT53"")"),0)</f>
        <v>0</v>
      </c>
      <c r="I53" s="177">
        <f ca="1">IFERROR(__xludf.DUMMYFUNCTION("IMPORTRANGE(""https://docs.google.com/spreadsheets/d/1-uDff_7J0KD5mKrp0Vvzr7lt3OU09vwQwhkpOPPYv2Y/edit?usp=sharing"",""งบพรบ!DU53"")"),0)</f>
        <v>0</v>
      </c>
      <c r="J53" s="177">
        <f t="shared" ca="1" si="23"/>
        <v>0</v>
      </c>
      <c r="K53" s="178">
        <f t="shared" ca="1" si="24"/>
        <v>0</v>
      </c>
      <c r="L53" s="177">
        <f ca="1">IFERROR(__xludf.DUMMYFUNCTION("IMPORTRANGE(""https://docs.google.com/spreadsheets/d/1-uDff_7J0KD5mKrp0Vvzr7lt3OU09vwQwhkpOPPYv2Y/edit?usp=sharing"",""งบพรบ!DV53"")"),0)</f>
        <v>0</v>
      </c>
      <c r="M53" s="87">
        <f t="shared" ca="1" si="25"/>
        <v>0</v>
      </c>
      <c r="N53" s="87">
        <f t="shared" ca="1" si="26"/>
        <v>0</v>
      </c>
      <c r="O53" s="86">
        <f ca="1">IFERROR(__xludf.DUMMYFUNCTION("IMPORTRANGE(""https://docs.google.com/spreadsheets/d/1-uDff_7J0KD5mKrp0Vvzr7lt3OU09vwQwhkpOPPYv2Y/edit?usp=sharing"",""งบพรบ!DW53"")"),0)</f>
        <v>0</v>
      </c>
      <c r="P53" s="86">
        <f t="shared" ca="1" si="27"/>
        <v>0</v>
      </c>
      <c r="Q53" s="87">
        <f t="shared" ca="1" si="28"/>
        <v>0</v>
      </c>
      <c r="R53" s="82">
        <f ca="1">IFERROR(__xludf.DUMMYFUNCTION("IMPORTRANGE(""https://docs.google.com/spreadsheets/d/13wPX838HrBrQMCywv1BsuMkt4PEKTChp52zj44s2izQ/edit?usp=sharing"",""กาญจนบุรี!I292"")"),0)</f>
        <v>0</v>
      </c>
      <c r="S53" s="82">
        <f ca="1">IFERROR(__xludf.DUMMYFUNCTION("IMPORTRANGE(""https://docs.google.com/spreadsheets/d/13wPX838HrBrQMCywv1BsuMkt4PEKTChp52zj44s2izQ/edit?usp=sharing"",""กาญจนบุรี!J292"")"),0)</f>
        <v>0</v>
      </c>
      <c r="T53" s="88">
        <f t="shared" ca="1" si="30"/>
        <v>0</v>
      </c>
      <c r="U53" s="82">
        <f ca="1">IFERROR(__xludf.DUMMYFUNCTION("IMPORTRANGE(""https://docs.google.com/spreadsheets/d/13wPX838HrBrQMCywv1BsuMkt4PEKTChp52zj44s2izQ/edit?usp=sharing"",""กาญจนบุรี!I293"")"),0)</f>
        <v>0</v>
      </c>
      <c r="V53" s="82">
        <f ca="1">IFERROR(__xludf.DUMMYFUNCTION("IMPORTRANGE(""https://docs.google.com/spreadsheets/d/13wPX838HrBrQMCywv1BsuMkt4PEKTChp52zj44s2izQ/edit?usp=sharing"",""กาญจนบุรี!J293"")"),0)</f>
        <v>0</v>
      </c>
      <c r="W53" s="88">
        <f t="shared" ca="1" si="32"/>
        <v>0</v>
      </c>
      <c r="X53" s="82">
        <f ca="1">IFERROR(__xludf.DUMMYFUNCTION("IMPORTRANGE(""https://docs.google.com/spreadsheets/d/13wPX838HrBrQMCywv1BsuMkt4PEKTChp52zj44s2izQ/edit?usp=sharing"",""กาญจนบุรี!I295"")"),0)</f>
        <v>0</v>
      </c>
      <c r="Y53" s="82">
        <f ca="1">IFERROR(__xludf.DUMMYFUNCTION("IMPORTRANGE(""https://docs.google.com/spreadsheets/d/13wPX838HrBrQMCywv1BsuMkt4PEKTChp52zj44s2izQ/edit?usp=sharing"",""กาญจนบุรี!J295"")"),0)</f>
        <v>0</v>
      </c>
      <c r="Z53" s="88">
        <f t="shared" ca="1" si="34"/>
        <v>0</v>
      </c>
      <c r="AA53" s="319">
        <f ca="1">IFERROR(__xludf.DUMMYFUNCTION("IMPORTRANGE(""https://docs.google.com/spreadsheets/d/13wPX838HrBrQMCywv1BsuMkt4PEKTChp52zj44s2izQ/edit?usp=sharing"",""กาญจนบุรี!J296"")"),0)</f>
        <v>0</v>
      </c>
      <c r="AB53" s="320">
        <f t="shared" ca="1" si="35"/>
        <v>0</v>
      </c>
    </row>
    <row r="54" spans="1:28" ht="21" customHeight="1" x14ac:dyDescent="0.3">
      <c r="A54" s="89">
        <v>2</v>
      </c>
      <c r="B54" s="90" t="s">
        <v>80</v>
      </c>
      <c r="C54" s="174">
        <f t="shared" ca="1" si="21"/>
        <v>0</v>
      </c>
      <c r="D54" s="175">
        <f t="shared" ca="1" si="46"/>
        <v>0</v>
      </c>
      <c r="E54" s="176">
        <f ca="1">IFERROR(__xludf.DUMMYFUNCTION("IMPORTRANGE(""https://docs.google.com/spreadsheets/d/1-uDff_7J0KD5mKrp0Vvzr7lt3OU09vwQwhkpOPPYv2Y/edit?usp=sharing"",""งบพรบ!DP54"")"),0)</f>
        <v>0</v>
      </c>
      <c r="F54" s="176">
        <f ca="1">IFERROR(__xludf.DUMMYFUNCTION("IMPORTRANGE(""https://docs.google.com/spreadsheets/d/1-uDff_7J0KD5mKrp0Vvzr7lt3OU09vwQwhkpOPPYv2Y/edit?usp=sharing"",""งบพรบ!DQ54"")"),0)</f>
        <v>0</v>
      </c>
      <c r="G54" s="176">
        <f ca="1">IFERROR(__xludf.DUMMYFUNCTION("IMPORTRANGE(""https://docs.google.com/spreadsheets/d/1-uDff_7J0KD5mKrp0Vvzr7lt3OU09vwQwhkpOPPYv2Y/edit?usp=sharing"",""งบพรบ!DR54"")"),0)</f>
        <v>0</v>
      </c>
      <c r="H54" s="176">
        <f ca="1">IFERROR(__xludf.DUMMYFUNCTION("IMPORTRANGE(""https://docs.google.com/spreadsheets/d/1-uDff_7J0KD5mKrp0Vvzr7lt3OU09vwQwhkpOPPYv2Y/edit?usp=sharing"",""งบพรบ!DT54"")"),0)</f>
        <v>0</v>
      </c>
      <c r="I54" s="176">
        <f ca="1">IFERROR(__xludf.DUMMYFUNCTION("IMPORTRANGE(""https://docs.google.com/spreadsheets/d/1-uDff_7J0KD5mKrp0Vvzr7lt3OU09vwQwhkpOPPYv2Y/edit?usp=sharing"",""งบพรบ!DU54"")"),0)</f>
        <v>0</v>
      </c>
      <c r="J54" s="176">
        <f t="shared" ca="1" si="23"/>
        <v>0</v>
      </c>
      <c r="K54" s="179">
        <f t="shared" ca="1" si="24"/>
        <v>0</v>
      </c>
      <c r="L54" s="176">
        <f ca="1">IFERROR(__xludf.DUMMYFUNCTION("IMPORTRANGE(""https://docs.google.com/spreadsheets/d/1-uDff_7J0KD5mKrp0Vvzr7lt3OU09vwQwhkpOPPYv2Y/edit?usp=sharing"",""งบพรบ!DV54"")"),0)</f>
        <v>0</v>
      </c>
      <c r="M54" s="87">
        <f t="shared" ca="1" si="25"/>
        <v>0</v>
      </c>
      <c r="N54" s="87">
        <f t="shared" ca="1" si="26"/>
        <v>0</v>
      </c>
      <c r="O54" s="86">
        <f ca="1">IFERROR(__xludf.DUMMYFUNCTION("IMPORTRANGE(""https://docs.google.com/spreadsheets/d/1-uDff_7J0KD5mKrp0Vvzr7lt3OU09vwQwhkpOPPYv2Y/edit?usp=sharing"",""งบพรบ!DW54"")"),0)</f>
        <v>0</v>
      </c>
      <c r="P54" s="86">
        <f t="shared" ca="1" si="27"/>
        <v>0</v>
      </c>
      <c r="Q54" s="87">
        <f t="shared" ca="1" si="28"/>
        <v>0</v>
      </c>
      <c r="R54" s="97">
        <f ca="1">IFERROR(__xludf.DUMMYFUNCTION("IMPORTRANGE(""https://docs.google.com/spreadsheets/d/1ddFKvqj1W1NEiWytbGlB1zMx_ykJDVtmfEQ-6-lIUBA/edit?usp=sharing"",""จันทบุรี!I292"")"),0)</f>
        <v>0</v>
      </c>
      <c r="S54" s="97">
        <f ca="1">IFERROR(__xludf.DUMMYFUNCTION("IMPORTRANGE(""https://docs.google.com/spreadsheets/d/1ddFKvqj1W1NEiWytbGlB1zMx_ykJDVtmfEQ-6-lIUBA/edit?usp=sharing"",""จันทบุรี!J292"")"),0)</f>
        <v>0</v>
      </c>
      <c r="T54" s="98">
        <f t="shared" ca="1" si="30"/>
        <v>0</v>
      </c>
      <c r="U54" s="97">
        <f ca="1">IFERROR(__xludf.DUMMYFUNCTION("IMPORTRANGE(""https://docs.google.com/spreadsheets/d/1ddFKvqj1W1NEiWytbGlB1zMx_ykJDVtmfEQ-6-lIUBA/edit?usp=sharing"",""จันทบุรี!I293"")"),0)</f>
        <v>0</v>
      </c>
      <c r="V54" s="97">
        <f ca="1">IFERROR(__xludf.DUMMYFUNCTION("IMPORTRANGE(""https://docs.google.com/spreadsheets/d/1ddFKvqj1W1NEiWytbGlB1zMx_ykJDVtmfEQ-6-lIUBA/edit?usp=sharing"",""จันทบุรี!J293"")"),0)</f>
        <v>0</v>
      </c>
      <c r="W54" s="98">
        <f t="shared" ca="1" si="32"/>
        <v>0</v>
      </c>
      <c r="X54" s="97">
        <f ca="1">IFERROR(__xludf.DUMMYFUNCTION("IMPORTRANGE(""https://docs.google.com/spreadsheets/d/1ddFKvqj1W1NEiWytbGlB1zMx_ykJDVtmfEQ-6-lIUBA/edit?usp=sharing"",""จันทบุรี!I295"")"),0)</f>
        <v>0</v>
      </c>
      <c r="Y54" s="97">
        <f ca="1">IFERROR(__xludf.DUMMYFUNCTION("IMPORTRANGE(""https://docs.google.com/spreadsheets/d/1ddFKvqj1W1NEiWytbGlB1zMx_ykJDVtmfEQ-6-lIUBA/edit?usp=sharing"",""จันทบุรี!J295"")"),0)</f>
        <v>0</v>
      </c>
      <c r="Z54" s="98">
        <f t="shared" ca="1" si="34"/>
        <v>0</v>
      </c>
      <c r="AA54" s="321">
        <f ca="1">IFERROR(__xludf.DUMMYFUNCTION("IMPORTRANGE(""https://docs.google.com/spreadsheets/d/1ddFKvqj1W1NEiWytbGlB1zMx_ykJDVtmfEQ-6-lIUBA/edit?usp=sharing"",""จันทบุรี!J296"")"),0)</f>
        <v>0</v>
      </c>
      <c r="AB54" s="322">
        <f t="shared" ca="1" si="35"/>
        <v>0</v>
      </c>
    </row>
    <row r="55" spans="1:28" ht="21" customHeight="1" x14ac:dyDescent="0.3">
      <c r="A55" s="89">
        <v>3</v>
      </c>
      <c r="B55" s="90" t="s">
        <v>81</v>
      </c>
      <c r="C55" s="174">
        <f t="shared" ca="1" si="21"/>
        <v>0</v>
      </c>
      <c r="D55" s="175">
        <f t="shared" ca="1" si="46"/>
        <v>0</v>
      </c>
      <c r="E55" s="176">
        <f ca="1">IFERROR(__xludf.DUMMYFUNCTION("IMPORTRANGE(""https://docs.google.com/spreadsheets/d/1-uDff_7J0KD5mKrp0Vvzr7lt3OU09vwQwhkpOPPYv2Y/edit?usp=sharing"",""งบพรบ!DP55"")"),0)</f>
        <v>0</v>
      </c>
      <c r="F55" s="176">
        <f ca="1">IFERROR(__xludf.DUMMYFUNCTION("IMPORTRANGE(""https://docs.google.com/spreadsheets/d/1-uDff_7J0KD5mKrp0Vvzr7lt3OU09vwQwhkpOPPYv2Y/edit?usp=sharing"",""งบพรบ!DQ55"")"),0)</f>
        <v>0</v>
      </c>
      <c r="G55" s="176">
        <f ca="1">IFERROR(__xludf.DUMMYFUNCTION("IMPORTRANGE(""https://docs.google.com/spreadsheets/d/1-uDff_7J0KD5mKrp0Vvzr7lt3OU09vwQwhkpOPPYv2Y/edit?usp=sharing"",""งบพรบ!DR55"")"),0)</f>
        <v>0</v>
      </c>
      <c r="H55" s="176">
        <f ca="1">IFERROR(__xludf.DUMMYFUNCTION("IMPORTRANGE(""https://docs.google.com/spreadsheets/d/1-uDff_7J0KD5mKrp0Vvzr7lt3OU09vwQwhkpOPPYv2Y/edit?usp=sharing"",""งบพรบ!DT55"")"),0)</f>
        <v>0</v>
      </c>
      <c r="I55" s="176">
        <f ca="1">IFERROR(__xludf.DUMMYFUNCTION("IMPORTRANGE(""https://docs.google.com/spreadsheets/d/1-uDff_7J0KD5mKrp0Vvzr7lt3OU09vwQwhkpOPPYv2Y/edit?usp=sharing"",""งบพรบ!DU55"")"),0)</f>
        <v>0</v>
      </c>
      <c r="J55" s="176">
        <f t="shared" ca="1" si="23"/>
        <v>0</v>
      </c>
      <c r="K55" s="179">
        <f t="shared" ca="1" si="24"/>
        <v>0</v>
      </c>
      <c r="L55" s="176">
        <f ca="1">IFERROR(__xludf.DUMMYFUNCTION("IMPORTRANGE(""https://docs.google.com/spreadsheets/d/1-uDff_7J0KD5mKrp0Vvzr7lt3OU09vwQwhkpOPPYv2Y/edit?usp=sharing"",""งบพรบ!DV55"")"),0)</f>
        <v>0</v>
      </c>
      <c r="M55" s="87">
        <f t="shared" ca="1" si="25"/>
        <v>0</v>
      </c>
      <c r="N55" s="87">
        <f t="shared" ca="1" si="26"/>
        <v>0</v>
      </c>
      <c r="O55" s="86">
        <f ca="1">IFERROR(__xludf.DUMMYFUNCTION("IMPORTRANGE(""https://docs.google.com/spreadsheets/d/1-uDff_7J0KD5mKrp0Vvzr7lt3OU09vwQwhkpOPPYv2Y/edit?usp=sharing"",""งบพรบ!DW55"")"),0)</f>
        <v>0</v>
      </c>
      <c r="P55" s="86">
        <f t="shared" ca="1" si="27"/>
        <v>0</v>
      </c>
      <c r="Q55" s="87">
        <f t="shared" ca="1" si="28"/>
        <v>0</v>
      </c>
      <c r="R55" s="97">
        <f ca="1">IFERROR(__xludf.DUMMYFUNCTION("IMPORTRANGE(""https://docs.google.com/spreadsheets/d/1T1PQvRODqOBZk8BRht_U031fIS1beLA0Ub2CEytj2q0/edit?usp=sharing"",""ฉะเชิงเทรา!I292"")"),0)</f>
        <v>0</v>
      </c>
      <c r="S55" s="97">
        <f ca="1">IFERROR(__xludf.DUMMYFUNCTION("IMPORTRANGE(""https://docs.google.com/spreadsheets/d/1T1PQvRODqOBZk8BRht_U031fIS1beLA0Ub2CEytj2q0/edit?usp=sharing"",""ฉะเชิงเทรา!J292"")"),0)</f>
        <v>0</v>
      </c>
      <c r="T55" s="98">
        <f t="shared" ca="1" si="30"/>
        <v>0</v>
      </c>
      <c r="U55" s="97">
        <f ca="1">IFERROR(__xludf.DUMMYFUNCTION("IMPORTRANGE(""https://docs.google.com/spreadsheets/d/1T1PQvRODqOBZk8BRht_U031fIS1beLA0Ub2CEytj2q0/edit?usp=sharing"",""ฉะเชิงเทรา!I293"")"),0)</f>
        <v>0</v>
      </c>
      <c r="V55" s="97">
        <f ca="1">IFERROR(__xludf.DUMMYFUNCTION("IMPORTRANGE(""https://docs.google.com/spreadsheets/d/1T1PQvRODqOBZk8BRht_U031fIS1beLA0Ub2CEytj2q0/edit?usp=sharing"",""ฉะเชิงเทรา!J293"")"),0)</f>
        <v>0</v>
      </c>
      <c r="W55" s="98">
        <f t="shared" ca="1" si="32"/>
        <v>0</v>
      </c>
      <c r="X55" s="97">
        <f ca="1">IFERROR(__xludf.DUMMYFUNCTION("IMPORTRANGE(""https://docs.google.com/spreadsheets/d/1T1PQvRODqOBZk8BRht_U031fIS1beLA0Ub2CEytj2q0/edit?usp=sharing"",""ฉะเชิงเทรา!I295"")"),0)</f>
        <v>0</v>
      </c>
      <c r="Y55" s="97">
        <f ca="1">IFERROR(__xludf.DUMMYFUNCTION("IMPORTRANGE(""https://docs.google.com/spreadsheets/d/1T1PQvRODqOBZk8BRht_U031fIS1beLA0Ub2CEytj2q0/edit?usp=sharing"",""ฉะเชิงเทรา!J295"")"),0)</f>
        <v>0</v>
      </c>
      <c r="Z55" s="98">
        <f t="shared" ca="1" si="34"/>
        <v>0</v>
      </c>
      <c r="AA55" s="321">
        <f ca="1">IFERROR(__xludf.DUMMYFUNCTION("IMPORTRANGE(""https://docs.google.com/spreadsheets/d/1T1PQvRODqOBZk8BRht_U031fIS1beLA0Ub2CEytj2q0/edit?usp=sharing"",""ฉะเชิงเทรา!J296"")"),0)</f>
        <v>0</v>
      </c>
      <c r="AB55" s="322">
        <f t="shared" ca="1" si="35"/>
        <v>0</v>
      </c>
    </row>
    <row r="56" spans="1:28" ht="21" customHeight="1" x14ac:dyDescent="0.3">
      <c r="A56" s="89">
        <v>4</v>
      </c>
      <c r="B56" s="90" t="s">
        <v>82</v>
      </c>
      <c r="C56" s="174">
        <f t="shared" ca="1" si="21"/>
        <v>0</v>
      </c>
      <c r="D56" s="175">
        <f t="shared" ca="1" si="46"/>
        <v>0</v>
      </c>
      <c r="E56" s="176">
        <f ca="1">IFERROR(__xludf.DUMMYFUNCTION("IMPORTRANGE(""https://docs.google.com/spreadsheets/d/1-uDff_7J0KD5mKrp0Vvzr7lt3OU09vwQwhkpOPPYv2Y/edit?usp=sharing"",""งบพรบ!DP56"")"),0)</f>
        <v>0</v>
      </c>
      <c r="F56" s="176">
        <f ca="1">IFERROR(__xludf.DUMMYFUNCTION("IMPORTRANGE(""https://docs.google.com/spreadsheets/d/1-uDff_7J0KD5mKrp0Vvzr7lt3OU09vwQwhkpOPPYv2Y/edit?usp=sharing"",""งบพรบ!DQ56"")"),0)</f>
        <v>0</v>
      </c>
      <c r="G56" s="176">
        <f ca="1">IFERROR(__xludf.DUMMYFUNCTION("IMPORTRANGE(""https://docs.google.com/spreadsheets/d/1-uDff_7J0KD5mKrp0Vvzr7lt3OU09vwQwhkpOPPYv2Y/edit?usp=sharing"",""งบพรบ!DR56"")"),0)</f>
        <v>0</v>
      </c>
      <c r="H56" s="176">
        <f ca="1">IFERROR(__xludf.DUMMYFUNCTION("IMPORTRANGE(""https://docs.google.com/spreadsheets/d/1-uDff_7J0KD5mKrp0Vvzr7lt3OU09vwQwhkpOPPYv2Y/edit?usp=sharing"",""งบพรบ!DT56"")"),0)</f>
        <v>0</v>
      </c>
      <c r="I56" s="176">
        <f ca="1">IFERROR(__xludf.DUMMYFUNCTION("IMPORTRANGE(""https://docs.google.com/spreadsheets/d/1-uDff_7J0KD5mKrp0Vvzr7lt3OU09vwQwhkpOPPYv2Y/edit?usp=sharing"",""งบพรบ!DU56"")"),0)</f>
        <v>0</v>
      </c>
      <c r="J56" s="176">
        <f t="shared" ca="1" si="23"/>
        <v>0</v>
      </c>
      <c r="K56" s="179">
        <f t="shared" ca="1" si="24"/>
        <v>0</v>
      </c>
      <c r="L56" s="176">
        <f ca="1">IFERROR(__xludf.DUMMYFUNCTION("IMPORTRANGE(""https://docs.google.com/spreadsheets/d/1-uDff_7J0KD5mKrp0Vvzr7lt3OU09vwQwhkpOPPYv2Y/edit?usp=sharing"",""งบพรบ!DV56"")"),0)</f>
        <v>0</v>
      </c>
      <c r="M56" s="87">
        <f t="shared" ca="1" si="25"/>
        <v>0</v>
      </c>
      <c r="N56" s="87">
        <f t="shared" ca="1" si="26"/>
        <v>0</v>
      </c>
      <c r="O56" s="86">
        <f ca="1">IFERROR(__xludf.DUMMYFUNCTION("IMPORTRANGE(""https://docs.google.com/spreadsheets/d/1-uDff_7J0KD5mKrp0Vvzr7lt3OU09vwQwhkpOPPYv2Y/edit?usp=sharing"",""งบพรบ!DW56"")"),0)</f>
        <v>0</v>
      </c>
      <c r="P56" s="86">
        <f t="shared" ca="1" si="27"/>
        <v>0</v>
      </c>
      <c r="Q56" s="87">
        <f t="shared" ca="1" si="28"/>
        <v>0</v>
      </c>
      <c r="R56" s="97">
        <f ca="1">IFERROR(__xludf.DUMMYFUNCTION("IMPORTRANGE(""https://docs.google.com/spreadsheets/d/11tr1B-Bhyr79v2bkwVh5h_fR-PStkgjlZtkrZpYurG0/edit?usp=sharing"",""ชลบุรี!I292"")"),0)</f>
        <v>0</v>
      </c>
      <c r="S56" s="97">
        <f ca="1">IFERROR(__xludf.DUMMYFUNCTION("IMPORTRANGE(""https://docs.google.com/spreadsheets/d/11tr1B-Bhyr79v2bkwVh5h_fR-PStkgjlZtkrZpYurG0/edit?usp=sharing"",""ชลบุรี!J292"")"),0)</f>
        <v>0</v>
      </c>
      <c r="T56" s="98">
        <f t="shared" ca="1" si="30"/>
        <v>0</v>
      </c>
      <c r="U56" s="97">
        <f ca="1">IFERROR(__xludf.DUMMYFUNCTION("IMPORTRANGE(""https://docs.google.com/spreadsheets/d/11tr1B-Bhyr79v2bkwVh5h_fR-PStkgjlZtkrZpYurG0/edit?usp=sharing"",""ชลบุรี!I293"")"),0)</f>
        <v>0</v>
      </c>
      <c r="V56" s="97">
        <f ca="1">IFERROR(__xludf.DUMMYFUNCTION("IMPORTRANGE(""https://docs.google.com/spreadsheets/d/11tr1B-Bhyr79v2bkwVh5h_fR-PStkgjlZtkrZpYurG0/edit?usp=sharing"",""ชลบุรี!J293"")"),0)</f>
        <v>0</v>
      </c>
      <c r="W56" s="98">
        <f t="shared" ca="1" si="32"/>
        <v>0</v>
      </c>
      <c r="X56" s="97">
        <f ca="1">IFERROR(__xludf.DUMMYFUNCTION("IMPORTRANGE(""https://docs.google.com/spreadsheets/d/11tr1B-Bhyr79v2bkwVh5h_fR-PStkgjlZtkrZpYurG0/edit?usp=sharing"",""ชลบุรี!I295"")"),0)</f>
        <v>0</v>
      </c>
      <c r="Y56" s="97">
        <f ca="1">IFERROR(__xludf.DUMMYFUNCTION("IMPORTRANGE(""https://docs.google.com/spreadsheets/d/11tr1B-Bhyr79v2bkwVh5h_fR-PStkgjlZtkrZpYurG0/edit?usp=sharing"",""ชลบุรี!J295"")"),0)</f>
        <v>0</v>
      </c>
      <c r="Z56" s="98">
        <f t="shared" ca="1" si="34"/>
        <v>0</v>
      </c>
      <c r="AA56" s="321">
        <f ca="1">IFERROR(__xludf.DUMMYFUNCTION("IMPORTRANGE(""https://docs.google.com/spreadsheets/d/11tr1B-Bhyr79v2bkwVh5h_fR-PStkgjlZtkrZpYurG0/edit?usp=sharing"",""ชลบุรี!J296"")"),0)</f>
        <v>0</v>
      </c>
      <c r="AB56" s="322">
        <f t="shared" ca="1" si="35"/>
        <v>0</v>
      </c>
    </row>
    <row r="57" spans="1:28" ht="21" customHeight="1" x14ac:dyDescent="0.3">
      <c r="A57" s="89">
        <v>5</v>
      </c>
      <c r="B57" s="90" t="s">
        <v>83</v>
      </c>
      <c r="C57" s="174">
        <f t="shared" ca="1" si="21"/>
        <v>0</v>
      </c>
      <c r="D57" s="175">
        <f t="shared" ca="1" si="46"/>
        <v>0</v>
      </c>
      <c r="E57" s="176">
        <f ca="1">IFERROR(__xludf.DUMMYFUNCTION("IMPORTRANGE(""https://docs.google.com/spreadsheets/d/1-uDff_7J0KD5mKrp0Vvzr7lt3OU09vwQwhkpOPPYv2Y/edit?usp=sharing"",""งบพรบ!DP57"")"),0)</f>
        <v>0</v>
      </c>
      <c r="F57" s="176">
        <f ca="1">IFERROR(__xludf.DUMMYFUNCTION("IMPORTRANGE(""https://docs.google.com/spreadsheets/d/1-uDff_7J0KD5mKrp0Vvzr7lt3OU09vwQwhkpOPPYv2Y/edit?usp=sharing"",""งบพรบ!DQ57"")"),0)</f>
        <v>0</v>
      </c>
      <c r="G57" s="176">
        <f ca="1">IFERROR(__xludf.DUMMYFUNCTION("IMPORTRANGE(""https://docs.google.com/spreadsheets/d/1-uDff_7J0KD5mKrp0Vvzr7lt3OU09vwQwhkpOPPYv2Y/edit?usp=sharing"",""งบพรบ!DR57"")"),0)</f>
        <v>0</v>
      </c>
      <c r="H57" s="176">
        <f ca="1">IFERROR(__xludf.DUMMYFUNCTION("IMPORTRANGE(""https://docs.google.com/spreadsheets/d/1-uDff_7J0KD5mKrp0Vvzr7lt3OU09vwQwhkpOPPYv2Y/edit?usp=sharing"",""งบพรบ!DT57"")"),0)</f>
        <v>0</v>
      </c>
      <c r="I57" s="176">
        <f ca="1">IFERROR(__xludf.DUMMYFUNCTION("IMPORTRANGE(""https://docs.google.com/spreadsheets/d/1-uDff_7J0KD5mKrp0Vvzr7lt3OU09vwQwhkpOPPYv2Y/edit?usp=sharing"",""งบพรบ!DU57"")"),0)</f>
        <v>0</v>
      </c>
      <c r="J57" s="176">
        <f t="shared" ca="1" si="23"/>
        <v>0</v>
      </c>
      <c r="K57" s="179">
        <f t="shared" ca="1" si="24"/>
        <v>0</v>
      </c>
      <c r="L57" s="176">
        <f ca="1">IFERROR(__xludf.DUMMYFUNCTION("IMPORTRANGE(""https://docs.google.com/spreadsheets/d/1-uDff_7J0KD5mKrp0Vvzr7lt3OU09vwQwhkpOPPYv2Y/edit?usp=sharing"",""งบพรบ!DV57"")"),0)</f>
        <v>0</v>
      </c>
      <c r="M57" s="87">
        <f t="shared" ca="1" si="25"/>
        <v>0</v>
      </c>
      <c r="N57" s="87">
        <f t="shared" ca="1" si="26"/>
        <v>0</v>
      </c>
      <c r="O57" s="86">
        <f ca="1">IFERROR(__xludf.DUMMYFUNCTION("IMPORTRANGE(""https://docs.google.com/spreadsheets/d/1-uDff_7J0KD5mKrp0Vvzr7lt3OU09vwQwhkpOPPYv2Y/edit?usp=sharing"",""งบพรบ!DW57"")"),0)</f>
        <v>0</v>
      </c>
      <c r="P57" s="86">
        <f t="shared" ca="1" si="27"/>
        <v>0</v>
      </c>
      <c r="Q57" s="87">
        <f t="shared" ca="1" si="28"/>
        <v>0</v>
      </c>
      <c r="R57" s="97">
        <f ca="1">IFERROR(__xludf.DUMMYFUNCTION("IMPORTRANGE(""https://docs.google.com/spreadsheets/d/1hh-FVnSX0vozXhGluamEcS54Dw9_zqW0N7qJUWgJ0Sw/edit?usp=sharing"",""ชัยนาท!I292"")"),0)</f>
        <v>0</v>
      </c>
      <c r="S57" s="97">
        <f ca="1">IFERROR(__xludf.DUMMYFUNCTION("IMPORTRANGE(""https://docs.google.com/spreadsheets/d/1hh-FVnSX0vozXhGluamEcS54Dw9_zqW0N7qJUWgJ0Sw/edit?usp=sharing"",""ชัยนาท!J292"")"),0)</f>
        <v>0</v>
      </c>
      <c r="T57" s="98">
        <f t="shared" ca="1" si="30"/>
        <v>0</v>
      </c>
      <c r="U57" s="97">
        <f ca="1">IFERROR(__xludf.DUMMYFUNCTION("IMPORTRANGE(""https://docs.google.com/spreadsheets/d/1hh-FVnSX0vozXhGluamEcS54Dw9_zqW0N7qJUWgJ0Sw/edit?usp=sharing"",""ชัยนาท!I293"")"),0)</f>
        <v>0</v>
      </c>
      <c r="V57" s="97">
        <f ca="1">IFERROR(__xludf.DUMMYFUNCTION("IMPORTRANGE(""https://docs.google.com/spreadsheets/d/1hh-FVnSX0vozXhGluamEcS54Dw9_zqW0N7qJUWgJ0Sw/edit?usp=sharing"",""ชัยนาท!J293"")"),0)</f>
        <v>0</v>
      </c>
      <c r="W57" s="98">
        <f t="shared" ca="1" si="32"/>
        <v>0</v>
      </c>
      <c r="X57" s="97">
        <f ca="1">IFERROR(__xludf.DUMMYFUNCTION("IMPORTRANGE(""https://docs.google.com/spreadsheets/d/1hh-FVnSX0vozXhGluamEcS54Dw9_zqW0N7qJUWgJ0Sw/edit?usp=sharing"",""ชัยนาท!I295"")"),0)</f>
        <v>0</v>
      </c>
      <c r="Y57" s="97">
        <f ca="1">IFERROR(__xludf.DUMMYFUNCTION("IMPORTRANGE(""https://docs.google.com/spreadsheets/d/1hh-FVnSX0vozXhGluamEcS54Dw9_zqW0N7qJUWgJ0Sw/edit?usp=sharing"",""ชัยนาท!J295"")"),0)</f>
        <v>0</v>
      </c>
      <c r="Z57" s="98">
        <f t="shared" ca="1" si="34"/>
        <v>0</v>
      </c>
      <c r="AA57" s="321">
        <f ca="1">IFERROR(__xludf.DUMMYFUNCTION("IMPORTRANGE(""https://docs.google.com/spreadsheets/d/1hh-FVnSX0vozXhGluamEcS54Dw9_zqW0N7qJUWgJ0Sw/edit?usp=sharing"",""ชัยนาท!J296"")"),0)</f>
        <v>0</v>
      </c>
      <c r="AB57" s="322">
        <f t="shared" ca="1" si="35"/>
        <v>0</v>
      </c>
    </row>
    <row r="58" spans="1:28" ht="21" customHeight="1" x14ac:dyDescent="0.3">
      <c r="A58" s="89">
        <v>6</v>
      </c>
      <c r="B58" s="90" t="s">
        <v>84</v>
      </c>
      <c r="C58" s="174">
        <f t="shared" ca="1" si="21"/>
        <v>0</v>
      </c>
      <c r="D58" s="175">
        <f t="shared" ca="1" si="46"/>
        <v>0</v>
      </c>
      <c r="E58" s="176">
        <f ca="1">IFERROR(__xludf.DUMMYFUNCTION("IMPORTRANGE(""https://docs.google.com/spreadsheets/d/1-uDff_7J0KD5mKrp0Vvzr7lt3OU09vwQwhkpOPPYv2Y/edit?usp=sharing"",""งบพรบ!DP58"")"),0)</f>
        <v>0</v>
      </c>
      <c r="F58" s="176">
        <f ca="1">IFERROR(__xludf.DUMMYFUNCTION("IMPORTRANGE(""https://docs.google.com/spreadsheets/d/1-uDff_7J0KD5mKrp0Vvzr7lt3OU09vwQwhkpOPPYv2Y/edit?usp=sharing"",""งบพรบ!DQ58"")"),0)</f>
        <v>0</v>
      </c>
      <c r="G58" s="176">
        <f ca="1">IFERROR(__xludf.DUMMYFUNCTION("IMPORTRANGE(""https://docs.google.com/spreadsheets/d/1-uDff_7J0KD5mKrp0Vvzr7lt3OU09vwQwhkpOPPYv2Y/edit?usp=sharing"",""งบพรบ!DR58"")"),0)</f>
        <v>0</v>
      </c>
      <c r="H58" s="176">
        <f ca="1">IFERROR(__xludf.DUMMYFUNCTION("IMPORTRANGE(""https://docs.google.com/spreadsheets/d/1-uDff_7J0KD5mKrp0Vvzr7lt3OU09vwQwhkpOPPYv2Y/edit?usp=sharing"",""งบพรบ!DT58"")"),0)</f>
        <v>0</v>
      </c>
      <c r="I58" s="176">
        <f ca="1">IFERROR(__xludf.DUMMYFUNCTION("IMPORTRANGE(""https://docs.google.com/spreadsheets/d/1-uDff_7J0KD5mKrp0Vvzr7lt3OU09vwQwhkpOPPYv2Y/edit?usp=sharing"",""งบพรบ!DU58"")"),0)</f>
        <v>0</v>
      </c>
      <c r="J58" s="176">
        <f t="shared" ca="1" si="23"/>
        <v>0</v>
      </c>
      <c r="K58" s="179">
        <f t="shared" ca="1" si="24"/>
        <v>0</v>
      </c>
      <c r="L58" s="176">
        <f ca="1">IFERROR(__xludf.DUMMYFUNCTION("IMPORTRANGE(""https://docs.google.com/spreadsheets/d/1-uDff_7J0KD5mKrp0Vvzr7lt3OU09vwQwhkpOPPYv2Y/edit?usp=sharing"",""งบพรบ!DV58"")"),0)</f>
        <v>0</v>
      </c>
      <c r="M58" s="87">
        <f t="shared" ca="1" si="25"/>
        <v>0</v>
      </c>
      <c r="N58" s="87">
        <f t="shared" ca="1" si="26"/>
        <v>0</v>
      </c>
      <c r="O58" s="86">
        <f ca="1">IFERROR(__xludf.DUMMYFUNCTION("IMPORTRANGE(""https://docs.google.com/spreadsheets/d/1-uDff_7J0KD5mKrp0Vvzr7lt3OU09vwQwhkpOPPYv2Y/edit?usp=sharing"",""งบพรบ!DW58"")"),0)</f>
        <v>0</v>
      </c>
      <c r="P58" s="86">
        <f t="shared" ca="1" si="27"/>
        <v>0</v>
      </c>
      <c r="Q58" s="87">
        <f t="shared" ca="1" si="28"/>
        <v>0</v>
      </c>
      <c r="R58" s="97">
        <f ca="1">IFERROR(__xludf.DUMMYFUNCTION("IMPORTRANGE(""https://docs.google.com/spreadsheets/d/1jkqa6GXxSacMcY1eN8AHjMNJ_7dDXMJVRLDlaFSOdPM/edit?usp=sharing"",""ตราด!I292"")"),0)</f>
        <v>0</v>
      </c>
      <c r="S58" s="97">
        <f ca="1">IFERROR(__xludf.DUMMYFUNCTION("IMPORTRANGE(""https://docs.google.com/spreadsheets/d/1jkqa6GXxSacMcY1eN8AHjMNJ_7dDXMJVRLDlaFSOdPM/edit?usp=sharing"",""ตราด!J292"")"),0)</f>
        <v>0</v>
      </c>
      <c r="T58" s="98">
        <f t="shared" ca="1" si="30"/>
        <v>0</v>
      </c>
      <c r="U58" s="97">
        <f ca="1">IFERROR(__xludf.DUMMYFUNCTION("IMPORTRANGE(""https://docs.google.com/spreadsheets/d/1jkqa6GXxSacMcY1eN8AHjMNJ_7dDXMJVRLDlaFSOdPM/edit?usp=sharing"",""ตราด!I293"")"),0)</f>
        <v>0</v>
      </c>
      <c r="V58" s="97">
        <f ca="1">IFERROR(__xludf.DUMMYFUNCTION("IMPORTRANGE(""https://docs.google.com/spreadsheets/d/1jkqa6GXxSacMcY1eN8AHjMNJ_7dDXMJVRLDlaFSOdPM/edit?usp=sharing"",""ตราด!J293"")"),0)</f>
        <v>0</v>
      </c>
      <c r="W58" s="98">
        <f t="shared" ca="1" si="32"/>
        <v>0</v>
      </c>
      <c r="X58" s="97">
        <f ca="1">IFERROR(__xludf.DUMMYFUNCTION("IMPORTRANGE(""https://docs.google.com/spreadsheets/d/1jkqa6GXxSacMcY1eN8AHjMNJ_7dDXMJVRLDlaFSOdPM/edit?usp=sharing"",""ตราด!I295"")"),0)</f>
        <v>0</v>
      </c>
      <c r="Y58" s="97">
        <f ca="1">IFERROR(__xludf.DUMMYFUNCTION("IMPORTRANGE(""https://docs.google.com/spreadsheets/d/1jkqa6GXxSacMcY1eN8AHjMNJ_7dDXMJVRLDlaFSOdPM/edit?usp=sharing"",""ตราด!J295"")"),0)</f>
        <v>0</v>
      </c>
      <c r="Z58" s="98">
        <f t="shared" ca="1" si="34"/>
        <v>0</v>
      </c>
      <c r="AA58" s="321">
        <f ca="1">IFERROR(__xludf.DUMMYFUNCTION("IMPORTRANGE(""https://docs.google.com/spreadsheets/d/1jkqa6GXxSacMcY1eN8AHjMNJ_7dDXMJVRLDlaFSOdPM/edit?usp=sharing"",""ตราด!J296"")"),0)</f>
        <v>0</v>
      </c>
      <c r="AB58" s="322">
        <f t="shared" ca="1" si="35"/>
        <v>0</v>
      </c>
    </row>
    <row r="59" spans="1:28" ht="21" customHeight="1" x14ac:dyDescent="0.3">
      <c r="A59" s="89">
        <v>7</v>
      </c>
      <c r="B59" s="90" t="s">
        <v>85</v>
      </c>
      <c r="C59" s="174">
        <f t="shared" ca="1" si="21"/>
        <v>0</v>
      </c>
      <c r="D59" s="175">
        <f t="shared" ca="1" si="46"/>
        <v>0</v>
      </c>
      <c r="E59" s="176">
        <f ca="1">IFERROR(__xludf.DUMMYFUNCTION("IMPORTRANGE(""https://docs.google.com/spreadsheets/d/1-uDff_7J0KD5mKrp0Vvzr7lt3OU09vwQwhkpOPPYv2Y/edit?usp=sharing"",""งบพรบ!DP59"")"),0)</f>
        <v>0</v>
      </c>
      <c r="F59" s="176">
        <f ca="1">IFERROR(__xludf.DUMMYFUNCTION("IMPORTRANGE(""https://docs.google.com/spreadsheets/d/1-uDff_7J0KD5mKrp0Vvzr7lt3OU09vwQwhkpOPPYv2Y/edit?usp=sharing"",""งบพรบ!DQ59"")"),0)</f>
        <v>0</v>
      </c>
      <c r="G59" s="176">
        <f ca="1">IFERROR(__xludf.DUMMYFUNCTION("IMPORTRANGE(""https://docs.google.com/spreadsheets/d/1-uDff_7J0KD5mKrp0Vvzr7lt3OU09vwQwhkpOPPYv2Y/edit?usp=sharing"",""งบพรบ!DR59"")"),0)</f>
        <v>0</v>
      </c>
      <c r="H59" s="176">
        <f ca="1">IFERROR(__xludf.DUMMYFUNCTION("IMPORTRANGE(""https://docs.google.com/spreadsheets/d/1-uDff_7J0KD5mKrp0Vvzr7lt3OU09vwQwhkpOPPYv2Y/edit?usp=sharing"",""งบพรบ!DT59"")"),0)</f>
        <v>0</v>
      </c>
      <c r="I59" s="176">
        <f ca="1">IFERROR(__xludf.DUMMYFUNCTION("IMPORTRANGE(""https://docs.google.com/spreadsheets/d/1-uDff_7J0KD5mKrp0Vvzr7lt3OU09vwQwhkpOPPYv2Y/edit?usp=sharing"",""งบพรบ!DU59"")"),0)</f>
        <v>0</v>
      </c>
      <c r="J59" s="176">
        <f t="shared" ca="1" si="23"/>
        <v>0</v>
      </c>
      <c r="K59" s="179">
        <f t="shared" ca="1" si="24"/>
        <v>0</v>
      </c>
      <c r="L59" s="176">
        <f ca="1">IFERROR(__xludf.DUMMYFUNCTION("IMPORTRANGE(""https://docs.google.com/spreadsheets/d/1-uDff_7J0KD5mKrp0Vvzr7lt3OU09vwQwhkpOPPYv2Y/edit?usp=sharing"",""งบพรบ!DV59"")"),0)</f>
        <v>0</v>
      </c>
      <c r="M59" s="87">
        <f t="shared" ca="1" si="25"/>
        <v>0</v>
      </c>
      <c r="N59" s="87">
        <f t="shared" ca="1" si="26"/>
        <v>0</v>
      </c>
      <c r="O59" s="86">
        <f ca="1">IFERROR(__xludf.DUMMYFUNCTION("IMPORTRANGE(""https://docs.google.com/spreadsheets/d/1-uDff_7J0KD5mKrp0Vvzr7lt3OU09vwQwhkpOPPYv2Y/edit?usp=sharing"",""งบพรบ!DW59"")"),0)</f>
        <v>0</v>
      </c>
      <c r="P59" s="86">
        <f t="shared" ca="1" si="27"/>
        <v>0</v>
      </c>
      <c r="Q59" s="87">
        <f t="shared" ca="1" si="28"/>
        <v>0</v>
      </c>
      <c r="R59" s="97">
        <f ca="1">IFERROR(__xludf.DUMMYFUNCTION("IMPORTRANGE(""https://docs.google.com/spreadsheets/d/18hSgUJ3VwClqi_qtULmmW3cLr0oe3OKaSYoKzdpTsYQ/edit?usp=sharing"",""นครนายก!I292"")"),0)</f>
        <v>0</v>
      </c>
      <c r="S59" s="97">
        <f ca="1">IFERROR(__xludf.DUMMYFUNCTION("IMPORTRANGE(""https://docs.google.com/spreadsheets/d/18hSgUJ3VwClqi_qtULmmW3cLr0oe3OKaSYoKzdpTsYQ/edit?usp=sharing"",""นครนายก!J292"")"),0)</f>
        <v>0</v>
      </c>
      <c r="T59" s="98">
        <f t="shared" ca="1" si="30"/>
        <v>0</v>
      </c>
      <c r="U59" s="97">
        <f ca="1">IFERROR(__xludf.DUMMYFUNCTION("IMPORTRANGE(""https://docs.google.com/spreadsheets/d/18hSgUJ3VwClqi_qtULmmW3cLr0oe3OKaSYoKzdpTsYQ/edit?usp=sharing"",""นครนายก!I293"")"),0)</f>
        <v>0</v>
      </c>
      <c r="V59" s="97">
        <f ca="1">IFERROR(__xludf.DUMMYFUNCTION("IMPORTRANGE(""https://docs.google.com/spreadsheets/d/18hSgUJ3VwClqi_qtULmmW3cLr0oe3OKaSYoKzdpTsYQ/edit?usp=sharing"",""นครนายก!J293"")"),0)</f>
        <v>0</v>
      </c>
      <c r="W59" s="98">
        <f t="shared" ca="1" si="32"/>
        <v>0</v>
      </c>
      <c r="X59" s="97">
        <f ca="1">IFERROR(__xludf.DUMMYFUNCTION("IMPORTRANGE(""https://docs.google.com/spreadsheets/d/18hSgUJ3VwClqi_qtULmmW3cLr0oe3OKaSYoKzdpTsYQ/edit?usp=sharing"",""นครนายก!I295"")"),0)</f>
        <v>0</v>
      </c>
      <c r="Y59" s="97">
        <f ca="1">IFERROR(__xludf.DUMMYFUNCTION("IMPORTRANGE(""https://docs.google.com/spreadsheets/d/18hSgUJ3VwClqi_qtULmmW3cLr0oe3OKaSYoKzdpTsYQ/edit?usp=sharing"",""นครนายก!J295"")"),0)</f>
        <v>0</v>
      </c>
      <c r="Z59" s="98">
        <f t="shared" ca="1" si="34"/>
        <v>0</v>
      </c>
      <c r="AA59" s="321">
        <f ca="1">IFERROR(__xludf.DUMMYFUNCTION("IMPORTRANGE(""https://docs.google.com/spreadsheets/d/18hSgUJ3VwClqi_qtULmmW3cLr0oe3OKaSYoKzdpTsYQ/edit?usp=sharing"",""นครนายก!J296"")"),0)</f>
        <v>0</v>
      </c>
      <c r="AB59" s="322">
        <f t="shared" ca="1" si="35"/>
        <v>0</v>
      </c>
    </row>
    <row r="60" spans="1:28" ht="21" customHeight="1" x14ac:dyDescent="0.3">
      <c r="A60" s="89">
        <v>8</v>
      </c>
      <c r="B60" s="90" t="s">
        <v>86</v>
      </c>
      <c r="C60" s="174">
        <f t="shared" ca="1" si="21"/>
        <v>0</v>
      </c>
      <c r="D60" s="175">
        <f t="shared" ca="1" si="46"/>
        <v>0</v>
      </c>
      <c r="E60" s="176">
        <f ca="1">IFERROR(__xludf.DUMMYFUNCTION("IMPORTRANGE(""https://docs.google.com/spreadsheets/d/1-uDff_7J0KD5mKrp0Vvzr7lt3OU09vwQwhkpOPPYv2Y/edit?usp=sharing"",""งบพรบ!DP60"")"),0)</f>
        <v>0</v>
      </c>
      <c r="F60" s="176">
        <f ca="1">IFERROR(__xludf.DUMMYFUNCTION("IMPORTRANGE(""https://docs.google.com/spreadsheets/d/1-uDff_7J0KD5mKrp0Vvzr7lt3OU09vwQwhkpOPPYv2Y/edit?usp=sharing"",""งบพรบ!DQ60"")"),0)</f>
        <v>0</v>
      </c>
      <c r="G60" s="176">
        <f ca="1">IFERROR(__xludf.DUMMYFUNCTION("IMPORTRANGE(""https://docs.google.com/spreadsheets/d/1-uDff_7J0KD5mKrp0Vvzr7lt3OU09vwQwhkpOPPYv2Y/edit?usp=sharing"",""งบพรบ!DR60"")"),0)</f>
        <v>0</v>
      </c>
      <c r="H60" s="176">
        <f ca="1">IFERROR(__xludf.DUMMYFUNCTION("IMPORTRANGE(""https://docs.google.com/spreadsheets/d/1-uDff_7J0KD5mKrp0Vvzr7lt3OU09vwQwhkpOPPYv2Y/edit?usp=sharing"",""งบพรบ!DT60"")"),0)</f>
        <v>0</v>
      </c>
      <c r="I60" s="176">
        <f ca="1">IFERROR(__xludf.DUMMYFUNCTION("IMPORTRANGE(""https://docs.google.com/spreadsheets/d/1-uDff_7J0KD5mKrp0Vvzr7lt3OU09vwQwhkpOPPYv2Y/edit?usp=sharing"",""งบพรบ!DU60"")"),0)</f>
        <v>0</v>
      </c>
      <c r="J60" s="176">
        <f t="shared" ca="1" si="23"/>
        <v>0</v>
      </c>
      <c r="K60" s="179">
        <f t="shared" ca="1" si="24"/>
        <v>0</v>
      </c>
      <c r="L60" s="176">
        <f ca="1">IFERROR(__xludf.DUMMYFUNCTION("IMPORTRANGE(""https://docs.google.com/spreadsheets/d/1-uDff_7J0KD5mKrp0Vvzr7lt3OU09vwQwhkpOPPYv2Y/edit?usp=sharing"",""งบพรบ!DV60"")"),0)</f>
        <v>0</v>
      </c>
      <c r="M60" s="87">
        <f t="shared" ca="1" si="25"/>
        <v>0</v>
      </c>
      <c r="N60" s="87">
        <f t="shared" ca="1" si="26"/>
        <v>0</v>
      </c>
      <c r="O60" s="86">
        <f ca="1">IFERROR(__xludf.DUMMYFUNCTION("IMPORTRANGE(""https://docs.google.com/spreadsheets/d/1-uDff_7J0KD5mKrp0Vvzr7lt3OU09vwQwhkpOPPYv2Y/edit?usp=sharing"",""งบพรบ!DW60"")"),0)</f>
        <v>0</v>
      </c>
      <c r="P60" s="86">
        <f t="shared" ca="1" si="27"/>
        <v>0</v>
      </c>
      <c r="Q60" s="87">
        <f t="shared" ca="1" si="28"/>
        <v>0</v>
      </c>
      <c r="R60" s="97">
        <f ca="1">IFERROR(__xludf.DUMMYFUNCTION("IMPORTRANGE(""https://docs.google.com/spreadsheets/d/1YTZo6WM2dQ6Ix6FSdnL5P7uVnVKu40sxZu975tgG10E/edit?usp=sharing"",""นครปฐม!I292"")"),0)</f>
        <v>0</v>
      </c>
      <c r="S60" s="97">
        <f ca="1">IFERROR(__xludf.DUMMYFUNCTION("IMPORTRANGE(""https://docs.google.com/spreadsheets/d/1YTZo6WM2dQ6Ix6FSdnL5P7uVnVKu40sxZu975tgG10E/edit?usp=sharing"",""นครปฐม!J292"")"),0)</f>
        <v>0</v>
      </c>
      <c r="T60" s="98">
        <f t="shared" ca="1" si="30"/>
        <v>0</v>
      </c>
      <c r="U60" s="97">
        <f ca="1">IFERROR(__xludf.DUMMYFUNCTION("IMPORTRANGE(""https://docs.google.com/spreadsheets/d/1YTZo6WM2dQ6Ix6FSdnL5P7uVnVKu40sxZu975tgG10E/edit?usp=sharing"",""นครปฐม!I293"")"),0)</f>
        <v>0</v>
      </c>
      <c r="V60" s="97">
        <f ca="1">IFERROR(__xludf.DUMMYFUNCTION("IMPORTRANGE(""https://docs.google.com/spreadsheets/d/1YTZo6WM2dQ6Ix6FSdnL5P7uVnVKu40sxZu975tgG10E/edit?usp=sharing"",""นครปฐม!J293"")"),0)</f>
        <v>0</v>
      </c>
      <c r="W60" s="98">
        <f t="shared" ca="1" si="32"/>
        <v>0</v>
      </c>
      <c r="X60" s="97">
        <f ca="1">IFERROR(__xludf.DUMMYFUNCTION("IMPORTRANGE(""https://docs.google.com/spreadsheets/d/1YTZo6WM2dQ6Ix6FSdnL5P7uVnVKu40sxZu975tgG10E/edit?usp=sharing"",""นครปฐม!I295"")"),0)</f>
        <v>0</v>
      </c>
      <c r="Y60" s="97">
        <f ca="1">IFERROR(__xludf.DUMMYFUNCTION("IMPORTRANGE(""https://docs.google.com/spreadsheets/d/1YTZo6WM2dQ6Ix6FSdnL5P7uVnVKu40sxZu975tgG10E/edit?usp=sharing"",""นครปฐม!J295"")"),0)</f>
        <v>0</v>
      </c>
      <c r="Z60" s="98">
        <f t="shared" ca="1" si="34"/>
        <v>0</v>
      </c>
      <c r="AA60" s="321">
        <f ca="1">IFERROR(__xludf.DUMMYFUNCTION("IMPORTRANGE(""https://docs.google.com/spreadsheets/d/1YTZo6WM2dQ6Ix6FSdnL5P7uVnVKu40sxZu975tgG10E/edit?usp=sharing"",""นครปฐม!J296"")"),0)</f>
        <v>0</v>
      </c>
      <c r="AB60" s="322">
        <f t="shared" ca="1" si="35"/>
        <v>0</v>
      </c>
    </row>
    <row r="61" spans="1:28" ht="21" customHeight="1" x14ac:dyDescent="0.3">
      <c r="A61" s="89">
        <v>9</v>
      </c>
      <c r="B61" s="90" t="s">
        <v>87</v>
      </c>
      <c r="C61" s="174">
        <f t="shared" ca="1" si="21"/>
        <v>0</v>
      </c>
      <c r="D61" s="175">
        <f t="shared" ca="1" si="46"/>
        <v>0</v>
      </c>
      <c r="E61" s="176">
        <f ca="1">IFERROR(__xludf.DUMMYFUNCTION("IMPORTRANGE(""https://docs.google.com/spreadsheets/d/1-uDff_7J0KD5mKrp0Vvzr7lt3OU09vwQwhkpOPPYv2Y/edit?usp=sharing"",""งบพรบ!DP61"")"),0)</f>
        <v>0</v>
      </c>
      <c r="F61" s="176">
        <f ca="1">IFERROR(__xludf.DUMMYFUNCTION("IMPORTRANGE(""https://docs.google.com/spreadsheets/d/1-uDff_7J0KD5mKrp0Vvzr7lt3OU09vwQwhkpOPPYv2Y/edit?usp=sharing"",""งบพรบ!DQ61"")"),0)</f>
        <v>0</v>
      </c>
      <c r="G61" s="176">
        <f ca="1">IFERROR(__xludf.DUMMYFUNCTION("IMPORTRANGE(""https://docs.google.com/spreadsheets/d/1-uDff_7J0KD5mKrp0Vvzr7lt3OU09vwQwhkpOPPYv2Y/edit?usp=sharing"",""งบพรบ!DR61"")"),0)</f>
        <v>0</v>
      </c>
      <c r="H61" s="176">
        <f ca="1">IFERROR(__xludf.DUMMYFUNCTION("IMPORTRANGE(""https://docs.google.com/spreadsheets/d/1-uDff_7J0KD5mKrp0Vvzr7lt3OU09vwQwhkpOPPYv2Y/edit?usp=sharing"",""งบพรบ!DT61"")"),0)</f>
        <v>0</v>
      </c>
      <c r="I61" s="176">
        <f ca="1">IFERROR(__xludf.DUMMYFUNCTION("IMPORTRANGE(""https://docs.google.com/spreadsheets/d/1-uDff_7J0KD5mKrp0Vvzr7lt3OU09vwQwhkpOPPYv2Y/edit?usp=sharing"",""งบพรบ!DU61"")"),0)</f>
        <v>0</v>
      </c>
      <c r="J61" s="176">
        <f t="shared" ca="1" si="23"/>
        <v>0</v>
      </c>
      <c r="K61" s="179">
        <f t="shared" ca="1" si="24"/>
        <v>0</v>
      </c>
      <c r="L61" s="176">
        <f ca="1">IFERROR(__xludf.DUMMYFUNCTION("IMPORTRANGE(""https://docs.google.com/spreadsheets/d/1-uDff_7J0KD5mKrp0Vvzr7lt3OU09vwQwhkpOPPYv2Y/edit?usp=sharing"",""งบพรบ!DV61"")"),0)</f>
        <v>0</v>
      </c>
      <c r="M61" s="87">
        <f t="shared" ca="1" si="25"/>
        <v>0</v>
      </c>
      <c r="N61" s="87">
        <f t="shared" ca="1" si="26"/>
        <v>0</v>
      </c>
      <c r="O61" s="86">
        <f ca="1">IFERROR(__xludf.DUMMYFUNCTION("IMPORTRANGE(""https://docs.google.com/spreadsheets/d/1-uDff_7J0KD5mKrp0Vvzr7lt3OU09vwQwhkpOPPYv2Y/edit?usp=sharing"",""งบพรบ!DW61"")"),0)</f>
        <v>0</v>
      </c>
      <c r="P61" s="86">
        <f t="shared" ca="1" si="27"/>
        <v>0</v>
      </c>
      <c r="Q61" s="87">
        <f t="shared" ca="1" si="28"/>
        <v>0</v>
      </c>
      <c r="R61" s="97">
        <f ca="1">IFERROR(__xludf.DUMMYFUNCTION("IMPORTRANGE(""https://docs.google.com/spreadsheets/d/1OYoGg4WDg5RIzwGeB10padOxJF9E_Vljuvvct_M7RDo/edit?usp=sharing"",""ปทุมธานี!I292"")"),0)</f>
        <v>0</v>
      </c>
      <c r="S61" s="97">
        <f ca="1">IFERROR(__xludf.DUMMYFUNCTION("IMPORTRANGE(""https://docs.google.com/spreadsheets/d/1OYoGg4WDg5RIzwGeB10padOxJF9E_Vljuvvct_M7RDo/edit?usp=sharing"",""ปทุมธานี!J292"")"),0)</f>
        <v>0</v>
      </c>
      <c r="T61" s="98">
        <f t="shared" ca="1" si="30"/>
        <v>0</v>
      </c>
      <c r="U61" s="97">
        <f ca="1">IFERROR(__xludf.DUMMYFUNCTION("IMPORTRANGE(""https://docs.google.com/spreadsheets/d/1OYoGg4WDg5RIzwGeB10padOxJF9E_Vljuvvct_M7RDo/edit?usp=sharing"",""ปทุมธานี!I293"")"),0)</f>
        <v>0</v>
      </c>
      <c r="V61" s="97">
        <f ca="1">IFERROR(__xludf.DUMMYFUNCTION("IMPORTRANGE(""https://docs.google.com/spreadsheets/d/1OYoGg4WDg5RIzwGeB10padOxJF9E_Vljuvvct_M7RDo/edit?usp=sharing"",""ปทุมธานี!J293"")"),0)</f>
        <v>0</v>
      </c>
      <c r="W61" s="98">
        <f t="shared" ca="1" si="32"/>
        <v>0</v>
      </c>
      <c r="X61" s="97">
        <f ca="1">IFERROR(__xludf.DUMMYFUNCTION("IMPORTRANGE(""https://docs.google.com/spreadsheets/d/1OYoGg4WDg5RIzwGeB10padOxJF9E_Vljuvvct_M7RDo/edit?usp=sharing"",""ปทุมธานี!I295"")"),0)</f>
        <v>0</v>
      </c>
      <c r="Y61" s="97">
        <f ca="1">IFERROR(__xludf.DUMMYFUNCTION("IMPORTRANGE(""https://docs.google.com/spreadsheets/d/1OYoGg4WDg5RIzwGeB10padOxJF9E_Vljuvvct_M7RDo/edit?usp=sharing"",""ปทุมธานี!J295"")"),0)</f>
        <v>0</v>
      </c>
      <c r="Z61" s="98">
        <f t="shared" ca="1" si="34"/>
        <v>0</v>
      </c>
      <c r="AA61" s="321">
        <f ca="1">IFERROR(__xludf.DUMMYFUNCTION("IMPORTRANGE(""https://docs.google.com/spreadsheets/d/1OYoGg4WDg5RIzwGeB10padOxJF9E_Vljuvvct_M7RDo/edit?usp=sharing"",""ปทุมธานี!J296"")"),0)</f>
        <v>0</v>
      </c>
      <c r="AB61" s="322">
        <f t="shared" ca="1" si="35"/>
        <v>0</v>
      </c>
    </row>
    <row r="62" spans="1:28" ht="21" customHeight="1" x14ac:dyDescent="0.3">
      <c r="A62" s="89">
        <v>10</v>
      </c>
      <c r="B62" s="90" t="s">
        <v>88</v>
      </c>
      <c r="C62" s="174">
        <f t="shared" ca="1" si="21"/>
        <v>0</v>
      </c>
      <c r="D62" s="175">
        <f t="shared" ca="1" si="46"/>
        <v>0</v>
      </c>
      <c r="E62" s="176">
        <f ca="1">IFERROR(__xludf.DUMMYFUNCTION("IMPORTRANGE(""https://docs.google.com/spreadsheets/d/1-uDff_7J0KD5mKrp0Vvzr7lt3OU09vwQwhkpOPPYv2Y/edit?usp=sharing"",""งบพรบ!DP62"")"),0)</f>
        <v>0</v>
      </c>
      <c r="F62" s="176">
        <f ca="1">IFERROR(__xludf.DUMMYFUNCTION("IMPORTRANGE(""https://docs.google.com/spreadsheets/d/1-uDff_7J0KD5mKrp0Vvzr7lt3OU09vwQwhkpOPPYv2Y/edit?usp=sharing"",""งบพรบ!DQ62"")"),0)</f>
        <v>0</v>
      </c>
      <c r="G62" s="176">
        <f ca="1">IFERROR(__xludf.DUMMYFUNCTION("IMPORTRANGE(""https://docs.google.com/spreadsheets/d/1-uDff_7J0KD5mKrp0Vvzr7lt3OU09vwQwhkpOPPYv2Y/edit?usp=sharing"",""งบพรบ!DR62"")"),0)</f>
        <v>0</v>
      </c>
      <c r="H62" s="176">
        <f ca="1">IFERROR(__xludf.DUMMYFUNCTION("IMPORTRANGE(""https://docs.google.com/spreadsheets/d/1-uDff_7J0KD5mKrp0Vvzr7lt3OU09vwQwhkpOPPYv2Y/edit?usp=sharing"",""งบพรบ!DT62"")"),0)</f>
        <v>0</v>
      </c>
      <c r="I62" s="176">
        <f ca="1">IFERROR(__xludf.DUMMYFUNCTION("IMPORTRANGE(""https://docs.google.com/spreadsheets/d/1-uDff_7J0KD5mKrp0Vvzr7lt3OU09vwQwhkpOPPYv2Y/edit?usp=sharing"",""งบพรบ!DU62"")"),0)</f>
        <v>0</v>
      </c>
      <c r="J62" s="176">
        <f t="shared" ca="1" si="23"/>
        <v>0</v>
      </c>
      <c r="K62" s="179">
        <f t="shared" ca="1" si="24"/>
        <v>0</v>
      </c>
      <c r="L62" s="176">
        <f ca="1">IFERROR(__xludf.DUMMYFUNCTION("IMPORTRANGE(""https://docs.google.com/spreadsheets/d/1-uDff_7J0KD5mKrp0Vvzr7lt3OU09vwQwhkpOPPYv2Y/edit?usp=sharing"",""งบพรบ!DV62"")"),0)</f>
        <v>0</v>
      </c>
      <c r="M62" s="87">
        <f t="shared" ca="1" si="25"/>
        <v>0</v>
      </c>
      <c r="N62" s="87">
        <f t="shared" ca="1" si="26"/>
        <v>0</v>
      </c>
      <c r="O62" s="86">
        <f ca="1">IFERROR(__xludf.DUMMYFUNCTION("IMPORTRANGE(""https://docs.google.com/spreadsheets/d/1-uDff_7J0KD5mKrp0Vvzr7lt3OU09vwQwhkpOPPYv2Y/edit?usp=sharing"",""งบพรบ!DW62"")"),0)</f>
        <v>0</v>
      </c>
      <c r="P62" s="86">
        <f t="shared" ca="1" si="27"/>
        <v>0</v>
      </c>
      <c r="Q62" s="87">
        <f t="shared" ca="1" si="28"/>
        <v>0</v>
      </c>
      <c r="R62" s="97">
        <f ca="1">IFERROR(__xludf.DUMMYFUNCTION("IMPORTRANGE(""https://docs.google.com/spreadsheets/d/1GbCIE4D4wk9FUozzqk7SxfDMxDVBwVmI5zcaVUSzKAc/edit?usp=sharing"",""ประจวบคีรีขันธ์!I292"")"),0)</f>
        <v>0</v>
      </c>
      <c r="S62" s="97">
        <f ca="1">IFERROR(__xludf.DUMMYFUNCTION("IMPORTRANGE(""https://docs.google.com/spreadsheets/d/1GbCIE4D4wk9FUozzqk7SxfDMxDVBwVmI5zcaVUSzKAc/edit?usp=sharing"",""ประจวบคีรีขันธ์!J292"")"),0)</f>
        <v>0</v>
      </c>
      <c r="T62" s="98">
        <f t="shared" ca="1" si="30"/>
        <v>0</v>
      </c>
      <c r="U62" s="97">
        <f ca="1">IFERROR(__xludf.DUMMYFUNCTION("IMPORTRANGE(""https://docs.google.com/spreadsheets/d/1GbCIE4D4wk9FUozzqk7SxfDMxDVBwVmI5zcaVUSzKAc/edit?usp=sharing"",""ประจวบคีรีขันธ์!I293"")"),0)</f>
        <v>0</v>
      </c>
      <c r="V62" s="97">
        <f ca="1">IFERROR(__xludf.DUMMYFUNCTION("IMPORTRANGE(""https://docs.google.com/spreadsheets/d/1GbCIE4D4wk9FUozzqk7SxfDMxDVBwVmI5zcaVUSzKAc/edit?usp=sharing"",""ประจวบคีรีขันธ์!J293"")"),0)</f>
        <v>0</v>
      </c>
      <c r="W62" s="98">
        <f t="shared" ca="1" si="32"/>
        <v>0</v>
      </c>
      <c r="X62" s="97">
        <f ca="1">IFERROR(__xludf.DUMMYFUNCTION("IMPORTRANGE(""https://docs.google.com/spreadsheets/d/1GbCIE4D4wk9FUozzqk7SxfDMxDVBwVmI5zcaVUSzKAc/edit?usp=sharing"",""ประจวบคีรีขันธ์!I295"")"),0)</f>
        <v>0</v>
      </c>
      <c r="Y62" s="97">
        <f ca="1">IFERROR(__xludf.DUMMYFUNCTION("IMPORTRANGE(""https://docs.google.com/spreadsheets/d/1GbCIE4D4wk9FUozzqk7SxfDMxDVBwVmI5zcaVUSzKAc/edit?usp=sharing"",""ประจวบคีรีขันธ์!J295"")"),0)</f>
        <v>0</v>
      </c>
      <c r="Z62" s="98">
        <f t="shared" ca="1" si="34"/>
        <v>0</v>
      </c>
      <c r="AA62" s="321">
        <f ca="1">IFERROR(__xludf.DUMMYFUNCTION("IMPORTRANGE(""https://docs.google.com/spreadsheets/d/1GbCIE4D4wk9FUozzqk7SxfDMxDVBwVmI5zcaVUSzKAc/edit?usp=sharing"",""ประจวบคีรีขันธ์!J296"")"),0)</f>
        <v>0</v>
      </c>
      <c r="AB62" s="322">
        <f t="shared" ca="1" si="35"/>
        <v>0</v>
      </c>
    </row>
    <row r="63" spans="1:28" ht="21" customHeight="1" x14ac:dyDescent="0.3">
      <c r="A63" s="89">
        <v>11</v>
      </c>
      <c r="B63" s="90" t="s">
        <v>89</v>
      </c>
      <c r="C63" s="174">
        <f t="shared" ca="1" si="21"/>
        <v>0</v>
      </c>
      <c r="D63" s="175">
        <f t="shared" ca="1" si="46"/>
        <v>0</v>
      </c>
      <c r="E63" s="176">
        <f ca="1">IFERROR(__xludf.DUMMYFUNCTION("IMPORTRANGE(""https://docs.google.com/spreadsheets/d/1-uDff_7J0KD5mKrp0Vvzr7lt3OU09vwQwhkpOPPYv2Y/edit?usp=sharing"",""งบพรบ!DP63"")"),0)</f>
        <v>0</v>
      </c>
      <c r="F63" s="176">
        <f ca="1">IFERROR(__xludf.DUMMYFUNCTION("IMPORTRANGE(""https://docs.google.com/spreadsheets/d/1-uDff_7J0KD5mKrp0Vvzr7lt3OU09vwQwhkpOPPYv2Y/edit?usp=sharing"",""งบพรบ!DQ63"")"),0)</f>
        <v>0</v>
      </c>
      <c r="G63" s="176">
        <f ca="1">IFERROR(__xludf.DUMMYFUNCTION("IMPORTRANGE(""https://docs.google.com/spreadsheets/d/1-uDff_7J0KD5mKrp0Vvzr7lt3OU09vwQwhkpOPPYv2Y/edit?usp=sharing"",""งบพรบ!DR63"")"),0)</f>
        <v>0</v>
      </c>
      <c r="H63" s="176">
        <f ca="1">IFERROR(__xludf.DUMMYFUNCTION("IMPORTRANGE(""https://docs.google.com/spreadsheets/d/1-uDff_7J0KD5mKrp0Vvzr7lt3OU09vwQwhkpOPPYv2Y/edit?usp=sharing"",""งบพรบ!DT63"")"),0)</f>
        <v>0</v>
      </c>
      <c r="I63" s="176">
        <f ca="1">IFERROR(__xludf.DUMMYFUNCTION("IMPORTRANGE(""https://docs.google.com/spreadsheets/d/1-uDff_7J0KD5mKrp0Vvzr7lt3OU09vwQwhkpOPPYv2Y/edit?usp=sharing"",""งบพรบ!DU63"")"),0)</f>
        <v>0</v>
      </c>
      <c r="J63" s="176">
        <f t="shared" ca="1" si="23"/>
        <v>0</v>
      </c>
      <c r="K63" s="179">
        <f t="shared" ca="1" si="24"/>
        <v>0</v>
      </c>
      <c r="L63" s="176">
        <f ca="1">IFERROR(__xludf.DUMMYFUNCTION("IMPORTRANGE(""https://docs.google.com/spreadsheets/d/1-uDff_7J0KD5mKrp0Vvzr7lt3OU09vwQwhkpOPPYv2Y/edit?usp=sharing"",""งบพรบ!DV63"")"),0)</f>
        <v>0</v>
      </c>
      <c r="M63" s="87">
        <f t="shared" ca="1" si="25"/>
        <v>0</v>
      </c>
      <c r="N63" s="87">
        <f t="shared" ca="1" si="26"/>
        <v>0</v>
      </c>
      <c r="O63" s="86">
        <f ca="1">IFERROR(__xludf.DUMMYFUNCTION("IMPORTRANGE(""https://docs.google.com/spreadsheets/d/1-uDff_7J0KD5mKrp0Vvzr7lt3OU09vwQwhkpOPPYv2Y/edit?usp=sharing"",""งบพรบ!DW63"")"),0)</f>
        <v>0</v>
      </c>
      <c r="P63" s="86">
        <f t="shared" ca="1" si="27"/>
        <v>0</v>
      </c>
      <c r="Q63" s="87">
        <f t="shared" ca="1" si="28"/>
        <v>0</v>
      </c>
      <c r="R63" s="97">
        <f ca="1">IFERROR(__xludf.DUMMYFUNCTION("IMPORTRANGE(""https://docs.google.com/spreadsheets/d/1vVf6wykvW_lAyu7Yo9L4hUTqHqIeP_qcVuxCtosJEbg/edit?usp=sharing"",""ปราจีนบุรี!I292"")"),0)</f>
        <v>0</v>
      </c>
      <c r="S63" s="97">
        <f ca="1">IFERROR(__xludf.DUMMYFUNCTION("IMPORTRANGE(""https://docs.google.com/spreadsheets/d/1vVf6wykvW_lAyu7Yo9L4hUTqHqIeP_qcVuxCtosJEbg/edit?usp=sharing"",""ปราจีนบุรี!J292"")"),0)</f>
        <v>0</v>
      </c>
      <c r="T63" s="98">
        <f t="shared" ca="1" si="30"/>
        <v>0</v>
      </c>
      <c r="U63" s="97">
        <f ca="1">IFERROR(__xludf.DUMMYFUNCTION("IMPORTRANGE(""https://docs.google.com/spreadsheets/d/1vVf6wykvW_lAyu7Yo9L4hUTqHqIeP_qcVuxCtosJEbg/edit?usp=sharing"",""ปราจีนบุรี!I293"")"),0)</f>
        <v>0</v>
      </c>
      <c r="V63" s="97">
        <f ca="1">IFERROR(__xludf.DUMMYFUNCTION("IMPORTRANGE(""https://docs.google.com/spreadsheets/d/1vVf6wykvW_lAyu7Yo9L4hUTqHqIeP_qcVuxCtosJEbg/edit?usp=sharing"",""ปราจีนบุรี!J293"")"),0)</f>
        <v>0</v>
      </c>
      <c r="W63" s="98">
        <f t="shared" ca="1" si="32"/>
        <v>0</v>
      </c>
      <c r="X63" s="97">
        <f ca="1">IFERROR(__xludf.DUMMYFUNCTION("IMPORTRANGE(""https://docs.google.com/spreadsheets/d/1vVf6wykvW_lAyu7Yo9L4hUTqHqIeP_qcVuxCtosJEbg/edit?usp=sharing"",""ปราจีนบุรี!I295"")"),0)</f>
        <v>0</v>
      </c>
      <c r="Y63" s="97">
        <f ca="1">IFERROR(__xludf.DUMMYFUNCTION("IMPORTRANGE(""https://docs.google.com/spreadsheets/d/1vVf6wykvW_lAyu7Yo9L4hUTqHqIeP_qcVuxCtosJEbg/edit?usp=sharing"",""ปราจีนบุรี!J295"")"),0)</f>
        <v>0</v>
      </c>
      <c r="Z63" s="98">
        <f t="shared" ca="1" si="34"/>
        <v>0</v>
      </c>
      <c r="AA63" s="321">
        <f ca="1">IFERROR(__xludf.DUMMYFUNCTION("IMPORTRANGE(""https://docs.google.com/spreadsheets/d/1vVf6wykvW_lAyu7Yo9L4hUTqHqIeP_qcVuxCtosJEbg/edit?usp=sharing"",""ปราจีนบุรี!J296"")"),0)</f>
        <v>0</v>
      </c>
      <c r="AB63" s="322">
        <f t="shared" ca="1" si="35"/>
        <v>0</v>
      </c>
    </row>
    <row r="64" spans="1:28" ht="21" customHeight="1" x14ac:dyDescent="0.3">
      <c r="A64" s="89">
        <v>12</v>
      </c>
      <c r="B64" s="90" t="s">
        <v>90</v>
      </c>
      <c r="C64" s="174">
        <f t="shared" ca="1" si="21"/>
        <v>0</v>
      </c>
      <c r="D64" s="175">
        <f t="shared" ca="1" si="46"/>
        <v>0</v>
      </c>
      <c r="E64" s="176">
        <f ca="1">IFERROR(__xludf.DUMMYFUNCTION("IMPORTRANGE(""https://docs.google.com/spreadsheets/d/1-uDff_7J0KD5mKrp0Vvzr7lt3OU09vwQwhkpOPPYv2Y/edit?usp=sharing"",""งบพรบ!DP64"")"),0)</f>
        <v>0</v>
      </c>
      <c r="F64" s="176">
        <f ca="1">IFERROR(__xludf.DUMMYFUNCTION("IMPORTRANGE(""https://docs.google.com/spreadsheets/d/1-uDff_7J0KD5mKrp0Vvzr7lt3OU09vwQwhkpOPPYv2Y/edit?usp=sharing"",""งบพรบ!DQ64"")"),0)</f>
        <v>0</v>
      </c>
      <c r="G64" s="176">
        <f ca="1">IFERROR(__xludf.DUMMYFUNCTION("IMPORTRANGE(""https://docs.google.com/spreadsheets/d/1-uDff_7J0KD5mKrp0Vvzr7lt3OU09vwQwhkpOPPYv2Y/edit?usp=sharing"",""งบพรบ!DR64"")"),0)</f>
        <v>0</v>
      </c>
      <c r="H64" s="176">
        <f ca="1">IFERROR(__xludf.DUMMYFUNCTION("IMPORTRANGE(""https://docs.google.com/spreadsheets/d/1-uDff_7J0KD5mKrp0Vvzr7lt3OU09vwQwhkpOPPYv2Y/edit?usp=sharing"",""งบพรบ!DT64"")"),0)</f>
        <v>0</v>
      </c>
      <c r="I64" s="176">
        <f ca="1">IFERROR(__xludf.DUMMYFUNCTION("IMPORTRANGE(""https://docs.google.com/spreadsheets/d/1-uDff_7J0KD5mKrp0Vvzr7lt3OU09vwQwhkpOPPYv2Y/edit?usp=sharing"",""งบพรบ!DU64"")"),0)</f>
        <v>0</v>
      </c>
      <c r="J64" s="176">
        <f t="shared" ca="1" si="23"/>
        <v>0</v>
      </c>
      <c r="K64" s="179">
        <f t="shared" ca="1" si="24"/>
        <v>0</v>
      </c>
      <c r="L64" s="176">
        <f ca="1">IFERROR(__xludf.DUMMYFUNCTION("IMPORTRANGE(""https://docs.google.com/spreadsheets/d/1-uDff_7J0KD5mKrp0Vvzr7lt3OU09vwQwhkpOPPYv2Y/edit?usp=sharing"",""งบพรบ!DV64"")"),0)</f>
        <v>0</v>
      </c>
      <c r="M64" s="87">
        <f t="shared" ca="1" si="25"/>
        <v>0</v>
      </c>
      <c r="N64" s="87">
        <f t="shared" ca="1" si="26"/>
        <v>0</v>
      </c>
      <c r="O64" s="86">
        <f ca="1">IFERROR(__xludf.DUMMYFUNCTION("IMPORTRANGE(""https://docs.google.com/spreadsheets/d/1-uDff_7J0KD5mKrp0Vvzr7lt3OU09vwQwhkpOPPYv2Y/edit?usp=sharing"",""งบพรบ!DW64"")"),0)</f>
        <v>0</v>
      </c>
      <c r="P64" s="86">
        <f t="shared" ca="1" si="27"/>
        <v>0</v>
      </c>
      <c r="Q64" s="87">
        <f t="shared" ca="1" si="28"/>
        <v>0</v>
      </c>
      <c r="R64" s="97">
        <f ca="1">IFERROR(__xludf.DUMMYFUNCTION("IMPORTRANGE(""https://docs.google.com/spreadsheets/d/1BIDqLLg5jk3v59G8NlR8rk5xfQDKne0sAvZHSj7TI6I/edit?usp=sharing"",""พระนครศรีอยุธยา!I292"")"),0)</f>
        <v>0</v>
      </c>
      <c r="S64" s="97">
        <f ca="1">IFERROR(__xludf.DUMMYFUNCTION("IMPORTRANGE(""https://docs.google.com/spreadsheets/d/1BIDqLLg5jk3v59G8NlR8rk5xfQDKne0sAvZHSj7TI6I/edit?usp=sharing"",""พระนครศรีอยุธยา!J292"")"),0)</f>
        <v>0</v>
      </c>
      <c r="T64" s="98">
        <f t="shared" ca="1" si="30"/>
        <v>0</v>
      </c>
      <c r="U64" s="97">
        <f ca="1">IFERROR(__xludf.DUMMYFUNCTION("IMPORTRANGE(""https://docs.google.com/spreadsheets/d/1BIDqLLg5jk3v59G8NlR8rk5xfQDKne0sAvZHSj7TI6I/edit?usp=sharing"",""พระนครศรีอยุธยา!I293"")"),0)</f>
        <v>0</v>
      </c>
      <c r="V64" s="97">
        <f ca="1">IFERROR(__xludf.DUMMYFUNCTION("IMPORTRANGE(""https://docs.google.com/spreadsheets/d/1BIDqLLg5jk3v59G8NlR8rk5xfQDKne0sAvZHSj7TI6I/edit?usp=sharing"",""พระนครศรีอยุธยา!J293"")"),0)</f>
        <v>0</v>
      </c>
      <c r="W64" s="98">
        <f t="shared" ca="1" si="32"/>
        <v>0</v>
      </c>
      <c r="X64" s="97">
        <f ca="1">IFERROR(__xludf.DUMMYFUNCTION("IMPORTRANGE(""https://docs.google.com/spreadsheets/d/1BIDqLLg5jk3v59G8NlR8rk5xfQDKne0sAvZHSj7TI6I/edit?usp=sharing"",""พระนครศรีอยุธยา!I295"")"),0)</f>
        <v>0</v>
      </c>
      <c r="Y64" s="97">
        <f ca="1">IFERROR(__xludf.DUMMYFUNCTION("IMPORTRANGE(""https://docs.google.com/spreadsheets/d/1BIDqLLg5jk3v59G8NlR8rk5xfQDKne0sAvZHSj7TI6I/edit?usp=sharing"",""พระนครศรีอยุธยา!J295"")"),0)</f>
        <v>0</v>
      </c>
      <c r="Z64" s="98">
        <f t="shared" ca="1" si="34"/>
        <v>0</v>
      </c>
      <c r="AA64" s="321">
        <f ca="1">IFERROR(__xludf.DUMMYFUNCTION("IMPORTRANGE(""https://docs.google.com/spreadsheets/d/1BIDqLLg5jk3v59G8NlR8rk5xfQDKne0sAvZHSj7TI6I/edit?usp=sharing"",""พระนครศรีอยุธยา!J296"")"),0)</f>
        <v>0</v>
      </c>
      <c r="AB64" s="322">
        <f t="shared" ca="1" si="35"/>
        <v>0</v>
      </c>
    </row>
    <row r="65" spans="1:28" ht="21" customHeight="1" x14ac:dyDescent="0.3">
      <c r="A65" s="89">
        <v>13</v>
      </c>
      <c r="B65" s="90" t="s">
        <v>91</v>
      </c>
      <c r="C65" s="174">
        <f t="shared" ca="1" si="21"/>
        <v>0</v>
      </c>
      <c r="D65" s="175">
        <f t="shared" ca="1" si="46"/>
        <v>0</v>
      </c>
      <c r="E65" s="176">
        <f ca="1">IFERROR(__xludf.DUMMYFUNCTION("IMPORTRANGE(""https://docs.google.com/spreadsheets/d/1-uDff_7J0KD5mKrp0Vvzr7lt3OU09vwQwhkpOPPYv2Y/edit?usp=sharing"",""งบพรบ!DP65"")"),0)</f>
        <v>0</v>
      </c>
      <c r="F65" s="176">
        <f ca="1">IFERROR(__xludf.DUMMYFUNCTION("IMPORTRANGE(""https://docs.google.com/spreadsheets/d/1-uDff_7J0KD5mKrp0Vvzr7lt3OU09vwQwhkpOPPYv2Y/edit?usp=sharing"",""งบพรบ!DQ65"")"),0)</f>
        <v>0</v>
      </c>
      <c r="G65" s="176">
        <f ca="1">IFERROR(__xludf.DUMMYFUNCTION("IMPORTRANGE(""https://docs.google.com/spreadsheets/d/1-uDff_7J0KD5mKrp0Vvzr7lt3OU09vwQwhkpOPPYv2Y/edit?usp=sharing"",""งบพรบ!DR65"")"),0)</f>
        <v>0</v>
      </c>
      <c r="H65" s="176">
        <f ca="1">IFERROR(__xludf.DUMMYFUNCTION("IMPORTRANGE(""https://docs.google.com/spreadsheets/d/1-uDff_7J0KD5mKrp0Vvzr7lt3OU09vwQwhkpOPPYv2Y/edit?usp=sharing"",""งบพรบ!DT65"")"),0)</f>
        <v>0</v>
      </c>
      <c r="I65" s="176">
        <f ca="1">IFERROR(__xludf.DUMMYFUNCTION("IMPORTRANGE(""https://docs.google.com/spreadsheets/d/1-uDff_7J0KD5mKrp0Vvzr7lt3OU09vwQwhkpOPPYv2Y/edit?usp=sharing"",""งบพรบ!DU65"")"),0)</f>
        <v>0</v>
      </c>
      <c r="J65" s="176">
        <f t="shared" ca="1" si="23"/>
        <v>0</v>
      </c>
      <c r="K65" s="179">
        <f t="shared" ca="1" si="24"/>
        <v>0</v>
      </c>
      <c r="L65" s="176">
        <f ca="1">IFERROR(__xludf.DUMMYFUNCTION("IMPORTRANGE(""https://docs.google.com/spreadsheets/d/1-uDff_7J0KD5mKrp0Vvzr7lt3OU09vwQwhkpOPPYv2Y/edit?usp=sharing"",""งบพรบ!DV65"")"),0)</f>
        <v>0</v>
      </c>
      <c r="M65" s="87">
        <f t="shared" ca="1" si="25"/>
        <v>0</v>
      </c>
      <c r="N65" s="87">
        <f t="shared" ca="1" si="26"/>
        <v>0</v>
      </c>
      <c r="O65" s="86">
        <f ca="1">IFERROR(__xludf.DUMMYFUNCTION("IMPORTRANGE(""https://docs.google.com/spreadsheets/d/1-uDff_7J0KD5mKrp0Vvzr7lt3OU09vwQwhkpOPPYv2Y/edit?usp=sharing"",""งบพรบ!DW65"")"),0)</f>
        <v>0</v>
      </c>
      <c r="P65" s="86">
        <f t="shared" ca="1" si="27"/>
        <v>0</v>
      </c>
      <c r="Q65" s="87">
        <f t="shared" ca="1" si="28"/>
        <v>0</v>
      </c>
      <c r="R65" s="97">
        <f ca="1">IFERROR(__xludf.DUMMYFUNCTION("IMPORTRANGE(""https://docs.google.com/spreadsheets/d/1YXvxf8Yu6_rV4hTBrwMqAcAnv6DfhUxh5emyM3CJp_w/edit?usp=sharing"",""เพชรบุรี!I292"")"),0)</f>
        <v>0</v>
      </c>
      <c r="S65" s="97">
        <f ca="1">IFERROR(__xludf.DUMMYFUNCTION("IMPORTRANGE(""https://docs.google.com/spreadsheets/d/1YXvxf8Yu6_rV4hTBrwMqAcAnv6DfhUxh5emyM3CJp_w/edit?usp=sharing"",""เพชรบุรี!J292"")"),0)</f>
        <v>0</v>
      </c>
      <c r="T65" s="98">
        <f t="shared" ca="1" si="30"/>
        <v>0</v>
      </c>
      <c r="U65" s="97">
        <f ca="1">IFERROR(__xludf.DUMMYFUNCTION("IMPORTRANGE(""https://docs.google.com/spreadsheets/d/1YXvxf8Yu6_rV4hTBrwMqAcAnv6DfhUxh5emyM3CJp_w/edit?usp=sharing"",""เพชรบุรี!I293"")"),0)</f>
        <v>0</v>
      </c>
      <c r="V65" s="97">
        <f ca="1">IFERROR(__xludf.DUMMYFUNCTION("IMPORTRANGE(""https://docs.google.com/spreadsheets/d/1YXvxf8Yu6_rV4hTBrwMqAcAnv6DfhUxh5emyM3CJp_w/edit?usp=sharing"",""เพชรบุรี!J293"")"),0)</f>
        <v>0</v>
      </c>
      <c r="W65" s="98">
        <f t="shared" ca="1" si="32"/>
        <v>0</v>
      </c>
      <c r="X65" s="97">
        <f ca="1">IFERROR(__xludf.DUMMYFUNCTION("IMPORTRANGE(""https://docs.google.com/spreadsheets/d/1YXvxf8Yu6_rV4hTBrwMqAcAnv6DfhUxh5emyM3CJp_w/edit?usp=sharing"",""เพชรบุรี!I295"")"),0)</f>
        <v>0</v>
      </c>
      <c r="Y65" s="97">
        <f ca="1">IFERROR(__xludf.DUMMYFUNCTION("IMPORTRANGE(""https://docs.google.com/spreadsheets/d/1YXvxf8Yu6_rV4hTBrwMqAcAnv6DfhUxh5emyM3CJp_w/edit?usp=sharing"",""เพชรบุรี!J295"")"),0)</f>
        <v>0</v>
      </c>
      <c r="Z65" s="98">
        <f t="shared" ca="1" si="34"/>
        <v>0</v>
      </c>
      <c r="AA65" s="321">
        <f ca="1">IFERROR(__xludf.DUMMYFUNCTION("IMPORTRANGE(""https://docs.google.com/spreadsheets/d/1YXvxf8Yu6_rV4hTBrwMqAcAnv6DfhUxh5emyM3CJp_w/edit?usp=sharing"",""เพชรบุรี!J296"")"),0)</f>
        <v>0</v>
      </c>
      <c r="AB65" s="322">
        <f t="shared" ca="1" si="35"/>
        <v>0</v>
      </c>
    </row>
    <row r="66" spans="1:28" ht="21" customHeight="1" x14ac:dyDescent="0.3">
      <c r="A66" s="89">
        <v>14</v>
      </c>
      <c r="B66" s="90" t="s">
        <v>92</v>
      </c>
      <c r="C66" s="174">
        <f t="shared" ca="1" si="21"/>
        <v>0</v>
      </c>
      <c r="D66" s="175">
        <f t="shared" ca="1" si="46"/>
        <v>0</v>
      </c>
      <c r="E66" s="176">
        <f ca="1">IFERROR(__xludf.DUMMYFUNCTION("IMPORTRANGE(""https://docs.google.com/spreadsheets/d/1-uDff_7J0KD5mKrp0Vvzr7lt3OU09vwQwhkpOPPYv2Y/edit?usp=sharing"",""งบพรบ!DP66"")"),0)</f>
        <v>0</v>
      </c>
      <c r="F66" s="176">
        <f ca="1">IFERROR(__xludf.DUMMYFUNCTION("IMPORTRANGE(""https://docs.google.com/spreadsheets/d/1-uDff_7J0KD5mKrp0Vvzr7lt3OU09vwQwhkpOPPYv2Y/edit?usp=sharing"",""งบพรบ!DQ66"")"),0)</f>
        <v>0</v>
      </c>
      <c r="G66" s="176">
        <f ca="1">IFERROR(__xludf.DUMMYFUNCTION("IMPORTRANGE(""https://docs.google.com/spreadsheets/d/1-uDff_7J0KD5mKrp0Vvzr7lt3OU09vwQwhkpOPPYv2Y/edit?usp=sharing"",""งบพรบ!DR66"")"),0)</f>
        <v>0</v>
      </c>
      <c r="H66" s="176">
        <f ca="1">IFERROR(__xludf.DUMMYFUNCTION("IMPORTRANGE(""https://docs.google.com/spreadsheets/d/1-uDff_7J0KD5mKrp0Vvzr7lt3OU09vwQwhkpOPPYv2Y/edit?usp=sharing"",""งบพรบ!DT66"")"),0)</f>
        <v>0</v>
      </c>
      <c r="I66" s="176">
        <f ca="1">IFERROR(__xludf.DUMMYFUNCTION("IMPORTRANGE(""https://docs.google.com/spreadsheets/d/1-uDff_7J0KD5mKrp0Vvzr7lt3OU09vwQwhkpOPPYv2Y/edit?usp=sharing"",""งบพรบ!DU66"")"),0)</f>
        <v>0</v>
      </c>
      <c r="J66" s="176">
        <f t="shared" ca="1" si="23"/>
        <v>0</v>
      </c>
      <c r="K66" s="179">
        <f t="shared" ca="1" si="24"/>
        <v>0</v>
      </c>
      <c r="L66" s="176">
        <f ca="1">IFERROR(__xludf.DUMMYFUNCTION("IMPORTRANGE(""https://docs.google.com/spreadsheets/d/1-uDff_7J0KD5mKrp0Vvzr7lt3OU09vwQwhkpOPPYv2Y/edit?usp=sharing"",""งบพรบ!DV66"")"),0)</f>
        <v>0</v>
      </c>
      <c r="M66" s="87">
        <f t="shared" ca="1" si="25"/>
        <v>0</v>
      </c>
      <c r="N66" s="87">
        <f t="shared" ca="1" si="26"/>
        <v>0</v>
      </c>
      <c r="O66" s="86">
        <f ca="1">IFERROR(__xludf.DUMMYFUNCTION("IMPORTRANGE(""https://docs.google.com/spreadsheets/d/1-uDff_7J0KD5mKrp0Vvzr7lt3OU09vwQwhkpOPPYv2Y/edit?usp=sharing"",""งบพรบ!DW66"")"),0)</f>
        <v>0</v>
      </c>
      <c r="P66" s="86">
        <f t="shared" ca="1" si="27"/>
        <v>0</v>
      </c>
      <c r="Q66" s="87">
        <f t="shared" ca="1" si="28"/>
        <v>0</v>
      </c>
      <c r="R66" s="97">
        <f ca="1">IFERROR(__xludf.DUMMYFUNCTION("IMPORTRANGE(""https://docs.google.com/spreadsheets/d/19KBlQQs7uwvsao6t2n-KvW3Ax8J8uRRfZPq1zPbXgKc/edit?usp=sharing"",""ระยอง!I292"")"),0)</f>
        <v>0</v>
      </c>
      <c r="S66" s="97">
        <f ca="1">IFERROR(__xludf.DUMMYFUNCTION("IMPORTRANGE(""https://docs.google.com/spreadsheets/d/19KBlQQs7uwvsao6t2n-KvW3Ax8J8uRRfZPq1zPbXgKc/edit?usp=sharing"",""ระยอง!J292"")"),0)</f>
        <v>0</v>
      </c>
      <c r="T66" s="98">
        <f t="shared" ca="1" si="30"/>
        <v>0</v>
      </c>
      <c r="U66" s="97">
        <f ca="1">IFERROR(__xludf.DUMMYFUNCTION("IMPORTRANGE(""https://docs.google.com/spreadsheets/d/19KBlQQs7uwvsao6t2n-KvW3Ax8J8uRRfZPq1zPbXgKc/edit?usp=sharing"",""ระยอง!I293"")"),0)</f>
        <v>0</v>
      </c>
      <c r="V66" s="97">
        <f ca="1">IFERROR(__xludf.DUMMYFUNCTION("IMPORTRANGE(""https://docs.google.com/spreadsheets/d/19KBlQQs7uwvsao6t2n-KvW3Ax8J8uRRfZPq1zPbXgKc/edit?usp=sharing"",""ระยอง!J293"")"),0)</f>
        <v>0</v>
      </c>
      <c r="W66" s="98">
        <f t="shared" ca="1" si="32"/>
        <v>0</v>
      </c>
      <c r="X66" s="97">
        <f ca="1">IFERROR(__xludf.DUMMYFUNCTION("IMPORTRANGE(""https://docs.google.com/spreadsheets/d/19KBlQQs7uwvsao6t2n-KvW3Ax8J8uRRfZPq1zPbXgKc/edit?usp=sharing"",""ระยอง!I295"")"),0)</f>
        <v>0</v>
      </c>
      <c r="Y66" s="97">
        <f ca="1">IFERROR(__xludf.DUMMYFUNCTION("IMPORTRANGE(""https://docs.google.com/spreadsheets/d/19KBlQQs7uwvsao6t2n-KvW3Ax8J8uRRfZPq1zPbXgKc/edit?usp=sharing"",""ระยอง!J295"")"),0)</f>
        <v>0</v>
      </c>
      <c r="Z66" s="98">
        <f t="shared" ca="1" si="34"/>
        <v>0</v>
      </c>
      <c r="AA66" s="321">
        <f ca="1">IFERROR(__xludf.DUMMYFUNCTION("IMPORTRANGE(""https://docs.google.com/spreadsheets/d/19KBlQQs7uwvsao6t2n-KvW3Ax8J8uRRfZPq1zPbXgKc/edit?usp=sharing"",""ระยอง!J296"")"),0)</f>
        <v>0</v>
      </c>
      <c r="AB66" s="322">
        <f t="shared" ca="1" si="35"/>
        <v>0</v>
      </c>
    </row>
    <row r="67" spans="1:28" ht="21" customHeight="1" x14ac:dyDescent="0.3">
      <c r="A67" s="89">
        <v>15</v>
      </c>
      <c r="B67" s="90" t="s">
        <v>93</v>
      </c>
      <c r="C67" s="174">
        <f t="shared" ca="1" si="21"/>
        <v>0</v>
      </c>
      <c r="D67" s="175">
        <f t="shared" ca="1" si="46"/>
        <v>0</v>
      </c>
      <c r="E67" s="176">
        <f ca="1">IFERROR(__xludf.DUMMYFUNCTION("IMPORTRANGE(""https://docs.google.com/spreadsheets/d/1-uDff_7J0KD5mKrp0Vvzr7lt3OU09vwQwhkpOPPYv2Y/edit?usp=sharing"",""งบพรบ!DP67"")"),0)</f>
        <v>0</v>
      </c>
      <c r="F67" s="176">
        <f ca="1">IFERROR(__xludf.DUMMYFUNCTION("IMPORTRANGE(""https://docs.google.com/spreadsheets/d/1-uDff_7J0KD5mKrp0Vvzr7lt3OU09vwQwhkpOPPYv2Y/edit?usp=sharing"",""งบพรบ!DQ67"")"),0)</f>
        <v>0</v>
      </c>
      <c r="G67" s="176">
        <f ca="1">IFERROR(__xludf.DUMMYFUNCTION("IMPORTRANGE(""https://docs.google.com/spreadsheets/d/1-uDff_7J0KD5mKrp0Vvzr7lt3OU09vwQwhkpOPPYv2Y/edit?usp=sharing"",""งบพรบ!DR67"")"),0)</f>
        <v>0</v>
      </c>
      <c r="H67" s="176">
        <f ca="1">IFERROR(__xludf.DUMMYFUNCTION("IMPORTRANGE(""https://docs.google.com/spreadsheets/d/1-uDff_7J0KD5mKrp0Vvzr7lt3OU09vwQwhkpOPPYv2Y/edit?usp=sharing"",""งบพรบ!DT67"")"),0)</f>
        <v>0</v>
      </c>
      <c r="I67" s="176">
        <f ca="1">IFERROR(__xludf.DUMMYFUNCTION("IMPORTRANGE(""https://docs.google.com/spreadsheets/d/1-uDff_7J0KD5mKrp0Vvzr7lt3OU09vwQwhkpOPPYv2Y/edit?usp=sharing"",""งบพรบ!DU67"")"),0)</f>
        <v>0</v>
      </c>
      <c r="J67" s="176">
        <f t="shared" ca="1" si="23"/>
        <v>0</v>
      </c>
      <c r="K67" s="179">
        <f t="shared" ca="1" si="24"/>
        <v>0</v>
      </c>
      <c r="L67" s="176">
        <f ca="1">IFERROR(__xludf.DUMMYFUNCTION("IMPORTRANGE(""https://docs.google.com/spreadsheets/d/1-uDff_7J0KD5mKrp0Vvzr7lt3OU09vwQwhkpOPPYv2Y/edit?usp=sharing"",""งบพรบ!DV67"")"),0)</f>
        <v>0</v>
      </c>
      <c r="M67" s="87">
        <f t="shared" ca="1" si="25"/>
        <v>0</v>
      </c>
      <c r="N67" s="87">
        <f t="shared" ca="1" si="26"/>
        <v>0</v>
      </c>
      <c r="O67" s="86">
        <f ca="1">IFERROR(__xludf.DUMMYFUNCTION("IMPORTRANGE(""https://docs.google.com/spreadsheets/d/1-uDff_7J0KD5mKrp0Vvzr7lt3OU09vwQwhkpOPPYv2Y/edit?usp=sharing"",""งบพรบ!DW67"")"),0)</f>
        <v>0</v>
      </c>
      <c r="P67" s="86">
        <f t="shared" ca="1" si="27"/>
        <v>0</v>
      </c>
      <c r="Q67" s="87">
        <f t="shared" ca="1" si="28"/>
        <v>0</v>
      </c>
      <c r="R67" s="97">
        <f ca="1">IFERROR(__xludf.DUMMYFUNCTION("IMPORTRANGE(""https://docs.google.com/spreadsheets/d/1jQ6P4QcrGM89YfqcC_PxOHGCMq5ezhucwJd8ci-NHng/edit?usp=sharing"",""ราชบุรี!I292"")"),0)</f>
        <v>0</v>
      </c>
      <c r="S67" s="97">
        <f ca="1">IFERROR(__xludf.DUMMYFUNCTION("IMPORTRANGE(""https://docs.google.com/spreadsheets/d/1jQ6P4QcrGM89YfqcC_PxOHGCMq5ezhucwJd8ci-NHng/edit?usp=sharing"",""ราชบุรี!J292"")"),0)</f>
        <v>0</v>
      </c>
      <c r="T67" s="98">
        <f t="shared" ca="1" si="30"/>
        <v>0</v>
      </c>
      <c r="U67" s="97">
        <f ca="1">IFERROR(__xludf.DUMMYFUNCTION("IMPORTRANGE(""https://docs.google.com/spreadsheets/d/1jQ6P4QcrGM89YfqcC_PxOHGCMq5ezhucwJd8ci-NHng/edit?usp=sharing"",""ราชบุรี!I293"")"),0)</f>
        <v>0</v>
      </c>
      <c r="V67" s="97">
        <f ca="1">IFERROR(__xludf.DUMMYFUNCTION("IMPORTRANGE(""https://docs.google.com/spreadsheets/d/1jQ6P4QcrGM89YfqcC_PxOHGCMq5ezhucwJd8ci-NHng/edit?usp=sharing"",""ราชบุรี!J293"")"),0)</f>
        <v>0</v>
      </c>
      <c r="W67" s="98">
        <f t="shared" ca="1" si="32"/>
        <v>0</v>
      </c>
      <c r="X67" s="97">
        <f ca="1">IFERROR(__xludf.DUMMYFUNCTION("IMPORTRANGE(""https://docs.google.com/spreadsheets/d/1jQ6P4QcrGM89YfqcC_PxOHGCMq5ezhucwJd8ci-NHng/edit?usp=sharing"",""ราชบุรี!I295"")"),0)</f>
        <v>0</v>
      </c>
      <c r="Y67" s="97">
        <f ca="1">IFERROR(__xludf.DUMMYFUNCTION("IMPORTRANGE(""https://docs.google.com/spreadsheets/d/1jQ6P4QcrGM89YfqcC_PxOHGCMq5ezhucwJd8ci-NHng/edit?usp=sharing"",""ราชบุรี!J295"")"),0)</f>
        <v>0</v>
      </c>
      <c r="Z67" s="98">
        <f t="shared" ca="1" si="34"/>
        <v>0</v>
      </c>
      <c r="AA67" s="321">
        <f ca="1">IFERROR(__xludf.DUMMYFUNCTION("IMPORTRANGE(""https://docs.google.com/spreadsheets/d/1jQ6P4QcrGM89YfqcC_PxOHGCMq5ezhucwJd8ci-NHng/edit?usp=sharing"",""ราชบุรี!J296"")"),0)</f>
        <v>0</v>
      </c>
      <c r="AB67" s="322">
        <f t="shared" ca="1" si="35"/>
        <v>0</v>
      </c>
    </row>
    <row r="68" spans="1:28" ht="24" customHeight="1" x14ac:dyDescent="0.3">
      <c r="A68" s="89">
        <v>16</v>
      </c>
      <c r="B68" s="90" t="s">
        <v>94</v>
      </c>
      <c r="C68" s="174">
        <f t="shared" ca="1" si="21"/>
        <v>0</v>
      </c>
      <c r="D68" s="175">
        <f t="shared" ca="1" si="46"/>
        <v>0</v>
      </c>
      <c r="E68" s="176">
        <f ca="1">IFERROR(__xludf.DUMMYFUNCTION("IMPORTRANGE(""https://docs.google.com/spreadsheets/d/1-uDff_7J0KD5mKrp0Vvzr7lt3OU09vwQwhkpOPPYv2Y/edit?usp=sharing"",""งบพรบ!DP68"")"),0)</f>
        <v>0</v>
      </c>
      <c r="F68" s="176">
        <f ca="1">IFERROR(__xludf.DUMMYFUNCTION("IMPORTRANGE(""https://docs.google.com/spreadsheets/d/1-uDff_7J0KD5mKrp0Vvzr7lt3OU09vwQwhkpOPPYv2Y/edit?usp=sharing"",""งบพรบ!DQ68"")"),0)</f>
        <v>0</v>
      </c>
      <c r="G68" s="176">
        <f ca="1">IFERROR(__xludf.DUMMYFUNCTION("IMPORTRANGE(""https://docs.google.com/spreadsheets/d/1-uDff_7J0KD5mKrp0Vvzr7lt3OU09vwQwhkpOPPYv2Y/edit?usp=sharing"",""งบพรบ!DR68"")"),0)</f>
        <v>0</v>
      </c>
      <c r="H68" s="176">
        <f ca="1">IFERROR(__xludf.DUMMYFUNCTION("IMPORTRANGE(""https://docs.google.com/spreadsheets/d/1-uDff_7J0KD5mKrp0Vvzr7lt3OU09vwQwhkpOPPYv2Y/edit?usp=sharing"",""งบพรบ!DT68"")"),0)</f>
        <v>0</v>
      </c>
      <c r="I68" s="176">
        <f ca="1">IFERROR(__xludf.DUMMYFUNCTION("IMPORTRANGE(""https://docs.google.com/spreadsheets/d/1-uDff_7J0KD5mKrp0Vvzr7lt3OU09vwQwhkpOPPYv2Y/edit?usp=sharing"",""งบพรบ!DU68"")"),0)</f>
        <v>0</v>
      </c>
      <c r="J68" s="176">
        <f t="shared" ca="1" si="23"/>
        <v>0</v>
      </c>
      <c r="K68" s="179">
        <f t="shared" ca="1" si="24"/>
        <v>0</v>
      </c>
      <c r="L68" s="176">
        <f ca="1">IFERROR(__xludf.DUMMYFUNCTION("IMPORTRANGE(""https://docs.google.com/spreadsheets/d/1-uDff_7J0KD5mKrp0Vvzr7lt3OU09vwQwhkpOPPYv2Y/edit?usp=sharing"",""งบพรบ!DV68"")"),0)</f>
        <v>0</v>
      </c>
      <c r="M68" s="87">
        <f t="shared" ca="1" si="25"/>
        <v>0</v>
      </c>
      <c r="N68" s="87">
        <f t="shared" ca="1" si="26"/>
        <v>0</v>
      </c>
      <c r="O68" s="86">
        <f ca="1">IFERROR(__xludf.DUMMYFUNCTION("IMPORTRANGE(""https://docs.google.com/spreadsheets/d/1-uDff_7J0KD5mKrp0Vvzr7lt3OU09vwQwhkpOPPYv2Y/edit?usp=sharing"",""งบพรบ!DW68"")"),0)</f>
        <v>0</v>
      </c>
      <c r="P68" s="86">
        <f t="shared" ca="1" si="27"/>
        <v>0</v>
      </c>
      <c r="Q68" s="87">
        <f t="shared" ca="1" si="28"/>
        <v>0</v>
      </c>
      <c r="R68" s="97">
        <f ca="1">IFERROR(__xludf.DUMMYFUNCTION("IMPORTRANGE(""https://docs.google.com/spreadsheets/d/1lufeA2cfFqM-elVq2hznhDzC6Pr7wkJ9ZG_sYNGCMCU/edit?usp=sharing"",""ลพบุรี!I292"")"),0)</f>
        <v>0</v>
      </c>
      <c r="S68" s="97">
        <f ca="1">IFERROR(__xludf.DUMMYFUNCTION("IMPORTRANGE(""https://docs.google.com/spreadsheets/d/1lufeA2cfFqM-elVq2hznhDzC6Pr7wkJ9ZG_sYNGCMCU/edit?usp=sharing"",""ลพบุรี!J292"")"),0)</f>
        <v>0</v>
      </c>
      <c r="T68" s="98">
        <f t="shared" ca="1" si="30"/>
        <v>0</v>
      </c>
      <c r="U68" s="97">
        <f ca="1">IFERROR(__xludf.DUMMYFUNCTION("IMPORTRANGE(""https://docs.google.com/spreadsheets/d/1lufeA2cfFqM-elVq2hznhDzC6Pr7wkJ9ZG_sYNGCMCU/edit?usp=sharing"",""ลพบุรี!I293"")"),0)</f>
        <v>0</v>
      </c>
      <c r="V68" s="97">
        <f ca="1">IFERROR(__xludf.DUMMYFUNCTION("IMPORTRANGE(""https://docs.google.com/spreadsheets/d/1lufeA2cfFqM-elVq2hznhDzC6Pr7wkJ9ZG_sYNGCMCU/edit?usp=sharing"",""ลพบุรี!J293"")"),0)</f>
        <v>0</v>
      </c>
      <c r="W68" s="98">
        <f t="shared" ca="1" si="32"/>
        <v>0</v>
      </c>
      <c r="X68" s="97">
        <f ca="1">IFERROR(__xludf.DUMMYFUNCTION("IMPORTRANGE(""https://docs.google.com/spreadsheets/d/1lufeA2cfFqM-elVq2hznhDzC6Pr7wkJ9ZG_sYNGCMCU/edit?usp=sharing"",""ลพบุรี!I295"")"),0)</f>
        <v>0</v>
      </c>
      <c r="Y68" s="97">
        <f ca="1">IFERROR(__xludf.DUMMYFUNCTION("IMPORTRANGE(""https://docs.google.com/spreadsheets/d/1lufeA2cfFqM-elVq2hznhDzC6Pr7wkJ9ZG_sYNGCMCU/edit?usp=sharing"",""ลพบุรี!J295"")"),0)</f>
        <v>0</v>
      </c>
      <c r="Z68" s="98">
        <f t="shared" ca="1" si="34"/>
        <v>0</v>
      </c>
      <c r="AA68" s="321">
        <f ca="1">IFERROR(__xludf.DUMMYFUNCTION("IMPORTRANGE(""https://docs.google.com/spreadsheets/d/1lufeA2cfFqM-elVq2hznhDzC6Pr7wkJ9ZG_sYNGCMCU/edit?usp=sharing"",""ลพบุรี!J296"")"),0)</f>
        <v>0</v>
      </c>
      <c r="AB68" s="322">
        <f t="shared" ca="1" si="35"/>
        <v>0</v>
      </c>
    </row>
    <row r="69" spans="1:28" ht="21" customHeight="1" x14ac:dyDescent="0.3">
      <c r="A69" s="89">
        <v>17</v>
      </c>
      <c r="B69" s="90" t="s">
        <v>95</v>
      </c>
      <c r="C69" s="174">
        <f t="shared" ca="1" si="21"/>
        <v>0</v>
      </c>
      <c r="D69" s="175">
        <f t="shared" ca="1" si="46"/>
        <v>0</v>
      </c>
      <c r="E69" s="176">
        <f ca="1">IFERROR(__xludf.DUMMYFUNCTION("IMPORTRANGE(""https://docs.google.com/spreadsheets/d/1-uDff_7J0KD5mKrp0Vvzr7lt3OU09vwQwhkpOPPYv2Y/edit?usp=sharing"",""งบพรบ!DP69"")"),0)</f>
        <v>0</v>
      </c>
      <c r="F69" s="176">
        <f ca="1">IFERROR(__xludf.DUMMYFUNCTION("IMPORTRANGE(""https://docs.google.com/spreadsheets/d/1-uDff_7J0KD5mKrp0Vvzr7lt3OU09vwQwhkpOPPYv2Y/edit?usp=sharing"",""งบพรบ!DQ69"")"),0)</f>
        <v>0</v>
      </c>
      <c r="G69" s="176">
        <f ca="1">IFERROR(__xludf.DUMMYFUNCTION("IMPORTRANGE(""https://docs.google.com/spreadsheets/d/1-uDff_7J0KD5mKrp0Vvzr7lt3OU09vwQwhkpOPPYv2Y/edit?usp=sharing"",""งบพรบ!DR69"")"),0)</f>
        <v>0</v>
      </c>
      <c r="H69" s="176">
        <f ca="1">IFERROR(__xludf.DUMMYFUNCTION("IMPORTRANGE(""https://docs.google.com/spreadsheets/d/1-uDff_7J0KD5mKrp0Vvzr7lt3OU09vwQwhkpOPPYv2Y/edit?usp=sharing"",""งบพรบ!DT69"")"),0)</f>
        <v>0</v>
      </c>
      <c r="I69" s="176">
        <f ca="1">IFERROR(__xludf.DUMMYFUNCTION("IMPORTRANGE(""https://docs.google.com/spreadsheets/d/1-uDff_7J0KD5mKrp0Vvzr7lt3OU09vwQwhkpOPPYv2Y/edit?usp=sharing"",""งบพรบ!DU69"")"),0)</f>
        <v>0</v>
      </c>
      <c r="J69" s="176">
        <f t="shared" ca="1" si="23"/>
        <v>0</v>
      </c>
      <c r="K69" s="179">
        <f t="shared" ca="1" si="24"/>
        <v>0</v>
      </c>
      <c r="L69" s="176">
        <f ca="1">IFERROR(__xludf.DUMMYFUNCTION("IMPORTRANGE(""https://docs.google.com/spreadsheets/d/1-uDff_7J0KD5mKrp0Vvzr7lt3OU09vwQwhkpOPPYv2Y/edit?usp=sharing"",""งบพรบ!DV69"")"),0)</f>
        <v>0</v>
      </c>
      <c r="M69" s="87">
        <f t="shared" ca="1" si="25"/>
        <v>0</v>
      </c>
      <c r="N69" s="87">
        <f t="shared" ca="1" si="26"/>
        <v>0</v>
      </c>
      <c r="O69" s="86">
        <f ca="1">IFERROR(__xludf.DUMMYFUNCTION("IMPORTRANGE(""https://docs.google.com/spreadsheets/d/1-uDff_7J0KD5mKrp0Vvzr7lt3OU09vwQwhkpOPPYv2Y/edit?usp=sharing"",""งบพรบ!DW69"")"),0)</f>
        <v>0</v>
      </c>
      <c r="P69" s="86">
        <f t="shared" ca="1" si="27"/>
        <v>0</v>
      </c>
      <c r="Q69" s="87">
        <f t="shared" ca="1" si="28"/>
        <v>0</v>
      </c>
      <c r="R69" s="97">
        <f ca="1">IFERROR(__xludf.DUMMYFUNCTION("IMPORTRANGE(""https://docs.google.com/spreadsheets/d/10oOiF7loTyfsTkbd4MpaIm0HQ9SwB7IYHdIUvt-U1Uc/edit?usp=sharing"",""สระแก้ว!I292"")"),0)</f>
        <v>0</v>
      </c>
      <c r="S69" s="97">
        <f ca="1">IFERROR(__xludf.DUMMYFUNCTION("IMPORTRANGE(""https://docs.google.com/spreadsheets/d/10oOiF7loTyfsTkbd4MpaIm0HQ9SwB7IYHdIUvt-U1Uc/edit?usp=sharing"",""สระแก้ว!J292"")"),0)</f>
        <v>0</v>
      </c>
      <c r="T69" s="98">
        <f t="shared" ca="1" si="30"/>
        <v>0</v>
      </c>
      <c r="U69" s="97">
        <f ca="1">IFERROR(__xludf.DUMMYFUNCTION("IMPORTRANGE(""https://docs.google.com/spreadsheets/d/10oOiF7loTyfsTkbd4MpaIm0HQ9SwB7IYHdIUvt-U1Uc/edit?usp=sharing"",""สระแก้ว!I293"")"),0)</f>
        <v>0</v>
      </c>
      <c r="V69" s="97">
        <f ca="1">IFERROR(__xludf.DUMMYFUNCTION("IMPORTRANGE(""https://docs.google.com/spreadsheets/d/10oOiF7loTyfsTkbd4MpaIm0HQ9SwB7IYHdIUvt-U1Uc/edit?usp=sharing"",""สระแก้ว!J293"")"),0)</f>
        <v>0</v>
      </c>
      <c r="W69" s="98">
        <f t="shared" ca="1" si="32"/>
        <v>0</v>
      </c>
      <c r="X69" s="97">
        <f ca="1">IFERROR(__xludf.DUMMYFUNCTION("IMPORTRANGE(""https://docs.google.com/spreadsheets/d/10oOiF7loTyfsTkbd4MpaIm0HQ9SwB7IYHdIUvt-U1Uc/edit?usp=sharing"",""สระแก้ว!I295"")"),0)</f>
        <v>0</v>
      </c>
      <c r="Y69" s="97">
        <f ca="1">IFERROR(__xludf.DUMMYFUNCTION("IMPORTRANGE(""https://docs.google.com/spreadsheets/d/10oOiF7loTyfsTkbd4MpaIm0HQ9SwB7IYHdIUvt-U1Uc/edit?usp=sharing"",""สระแก้ว!J295"")"),0)</f>
        <v>0</v>
      </c>
      <c r="Z69" s="98">
        <f t="shared" ca="1" si="34"/>
        <v>0</v>
      </c>
      <c r="AA69" s="321">
        <f ca="1">IFERROR(__xludf.DUMMYFUNCTION("IMPORTRANGE(""https://docs.google.com/spreadsheets/d/10oOiF7loTyfsTkbd4MpaIm0HQ9SwB7IYHdIUvt-U1Uc/edit?usp=sharing"",""สระแก้ว!J296"")"),0)</f>
        <v>0</v>
      </c>
      <c r="AB69" s="322">
        <f t="shared" ca="1" si="35"/>
        <v>0</v>
      </c>
    </row>
    <row r="70" spans="1:28" ht="21" customHeight="1" x14ac:dyDescent="0.3">
      <c r="A70" s="89">
        <v>18</v>
      </c>
      <c r="B70" s="90" t="s">
        <v>96</v>
      </c>
      <c r="C70" s="174">
        <f t="shared" ca="1" si="21"/>
        <v>0</v>
      </c>
      <c r="D70" s="175">
        <f t="shared" ca="1" si="46"/>
        <v>0</v>
      </c>
      <c r="E70" s="176">
        <f ca="1">IFERROR(__xludf.DUMMYFUNCTION("IMPORTRANGE(""https://docs.google.com/spreadsheets/d/1-uDff_7J0KD5mKrp0Vvzr7lt3OU09vwQwhkpOPPYv2Y/edit?usp=sharing"",""งบพรบ!DP70"")"),0)</f>
        <v>0</v>
      </c>
      <c r="F70" s="176">
        <f ca="1">IFERROR(__xludf.DUMMYFUNCTION("IMPORTRANGE(""https://docs.google.com/spreadsheets/d/1-uDff_7J0KD5mKrp0Vvzr7lt3OU09vwQwhkpOPPYv2Y/edit?usp=sharing"",""งบพรบ!DQ70"")"),0)</f>
        <v>0</v>
      </c>
      <c r="G70" s="176">
        <f ca="1">IFERROR(__xludf.DUMMYFUNCTION("IMPORTRANGE(""https://docs.google.com/spreadsheets/d/1-uDff_7J0KD5mKrp0Vvzr7lt3OU09vwQwhkpOPPYv2Y/edit?usp=sharing"",""งบพรบ!DR70"")"),0)</f>
        <v>0</v>
      </c>
      <c r="H70" s="176">
        <f ca="1">IFERROR(__xludf.DUMMYFUNCTION("IMPORTRANGE(""https://docs.google.com/spreadsheets/d/1-uDff_7J0KD5mKrp0Vvzr7lt3OU09vwQwhkpOPPYv2Y/edit?usp=sharing"",""งบพรบ!DT70"")"),0)</f>
        <v>0</v>
      </c>
      <c r="I70" s="176">
        <f ca="1">IFERROR(__xludf.DUMMYFUNCTION("IMPORTRANGE(""https://docs.google.com/spreadsheets/d/1-uDff_7J0KD5mKrp0Vvzr7lt3OU09vwQwhkpOPPYv2Y/edit?usp=sharing"",""งบพรบ!DU70"")"),0)</f>
        <v>0</v>
      </c>
      <c r="J70" s="176">
        <f t="shared" ca="1" si="23"/>
        <v>0</v>
      </c>
      <c r="K70" s="179">
        <f t="shared" ca="1" si="24"/>
        <v>0</v>
      </c>
      <c r="L70" s="176">
        <f ca="1">IFERROR(__xludf.DUMMYFUNCTION("IMPORTRANGE(""https://docs.google.com/spreadsheets/d/1-uDff_7J0KD5mKrp0Vvzr7lt3OU09vwQwhkpOPPYv2Y/edit?usp=sharing"",""งบพรบ!DV70"")"),0)</f>
        <v>0</v>
      </c>
      <c r="M70" s="87">
        <f t="shared" ca="1" si="25"/>
        <v>0</v>
      </c>
      <c r="N70" s="87">
        <f t="shared" ca="1" si="26"/>
        <v>0</v>
      </c>
      <c r="O70" s="86">
        <f ca="1">IFERROR(__xludf.DUMMYFUNCTION("IMPORTRANGE(""https://docs.google.com/spreadsheets/d/1-uDff_7J0KD5mKrp0Vvzr7lt3OU09vwQwhkpOPPYv2Y/edit?usp=sharing"",""งบพรบ!DW70"")"),0)</f>
        <v>0</v>
      </c>
      <c r="P70" s="86">
        <f t="shared" ca="1" si="27"/>
        <v>0</v>
      </c>
      <c r="Q70" s="87">
        <f t="shared" ca="1" si="28"/>
        <v>0</v>
      </c>
      <c r="R70" s="97">
        <f ca="1">IFERROR(__xludf.DUMMYFUNCTION("IMPORTRANGE(""https://docs.google.com/spreadsheets/d/1xmPlrr1QbdSIKvl1dWUl9K4PjAfSL9oeMr_37QVzcxc/edit?usp=sharing"",""สระบุรี!I292"")"),0)</f>
        <v>0</v>
      </c>
      <c r="S70" s="97">
        <f ca="1">IFERROR(__xludf.DUMMYFUNCTION("IMPORTRANGE(""https://docs.google.com/spreadsheets/d/1xmPlrr1QbdSIKvl1dWUl9K4PjAfSL9oeMr_37QVzcxc/edit?usp=sharing"",""สระบุรี!J292"")"),0)</f>
        <v>0</v>
      </c>
      <c r="T70" s="98">
        <f t="shared" ca="1" si="30"/>
        <v>0</v>
      </c>
      <c r="U70" s="97">
        <f ca="1">IFERROR(__xludf.DUMMYFUNCTION("IMPORTRANGE(""https://docs.google.com/spreadsheets/d/1xmPlrr1QbdSIKvl1dWUl9K4PjAfSL9oeMr_37QVzcxc/edit?usp=sharing"",""สระบุรี!I293"")"),0)</f>
        <v>0</v>
      </c>
      <c r="V70" s="97">
        <f ca="1">IFERROR(__xludf.DUMMYFUNCTION("IMPORTRANGE(""https://docs.google.com/spreadsheets/d/1xmPlrr1QbdSIKvl1dWUl9K4PjAfSL9oeMr_37QVzcxc/edit?usp=sharing"",""สระบุรี!J293"")"),0)</f>
        <v>0</v>
      </c>
      <c r="W70" s="98">
        <f t="shared" ca="1" si="32"/>
        <v>0</v>
      </c>
      <c r="X70" s="97">
        <f ca="1">IFERROR(__xludf.DUMMYFUNCTION("IMPORTRANGE(""https://docs.google.com/spreadsheets/d/1xmPlrr1QbdSIKvl1dWUl9K4PjAfSL9oeMr_37QVzcxc/edit?usp=sharing"",""สระบุรี!I295"")"),0)</f>
        <v>0</v>
      </c>
      <c r="Y70" s="97">
        <f ca="1">IFERROR(__xludf.DUMMYFUNCTION("IMPORTRANGE(""https://docs.google.com/spreadsheets/d/1xmPlrr1QbdSIKvl1dWUl9K4PjAfSL9oeMr_37QVzcxc/edit?usp=sharing"",""สระบุรี!J295"")"),0)</f>
        <v>0</v>
      </c>
      <c r="Z70" s="98">
        <f t="shared" ca="1" si="34"/>
        <v>0</v>
      </c>
      <c r="AA70" s="321">
        <f ca="1">IFERROR(__xludf.DUMMYFUNCTION("IMPORTRANGE(""https://docs.google.com/spreadsheets/d/1xmPlrr1QbdSIKvl1dWUl9K4PjAfSL9oeMr_37QVzcxc/edit?usp=sharing"",""สระบุรี!J296"")"),0)</f>
        <v>0</v>
      </c>
      <c r="AB70" s="322">
        <f t="shared" ca="1" si="35"/>
        <v>0</v>
      </c>
    </row>
    <row r="71" spans="1:28" ht="21" customHeight="1" x14ac:dyDescent="0.3">
      <c r="A71" s="89">
        <v>19</v>
      </c>
      <c r="B71" s="90" t="s">
        <v>97</v>
      </c>
      <c r="C71" s="174">
        <f t="shared" ca="1" si="21"/>
        <v>0</v>
      </c>
      <c r="D71" s="175">
        <f t="shared" ca="1" si="46"/>
        <v>0</v>
      </c>
      <c r="E71" s="176">
        <f ca="1">IFERROR(__xludf.DUMMYFUNCTION("IMPORTRANGE(""https://docs.google.com/spreadsheets/d/1-uDff_7J0KD5mKrp0Vvzr7lt3OU09vwQwhkpOPPYv2Y/edit?usp=sharing"",""งบพรบ!DP71"")"),0)</f>
        <v>0</v>
      </c>
      <c r="F71" s="176">
        <f ca="1">IFERROR(__xludf.DUMMYFUNCTION("IMPORTRANGE(""https://docs.google.com/spreadsheets/d/1-uDff_7J0KD5mKrp0Vvzr7lt3OU09vwQwhkpOPPYv2Y/edit?usp=sharing"",""งบพรบ!DQ71"")"),0)</f>
        <v>0</v>
      </c>
      <c r="G71" s="176">
        <f ca="1">IFERROR(__xludf.DUMMYFUNCTION("IMPORTRANGE(""https://docs.google.com/spreadsheets/d/1-uDff_7J0KD5mKrp0Vvzr7lt3OU09vwQwhkpOPPYv2Y/edit?usp=sharing"",""งบพรบ!DR71"")"),0)</f>
        <v>0</v>
      </c>
      <c r="H71" s="176">
        <f ca="1">IFERROR(__xludf.DUMMYFUNCTION("IMPORTRANGE(""https://docs.google.com/spreadsheets/d/1-uDff_7J0KD5mKrp0Vvzr7lt3OU09vwQwhkpOPPYv2Y/edit?usp=sharing"",""งบพรบ!DT71"")"),0)</f>
        <v>0</v>
      </c>
      <c r="I71" s="176">
        <f ca="1">IFERROR(__xludf.DUMMYFUNCTION("IMPORTRANGE(""https://docs.google.com/spreadsheets/d/1-uDff_7J0KD5mKrp0Vvzr7lt3OU09vwQwhkpOPPYv2Y/edit?usp=sharing"",""งบพรบ!DU71"")"),0)</f>
        <v>0</v>
      </c>
      <c r="J71" s="176">
        <f t="shared" ca="1" si="23"/>
        <v>0</v>
      </c>
      <c r="K71" s="179">
        <f t="shared" ca="1" si="24"/>
        <v>0</v>
      </c>
      <c r="L71" s="176">
        <f ca="1">IFERROR(__xludf.DUMMYFUNCTION("IMPORTRANGE(""https://docs.google.com/spreadsheets/d/1-uDff_7J0KD5mKrp0Vvzr7lt3OU09vwQwhkpOPPYv2Y/edit?usp=sharing"",""งบพรบ!DV71"")"),0)</f>
        <v>0</v>
      </c>
      <c r="M71" s="87">
        <f t="shared" ca="1" si="25"/>
        <v>0</v>
      </c>
      <c r="N71" s="87">
        <f t="shared" ca="1" si="26"/>
        <v>0</v>
      </c>
      <c r="O71" s="86">
        <f ca="1">IFERROR(__xludf.DUMMYFUNCTION("IMPORTRANGE(""https://docs.google.com/spreadsheets/d/1-uDff_7J0KD5mKrp0Vvzr7lt3OU09vwQwhkpOPPYv2Y/edit?usp=sharing"",""งบพรบ!DW71"")"),0)</f>
        <v>0</v>
      </c>
      <c r="P71" s="86">
        <f t="shared" ca="1" si="27"/>
        <v>0</v>
      </c>
      <c r="Q71" s="87">
        <f t="shared" ca="1" si="28"/>
        <v>0</v>
      </c>
      <c r="R71" s="97">
        <f ca="1">IFERROR(__xludf.DUMMYFUNCTION("IMPORTRANGE(""https://docs.google.com/spreadsheets/d/1j51vR6CYVGhABJpv6tkstgok82RLpXieLzW1yOY5rHw/edit?usp=sharing"",""สิงห์บุรี!I292"")"),0)</f>
        <v>0</v>
      </c>
      <c r="S71" s="97">
        <f ca="1">IFERROR(__xludf.DUMMYFUNCTION("IMPORTRANGE(""https://docs.google.com/spreadsheets/d/1j51vR6CYVGhABJpv6tkstgok82RLpXieLzW1yOY5rHw/edit?usp=sharing"",""สิงห์บุรี!J292"")"),0)</f>
        <v>0</v>
      </c>
      <c r="T71" s="98">
        <f t="shared" ca="1" si="30"/>
        <v>0</v>
      </c>
      <c r="U71" s="97">
        <f ca="1">IFERROR(__xludf.DUMMYFUNCTION("IMPORTRANGE(""https://docs.google.com/spreadsheets/d/1j51vR6CYVGhABJpv6tkstgok82RLpXieLzW1yOY5rHw/edit?usp=sharing"",""สิงห์บุรี!I293"")"),0)</f>
        <v>0</v>
      </c>
      <c r="V71" s="97">
        <f ca="1">IFERROR(__xludf.DUMMYFUNCTION("IMPORTRANGE(""https://docs.google.com/spreadsheets/d/1j51vR6CYVGhABJpv6tkstgok82RLpXieLzW1yOY5rHw/edit?usp=sharing"",""สิงห์บุรี!J293"")"),0)</f>
        <v>0</v>
      </c>
      <c r="W71" s="98">
        <f t="shared" ca="1" si="32"/>
        <v>0</v>
      </c>
      <c r="X71" s="97">
        <f ca="1">IFERROR(__xludf.DUMMYFUNCTION("IMPORTRANGE(""https://docs.google.com/spreadsheets/d/1j51vR6CYVGhABJpv6tkstgok82RLpXieLzW1yOY5rHw/edit?usp=sharing"",""สิงห์บุรี!I295"")"),0)</f>
        <v>0</v>
      </c>
      <c r="Y71" s="97">
        <f ca="1">IFERROR(__xludf.DUMMYFUNCTION("IMPORTRANGE(""https://docs.google.com/spreadsheets/d/1j51vR6CYVGhABJpv6tkstgok82RLpXieLzW1yOY5rHw/edit?usp=sharing"",""สิงห์บุรี!J295"")"),0)</f>
        <v>0</v>
      </c>
      <c r="Z71" s="98">
        <f t="shared" ca="1" si="34"/>
        <v>0</v>
      </c>
      <c r="AA71" s="321">
        <f ca="1">IFERROR(__xludf.DUMMYFUNCTION("IMPORTRANGE(""https://docs.google.com/spreadsheets/d/1j51vR6CYVGhABJpv6tkstgok82RLpXieLzW1yOY5rHw/edit?usp=sharing"",""สิงห์บุรี!J296"")"),0)</f>
        <v>0</v>
      </c>
      <c r="AB71" s="322">
        <f t="shared" ca="1" si="35"/>
        <v>0</v>
      </c>
    </row>
    <row r="72" spans="1:28" ht="21" customHeight="1" x14ac:dyDescent="0.3">
      <c r="A72" s="89">
        <v>20</v>
      </c>
      <c r="B72" s="90" t="s">
        <v>98</v>
      </c>
      <c r="C72" s="174">
        <f t="shared" ca="1" si="21"/>
        <v>137720</v>
      </c>
      <c r="D72" s="175">
        <f t="shared" ca="1" si="46"/>
        <v>137720</v>
      </c>
      <c r="E72" s="176">
        <f ca="1">IFERROR(__xludf.DUMMYFUNCTION("IMPORTRANGE(""https://docs.google.com/spreadsheets/d/1-uDff_7J0KD5mKrp0Vvzr7lt3OU09vwQwhkpOPPYv2Y/edit?usp=sharing"",""งบพรบ!DP72"")"),81600)</f>
        <v>81600</v>
      </c>
      <c r="F72" s="176">
        <f ca="1">IFERROR(__xludf.DUMMYFUNCTION("IMPORTRANGE(""https://docs.google.com/spreadsheets/d/1-uDff_7J0KD5mKrp0Vvzr7lt3OU09vwQwhkpOPPYv2Y/edit?usp=sharing"",""งบพรบ!DQ72"")"),56120)</f>
        <v>56120</v>
      </c>
      <c r="G72" s="176">
        <f ca="1">IFERROR(__xludf.DUMMYFUNCTION("IMPORTRANGE(""https://docs.google.com/spreadsheets/d/1-uDff_7J0KD5mKrp0Vvzr7lt3OU09vwQwhkpOPPYv2Y/edit?usp=sharing"",""งบพรบ!DR72"")"),0)</f>
        <v>0</v>
      </c>
      <c r="H72" s="176">
        <f ca="1">IFERROR(__xludf.DUMMYFUNCTION("IMPORTRANGE(""https://docs.google.com/spreadsheets/d/1-uDff_7J0KD5mKrp0Vvzr7lt3OU09vwQwhkpOPPYv2Y/edit?usp=sharing"",""งบพรบ!DT72"")"),137720)</f>
        <v>137720</v>
      </c>
      <c r="I72" s="176">
        <f ca="1">IFERROR(__xludf.DUMMYFUNCTION("IMPORTRANGE(""https://docs.google.com/spreadsheets/d/1-uDff_7J0KD5mKrp0Vvzr7lt3OU09vwQwhkpOPPYv2Y/edit?usp=sharing"",""งบพรบ!DU72"")"),0)</f>
        <v>0</v>
      </c>
      <c r="J72" s="176">
        <f t="shared" ca="1" si="23"/>
        <v>66810</v>
      </c>
      <c r="K72" s="179">
        <f t="shared" ca="1" si="24"/>
        <v>48.511472553006101</v>
      </c>
      <c r="L72" s="176">
        <f ca="1">IFERROR(__xludf.DUMMYFUNCTION("IMPORTRANGE(""https://docs.google.com/spreadsheets/d/1-uDff_7J0KD5mKrp0Vvzr7lt3OU09vwQwhkpOPPYv2Y/edit?usp=sharing"",""งบพรบ!DV72"")"),66810)</f>
        <v>66810</v>
      </c>
      <c r="M72" s="87">
        <f t="shared" ca="1" si="25"/>
        <v>48.511472553006101</v>
      </c>
      <c r="N72" s="87">
        <f t="shared" ca="1" si="26"/>
        <v>48.511472553006101</v>
      </c>
      <c r="O72" s="86">
        <f ca="1">IFERROR(__xludf.DUMMYFUNCTION("IMPORTRANGE(""https://docs.google.com/spreadsheets/d/1-uDff_7J0KD5mKrp0Vvzr7lt3OU09vwQwhkpOPPYv2Y/edit?usp=sharing"",""งบพรบ!DW72"")"),0)</f>
        <v>0</v>
      </c>
      <c r="P72" s="86">
        <f t="shared" ca="1" si="27"/>
        <v>0</v>
      </c>
      <c r="Q72" s="87">
        <f t="shared" ca="1" si="28"/>
        <v>0</v>
      </c>
      <c r="R72" s="97">
        <f ca="1">IFERROR(__xludf.DUMMYFUNCTION("IMPORTRANGE(""https://docs.google.com/spreadsheets/d/1H1EalTWKUSzO4Z1-1CwzoDUaVffgrThEBe2sl74kKG0/edit?usp=sharing"",""สุพรรณบุรี!I292"")"),100)</f>
        <v>100</v>
      </c>
      <c r="S72" s="97">
        <f ca="1">IFERROR(__xludf.DUMMYFUNCTION("IMPORTRANGE(""https://docs.google.com/spreadsheets/d/1H1EalTWKUSzO4Z1-1CwzoDUaVffgrThEBe2sl74kKG0/edit?usp=sharing"",""สุพรรณบุรี!J292"")"),0)</f>
        <v>0</v>
      </c>
      <c r="T72" s="98">
        <f t="shared" ca="1" si="30"/>
        <v>0</v>
      </c>
      <c r="U72" s="97">
        <f ca="1">IFERROR(__xludf.DUMMYFUNCTION("IMPORTRANGE(""https://docs.google.com/spreadsheets/d/1H1EalTWKUSzO4Z1-1CwzoDUaVffgrThEBe2sl74kKG0/edit?usp=sharing"",""สุพรรณบุรี!I293"")"),10)</f>
        <v>10</v>
      </c>
      <c r="V72" s="97">
        <f ca="1">IFERROR(__xludf.DUMMYFUNCTION("IMPORTRANGE(""https://docs.google.com/spreadsheets/d/1H1EalTWKUSzO4Z1-1CwzoDUaVffgrThEBe2sl74kKG0/edit?usp=sharing"",""สุพรรณบุรี!J293"")"),0)</f>
        <v>0</v>
      </c>
      <c r="W72" s="98">
        <f t="shared" ca="1" si="32"/>
        <v>0</v>
      </c>
      <c r="X72" s="97">
        <f ca="1">IFERROR(__xludf.DUMMYFUNCTION("IMPORTRANGE(""https://docs.google.com/spreadsheets/d/1H1EalTWKUSzO4Z1-1CwzoDUaVffgrThEBe2sl74kKG0/edit?usp=sharing"",""สุพรรณบุรี!I295"")"),10)</f>
        <v>10</v>
      </c>
      <c r="Y72" s="97">
        <f ca="1">IFERROR(__xludf.DUMMYFUNCTION("IMPORTRANGE(""https://docs.google.com/spreadsheets/d/1H1EalTWKUSzO4Z1-1CwzoDUaVffgrThEBe2sl74kKG0/edit?usp=sharing"",""สุพรรณบุรี!J295"")"),0)</f>
        <v>0</v>
      </c>
      <c r="Z72" s="98">
        <f t="shared" ca="1" si="34"/>
        <v>0</v>
      </c>
      <c r="AA72" s="321">
        <f ca="1">IFERROR(__xludf.DUMMYFUNCTION("IMPORTRANGE(""https://docs.google.com/spreadsheets/d/1H1EalTWKUSzO4Z1-1CwzoDUaVffgrThEBe2sl74kKG0/edit?usp=sharing"",""สุพรรณบุรี!J296"")"),0)</f>
        <v>0</v>
      </c>
      <c r="AB72" s="322">
        <f t="shared" ca="1" si="35"/>
        <v>0</v>
      </c>
    </row>
    <row r="73" spans="1:28" ht="21" customHeight="1" x14ac:dyDescent="0.3">
      <c r="A73" s="100">
        <v>21</v>
      </c>
      <c r="B73" s="101" t="s">
        <v>99</v>
      </c>
      <c r="C73" s="182">
        <f t="shared" ca="1" si="21"/>
        <v>0</v>
      </c>
      <c r="D73" s="183">
        <f t="shared" ca="1" si="46"/>
        <v>0</v>
      </c>
      <c r="E73" s="184">
        <f ca="1">IFERROR(__xludf.DUMMYFUNCTION("IMPORTRANGE(""https://docs.google.com/spreadsheets/d/1-uDff_7J0KD5mKrp0Vvzr7lt3OU09vwQwhkpOPPYv2Y/edit?usp=sharing"",""งบพรบ!DP73"")"),0)</f>
        <v>0</v>
      </c>
      <c r="F73" s="184">
        <f ca="1">IFERROR(__xludf.DUMMYFUNCTION("IMPORTRANGE(""https://docs.google.com/spreadsheets/d/1-uDff_7J0KD5mKrp0Vvzr7lt3OU09vwQwhkpOPPYv2Y/edit?usp=sharing"",""งบพรบ!DQ73"")"),0)</f>
        <v>0</v>
      </c>
      <c r="G73" s="184">
        <f ca="1">IFERROR(__xludf.DUMMYFUNCTION("IMPORTRANGE(""https://docs.google.com/spreadsheets/d/1-uDff_7J0KD5mKrp0Vvzr7lt3OU09vwQwhkpOPPYv2Y/edit?usp=sharing"",""งบพรบ!DR73"")"),0)</f>
        <v>0</v>
      </c>
      <c r="H73" s="184">
        <f ca="1">IFERROR(__xludf.DUMMYFUNCTION("IMPORTRANGE(""https://docs.google.com/spreadsheets/d/1-uDff_7J0KD5mKrp0Vvzr7lt3OU09vwQwhkpOPPYv2Y/edit?usp=sharing"",""งบพรบ!DT73"")"),0)</f>
        <v>0</v>
      </c>
      <c r="I73" s="184">
        <f ca="1">IFERROR(__xludf.DUMMYFUNCTION("IMPORTRANGE(""https://docs.google.com/spreadsheets/d/1-uDff_7J0KD5mKrp0Vvzr7lt3OU09vwQwhkpOPPYv2Y/edit?usp=sharing"",""งบพรบ!DU73"")"),0)</f>
        <v>0</v>
      </c>
      <c r="J73" s="184">
        <f t="shared" ca="1" si="23"/>
        <v>0</v>
      </c>
      <c r="K73" s="185">
        <f t="shared" ca="1" si="24"/>
        <v>0</v>
      </c>
      <c r="L73" s="184">
        <f ca="1">IFERROR(__xludf.DUMMYFUNCTION("IMPORTRANGE(""https://docs.google.com/spreadsheets/d/1-uDff_7J0KD5mKrp0Vvzr7lt3OU09vwQwhkpOPPYv2Y/edit?usp=sharing"",""งบพรบ!DV73"")"),0)</f>
        <v>0</v>
      </c>
      <c r="M73" s="109">
        <f t="shared" ca="1" si="25"/>
        <v>0</v>
      </c>
      <c r="N73" s="109">
        <f t="shared" ca="1" si="26"/>
        <v>0</v>
      </c>
      <c r="O73" s="108">
        <f ca="1">IFERROR(__xludf.DUMMYFUNCTION("IMPORTRANGE(""https://docs.google.com/spreadsheets/d/1-uDff_7J0KD5mKrp0Vvzr7lt3OU09vwQwhkpOPPYv2Y/edit?usp=sharing"",""งบพรบ!DW73"")"),0)</f>
        <v>0</v>
      </c>
      <c r="P73" s="108">
        <f t="shared" ca="1" si="27"/>
        <v>0</v>
      </c>
      <c r="Q73" s="109">
        <f t="shared" ca="1" si="28"/>
        <v>0</v>
      </c>
      <c r="R73" s="110">
        <f ca="1">IFERROR(__xludf.DUMMYFUNCTION("IMPORTRANGE(""https://docs.google.com/spreadsheets/d/1BmIruG_sIrJLYao_Pdr7zVArWsfoBt2692TMi6x_854/edit?usp=sharing"",""อ่างทอง!I292"")"),0)</f>
        <v>0</v>
      </c>
      <c r="S73" s="110">
        <f ca="1">IFERROR(__xludf.DUMMYFUNCTION("IMPORTRANGE(""https://docs.google.com/spreadsheets/d/1BmIruG_sIrJLYao_Pdr7zVArWsfoBt2692TMi6x_854/edit?usp=sharing"",""อ่างทอง!J292"")"),0)</f>
        <v>0</v>
      </c>
      <c r="T73" s="111">
        <f t="shared" ca="1" si="30"/>
        <v>0</v>
      </c>
      <c r="U73" s="110">
        <f ca="1">IFERROR(__xludf.DUMMYFUNCTION("IMPORTRANGE(""https://docs.google.com/spreadsheets/d/1BmIruG_sIrJLYao_Pdr7zVArWsfoBt2692TMi6x_854/edit?usp=sharing"",""อ่างทอง!I293"")"),0)</f>
        <v>0</v>
      </c>
      <c r="V73" s="110">
        <f ca="1">IFERROR(__xludf.DUMMYFUNCTION("IMPORTRANGE(""https://docs.google.com/spreadsheets/d/1BmIruG_sIrJLYao_Pdr7zVArWsfoBt2692TMi6x_854/edit?usp=sharing"",""อ่างทอง!J293"")"),0)</f>
        <v>0</v>
      </c>
      <c r="W73" s="111">
        <f t="shared" ca="1" si="32"/>
        <v>0</v>
      </c>
      <c r="X73" s="110">
        <f ca="1">IFERROR(__xludf.DUMMYFUNCTION("IMPORTRANGE(""https://docs.google.com/spreadsheets/d/1BmIruG_sIrJLYao_Pdr7zVArWsfoBt2692TMi6x_854/edit?usp=sharing"",""อ่างทอง!I295"")"),0)</f>
        <v>0</v>
      </c>
      <c r="Y73" s="110">
        <f ca="1">IFERROR(__xludf.DUMMYFUNCTION("IMPORTRANGE(""https://docs.google.com/spreadsheets/d/1BmIruG_sIrJLYao_Pdr7zVArWsfoBt2692TMi6x_854/edit?usp=sharing"",""อ่างทอง!J295"")"),0)</f>
        <v>0</v>
      </c>
      <c r="Z73" s="111">
        <f t="shared" ca="1" si="34"/>
        <v>0</v>
      </c>
      <c r="AA73" s="323">
        <f ca="1">IFERROR(__xludf.DUMMYFUNCTION("IMPORTRANGE(""https://docs.google.com/spreadsheets/d/1BmIruG_sIrJLYao_Pdr7zVArWsfoBt2692TMi6x_854/edit?usp=sharing"",""อ่างทอง!J296"")"),0)</f>
        <v>0</v>
      </c>
      <c r="AB73" s="324">
        <f t="shared" ca="1" si="35"/>
        <v>0</v>
      </c>
    </row>
    <row r="74" spans="1:28" ht="21" customHeight="1" x14ac:dyDescent="0.3">
      <c r="A74" s="624" t="s">
        <v>100</v>
      </c>
      <c r="B74" s="604"/>
      <c r="C74" s="161">
        <f t="shared" ca="1" si="21"/>
        <v>292520</v>
      </c>
      <c r="D74" s="161">
        <f t="shared" ref="D74:I74" ca="1" si="47">SUM(D75:D88)</f>
        <v>292520</v>
      </c>
      <c r="E74" s="161">
        <f t="shared" ca="1" si="47"/>
        <v>236400</v>
      </c>
      <c r="F74" s="161">
        <f t="shared" ca="1" si="47"/>
        <v>56120</v>
      </c>
      <c r="G74" s="161">
        <f t="shared" ca="1" si="47"/>
        <v>0</v>
      </c>
      <c r="H74" s="161">
        <f t="shared" ca="1" si="47"/>
        <v>292520</v>
      </c>
      <c r="I74" s="161">
        <f t="shared" ca="1" si="47"/>
        <v>0</v>
      </c>
      <c r="J74" s="161">
        <f t="shared" ca="1" si="23"/>
        <v>142862.85</v>
      </c>
      <c r="K74" s="162">
        <f t="shared" ca="1" si="24"/>
        <v>48.838660604403117</v>
      </c>
      <c r="L74" s="161">
        <f ca="1">SUM(L75:L88)</f>
        <v>142862.85</v>
      </c>
      <c r="M74" s="40">
        <f t="shared" ca="1" si="25"/>
        <v>48.838660604403117</v>
      </c>
      <c r="N74" s="40">
        <f t="shared" ca="1" si="26"/>
        <v>48.838660604403117</v>
      </c>
      <c r="O74" s="39">
        <f ca="1">SUM(O75:O88)</f>
        <v>0</v>
      </c>
      <c r="P74" s="39">
        <f t="shared" ca="1" si="27"/>
        <v>0</v>
      </c>
      <c r="Q74" s="40">
        <f t="shared" ca="1" si="28"/>
        <v>0</v>
      </c>
      <c r="R74" s="71">
        <f t="shared" ref="R74:S74" ca="1" si="48">SUM(R75:R88)</f>
        <v>100</v>
      </c>
      <c r="S74" s="71">
        <f t="shared" ca="1" si="48"/>
        <v>100</v>
      </c>
      <c r="T74" s="114">
        <f t="shared" ca="1" si="30"/>
        <v>100</v>
      </c>
      <c r="U74" s="71">
        <f t="shared" ref="U74:V74" ca="1" si="49">SUM(U75:U88)</f>
        <v>10</v>
      </c>
      <c r="V74" s="71">
        <f t="shared" ca="1" si="49"/>
        <v>10</v>
      </c>
      <c r="W74" s="114">
        <f t="shared" ca="1" si="32"/>
        <v>100</v>
      </c>
      <c r="X74" s="71">
        <f t="shared" ref="X74:Y74" ca="1" si="50">SUM(X75:X88)</f>
        <v>10</v>
      </c>
      <c r="Y74" s="71">
        <f t="shared" ca="1" si="50"/>
        <v>10</v>
      </c>
      <c r="Z74" s="114">
        <f t="shared" ca="1" si="34"/>
        <v>100</v>
      </c>
      <c r="AA74" s="325">
        <f ca="1">SUM(AA75:AA88)</f>
        <v>10</v>
      </c>
      <c r="AB74" s="326">
        <f t="shared" ca="1" si="35"/>
        <v>100</v>
      </c>
    </row>
    <row r="75" spans="1:28" ht="21" customHeight="1" x14ac:dyDescent="0.3">
      <c r="A75" s="77">
        <v>1</v>
      </c>
      <c r="B75" s="78" t="s">
        <v>101</v>
      </c>
      <c r="C75" s="174">
        <f t="shared" ca="1" si="21"/>
        <v>0</v>
      </c>
      <c r="D75" s="175">
        <f t="shared" ref="D75:D88" ca="1" si="51">+E75+F75</f>
        <v>0</v>
      </c>
      <c r="E75" s="176">
        <f ca="1">IFERROR(__xludf.DUMMYFUNCTION("IMPORTRANGE(""https://docs.google.com/spreadsheets/d/1-uDff_7J0KD5mKrp0Vvzr7lt3OU09vwQwhkpOPPYv2Y/edit?usp=sharing"",""งบพรบ!DP75"")"),0)</f>
        <v>0</v>
      </c>
      <c r="F75" s="176">
        <f ca="1">IFERROR(__xludf.DUMMYFUNCTION("IMPORTRANGE(""https://docs.google.com/spreadsheets/d/1-uDff_7J0KD5mKrp0Vvzr7lt3OU09vwQwhkpOPPYv2Y/edit?usp=sharing"",""งบพรบ!DQ75"")"),0)</f>
        <v>0</v>
      </c>
      <c r="G75" s="176">
        <f ca="1">IFERROR(__xludf.DUMMYFUNCTION("IMPORTRANGE(""https://docs.google.com/spreadsheets/d/1-uDff_7J0KD5mKrp0Vvzr7lt3OU09vwQwhkpOPPYv2Y/edit?usp=sharing"",""งบพรบ!DR75"")"),0)</f>
        <v>0</v>
      </c>
      <c r="H75" s="176">
        <f ca="1">IFERROR(__xludf.DUMMYFUNCTION("IMPORTRANGE(""https://docs.google.com/spreadsheets/d/1-uDff_7J0KD5mKrp0Vvzr7lt3OU09vwQwhkpOPPYv2Y/edit?usp=sharing"",""งบพรบ!DT75"")"),0)</f>
        <v>0</v>
      </c>
      <c r="I75" s="176">
        <f ca="1">IFERROR(__xludf.DUMMYFUNCTION("IMPORTRANGE(""https://docs.google.com/spreadsheets/d/1-uDff_7J0KD5mKrp0Vvzr7lt3OU09vwQwhkpOPPYv2Y/edit?usp=sharing"",""งบพรบ!DU75"")"),0)</f>
        <v>0</v>
      </c>
      <c r="J75" s="176">
        <f t="shared" ca="1" si="23"/>
        <v>0</v>
      </c>
      <c r="K75" s="179">
        <f t="shared" ca="1" si="24"/>
        <v>0</v>
      </c>
      <c r="L75" s="176">
        <f ca="1">IFERROR(__xludf.DUMMYFUNCTION("IMPORTRANGE(""https://docs.google.com/spreadsheets/d/1-uDff_7J0KD5mKrp0Vvzr7lt3OU09vwQwhkpOPPYv2Y/edit?usp=sharing"",""งบพรบ!DV75"")"),0)</f>
        <v>0</v>
      </c>
      <c r="M75" s="87">
        <f t="shared" ca="1" si="25"/>
        <v>0</v>
      </c>
      <c r="N75" s="87">
        <f t="shared" ca="1" si="26"/>
        <v>0</v>
      </c>
      <c r="O75" s="86">
        <f ca="1">IFERROR(__xludf.DUMMYFUNCTION("IMPORTRANGE(""https://docs.google.com/spreadsheets/d/1-uDff_7J0KD5mKrp0Vvzr7lt3OU09vwQwhkpOPPYv2Y/edit?usp=sharing"",""งบพรบ!DW75"")"),0)</f>
        <v>0</v>
      </c>
      <c r="P75" s="86">
        <f t="shared" ca="1" si="27"/>
        <v>0</v>
      </c>
      <c r="Q75" s="87">
        <f t="shared" ca="1" si="28"/>
        <v>0</v>
      </c>
      <c r="R75" s="82">
        <f ca="1">IFERROR(__xludf.DUMMYFUNCTION("IMPORTRANGE(""https://docs.google.com/spreadsheets/d/1kKUcYdkIfrgTSj8iHHHB2MD2FAtwyyocFgqGQn6ADyI/edit?usp=sharing"",""กระบี่!I292"")"),0)</f>
        <v>0</v>
      </c>
      <c r="S75" s="82">
        <f ca="1">IFERROR(__xludf.DUMMYFUNCTION("IMPORTRANGE(""https://docs.google.com/spreadsheets/d/1kKUcYdkIfrgTSj8iHHHB2MD2FAtwyyocFgqGQn6ADyI/edit?usp=sharing"",""กระบี่!J292"")"),0)</f>
        <v>0</v>
      </c>
      <c r="T75" s="88">
        <f t="shared" ca="1" si="30"/>
        <v>0</v>
      </c>
      <c r="U75" s="82">
        <f ca="1">IFERROR(__xludf.DUMMYFUNCTION("IMPORTRANGE(""https://docs.google.com/spreadsheets/d/1kKUcYdkIfrgTSj8iHHHB2MD2FAtwyyocFgqGQn6ADyI/edit?usp=sharing"",""กระบี่!I293"")"),0)</f>
        <v>0</v>
      </c>
      <c r="V75" s="82">
        <f ca="1">IFERROR(__xludf.DUMMYFUNCTION("IMPORTRANGE(""https://docs.google.com/spreadsheets/d/1kKUcYdkIfrgTSj8iHHHB2MD2FAtwyyocFgqGQn6ADyI/edit?usp=sharing"",""กระบี่!J293"")"),0)</f>
        <v>0</v>
      </c>
      <c r="W75" s="88">
        <f t="shared" ca="1" si="32"/>
        <v>0</v>
      </c>
      <c r="X75" s="82">
        <f ca="1">IFERROR(__xludf.DUMMYFUNCTION("IMPORTRANGE(""https://docs.google.com/spreadsheets/d/1kKUcYdkIfrgTSj8iHHHB2MD2FAtwyyocFgqGQn6ADyI/edit?usp=sharing"",""กระบี่!I295"")"),0)</f>
        <v>0</v>
      </c>
      <c r="Y75" s="82">
        <f ca="1">IFERROR(__xludf.DUMMYFUNCTION("IMPORTRANGE(""https://docs.google.com/spreadsheets/d/1kKUcYdkIfrgTSj8iHHHB2MD2FAtwyyocFgqGQn6ADyI/edit?usp=sharing"",""กระบี่!J295"")"),0)</f>
        <v>0</v>
      </c>
      <c r="Z75" s="88">
        <f t="shared" ca="1" si="34"/>
        <v>0</v>
      </c>
      <c r="AA75" s="319">
        <f ca="1">IFERROR(__xludf.DUMMYFUNCTION("IMPORTRANGE(""https://docs.google.com/spreadsheets/d/1kKUcYdkIfrgTSj8iHHHB2MD2FAtwyyocFgqGQn6ADyI/edit?usp=sharing"",""กระบี่!J296"")"),0)</f>
        <v>0</v>
      </c>
      <c r="AB75" s="320">
        <f t="shared" ca="1" si="35"/>
        <v>0</v>
      </c>
    </row>
    <row r="76" spans="1:28" ht="21" customHeight="1" x14ac:dyDescent="0.3">
      <c r="A76" s="89">
        <v>2</v>
      </c>
      <c r="B76" s="90" t="s">
        <v>102</v>
      </c>
      <c r="C76" s="174">
        <f t="shared" ca="1" si="21"/>
        <v>0</v>
      </c>
      <c r="D76" s="175">
        <f t="shared" ca="1" si="51"/>
        <v>0</v>
      </c>
      <c r="E76" s="176">
        <f ca="1">IFERROR(__xludf.DUMMYFUNCTION("IMPORTRANGE(""https://docs.google.com/spreadsheets/d/1-uDff_7J0KD5mKrp0Vvzr7lt3OU09vwQwhkpOPPYv2Y/edit?usp=sharing"",""งบพรบ!DP76"")"),0)</f>
        <v>0</v>
      </c>
      <c r="F76" s="176">
        <f ca="1">IFERROR(__xludf.DUMMYFUNCTION("IMPORTRANGE(""https://docs.google.com/spreadsheets/d/1-uDff_7J0KD5mKrp0Vvzr7lt3OU09vwQwhkpOPPYv2Y/edit?usp=sharing"",""งบพรบ!DQ76"")"),0)</f>
        <v>0</v>
      </c>
      <c r="G76" s="176">
        <f ca="1">IFERROR(__xludf.DUMMYFUNCTION("IMPORTRANGE(""https://docs.google.com/spreadsheets/d/1-uDff_7J0KD5mKrp0Vvzr7lt3OU09vwQwhkpOPPYv2Y/edit?usp=sharing"",""งบพรบ!DR76"")"),0)</f>
        <v>0</v>
      </c>
      <c r="H76" s="176">
        <f ca="1">IFERROR(__xludf.DUMMYFUNCTION("IMPORTRANGE(""https://docs.google.com/spreadsheets/d/1-uDff_7J0KD5mKrp0Vvzr7lt3OU09vwQwhkpOPPYv2Y/edit?usp=sharing"",""งบพรบ!DT76"")"),0)</f>
        <v>0</v>
      </c>
      <c r="I76" s="176">
        <f ca="1">IFERROR(__xludf.DUMMYFUNCTION("IMPORTRANGE(""https://docs.google.com/spreadsheets/d/1-uDff_7J0KD5mKrp0Vvzr7lt3OU09vwQwhkpOPPYv2Y/edit?usp=sharing"",""งบพรบ!DU76"")"),0)</f>
        <v>0</v>
      </c>
      <c r="J76" s="176">
        <f t="shared" ca="1" si="23"/>
        <v>0</v>
      </c>
      <c r="K76" s="179">
        <f t="shared" ca="1" si="24"/>
        <v>0</v>
      </c>
      <c r="L76" s="176">
        <f ca="1">IFERROR(__xludf.DUMMYFUNCTION("IMPORTRANGE(""https://docs.google.com/spreadsheets/d/1-uDff_7J0KD5mKrp0Vvzr7lt3OU09vwQwhkpOPPYv2Y/edit?usp=sharing"",""งบพรบ!DV76"")"),0)</f>
        <v>0</v>
      </c>
      <c r="M76" s="87">
        <f t="shared" ca="1" si="25"/>
        <v>0</v>
      </c>
      <c r="N76" s="87">
        <f t="shared" ca="1" si="26"/>
        <v>0</v>
      </c>
      <c r="O76" s="86">
        <f ca="1">IFERROR(__xludf.DUMMYFUNCTION("IMPORTRANGE(""https://docs.google.com/spreadsheets/d/1-uDff_7J0KD5mKrp0Vvzr7lt3OU09vwQwhkpOPPYv2Y/edit?usp=sharing"",""งบพรบ!DW76"")"),0)</f>
        <v>0</v>
      </c>
      <c r="P76" s="86">
        <f t="shared" ca="1" si="27"/>
        <v>0</v>
      </c>
      <c r="Q76" s="87">
        <f t="shared" ca="1" si="28"/>
        <v>0</v>
      </c>
      <c r="R76" s="97">
        <f ca="1">IFERROR(__xludf.DUMMYFUNCTION("IMPORTRANGE(""https://docs.google.com/spreadsheets/d/1GwtLaSlNZkLk7iDqcyZz22giiy40b_usZZBXYciEN1U/edit?usp=sharing"",""ชุมพร!I292"")"),0)</f>
        <v>0</v>
      </c>
      <c r="S76" s="97">
        <f ca="1">IFERROR(__xludf.DUMMYFUNCTION("IMPORTRANGE(""https://docs.google.com/spreadsheets/d/1GwtLaSlNZkLk7iDqcyZz22giiy40b_usZZBXYciEN1U/edit?usp=sharing"",""ชุมพร!J292"")"),0)</f>
        <v>0</v>
      </c>
      <c r="T76" s="98">
        <f t="shared" ca="1" si="30"/>
        <v>0</v>
      </c>
      <c r="U76" s="97">
        <f ca="1">IFERROR(__xludf.DUMMYFUNCTION("IMPORTRANGE(""https://docs.google.com/spreadsheets/d/1GwtLaSlNZkLk7iDqcyZz22giiy40b_usZZBXYciEN1U/edit?usp=sharing"",""ชุมพร!I293"")"),0)</f>
        <v>0</v>
      </c>
      <c r="V76" s="97">
        <f ca="1">IFERROR(__xludf.DUMMYFUNCTION("IMPORTRANGE(""https://docs.google.com/spreadsheets/d/1GwtLaSlNZkLk7iDqcyZz22giiy40b_usZZBXYciEN1U/edit?usp=sharing"",""ชุมพร!J293"")"),0)</f>
        <v>0</v>
      </c>
      <c r="W76" s="98">
        <f t="shared" ca="1" si="32"/>
        <v>0</v>
      </c>
      <c r="X76" s="97">
        <f ca="1">IFERROR(__xludf.DUMMYFUNCTION("IMPORTRANGE(""https://docs.google.com/spreadsheets/d/1GwtLaSlNZkLk7iDqcyZz22giiy40b_usZZBXYciEN1U/edit?usp=sharing"",""ชุมพร!I295"")"),0)</f>
        <v>0</v>
      </c>
      <c r="Y76" s="97">
        <f ca="1">IFERROR(__xludf.DUMMYFUNCTION("IMPORTRANGE(""https://docs.google.com/spreadsheets/d/1GwtLaSlNZkLk7iDqcyZz22giiy40b_usZZBXYciEN1U/edit?usp=sharing"",""ชุมพร!J295"")"),0)</f>
        <v>0</v>
      </c>
      <c r="Z76" s="98">
        <f t="shared" ca="1" si="34"/>
        <v>0</v>
      </c>
      <c r="AA76" s="321">
        <f ca="1">IFERROR(__xludf.DUMMYFUNCTION("IMPORTRANGE(""https://docs.google.com/spreadsheets/d/1GwtLaSlNZkLk7iDqcyZz22giiy40b_usZZBXYciEN1U/edit?usp=sharing"",""ชุมพร!J296"")"),0)</f>
        <v>0</v>
      </c>
      <c r="AB76" s="322">
        <f t="shared" ca="1" si="35"/>
        <v>0</v>
      </c>
    </row>
    <row r="77" spans="1:28" ht="21" customHeight="1" x14ac:dyDescent="0.3">
      <c r="A77" s="89">
        <v>3</v>
      </c>
      <c r="B77" s="90" t="s">
        <v>103</v>
      </c>
      <c r="C77" s="174">
        <f t="shared" ca="1" si="21"/>
        <v>0</v>
      </c>
      <c r="D77" s="175">
        <f t="shared" ca="1" si="51"/>
        <v>0</v>
      </c>
      <c r="E77" s="176">
        <f ca="1">IFERROR(__xludf.DUMMYFUNCTION("IMPORTRANGE(""https://docs.google.com/spreadsheets/d/1-uDff_7J0KD5mKrp0Vvzr7lt3OU09vwQwhkpOPPYv2Y/edit?usp=sharing"",""งบพรบ!DP77"")"),0)</f>
        <v>0</v>
      </c>
      <c r="F77" s="176">
        <f ca="1">IFERROR(__xludf.DUMMYFUNCTION("IMPORTRANGE(""https://docs.google.com/spreadsheets/d/1-uDff_7J0KD5mKrp0Vvzr7lt3OU09vwQwhkpOPPYv2Y/edit?usp=sharing"",""งบพรบ!DQ77"")"),0)</f>
        <v>0</v>
      </c>
      <c r="G77" s="176">
        <f ca="1">IFERROR(__xludf.DUMMYFUNCTION("IMPORTRANGE(""https://docs.google.com/spreadsheets/d/1-uDff_7J0KD5mKrp0Vvzr7lt3OU09vwQwhkpOPPYv2Y/edit?usp=sharing"",""งบพรบ!DR77"")"),0)</f>
        <v>0</v>
      </c>
      <c r="H77" s="176">
        <f ca="1">IFERROR(__xludf.DUMMYFUNCTION("IMPORTRANGE(""https://docs.google.com/spreadsheets/d/1-uDff_7J0KD5mKrp0Vvzr7lt3OU09vwQwhkpOPPYv2Y/edit?usp=sharing"",""งบพรบ!DT77"")"),0)</f>
        <v>0</v>
      </c>
      <c r="I77" s="176">
        <f ca="1">IFERROR(__xludf.DUMMYFUNCTION("IMPORTRANGE(""https://docs.google.com/spreadsheets/d/1-uDff_7J0KD5mKrp0Vvzr7lt3OU09vwQwhkpOPPYv2Y/edit?usp=sharing"",""งบพรบ!DU77"")"),0)</f>
        <v>0</v>
      </c>
      <c r="J77" s="176">
        <f t="shared" ca="1" si="23"/>
        <v>0</v>
      </c>
      <c r="K77" s="179">
        <f t="shared" ca="1" si="24"/>
        <v>0</v>
      </c>
      <c r="L77" s="176">
        <f ca="1">IFERROR(__xludf.DUMMYFUNCTION("IMPORTRANGE(""https://docs.google.com/spreadsheets/d/1-uDff_7J0KD5mKrp0Vvzr7lt3OU09vwQwhkpOPPYv2Y/edit?usp=sharing"",""งบพรบ!DV77"")"),0)</f>
        <v>0</v>
      </c>
      <c r="M77" s="87">
        <f t="shared" ca="1" si="25"/>
        <v>0</v>
      </c>
      <c r="N77" s="87">
        <f t="shared" ca="1" si="26"/>
        <v>0</v>
      </c>
      <c r="O77" s="86">
        <f ca="1">IFERROR(__xludf.DUMMYFUNCTION("IMPORTRANGE(""https://docs.google.com/spreadsheets/d/1-uDff_7J0KD5mKrp0Vvzr7lt3OU09vwQwhkpOPPYv2Y/edit?usp=sharing"",""งบพรบ!DW77"")"),0)</f>
        <v>0</v>
      </c>
      <c r="P77" s="86">
        <f t="shared" ca="1" si="27"/>
        <v>0</v>
      </c>
      <c r="Q77" s="87">
        <f t="shared" ca="1" si="28"/>
        <v>0</v>
      </c>
      <c r="R77" s="97">
        <f ca="1">IFERROR(__xludf.DUMMYFUNCTION("IMPORTRANGE(""https://docs.google.com/spreadsheets/d/16pAz3pOhQEZBhvFNMa5KGgZS6iKWpsKX0pg6tQmwFpo/edit?usp=sharing"",""ตรัง!I292"")"),0)</f>
        <v>0</v>
      </c>
      <c r="S77" s="97">
        <f ca="1">IFERROR(__xludf.DUMMYFUNCTION("IMPORTRANGE(""https://docs.google.com/spreadsheets/d/16pAz3pOhQEZBhvFNMa5KGgZS6iKWpsKX0pg6tQmwFpo/edit?usp=sharing"",""ตรัง!J292"")"),0)</f>
        <v>0</v>
      </c>
      <c r="T77" s="98">
        <f t="shared" ca="1" si="30"/>
        <v>0</v>
      </c>
      <c r="U77" s="97">
        <f ca="1">IFERROR(__xludf.DUMMYFUNCTION("IMPORTRANGE(""https://docs.google.com/spreadsheets/d/16pAz3pOhQEZBhvFNMa5KGgZS6iKWpsKX0pg6tQmwFpo/edit?usp=sharing"",""ตรัง!I293"")"),0)</f>
        <v>0</v>
      </c>
      <c r="V77" s="97">
        <f ca="1">IFERROR(__xludf.DUMMYFUNCTION("IMPORTRANGE(""https://docs.google.com/spreadsheets/d/16pAz3pOhQEZBhvFNMa5KGgZS6iKWpsKX0pg6tQmwFpo/edit?usp=sharing"",""ตรัง!J293"")"),0)</f>
        <v>0</v>
      </c>
      <c r="W77" s="98">
        <f t="shared" ca="1" si="32"/>
        <v>0</v>
      </c>
      <c r="X77" s="97">
        <f ca="1">IFERROR(__xludf.DUMMYFUNCTION("IMPORTRANGE(""https://docs.google.com/spreadsheets/d/16pAz3pOhQEZBhvFNMa5KGgZS6iKWpsKX0pg6tQmwFpo/edit?usp=sharing"",""ตรัง!I295"")"),0)</f>
        <v>0</v>
      </c>
      <c r="Y77" s="97">
        <f ca="1">IFERROR(__xludf.DUMMYFUNCTION("IMPORTRANGE(""https://docs.google.com/spreadsheets/d/16pAz3pOhQEZBhvFNMa5KGgZS6iKWpsKX0pg6tQmwFpo/edit?usp=sharing"",""ตรัง!J295"")"),0)</f>
        <v>0</v>
      </c>
      <c r="Z77" s="98">
        <f t="shared" ca="1" si="34"/>
        <v>0</v>
      </c>
      <c r="AA77" s="321">
        <f ca="1">IFERROR(__xludf.DUMMYFUNCTION("IMPORTRANGE(""https://docs.google.com/spreadsheets/d/16pAz3pOhQEZBhvFNMa5KGgZS6iKWpsKX0pg6tQmwFpo/edit?usp=sharing"",""ตรัง!J296"")"),0)</f>
        <v>0</v>
      </c>
      <c r="AB77" s="322">
        <f t="shared" ca="1" si="35"/>
        <v>0</v>
      </c>
    </row>
    <row r="78" spans="1:28" ht="21" customHeight="1" x14ac:dyDescent="0.3">
      <c r="A78" s="89">
        <v>4</v>
      </c>
      <c r="B78" s="90" t="s">
        <v>104</v>
      </c>
      <c r="C78" s="174">
        <f t="shared" ca="1" si="21"/>
        <v>0</v>
      </c>
      <c r="D78" s="175">
        <f t="shared" ca="1" si="51"/>
        <v>0</v>
      </c>
      <c r="E78" s="176">
        <f ca="1">IFERROR(__xludf.DUMMYFUNCTION("IMPORTRANGE(""https://docs.google.com/spreadsheets/d/1-uDff_7J0KD5mKrp0Vvzr7lt3OU09vwQwhkpOPPYv2Y/edit?usp=sharing"",""งบพรบ!DP78"")"),0)</f>
        <v>0</v>
      </c>
      <c r="F78" s="176">
        <f ca="1">IFERROR(__xludf.DUMMYFUNCTION("IMPORTRANGE(""https://docs.google.com/spreadsheets/d/1-uDff_7J0KD5mKrp0Vvzr7lt3OU09vwQwhkpOPPYv2Y/edit?usp=sharing"",""งบพรบ!DQ78"")"),0)</f>
        <v>0</v>
      </c>
      <c r="G78" s="176">
        <f ca="1">IFERROR(__xludf.DUMMYFUNCTION("IMPORTRANGE(""https://docs.google.com/spreadsheets/d/1-uDff_7J0KD5mKrp0Vvzr7lt3OU09vwQwhkpOPPYv2Y/edit?usp=sharing"",""งบพรบ!DR78"")"),0)</f>
        <v>0</v>
      </c>
      <c r="H78" s="176">
        <f ca="1">IFERROR(__xludf.DUMMYFUNCTION("IMPORTRANGE(""https://docs.google.com/spreadsheets/d/1-uDff_7J0KD5mKrp0Vvzr7lt3OU09vwQwhkpOPPYv2Y/edit?usp=sharing"",""งบพรบ!DT78"")"),0)</f>
        <v>0</v>
      </c>
      <c r="I78" s="176">
        <f ca="1">IFERROR(__xludf.DUMMYFUNCTION("IMPORTRANGE(""https://docs.google.com/spreadsheets/d/1-uDff_7J0KD5mKrp0Vvzr7lt3OU09vwQwhkpOPPYv2Y/edit?usp=sharing"",""งบพรบ!DU78"")"),0)</f>
        <v>0</v>
      </c>
      <c r="J78" s="176">
        <f t="shared" ca="1" si="23"/>
        <v>0</v>
      </c>
      <c r="K78" s="179">
        <f t="shared" ca="1" si="24"/>
        <v>0</v>
      </c>
      <c r="L78" s="176">
        <f ca="1">IFERROR(__xludf.DUMMYFUNCTION("IMPORTRANGE(""https://docs.google.com/spreadsheets/d/1-uDff_7J0KD5mKrp0Vvzr7lt3OU09vwQwhkpOPPYv2Y/edit?usp=sharing"",""งบพรบ!DV78"")"),0)</f>
        <v>0</v>
      </c>
      <c r="M78" s="87">
        <f t="shared" ca="1" si="25"/>
        <v>0</v>
      </c>
      <c r="N78" s="87">
        <f t="shared" ca="1" si="26"/>
        <v>0</v>
      </c>
      <c r="O78" s="86">
        <f ca="1">IFERROR(__xludf.DUMMYFUNCTION("IMPORTRANGE(""https://docs.google.com/spreadsheets/d/1-uDff_7J0KD5mKrp0Vvzr7lt3OU09vwQwhkpOPPYv2Y/edit?usp=sharing"",""งบพรบ!DW78"")"),0)</f>
        <v>0</v>
      </c>
      <c r="P78" s="86">
        <f t="shared" ca="1" si="27"/>
        <v>0</v>
      </c>
      <c r="Q78" s="87">
        <f t="shared" ca="1" si="28"/>
        <v>0</v>
      </c>
      <c r="R78" s="97">
        <f ca="1">IFERROR(__xludf.DUMMYFUNCTION("IMPORTRANGE(""https://docs.google.com/spreadsheets/d/1Dj4jcHCTV9JXKCaMoheSXS52JE63kDKyG7bPXnFogHk/edit?usp=sharing"",""นครศรีธรรมราช!I292"")"),0)</f>
        <v>0</v>
      </c>
      <c r="S78" s="97">
        <f ca="1">IFERROR(__xludf.DUMMYFUNCTION("IMPORTRANGE(""https://docs.google.com/spreadsheets/d/1Dj4jcHCTV9JXKCaMoheSXS52JE63kDKyG7bPXnFogHk/edit?usp=sharing"",""นครศรีธรรมราช!J292"")"),0)</f>
        <v>0</v>
      </c>
      <c r="T78" s="98">
        <f t="shared" ca="1" si="30"/>
        <v>0</v>
      </c>
      <c r="U78" s="97">
        <f ca="1">IFERROR(__xludf.DUMMYFUNCTION("IMPORTRANGE(""https://docs.google.com/spreadsheets/d/1Dj4jcHCTV9JXKCaMoheSXS52JE63kDKyG7bPXnFogHk/edit?usp=sharing"",""นครศรีธรรมราช!I293"")"),0)</f>
        <v>0</v>
      </c>
      <c r="V78" s="97">
        <f ca="1">IFERROR(__xludf.DUMMYFUNCTION("IMPORTRANGE(""https://docs.google.com/spreadsheets/d/1Dj4jcHCTV9JXKCaMoheSXS52JE63kDKyG7bPXnFogHk/edit?usp=sharing"",""นครศรีธรรมราช!J293"")"),0)</f>
        <v>0</v>
      </c>
      <c r="W78" s="98">
        <f t="shared" ca="1" si="32"/>
        <v>0</v>
      </c>
      <c r="X78" s="97">
        <f ca="1">IFERROR(__xludf.DUMMYFUNCTION("IMPORTRANGE(""https://docs.google.com/spreadsheets/d/1Dj4jcHCTV9JXKCaMoheSXS52JE63kDKyG7bPXnFogHk/edit?usp=sharing"",""นครศรีธรรมราช!I295"")"),0)</f>
        <v>0</v>
      </c>
      <c r="Y78" s="97">
        <f ca="1">IFERROR(__xludf.DUMMYFUNCTION("IMPORTRANGE(""https://docs.google.com/spreadsheets/d/1Dj4jcHCTV9JXKCaMoheSXS52JE63kDKyG7bPXnFogHk/edit?usp=sharing"",""นครศรีธรรมราช!J295"")"),0)</f>
        <v>0</v>
      </c>
      <c r="Z78" s="98">
        <f t="shared" ca="1" si="34"/>
        <v>0</v>
      </c>
      <c r="AA78" s="321">
        <f ca="1">IFERROR(__xludf.DUMMYFUNCTION("IMPORTRANGE(""https://docs.google.com/spreadsheets/d/1Dj4jcHCTV9JXKCaMoheSXS52JE63kDKyG7bPXnFogHk/edit?usp=sharing"",""นครศรีธรรมราช!J296"")"),0)</f>
        <v>0</v>
      </c>
      <c r="AB78" s="322">
        <f t="shared" ca="1" si="35"/>
        <v>0</v>
      </c>
    </row>
    <row r="79" spans="1:28" ht="21" customHeight="1" x14ac:dyDescent="0.3">
      <c r="A79" s="89">
        <v>5</v>
      </c>
      <c r="B79" s="90" t="s">
        <v>105</v>
      </c>
      <c r="C79" s="174">
        <f t="shared" ca="1" si="21"/>
        <v>0</v>
      </c>
      <c r="D79" s="175">
        <f t="shared" ca="1" si="51"/>
        <v>0</v>
      </c>
      <c r="E79" s="176">
        <f ca="1">IFERROR(__xludf.DUMMYFUNCTION("IMPORTRANGE(""https://docs.google.com/spreadsheets/d/1-uDff_7J0KD5mKrp0Vvzr7lt3OU09vwQwhkpOPPYv2Y/edit?usp=sharing"",""งบพรบ!DP79"")"),0)</f>
        <v>0</v>
      </c>
      <c r="F79" s="176">
        <f ca="1">IFERROR(__xludf.DUMMYFUNCTION("IMPORTRANGE(""https://docs.google.com/spreadsheets/d/1-uDff_7J0KD5mKrp0Vvzr7lt3OU09vwQwhkpOPPYv2Y/edit?usp=sharing"",""งบพรบ!DQ79"")"),0)</f>
        <v>0</v>
      </c>
      <c r="G79" s="176">
        <f ca="1">IFERROR(__xludf.DUMMYFUNCTION("IMPORTRANGE(""https://docs.google.com/spreadsheets/d/1-uDff_7J0KD5mKrp0Vvzr7lt3OU09vwQwhkpOPPYv2Y/edit?usp=sharing"",""งบพรบ!DR79"")"),0)</f>
        <v>0</v>
      </c>
      <c r="H79" s="176">
        <f ca="1">IFERROR(__xludf.DUMMYFUNCTION("IMPORTRANGE(""https://docs.google.com/spreadsheets/d/1-uDff_7J0KD5mKrp0Vvzr7lt3OU09vwQwhkpOPPYv2Y/edit?usp=sharing"",""งบพรบ!DT79"")"),0)</f>
        <v>0</v>
      </c>
      <c r="I79" s="176">
        <f ca="1">IFERROR(__xludf.DUMMYFUNCTION("IMPORTRANGE(""https://docs.google.com/spreadsheets/d/1-uDff_7J0KD5mKrp0Vvzr7lt3OU09vwQwhkpOPPYv2Y/edit?usp=sharing"",""งบพรบ!DU79"")"),0)</f>
        <v>0</v>
      </c>
      <c r="J79" s="176">
        <f t="shared" ca="1" si="23"/>
        <v>0</v>
      </c>
      <c r="K79" s="179">
        <f t="shared" ca="1" si="24"/>
        <v>0</v>
      </c>
      <c r="L79" s="176">
        <f ca="1">IFERROR(__xludf.DUMMYFUNCTION("IMPORTRANGE(""https://docs.google.com/spreadsheets/d/1-uDff_7J0KD5mKrp0Vvzr7lt3OU09vwQwhkpOPPYv2Y/edit?usp=sharing"",""งบพรบ!DV79"")"),0)</f>
        <v>0</v>
      </c>
      <c r="M79" s="87">
        <f t="shared" ca="1" si="25"/>
        <v>0</v>
      </c>
      <c r="N79" s="87">
        <f t="shared" ca="1" si="26"/>
        <v>0</v>
      </c>
      <c r="O79" s="86">
        <f ca="1">IFERROR(__xludf.DUMMYFUNCTION("IMPORTRANGE(""https://docs.google.com/spreadsheets/d/1-uDff_7J0KD5mKrp0Vvzr7lt3OU09vwQwhkpOPPYv2Y/edit?usp=sharing"",""งบพรบ!DW79"")"),0)</f>
        <v>0</v>
      </c>
      <c r="P79" s="86">
        <f t="shared" ca="1" si="27"/>
        <v>0</v>
      </c>
      <c r="Q79" s="87">
        <f t="shared" ca="1" si="28"/>
        <v>0</v>
      </c>
      <c r="R79" s="97">
        <f ca="1">IFERROR(__xludf.DUMMYFUNCTION("IMPORTRANGE(""https://docs.google.com/spreadsheets/d/1iodCdmuK2GR3jzUwk8tpccY2JHQQA-87DLOtJP-ooyU/edit?usp=sharing"",""นราธิวาส!I292"")"),0)</f>
        <v>0</v>
      </c>
      <c r="S79" s="97">
        <f ca="1">IFERROR(__xludf.DUMMYFUNCTION("IMPORTRANGE(""https://docs.google.com/spreadsheets/d/1iodCdmuK2GR3jzUwk8tpccY2JHQQA-87DLOtJP-ooyU/edit?usp=sharing"",""นราธิวาส!J292"")"),0)</f>
        <v>0</v>
      </c>
      <c r="T79" s="98">
        <f t="shared" ca="1" si="30"/>
        <v>0</v>
      </c>
      <c r="U79" s="97">
        <f ca="1">IFERROR(__xludf.DUMMYFUNCTION("IMPORTRANGE(""https://docs.google.com/spreadsheets/d/1iodCdmuK2GR3jzUwk8tpccY2JHQQA-87DLOtJP-ooyU/edit?usp=sharing"",""นราธิวาส!I293"")"),0)</f>
        <v>0</v>
      </c>
      <c r="V79" s="97">
        <f ca="1">IFERROR(__xludf.DUMMYFUNCTION("IMPORTRANGE(""https://docs.google.com/spreadsheets/d/1iodCdmuK2GR3jzUwk8tpccY2JHQQA-87DLOtJP-ooyU/edit?usp=sharing"",""นราธิวาส!J293"")"),0)</f>
        <v>0</v>
      </c>
      <c r="W79" s="98">
        <f t="shared" ca="1" si="32"/>
        <v>0</v>
      </c>
      <c r="X79" s="97">
        <f ca="1">IFERROR(__xludf.DUMMYFUNCTION("IMPORTRANGE(""https://docs.google.com/spreadsheets/d/1iodCdmuK2GR3jzUwk8tpccY2JHQQA-87DLOtJP-ooyU/edit?usp=sharing"",""นราธิวาส!I295"")"),0)</f>
        <v>0</v>
      </c>
      <c r="Y79" s="97">
        <f ca="1">IFERROR(__xludf.DUMMYFUNCTION("IMPORTRANGE(""https://docs.google.com/spreadsheets/d/1iodCdmuK2GR3jzUwk8tpccY2JHQQA-87DLOtJP-ooyU/edit?usp=sharing"",""นราธิวาส!J295"")"),0)</f>
        <v>0</v>
      </c>
      <c r="Z79" s="98">
        <f t="shared" ca="1" si="34"/>
        <v>0</v>
      </c>
      <c r="AA79" s="321">
        <f ca="1">IFERROR(__xludf.DUMMYFUNCTION("IMPORTRANGE(""https://docs.google.com/spreadsheets/d/1iodCdmuK2GR3jzUwk8tpccY2JHQQA-87DLOtJP-ooyU/edit?usp=sharing"",""นราธิวาส!J296"")"),0)</f>
        <v>0</v>
      </c>
      <c r="AB79" s="322">
        <f t="shared" ca="1" si="35"/>
        <v>0</v>
      </c>
    </row>
    <row r="80" spans="1:28" ht="21" customHeight="1" x14ac:dyDescent="0.3">
      <c r="A80" s="89">
        <v>6</v>
      </c>
      <c r="B80" s="90" t="s">
        <v>106</v>
      </c>
      <c r="C80" s="174">
        <f t="shared" ca="1" si="21"/>
        <v>0</v>
      </c>
      <c r="D80" s="175">
        <f t="shared" ca="1" si="51"/>
        <v>0</v>
      </c>
      <c r="E80" s="176">
        <f ca="1">IFERROR(__xludf.DUMMYFUNCTION("IMPORTRANGE(""https://docs.google.com/spreadsheets/d/1-uDff_7J0KD5mKrp0Vvzr7lt3OU09vwQwhkpOPPYv2Y/edit?usp=sharing"",""งบพรบ!DP80"")"),0)</f>
        <v>0</v>
      </c>
      <c r="F80" s="176">
        <f ca="1">IFERROR(__xludf.DUMMYFUNCTION("IMPORTRANGE(""https://docs.google.com/spreadsheets/d/1-uDff_7J0KD5mKrp0Vvzr7lt3OU09vwQwhkpOPPYv2Y/edit?usp=sharing"",""งบพรบ!DQ80"")"),0)</f>
        <v>0</v>
      </c>
      <c r="G80" s="176">
        <f ca="1">IFERROR(__xludf.DUMMYFUNCTION("IMPORTRANGE(""https://docs.google.com/spreadsheets/d/1-uDff_7J0KD5mKrp0Vvzr7lt3OU09vwQwhkpOPPYv2Y/edit?usp=sharing"",""งบพรบ!DR80"")"),0)</f>
        <v>0</v>
      </c>
      <c r="H80" s="176">
        <f ca="1">IFERROR(__xludf.DUMMYFUNCTION("IMPORTRANGE(""https://docs.google.com/spreadsheets/d/1-uDff_7J0KD5mKrp0Vvzr7lt3OU09vwQwhkpOPPYv2Y/edit?usp=sharing"",""งบพรบ!DT80"")"),0)</f>
        <v>0</v>
      </c>
      <c r="I80" s="176">
        <f ca="1">IFERROR(__xludf.DUMMYFUNCTION("IMPORTRANGE(""https://docs.google.com/spreadsheets/d/1-uDff_7J0KD5mKrp0Vvzr7lt3OU09vwQwhkpOPPYv2Y/edit?usp=sharing"",""งบพรบ!DU80"")"),0)</f>
        <v>0</v>
      </c>
      <c r="J80" s="176">
        <f t="shared" ca="1" si="23"/>
        <v>0</v>
      </c>
      <c r="K80" s="179">
        <f t="shared" ca="1" si="24"/>
        <v>0</v>
      </c>
      <c r="L80" s="176">
        <f ca="1">IFERROR(__xludf.DUMMYFUNCTION("IMPORTRANGE(""https://docs.google.com/spreadsheets/d/1-uDff_7J0KD5mKrp0Vvzr7lt3OU09vwQwhkpOPPYv2Y/edit?usp=sharing"",""งบพรบ!DV80"")"),0)</f>
        <v>0</v>
      </c>
      <c r="M80" s="87">
        <f t="shared" ca="1" si="25"/>
        <v>0</v>
      </c>
      <c r="N80" s="87">
        <f t="shared" ca="1" si="26"/>
        <v>0</v>
      </c>
      <c r="O80" s="86">
        <f ca="1">IFERROR(__xludf.DUMMYFUNCTION("IMPORTRANGE(""https://docs.google.com/spreadsheets/d/1-uDff_7J0KD5mKrp0Vvzr7lt3OU09vwQwhkpOPPYv2Y/edit?usp=sharing"",""งบพรบ!DW80"")"),0)</f>
        <v>0</v>
      </c>
      <c r="P80" s="86">
        <f t="shared" ca="1" si="27"/>
        <v>0</v>
      </c>
      <c r="Q80" s="87">
        <f t="shared" ca="1" si="28"/>
        <v>0</v>
      </c>
      <c r="R80" s="97">
        <f ca="1">IFERROR(__xludf.DUMMYFUNCTION("IMPORTRANGE(""https://docs.google.com/spreadsheets/d/1SDNX3JhDdYRuIOsj0Wh2M-Qa_eaXl0NbWmhAOTbfQAs/edit?usp=sharing"",""ปัตตานี!I292"")"),0)</f>
        <v>0</v>
      </c>
      <c r="S80" s="97">
        <f ca="1">IFERROR(__xludf.DUMMYFUNCTION("IMPORTRANGE(""https://docs.google.com/spreadsheets/d/1SDNX3JhDdYRuIOsj0Wh2M-Qa_eaXl0NbWmhAOTbfQAs/edit?usp=sharing"",""ปัตตานี!J292"")"),0)</f>
        <v>0</v>
      </c>
      <c r="T80" s="98">
        <f t="shared" ca="1" si="30"/>
        <v>0</v>
      </c>
      <c r="U80" s="97">
        <f ca="1">IFERROR(__xludf.DUMMYFUNCTION("IMPORTRANGE(""https://docs.google.com/spreadsheets/d/1SDNX3JhDdYRuIOsj0Wh2M-Qa_eaXl0NbWmhAOTbfQAs/edit?usp=sharing"",""ปัตตานี!I293"")"),0)</f>
        <v>0</v>
      </c>
      <c r="V80" s="97">
        <f ca="1">IFERROR(__xludf.DUMMYFUNCTION("IMPORTRANGE(""https://docs.google.com/spreadsheets/d/1SDNX3JhDdYRuIOsj0Wh2M-Qa_eaXl0NbWmhAOTbfQAs/edit?usp=sharing"",""ปัตตานี!J293"")"),0)</f>
        <v>0</v>
      </c>
      <c r="W80" s="98">
        <f t="shared" ca="1" si="32"/>
        <v>0</v>
      </c>
      <c r="X80" s="97">
        <f ca="1">IFERROR(__xludf.DUMMYFUNCTION("IMPORTRANGE(""https://docs.google.com/spreadsheets/d/1SDNX3JhDdYRuIOsj0Wh2M-Qa_eaXl0NbWmhAOTbfQAs/edit?usp=sharing"",""ปัตตานี!I295"")"),0)</f>
        <v>0</v>
      </c>
      <c r="Y80" s="97">
        <f ca="1">IFERROR(__xludf.DUMMYFUNCTION("IMPORTRANGE(""https://docs.google.com/spreadsheets/d/1SDNX3JhDdYRuIOsj0Wh2M-Qa_eaXl0NbWmhAOTbfQAs/edit?usp=sharing"",""ปัตตานี!J295"")"),0)</f>
        <v>0</v>
      </c>
      <c r="Z80" s="98">
        <f t="shared" ca="1" si="34"/>
        <v>0</v>
      </c>
      <c r="AA80" s="321">
        <f ca="1">IFERROR(__xludf.DUMMYFUNCTION("IMPORTRANGE(""https://docs.google.com/spreadsheets/d/1SDNX3JhDdYRuIOsj0Wh2M-Qa_eaXl0NbWmhAOTbfQAs/edit?usp=sharing"",""ปัตตานี!J296"")"),0)</f>
        <v>0</v>
      </c>
      <c r="AB80" s="322">
        <f t="shared" ca="1" si="35"/>
        <v>0</v>
      </c>
    </row>
    <row r="81" spans="1:28" ht="21" customHeight="1" x14ac:dyDescent="0.3">
      <c r="A81" s="89">
        <v>7</v>
      </c>
      <c r="B81" s="90" t="s">
        <v>107</v>
      </c>
      <c r="C81" s="174">
        <f t="shared" ca="1" si="21"/>
        <v>0</v>
      </c>
      <c r="D81" s="175">
        <f t="shared" ca="1" si="51"/>
        <v>0</v>
      </c>
      <c r="E81" s="176">
        <f ca="1">IFERROR(__xludf.DUMMYFUNCTION("IMPORTRANGE(""https://docs.google.com/spreadsheets/d/1-uDff_7J0KD5mKrp0Vvzr7lt3OU09vwQwhkpOPPYv2Y/edit?usp=sharing"",""งบพรบ!DP81"")"),0)</f>
        <v>0</v>
      </c>
      <c r="F81" s="176">
        <f ca="1">IFERROR(__xludf.DUMMYFUNCTION("IMPORTRANGE(""https://docs.google.com/spreadsheets/d/1-uDff_7J0KD5mKrp0Vvzr7lt3OU09vwQwhkpOPPYv2Y/edit?usp=sharing"",""งบพรบ!DQ81"")"),0)</f>
        <v>0</v>
      </c>
      <c r="G81" s="176">
        <f ca="1">IFERROR(__xludf.DUMMYFUNCTION("IMPORTRANGE(""https://docs.google.com/spreadsheets/d/1-uDff_7J0KD5mKrp0Vvzr7lt3OU09vwQwhkpOPPYv2Y/edit?usp=sharing"",""งบพรบ!DR81"")"),0)</f>
        <v>0</v>
      </c>
      <c r="H81" s="176">
        <f ca="1">IFERROR(__xludf.DUMMYFUNCTION("IMPORTRANGE(""https://docs.google.com/spreadsheets/d/1-uDff_7J0KD5mKrp0Vvzr7lt3OU09vwQwhkpOPPYv2Y/edit?usp=sharing"",""งบพรบ!DT81"")"),0)</f>
        <v>0</v>
      </c>
      <c r="I81" s="176">
        <f ca="1">IFERROR(__xludf.DUMMYFUNCTION("IMPORTRANGE(""https://docs.google.com/spreadsheets/d/1-uDff_7J0KD5mKrp0Vvzr7lt3OU09vwQwhkpOPPYv2Y/edit?usp=sharing"",""งบพรบ!DU81"")"),0)</f>
        <v>0</v>
      </c>
      <c r="J81" s="176">
        <f t="shared" ca="1" si="23"/>
        <v>0</v>
      </c>
      <c r="K81" s="179">
        <f t="shared" ca="1" si="24"/>
        <v>0</v>
      </c>
      <c r="L81" s="176">
        <f ca="1">IFERROR(__xludf.DUMMYFUNCTION("IMPORTRANGE(""https://docs.google.com/spreadsheets/d/1-uDff_7J0KD5mKrp0Vvzr7lt3OU09vwQwhkpOPPYv2Y/edit?usp=sharing"",""งบพรบ!DV81"")"),0)</f>
        <v>0</v>
      </c>
      <c r="M81" s="87">
        <f t="shared" ca="1" si="25"/>
        <v>0</v>
      </c>
      <c r="N81" s="87">
        <f t="shared" ca="1" si="26"/>
        <v>0</v>
      </c>
      <c r="O81" s="86">
        <f ca="1">IFERROR(__xludf.DUMMYFUNCTION("IMPORTRANGE(""https://docs.google.com/spreadsheets/d/1-uDff_7J0KD5mKrp0Vvzr7lt3OU09vwQwhkpOPPYv2Y/edit?usp=sharing"",""งบพรบ!DW81"")"),0)</f>
        <v>0</v>
      </c>
      <c r="P81" s="86">
        <f t="shared" ca="1" si="27"/>
        <v>0</v>
      </c>
      <c r="Q81" s="87">
        <f t="shared" ca="1" si="28"/>
        <v>0</v>
      </c>
      <c r="R81" s="97">
        <f ca="1">IFERROR(__xludf.DUMMYFUNCTION("IMPORTRANGE(""https://docs.google.com/spreadsheets/d/16JDLGguT8s5DsGCND1KcwHP_AWR_zDMTqLHPLJUKhaU/edit?usp=sharing"",""พังงา!I292"")"),0)</f>
        <v>0</v>
      </c>
      <c r="S81" s="97">
        <f ca="1">IFERROR(__xludf.DUMMYFUNCTION("IMPORTRANGE(""https://docs.google.com/spreadsheets/d/16JDLGguT8s5DsGCND1KcwHP_AWR_zDMTqLHPLJUKhaU/edit?usp=sharing"",""พังงา!J292"")"),0)</f>
        <v>0</v>
      </c>
      <c r="T81" s="98">
        <f t="shared" ca="1" si="30"/>
        <v>0</v>
      </c>
      <c r="U81" s="97">
        <f ca="1">IFERROR(__xludf.DUMMYFUNCTION("IMPORTRANGE(""https://docs.google.com/spreadsheets/d/16JDLGguT8s5DsGCND1KcwHP_AWR_zDMTqLHPLJUKhaU/edit?usp=sharing"",""พังงา!I293"")"),0)</f>
        <v>0</v>
      </c>
      <c r="V81" s="97">
        <f ca="1">IFERROR(__xludf.DUMMYFUNCTION("IMPORTRANGE(""https://docs.google.com/spreadsheets/d/16JDLGguT8s5DsGCND1KcwHP_AWR_zDMTqLHPLJUKhaU/edit?usp=sharing"",""พังงา!J293"")"),0)</f>
        <v>0</v>
      </c>
      <c r="W81" s="98">
        <f t="shared" ca="1" si="32"/>
        <v>0</v>
      </c>
      <c r="X81" s="97">
        <f ca="1">IFERROR(__xludf.DUMMYFUNCTION("IMPORTRANGE(""https://docs.google.com/spreadsheets/d/16JDLGguT8s5DsGCND1KcwHP_AWR_zDMTqLHPLJUKhaU/edit?usp=sharing"",""พังงา!I295"")"),0)</f>
        <v>0</v>
      </c>
      <c r="Y81" s="97">
        <f ca="1">IFERROR(__xludf.DUMMYFUNCTION("IMPORTRANGE(""https://docs.google.com/spreadsheets/d/16JDLGguT8s5DsGCND1KcwHP_AWR_zDMTqLHPLJUKhaU/edit?usp=sharing"",""พังงา!J295"")"),0)</f>
        <v>0</v>
      </c>
      <c r="Z81" s="98">
        <f t="shared" ca="1" si="34"/>
        <v>0</v>
      </c>
      <c r="AA81" s="321">
        <f ca="1">IFERROR(__xludf.DUMMYFUNCTION("IMPORTRANGE(""https://docs.google.com/spreadsheets/d/16JDLGguT8s5DsGCND1KcwHP_AWR_zDMTqLHPLJUKhaU/edit?usp=sharing"",""พังงา!J296"")"),0)</f>
        <v>0</v>
      </c>
      <c r="AB81" s="322">
        <f t="shared" ca="1" si="35"/>
        <v>0</v>
      </c>
    </row>
    <row r="82" spans="1:28" ht="21" customHeight="1" x14ac:dyDescent="0.3">
      <c r="A82" s="89">
        <v>8</v>
      </c>
      <c r="B82" s="90" t="s">
        <v>108</v>
      </c>
      <c r="C82" s="174">
        <f t="shared" ca="1" si="21"/>
        <v>0</v>
      </c>
      <c r="D82" s="175">
        <f t="shared" ca="1" si="51"/>
        <v>0</v>
      </c>
      <c r="E82" s="176">
        <f ca="1">IFERROR(__xludf.DUMMYFUNCTION("IMPORTRANGE(""https://docs.google.com/spreadsheets/d/1-uDff_7J0KD5mKrp0Vvzr7lt3OU09vwQwhkpOPPYv2Y/edit?usp=sharing"",""งบพรบ!DP82"")"),0)</f>
        <v>0</v>
      </c>
      <c r="F82" s="176">
        <f ca="1">IFERROR(__xludf.DUMMYFUNCTION("IMPORTRANGE(""https://docs.google.com/spreadsheets/d/1-uDff_7J0KD5mKrp0Vvzr7lt3OU09vwQwhkpOPPYv2Y/edit?usp=sharing"",""งบพรบ!DQ82"")"),0)</f>
        <v>0</v>
      </c>
      <c r="G82" s="176">
        <f ca="1">IFERROR(__xludf.DUMMYFUNCTION("IMPORTRANGE(""https://docs.google.com/spreadsheets/d/1-uDff_7J0KD5mKrp0Vvzr7lt3OU09vwQwhkpOPPYv2Y/edit?usp=sharing"",""งบพรบ!DR82"")"),0)</f>
        <v>0</v>
      </c>
      <c r="H82" s="176">
        <f ca="1">IFERROR(__xludf.DUMMYFUNCTION("IMPORTRANGE(""https://docs.google.com/spreadsheets/d/1-uDff_7J0KD5mKrp0Vvzr7lt3OU09vwQwhkpOPPYv2Y/edit?usp=sharing"",""งบพรบ!DT82"")"),0)</f>
        <v>0</v>
      </c>
      <c r="I82" s="176">
        <f ca="1">IFERROR(__xludf.DUMMYFUNCTION("IMPORTRANGE(""https://docs.google.com/spreadsheets/d/1-uDff_7J0KD5mKrp0Vvzr7lt3OU09vwQwhkpOPPYv2Y/edit?usp=sharing"",""งบพรบ!DU82"")"),0)</f>
        <v>0</v>
      </c>
      <c r="J82" s="176">
        <f t="shared" ca="1" si="23"/>
        <v>0</v>
      </c>
      <c r="K82" s="179">
        <f t="shared" ca="1" si="24"/>
        <v>0</v>
      </c>
      <c r="L82" s="176">
        <f ca="1">IFERROR(__xludf.DUMMYFUNCTION("IMPORTRANGE(""https://docs.google.com/spreadsheets/d/1-uDff_7J0KD5mKrp0Vvzr7lt3OU09vwQwhkpOPPYv2Y/edit?usp=sharing"",""งบพรบ!DV82"")"),0)</f>
        <v>0</v>
      </c>
      <c r="M82" s="87">
        <f t="shared" ca="1" si="25"/>
        <v>0</v>
      </c>
      <c r="N82" s="87">
        <f t="shared" ca="1" si="26"/>
        <v>0</v>
      </c>
      <c r="O82" s="86">
        <f ca="1">IFERROR(__xludf.DUMMYFUNCTION("IMPORTRANGE(""https://docs.google.com/spreadsheets/d/1-uDff_7J0KD5mKrp0Vvzr7lt3OU09vwQwhkpOPPYv2Y/edit?usp=sharing"",""งบพรบ!DW82"")"),0)</f>
        <v>0</v>
      </c>
      <c r="P82" s="86">
        <f t="shared" ca="1" si="27"/>
        <v>0</v>
      </c>
      <c r="Q82" s="87">
        <f t="shared" ca="1" si="28"/>
        <v>0</v>
      </c>
      <c r="R82" s="97">
        <f ca="1">IFERROR(__xludf.DUMMYFUNCTION("IMPORTRANGE(""https://docs.google.com/spreadsheets/d/17ht0gPKzzT3PObBL1XJkeRmntBXI7wGjpLV7QorqlTk/edit?usp=sharing"",""พัทลุง!I292"")"),0)</f>
        <v>0</v>
      </c>
      <c r="S82" s="97">
        <f ca="1">IFERROR(__xludf.DUMMYFUNCTION("IMPORTRANGE(""https://docs.google.com/spreadsheets/d/17ht0gPKzzT3PObBL1XJkeRmntBXI7wGjpLV7QorqlTk/edit?usp=sharing"",""พัทลุง!J292"")"),0)</f>
        <v>0</v>
      </c>
      <c r="T82" s="98">
        <f t="shared" ca="1" si="30"/>
        <v>0</v>
      </c>
      <c r="U82" s="97">
        <f ca="1">IFERROR(__xludf.DUMMYFUNCTION("IMPORTRANGE(""https://docs.google.com/spreadsheets/d/17ht0gPKzzT3PObBL1XJkeRmntBXI7wGjpLV7QorqlTk/edit?usp=sharing"",""พัทลุง!I293"")"),0)</f>
        <v>0</v>
      </c>
      <c r="V82" s="97">
        <f ca="1">IFERROR(__xludf.DUMMYFUNCTION("IMPORTRANGE(""https://docs.google.com/spreadsheets/d/17ht0gPKzzT3PObBL1XJkeRmntBXI7wGjpLV7QorqlTk/edit?usp=sharing"",""พัทลุง!J293"")"),0)</f>
        <v>0</v>
      </c>
      <c r="W82" s="98">
        <f t="shared" ca="1" si="32"/>
        <v>0</v>
      </c>
      <c r="X82" s="97">
        <f ca="1">IFERROR(__xludf.DUMMYFUNCTION("IMPORTRANGE(""https://docs.google.com/spreadsheets/d/17ht0gPKzzT3PObBL1XJkeRmntBXI7wGjpLV7QorqlTk/edit?usp=sharing"",""พัทลุง!I295"")"),0)</f>
        <v>0</v>
      </c>
      <c r="Y82" s="97">
        <f ca="1">IFERROR(__xludf.DUMMYFUNCTION("IMPORTRANGE(""https://docs.google.com/spreadsheets/d/17ht0gPKzzT3PObBL1XJkeRmntBXI7wGjpLV7QorqlTk/edit?usp=sharing"",""พัทลุง!J295"")"),0)</f>
        <v>0</v>
      </c>
      <c r="Z82" s="98">
        <f t="shared" ca="1" si="34"/>
        <v>0</v>
      </c>
      <c r="AA82" s="321">
        <f ca="1">IFERROR(__xludf.DUMMYFUNCTION("IMPORTRANGE(""https://docs.google.com/spreadsheets/d/17ht0gPKzzT3PObBL1XJkeRmntBXI7wGjpLV7QorqlTk/edit?usp=sharing"",""พัทลุง!J296"")"),0)</f>
        <v>0</v>
      </c>
      <c r="AB82" s="322">
        <f t="shared" ca="1" si="35"/>
        <v>0</v>
      </c>
    </row>
    <row r="83" spans="1:28" ht="21" customHeight="1" x14ac:dyDescent="0.3">
      <c r="A83" s="89">
        <v>9</v>
      </c>
      <c r="B83" s="90" t="s">
        <v>109</v>
      </c>
      <c r="C83" s="174">
        <f t="shared" ca="1" si="21"/>
        <v>0</v>
      </c>
      <c r="D83" s="175">
        <f t="shared" ca="1" si="51"/>
        <v>0</v>
      </c>
      <c r="E83" s="176">
        <f ca="1">IFERROR(__xludf.DUMMYFUNCTION("IMPORTRANGE(""https://docs.google.com/spreadsheets/d/1-uDff_7J0KD5mKrp0Vvzr7lt3OU09vwQwhkpOPPYv2Y/edit?usp=sharing"",""งบพรบ!DP83"")"),0)</f>
        <v>0</v>
      </c>
      <c r="F83" s="176">
        <f ca="1">IFERROR(__xludf.DUMMYFUNCTION("IMPORTRANGE(""https://docs.google.com/spreadsheets/d/1-uDff_7J0KD5mKrp0Vvzr7lt3OU09vwQwhkpOPPYv2Y/edit?usp=sharing"",""งบพรบ!DQ83"")"),0)</f>
        <v>0</v>
      </c>
      <c r="G83" s="176">
        <f ca="1">IFERROR(__xludf.DUMMYFUNCTION("IMPORTRANGE(""https://docs.google.com/spreadsheets/d/1-uDff_7J0KD5mKrp0Vvzr7lt3OU09vwQwhkpOPPYv2Y/edit?usp=sharing"",""งบพรบ!DR83"")"),0)</f>
        <v>0</v>
      </c>
      <c r="H83" s="176">
        <f ca="1">IFERROR(__xludf.DUMMYFUNCTION("IMPORTRANGE(""https://docs.google.com/spreadsheets/d/1-uDff_7J0KD5mKrp0Vvzr7lt3OU09vwQwhkpOPPYv2Y/edit?usp=sharing"",""งบพรบ!DT83"")"),0)</f>
        <v>0</v>
      </c>
      <c r="I83" s="176">
        <f ca="1">IFERROR(__xludf.DUMMYFUNCTION("IMPORTRANGE(""https://docs.google.com/spreadsheets/d/1-uDff_7J0KD5mKrp0Vvzr7lt3OU09vwQwhkpOPPYv2Y/edit?usp=sharing"",""งบพรบ!DU83"")"),0)</f>
        <v>0</v>
      </c>
      <c r="J83" s="176">
        <f t="shared" ca="1" si="23"/>
        <v>0</v>
      </c>
      <c r="K83" s="179">
        <f t="shared" ca="1" si="24"/>
        <v>0</v>
      </c>
      <c r="L83" s="176">
        <f ca="1">IFERROR(__xludf.DUMMYFUNCTION("IMPORTRANGE(""https://docs.google.com/spreadsheets/d/1-uDff_7J0KD5mKrp0Vvzr7lt3OU09vwQwhkpOPPYv2Y/edit?usp=sharing"",""งบพรบ!DV83"")"),0)</f>
        <v>0</v>
      </c>
      <c r="M83" s="87">
        <f t="shared" ca="1" si="25"/>
        <v>0</v>
      </c>
      <c r="N83" s="87">
        <f t="shared" ca="1" si="26"/>
        <v>0</v>
      </c>
      <c r="O83" s="86">
        <f ca="1">IFERROR(__xludf.DUMMYFUNCTION("IMPORTRANGE(""https://docs.google.com/spreadsheets/d/1-uDff_7J0KD5mKrp0Vvzr7lt3OU09vwQwhkpOPPYv2Y/edit?usp=sharing"",""งบพรบ!DW83"")"),0)</f>
        <v>0</v>
      </c>
      <c r="P83" s="86">
        <f t="shared" ca="1" si="27"/>
        <v>0</v>
      </c>
      <c r="Q83" s="87">
        <f t="shared" ca="1" si="28"/>
        <v>0</v>
      </c>
      <c r="R83" s="97">
        <f ca="1">IFERROR(__xludf.DUMMYFUNCTION("IMPORTRANGE(""https://docs.google.com/spreadsheets/d/1rd4qoM1q_hsgaolqNGfrim9gbsoLxQsda4-vOz5x_BM/edit?usp=sharing"",""ภูเก็ต!I292"")"),0)</f>
        <v>0</v>
      </c>
      <c r="S83" s="97">
        <f ca="1">IFERROR(__xludf.DUMMYFUNCTION("IMPORTRANGE(""https://docs.google.com/spreadsheets/d/1rd4qoM1q_hsgaolqNGfrim9gbsoLxQsda4-vOz5x_BM/edit?usp=sharing"",""ภูเก็ต!J292"")"),0)</f>
        <v>0</v>
      </c>
      <c r="T83" s="98">
        <f t="shared" ca="1" si="30"/>
        <v>0</v>
      </c>
      <c r="U83" s="97">
        <f ca="1">IFERROR(__xludf.DUMMYFUNCTION("IMPORTRANGE(""https://docs.google.com/spreadsheets/d/1rd4qoM1q_hsgaolqNGfrim9gbsoLxQsda4-vOz5x_BM/edit?usp=sharing"",""ภูเก็ต!I293"")"),0)</f>
        <v>0</v>
      </c>
      <c r="V83" s="97">
        <f ca="1">IFERROR(__xludf.DUMMYFUNCTION("IMPORTRANGE(""https://docs.google.com/spreadsheets/d/1rd4qoM1q_hsgaolqNGfrim9gbsoLxQsda4-vOz5x_BM/edit?usp=sharing"",""ภูเก็ต!J293"")"),0)</f>
        <v>0</v>
      </c>
      <c r="W83" s="98">
        <f t="shared" ca="1" si="32"/>
        <v>0</v>
      </c>
      <c r="X83" s="97">
        <f ca="1">IFERROR(__xludf.DUMMYFUNCTION("IMPORTRANGE(""https://docs.google.com/spreadsheets/d/1rd4qoM1q_hsgaolqNGfrim9gbsoLxQsda4-vOz5x_BM/edit?usp=sharing"",""ภูเก็ต!I295"")"),0)</f>
        <v>0</v>
      </c>
      <c r="Y83" s="97">
        <f ca="1">IFERROR(__xludf.DUMMYFUNCTION("IMPORTRANGE(""https://docs.google.com/spreadsheets/d/1rd4qoM1q_hsgaolqNGfrim9gbsoLxQsda4-vOz5x_BM/edit?usp=sharing"",""ภูเก็ต!J295"")"),0)</f>
        <v>0</v>
      </c>
      <c r="Z83" s="98">
        <f t="shared" ca="1" si="34"/>
        <v>0</v>
      </c>
      <c r="AA83" s="321">
        <f ca="1">IFERROR(__xludf.DUMMYFUNCTION("IMPORTRANGE(""https://docs.google.com/spreadsheets/d/1rd4qoM1q_hsgaolqNGfrim9gbsoLxQsda4-vOz5x_BM/edit?usp=sharing"",""ภูเก็ต!J296"")"),0)</f>
        <v>0</v>
      </c>
      <c r="AB83" s="322">
        <f t="shared" ca="1" si="35"/>
        <v>0</v>
      </c>
    </row>
    <row r="84" spans="1:28" ht="21" customHeight="1" x14ac:dyDescent="0.3">
      <c r="A84" s="89">
        <v>10</v>
      </c>
      <c r="B84" s="90" t="s">
        <v>110</v>
      </c>
      <c r="C84" s="174">
        <f t="shared" ca="1" si="21"/>
        <v>0</v>
      </c>
      <c r="D84" s="175">
        <f t="shared" ca="1" si="51"/>
        <v>0</v>
      </c>
      <c r="E84" s="176">
        <f ca="1">IFERROR(__xludf.DUMMYFUNCTION("IMPORTRANGE(""https://docs.google.com/spreadsheets/d/1-uDff_7J0KD5mKrp0Vvzr7lt3OU09vwQwhkpOPPYv2Y/edit?usp=sharing"",""งบพรบ!DP84"")"),0)</f>
        <v>0</v>
      </c>
      <c r="F84" s="176">
        <f ca="1">IFERROR(__xludf.DUMMYFUNCTION("IMPORTRANGE(""https://docs.google.com/spreadsheets/d/1-uDff_7J0KD5mKrp0Vvzr7lt3OU09vwQwhkpOPPYv2Y/edit?usp=sharing"",""งบพรบ!DQ84"")"),0)</f>
        <v>0</v>
      </c>
      <c r="G84" s="176">
        <f ca="1">IFERROR(__xludf.DUMMYFUNCTION("IMPORTRANGE(""https://docs.google.com/spreadsheets/d/1-uDff_7J0KD5mKrp0Vvzr7lt3OU09vwQwhkpOPPYv2Y/edit?usp=sharing"",""งบพรบ!DR84"")"),0)</f>
        <v>0</v>
      </c>
      <c r="H84" s="176">
        <f ca="1">IFERROR(__xludf.DUMMYFUNCTION("IMPORTRANGE(""https://docs.google.com/spreadsheets/d/1-uDff_7J0KD5mKrp0Vvzr7lt3OU09vwQwhkpOPPYv2Y/edit?usp=sharing"",""งบพรบ!DT84"")"),0)</f>
        <v>0</v>
      </c>
      <c r="I84" s="176">
        <f ca="1">IFERROR(__xludf.DUMMYFUNCTION("IMPORTRANGE(""https://docs.google.com/spreadsheets/d/1-uDff_7J0KD5mKrp0Vvzr7lt3OU09vwQwhkpOPPYv2Y/edit?usp=sharing"",""งบพรบ!DU84"")"),0)</f>
        <v>0</v>
      </c>
      <c r="J84" s="176">
        <f t="shared" ca="1" si="23"/>
        <v>0</v>
      </c>
      <c r="K84" s="179">
        <f t="shared" ca="1" si="24"/>
        <v>0</v>
      </c>
      <c r="L84" s="176">
        <f ca="1">IFERROR(__xludf.DUMMYFUNCTION("IMPORTRANGE(""https://docs.google.com/spreadsheets/d/1-uDff_7J0KD5mKrp0Vvzr7lt3OU09vwQwhkpOPPYv2Y/edit?usp=sharing"",""งบพรบ!DV84"")"),0)</f>
        <v>0</v>
      </c>
      <c r="M84" s="87">
        <f t="shared" ca="1" si="25"/>
        <v>0</v>
      </c>
      <c r="N84" s="87">
        <f t="shared" ca="1" si="26"/>
        <v>0</v>
      </c>
      <c r="O84" s="86">
        <f ca="1">IFERROR(__xludf.DUMMYFUNCTION("IMPORTRANGE(""https://docs.google.com/spreadsheets/d/1-uDff_7J0KD5mKrp0Vvzr7lt3OU09vwQwhkpOPPYv2Y/edit?usp=sharing"",""งบพรบ!DW84"")"),0)</f>
        <v>0</v>
      </c>
      <c r="P84" s="86">
        <f t="shared" ca="1" si="27"/>
        <v>0</v>
      </c>
      <c r="Q84" s="87">
        <f t="shared" ca="1" si="28"/>
        <v>0</v>
      </c>
      <c r="R84" s="97">
        <f ca="1">IFERROR(__xludf.DUMMYFUNCTION("IMPORTRANGE(""https://docs.google.com/spreadsheets/d/1woKwKjgoLssDvPcPeVyezB5izizAn4X1JDrys69n6xI/edit?usp=sharing"",""ยะลา!I292"")"),0)</f>
        <v>0</v>
      </c>
      <c r="S84" s="97">
        <f ca="1">IFERROR(__xludf.DUMMYFUNCTION("IMPORTRANGE(""https://docs.google.com/spreadsheets/d/1woKwKjgoLssDvPcPeVyezB5izizAn4X1JDrys69n6xI/edit?usp=sharing"",""ยะลา!J292"")"),0)</f>
        <v>0</v>
      </c>
      <c r="T84" s="98">
        <f t="shared" ca="1" si="30"/>
        <v>0</v>
      </c>
      <c r="U84" s="97">
        <f ca="1">IFERROR(__xludf.DUMMYFUNCTION("IMPORTRANGE(""https://docs.google.com/spreadsheets/d/1woKwKjgoLssDvPcPeVyezB5izizAn4X1JDrys69n6xI/edit?usp=sharing"",""ยะลา!I293"")"),0)</f>
        <v>0</v>
      </c>
      <c r="V84" s="97">
        <f ca="1">IFERROR(__xludf.DUMMYFUNCTION("IMPORTRANGE(""https://docs.google.com/spreadsheets/d/1woKwKjgoLssDvPcPeVyezB5izizAn4X1JDrys69n6xI/edit?usp=sharing"",""ยะลา!J293"")"),0)</f>
        <v>0</v>
      </c>
      <c r="W84" s="98">
        <f t="shared" ca="1" si="32"/>
        <v>0</v>
      </c>
      <c r="X84" s="97">
        <f ca="1">IFERROR(__xludf.DUMMYFUNCTION("IMPORTRANGE(""https://docs.google.com/spreadsheets/d/1woKwKjgoLssDvPcPeVyezB5izizAn4X1JDrys69n6xI/edit?usp=sharing"",""ยะลา!I295"")"),0)</f>
        <v>0</v>
      </c>
      <c r="Y84" s="97">
        <f ca="1">IFERROR(__xludf.DUMMYFUNCTION("IMPORTRANGE(""https://docs.google.com/spreadsheets/d/1woKwKjgoLssDvPcPeVyezB5izizAn4X1JDrys69n6xI/edit?usp=sharing"",""ยะลา!J295"")"),0)</f>
        <v>0</v>
      </c>
      <c r="Z84" s="98">
        <f t="shared" ca="1" si="34"/>
        <v>0</v>
      </c>
      <c r="AA84" s="321">
        <f ca="1">IFERROR(__xludf.DUMMYFUNCTION("IMPORTRANGE(""https://docs.google.com/spreadsheets/d/1woKwKjgoLssDvPcPeVyezB5izizAn4X1JDrys69n6xI/edit?usp=sharing"",""ยะลา!J296"")"),0)</f>
        <v>0</v>
      </c>
      <c r="AB84" s="322">
        <f t="shared" ca="1" si="35"/>
        <v>0</v>
      </c>
    </row>
    <row r="85" spans="1:28" ht="21" customHeight="1" x14ac:dyDescent="0.3">
      <c r="A85" s="89">
        <v>11</v>
      </c>
      <c r="B85" s="90" t="s">
        <v>111</v>
      </c>
      <c r="C85" s="174">
        <f t="shared" ca="1" si="21"/>
        <v>0</v>
      </c>
      <c r="D85" s="175">
        <f t="shared" ca="1" si="51"/>
        <v>0</v>
      </c>
      <c r="E85" s="176">
        <f ca="1">IFERROR(__xludf.DUMMYFUNCTION("IMPORTRANGE(""https://docs.google.com/spreadsheets/d/1-uDff_7J0KD5mKrp0Vvzr7lt3OU09vwQwhkpOPPYv2Y/edit?usp=sharing"",""งบพรบ!DP85"")"),0)</f>
        <v>0</v>
      </c>
      <c r="F85" s="176">
        <f ca="1">IFERROR(__xludf.DUMMYFUNCTION("IMPORTRANGE(""https://docs.google.com/spreadsheets/d/1-uDff_7J0KD5mKrp0Vvzr7lt3OU09vwQwhkpOPPYv2Y/edit?usp=sharing"",""งบพรบ!DQ85"")"),0)</f>
        <v>0</v>
      </c>
      <c r="G85" s="176">
        <f ca="1">IFERROR(__xludf.DUMMYFUNCTION("IMPORTRANGE(""https://docs.google.com/spreadsheets/d/1-uDff_7J0KD5mKrp0Vvzr7lt3OU09vwQwhkpOPPYv2Y/edit?usp=sharing"",""งบพรบ!DR85"")"),0)</f>
        <v>0</v>
      </c>
      <c r="H85" s="176">
        <f ca="1">IFERROR(__xludf.DUMMYFUNCTION("IMPORTRANGE(""https://docs.google.com/spreadsheets/d/1-uDff_7J0KD5mKrp0Vvzr7lt3OU09vwQwhkpOPPYv2Y/edit?usp=sharing"",""งบพรบ!DT85"")"),0)</f>
        <v>0</v>
      </c>
      <c r="I85" s="176">
        <f ca="1">IFERROR(__xludf.DUMMYFUNCTION("IMPORTRANGE(""https://docs.google.com/spreadsheets/d/1-uDff_7J0KD5mKrp0Vvzr7lt3OU09vwQwhkpOPPYv2Y/edit?usp=sharing"",""งบพรบ!DU85"")"),0)</f>
        <v>0</v>
      </c>
      <c r="J85" s="176">
        <f t="shared" ca="1" si="23"/>
        <v>0</v>
      </c>
      <c r="K85" s="179">
        <f t="shared" ca="1" si="24"/>
        <v>0</v>
      </c>
      <c r="L85" s="176">
        <f ca="1">IFERROR(__xludf.DUMMYFUNCTION("IMPORTRANGE(""https://docs.google.com/spreadsheets/d/1-uDff_7J0KD5mKrp0Vvzr7lt3OU09vwQwhkpOPPYv2Y/edit?usp=sharing"",""งบพรบ!DV85"")"),0)</f>
        <v>0</v>
      </c>
      <c r="M85" s="87">
        <f t="shared" ca="1" si="25"/>
        <v>0</v>
      </c>
      <c r="N85" s="87">
        <f t="shared" ca="1" si="26"/>
        <v>0</v>
      </c>
      <c r="O85" s="86">
        <f ca="1">IFERROR(__xludf.DUMMYFUNCTION("IMPORTRANGE(""https://docs.google.com/spreadsheets/d/1-uDff_7J0KD5mKrp0Vvzr7lt3OU09vwQwhkpOPPYv2Y/edit?usp=sharing"",""งบพรบ!DW85"")"),0)</f>
        <v>0</v>
      </c>
      <c r="P85" s="86">
        <f t="shared" ca="1" si="27"/>
        <v>0</v>
      </c>
      <c r="Q85" s="87">
        <f t="shared" ca="1" si="28"/>
        <v>0</v>
      </c>
      <c r="R85" s="97">
        <f ca="1">IFERROR(__xludf.DUMMYFUNCTION("IMPORTRANGE(""https://docs.google.com/spreadsheets/d/1qfrKjzMhm2HJfxQ-qVlJlJQ25Hne1d0khsySbZyGtPA/edit?usp=sharing"",""ระนอง!I292"")"),0)</f>
        <v>0</v>
      </c>
      <c r="S85" s="97">
        <f ca="1">IFERROR(__xludf.DUMMYFUNCTION("IMPORTRANGE(""https://docs.google.com/spreadsheets/d/1qfrKjzMhm2HJfxQ-qVlJlJQ25Hne1d0khsySbZyGtPA/edit?usp=sharing"",""ระนอง!J292"")"),0)</f>
        <v>0</v>
      </c>
      <c r="T85" s="98">
        <f t="shared" ca="1" si="30"/>
        <v>0</v>
      </c>
      <c r="U85" s="97">
        <f ca="1">IFERROR(__xludf.DUMMYFUNCTION("IMPORTRANGE(""https://docs.google.com/spreadsheets/d/1qfrKjzMhm2HJfxQ-qVlJlJQ25Hne1d0khsySbZyGtPA/edit?usp=sharing"",""ระนอง!I293"")"),0)</f>
        <v>0</v>
      </c>
      <c r="V85" s="97">
        <f ca="1">IFERROR(__xludf.DUMMYFUNCTION("IMPORTRANGE(""https://docs.google.com/spreadsheets/d/1qfrKjzMhm2HJfxQ-qVlJlJQ25Hne1d0khsySbZyGtPA/edit?usp=sharing"",""ระนอง!J293"")"),0)</f>
        <v>0</v>
      </c>
      <c r="W85" s="98">
        <f t="shared" ca="1" si="32"/>
        <v>0</v>
      </c>
      <c r="X85" s="97">
        <f ca="1">IFERROR(__xludf.DUMMYFUNCTION("IMPORTRANGE(""https://docs.google.com/spreadsheets/d/1qfrKjzMhm2HJfxQ-qVlJlJQ25Hne1d0khsySbZyGtPA/edit?usp=sharing"",""ระนอง!I295"")"),0)</f>
        <v>0</v>
      </c>
      <c r="Y85" s="97">
        <f ca="1">IFERROR(__xludf.DUMMYFUNCTION("IMPORTRANGE(""https://docs.google.com/spreadsheets/d/1qfrKjzMhm2HJfxQ-qVlJlJQ25Hne1d0khsySbZyGtPA/edit?usp=sharing"",""ระนอง!J295"")"),0)</f>
        <v>0</v>
      </c>
      <c r="Z85" s="98">
        <f t="shared" ca="1" si="34"/>
        <v>0</v>
      </c>
      <c r="AA85" s="321">
        <f ca="1">IFERROR(__xludf.DUMMYFUNCTION("IMPORTRANGE(""https://docs.google.com/spreadsheets/d/1qfrKjzMhm2HJfxQ-qVlJlJQ25Hne1d0khsySbZyGtPA/edit?usp=sharing"",""ระนอง!J296"")"),0)</f>
        <v>0</v>
      </c>
      <c r="AB85" s="322">
        <f t="shared" ca="1" si="35"/>
        <v>0</v>
      </c>
    </row>
    <row r="86" spans="1:28" ht="24" customHeight="1" x14ac:dyDescent="0.3">
      <c r="A86" s="89">
        <v>12</v>
      </c>
      <c r="B86" s="90" t="s">
        <v>112</v>
      </c>
      <c r="C86" s="174">
        <f t="shared" ca="1" si="21"/>
        <v>0</v>
      </c>
      <c r="D86" s="175">
        <f t="shared" ca="1" si="51"/>
        <v>0</v>
      </c>
      <c r="E86" s="176">
        <f ca="1">IFERROR(__xludf.DUMMYFUNCTION("IMPORTRANGE(""https://docs.google.com/spreadsheets/d/1-uDff_7J0KD5mKrp0Vvzr7lt3OU09vwQwhkpOPPYv2Y/edit?usp=sharing"",""งบพรบ!DP86"")"),0)</f>
        <v>0</v>
      </c>
      <c r="F86" s="176">
        <f ca="1">IFERROR(__xludf.DUMMYFUNCTION("IMPORTRANGE(""https://docs.google.com/spreadsheets/d/1-uDff_7J0KD5mKrp0Vvzr7lt3OU09vwQwhkpOPPYv2Y/edit?usp=sharing"",""งบพรบ!DQ86"")"),0)</f>
        <v>0</v>
      </c>
      <c r="G86" s="176">
        <f ca="1">IFERROR(__xludf.DUMMYFUNCTION("IMPORTRANGE(""https://docs.google.com/spreadsheets/d/1-uDff_7J0KD5mKrp0Vvzr7lt3OU09vwQwhkpOPPYv2Y/edit?usp=sharing"",""งบพรบ!DR86"")"),0)</f>
        <v>0</v>
      </c>
      <c r="H86" s="176">
        <f ca="1">IFERROR(__xludf.DUMMYFUNCTION("IMPORTRANGE(""https://docs.google.com/spreadsheets/d/1-uDff_7J0KD5mKrp0Vvzr7lt3OU09vwQwhkpOPPYv2Y/edit?usp=sharing"",""งบพรบ!DT86"")"),0)</f>
        <v>0</v>
      </c>
      <c r="I86" s="176">
        <f ca="1">IFERROR(__xludf.DUMMYFUNCTION("IMPORTRANGE(""https://docs.google.com/spreadsheets/d/1-uDff_7J0KD5mKrp0Vvzr7lt3OU09vwQwhkpOPPYv2Y/edit?usp=sharing"",""งบพรบ!DU86"")"),0)</f>
        <v>0</v>
      </c>
      <c r="J86" s="176">
        <f t="shared" ca="1" si="23"/>
        <v>0</v>
      </c>
      <c r="K86" s="179">
        <f t="shared" ca="1" si="24"/>
        <v>0</v>
      </c>
      <c r="L86" s="176">
        <f ca="1">IFERROR(__xludf.DUMMYFUNCTION("IMPORTRANGE(""https://docs.google.com/spreadsheets/d/1-uDff_7J0KD5mKrp0Vvzr7lt3OU09vwQwhkpOPPYv2Y/edit?usp=sharing"",""งบพรบ!DV86"")"),0)</f>
        <v>0</v>
      </c>
      <c r="M86" s="87">
        <f t="shared" ca="1" si="25"/>
        <v>0</v>
      </c>
      <c r="N86" s="87">
        <f t="shared" ca="1" si="26"/>
        <v>0</v>
      </c>
      <c r="O86" s="86">
        <f ca="1">IFERROR(__xludf.DUMMYFUNCTION("IMPORTRANGE(""https://docs.google.com/spreadsheets/d/1-uDff_7J0KD5mKrp0Vvzr7lt3OU09vwQwhkpOPPYv2Y/edit?usp=sharing"",""งบพรบ!DW86"")"),0)</f>
        <v>0</v>
      </c>
      <c r="P86" s="86">
        <f t="shared" ca="1" si="27"/>
        <v>0</v>
      </c>
      <c r="Q86" s="87">
        <f t="shared" ca="1" si="28"/>
        <v>0</v>
      </c>
      <c r="R86" s="97">
        <f ca="1">IFERROR(__xludf.DUMMYFUNCTION("IMPORTRANGE(""https://docs.google.com/spreadsheets/d/1IbSCnFOKpZsnFogBHJnL_isstZVaOMnFiIN0fGTPZZw/edit?usp=sharing"",""สงขลา!I292"")"),0)</f>
        <v>0</v>
      </c>
      <c r="S86" s="97">
        <f ca="1">IFERROR(__xludf.DUMMYFUNCTION("IMPORTRANGE(""https://docs.google.com/spreadsheets/d/1IbSCnFOKpZsnFogBHJnL_isstZVaOMnFiIN0fGTPZZw/edit?usp=sharing"",""สงขลา!J292"")"),0)</f>
        <v>0</v>
      </c>
      <c r="T86" s="98">
        <f t="shared" ca="1" si="30"/>
        <v>0</v>
      </c>
      <c r="U86" s="97">
        <f ca="1">IFERROR(__xludf.DUMMYFUNCTION("IMPORTRANGE(""https://docs.google.com/spreadsheets/d/1IbSCnFOKpZsnFogBHJnL_isstZVaOMnFiIN0fGTPZZw/edit?usp=sharing"",""สงขลา!I293"")"),0)</f>
        <v>0</v>
      </c>
      <c r="V86" s="97">
        <f ca="1">IFERROR(__xludf.DUMMYFUNCTION("IMPORTRANGE(""https://docs.google.com/spreadsheets/d/1IbSCnFOKpZsnFogBHJnL_isstZVaOMnFiIN0fGTPZZw/edit?usp=sharing"",""สงขลา!J293"")"),0)</f>
        <v>0</v>
      </c>
      <c r="W86" s="98">
        <f t="shared" ca="1" si="32"/>
        <v>0</v>
      </c>
      <c r="X86" s="97">
        <f ca="1">IFERROR(__xludf.DUMMYFUNCTION("IMPORTRANGE(""https://docs.google.com/spreadsheets/d/1IbSCnFOKpZsnFogBHJnL_isstZVaOMnFiIN0fGTPZZw/edit?usp=sharing"",""สงขลา!I295"")"),0)</f>
        <v>0</v>
      </c>
      <c r="Y86" s="97">
        <f ca="1">IFERROR(__xludf.DUMMYFUNCTION("IMPORTRANGE(""https://docs.google.com/spreadsheets/d/1IbSCnFOKpZsnFogBHJnL_isstZVaOMnFiIN0fGTPZZw/edit?usp=sharing"",""สงขลา!J295"")"),0)</f>
        <v>0</v>
      </c>
      <c r="Z86" s="98">
        <f t="shared" ca="1" si="34"/>
        <v>0</v>
      </c>
      <c r="AA86" s="321">
        <f ca="1">IFERROR(__xludf.DUMMYFUNCTION("IMPORTRANGE(""https://docs.google.com/spreadsheets/d/1IbSCnFOKpZsnFogBHJnL_isstZVaOMnFiIN0fGTPZZw/edit?usp=sharing"",""สงขลา!J296"")"),0)</f>
        <v>0</v>
      </c>
      <c r="AB86" s="322">
        <f t="shared" ca="1" si="35"/>
        <v>0</v>
      </c>
    </row>
    <row r="87" spans="1:28" ht="24" customHeight="1" x14ac:dyDescent="0.3">
      <c r="A87" s="89">
        <v>13</v>
      </c>
      <c r="B87" s="90" t="s">
        <v>113</v>
      </c>
      <c r="C87" s="174">
        <f t="shared" ca="1" si="21"/>
        <v>0</v>
      </c>
      <c r="D87" s="175">
        <f t="shared" ca="1" si="51"/>
        <v>0</v>
      </c>
      <c r="E87" s="176">
        <f ca="1">IFERROR(__xludf.DUMMYFUNCTION("IMPORTRANGE(""https://docs.google.com/spreadsheets/d/1-uDff_7J0KD5mKrp0Vvzr7lt3OU09vwQwhkpOPPYv2Y/edit?usp=sharing"",""งบพรบ!DP87"")"),0)</f>
        <v>0</v>
      </c>
      <c r="F87" s="176">
        <f ca="1">IFERROR(__xludf.DUMMYFUNCTION("IMPORTRANGE(""https://docs.google.com/spreadsheets/d/1-uDff_7J0KD5mKrp0Vvzr7lt3OU09vwQwhkpOPPYv2Y/edit?usp=sharing"",""งบพรบ!DQ87"")"),0)</f>
        <v>0</v>
      </c>
      <c r="G87" s="176">
        <f ca="1">IFERROR(__xludf.DUMMYFUNCTION("IMPORTRANGE(""https://docs.google.com/spreadsheets/d/1-uDff_7J0KD5mKrp0Vvzr7lt3OU09vwQwhkpOPPYv2Y/edit?usp=sharing"",""งบพรบ!DR87"")"),0)</f>
        <v>0</v>
      </c>
      <c r="H87" s="176">
        <f ca="1">IFERROR(__xludf.DUMMYFUNCTION("IMPORTRANGE(""https://docs.google.com/spreadsheets/d/1-uDff_7J0KD5mKrp0Vvzr7lt3OU09vwQwhkpOPPYv2Y/edit?usp=sharing"",""งบพรบ!DT87"")"),0)</f>
        <v>0</v>
      </c>
      <c r="I87" s="176">
        <f ca="1">IFERROR(__xludf.DUMMYFUNCTION("IMPORTRANGE(""https://docs.google.com/spreadsheets/d/1-uDff_7J0KD5mKrp0Vvzr7lt3OU09vwQwhkpOPPYv2Y/edit?usp=sharing"",""งบพรบ!DU87"")"),0)</f>
        <v>0</v>
      </c>
      <c r="J87" s="176">
        <f t="shared" ca="1" si="23"/>
        <v>0</v>
      </c>
      <c r="K87" s="179">
        <f t="shared" ca="1" si="24"/>
        <v>0</v>
      </c>
      <c r="L87" s="176">
        <f ca="1">IFERROR(__xludf.DUMMYFUNCTION("IMPORTRANGE(""https://docs.google.com/spreadsheets/d/1-uDff_7J0KD5mKrp0Vvzr7lt3OU09vwQwhkpOPPYv2Y/edit?usp=sharing"",""งบพรบ!DV87"")"),0)</f>
        <v>0</v>
      </c>
      <c r="M87" s="87">
        <f t="shared" ca="1" si="25"/>
        <v>0</v>
      </c>
      <c r="N87" s="87">
        <f t="shared" ca="1" si="26"/>
        <v>0</v>
      </c>
      <c r="O87" s="86">
        <f ca="1">IFERROR(__xludf.DUMMYFUNCTION("IMPORTRANGE(""https://docs.google.com/spreadsheets/d/1-uDff_7J0KD5mKrp0Vvzr7lt3OU09vwQwhkpOPPYv2Y/edit?usp=sharing"",""งบพรบ!DW87"")"),0)</f>
        <v>0</v>
      </c>
      <c r="P87" s="86">
        <f t="shared" ca="1" si="27"/>
        <v>0</v>
      </c>
      <c r="Q87" s="87">
        <f t="shared" ca="1" si="28"/>
        <v>0</v>
      </c>
      <c r="R87" s="97">
        <f ca="1">IFERROR(__xludf.DUMMYFUNCTION("IMPORTRANGE(""https://docs.google.com/spreadsheets/d/1q9nWasZJ-K8bFGvbE9n0qSRuKGA4Toe3Y89cKCiVtCU/edit?usp=sharing"",""สตูล!I292"")"),0)</f>
        <v>0</v>
      </c>
      <c r="S87" s="97">
        <f ca="1">IFERROR(__xludf.DUMMYFUNCTION("IMPORTRANGE(""https://docs.google.com/spreadsheets/d/1q9nWasZJ-K8bFGvbE9n0qSRuKGA4Toe3Y89cKCiVtCU/edit?usp=sharing"",""สตูล!J292"")"),0)</f>
        <v>0</v>
      </c>
      <c r="T87" s="98">
        <f t="shared" ca="1" si="30"/>
        <v>0</v>
      </c>
      <c r="U87" s="97">
        <f ca="1">IFERROR(__xludf.DUMMYFUNCTION("IMPORTRANGE(""https://docs.google.com/spreadsheets/d/1q9nWasZJ-K8bFGvbE9n0qSRuKGA4Toe3Y89cKCiVtCU/edit?usp=sharing"",""สตูล!I293"")"),0)</f>
        <v>0</v>
      </c>
      <c r="V87" s="97">
        <f ca="1">IFERROR(__xludf.DUMMYFUNCTION("IMPORTRANGE(""https://docs.google.com/spreadsheets/d/1q9nWasZJ-K8bFGvbE9n0qSRuKGA4Toe3Y89cKCiVtCU/edit?usp=sharing"",""สตูล!J293"")"),0)</f>
        <v>0</v>
      </c>
      <c r="W87" s="98">
        <f t="shared" ca="1" si="32"/>
        <v>0</v>
      </c>
      <c r="X87" s="97">
        <f ca="1">IFERROR(__xludf.DUMMYFUNCTION("IMPORTRANGE(""https://docs.google.com/spreadsheets/d/1q9nWasZJ-K8bFGvbE9n0qSRuKGA4Toe3Y89cKCiVtCU/edit?usp=sharing"",""สตูล!I295"")"),0)</f>
        <v>0</v>
      </c>
      <c r="Y87" s="97">
        <f ca="1">IFERROR(__xludf.DUMMYFUNCTION("IMPORTRANGE(""https://docs.google.com/spreadsheets/d/1q9nWasZJ-K8bFGvbE9n0qSRuKGA4Toe3Y89cKCiVtCU/edit?usp=sharing"",""สตูล!J295"")"),0)</f>
        <v>0</v>
      </c>
      <c r="Z87" s="98">
        <f t="shared" ca="1" si="34"/>
        <v>0</v>
      </c>
      <c r="AA87" s="321">
        <f ca="1">IFERROR(__xludf.DUMMYFUNCTION("IMPORTRANGE(""https://docs.google.com/spreadsheets/d/1q9nWasZJ-K8bFGvbE9n0qSRuKGA4Toe3Y89cKCiVtCU/edit?usp=sharing"",""สตูล!J296"")"),0)</f>
        <v>0</v>
      </c>
      <c r="AB87" s="322">
        <f t="shared" ca="1" si="35"/>
        <v>0</v>
      </c>
    </row>
    <row r="88" spans="1:28" ht="24" customHeight="1" x14ac:dyDescent="0.3">
      <c r="A88" s="100">
        <v>14</v>
      </c>
      <c r="B88" s="101" t="s">
        <v>114</v>
      </c>
      <c r="C88" s="182">
        <f t="shared" ca="1" si="21"/>
        <v>292520</v>
      </c>
      <c r="D88" s="183">
        <f t="shared" ca="1" si="51"/>
        <v>292520</v>
      </c>
      <c r="E88" s="184">
        <f ca="1">IFERROR(__xludf.DUMMYFUNCTION("IMPORTRANGE(""https://docs.google.com/spreadsheets/d/1-uDff_7J0KD5mKrp0Vvzr7lt3OU09vwQwhkpOPPYv2Y/edit?usp=sharing"",""งบพรบ!DP88"")"),236400)</f>
        <v>236400</v>
      </c>
      <c r="F88" s="184">
        <f ca="1">IFERROR(__xludf.DUMMYFUNCTION("IMPORTRANGE(""https://docs.google.com/spreadsheets/d/1-uDff_7J0KD5mKrp0Vvzr7lt3OU09vwQwhkpOPPYv2Y/edit?usp=sharing"",""งบพรบ!DQ88"")"),56120)</f>
        <v>56120</v>
      </c>
      <c r="G88" s="184">
        <f ca="1">IFERROR(__xludf.DUMMYFUNCTION("IMPORTRANGE(""https://docs.google.com/spreadsheets/d/1-uDff_7J0KD5mKrp0Vvzr7lt3OU09vwQwhkpOPPYv2Y/edit?usp=sharing"",""งบพรบ!DR88"")"),0)</f>
        <v>0</v>
      </c>
      <c r="H88" s="184">
        <f ca="1">IFERROR(__xludf.DUMMYFUNCTION("IMPORTRANGE(""https://docs.google.com/spreadsheets/d/1-uDff_7J0KD5mKrp0Vvzr7lt3OU09vwQwhkpOPPYv2Y/edit?usp=sharing"",""งบพรบ!DT88"")"),292520)</f>
        <v>292520</v>
      </c>
      <c r="I88" s="184">
        <f ca="1">IFERROR(__xludf.DUMMYFUNCTION("IMPORTRANGE(""https://docs.google.com/spreadsheets/d/1-uDff_7J0KD5mKrp0Vvzr7lt3OU09vwQwhkpOPPYv2Y/edit?usp=sharing"",""งบพรบ!DU88"")"),0)</f>
        <v>0</v>
      </c>
      <c r="J88" s="184">
        <f t="shared" ca="1" si="23"/>
        <v>142862.85</v>
      </c>
      <c r="K88" s="185">
        <f t="shared" ca="1" si="24"/>
        <v>48.838660604403117</v>
      </c>
      <c r="L88" s="184">
        <f ca="1">IFERROR(__xludf.DUMMYFUNCTION("IMPORTRANGE(""https://docs.google.com/spreadsheets/d/1-uDff_7J0KD5mKrp0Vvzr7lt3OU09vwQwhkpOPPYv2Y/edit?usp=sharing"",""งบพรบ!DV88"")"),142862.85)</f>
        <v>142862.85</v>
      </c>
      <c r="M88" s="109">
        <f t="shared" ca="1" si="25"/>
        <v>48.838660604403117</v>
      </c>
      <c r="N88" s="109">
        <f t="shared" ca="1" si="26"/>
        <v>48.838660604403117</v>
      </c>
      <c r="O88" s="108">
        <f ca="1">IFERROR(__xludf.DUMMYFUNCTION("IMPORTRANGE(""https://docs.google.com/spreadsheets/d/1-uDff_7J0KD5mKrp0Vvzr7lt3OU09vwQwhkpOPPYv2Y/edit?usp=sharing"",""งบพรบ!DW88"")"),0)</f>
        <v>0</v>
      </c>
      <c r="P88" s="108">
        <f t="shared" ca="1" si="27"/>
        <v>0</v>
      </c>
      <c r="Q88" s="109">
        <f t="shared" ca="1" si="28"/>
        <v>0</v>
      </c>
      <c r="R88" s="110">
        <f ca="1">IFERROR(__xludf.DUMMYFUNCTION("IMPORTRANGE(""https://docs.google.com/spreadsheets/d/18T20gbkS_WBjdscyTOV05cvq_JqvqQ17C81mpxf7Ncs/edit?usp=sharing"",""สุราษฎร์ธานี!I292"")"),100)</f>
        <v>100</v>
      </c>
      <c r="S88" s="110">
        <f ca="1">IFERROR(__xludf.DUMMYFUNCTION("IMPORTRANGE(""https://docs.google.com/spreadsheets/d/18T20gbkS_WBjdscyTOV05cvq_JqvqQ17C81mpxf7Ncs/edit?usp=sharing"",""สุราษฎร์ธานี!J292"")"),100)</f>
        <v>100</v>
      </c>
      <c r="T88" s="111">
        <f t="shared" ca="1" si="30"/>
        <v>100</v>
      </c>
      <c r="U88" s="110">
        <f ca="1">IFERROR(__xludf.DUMMYFUNCTION("IMPORTRANGE(""https://docs.google.com/spreadsheets/d/18T20gbkS_WBjdscyTOV05cvq_JqvqQ17C81mpxf7Ncs/edit?usp=sharing"",""สุราษฎร์ธานี!I293"")"),10)</f>
        <v>10</v>
      </c>
      <c r="V88" s="110">
        <f ca="1">IFERROR(__xludf.DUMMYFUNCTION("IMPORTRANGE(""https://docs.google.com/spreadsheets/d/18T20gbkS_WBjdscyTOV05cvq_JqvqQ17C81mpxf7Ncs/edit?usp=sharing"",""สุราษฎร์ธานี!J293"")"),10)</f>
        <v>10</v>
      </c>
      <c r="W88" s="111">
        <f t="shared" ca="1" si="32"/>
        <v>100</v>
      </c>
      <c r="X88" s="110">
        <f ca="1">IFERROR(__xludf.DUMMYFUNCTION("IMPORTRANGE(""https://docs.google.com/spreadsheets/d/18T20gbkS_WBjdscyTOV05cvq_JqvqQ17C81mpxf7Ncs/edit?usp=sharing"",""สุราษฎร์ธานี!I295"")"),10)</f>
        <v>10</v>
      </c>
      <c r="Y88" s="110">
        <f ca="1">IFERROR(__xludf.DUMMYFUNCTION("IMPORTRANGE(""https://docs.google.com/spreadsheets/d/18T20gbkS_WBjdscyTOV05cvq_JqvqQ17C81mpxf7Ncs/edit?usp=sharing"",""สุราษฎร์ธานี!J295"")"),10)</f>
        <v>10</v>
      </c>
      <c r="Z88" s="111">
        <f t="shared" ca="1" si="34"/>
        <v>100</v>
      </c>
      <c r="AA88" s="323">
        <f ca="1">IFERROR(__xludf.DUMMYFUNCTION("IMPORTRANGE(""https://docs.google.com/spreadsheets/d/18T20gbkS_WBjdscyTOV05cvq_JqvqQ17C81mpxf7Ncs/edit?usp=sharing"",""สุราษฎร์ธานี!J296"")"),10)</f>
        <v>10</v>
      </c>
      <c r="AB88" s="324">
        <f t="shared" ca="1" si="35"/>
        <v>100</v>
      </c>
    </row>
    <row r="89" spans="1:28" ht="21" hidden="1" customHeight="1" x14ac:dyDescent="0.3">
      <c r="A89" s="632" t="s">
        <v>115</v>
      </c>
      <c r="B89" s="633"/>
      <c r="C89" s="46" t="e">
        <f t="shared" ref="C89:Q89" ca="1" si="52">SUM(C90:C106)</f>
        <v>#VALUE!</v>
      </c>
      <c r="D89" s="45">
        <f t="shared" ca="1" si="52"/>
        <v>1224200</v>
      </c>
      <c r="E89" s="45">
        <f t="shared" ca="1" si="52"/>
        <v>640000</v>
      </c>
      <c r="F89" s="45">
        <f t="shared" ca="1" si="52"/>
        <v>584200</v>
      </c>
      <c r="G89" s="45">
        <f t="shared" ca="1" si="52"/>
        <v>0</v>
      </c>
      <c r="H89" s="45">
        <f t="shared" ca="1" si="52"/>
        <v>1224200</v>
      </c>
      <c r="I89" s="45">
        <f t="shared" ca="1" si="52"/>
        <v>0</v>
      </c>
      <c r="J89" s="45">
        <f t="shared" ca="1" si="52"/>
        <v>283628.11</v>
      </c>
      <c r="K89" s="47" t="e">
        <f t="shared" ca="1" si="52"/>
        <v>#VALUE!</v>
      </c>
      <c r="L89" s="45">
        <f t="shared" ca="1" si="52"/>
        <v>283628.11</v>
      </c>
      <c r="M89" s="47">
        <f t="shared" ca="1" si="52"/>
        <v>45.793897667265909</v>
      </c>
      <c r="N89" s="47">
        <f t="shared" ca="1" si="52"/>
        <v>151.14791367704126</v>
      </c>
      <c r="O89" s="45">
        <f t="shared" ca="1" si="52"/>
        <v>0</v>
      </c>
      <c r="P89" s="45" t="e">
        <f t="shared" ca="1" si="52"/>
        <v>#VALUE!</v>
      </c>
      <c r="Q89" s="45">
        <f t="shared" ca="1" si="52"/>
        <v>0</v>
      </c>
      <c r="R89" s="311"/>
      <c r="S89" s="311"/>
      <c r="T89" s="312"/>
      <c r="U89" s="311"/>
      <c r="V89" s="311"/>
      <c r="W89" s="312"/>
      <c r="X89" s="311"/>
      <c r="Y89" s="311"/>
      <c r="Z89" s="312"/>
      <c r="AA89" s="311"/>
      <c r="AB89" s="312"/>
    </row>
    <row r="90" spans="1:28" ht="24" hidden="1" customHeight="1" x14ac:dyDescent="0.3">
      <c r="A90" s="197"/>
      <c r="B90" s="125" t="s">
        <v>116</v>
      </c>
      <c r="C90" s="198">
        <f t="shared" ref="C90:C106" ca="1" si="53">D90+G90</f>
        <v>0</v>
      </c>
      <c r="D90" s="199">
        <f t="shared" ref="D90:D106" ca="1" si="54">+E90+F90</f>
        <v>0</v>
      </c>
      <c r="E90" s="81">
        <f ca="1">IFERROR(__xludf.DUMMYFUNCTION("IMPORTRANGE(""https://docs.google.com/spreadsheets/d/1-uDff_7J0KD5mKrp0Vvzr7lt3OU09vwQwhkpOPPYv2Y/edit?usp=sharing"",""งบพรบ!DP90"")"),0)</f>
        <v>0</v>
      </c>
      <c r="F90" s="81">
        <f ca="1">IFERROR(__xludf.DUMMYFUNCTION("IMPORTRANGE(""https://docs.google.com/spreadsheets/d/1-uDff_7J0KD5mKrp0Vvzr7lt3OU09vwQwhkpOPPYv2Y/edit?usp=sharing"",""งบพรบ!DQ90"")"),0)</f>
        <v>0</v>
      </c>
      <c r="G90" s="81">
        <f ca="1">IFERROR(__xludf.DUMMYFUNCTION("IMPORTRANGE(""https://docs.google.com/spreadsheets/d/1-uDff_7J0KD5mKrp0Vvzr7lt3OU09vwQwhkpOPPYv2Y/edit?usp=sharing"",""งบพรบ!DR90"")"),0)</f>
        <v>0</v>
      </c>
      <c r="H90" s="81">
        <f ca="1">IFERROR(__xludf.DUMMYFUNCTION("IMPORTRANGE(""https://docs.google.com/spreadsheets/d/1-uDff_7J0KD5mKrp0Vvzr7lt3OU09vwQwhkpOPPYv2Y/edit?usp=sharing"",""งบพรบ!DT90"")"),0)</f>
        <v>0</v>
      </c>
      <c r="I90" s="81">
        <f ca="1">IFERROR(__xludf.DUMMYFUNCTION("IMPORTRANGE(""https://docs.google.com/spreadsheets/d/1-uDff_7J0KD5mKrp0Vvzr7lt3OU09vwQwhkpOPPYv2Y/edit?usp=sharing"",""งบพรบ!DU90"")"),0)</f>
        <v>0</v>
      </c>
      <c r="J90" s="81">
        <f t="shared" ref="J90:J106" ca="1" si="55">L90+O90</f>
        <v>0</v>
      </c>
      <c r="K90" s="126">
        <f t="shared" ref="K90:K106" ca="1" si="56">IF(C90&gt;0,J90*100/C90,0)</f>
        <v>0</v>
      </c>
      <c r="L90" s="81">
        <f ca="1">IFERROR(__xludf.DUMMYFUNCTION("IMPORTRANGE(""https://docs.google.com/spreadsheets/d/1-uDff_7J0KD5mKrp0Vvzr7lt3OU09vwQwhkpOPPYv2Y/edit?usp=sharing"",""งบพรบ!DV90"")"),0)</f>
        <v>0</v>
      </c>
      <c r="M90" s="84">
        <f t="shared" ref="M90:M106" ca="1" si="57">IF(D90&gt;0,L90*100/D90,0)</f>
        <v>0</v>
      </c>
      <c r="N90" s="84">
        <f t="shared" ref="N90:N106" ca="1" si="58">IF(H90&gt;0,L90*100/H90,0)</f>
        <v>0</v>
      </c>
      <c r="O90" s="85">
        <f ca="1">IFERROR(__xludf.DUMMYFUNCTION("IMPORTRANGE(""https://docs.google.com/spreadsheets/d/1-uDff_7J0KD5mKrp0Vvzr7lt3OU09vwQwhkpOPPYv2Y/edit?usp=sharing"",""งบพรบ!DW90"")"),0)</f>
        <v>0</v>
      </c>
      <c r="P90" s="85">
        <f t="shared" ref="P90:P106" ca="1" si="59">IF(G90&gt;0,O90*100/G90,0)</f>
        <v>0</v>
      </c>
      <c r="Q90" s="84">
        <f t="shared" ref="Q90:Q106" ca="1" si="60">IF(I90&gt;0,O90*100/I90,0)</f>
        <v>0</v>
      </c>
      <c r="R90" s="327"/>
      <c r="S90" s="327"/>
      <c r="T90" s="328"/>
      <c r="U90" s="327"/>
      <c r="V90" s="327"/>
      <c r="W90" s="328"/>
      <c r="X90" s="327"/>
      <c r="Y90" s="327"/>
      <c r="Z90" s="328"/>
      <c r="AA90" s="327"/>
      <c r="AB90" s="328"/>
    </row>
    <row r="91" spans="1:28" ht="24" hidden="1" customHeight="1" x14ac:dyDescent="0.3">
      <c r="A91" s="201"/>
      <c r="B91" s="129" t="s">
        <v>117</v>
      </c>
      <c r="C91" s="202">
        <f t="shared" ca="1" si="53"/>
        <v>0</v>
      </c>
      <c r="D91" s="203">
        <f t="shared" ca="1" si="54"/>
        <v>0</v>
      </c>
      <c r="E91" s="93">
        <f ca="1">IFERROR(__xludf.DUMMYFUNCTION("IMPORTRANGE(""https://docs.google.com/spreadsheets/d/1-uDff_7J0KD5mKrp0Vvzr7lt3OU09vwQwhkpOPPYv2Y/edit?usp=sharing"",""งบพรบ!DP91"")"),0)</f>
        <v>0</v>
      </c>
      <c r="F91" s="93">
        <f ca="1">IFERROR(__xludf.DUMMYFUNCTION("IMPORTRANGE(""https://docs.google.com/spreadsheets/d/1-uDff_7J0KD5mKrp0Vvzr7lt3OU09vwQwhkpOPPYv2Y/edit?usp=sharing"",""งบพรบ!DQ91"")"),0)</f>
        <v>0</v>
      </c>
      <c r="G91" s="93">
        <f ca="1">IFERROR(__xludf.DUMMYFUNCTION("IMPORTRANGE(""https://docs.google.com/spreadsheets/d/1-uDff_7J0KD5mKrp0Vvzr7lt3OU09vwQwhkpOPPYv2Y/edit?usp=sharing"",""งบพรบ!DR91"")"),0)</f>
        <v>0</v>
      </c>
      <c r="H91" s="93">
        <f ca="1">IFERROR(__xludf.DUMMYFUNCTION("IMPORTRANGE(""https://docs.google.com/spreadsheets/d/1-uDff_7J0KD5mKrp0Vvzr7lt3OU09vwQwhkpOPPYv2Y/edit?usp=sharing"",""งบพรบ!DT91"")"),0)</f>
        <v>0</v>
      </c>
      <c r="I91" s="93">
        <f ca="1">IFERROR(__xludf.DUMMYFUNCTION("IMPORTRANGE(""https://docs.google.com/spreadsheets/d/1-uDff_7J0KD5mKrp0Vvzr7lt3OU09vwQwhkpOPPYv2Y/edit?usp=sharing"",""งบพรบ!DU91"")"),0)</f>
        <v>0</v>
      </c>
      <c r="J91" s="93">
        <f t="shared" ca="1" si="55"/>
        <v>0</v>
      </c>
      <c r="K91" s="94">
        <f t="shared" ca="1" si="56"/>
        <v>0</v>
      </c>
      <c r="L91" s="93">
        <f ca="1">IFERROR(__xludf.DUMMYFUNCTION("IMPORTRANGE(""https://docs.google.com/spreadsheets/d/1-uDff_7J0KD5mKrp0Vvzr7lt3OU09vwQwhkpOPPYv2Y/edit?usp=sharing"",""งบพรบ!DV91"")"),0)</f>
        <v>0</v>
      </c>
      <c r="M91" s="95">
        <f t="shared" ca="1" si="57"/>
        <v>0</v>
      </c>
      <c r="N91" s="95">
        <f t="shared" ca="1" si="58"/>
        <v>0</v>
      </c>
      <c r="O91" s="96">
        <f ca="1">IFERROR(__xludf.DUMMYFUNCTION("IMPORTRANGE(""https://docs.google.com/spreadsheets/d/1-uDff_7J0KD5mKrp0Vvzr7lt3OU09vwQwhkpOPPYv2Y/edit?usp=sharing"",""งบพรบ!DW91"")"),0)</f>
        <v>0</v>
      </c>
      <c r="P91" s="96">
        <f t="shared" ca="1" si="59"/>
        <v>0</v>
      </c>
      <c r="Q91" s="95">
        <f t="shared" ca="1" si="60"/>
        <v>0</v>
      </c>
      <c r="R91" s="329"/>
      <c r="S91" s="329"/>
      <c r="T91" s="330"/>
      <c r="U91" s="329"/>
      <c r="V91" s="329"/>
      <c r="W91" s="330"/>
      <c r="X91" s="329"/>
      <c r="Y91" s="329"/>
      <c r="Z91" s="330"/>
      <c r="AA91" s="329"/>
      <c r="AB91" s="330"/>
    </row>
    <row r="92" spans="1:28" ht="24" hidden="1" customHeight="1" x14ac:dyDescent="0.3">
      <c r="A92" s="201"/>
      <c r="B92" s="129" t="s">
        <v>118</v>
      </c>
      <c r="C92" s="202">
        <f t="shared" ca="1" si="53"/>
        <v>0</v>
      </c>
      <c r="D92" s="203">
        <f t="shared" ca="1" si="54"/>
        <v>0</v>
      </c>
      <c r="E92" s="93">
        <f ca="1">IFERROR(__xludf.DUMMYFUNCTION("IMPORTRANGE(""https://docs.google.com/spreadsheets/d/1-uDff_7J0KD5mKrp0Vvzr7lt3OU09vwQwhkpOPPYv2Y/edit?usp=sharing"",""งบพรบ!DP92"")"),0)</f>
        <v>0</v>
      </c>
      <c r="F92" s="93">
        <f ca="1">IFERROR(__xludf.DUMMYFUNCTION("IMPORTRANGE(""https://docs.google.com/spreadsheets/d/1-uDff_7J0KD5mKrp0Vvzr7lt3OU09vwQwhkpOPPYv2Y/edit?usp=sharing"",""งบพรบ!DQ92"")"),0)</f>
        <v>0</v>
      </c>
      <c r="G92" s="93">
        <f ca="1">IFERROR(__xludf.DUMMYFUNCTION("IMPORTRANGE(""https://docs.google.com/spreadsheets/d/1-uDff_7J0KD5mKrp0Vvzr7lt3OU09vwQwhkpOPPYv2Y/edit?usp=sharing"",""งบพรบ!DR92"")"),0)</f>
        <v>0</v>
      </c>
      <c r="H92" s="93">
        <f ca="1">IFERROR(__xludf.DUMMYFUNCTION("IMPORTRANGE(""https://docs.google.com/spreadsheets/d/1-uDff_7J0KD5mKrp0Vvzr7lt3OU09vwQwhkpOPPYv2Y/edit?usp=sharing"",""งบพรบ!DT92"")"),0)</f>
        <v>0</v>
      </c>
      <c r="I92" s="93">
        <f ca="1">IFERROR(__xludf.DUMMYFUNCTION("IMPORTRANGE(""https://docs.google.com/spreadsheets/d/1-uDff_7J0KD5mKrp0Vvzr7lt3OU09vwQwhkpOPPYv2Y/edit?usp=sharing"",""งบพรบ!DU92"")"),0)</f>
        <v>0</v>
      </c>
      <c r="J92" s="93">
        <f t="shared" ca="1" si="55"/>
        <v>0</v>
      </c>
      <c r="K92" s="94">
        <f t="shared" ca="1" si="56"/>
        <v>0</v>
      </c>
      <c r="L92" s="93">
        <f ca="1">IFERROR(__xludf.DUMMYFUNCTION("IMPORTRANGE(""https://docs.google.com/spreadsheets/d/1-uDff_7J0KD5mKrp0Vvzr7lt3OU09vwQwhkpOPPYv2Y/edit?usp=sharing"",""งบพรบ!DV92"")"),0)</f>
        <v>0</v>
      </c>
      <c r="M92" s="95">
        <f t="shared" ca="1" si="57"/>
        <v>0</v>
      </c>
      <c r="N92" s="95">
        <f t="shared" ca="1" si="58"/>
        <v>0</v>
      </c>
      <c r="O92" s="96">
        <f ca="1">IFERROR(__xludf.DUMMYFUNCTION("IMPORTRANGE(""https://docs.google.com/spreadsheets/d/1-uDff_7J0KD5mKrp0Vvzr7lt3OU09vwQwhkpOPPYv2Y/edit?usp=sharing"",""งบพรบ!DW92"")"),0)</f>
        <v>0</v>
      </c>
      <c r="P92" s="96">
        <f t="shared" ca="1" si="59"/>
        <v>0</v>
      </c>
      <c r="Q92" s="95">
        <f t="shared" ca="1" si="60"/>
        <v>0</v>
      </c>
      <c r="R92" s="329"/>
      <c r="S92" s="329"/>
      <c r="T92" s="330"/>
      <c r="U92" s="329"/>
      <c r="V92" s="329"/>
      <c r="W92" s="330"/>
      <c r="X92" s="329"/>
      <c r="Y92" s="329"/>
      <c r="Z92" s="330"/>
      <c r="AA92" s="329"/>
      <c r="AB92" s="330"/>
    </row>
    <row r="93" spans="1:28" ht="24" hidden="1" customHeight="1" x14ac:dyDescent="0.3">
      <c r="A93" s="201"/>
      <c r="B93" s="129" t="s">
        <v>119</v>
      </c>
      <c r="C93" s="202">
        <f t="shared" ca="1" si="53"/>
        <v>0</v>
      </c>
      <c r="D93" s="203">
        <f t="shared" ca="1" si="54"/>
        <v>0</v>
      </c>
      <c r="E93" s="93">
        <f ca="1">IFERROR(__xludf.DUMMYFUNCTION("IMPORTRANGE(""https://docs.google.com/spreadsheets/d/1-uDff_7J0KD5mKrp0Vvzr7lt3OU09vwQwhkpOPPYv2Y/edit?usp=sharing"",""งบพรบ!DP93"")"),0)</f>
        <v>0</v>
      </c>
      <c r="F93" s="93">
        <f ca="1">IFERROR(__xludf.DUMMYFUNCTION("IMPORTRANGE(""https://docs.google.com/spreadsheets/d/1-uDff_7J0KD5mKrp0Vvzr7lt3OU09vwQwhkpOPPYv2Y/edit?usp=sharing"",""งบพรบ!DQ93"")"),0)</f>
        <v>0</v>
      </c>
      <c r="G93" s="93">
        <f ca="1">IFERROR(__xludf.DUMMYFUNCTION("IMPORTRANGE(""https://docs.google.com/spreadsheets/d/1-uDff_7J0KD5mKrp0Vvzr7lt3OU09vwQwhkpOPPYv2Y/edit?usp=sharing"",""งบพรบ!DR93"")"),0)</f>
        <v>0</v>
      </c>
      <c r="H93" s="93">
        <f ca="1">IFERROR(__xludf.DUMMYFUNCTION("IMPORTRANGE(""https://docs.google.com/spreadsheets/d/1-uDff_7J0KD5mKrp0Vvzr7lt3OU09vwQwhkpOPPYv2Y/edit?usp=sharing"",""งบพรบ!DT93"")"),50000)</f>
        <v>50000</v>
      </c>
      <c r="I93" s="93">
        <f ca="1">IFERROR(__xludf.DUMMYFUNCTION("IMPORTRANGE(""https://docs.google.com/spreadsheets/d/1-uDff_7J0KD5mKrp0Vvzr7lt3OU09vwQwhkpOPPYv2Y/edit?usp=sharing"",""งบพรบ!DU93"")"),0)</f>
        <v>0</v>
      </c>
      <c r="J93" s="93">
        <f t="shared" ca="1" si="55"/>
        <v>0</v>
      </c>
      <c r="K93" s="94">
        <f t="shared" ca="1" si="56"/>
        <v>0</v>
      </c>
      <c r="L93" s="93">
        <f ca="1">IFERROR(__xludf.DUMMYFUNCTION("IMPORTRANGE(""https://docs.google.com/spreadsheets/d/1-uDff_7J0KD5mKrp0Vvzr7lt3OU09vwQwhkpOPPYv2Y/edit?usp=sharing"",""งบพรบ!DV93"")"),0)</f>
        <v>0</v>
      </c>
      <c r="M93" s="95">
        <f t="shared" ca="1" si="57"/>
        <v>0</v>
      </c>
      <c r="N93" s="95">
        <f t="shared" ca="1" si="58"/>
        <v>0</v>
      </c>
      <c r="O93" s="96">
        <f ca="1">IFERROR(__xludf.DUMMYFUNCTION("IMPORTRANGE(""https://docs.google.com/spreadsheets/d/1-uDff_7J0KD5mKrp0Vvzr7lt3OU09vwQwhkpOPPYv2Y/edit?usp=sharing"",""งบพรบ!DW93"")"),0)</f>
        <v>0</v>
      </c>
      <c r="P93" s="96">
        <f t="shared" ca="1" si="59"/>
        <v>0</v>
      </c>
      <c r="Q93" s="95">
        <f t="shared" ca="1" si="60"/>
        <v>0</v>
      </c>
      <c r="R93" s="329"/>
      <c r="S93" s="329"/>
      <c r="T93" s="330"/>
      <c r="U93" s="329"/>
      <c r="V93" s="329"/>
      <c r="W93" s="330"/>
      <c r="X93" s="329"/>
      <c r="Y93" s="329"/>
      <c r="Z93" s="330"/>
      <c r="AA93" s="329"/>
      <c r="AB93" s="330"/>
    </row>
    <row r="94" spans="1:28" ht="24" hidden="1" customHeight="1" x14ac:dyDescent="0.3">
      <c r="A94" s="201"/>
      <c r="B94" s="129" t="s">
        <v>120</v>
      </c>
      <c r="C94" s="202">
        <f t="shared" ca="1" si="53"/>
        <v>0</v>
      </c>
      <c r="D94" s="203">
        <f t="shared" ca="1" si="54"/>
        <v>0</v>
      </c>
      <c r="E94" s="93">
        <f ca="1">IFERROR(__xludf.DUMMYFUNCTION("IMPORTRANGE(""https://docs.google.com/spreadsheets/d/1-uDff_7J0KD5mKrp0Vvzr7lt3OU09vwQwhkpOPPYv2Y/edit?usp=sharing"",""งบพรบ!DP94"")"),0)</f>
        <v>0</v>
      </c>
      <c r="F94" s="93">
        <f ca="1">IFERROR(__xludf.DUMMYFUNCTION("IMPORTRANGE(""https://docs.google.com/spreadsheets/d/1-uDff_7J0KD5mKrp0Vvzr7lt3OU09vwQwhkpOPPYv2Y/edit?usp=sharing"",""งบพรบ!DQ94"")"),0)</f>
        <v>0</v>
      </c>
      <c r="G94" s="93">
        <f ca="1">IFERROR(__xludf.DUMMYFUNCTION("IMPORTRANGE(""https://docs.google.com/spreadsheets/d/1-uDff_7J0KD5mKrp0Vvzr7lt3OU09vwQwhkpOPPYv2Y/edit?usp=sharing"",""งบพรบ!DR94"")"),0)</f>
        <v>0</v>
      </c>
      <c r="H94" s="93">
        <f ca="1">IFERROR(__xludf.DUMMYFUNCTION("IMPORTRANGE(""https://docs.google.com/spreadsheets/d/1-uDff_7J0KD5mKrp0Vvzr7lt3OU09vwQwhkpOPPYv2Y/edit?usp=sharing"",""งบพรบ!DT94"")"),0)</f>
        <v>0</v>
      </c>
      <c r="I94" s="93">
        <f ca="1">IFERROR(__xludf.DUMMYFUNCTION("IMPORTRANGE(""https://docs.google.com/spreadsheets/d/1-uDff_7J0KD5mKrp0Vvzr7lt3OU09vwQwhkpOPPYv2Y/edit?usp=sharing"",""งบพรบ!DU94"")"),0)</f>
        <v>0</v>
      </c>
      <c r="J94" s="93">
        <f t="shared" ca="1" si="55"/>
        <v>0</v>
      </c>
      <c r="K94" s="94">
        <f t="shared" ca="1" si="56"/>
        <v>0</v>
      </c>
      <c r="L94" s="93">
        <f ca="1">IFERROR(__xludf.DUMMYFUNCTION("IMPORTRANGE(""https://docs.google.com/spreadsheets/d/1-uDff_7J0KD5mKrp0Vvzr7lt3OU09vwQwhkpOPPYv2Y/edit?usp=sharing"",""งบพรบ!DV94"")"),0)</f>
        <v>0</v>
      </c>
      <c r="M94" s="95">
        <f t="shared" ca="1" si="57"/>
        <v>0</v>
      </c>
      <c r="N94" s="95">
        <f t="shared" ca="1" si="58"/>
        <v>0</v>
      </c>
      <c r="O94" s="96">
        <f ca="1">IFERROR(__xludf.DUMMYFUNCTION("IMPORTRANGE(""https://docs.google.com/spreadsheets/d/1-uDff_7J0KD5mKrp0Vvzr7lt3OU09vwQwhkpOPPYv2Y/edit?usp=sharing"",""งบพรบ!DW94"")"),0)</f>
        <v>0</v>
      </c>
      <c r="P94" s="96">
        <f t="shared" ca="1" si="59"/>
        <v>0</v>
      </c>
      <c r="Q94" s="95">
        <f t="shared" ca="1" si="60"/>
        <v>0</v>
      </c>
      <c r="R94" s="329"/>
      <c r="S94" s="329"/>
      <c r="T94" s="330"/>
      <c r="U94" s="329"/>
      <c r="V94" s="329"/>
      <c r="W94" s="330"/>
      <c r="X94" s="329"/>
      <c r="Y94" s="329"/>
      <c r="Z94" s="330"/>
      <c r="AA94" s="329"/>
      <c r="AB94" s="330"/>
    </row>
    <row r="95" spans="1:28" ht="24" hidden="1" customHeight="1" x14ac:dyDescent="0.3">
      <c r="A95" s="201"/>
      <c r="B95" s="129" t="s">
        <v>121</v>
      </c>
      <c r="C95" s="202">
        <f t="shared" ca="1" si="53"/>
        <v>0</v>
      </c>
      <c r="D95" s="203">
        <f t="shared" ca="1" si="54"/>
        <v>0</v>
      </c>
      <c r="E95" s="93">
        <f ca="1">IFERROR(__xludf.DUMMYFUNCTION("IMPORTRANGE(""https://docs.google.com/spreadsheets/d/1-uDff_7J0KD5mKrp0Vvzr7lt3OU09vwQwhkpOPPYv2Y/edit?usp=sharing"",""งบพรบ!DP95"")"),0)</f>
        <v>0</v>
      </c>
      <c r="F95" s="93">
        <f ca="1">IFERROR(__xludf.DUMMYFUNCTION("IMPORTRANGE(""https://docs.google.com/spreadsheets/d/1-uDff_7J0KD5mKrp0Vvzr7lt3OU09vwQwhkpOPPYv2Y/edit?usp=sharing"",""งบพรบ!DQ95"")"),0)</f>
        <v>0</v>
      </c>
      <c r="G95" s="93">
        <f ca="1">IFERROR(__xludf.DUMMYFUNCTION("IMPORTRANGE(""https://docs.google.com/spreadsheets/d/1-uDff_7J0KD5mKrp0Vvzr7lt3OU09vwQwhkpOPPYv2Y/edit?usp=sharing"",""งบพรบ!DR95"")"),0)</f>
        <v>0</v>
      </c>
      <c r="H95" s="93">
        <f ca="1">IFERROR(__xludf.DUMMYFUNCTION("IMPORTRANGE(""https://docs.google.com/spreadsheets/d/1-uDff_7J0KD5mKrp0Vvzr7lt3OU09vwQwhkpOPPYv2Y/edit?usp=sharing"",""งบพรบ!DT95"")"),10500)</f>
        <v>10500</v>
      </c>
      <c r="I95" s="93">
        <f ca="1">IFERROR(__xludf.DUMMYFUNCTION("IMPORTRANGE(""https://docs.google.com/spreadsheets/d/1-uDff_7J0KD5mKrp0Vvzr7lt3OU09vwQwhkpOPPYv2Y/edit?usp=sharing"",""งบพรบ!DU95"")"),0)</f>
        <v>0</v>
      </c>
      <c r="J95" s="93">
        <f t="shared" ca="1" si="55"/>
        <v>10500</v>
      </c>
      <c r="K95" s="94">
        <f t="shared" ca="1" si="56"/>
        <v>0</v>
      </c>
      <c r="L95" s="93">
        <f ca="1">IFERROR(__xludf.DUMMYFUNCTION("IMPORTRANGE(""https://docs.google.com/spreadsheets/d/1-uDff_7J0KD5mKrp0Vvzr7lt3OU09vwQwhkpOPPYv2Y/edit?usp=sharing"",""งบพรบ!DV95"")"),10500)</f>
        <v>10500</v>
      </c>
      <c r="M95" s="95">
        <f t="shared" ca="1" si="57"/>
        <v>0</v>
      </c>
      <c r="N95" s="95">
        <f t="shared" ca="1" si="58"/>
        <v>100</v>
      </c>
      <c r="O95" s="96">
        <f ca="1">IFERROR(__xludf.DUMMYFUNCTION("IMPORTRANGE(""https://docs.google.com/spreadsheets/d/1-uDff_7J0KD5mKrp0Vvzr7lt3OU09vwQwhkpOPPYv2Y/edit?usp=sharing"",""งบพรบ!DW95"")"),0)</f>
        <v>0</v>
      </c>
      <c r="P95" s="96">
        <f t="shared" ca="1" si="59"/>
        <v>0</v>
      </c>
      <c r="Q95" s="95">
        <f t="shared" ca="1" si="60"/>
        <v>0</v>
      </c>
      <c r="R95" s="329"/>
      <c r="S95" s="329"/>
      <c r="T95" s="330"/>
      <c r="U95" s="329"/>
      <c r="V95" s="329"/>
      <c r="W95" s="330"/>
      <c r="X95" s="329"/>
      <c r="Y95" s="329"/>
      <c r="Z95" s="330"/>
      <c r="AA95" s="329"/>
      <c r="AB95" s="330"/>
    </row>
    <row r="96" spans="1:28" ht="24" hidden="1" customHeight="1" x14ac:dyDescent="0.3">
      <c r="A96" s="201"/>
      <c r="B96" s="129" t="s">
        <v>122</v>
      </c>
      <c r="C96" s="202">
        <f t="shared" ca="1" si="53"/>
        <v>0</v>
      </c>
      <c r="D96" s="203">
        <f t="shared" ca="1" si="54"/>
        <v>0</v>
      </c>
      <c r="E96" s="93">
        <f ca="1">IFERROR(__xludf.DUMMYFUNCTION("IMPORTRANGE(""https://docs.google.com/spreadsheets/d/1-uDff_7J0KD5mKrp0Vvzr7lt3OU09vwQwhkpOPPYv2Y/edit?usp=sharing"",""งบพรบ!DP96"")"),0)</f>
        <v>0</v>
      </c>
      <c r="F96" s="93">
        <f ca="1">IFERROR(__xludf.DUMMYFUNCTION("IMPORTRANGE(""https://docs.google.com/spreadsheets/d/1-uDff_7J0KD5mKrp0Vvzr7lt3OU09vwQwhkpOPPYv2Y/edit?usp=sharing"",""งบพรบ!DQ96"")"),0)</f>
        <v>0</v>
      </c>
      <c r="G96" s="93">
        <f ca="1">IFERROR(__xludf.DUMMYFUNCTION("IMPORTRANGE(""https://docs.google.com/spreadsheets/d/1-uDff_7J0KD5mKrp0Vvzr7lt3OU09vwQwhkpOPPYv2Y/edit?usp=sharing"",""งบพรบ!DR96"")"),0)</f>
        <v>0</v>
      </c>
      <c r="H96" s="93">
        <f ca="1">IFERROR(__xludf.DUMMYFUNCTION("IMPORTRANGE(""https://docs.google.com/spreadsheets/d/1-uDff_7J0KD5mKrp0Vvzr7lt3OU09vwQwhkpOPPYv2Y/edit?usp=sharing"",""งบพรบ!DT96"")"),0)</f>
        <v>0</v>
      </c>
      <c r="I96" s="93">
        <f ca="1">IFERROR(__xludf.DUMMYFUNCTION("IMPORTRANGE(""https://docs.google.com/spreadsheets/d/1-uDff_7J0KD5mKrp0Vvzr7lt3OU09vwQwhkpOPPYv2Y/edit?usp=sharing"",""งบพรบ!DU96"")"),0)</f>
        <v>0</v>
      </c>
      <c r="J96" s="93">
        <f t="shared" ca="1" si="55"/>
        <v>0</v>
      </c>
      <c r="K96" s="94">
        <f t="shared" ca="1" si="56"/>
        <v>0</v>
      </c>
      <c r="L96" s="93">
        <f ca="1">IFERROR(__xludf.DUMMYFUNCTION("IMPORTRANGE(""https://docs.google.com/spreadsheets/d/1-uDff_7J0KD5mKrp0Vvzr7lt3OU09vwQwhkpOPPYv2Y/edit?usp=sharing"",""งบพรบ!DV96"")"),0)</f>
        <v>0</v>
      </c>
      <c r="M96" s="95">
        <f t="shared" ca="1" si="57"/>
        <v>0</v>
      </c>
      <c r="N96" s="95">
        <f t="shared" ca="1" si="58"/>
        <v>0</v>
      </c>
      <c r="O96" s="96">
        <f ca="1">IFERROR(__xludf.DUMMYFUNCTION("IMPORTRANGE(""https://docs.google.com/spreadsheets/d/1-uDff_7J0KD5mKrp0Vvzr7lt3OU09vwQwhkpOPPYv2Y/edit?usp=sharing"",""งบพรบ!DW96"")"),0)</f>
        <v>0</v>
      </c>
      <c r="P96" s="96">
        <f t="shared" ca="1" si="59"/>
        <v>0</v>
      </c>
      <c r="Q96" s="95">
        <f t="shared" ca="1" si="60"/>
        <v>0</v>
      </c>
      <c r="R96" s="329"/>
      <c r="S96" s="329"/>
      <c r="T96" s="330"/>
      <c r="U96" s="329"/>
      <c r="V96" s="329"/>
      <c r="W96" s="330"/>
      <c r="X96" s="329"/>
      <c r="Y96" s="329"/>
      <c r="Z96" s="330"/>
      <c r="AA96" s="329"/>
      <c r="AB96" s="330"/>
    </row>
    <row r="97" spans="1:28" ht="24" hidden="1" customHeight="1" x14ac:dyDescent="0.3">
      <c r="A97" s="201"/>
      <c r="B97" s="129" t="s">
        <v>123</v>
      </c>
      <c r="C97" s="202">
        <f t="shared" ca="1" si="53"/>
        <v>0</v>
      </c>
      <c r="D97" s="203">
        <f t="shared" ca="1" si="54"/>
        <v>0</v>
      </c>
      <c r="E97" s="93">
        <f ca="1">IFERROR(__xludf.DUMMYFUNCTION("IMPORTRANGE(""https://docs.google.com/spreadsheets/d/1-uDff_7J0KD5mKrp0Vvzr7lt3OU09vwQwhkpOPPYv2Y/edit?usp=sharing"",""งบพรบ!DP97"")"),0)</f>
        <v>0</v>
      </c>
      <c r="F97" s="93">
        <f ca="1">IFERROR(__xludf.DUMMYFUNCTION("IMPORTRANGE(""https://docs.google.com/spreadsheets/d/1-uDff_7J0KD5mKrp0Vvzr7lt3OU09vwQwhkpOPPYv2Y/edit?usp=sharing"",""งบพรบ!DQ97"")"),0)</f>
        <v>0</v>
      </c>
      <c r="G97" s="93">
        <f ca="1">IFERROR(__xludf.DUMMYFUNCTION("IMPORTRANGE(""https://docs.google.com/spreadsheets/d/1-uDff_7J0KD5mKrp0Vvzr7lt3OU09vwQwhkpOPPYv2Y/edit?usp=sharing"",""งบพรบ!DR97"")"),0)</f>
        <v>0</v>
      </c>
      <c r="H97" s="93">
        <f ca="1">IFERROR(__xludf.DUMMYFUNCTION("IMPORTRANGE(""https://docs.google.com/spreadsheets/d/1-uDff_7J0KD5mKrp0Vvzr7lt3OU09vwQwhkpOPPYv2Y/edit?usp=sharing"",""งบพรบ!DT97"")"),0)</f>
        <v>0</v>
      </c>
      <c r="I97" s="93">
        <f ca="1">IFERROR(__xludf.DUMMYFUNCTION("IMPORTRANGE(""https://docs.google.com/spreadsheets/d/1-uDff_7J0KD5mKrp0Vvzr7lt3OU09vwQwhkpOPPYv2Y/edit?usp=sharing"",""งบพรบ!DU97"")"),0)</f>
        <v>0</v>
      </c>
      <c r="J97" s="93">
        <f t="shared" ca="1" si="55"/>
        <v>0</v>
      </c>
      <c r="K97" s="94">
        <f t="shared" ca="1" si="56"/>
        <v>0</v>
      </c>
      <c r="L97" s="93">
        <f ca="1">IFERROR(__xludf.DUMMYFUNCTION("IMPORTRANGE(""https://docs.google.com/spreadsheets/d/1-uDff_7J0KD5mKrp0Vvzr7lt3OU09vwQwhkpOPPYv2Y/edit?usp=sharing"",""งบพรบ!DV97"")"),0)</f>
        <v>0</v>
      </c>
      <c r="M97" s="95">
        <f t="shared" ca="1" si="57"/>
        <v>0</v>
      </c>
      <c r="N97" s="95">
        <f t="shared" ca="1" si="58"/>
        <v>0</v>
      </c>
      <c r="O97" s="96">
        <f ca="1">IFERROR(__xludf.DUMMYFUNCTION("IMPORTRANGE(""https://docs.google.com/spreadsheets/d/1-uDff_7J0KD5mKrp0Vvzr7lt3OU09vwQwhkpOPPYv2Y/edit?usp=sharing"",""งบพรบ!DW97"")"),0)</f>
        <v>0</v>
      </c>
      <c r="P97" s="96">
        <f t="shared" ca="1" si="59"/>
        <v>0</v>
      </c>
      <c r="Q97" s="95">
        <f t="shared" ca="1" si="60"/>
        <v>0</v>
      </c>
      <c r="R97" s="329"/>
      <c r="S97" s="329"/>
      <c r="T97" s="330"/>
      <c r="U97" s="329"/>
      <c r="V97" s="329"/>
      <c r="W97" s="330"/>
      <c r="X97" s="329"/>
      <c r="Y97" s="329"/>
      <c r="Z97" s="330"/>
      <c r="AA97" s="329"/>
      <c r="AB97" s="330"/>
    </row>
    <row r="98" spans="1:28" ht="24" hidden="1" customHeight="1" x14ac:dyDescent="0.3">
      <c r="A98" s="201"/>
      <c r="B98" s="129" t="s">
        <v>124</v>
      </c>
      <c r="C98" s="202">
        <f t="shared" ca="1" si="53"/>
        <v>0</v>
      </c>
      <c r="D98" s="203">
        <f t="shared" ca="1" si="54"/>
        <v>0</v>
      </c>
      <c r="E98" s="93">
        <f ca="1">IFERROR(__xludf.DUMMYFUNCTION("IMPORTRANGE(""https://docs.google.com/spreadsheets/d/1-uDff_7J0KD5mKrp0Vvzr7lt3OU09vwQwhkpOPPYv2Y/edit?usp=sharing"",""งบพรบ!DP98"")"),0)</f>
        <v>0</v>
      </c>
      <c r="F98" s="93">
        <f ca="1">IFERROR(__xludf.DUMMYFUNCTION("IMPORTRANGE(""https://docs.google.com/spreadsheets/d/1-uDff_7J0KD5mKrp0Vvzr7lt3OU09vwQwhkpOPPYv2Y/edit?usp=sharing"",""งบพรบ!DQ98"")"),0)</f>
        <v>0</v>
      </c>
      <c r="G98" s="93">
        <f ca="1">IFERROR(__xludf.DUMMYFUNCTION("IMPORTRANGE(""https://docs.google.com/spreadsheets/d/1-uDff_7J0KD5mKrp0Vvzr7lt3OU09vwQwhkpOPPYv2Y/edit?usp=sharing"",""งบพรบ!DR98"")"),0)</f>
        <v>0</v>
      </c>
      <c r="H98" s="93">
        <f ca="1">IFERROR(__xludf.DUMMYFUNCTION("IMPORTRANGE(""https://docs.google.com/spreadsheets/d/1-uDff_7J0KD5mKrp0Vvzr7lt3OU09vwQwhkpOPPYv2Y/edit?usp=sharing"",""งบพรบ!DT98"")"),0)</f>
        <v>0</v>
      </c>
      <c r="I98" s="93">
        <f ca="1">IFERROR(__xludf.DUMMYFUNCTION("IMPORTRANGE(""https://docs.google.com/spreadsheets/d/1-uDff_7J0KD5mKrp0Vvzr7lt3OU09vwQwhkpOPPYv2Y/edit?usp=sharing"",""งบพรบ!DU98"")"),0)</f>
        <v>0</v>
      </c>
      <c r="J98" s="93">
        <f t="shared" ca="1" si="55"/>
        <v>0</v>
      </c>
      <c r="K98" s="94">
        <f t="shared" ca="1" si="56"/>
        <v>0</v>
      </c>
      <c r="L98" s="93">
        <f ca="1">IFERROR(__xludf.DUMMYFUNCTION("IMPORTRANGE(""https://docs.google.com/spreadsheets/d/1-uDff_7J0KD5mKrp0Vvzr7lt3OU09vwQwhkpOPPYv2Y/edit?usp=sharing"",""งบพรบ!DV98"")"),0)</f>
        <v>0</v>
      </c>
      <c r="M98" s="95">
        <f t="shared" ca="1" si="57"/>
        <v>0</v>
      </c>
      <c r="N98" s="95">
        <f t="shared" ca="1" si="58"/>
        <v>0</v>
      </c>
      <c r="O98" s="96">
        <f ca="1">IFERROR(__xludf.DUMMYFUNCTION("IMPORTRANGE(""https://docs.google.com/spreadsheets/d/1-uDff_7J0KD5mKrp0Vvzr7lt3OU09vwQwhkpOPPYv2Y/edit?usp=sharing"",""งบพรบ!DW98"")"),0)</f>
        <v>0</v>
      </c>
      <c r="P98" s="96">
        <f t="shared" ca="1" si="59"/>
        <v>0</v>
      </c>
      <c r="Q98" s="95">
        <f t="shared" ca="1" si="60"/>
        <v>0</v>
      </c>
      <c r="R98" s="329"/>
      <c r="S98" s="329"/>
      <c r="T98" s="330"/>
      <c r="U98" s="329"/>
      <c r="V98" s="329"/>
      <c r="W98" s="330"/>
      <c r="X98" s="329"/>
      <c r="Y98" s="329"/>
      <c r="Z98" s="330"/>
      <c r="AA98" s="329"/>
      <c r="AB98" s="330"/>
    </row>
    <row r="99" spans="1:28" ht="24" hidden="1" customHeight="1" x14ac:dyDescent="0.3">
      <c r="A99" s="201"/>
      <c r="B99" s="129" t="s">
        <v>125</v>
      </c>
      <c r="C99" s="202">
        <f t="shared" ca="1" si="53"/>
        <v>0</v>
      </c>
      <c r="D99" s="203">
        <f t="shared" ca="1" si="54"/>
        <v>0</v>
      </c>
      <c r="E99" s="93">
        <f ca="1">IFERROR(__xludf.DUMMYFUNCTION("IMPORTRANGE(""https://docs.google.com/spreadsheets/d/1-uDff_7J0KD5mKrp0Vvzr7lt3OU09vwQwhkpOPPYv2Y/edit?usp=sharing"",""งบพรบ!DP99"")"),0)</f>
        <v>0</v>
      </c>
      <c r="F99" s="93">
        <f ca="1">IFERROR(__xludf.DUMMYFUNCTION("IMPORTRANGE(""https://docs.google.com/spreadsheets/d/1-uDff_7J0KD5mKrp0Vvzr7lt3OU09vwQwhkpOPPYv2Y/edit?usp=sharing"",""งบพรบ!DQ99"")"),0)</f>
        <v>0</v>
      </c>
      <c r="G99" s="93">
        <f ca="1">IFERROR(__xludf.DUMMYFUNCTION("IMPORTRANGE(""https://docs.google.com/spreadsheets/d/1-uDff_7J0KD5mKrp0Vvzr7lt3OU09vwQwhkpOPPYv2Y/edit?usp=sharing"",""งบพรบ!DR99"")"),0)</f>
        <v>0</v>
      </c>
      <c r="H99" s="93">
        <f ca="1">IFERROR(__xludf.DUMMYFUNCTION("IMPORTRANGE(""https://docs.google.com/spreadsheets/d/1-uDff_7J0KD5mKrp0Vvzr7lt3OU09vwQwhkpOPPYv2Y/edit?usp=sharing"",""งบพรบ!DT99"")"),0)</f>
        <v>0</v>
      </c>
      <c r="I99" s="93">
        <f ca="1">IFERROR(__xludf.DUMMYFUNCTION("IMPORTRANGE(""https://docs.google.com/spreadsheets/d/1-uDff_7J0KD5mKrp0Vvzr7lt3OU09vwQwhkpOPPYv2Y/edit?usp=sharing"",""งบพรบ!DU99"")"),0)</f>
        <v>0</v>
      </c>
      <c r="J99" s="93">
        <f t="shared" ca="1" si="55"/>
        <v>0</v>
      </c>
      <c r="K99" s="94">
        <f t="shared" ca="1" si="56"/>
        <v>0</v>
      </c>
      <c r="L99" s="93">
        <f ca="1">IFERROR(__xludf.DUMMYFUNCTION("IMPORTRANGE(""https://docs.google.com/spreadsheets/d/1-uDff_7J0KD5mKrp0Vvzr7lt3OU09vwQwhkpOPPYv2Y/edit?usp=sharing"",""งบพรบ!DV99"")"),0)</f>
        <v>0</v>
      </c>
      <c r="M99" s="95">
        <f t="shared" ca="1" si="57"/>
        <v>0</v>
      </c>
      <c r="N99" s="95">
        <f t="shared" ca="1" si="58"/>
        <v>0</v>
      </c>
      <c r="O99" s="96">
        <f ca="1">IFERROR(__xludf.DUMMYFUNCTION("IMPORTRANGE(""https://docs.google.com/spreadsheets/d/1-uDff_7J0KD5mKrp0Vvzr7lt3OU09vwQwhkpOPPYv2Y/edit?usp=sharing"",""งบพรบ!DW99"")"),0)</f>
        <v>0</v>
      </c>
      <c r="P99" s="96">
        <f t="shared" ca="1" si="59"/>
        <v>0</v>
      </c>
      <c r="Q99" s="95">
        <f t="shared" ca="1" si="60"/>
        <v>0</v>
      </c>
      <c r="R99" s="329"/>
      <c r="S99" s="329"/>
      <c r="T99" s="330"/>
      <c r="U99" s="329"/>
      <c r="V99" s="329"/>
      <c r="W99" s="330"/>
      <c r="X99" s="329"/>
      <c r="Y99" s="329"/>
      <c r="Z99" s="330"/>
      <c r="AA99" s="329"/>
      <c r="AB99" s="330"/>
    </row>
    <row r="100" spans="1:28" ht="24" hidden="1" customHeight="1" x14ac:dyDescent="0.3">
      <c r="A100" s="201"/>
      <c r="B100" s="129" t="s">
        <v>126</v>
      </c>
      <c r="C100" s="202">
        <f t="shared" ca="1" si="53"/>
        <v>0</v>
      </c>
      <c r="D100" s="203">
        <f t="shared" ca="1" si="54"/>
        <v>0</v>
      </c>
      <c r="E100" s="93">
        <f ca="1">IFERROR(__xludf.DUMMYFUNCTION("IMPORTRANGE(""https://docs.google.com/spreadsheets/d/1-uDff_7J0KD5mKrp0Vvzr7lt3OU09vwQwhkpOPPYv2Y/edit?usp=sharing"",""งบพรบ!DP100"")"),0)</f>
        <v>0</v>
      </c>
      <c r="F100" s="93">
        <f ca="1">IFERROR(__xludf.DUMMYFUNCTION("IMPORTRANGE(""https://docs.google.com/spreadsheets/d/1-uDff_7J0KD5mKrp0Vvzr7lt3OU09vwQwhkpOPPYv2Y/edit?usp=sharing"",""งบพรบ!DQ100"")"),0)</f>
        <v>0</v>
      </c>
      <c r="G100" s="93">
        <f ca="1">IFERROR(__xludf.DUMMYFUNCTION("IMPORTRANGE(""https://docs.google.com/spreadsheets/d/1-uDff_7J0KD5mKrp0Vvzr7lt3OU09vwQwhkpOPPYv2Y/edit?usp=sharing"",""งบพรบ!DR100"")"),0)</f>
        <v>0</v>
      </c>
      <c r="H100" s="93">
        <f ca="1">IFERROR(__xludf.DUMMYFUNCTION("IMPORTRANGE(""https://docs.google.com/spreadsheets/d/1-uDff_7J0KD5mKrp0Vvzr7lt3OU09vwQwhkpOPPYv2Y/edit?usp=sharing"",""งบพรบ!DT100"")"),0)</f>
        <v>0</v>
      </c>
      <c r="I100" s="93">
        <f ca="1">IFERROR(__xludf.DUMMYFUNCTION("IMPORTRANGE(""https://docs.google.com/spreadsheets/d/1-uDff_7J0KD5mKrp0Vvzr7lt3OU09vwQwhkpOPPYv2Y/edit?usp=sharing"",""งบพรบ!DU100"")"),0)</f>
        <v>0</v>
      </c>
      <c r="J100" s="93">
        <f t="shared" ca="1" si="55"/>
        <v>0</v>
      </c>
      <c r="K100" s="94">
        <f t="shared" ca="1" si="56"/>
        <v>0</v>
      </c>
      <c r="L100" s="93">
        <f ca="1">IFERROR(__xludf.DUMMYFUNCTION("IMPORTRANGE(""https://docs.google.com/spreadsheets/d/1-uDff_7J0KD5mKrp0Vvzr7lt3OU09vwQwhkpOPPYv2Y/edit?usp=sharing"",""งบพรบ!DV100"")"),0)</f>
        <v>0</v>
      </c>
      <c r="M100" s="95">
        <f t="shared" ca="1" si="57"/>
        <v>0</v>
      </c>
      <c r="N100" s="95">
        <f t="shared" ca="1" si="58"/>
        <v>0</v>
      </c>
      <c r="O100" s="96">
        <f ca="1">IFERROR(__xludf.DUMMYFUNCTION("IMPORTRANGE(""https://docs.google.com/spreadsheets/d/1-uDff_7J0KD5mKrp0Vvzr7lt3OU09vwQwhkpOPPYv2Y/edit?usp=sharing"",""งบพรบ!DW100"")"),0)</f>
        <v>0</v>
      </c>
      <c r="P100" s="96">
        <f t="shared" ca="1" si="59"/>
        <v>0</v>
      </c>
      <c r="Q100" s="95">
        <f t="shared" ca="1" si="60"/>
        <v>0</v>
      </c>
      <c r="R100" s="329"/>
      <c r="S100" s="329"/>
      <c r="T100" s="330"/>
      <c r="U100" s="329"/>
      <c r="V100" s="329"/>
      <c r="W100" s="330"/>
      <c r="X100" s="329"/>
      <c r="Y100" s="329"/>
      <c r="Z100" s="330"/>
      <c r="AA100" s="329"/>
      <c r="AB100" s="330"/>
    </row>
    <row r="101" spans="1:28" ht="24" hidden="1" customHeight="1" x14ac:dyDescent="0.3">
      <c r="A101" s="201"/>
      <c r="B101" s="129" t="s">
        <v>127</v>
      </c>
      <c r="C101" s="202">
        <f t="shared" ca="1" si="53"/>
        <v>685000</v>
      </c>
      <c r="D101" s="203">
        <f t="shared" ca="1" si="54"/>
        <v>685000</v>
      </c>
      <c r="E101" s="93">
        <f ca="1">IFERROR(__xludf.DUMMYFUNCTION("IMPORTRANGE(""https://docs.google.com/spreadsheets/d/1-uDff_7J0KD5mKrp0Vvzr7lt3OU09vwQwhkpOPPYv2Y/edit?usp=sharing"",""งบพรบ!DP101"")"),100800)</f>
        <v>100800</v>
      </c>
      <c r="F101" s="93">
        <f ca="1">IFERROR(__xludf.DUMMYFUNCTION("IMPORTRANGE(""https://docs.google.com/spreadsheets/d/1-uDff_7J0KD5mKrp0Vvzr7lt3OU09vwQwhkpOPPYv2Y/edit?usp=sharing"",""งบพรบ!DQ101"")"),584200)</f>
        <v>584200</v>
      </c>
      <c r="G101" s="93">
        <f ca="1">IFERROR(__xludf.DUMMYFUNCTION("IMPORTRANGE(""https://docs.google.com/spreadsheets/d/1-uDff_7J0KD5mKrp0Vvzr7lt3OU09vwQwhkpOPPYv2Y/edit?usp=sharing"",""งบพรบ!DR101"")"),0)</f>
        <v>0</v>
      </c>
      <c r="H101" s="93">
        <f ca="1">IFERROR(__xludf.DUMMYFUNCTION("IMPORTRANGE(""https://docs.google.com/spreadsheets/d/1-uDff_7J0KD5mKrp0Vvzr7lt3OU09vwQwhkpOPPYv2Y/edit?usp=sharing"",""งบพรบ!DT101"")"),724500)</f>
        <v>724500</v>
      </c>
      <c r="I101" s="93">
        <f ca="1">IFERROR(__xludf.DUMMYFUNCTION("IMPORTRANGE(""https://docs.google.com/spreadsheets/d/1-uDff_7J0KD5mKrp0Vvzr7lt3OU09vwQwhkpOPPYv2Y/edit?usp=sharing"",""งบพรบ!DU101"")"),0)</f>
        <v>0</v>
      </c>
      <c r="J101" s="93">
        <f t="shared" ca="1" si="55"/>
        <v>123128.11</v>
      </c>
      <c r="K101" s="94">
        <f t="shared" ca="1" si="56"/>
        <v>17.974906569343066</v>
      </c>
      <c r="L101" s="93">
        <f ca="1">IFERROR(__xludf.DUMMYFUNCTION("IMPORTRANGE(""https://docs.google.com/spreadsheets/d/1-uDff_7J0KD5mKrp0Vvzr7lt3OU09vwQwhkpOPPYv2Y/edit?usp=sharing"",""งบพรบ!DV101"")"),123128.11)</f>
        <v>123128.11</v>
      </c>
      <c r="M101" s="95">
        <f t="shared" ca="1" si="57"/>
        <v>17.974906569343066</v>
      </c>
      <c r="N101" s="95">
        <f t="shared" ca="1" si="58"/>
        <v>16.994908212560386</v>
      </c>
      <c r="O101" s="96">
        <f ca="1">IFERROR(__xludf.DUMMYFUNCTION("IMPORTRANGE(""https://docs.google.com/spreadsheets/d/1-uDff_7J0KD5mKrp0Vvzr7lt3OU09vwQwhkpOPPYv2Y/edit?usp=sharing"",""งบพรบ!DW101"")"),0)</f>
        <v>0</v>
      </c>
      <c r="P101" s="96">
        <f t="shared" ca="1" si="59"/>
        <v>0</v>
      </c>
      <c r="Q101" s="95">
        <f t="shared" ca="1" si="60"/>
        <v>0</v>
      </c>
      <c r="R101" s="329"/>
      <c r="S101" s="329"/>
      <c r="T101" s="330"/>
      <c r="U101" s="329"/>
      <c r="V101" s="329"/>
      <c r="W101" s="330"/>
      <c r="X101" s="329"/>
      <c r="Y101" s="329"/>
      <c r="Z101" s="330"/>
      <c r="AA101" s="329"/>
      <c r="AB101" s="330"/>
    </row>
    <row r="102" spans="1:28" ht="24" hidden="1" customHeight="1" x14ac:dyDescent="0.3">
      <c r="A102" s="201"/>
      <c r="B102" s="129" t="s">
        <v>128</v>
      </c>
      <c r="C102" s="202">
        <f t="shared" ca="1" si="53"/>
        <v>0</v>
      </c>
      <c r="D102" s="203">
        <f t="shared" ca="1" si="54"/>
        <v>0</v>
      </c>
      <c r="E102" s="93">
        <f ca="1">IFERROR(__xludf.DUMMYFUNCTION("IMPORTRANGE(""https://docs.google.com/spreadsheets/d/1-uDff_7J0KD5mKrp0Vvzr7lt3OU09vwQwhkpOPPYv2Y/edit?usp=sharing"",""งบพรบ!DP102"")"),0)</f>
        <v>0</v>
      </c>
      <c r="F102" s="93">
        <f ca="1">IFERROR(__xludf.DUMMYFUNCTION("IMPORTRANGE(""https://docs.google.com/spreadsheets/d/1-uDff_7J0KD5mKrp0Vvzr7lt3OU09vwQwhkpOPPYv2Y/edit?usp=sharing"",""งบพรบ!DQ102"")"),0)</f>
        <v>0</v>
      </c>
      <c r="G102" s="93">
        <f ca="1">IFERROR(__xludf.DUMMYFUNCTION("IMPORTRANGE(""https://docs.google.com/spreadsheets/d/1-uDff_7J0KD5mKrp0Vvzr7lt3OU09vwQwhkpOPPYv2Y/edit?usp=sharing"",""งบพรบ!DR102"")"),0)</f>
        <v>0</v>
      </c>
      <c r="H102" s="93">
        <f ca="1">IFERROR(__xludf.DUMMYFUNCTION("IMPORTRANGE(""https://docs.google.com/spreadsheets/d/1-uDff_7J0KD5mKrp0Vvzr7lt3OU09vwQwhkpOPPYv2Y/edit?usp=sharing"",""งบพรบ!DT102"")"),0)</f>
        <v>0</v>
      </c>
      <c r="I102" s="93">
        <f ca="1">IFERROR(__xludf.DUMMYFUNCTION("IMPORTRANGE(""https://docs.google.com/spreadsheets/d/1-uDff_7J0KD5mKrp0Vvzr7lt3OU09vwQwhkpOPPYv2Y/edit?usp=sharing"",""งบพรบ!DU102"")"),0)</f>
        <v>0</v>
      </c>
      <c r="J102" s="93">
        <f t="shared" ca="1" si="55"/>
        <v>0</v>
      </c>
      <c r="K102" s="94">
        <f t="shared" ca="1" si="56"/>
        <v>0</v>
      </c>
      <c r="L102" s="93">
        <f ca="1">IFERROR(__xludf.DUMMYFUNCTION("IMPORTRANGE(""https://docs.google.com/spreadsheets/d/1-uDff_7J0KD5mKrp0Vvzr7lt3OU09vwQwhkpOPPYv2Y/edit?usp=sharing"",""งบพรบ!DV102"")"),0)</f>
        <v>0</v>
      </c>
      <c r="M102" s="95">
        <f t="shared" ca="1" si="57"/>
        <v>0</v>
      </c>
      <c r="N102" s="95">
        <f t="shared" ca="1" si="58"/>
        <v>0</v>
      </c>
      <c r="O102" s="96">
        <f ca="1">IFERROR(__xludf.DUMMYFUNCTION("IMPORTRANGE(""https://docs.google.com/spreadsheets/d/1-uDff_7J0KD5mKrp0Vvzr7lt3OU09vwQwhkpOPPYv2Y/edit?usp=sharing"",""งบพรบ!DW102"")"),0)</f>
        <v>0</v>
      </c>
      <c r="P102" s="96">
        <f t="shared" ca="1" si="59"/>
        <v>0</v>
      </c>
      <c r="Q102" s="95">
        <f t="shared" ca="1" si="60"/>
        <v>0</v>
      </c>
      <c r="R102" s="329"/>
      <c r="S102" s="329"/>
      <c r="T102" s="330"/>
      <c r="U102" s="329"/>
      <c r="V102" s="329"/>
      <c r="W102" s="330"/>
      <c r="X102" s="329"/>
      <c r="Y102" s="329"/>
      <c r="Z102" s="330"/>
      <c r="AA102" s="329"/>
      <c r="AB102" s="330"/>
    </row>
    <row r="103" spans="1:28" ht="24" hidden="1" customHeight="1" x14ac:dyDescent="0.3">
      <c r="A103" s="201"/>
      <c r="B103" s="129" t="s">
        <v>129</v>
      </c>
      <c r="C103" s="202">
        <f t="shared" ca="1" si="53"/>
        <v>0</v>
      </c>
      <c r="D103" s="203">
        <f t="shared" ca="1" si="54"/>
        <v>0</v>
      </c>
      <c r="E103" s="93">
        <f ca="1">IFERROR(__xludf.DUMMYFUNCTION("IMPORTRANGE(""https://docs.google.com/spreadsheets/d/1-uDff_7J0KD5mKrp0Vvzr7lt3OU09vwQwhkpOPPYv2Y/edit?usp=sharing"",""งบพรบ!DP103"")"),0)</f>
        <v>0</v>
      </c>
      <c r="F103" s="93">
        <f ca="1">IFERROR(__xludf.DUMMYFUNCTION("IMPORTRANGE(""https://docs.google.com/spreadsheets/d/1-uDff_7J0KD5mKrp0Vvzr7lt3OU09vwQwhkpOPPYv2Y/edit?usp=sharing"",""งบพรบ!DQ103"")"),0)</f>
        <v>0</v>
      </c>
      <c r="G103" s="93">
        <f ca="1">IFERROR(__xludf.DUMMYFUNCTION("IMPORTRANGE(""https://docs.google.com/spreadsheets/d/1-uDff_7J0KD5mKrp0Vvzr7lt3OU09vwQwhkpOPPYv2Y/edit?usp=sharing"",""งบพรบ!DR103"")"),0)</f>
        <v>0</v>
      </c>
      <c r="H103" s="93">
        <f ca="1">IFERROR(__xludf.DUMMYFUNCTION("IMPORTRANGE(""https://docs.google.com/spreadsheets/d/1-uDff_7J0KD5mKrp0Vvzr7lt3OU09vwQwhkpOPPYv2Y/edit?usp=sharing"",""งบพรบ!DT103"")"),0)</f>
        <v>0</v>
      </c>
      <c r="I103" s="93">
        <f ca="1">IFERROR(__xludf.DUMMYFUNCTION("IMPORTRANGE(""https://docs.google.com/spreadsheets/d/1-uDff_7J0KD5mKrp0Vvzr7lt3OU09vwQwhkpOPPYv2Y/edit?usp=sharing"",""งบพรบ!DU103"")"),0)</f>
        <v>0</v>
      </c>
      <c r="J103" s="93">
        <f t="shared" ca="1" si="55"/>
        <v>0</v>
      </c>
      <c r="K103" s="94">
        <f t="shared" ca="1" si="56"/>
        <v>0</v>
      </c>
      <c r="L103" s="93">
        <f ca="1">IFERROR(__xludf.DUMMYFUNCTION("IMPORTRANGE(""https://docs.google.com/spreadsheets/d/1-uDff_7J0KD5mKrp0Vvzr7lt3OU09vwQwhkpOPPYv2Y/edit?usp=sharing"",""งบพรบ!DV103"")"),0)</f>
        <v>0</v>
      </c>
      <c r="M103" s="95">
        <f t="shared" ca="1" si="57"/>
        <v>0</v>
      </c>
      <c r="N103" s="95">
        <f t="shared" ca="1" si="58"/>
        <v>0</v>
      </c>
      <c r="O103" s="96">
        <f ca="1">IFERROR(__xludf.DUMMYFUNCTION("IMPORTRANGE(""https://docs.google.com/spreadsheets/d/1-uDff_7J0KD5mKrp0Vvzr7lt3OU09vwQwhkpOPPYv2Y/edit?usp=sharing"",""งบพรบ!DW103"")"),0)</f>
        <v>0</v>
      </c>
      <c r="P103" s="96">
        <f t="shared" ca="1" si="59"/>
        <v>0</v>
      </c>
      <c r="Q103" s="95">
        <f t="shared" ca="1" si="60"/>
        <v>0</v>
      </c>
      <c r="R103" s="331"/>
      <c r="S103" s="331"/>
      <c r="T103" s="332"/>
      <c r="U103" s="331"/>
      <c r="V103" s="331"/>
      <c r="W103" s="332"/>
      <c r="X103" s="331"/>
      <c r="Y103" s="331"/>
      <c r="Z103" s="332"/>
      <c r="AA103" s="331"/>
      <c r="AB103" s="332"/>
    </row>
    <row r="104" spans="1:28" ht="24" hidden="1" customHeight="1" x14ac:dyDescent="0.3">
      <c r="A104" s="201"/>
      <c r="B104" s="129" t="s">
        <v>130</v>
      </c>
      <c r="C104" s="202">
        <f t="shared" ca="1" si="53"/>
        <v>539200</v>
      </c>
      <c r="D104" s="203">
        <f t="shared" ca="1" si="54"/>
        <v>539200</v>
      </c>
      <c r="E104" s="93">
        <f ca="1">IFERROR(__xludf.DUMMYFUNCTION("IMPORTRANGE(""https://docs.google.com/spreadsheets/d/1-uDff_7J0KD5mKrp0Vvzr7lt3OU09vwQwhkpOPPYv2Y/edit?usp=sharing"",""งบพรบ!DP104"")"),539200)</f>
        <v>539200</v>
      </c>
      <c r="F104" s="93">
        <f ca="1">IFERROR(__xludf.DUMMYFUNCTION("IMPORTRANGE(""https://docs.google.com/spreadsheets/d/1-uDff_7J0KD5mKrp0Vvzr7lt3OU09vwQwhkpOPPYv2Y/edit?usp=sharing"",""งบพรบ!DQ104"")"),0)</f>
        <v>0</v>
      </c>
      <c r="G104" s="93">
        <f ca="1">IFERROR(__xludf.DUMMYFUNCTION("IMPORTRANGE(""https://docs.google.com/spreadsheets/d/1-uDff_7J0KD5mKrp0Vvzr7lt3OU09vwQwhkpOPPYv2Y/edit?usp=sharing"",""งบพรบ!DR104"")"),0)</f>
        <v>0</v>
      </c>
      <c r="H104" s="93">
        <f ca="1">IFERROR(__xludf.DUMMYFUNCTION("IMPORTRANGE(""https://docs.google.com/spreadsheets/d/1-uDff_7J0KD5mKrp0Vvzr7lt3OU09vwQwhkpOPPYv2Y/edit?usp=sharing"",""งบพรบ!DT104"")"),439200)</f>
        <v>439200</v>
      </c>
      <c r="I104" s="93">
        <f ca="1">IFERROR(__xludf.DUMMYFUNCTION("IMPORTRANGE(""https://docs.google.com/spreadsheets/d/1-uDff_7J0KD5mKrp0Vvzr7lt3OU09vwQwhkpOPPYv2Y/edit?usp=sharing"",""งบพรบ!DU104"")"),0)</f>
        <v>0</v>
      </c>
      <c r="J104" s="93">
        <f t="shared" ca="1" si="55"/>
        <v>150000</v>
      </c>
      <c r="K104" s="94">
        <f t="shared" ca="1" si="56"/>
        <v>27.818991097922847</v>
      </c>
      <c r="L104" s="93">
        <f ca="1">IFERROR(__xludf.DUMMYFUNCTION("IMPORTRANGE(""https://docs.google.com/spreadsheets/d/1-uDff_7J0KD5mKrp0Vvzr7lt3OU09vwQwhkpOPPYv2Y/edit?usp=sharing"",""งบพรบ!DV104"")"),150000)</f>
        <v>150000</v>
      </c>
      <c r="M104" s="95">
        <f t="shared" ca="1" si="57"/>
        <v>27.818991097922847</v>
      </c>
      <c r="N104" s="95">
        <f t="shared" ca="1" si="58"/>
        <v>34.153005464480877</v>
      </c>
      <c r="O104" s="96">
        <f ca="1">IFERROR(__xludf.DUMMYFUNCTION("IMPORTRANGE(""https://docs.google.com/spreadsheets/d/1-uDff_7J0KD5mKrp0Vvzr7lt3OU09vwQwhkpOPPYv2Y/edit?usp=sharing"",""งบพรบ!DW104"")"),0)</f>
        <v>0</v>
      </c>
      <c r="P104" s="96">
        <f t="shared" ca="1" si="59"/>
        <v>0</v>
      </c>
      <c r="Q104" s="95">
        <f t="shared" ca="1" si="60"/>
        <v>0</v>
      </c>
      <c r="R104" s="329"/>
      <c r="S104" s="329"/>
      <c r="T104" s="330"/>
      <c r="U104" s="329"/>
      <c r="V104" s="329"/>
      <c r="W104" s="330"/>
      <c r="X104" s="329"/>
      <c r="Y104" s="329"/>
      <c r="Z104" s="330"/>
      <c r="AA104" s="329"/>
      <c r="AB104" s="330"/>
    </row>
    <row r="105" spans="1:28" ht="24" hidden="1" customHeight="1" x14ac:dyDescent="0.3">
      <c r="A105" s="201"/>
      <c r="B105" s="133" t="s">
        <v>131</v>
      </c>
      <c r="C105" s="202" t="e">
        <f t="shared" ca="1" si="53"/>
        <v>#VALUE!</v>
      </c>
      <c r="D105" s="203">
        <f t="shared" ca="1" si="54"/>
        <v>0</v>
      </c>
      <c r="E105" s="93">
        <f ca="1">IFERROR(__xludf.DUMMYFUNCTION("IMPORTRANGE(""https://docs.google.com/spreadsheets/d/1-uDff_7J0KD5mKrp0Vvzr7lt3OU09vwQwhkpOPPYv2Y/edit?usp=sharing"",""งบพรบ!DP105"")"),0)</f>
        <v>0</v>
      </c>
      <c r="F105" s="93">
        <f ca="1">IFERROR(__xludf.DUMMYFUNCTION("IMPORTRANGE(""https://docs.google.com/spreadsheets/d/1-uDff_7J0KD5mKrp0Vvzr7lt3OU09vwQwhkpOPPYv2Y/edit?usp=sharing"",""งบพรบ!DQ105"")"),0)</f>
        <v>0</v>
      </c>
      <c r="G105" s="93" t="str">
        <f ca="1">IFERROR(__xludf.DUMMYFUNCTION("IMPORTRANGE(""https://docs.google.com/spreadsheets/d/1-uDff_7J0KD5mKrp0Vvzr7lt3OU09vwQwhkpOPPYv2Y/edit?usp=sharing"",""งบพรบ!DR105"")"),"")</f>
        <v/>
      </c>
      <c r="H105" s="93">
        <f ca="1">IFERROR(__xludf.DUMMYFUNCTION("IMPORTRANGE(""https://docs.google.com/spreadsheets/d/1-uDff_7J0KD5mKrp0Vvzr7lt3OU09vwQwhkpOPPYv2Y/edit?usp=sharing"",""งบพรบ!DT105"")"),0)</f>
        <v>0</v>
      </c>
      <c r="I105" s="93">
        <f ca="1">IFERROR(__xludf.DUMMYFUNCTION("IMPORTRANGE(""https://docs.google.com/spreadsheets/d/1-uDff_7J0KD5mKrp0Vvzr7lt3OU09vwQwhkpOPPYv2Y/edit?usp=sharing"",""งบพรบ!DU105"")"),0)</f>
        <v>0</v>
      </c>
      <c r="J105" s="93">
        <f t="shared" ca="1" si="55"/>
        <v>0</v>
      </c>
      <c r="K105" s="94" t="e">
        <f t="shared" ca="1" si="56"/>
        <v>#VALUE!</v>
      </c>
      <c r="L105" s="93">
        <f ca="1">IFERROR(__xludf.DUMMYFUNCTION("IMPORTRANGE(""https://docs.google.com/spreadsheets/d/1-uDff_7J0KD5mKrp0Vvzr7lt3OU09vwQwhkpOPPYv2Y/edit?usp=sharing"",""งบพรบ!DV105"")"),0)</f>
        <v>0</v>
      </c>
      <c r="M105" s="95">
        <f t="shared" ca="1" si="57"/>
        <v>0</v>
      </c>
      <c r="N105" s="95">
        <f t="shared" ca="1" si="58"/>
        <v>0</v>
      </c>
      <c r="O105" s="96">
        <f ca="1">IFERROR(__xludf.DUMMYFUNCTION("IMPORTRANGE(""https://docs.google.com/spreadsheets/d/1-uDff_7J0KD5mKrp0Vvzr7lt3OU09vwQwhkpOPPYv2Y/edit?usp=sharing"",""งบพรบ!DW105"")"),0)</f>
        <v>0</v>
      </c>
      <c r="P105" s="96" t="e">
        <f t="shared" ca="1" si="59"/>
        <v>#VALUE!</v>
      </c>
      <c r="Q105" s="95">
        <f t="shared" ca="1" si="60"/>
        <v>0</v>
      </c>
      <c r="R105" s="333"/>
      <c r="S105" s="333"/>
      <c r="T105" s="333"/>
      <c r="U105" s="333"/>
      <c r="V105" s="333"/>
      <c r="W105" s="333"/>
      <c r="X105" s="333"/>
      <c r="Y105" s="333"/>
      <c r="Z105" s="333"/>
      <c r="AA105" s="333"/>
      <c r="AB105" s="333"/>
    </row>
    <row r="106" spans="1:28" ht="24" hidden="1" customHeight="1" x14ac:dyDescent="0.3">
      <c r="A106" s="205"/>
      <c r="B106" s="137" t="s">
        <v>132</v>
      </c>
      <c r="C106" s="206" t="e">
        <f t="shared" ca="1" si="53"/>
        <v>#VALUE!</v>
      </c>
      <c r="D106" s="207">
        <f t="shared" ca="1" si="54"/>
        <v>0</v>
      </c>
      <c r="E106" s="104">
        <f ca="1">IFERROR(__xludf.DUMMYFUNCTION("IMPORTRANGE(""https://docs.google.com/spreadsheets/d/1-uDff_7J0KD5mKrp0Vvzr7lt3OU09vwQwhkpOPPYv2Y/edit?usp=sharing"",""งบพรบ!DP106"")"),0)</f>
        <v>0</v>
      </c>
      <c r="F106" s="104">
        <f ca="1">IFERROR(__xludf.DUMMYFUNCTION("IMPORTRANGE(""https://docs.google.com/spreadsheets/d/1-uDff_7J0KD5mKrp0Vvzr7lt3OU09vwQwhkpOPPYv2Y/edit?usp=sharing"",""งบพรบ!DQ106"")"),0)</f>
        <v>0</v>
      </c>
      <c r="G106" s="104" t="str">
        <f ca="1">IFERROR(__xludf.DUMMYFUNCTION("IMPORTRANGE(""https://docs.google.com/spreadsheets/d/1-uDff_7J0KD5mKrp0Vvzr7lt3OU09vwQwhkpOPPYv2Y/edit?usp=sharing"",""งบพรบ!DR106"")"),"")</f>
        <v/>
      </c>
      <c r="H106" s="104">
        <f ca="1">IFERROR(__xludf.DUMMYFUNCTION("IMPORTRANGE(""https://docs.google.com/spreadsheets/d/1-uDff_7J0KD5mKrp0Vvzr7lt3OU09vwQwhkpOPPYv2Y/edit?usp=sharing"",""งบพรบ!DT106"")"),0)</f>
        <v>0</v>
      </c>
      <c r="I106" s="104">
        <f ca="1">IFERROR(__xludf.DUMMYFUNCTION("IMPORTRANGE(""https://docs.google.com/spreadsheets/d/1-uDff_7J0KD5mKrp0Vvzr7lt3OU09vwQwhkpOPPYv2Y/edit?usp=sharing"",""งบพรบ!DU106"")"),0)</f>
        <v>0</v>
      </c>
      <c r="J106" s="104">
        <f t="shared" ca="1" si="55"/>
        <v>0</v>
      </c>
      <c r="K106" s="105" t="e">
        <f t="shared" ca="1" si="56"/>
        <v>#VALUE!</v>
      </c>
      <c r="L106" s="104">
        <f ca="1">IFERROR(__xludf.DUMMYFUNCTION("IMPORTRANGE(""https://docs.google.com/spreadsheets/d/1-uDff_7J0KD5mKrp0Vvzr7lt3OU09vwQwhkpOPPYv2Y/edit?usp=sharing"",""งบพรบ!DV106"")"),0)</f>
        <v>0</v>
      </c>
      <c r="M106" s="106">
        <f t="shared" ca="1" si="57"/>
        <v>0</v>
      </c>
      <c r="N106" s="106">
        <f t="shared" ca="1" si="58"/>
        <v>0</v>
      </c>
      <c r="O106" s="107">
        <f ca="1">IFERROR(__xludf.DUMMYFUNCTION("IMPORTRANGE(""https://docs.google.com/spreadsheets/d/1-uDff_7J0KD5mKrp0Vvzr7lt3OU09vwQwhkpOPPYv2Y/edit?usp=sharing"",""งบพรบ!DW106"")"),0)</f>
        <v>0</v>
      </c>
      <c r="P106" s="107" t="e">
        <f t="shared" ca="1" si="59"/>
        <v>#VALUE!</v>
      </c>
      <c r="Q106" s="106">
        <f t="shared" ca="1" si="60"/>
        <v>0</v>
      </c>
      <c r="R106" s="334"/>
      <c r="S106" s="334"/>
      <c r="T106" s="334"/>
      <c r="U106" s="334"/>
      <c r="V106" s="334"/>
      <c r="W106" s="334"/>
      <c r="X106" s="334"/>
      <c r="Y106" s="334"/>
      <c r="Z106" s="334"/>
      <c r="AA106" s="334"/>
      <c r="AB106" s="334"/>
    </row>
  </sheetData>
  <mergeCells count="27">
    <mergeCell ref="S5:T5"/>
    <mergeCell ref="V5:W5"/>
    <mergeCell ref="Y5:Z5"/>
    <mergeCell ref="AA5:AB5"/>
    <mergeCell ref="A2:B6"/>
    <mergeCell ref="C2:AB2"/>
    <mergeCell ref="C3:Q3"/>
    <mergeCell ref="R3:T4"/>
    <mergeCell ref="U3:W4"/>
    <mergeCell ref="X3:AB4"/>
    <mergeCell ref="C4:G4"/>
    <mergeCell ref="H4:I4"/>
    <mergeCell ref="J4:Q4"/>
    <mergeCell ref="C5:C6"/>
    <mergeCell ref="D5:D6"/>
    <mergeCell ref="L5:N5"/>
    <mergeCell ref="A13:B13"/>
    <mergeCell ref="A31:B31"/>
    <mergeCell ref="A52:B52"/>
    <mergeCell ref="A74:B74"/>
    <mergeCell ref="A89:B89"/>
    <mergeCell ref="O5:Q5"/>
    <mergeCell ref="A7:B7"/>
    <mergeCell ref="E5:E6"/>
    <mergeCell ref="F5:F6"/>
    <mergeCell ref="G5:G6"/>
    <mergeCell ref="J5:K5"/>
  </mergeCells>
  <printOptions horizontalCentered="1"/>
  <pageMargins left="0.23622047244094491" right="0.23622047244094491" top="0.55118110236220474" bottom="0.55118110236220474" header="0" footer="0"/>
  <pageSetup paperSize="9" scale="35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  <outlinePr summaryBelow="0" summaryRight="0"/>
    <pageSetUpPr fitToPage="1"/>
  </sheetPr>
  <dimension ref="A1:AI106"/>
  <sheetViews>
    <sheetView view="pageBreakPreview" zoomScale="60" zoomScaleNormal="40" workbookViewId="0">
      <pane xSplit="2" ySplit="7" topLeftCell="C8" activePane="bottomRight" state="frozen"/>
      <selection activeCell="A13" sqref="A13:B13"/>
      <selection pane="topRight" activeCell="A13" sqref="A13:B13"/>
      <selection pane="bottomLeft" activeCell="A13" sqref="A13:B13"/>
      <selection pane="bottomRight" activeCell="J27" sqref="J27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16.85546875" bestFit="1" customWidth="1"/>
    <col min="4" max="4" width="16.7109375" bestFit="1" customWidth="1"/>
    <col min="5" max="5" width="16.85546875" bestFit="1" customWidth="1"/>
    <col min="6" max="6" width="16.5703125" bestFit="1" customWidth="1"/>
    <col min="7" max="7" width="13.42578125" bestFit="1" customWidth="1"/>
    <col min="8" max="8" width="20.140625" bestFit="1" customWidth="1"/>
    <col min="9" max="9" width="13.7109375" bestFit="1" customWidth="1"/>
    <col min="10" max="10" width="16.5703125" bestFit="1" customWidth="1"/>
    <col min="11" max="11" width="11" bestFit="1" customWidth="1"/>
    <col min="12" max="12" width="16.5703125" bestFit="1" customWidth="1"/>
    <col min="13" max="14" width="10.85546875" bestFit="1" customWidth="1"/>
    <col min="15" max="15" width="8.42578125" bestFit="1" customWidth="1"/>
    <col min="16" max="16" width="10.140625" customWidth="1"/>
    <col min="17" max="17" width="11.7109375" customWidth="1"/>
    <col min="18" max="18" width="18" bestFit="1" customWidth="1"/>
    <col min="19" max="19" width="11" bestFit="1" customWidth="1"/>
    <col min="20" max="20" width="12.42578125" bestFit="1" customWidth="1"/>
    <col min="21" max="21" width="10.7109375" bestFit="1" customWidth="1"/>
    <col min="22" max="22" width="12" bestFit="1" customWidth="1"/>
    <col min="23" max="23" width="12.5703125" hidden="1" customWidth="1"/>
    <col min="27" max="35" width="12.5703125" hidden="1"/>
  </cols>
  <sheetData>
    <row r="1" spans="1:35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335"/>
      <c r="Y1" s="335"/>
      <c r="Z1" s="141"/>
      <c r="AA1" s="335"/>
      <c r="AB1" s="335"/>
      <c r="AC1" s="141"/>
      <c r="AD1" s="335"/>
      <c r="AE1" s="335"/>
      <c r="AF1" s="141"/>
      <c r="AG1" s="335"/>
      <c r="AH1" s="335"/>
      <c r="AI1" s="141"/>
    </row>
    <row r="2" spans="1:35" ht="24" customHeight="1" x14ac:dyDescent="0.2">
      <c r="A2" s="616" t="s">
        <v>1</v>
      </c>
      <c r="B2" s="617"/>
      <c r="C2" s="600" t="s">
        <v>194</v>
      </c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2"/>
    </row>
    <row r="3" spans="1:35" ht="30" customHeight="1" x14ac:dyDescent="0.2">
      <c r="A3" s="618"/>
      <c r="B3" s="619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653" t="s">
        <v>4</v>
      </c>
      <c r="S3" s="598"/>
      <c r="T3" s="598"/>
      <c r="U3" s="598"/>
      <c r="V3" s="598"/>
      <c r="W3" s="667" t="s">
        <v>195</v>
      </c>
      <c r="X3" s="643" t="s">
        <v>5</v>
      </c>
      <c r="Y3" s="585"/>
      <c r="Z3" s="607"/>
      <c r="AA3" s="669" t="s">
        <v>196</v>
      </c>
      <c r="AB3" s="585"/>
      <c r="AC3" s="607"/>
      <c r="AD3" s="669" t="s">
        <v>6</v>
      </c>
      <c r="AE3" s="585"/>
      <c r="AF3" s="607"/>
      <c r="AG3" s="670" t="s">
        <v>197</v>
      </c>
      <c r="AH3" s="585"/>
      <c r="AI3" s="607"/>
    </row>
    <row r="4" spans="1:35" ht="30" customHeight="1" x14ac:dyDescent="0.2">
      <c r="A4" s="618"/>
      <c r="B4" s="619"/>
      <c r="C4" s="609" t="s">
        <v>7</v>
      </c>
      <c r="D4" s="598"/>
      <c r="E4" s="598"/>
      <c r="F4" s="598"/>
      <c r="G4" s="583"/>
      <c r="H4" s="612" t="s">
        <v>8</v>
      </c>
      <c r="I4" s="583"/>
      <c r="J4" s="613" t="s">
        <v>9</v>
      </c>
      <c r="K4" s="598"/>
      <c r="L4" s="598"/>
      <c r="M4" s="598"/>
      <c r="N4" s="598"/>
      <c r="O4" s="598"/>
      <c r="P4" s="598"/>
      <c r="Q4" s="583"/>
      <c r="R4" s="760" t="s">
        <v>10</v>
      </c>
      <c r="S4" s="761" t="s">
        <v>11</v>
      </c>
      <c r="T4" s="762" t="s">
        <v>12</v>
      </c>
      <c r="U4" s="763" t="s">
        <v>13</v>
      </c>
      <c r="V4" s="763" t="s">
        <v>14</v>
      </c>
      <c r="W4" s="668"/>
      <c r="X4" s="641"/>
      <c r="Y4" s="592"/>
      <c r="Z4" s="593"/>
      <c r="AA4" s="641"/>
      <c r="AB4" s="592"/>
      <c r="AC4" s="593"/>
      <c r="AD4" s="641"/>
      <c r="AE4" s="592"/>
      <c r="AF4" s="593"/>
      <c r="AG4" s="641"/>
      <c r="AH4" s="592"/>
      <c r="AI4" s="593"/>
    </row>
    <row r="5" spans="1:35" ht="24" customHeight="1" x14ac:dyDescent="0.3">
      <c r="A5" s="618"/>
      <c r="B5" s="619"/>
      <c r="C5" s="726" t="s">
        <v>19</v>
      </c>
      <c r="D5" s="727" t="s">
        <v>20</v>
      </c>
      <c r="E5" s="728" t="s">
        <v>21</v>
      </c>
      <c r="F5" s="729" t="s">
        <v>22</v>
      </c>
      <c r="G5" s="730" t="s">
        <v>23</v>
      </c>
      <c r="H5" s="6" t="s">
        <v>24</v>
      </c>
      <c r="I5" s="6" t="s">
        <v>25</v>
      </c>
      <c r="J5" s="589" t="s">
        <v>26</v>
      </c>
      <c r="K5" s="590"/>
      <c r="L5" s="591" t="s">
        <v>24</v>
      </c>
      <c r="M5" s="592"/>
      <c r="N5" s="593"/>
      <c r="O5" s="611" t="s">
        <v>25</v>
      </c>
      <c r="P5" s="592"/>
      <c r="Q5" s="593"/>
      <c r="R5" s="764"/>
      <c r="S5" s="765"/>
      <c r="T5" s="765"/>
      <c r="U5" s="766"/>
      <c r="V5" s="766"/>
      <c r="W5" s="336" t="s">
        <v>28</v>
      </c>
      <c r="X5" s="337" t="s">
        <v>27</v>
      </c>
      <c r="Y5" s="654" t="s">
        <v>28</v>
      </c>
      <c r="Z5" s="593"/>
      <c r="AA5" s="337" t="s">
        <v>27</v>
      </c>
      <c r="AB5" s="654" t="s">
        <v>28</v>
      </c>
      <c r="AC5" s="593"/>
      <c r="AD5" s="338"/>
      <c r="AE5" s="654" t="s">
        <v>28</v>
      </c>
      <c r="AF5" s="593"/>
      <c r="AG5" s="337" t="s">
        <v>27</v>
      </c>
      <c r="AH5" s="654" t="s">
        <v>28</v>
      </c>
      <c r="AI5" s="593"/>
    </row>
    <row r="6" spans="1:35" ht="46.5" customHeight="1" x14ac:dyDescent="0.3">
      <c r="A6" s="620"/>
      <c r="B6" s="621"/>
      <c r="C6" s="731"/>
      <c r="D6" s="732"/>
      <c r="E6" s="732"/>
      <c r="F6" s="732"/>
      <c r="G6" s="732"/>
      <c r="H6" s="6"/>
      <c r="I6" s="6"/>
      <c r="J6" s="739" t="s">
        <v>29</v>
      </c>
      <c r="K6" s="740" t="s">
        <v>30</v>
      </c>
      <c r="L6" s="739" t="s">
        <v>29</v>
      </c>
      <c r="M6" s="741" t="s">
        <v>31</v>
      </c>
      <c r="N6" s="742" t="s">
        <v>32</v>
      </c>
      <c r="O6" s="743" t="s">
        <v>29</v>
      </c>
      <c r="P6" s="741" t="s">
        <v>31</v>
      </c>
      <c r="Q6" s="742" t="s">
        <v>32</v>
      </c>
      <c r="R6" s="767"/>
      <c r="S6" s="768"/>
      <c r="T6" s="768"/>
      <c r="U6" s="769"/>
      <c r="V6" s="769"/>
      <c r="W6" s="12" t="s">
        <v>34</v>
      </c>
      <c r="X6" s="339" t="s">
        <v>34</v>
      </c>
      <c r="Y6" s="340" t="s">
        <v>34</v>
      </c>
      <c r="Z6" s="341" t="s">
        <v>30</v>
      </c>
      <c r="AA6" s="339" t="s">
        <v>34</v>
      </c>
      <c r="AB6" s="340" t="s">
        <v>34</v>
      </c>
      <c r="AC6" s="341" t="s">
        <v>30</v>
      </c>
      <c r="AD6" s="340"/>
      <c r="AE6" s="340" t="s">
        <v>34</v>
      </c>
      <c r="AF6" s="341" t="s">
        <v>30</v>
      </c>
      <c r="AG6" s="339" t="s">
        <v>34</v>
      </c>
      <c r="AH6" s="340" t="s">
        <v>34</v>
      </c>
      <c r="AI6" s="341" t="s">
        <v>30</v>
      </c>
    </row>
    <row r="7" spans="1:35" ht="24" customHeight="1" x14ac:dyDescent="0.3">
      <c r="A7" s="651" t="s">
        <v>289</v>
      </c>
      <c r="B7" s="629"/>
      <c r="C7" s="150">
        <f t="shared" ref="C7:C9" ca="1" si="0">D7+G7</f>
        <v>5557300</v>
      </c>
      <c r="D7" s="151">
        <f t="shared" ref="D7:E7" ca="1" si="1">D8+D9+D12</f>
        <v>5557300</v>
      </c>
      <c r="E7" s="152">
        <f t="shared" ca="1" si="1"/>
        <v>2500800</v>
      </c>
      <c r="F7" s="153">
        <f ca="1">F8+F9</f>
        <v>3056500</v>
      </c>
      <c r="G7" s="154">
        <f t="shared" ref="G7:I7" ca="1" si="2">G8+G9+G12</f>
        <v>0</v>
      </c>
      <c r="H7" s="228">
        <f t="shared" ca="1" si="2"/>
        <v>5557300</v>
      </c>
      <c r="I7" s="228">
        <f t="shared" ca="1" si="2"/>
        <v>0</v>
      </c>
      <c r="J7" s="156">
        <f t="shared" ref="J7:J9" ca="1" si="3">L7+O7</f>
        <v>1879459.42</v>
      </c>
      <c r="K7" s="157">
        <f t="shared" ref="K7:K9" ca="1" si="4">IF(C7&gt;0,J7*100/C7,0)</f>
        <v>33.819650189840388</v>
      </c>
      <c r="L7" s="156">
        <f ca="1">L8+L9+L12</f>
        <v>1879459.42</v>
      </c>
      <c r="M7" s="27">
        <f t="shared" ref="M7:M9" ca="1" si="5">IF(D7&gt;0,L7*100/D7,0)</f>
        <v>33.819650189840388</v>
      </c>
      <c r="N7" s="27">
        <f t="shared" ref="N7:N9" ca="1" si="6">IF(H7&gt;0,L7*100/H7,0)</f>
        <v>33.819650189840388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29">
        <f t="shared" ref="R7:T7" ca="1" si="9">R8+R9</f>
        <v>16914499.910000004</v>
      </c>
      <c r="S7" s="230">
        <f t="shared" ca="1" si="9"/>
        <v>0</v>
      </c>
      <c r="T7" s="230">
        <f t="shared" ca="1" si="9"/>
        <v>0</v>
      </c>
      <c r="U7" s="231">
        <f t="shared" ref="U7:U9" ca="1" si="10">IF(R7&gt;0,T7*100/R7,0)</f>
        <v>0</v>
      </c>
      <c r="V7" s="231">
        <f t="shared" ref="V7:V9" ca="1" si="11">IF(S7&gt;0,T7*100/S7,0)</f>
        <v>0</v>
      </c>
      <c r="W7" s="342">
        <f t="shared" ref="W7:Y7" ca="1" si="12">W8</f>
        <v>0</v>
      </c>
      <c r="X7" s="343">
        <f t="shared" ca="1" si="12"/>
        <v>1500</v>
      </c>
      <c r="Y7" s="344">
        <f t="shared" ca="1" si="12"/>
        <v>130</v>
      </c>
      <c r="Z7" s="345">
        <f t="shared" ref="Z7:Z8" ca="1" si="13">IF(X7&gt;0,Y7*100/X7,0)</f>
        <v>8.6666666666666661</v>
      </c>
      <c r="AA7" s="343">
        <f t="shared" ref="AA7:AB7" ca="1" si="14">AA8</f>
        <v>0</v>
      </c>
      <c r="AB7" s="158">
        <f t="shared" ca="1" si="14"/>
        <v>0</v>
      </c>
      <c r="AC7" s="346">
        <f t="shared" ref="AC7:AC8" ca="1" si="15">IF(X7&gt;0,AB7*100/X7,0)</f>
        <v>0</v>
      </c>
      <c r="AD7" s="343">
        <f t="shared" ref="AD7:AE7" ca="1" si="16">AD8</f>
        <v>0</v>
      </c>
      <c r="AE7" s="158">
        <f t="shared" ca="1" si="16"/>
        <v>0</v>
      </c>
      <c r="AF7" s="346">
        <f t="shared" ref="AF7:AF8" ca="1" si="17">IF(AA7&gt;0,AE7*100/AA7,0)</f>
        <v>0</v>
      </c>
      <c r="AG7" s="343">
        <f t="shared" ref="AG7:AH7" ca="1" si="18">AG8</f>
        <v>0</v>
      </c>
      <c r="AH7" s="158">
        <f t="shared" ca="1" si="18"/>
        <v>0</v>
      </c>
      <c r="AI7" s="346">
        <f t="shared" ref="AI7:AI8" ca="1" si="19">IF(AD7&gt;0,AH7*100/AD7,0)</f>
        <v>0</v>
      </c>
    </row>
    <row r="8" spans="1:35" ht="28.5" customHeight="1" x14ac:dyDescent="0.3">
      <c r="A8" s="31" t="s">
        <v>37</v>
      </c>
      <c r="B8" s="32"/>
      <c r="C8" s="161">
        <f t="shared" ca="1" si="0"/>
        <v>4428000</v>
      </c>
      <c r="D8" s="161">
        <f t="shared" ref="D8:I8" ca="1" si="20">+D13+D31+D52+D74</f>
        <v>4428000</v>
      </c>
      <c r="E8" s="161">
        <f t="shared" ca="1" si="20"/>
        <v>2248400</v>
      </c>
      <c r="F8" s="161">
        <f t="shared" ca="1" si="20"/>
        <v>2179600</v>
      </c>
      <c r="G8" s="161">
        <f t="shared" ca="1" si="20"/>
        <v>0</v>
      </c>
      <c r="H8" s="161">
        <f t="shared" ca="1" si="20"/>
        <v>4428000</v>
      </c>
      <c r="I8" s="161">
        <f t="shared" ca="1" si="20"/>
        <v>0</v>
      </c>
      <c r="J8" s="161">
        <f t="shared" ca="1" si="3"/>
        <v>1711214.75</v>
      </c>
      <c r="K8" s="162">
        <f t="shared" ca="1" si="4"/>
        <v>38.645319557362242</v>
      </c>
      <c r="L8" s="161">
        <f ca="1">+L13+L31+L52+L74</f>
        <v>1711214.75</v>
      </c>
      <c r="M8" s="40">
        <f t="shared" ca="1" si="5"/>
        <v>38.645319557362242</v>
      </c>
      <c r="N8" s="40">
        <f t="shared" ca="1" si="6"/>
        <v>38.645319557362242</v>
      </c>
      <c r="O8" s="39">
        <f ca="1">+O13+O31+O52+O74</f>
        <v>0</v>
      </c>
      <c r="P8" s="39">
        <f t="shared" ca="1" si="7"/>
        <v>0</v>
      </c>
      <c r="Q8" s="40">
        <f t="shared" ca="1" si="8"/>
        <v>0</v>
      </c>
      <c r="R8" s="232">
        <f t="shared" ref="R8:T8" ca="1" si="21">+R13+R31+R52+R74</f>
        <v>12161929.910000002</v>
      </c>
      <c r="S8" s="233">
        <f t="shared" ca="1" si="21"/>
        <v>0</v>
      </c>
      <c r="T8" s="233">
        <f t="shared" ca="1" si="21"/>
        <v>0</v>
      </c>
      <c r="U8" s="234">
        <f t="shared" ca="1" si="10"/>
        <v>0</v>
      </c>
      <c r="V8" s="234">
        <f t="shared" ca="1" si="11"/>
        <v>0</v>
      </c>
      <c r="W8" s="347">
        <f t="shared" ref="W8:Y8" ca="1" si="22">+W13+W31+W52+W74</f>
        <v>0</v>
      </c>
      <c r="X8" s="348">
        <f t="shared" ca="1" si="22"/>
        <v>1500</v>
      </c>
      <c r="Y8" s="161">
        <f t="shared" ca="1" si="22"/>
        <v>130</v>
      </c>
      <c r="Z8" s="40">
        <f t="shared" ca="1" si="13"/>
        <v>8.6666666666666661</v>
      </c>
      <c r="AA8" s="348">
        <f t="shared" ref="AA8:AB8" ca="1" si="23">+AA13+AA31+AA52+AA74</f>
        <v>0</v>
      </c>
      <c r="AB8" s="161">
        <f t="shared" ca="1" si="23"/>
        <v>0</v>
      </c>
      <c r="AC8" s="40">
        <f t="shared" ca="1" si="15"/>
        <v>0</v>
      </c>
      <c r="AD8" s="348">
        <f t="shared" ref="AD8:AE8" ca="1" si="24">+AD13+AD31+AD52+AD74</f>
        <v>0</v>
      </c>
      <c r="AE8" s="161">
        <f t="shared" ca="1" si="24"/>
        <v>0</v>
      </c>
      <c r="AF8" s="40">
        <f t="shared" ca="1" si="17"/>
        <v>0</v>
      </c>
      <c r="AG8" s="348">
        <f t="shared" ref="AG8:AH8" ca="1" si="25">+AG13+AG31+AG52+AG74</f>
        <v>0</v>
      </c>
      <c r="AH8" s="161">
        <f t="shared" ca="1" si="25"/>
        <v>0</v>
      </c>
      <c r="AI8" s="40">
        <f t="shared" ca="1" si="19"/>
        <v>0</v>
      </c>
    </row>
    <row r="9" spans="1:35" ht="28.5" customHeight="1" x14ac:dyDescent="0.3">
      <c r="A9" s="43" t="s">
        <v>38</v>
      </c>
      <c r="B9" s="44"/>
      <c r="C9" s="164">
        <f t="shared" ca="1" si="0"/>
        <v>1129300</v>
      </c>
      <c r="D9" s="164">
        <f t="shared" ref="D9:I9" ca="1" si="26">+D89</f>
        <v>1129300</v>
      </c>
      <c r="E9" s="164">
        <f t="shared" ca="1" si="26"/>
        <v>252400</v>
      </c>
      <c r="F9" s="164">
        <f t="shared" ca="1" si="26"/>
        <v>876900</v>
      </c>
      <c r="G9" s="164">
        <f t="shared" ca="1" si="26"/>
        <v>0</v>
      </c>
      <c r="H9" s="164">
        <f t="shared" ca="1" si="26"/>
        <v>1129300</v>
      </c>
      <c r="I9" s="164">
        <f t="shared" ca="1" si="26"/>
        <v>0</v>
      </c>
      <c r="J9" s="164">
        <f t="shared" ca="1" si="3"/>
        <v>168244.67</v>
      </c>
      <c r="K9" s="165">
        <f t="shared" ca="1" si="4"/>
        <v>14.898137784468254</v>
      </c>
      <c r="L9" s="164">
        <f ca="1">+L89</f>
        <v>168244.67</v>
      </c>
      <c r="M9" s="51">
        <f t="shared" ca="1" si="5"/>
        <v>14.898137784468254</v>
      </c>
      <c r="N9" s="51">
        <f t="shared" ca="1" si="6"/>
        <v>14.898137784468254</v>
      </c>
      <c r="O9" s="50">
        <f ca="1">+O89</f>
        <v>0</v>
      </c>
      <c r="P9" s="50">
        <f t="shared" ca="1" si="7"/>
        <v>0</v>
      </c>
      <c r="Q9" s="51">
        <f t="shared" ca="1" si="8"/>
        <v>0</v>
      </c>
      <c r="R9" s="235">
        <f ca="1">IFERROR(__xludf.DUMMYFUNCTION("IMPORTRANGE(""https://docs.google.com/spreadsheets/d/1ItG2mGa2ceCfYo0BwxsXqNm01IGEUdYcSSLTEv9YCik/edit?usp=sharing"",""เบิกจ่ายกองทุน!AP11"")"),4752570)</f>
        <v>4752570</v>
      </c>
      <c r="S9" s="236">
        <f ca="1">IFERROR(__xludf.DUMMYFUNCTION("IMPORTRANGE(""https://docs.google.com/spreadsheets/d/1ItG2mGa2ceCfYo0BwxsXqNm01IGEUdYcSSLTEv9YCik/edit?usp=sharing"",""เบิกจ่ายกองทุน!AQ11"")"),0)</f>
        <v>0</v>
      </c>
      <c r="T9" s="236">
        <f ca="1">IFERROR(__xludf.DUMMYFUNCTION("IMPORTRANGE(""https://docs.google.com/spreadsheets/d/1ItG2mGa2ceCfYo0BwxsXqNm01IGEUdYcSSLTEv9YCik/edit?usp=sharing"",""เบิกจ่ายกองทุน!AR11"")"),0)</f>
        <v>0</v>
      </c>
      <c r="U9" s="237">
        <f t="shared" ca="1" si="10"/>
        <v>0</v>
      </c>
      <c r="V9" s="237">
        <f t="shared" ca="1" si="11"/>
        <v>0</v>
      </c>
      <c r="W9" s="293"/>
      <c r="X9" s="293"/>
      <c r="Y9" s="196"/>
      <c r="Z9" s="349"/>
      <c r="AA9" s="293"/>
      <c r="AB9" s="196"/>
      <c r="AC9" s="48"/>
      <c r="AD9" s="293"/>
      <c r="AE9" s="196"/>
      <c r="AF9" s="48"/>
      <c r="AG9" s="293"/>
      <c r="AH9" s="196"/>
      <c r="AI9" s="48"/>
    </row>
    <row r="10" spans="1:35" ht="28.5" hidden="1" customHeight="1" x14ac:dyDescent="0.3">
      <c r="A10" s="54"/>
      <c r="B10" s="55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238"/>
      <c r="S10" s="239"/>
      <c r="T10" s="239"/>
      <c r="U10" s="240"/>
      <c r="V10" s="240"/>
      <c r="W10" s="350"/>
      <c r="X10" s="350"/>
      <c r="Y10" s="351"/>
      <c r="Z10" s="352"/>
      <c r="AA10" s="350"/>
      <c r="AB10" s="351"/>
      <c r="AC10" s="59"/>
      <c r="AD10" s="350"/>
      <c r="AE10" s="351"/>
      <c r="AF10" s="59"/>
      <c r="AG10" s="350"/>
      <c r="AH10" s="351"/>
      <c r="AI10" s="59"/>
    </row>
    <row r="11" spans="1:35" ht="28.5" hidden="1" customHeight="1" x14ac:dyDescent="0.3">
      <c r="A11" s="65"/>
      <c r="B11" s="55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238"/>
      <c r="S11" s="239"/>
      <c r="T11" s="239"/>
      <c r="U11" s="240"/>
      <c r="V11" s="240"/>
      <c r="W11" s="350"/>
      <c r="X11" s="350"/>
      <c r="Y11" s="351"/>
      <c r="Z11" s="352"/>
      <c r="AA11" s="350"/>
      <c r="AB11" s="351"/>
      <c r="AC11" s="59"/>
      <c r="AD11" s="350"/>
      <c r="AE11" s="351"/>
      <c r="AF11" s="59"/>
      <c r="AG11" s="350"/>
      <c r="AH11" s="351"/>
      <c r="AI11" s="59"/>
    </row>
    <row r="12" spans="1:35" ht="28.5" hidden="1" customHeight="1" x14ac:dyDescent="0.3">
      <c r="A12" s="54"/>
      <c r="B12" s="55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238"/>
      <c r="S12" s="239"/>
      <c r="T12" s="239"/>
      <c r="U12" s="240"/>
      <c r="V12" s="240"/>
      <c r="W12" s="350"/>
      <c r="X12" s="350"/>
      <c r="Y12" s="351"/>
      <c r="Z12" s="352"/>
      <c r="AA12" s="350"/>
      <c r="AB12" s="168"/>
      <c r="AC12" s="62"/>
      <c r="AD12" s="350"/>
      <c r="AE12" s="168"/>
      <c r="AF12" s="62"/>
      <c r="AG12" s="350"/>
      <c r="AH12" s="168"/>
      <c r="AI12" s="62"/>
    </row>
    <row r="13" spans="1:35" ht="28.5" customHeight="1" x14ac:dyDescent="0.3">
      <c r="A13" s="624" t="s">
        <v>39</v>
      </c>
      <c r="B13" s="583"/>
      <c r="C13" s="161">
        <f t="shared" ref="C13:C88" ca="1" si="27">D13+G13</f>
        <v>1749700</v>
      </c>
      <c r="D13" s="161">
        <f t="shared" ref="D13:I13" ca="1" si="28">SUM(D14:D30)</f>
        <v>1749700</v>
      </c>
      <c r="E13" s="161">
        <f t="shared" ca="1" si="28"/>
        <v>970900</v>
      </c>
      <c r="F13" s="161">
        <f t="shared" ca="1" si="28"/>
        <v>778800</v>
      </c>
      <c r="G13" s="161">
        <f t="shared" ca="1" si="28"/>
        <v>0</v>
      </c>
      <c r="H13" s="161">
        <f t="shared" ca="1" si="28"/>
        <v>1749700</v>
      </c>
      <c r="I13" s="161">
        <f t="shared" ca="1" si="28"/>
        <v>0</v>
      </c>
      <c r="J13" s="161">
        <f t="shared" ref="J13:J88" ca="1" si="29">L13+O13</f>
        <v>784688.78</v>
      </c>
      <c r="K13" s="162">
        <f t="shared" ref="K13:K88" ca="1" si="30">IF(C13&gt;0,J13*100/C13,0)</f>
        <v>44.84704692232954</v>
      </c>
      <c r="L13" s="161">
        <f ca="1">SUM(L14:L30)</f>
        <v>784688.78</v>
      </c>
      <c r="M13" s="40">
        <f t="shared" ref="M13:M88" ca="1" si="31">IF(D13&gt;0,L13*100/D13,0)</f>
        <v>44.84704692232954</v>
      </c>
      <c r="N13" s="40">
        <f t="shared" ref="N13:N88" ca="1" si="32">IF(H13&gt;0,L13*100/H13,0)</f>
        <v>44.84704692232954</v>
      </c>
      <c r="O13" s="39">
        <f ca="1">SUM(O14:O30)</f>
        <v>0</v>
      </c>
      <c r="P13" s="39">
        <f t="shared" ref="P13:P88" ca="1" si="33">IF(G13&gt;0,O13*100/G13,0)</f>
        <v>0</v>
      </c>
      <c r="Q13" s="40">
        <f t="shared" ref="Q13:Q88" ca="1" si="34">IF(I13&gt;0,O13*100/I13,0)</f>
        <v>0</v>
      </c>
      <c r="R13" s="232">
        <f t="shared" ref="R13:T13" ca="1" si="35">SUM(R14:R30)</f>
        <v>3447352.040000001</v>
      </c>
      <c r="S13" s="233">
        <f t="shared" ca="1" si="35"/>
        <v>0</v>
      </c>
      <c r="T13" s="233">
        <f t="shared" ca="1" si="35"/>
        <v>0</v>
      </c>
      <c r="U13" s="234">
        <f t="shared" ref="U13:U106" ca="1" si="36">IF(R13&gt;0,T13*100/R13,0)</f>
        <v>0</v>
      </c>
      <c r="V13" s="234">
        <f t="shared" ref="V13:V106" ca="1" si="37">IF(S13&gt;0,T13*100/S13,0)</f>
        <v>0</v>
      </c>
      <c r="W13" s="347">
        <f t="shared" ref="W13:Y13" ca="1" si="38">SUM(W14:W30)</f>
        <v>0</v>
      </c>
      <c r="X13" s="348">
        <f t="shared" ca="1" si="38"/>
        <v>435</v>
      </c>
      <c r="Y13" s="161">
        <f t="shared" ca="1" si="38"/>
        <v>85</v>
      </c>
      <c r="Z13" s="40">
        <f t="shared" ref="Z13:Z88" ca="1" si="39">IF(X13&gt;0,Y13*100/X13,0)</f>
        <v>19.540229885057471</v>
      </c>
      <c r="AA13" s="348">
        <f t="shared" ref="AA13:AB13" ca="1" si="40">SUM(AA14:AA30)</f>
        <v>0</v>
      </c>
      <c r="AB13" s="161">
        <f t="shared" ca="1" si="40"/>
        <v>0</v>
      </c>
      <c r="AC13" s="40">
        <f t="shared" ref="AC13:AC88" ca="1" si="41">IF(X13&gt;0,AB13*100/X13,0)</f>
        <v>0</v>
      </c>
      <c r="AD13" s="348">
        <f t="shared" ref="AD13:AE13" ca="1" si="42">SUM(AD14:AD30)</f>
        <v>0</v>
      </c>
      <c r="AE13" s="161">
        <f t="shared" ca="1" si="42"/>
        <v>0</v>
      </c>
      <c r="AF13" s="40">
        <f t="shared" ref="AF13:AF88" ca="1" si="43">IF(AA13&gt;0,AE13*100/AA13,0)</f>
        <v>0</v>
      </c>
      <c r="AG13" s="348">
        <f t="shared" ref="AG13:AH13" ca="1" si="44">SUM(AG14:AG30)</f>
        <v>0</v>
      </c>
      <c r="AH13" s="161">
        <f t="shared" ca="1" si="44"/>
        <v>0</v>
      </c>
      <c r="AI13" s="40">
        <f t="shared" ref="AI13:AI88" ca="1" si="45">IF(AD13&gt;0,AH13*100/AD13,0)</f>
        <v>0</v>
      </c>
    </row>
    <row r="14" spans="1:35" ht="24" customHeight="1" x14ac:dyDescent="0.3">
      <c r="A14" s="77">
        <v>1</v>
      </c>
      <c r="B14" s="78" t="s">
        <v>40</v>
      </c>
      <c r="C14" s="174">
        <f t="shared" ca="1" si="27"/>
        <v>184600</v>
      </c>
      <c r="D14" s="175">
        <f t="shared" ref="D14:D30" ca="1" si="46">+E14+F14</f>
        <v>184600</v>
      </c>
      <c r="E14" s="176">
        <f ca="1">IFERROR(__xludf.DUMMYFUNCTION("IMPORTRANGE(""https://docs.google.com/spreadsheets/d/1-uDff_7J0KD5mKrp0Vvzr7lt3OU09vwQwhkpOPPYv2Y/edit?usp=sharing"",""งบพรบ!DZ14"")"),102200)</f>
        <v>102200</v>
      </c>
      <c r="F14" s="176">
        <f ca="1">IFERROR(__xludf.DUMMYFUNCTION("IMPORTRANGE(""https://docs.google.com/spreadsheets/d/1-uDff_7J0KD5mKrp0Vvzr7lt3OU09vwQwhkpOPPYv2Y/edit?usp=sharing"",""งบพรบ!EA14"")"),82400)</f>
        <v>82400</v>
      </c>
      <c r="G14" s="177">
        <f ca="1">IFERROR(__xludf.DUMMYFUNCTION("IMPORTRANGE(""https://docs.google.com/spreadsheets/d/1-uDff_7J0KD5mKrp0Vvzr7lt3OU09vwQwhkpOPPYv2Y/edit?usp=sharing"",""งบพรบ!EB14"")"),0)</f>
        <v>0</v>
      </c>
      <c r="H14" s="177">
        <f ca="1">IFERROR(__xludf.DUMMYFUNCTION("IMPORTRANGE(""https://docs.google.com/spreadsheets/d/1-uDff_7J0KD5mKrp0Vvzr7lt3OU09vwQwhkpOPPYv2Y/edit?usp=sharing"",""งบพรบ!ED14"")"),184600)</f>
        <v>184600</v>
      </c>
      <c r="I14" s="177">
        <f ca="1">IFERROR(__xludf.DUMMYFUNCTION("IMPORTRANGE(""https://docs.google.com/spreadsheets/d/1-uDff_7J0KD5mKrp0Vvzr7lt3OU09vwQwhkpOPPYv2Y/edit?usp=sharing"",""งบพรบ!EE14"")"),0)</f>
        <v>0</v>
      </c>
      <c r="J14" s="177">
        <f t="shared" ca="1" si="29"/>
        <v>86340</v>
      </c>
      <c r="K14" s="178">
        <f t="shared" ca="1" si="30"/>
        <v>46.771397616468036</v>
      </c>
      <c r="L14" s="177">
        <f ca="1">IFERROR(__xludf.DUMMYFUNCTION("IMPORTRANGE(""https://docs.google.com/spreadsheets/d/1-uDff_7J0KD5mKrp0Vvzr7lt3OU09vwQwhkpOPPYv2Y/edit?usp=sharing"",""งบพรบ!EF14"")"),86340)</f>
        <v>86340</v>
      </c>
      <c r="M14" s="87">
        <f t="shared" ca="1" si="31"/>
        <v>46.771397616468036</v>
      </c>
      <c r="N14" s="87">
        <f t="shared" ca="1" si="32"/>
        <v>46.771397616468036</v>
      </c>
      <c r="O14" s="86">
        <f ca="1">IFERROR(__xludf.DUMMYFUNCTION("IMPORTRANGE(""https://docs.google.com/spreadsheets/d/1-uDff_7J0KD5mKrp0Vvzr7lt3OU09vwQwhkpOPPYv2Y/edit?usp=sharing"",""งบพรบ!EG14"")"),0)</f>
        <v>0</v>
      </c>
      <c r="P14" s="86">
        <f t="shared" ca="1" si="33"/>
        <v>0</v>
      </c>
      <c r="Q14" s="87">
        <f t="shared" ca="1" si="34"/>
        <v>0</v>
      </c>
      <c r="R14" s="241">
        <f ca="1">IFERROR(__xludf.DUMMYFUNCTION("IMPORTRANGE(""https://docs.google.com/spreadsheets/d/1jTcq05yEiRwXcBMLjiodW9e4biSGYWAHcDj22rKWQ3s/edit?usp=sharing"",""กำแพงเพชร!Q303"")"),144609.24)</f>
        <v>144609.24</v>
      </c>
      <c r="S14" s="242">
        <f ca="1">IFERROR(__xludf.DUMMYFUNCTION("IMPORTRANGE(""https://docs.google.com/spreadsheets/d/1jTcq05yEiRwXcBMLjiodW9e4biSGYWAHcDj22rKWQ3s/edit?usp=sharing"",""กำแพงเพชร!R303"")"),0)</f>
        <v>0</v>
      </c>
      <c r="T14" s="242">
        <f ca="1">IFERROR(__xludf.DUMMYFUNCTION("IMPORTRANGE(""https://docs.google.com/spreadsheets/d/1jTcq05yEiRwXcBMLjiodW9e4biSGYWAHcDj22rKWQ3s/edit?usp=sharing"",""กำแพงเพชร!S303"")"),0)</f>
        <v>0</v>
      </c>
      <c r="U14" s="243">
        <f t="shared" ca="1" si="36"/>
        <v>0</v>
      </c>
      <c r="V14" s="243">
        <f t="shared" ca="1" si="37"/>
        <v>0</v>
      </c>
      <c r="W14" s="353" t="str">
        <f ca="1">IFERROR(__xludf.DUMMYFUNCTION("IMPORTRANGE(""https://docs.google.com/spreadsheets/d/1jTcq05yEiRwXcBMLjiodW9e4biSGYWAHcDj22rKWQ3s/edit?usp=sharing"",""กำแพงเพชร!J313"")"),"")</f>
        <v/>
      </c>
      <c r="X14" s="353">
        <f ca="1">IFERROR(__xludf.DUMMYFUNCTION("IMPORTRANGE(""https://docs.google.com/spreadsheets/d/1jTcq05yEiRwXcBMLjiodW9e4biSGYWAHcDj22rKWQ3s/edit?usp=sharing"",""กำแพงเพชร!I314"")"),20)</f>
        <v>20</v>
      </c>
      <c r="Y14" s="177">
        <f ca="1">IFERROR(__xludf.DUMMYFUNCTION("IMPORTRANGE(""https://docs.google.com/spreadsheets/d/1jTcq05yEiRwXcBMLjiodW9e4biSGYWAHcDj22rKWQ3s/edit?usp=sharing"",""กำแพงเพชร!J314"")"),0)</f>
        <v>0</v>
      </c>
      <c r="Z14" s="354">
        <f t="shared" ca="1" si="39"/>
        <v>0</v>
      </c>
      <c r="AA14" s="353" t="str">
        <f ca="1">IFERROR(__xludf.DUMMYFUNCTION("IMPORTRANGE(""https://docs.google.com/spreadsheets/d/1jTcq05yEiRwXcBMLjiodW9e4biSGYWAHcDj22rKWQ3s/edit?usp=sharing"",""กำแพงเพชร!I315"")"),"")</f>
        <v/>
      </c>
      <c r="AB14" s="177" t="str">
        <f ca="1">IFERROR(__xludf.DUMMYFUNCTION("IMPORTRANGE(""https://docs.google.com/spreadsheets/d/1jTcq05yEiRwXcBMLjiodW9e4biSGYWAHcDj22rKWQ3s/edit?usp=sharing"",""กำแพงเพชร!J315"")"),"")</f>
        <v/>
      </c>
      <c r="AC14" s="354" t="e">
        <f t="shared" ca="1" si="41"/>
        <v>#VALUE!</v>
      </c>
      <c r="AD14" s="353" t="str">
        <f ca="1">IFERROR(__xludf.DUMMYFUNCTION("IMPORTRANGE(""https://docs.google.com/spreadsheets/d/1jTcq05yEiRwXcBMLjiodW9e4biSGYWAHcDj22rKWQ3s/edit?usp=sharing"",""กำแพงเพชร!I316"")"),"")</f>
        <v/>
      </c>
      <c r="AE14" s="177" t="str">
        <f ca="1">IFERROR(__xludf.DUMMYFUNCTION("IMPORTRANGE(""https://docs.google.com/spreadsheets/d/1jTcq05yEiRwXcBMLjiodW9e4biSGYWAHcDj22rKWQ3s/edit?usp=sharing"",""กำแพงเพชร!J316"")"),"")</f>
        <v/>
      </c>
      <c r="AF14" s="354" t="e">
        <f t="shared" ca="1" si="43"/>
        <v>#VALUE!</v>
      </c>
      <c r="AG14" s="353" t="str">
        <f ca="1">IFERROR(__xludf.DUMMYFUNCTION("IMPORTRANGE(""https://docs.google.com/spreadsheets/d/1jTcq05yEiRwXcBMLjiodW9e4biSGYWAHcDj22rKWQ3s/edit?usp=sharing"",""กำแพงเพชร!I317"")"),"")</f>
        <v/>
      </c>
      <c r="AH14" s="177" t="str">
        <f ca="1">IFERROR(__xludf.DUMMYFUNCTION("IMPORTRANGE(""https://docs.google.com/spreadsheets/d/1jTcq05yEiRwXcBMLjiodW9e4biSGYWAHcDj22rKWQ3s/edit?usp=sharing"",""กำแพงเพชร!J317"")"),"")</f>
        <v/>
      </c>
      <c r="AI14" s="354" t="e">
        <f t="shared" ca="1" si="45"/>
        <v>#VALUE!</v>
      </c>
    </row>
    <row r="15" spans="1:35" ht="24" customHeight="1" x14ac:dyDescent="0.3">
      <c r="A15" s="89">
        <v>2</v>
      </c>
      <c r="B15" s="90" t="s">
        <v>41</v>
      </c>
      <c r="C15" s="174">
        <f t="shared" ca="1" si="27"/>
        <v>389000</v>
      </c>
      <c r="D15" s="175">
        <f t="shared" ca="1" si="46"/>
        <v>389000</v>
      </c>
      <c r="E15" s="176">
        <f ca="1">IFERROR(__xludf.DUMMYFUNCTION("IMPORTRANGE(""https://docs.google.com/spreadsheets/d/1-uDff_7J0KD5mKrp0Vvzr7lt3OU09vwQwhkpOPPYv2Y/edit?usp=sharing"",""งบพรบ!DZ15"")"),306600)</f>
        <v>306600</v>
      </c>
      <c r="F15" s="176">
        <f ca="1">IFERROR(__xludf.DUMMYFUNCTION("IMPORTRANGE(""https://docs.google.com/spreadsheets/d/1-uDff_7J0KD5mKrp0Vvzr7lt3OU09vwQwhkpOPPYv2Y/edit?usp=sharing"",""งบพรบ!EA15"")"),82400)</f>
        <v>82400</v>
      </c>
      <c r="G15" s="176">
        <f ca="1">IFERROR(__xludf.DUMMYFUNCTION("IMPORTRANGE(""https://docs.google.com/spreadsheets/d/1-uDff_7J0KD5mKrp0Vvzr7lt3OU09vwQwhkpOPPYv2Y/edit?usp=sharing"",""งบพรบ!EB15"")"),0)</f>
        <v>0</v>
      </c>
      <c r="H15" s="176">
        <f ca="1">IFERROR(__xludf.DUMMYFUNCTION("IMPORTRANGE(""https://docs.google.com/spreadsheets/d/1-uDff_7J0KD5mKrp0Vvzr7lt3OU09vwQwhkpOPPYv2Y/edit?usp=sharing"",""งบพรบ!ED15"")"),389000)</f>
        <v>389000</v>
      </c>
      <c r="I15" s="176">
        <f ca="1">IFERROR(__xludf.DUMMYFUNCTION("IMPORTRANGE(""https://docs.google.com/spreadsheets/d/1-uDff_7J0KD5mKrp0Vvzr7lt3OU09vwQwhkpOPPYv2Y/edit?usp=sharing"",""งบพรบ!EE15"")"),0)</f>
        <v>0</v>
      </c>
      <c r="J15" s="176">
        <f t="shared" ca="1" si="29"/>
        <v>184143.46</v>
      </c>
      <c r="K15" s="179">
        <f t="shared" ca="1" si="30"/>
        <v>47.337650385604114</v>
      </c>
      <c r="L15" s="176">
        <f ca="1">IFERROR(__xludf.DUMMYFUNCTION("IMPORTRANGE(""https://docs.google.com/spreadsheets/d/1-uDff_7J0KD5mKrp0Vvzr7lt3OU09vwQwhkpOPPYv2Y/edit?usp=sharing"",""งบพรบ!EF15"")"),184143.46)</f>
        <v>184143.46</v>
      </c>
      <c r="M15" s="87">
        <f t="shared" ca="1" si="31"/>
        <v>47.337650385604114</v>
      </c>
      <c r="N15" s="87">
        <f t="shared" ca="1" si="32"/>
        <v>47.337650385604114</v>
      </c>
      <c r="O15" s="86">
        <f ca="1">IFERROR(__xludf.DUMMYFUNCTION("IMPORTRANGE(""https://docs.google.com/spreadsheets/d/1-uDff_7J0KD5mKrp0Vvzr7lt3OU09vwQwhkpOPPYv2Y/edit?usp=sharing"",""งบพรบ!EG15"")"),0)</f>
        <v>0</v>
      </c>
      <c r="P15" s="86">
        <f t="shared" ca="1" si="33"/>
        <v>0</v>
      </c>
      <c r="Q15" s="87">
        <f t="shared" ca="1" si="34"/>
        <v>0</v>
      </c>
      <c r="R15" s="241">
        <f ca="1">IFERROR(__xludf.DUMMYFUNCTION("IMPORTRANGE(""https://docs.google.com/spreadsheets/d/1KS0zmDSZPk8KnTAbGN-Xk6MtX1YRZD0ldgdt20K4CRk/edit?usp=sharing"",""เชียงราย!Q303"")"),144609.24)</f>
        <v>144609.24</v>
      </c>
      <c r="S15" s="242">
        <f ca="1">IFERROR(__xludf.DUMMYFUNCTION("IMPORTRANGE(""https://docs.google.com/spreadsheets/d/1KS0zmDSZPk8KnTAbGN-Xk6MtX1YRZD0ldgdt20K4CRk/edit?usp=sharing"",""เชียงราย!R303"")"),0)</f>
        <v>0</v>
      </c>
      <c r="T15" s="242">
        <f ca="1">IFERROR(__xludf.DUMMYFUNCTION("IMPORTRANGE(""https://docs.google.com/spreadsheets/d/1KS0zmDSZPk8KnTAbGN-Xk6MtX1YRZD0ldgdt20K4CRk/edit?usp=sharing"",""เชียงราย!S303"")"),0)</f>
        <v>0</v>
      </c>
      <c r="U15" s="243">
        <f t="shared" ca="1" si="36"/>
        <v>0</v>
      </c>
      <c r="V15" s="243">
        <f t="shared" ca="1" si="37"/>
        <v>0</v>
      </c>
      <c r="W15" s="353" t="str">
        <f ca="1">IFERROR(__xludf.DUMMYFUNCTION("IMPORTRANGE(""https://docs.google.com/spreadsheets/d/1KS0zmDSZPk8KnTAbGN-Xk6MtX1YRZD0ldgdt20K4CRk/edit?usp=sharing"",""เชียงราย!J313"")"),"")</f>
        <v/>
      </c>
      <c r="X15" s="353">
        <f ca="1">IFERROR(__xludf.DUMMYFUNCTION("IMPORTRANGE(""https://docs.google.com/spreadsheets/d/1KS0zmDSZPk8KnTAbGN-Xk6MtX1YRZD0ldgdt20K4CRk/edit?usp=sharing"",""เชียงราย!I314"")"),20)</f>
        <v>20</v>
      </c>
      <c r="Y15" s="177">
        <f ca="1">IFERROR(__xludf.DUMMYFUNCTION("IMPORTRANGE(""https://docs.google.com/spreadsheets/d/1KS0zmDSZPk8KnTAbGN-Xk6MtX1YRZD0ldgdt20K4CRk/edit?usp=sharing"",""เชียงราย!J314"")"),20)</f>
        <v>20</v>
      </c>
      <c r="Z15" s="354">
        <f t="shared" ca="1" si="39"/>
        <v>100</v>
      </c>
      <c r="AA15" s="353" t="str">
        <f ca="1">IFERROR(__xludf.DUMMYFUNCTION("IMPORTRANGE(""https://docs.google.com/spreadsheets/d/1KS0zmDSZPk8KnTAbGN-Xk6MtX1YRZD0ldgdt20K4CRk/edit?usp=sharing"",""เชียงราย!I315"")"),"")</f>
        <v/>
      </c>
      <c r="AB15" s="177" t="str">
        <f ca="1">IFERROR(__xludf.DUMMYFUNCTION("IMPORTRANGE(""https://docs.google.com/spreadsheets/d/1KS0zmDSZPk8KnTAbGN-Xk6MtX1YRZD0ldgdt20K4CRk/edit?usp=sharing"",""เชียงราย!J315"")"),"")</f>
        <v/>
      </c>
      <c r="AC15" s="354" t="e">
        <f t="shared" ca="1" si="41"/>
        <v>#VALUE!</v>
      </c>
      <c r="AD15" s="353" t="str">
        <f ca="1">IFERROR(__xludf.DUMMYFUNCTION("IMPORTRANGE(""https://docs.google.com/spreadsheets/d/1KS0zmDSZPk8KnTAbGN-Xk6MtX1YRZD0ldgdt20K4CRk/edit?usp=sharing"",""เชียงราย!I316"")"),"")</f>
        <v/>
      </c>
      <c r="AE15" s="177" t="str">
        <f ca="1">IFERROR(__xludf.DUMMYFUNCTION("IMPORTRANGE(""https://docs.google.com/spreadsheets/d/1KS0zmDSZPk8KnTAbGN-Xk6MtX1YRZD0ldgdt20K4CRk/edit?usp=sharing"",""เชียงราย!J316"")"),"")</f>
        <v/>
      </c>
      <c r="AF15" s="354" t="e">
        <f t="shared" ca="1" si="43"/>
        <v>#VALUE!</v>
      </c>
      <c r="AG15" s="353" t="str">
        <f ca="1">IFERROR(__xludf.DUMMYFUNCTION("IMPORTRANGE(""https://docs.google.com/spreadsheets/d/1KS0zmDSZPk8KnTAbGN-Xk6MtX1YRZD0ldgdt20K4CRk/edit?usp=sharing"",""เชียงราย!I317"")"),"")</f>
        <v/>
      </c>
      <c r="AH15" s="177" t="str">
        <f ca="1">IFERROR(__xludf.DUMMYFUNCTION("IMPORTRANGE(""https://docs.google.com/spreadsheets/d/1KS0zmDSZPk8KnTAbGN-Xk6MtX1YRZD0ldgdt20K4CRk/edit?usp=sharing"",""เชียงราย!J317"")"),"")</f>
        <v/>
      </c>
      <c r="AI15" s="354" t="e">
        <f t="shared" ca="1" si="45"/>
        <v>#VALUE!</v>
      </c>
    </row>
    <row r="16" spans="1:35" ht="24" customHeight="1" x14ac:dyDescent="0.3">
      <c r="A16" s="89">
        <v>3</v>
      </c>
      <c r="B16" s="90" t="s">
        <v>42</v>
      </c>
      <c r="C16" s="174">
        <f t="shared" ca="1" si="27"/>
        <v>235700</v>
      </c>
      <c r="D16" s="175">
        <f t="shared" ca="1" si="46"/>
        <v>235700</v>
      </c>
      <c r="E16" s="176">
        <f ca="1">IFERROR(__xludf.DUMMYFUNCTION("IMPORTRANGE(""https://docs.google.com/spreadsheets/d/1-uDff_7J0KD5mKrp0Vvzr7lt3OU09vwQwhkpOPPYv2Y/edit?usp=sharing"",""งบพรบ!DZ16"")"),153300)</f>
        <v>153300</v>
      </c>
      <c r="F16" s="176">
        <f ca="1">IFERROR(__xludf.DUMMYFUNCTION("IMPORTRANGE(""https://docs.google.com/spreadsheets/d/1-uDff_7J0KD5mKrp0Vvzr7lt3OU09vwQwhkpOPPYv2Y/edit?usp=sharing"",""งบพรบ!EA16"")"),82400)</f>
        <v>82400</v>
      </c>
      <c r="G16" s="176">
        <f ca="1">IFERROR(__xludf.DUMMYFUNCTION("IMPORTRANGE(""https://docs.google.com/spreadsheets/d/1-uDff_7J0KD5mKrp0Vvzr7lt3OU09vwQwhkpOPPYv2Y/edit?usp=sharing"",""งบพรบ!EB16"")"),0)</f>
        <v>0</v>
      </c>
      <c r="H16" s="176">
        <f ca="1">IFERROR(__xludf.DUMMYFUNCTION("IMPORTRANGE(""https://docs.google.com/spreadsheets/d/1-uDff_7J0KD5mKrp0Vvzr7lt3OU09vwQwhkpOPPYv2Y/edit?usp=sharing"",""งบพรบ!ED16"")"),235700)</f>
        <v>235700</v>
      </c>
      <c r="I16" s="176">
        <f ca="1">IFERROR(__xludf.DUMMYFUNCTION("IMPORTRANGE(""https://docs.google.com/spreadsheets/d/1-uDff_7J0KD5mKrp0Vvzr7lt3OU09vwQwhkpOPPYv2Y/edit?usp=sharing"",""งบพรบ!EE16"")"),0)</f>
        <v>0</v>
      </c>
      <c r="J16" s="176">
        <f t="shared" ca="1" si="29"/>
        <v>131065.32</v>
      </c>
      <c r="K16" s="179">
        <f t="shared" ca="1" si="30"/>
        <v>55.606839202375902</v>
      </c>
      <c r="L16" s="176">
        <f ca="1">IFERROR(__xludf.DUMMYFUNCTION("IMPORTRANGE(""https://docs.google.com/spreadsheets/d/1-uDff_7J0KD5mKrp0Vvzr7lt3OU09vwQwhkpOPPYv2Y/edit?usp=sharing"",""งบพรบ!EF16"")"),131065.32)</f>
        <v>131065.32</v>
      </c>
      <c r="M16" s="87">
        <f t="shared" ca="1" si="31"/>
        <v>55.606839202375902</v>
      </c>
      <c r="N16" s="87">
        <f t="shared" ca="1" si="32"/>
        <v>55.606839202375902</v>
      </c>
      <c r="O16" s="86">
        <f ca="1">IFERROR(__xludf.DUMMYFUNCTION("IMPORTRANGE(""https://docs.google.com/spreadsheets/d/1-uDff_7J0KD5mKrp0Vvzr7lt3OU09vwQwhkpOPPYv2Y/edit?usp=sharing"",""งบพรบ!EG16"")"),0)</f>
        <v>0</v>
      </c>
      <c r="P16" s="86">
        <f t="shared" ca="1" si="33"/>
        <v>0</v>
      </c>
      <c r="Q16" s="87">
        <f t="shared" ca="1" si="34"/>
        <v>0</v>
      </c>
      <c r="R16" s="241">
        <f ca="1">IFERROR(__xludf.DUMMYFUNCTION("IMPORTRANGE(""https://docs.google.com/spreadsheets/d/1rEDxBtusbi64tE0zunoIbsTVV16HeL0oJ6trHQeQ7K8/edit?usp=sharing"",""เชียงใหม่!Q303"")"),144609.24)</f>
        <v>144609.24</v>
      </c>
      <c r="S16" s="242">
        <f ca="1">IFERROR(__xludf.DUMMYFUNCTION("IMPORTRANGE(""https://docs.google.com/spreadsheets/d/1rEDxBtusbi64tE0zunoIbsTVV16HeL0oJ6trHQeQ7K8/edit?usp=sharing"",""เชียงใหม่!R303"")"),0)</f>
        <v>0</v>
      </c>
      <c r="T16" s="242">
        <f ca="1">IFERROR(__xludf.DUMMYFUNCTION("IMPORTRANGE(""https://docs.google.com/spreadsheets/d/1rEDxBtusbi64tE0zunoIbsTVV16HeL0oJ6trHQeQ7K8/edit?usp=sharing"",""เชียงใหม่!S303"")"),0)</f>
        <v>0</v>
      </c>
      <c r="U16" s="243">
        <f t="shared" ca="1" si="36"/>
        <v>0</v>
      </c>
      <c r="V16" s="243">
        <f t="shared" ca="1" si="37"/>
        <v>0</v>
      </c>
      <c r="W16" s="353" t="str">
        <f ca="1">IFERROR(__xludf.DUMMYFUNCTION("IMPORTRANGE(""https://docs.google.com/spreadsheets/d/1rEDxBtusbi64tE0zunoIbsTVV16HeL0oJ6trHQeQ7K8/edit?usp=sharing"",""เชียงใหม่!J313"")"),"")</f>
        <v/>
      </c>
      <c r="X16" s="353">
        <f ca="1">IFERROR(__xludf.DUMMYFUNCTION("IMPORTRANGE(""https://docs.google.com/spreadsheets/d/1rEDxBtusbi64tE0zunoIbsTVV16HeL0oJ6trHQeQ7K8/edit?usp=sharing"",""เชียงใหม่!I314"")"),20)</f>
        <v>20</v>
      </c>
      <c r="Y16" s="177">
        <f ca="1">IFERROR(__xludf.DUMMYFUNCTION("IMPORTRANGE(""https://docs.google.com/spreadsheets/d/1rEDxBtusbi64tE0zunoIbsTVV16HeL0oJ6trHQeQ7K8/edit?usp=sharing"",""เชียงใหม่!J314"")"),0)</f>
        <v>0</v>
      </c>
      <c r="Z16" s="354">
        <f t="shared" ca="1" si="39"/>
        <v>0</v>
      </c>
      <c r="AA16" s="353" t="str">
        <f ca="1">IFERROR(__xludf.DUMMYFUNCTION("IMPORTRANGE(""https://docs.google.com/spreadsheets/d/1rEDxBtusbi64tE0zunoIbsTVV16HeL0oJ6trHQeQ7K8/edit?usp=sharing"",""เชียงใหม่!I315"")"),"")</f>
        <v/>
      </c>
      <c r="AB16" s="177" t="str">
        <f ca="1">IFERROR(__xludf.DUMMYFUNCTION("IMPORTRANGE(""https://docs.google.com/spreadsheets/d/1rEDxBtusbi64tE0zunoIbsTVV16HeL0oJ6trHQeQ7K8/edit?usp=sharing"",""เชียงใหม่!J315"")"),"")</f>
        <v/>
      </c>
      <c r="AC16" s="354" t="e">
        <f t="shared" ca="1" si="41"/>
        <v>#VALUE!</v>
      </c>
      <c r="AD16" s="353" t="str">
        <f ca="1">IFERROR(__xludf.DUMMYFUNCTION("IMPORTRANGE(""https://docs.google.com/spreadsheets/d/1rEDxBtusbi64tE0zunoIbsTVV16HeL0oJ6trHQeQ7K8/edit?usp=sharing"",""เชียงใหม่!I316"")"),"")</f>
        <v/>
      </c>
      <c r="AE16" s="177" t="str">
        <f ca="1">IFERROR(__xludf.DUMMYFUNCTION("IMPORTRANGE(""https://docs.google.com/spreadsheets/d/1rEDxBtusbi64tE0zunoIbsTVV16HeL0oJ6trHQeQ7K8/edit?usp=sharing"",""เชียงใหม่!J316"")"),"")</f>
        <v/>
      </c>
      <c r="AF16" s="354" t="e">
        <f t="shared" ca="1" si="43"/>
        <v>#VALUE!</v>
      </c>
      <c r="AG16" s="353" t="str">
        <f ca="1">IFERROR(__xludf.DUMMYFUNCTION("IMPORTRANGE(""https://docs.google.com/spreadsheets/d/1rEDxBtusbi64tE0zunoIbsTVV16HeL0oJ6trHQeQ7K8/edit?usp=sharing"",""เชียงใหม่!I317"")"),"")</f>
        <v/>
      </c>
      <c r="AH16" s="177" t="str">
        <f ca="1">IFERROR(__xludf.DUMMYFUNCTION("IMPORTRANGE(""https://docs.google.com/spreadsheets/d/1rEDxBtusbi64tE0zunoIbsTVV16HeL0oJ6trHQeQ7K8/edit?usp=sharing"",""เชียงใหม่!J317"")"),"")</f>
        <v/>
      </c>
      <c r="AI16" s="354" t="e">
        <f t="shared" ca="1" si="45"/>
        <v>#VALUE!</v>
      </c>
    </row>
    <row r="17" spans="1:35" ht="24" customHeight="1" x14ac:dyDescent="0.3">
      <c r="A17" s="89">
        <v>4</v>
      </c>
      <c r="B17" s="90" t="s">
        <v>43</v>
      </c>
      <c r="C17" s="174">
        <f t="shared" ca="1" si="27"/>
        <v>133500</v>
      </c>
      <c r="D17" s="175">
        <f t="shared" ca="1" si="46"/>
        <v>133500</v>
      </c>
      <c r="E17" s="176">
        <f ca="1">IFERROR(__xludf.DUMMYFUNCTION("IMPORTRANGE(""https://docs.google.com/spreadsheets/d/1-uDff_7J0KD5mKrp0Vvzr7lt3OU09vwQwhkpOPPYv2Y/edit?usp=sharing"",""งบพรบ!DZ17"")"),51100)</f>
        <v>51100</v>
      </c>
      <c r="F17" s="176">
        <f ca="1">IFERROR(__xludf.DUMMYFUNCTION("IMPORTRANGE(""https://docs.google.com/spreadsheets/d/1-uDff_7J0KD5mKrp0Vvzr7lt3OU09vwQwhkpOPPYv2Y/edit?usp=sharing"",""งบพรบ!EA17"")"),82400)</f>
        <v>82400</v>
      </c>
      <c r="G17" s="176">
        <f ca="1">IFERROR(__xludf.DUMMYFUNCTION("IMPORTRANGE(""https://docs.google.com/spreadsheets/d/1-uDff_7J0KD5mKrp0Vvzr7lt3OU09vwQwhkpOPPYv2Y/edit?usp=sharing"",""งบพรบ!EB17"")"),0)</f>
        <v>0</v>
      </c>
      <c r="H17" s="176">
        <f ca="1">IFERROR(__xludf.DUMMYFUNCTION("IMPORTRANGE(""https://docs.google.com/spreadsheets/d/1-uDff_7J0KD5mKrp0Vvzr7lt3OU09vwQwhkpOPPYv2Y/edit?usp=sharing"",""งบพรบ!ED17"")"),133500)</f>
        <v>133500</v>
      </c>
      <c r="I17" s="176">
        <f ca="1">IFERROR(__xludf.DUMMYFUNCTION("IMPORTRANGE(""https://docs.google.com/spreadsheets/d/1-uDff_7J0KD5mKrp0Vvzr7lt3OU09vwQwhkpOPPYv2Y/edit?usp=sharing"",""งบพรบ!EE17"")"),0)</f>
        <v>0</v>
      </c>
      <c r="J17" s="176">
        <f t="shared" ca="1" si="29"/>
        <v>48293</v>
      </c>
      <c r="K17" s="179">
        <f t="shared" ca="1" si="30"/>
        <v>36.17453183520599</v>
      </c>
      <c r="L17" s="176">
        <f ca="1">IFERROR(__xludf.DUMMYFUNCTION("IMPORTRANGE(""https://docs.google.com/spreadsheets/d/1-uDff_7J0KD5mKrp0Vvzr7lt3OU09vwQwhkpOPPYv2Y/edit?usp=sharing"",""งบพรบ!EF17"")"),48293)</f>
        <v>48293</v>
      </c>
      <c r="M17" s="87">
        <f t="shared" ca="1" si="31"/>
        <v>36.17453183520599</v>
      </c>
      <c r="N17" s="87">
        <f t="shared" ca="1" si="32"/>
        <v>36.17453183520599</v>
      </c>
      <c r="O17" s="86">
        <f ca="1">IFERROR(__xludf.DUMMYFUNCTION("IMPORTRANGE(""https://docs.google.com/spreadsheets/d/1-uDff_7J0KD5mKrp0Vvzr7lt3OU09vwQwhkpOPPYv2Y/edit?usp=sharing"",""งบพรบ!EG17"")"),0)</f>
        <v>0</v>
      </c>
      <c r="P17" s="86">
        <f t="shared" ca="1" si="33"/>
        <v>0</v>
      </c>
      <c r="Q17" s="87">
        <f t="shared" ca="1" si="34"/>
        <v>0</v>
      </c>
      <c r="R17" s="241">
        <f ca="1">IFERROR(__xludf.DUMMYFUNCTION("IMPORTRANGE(""https://docs.google.com/spreadsheets/d/1W6MnUbDkMi6xHnHko_XkFDO9kkuL6Wqyc-6OCDFjW9I/edit?usp=sharing"",""ตาก!Q303"")"),144609.24)</f>
        <v>144609.24</v>
      </c>
      <c r="S17" s="242">
        <f ca="1">IFERROR(__xludf.DUMMYFUNCTION("IMPORTRANGE(""https://docs.google.com/spreadsheets/d/1W6MnUbDkMi6xHnHko_XkFDO9kkuL6Wqyc-6OCDFjW9I/edit?usp=sharing"",""ตาก!R303"")"),0)</f>
        <v>0</v>
      </c>
      <c r="T17" s="242">
        <f ca="1">IFERROR(__xludf.DUMMYFUNCTION("IMPORTRANGE(""https://docs.google.com/spreadsheets/d/1W6MnUbDkMi6xHnHko_XkFDO9kkuL6Wqyc-6OCDFjW9I/edit?usp=sharing"",""ตาก!S303"")"),0)</f>
        <v>0</v>
      </c>
      <c r="U17" s="243">
        <f t="shared" ca="1" si="36"/>
        <v>0</v>
      </c>
      <c r="V17" s="243">
        <f t="shared" ca="1" si="37"/>
        <v>0</v>
      </c>
      <c r="W17" s="353" t="str">
        <f ca="1">IFERROR(__xludf.DUMMYFUNCTION("IMPORTRANGE(""https://docs.google.com/spreadsheets/d/1W6MnUbDkMi6xHnHko_XkFDO9kkuL6Wqyc-6OCDFjW9I/edit?usp=sharing"",""ตาก!J313"")"),"")</f>
        <v/>
      </c>
      <c r="X17" s="353">
        <f ca="1">IFERROR(__xludf.DUMMYFUNCTION("IMPORTRANGE(""https://docs.google.com/spreadsheets/d/1W6MnUbDkMi6xHnHko_XkFDO9kkuL6Wqyc-6OCDFjW9I/edit?usp=sharing"",""ตาก!I314"")"),20)</f>
        <v>20</v>
      </c>
      <c r="Y17" s="177">
        <f ca="1">IFERROR(__xludf.DUMMYFUNCTION("IMPORTRANGE(""https://docs.google.com/spreadsheets/d/1W6MnUbDkMi6xHnHko_XkFDO9kkuL6Wqyc-6OCDFjW9I/edit?usp=sharing"",""ตาก!J314"")"),20)</f>
        <v>20</v>
      </c>
      <c r="Z17" s="354">
        <f t="shared" ca="1" si="39"/>
        <v>100</v>
      </c>
      <c r="AA17" s="353" t="str">
        <f ca="1">IFERROR(__xludf.DUMMYFUNCTION("IMPORTRANGE(""https://docs.google.com/spreadsheets/d/1W6MnUbDkMi6xHnHko_XkFDO9kkuL6Wqyc-6OCDFjW9I/edit?usp=sharing"",""ตาก!I315"")"),"")</f>
        <v/>
      </c>
      <c r="AB17" s="177" t="str">
        <f ca="1">IFERROR(__xludf.DUMMYFUNCTION("IMPORTRANGE(""https://docs.google.com/spreadsheets/d/1W6MnUbDkMi6xHnHko_XkFDO9kkuL6Wqyc-6OCDFjW9I/edit?usp=sharing"",""ตาก!J315"")"),"")</f>
        <v/>
      </c>
      <c r="AC17" s="354" t="e">
        <f t="shared" ca="1" si="41"/>
        <v>#VALUE!</v>
      </c>
      <c r="AD17" s="353" t="str">
        <f ca="1">IFERROR(__xludf.DUMMYFUNCTION("IMPORTRANGE(""https://docs.google.com/spreadsheets/d/1W6MnUbDkMi6xHnHko_XkFDO9kkuL6Wqyc-6OCDFjW9I/edit?usp=sharing"",""ตาก!I316"")"),"")</f>
        <v/>
      </c>
      <c r="AE17" s="177" t="str">
        <f ca="1">IFERROR(__xludf.DUMMYFUNCTION("IMPORTRANGE(""https://docs.google.com/spreadsheets/d/1W6MnUbDkMi6xHnHko_XkFDO9kkuL6Wqyc-6OCDFjW9I/edit?usp=sharing"",""ตาก!J316"")"),"")</f>
        <v/>
      </c>
      <c r="AF17" s="354" t="e">
        <f t="shared" ca="1" si="43"/>
        <v>#VALUE!</v>
      </c>
      <c r="AG17" s="353" t="str">
        <f ca="1">IFERROR(__xludf.DUMMYFUNCTION("IMPORTRANGE(""https://docs.google.com/spreadsheets/d/1W6MnUbDkMi6xHnHko_XkFDO9kkuL6Wqyc-6OCDFjW9I/edit?usp=sharing"",""ตาก!I317"")"),"")</f>
        <v/>
      </c>
      <c r="AH17" s="177" t="str">
        <f ca="1">IFERROR(__xludf.DUMMYFUNCTION("IMPORTRANGE(""https://docs.google.com/spreadsheets/d/1W6MnUbDkMi6xHnHko_XkFDO9kkuL6Wqyc-6OCDFjW9I/edit?usp=sharing"",""ตาก!J317"")"),"")</f>
        <v/>
      </c>
      <c r="AI17" s="354" t="e">
        <f t="shared" ca="1" si="45"/>
        <v>#VALUE!</v>
      </c>
    </row>
    <row r="18" spans="1:35" ht="24" customHeight="1" x14ac:dyDescent="0.3">
      <c r="A18" s="89">
        <v>5</v>
      </c>
      <c r="B18" s="90" t="s">
        <v>44</v>
      </c>
      <c r="C18" s="174">
        <f t="shared" ca="1" si="27"/>
        <v>152100</v>
      </c>
      <c r="D18" s="175">
        <f t="shared" ca="1" si="46"/>
        <v>152100</v>
      </c>
      <c r="E18" s="176">
        <f ca="1">IFERROR(__xludf.DUMMYFUNCTION("IMPORTRANGE(""https://docs.google.com/spreadsheets/d/1-uDff_7J0KD5mKrp0Vvzr7lt3OU09vwQwhkpOPPYv2Y/edit?usp=sharing"",""งบพรบ!DZ18"")"),51100)</f>
        <v>51100</v>
      </c>
      <c r="F18" s="176">
        <f ca="1">IFERROR(__xludf.DUMMYFUNCTION("IMPORTRANGE(""https://docs.google.com/spreadsheets/d/1-uDff_7J0KD5mKrp0Vvzr7lt3OU09vwQwhkpOPPYv2Y/edit?usp=sharing"",""งบพรบ!EA18"")"),101000)</f>
        <v>101000</v>
      </c>
      <c r="G18" s="176">
        <f ca="1">IFERROR(__xludf.DUMMYFUNCTION("IMPORTRANGE(""https://docs.google.com/spreadsheets/d/1-uDff_7J0KD5mKrp0Vvzr7lt3OU09vwQwhkpOPPYv2Y/edit?usp=sharing"",""งบพรบ!EB18"")"),0)</f>
        <v>0</v>
      </c>
      <c r="H18" s="176">
        <f ca="1">IFERROR(__xludf.DUMMYFUNCTION("IMPORTRANGE(""https://docs.google.com/spreadsheets/d/1-uDff_7J0KD5mKrp0Vvzr7lt3OU09vwQwhkpOPPYv2Y/edit?usp=sharing"",""งบพรบ!ED18"")"),152100)</f>
        <v>152100</v>
      </c>
      <c r="I18" s="176">
        <f ca="1">IFERROR(__xludf.DUMMYFUNCTION("IMPORTRANGE(""https://docs.google.com/spreadsheets/d/1-uDff_7J0KD5mKrp0Vvzr7lt3OU09vwQwhkpOPPYv2Y/edit?usp=sharing"",""งบพรบ!EE18"")"),0)</f>
        <v>0</v>
      </c>
      <c r="J18" s="176">
        <f t="shared" ca="1" si="29"/>
        <v>55230</v>
      </c>
      <c r="K18" s="179">
        <f t="shared" ca="1" si="30"/>
        <v>36.311637080867847</v>
      </c>
      <c r="L18" s="176">
        <f ca="1">IFERROR(__xludf.DUMMYFUNCTION("IMPORTRANGE(""https://docs.google.com/spreadsheets/d/1-uDff_7J0KD5mKrp0Vvzr7lt3OU09vwQwhkpOPPYv2Y/edit?usp=sharing"",""งบพรบ!EF18"")"),55230)</f>
        <v>55230</v>
      </c>
      <c r="M18" s="87">
        <f t="shared" ca="1" si="31"/>
        <v>36.311637080867847</v>
      </c>
      <c r="N18" s="87">
        <f t="shared" ca="1" si="32"/>
        <v>36.311637080867847</v>
      </c>
      <c r="O18" s="86">
        <f ca="1">IFERROR(__xludf.DUMMYFUNCTION("IMPORTRANGE(""https://docs.google.com/spreadsheets/d/1-uDff_7J0KD5mKrp0Vvzr7lt3OU09vwQwhkpOPPYv2Y/edit?usp=sharing"",""งบพรบ!EG18"")"),0)</f>
        <v>0</v>
      </c>
      <c r="P18" s="86">
        <f t="shared" ca="1" si="33"/>
        <v>0</v>
      </c>
      <c r="Q18" s="87">
        <f t="shared" ca="1" si="34"/>
        <v>0</v>
      </c>
      <c r="R18" s="241">
        <f ca="1">IFERROR(__xludf.DUMMYFUNCTION("IMPORTRANGE(""https://docs.google.com/spreadsheets/d/1IQAWArduLkta9LpYo4a_ULsyqdta6-6aDDiwpUnQT6c/edit?usp=sharing"",""นครสวรรค์!Q303"")"),166057.24)</f>
        <v>166057.24</v>
      </c>
      <c r="S18" s="242">
        <f ca="1">IFERROR(__xludf.DUMMYFUNCTION("IMPORTRANGE(""https://docs.google.com/spreadsheets/d/1IQAWArduLkta9LpYo4a_ULsyqdta6-6aDDiwpUnQT6c/edit?usp=sharing"",""นครสวรรค์!R303"")"),0)</f>
        <v>0</v>
      </c>
      <c r="T18" s="242">
        <f ca="1">IFERROR(__xludf.DUMMYFUNCTION("IMPORTRANGE(""https://docs.google.com/spreadsheets/d/1IQAWArduLkta9LpYo4a_ULsyqdta6-6aDDiwpUnQT6c/edit?usp=sharing"",""นครสวรรค์!S303"")"),0)</f>
        <v>0</v>
      </c>
      <c r="U18" s="243">
        <f t="shared" ca="1" si="36"/>
        <v>0</v>
      </c>
      <c r="V18" s="243">
        <f t="shared" ca="1" si="37"/>
        <v>0</v>
      </c>
      <c r="W18" s="353" t="str">
        <f ca="1">IFERROR(__xludf.DUMMYFUNCTION("IMPORTRANGE(""https://docs.google.com/spreadsheets/d/1IQAWArduLkta9LpYo4a_ULsyqdta6-6aDDiwpUnQT6c/edit?usp=sharing"",""นครสวรรค์!J313"")"),"")</f>
        <v/>
      </c>
      <c r="X18" s="353">
        <f ca="1">IFERROR(__xludf.DUMMYFUNCTION("IMPORTRANGE(""https://docs.google.com/spreadsheets/d/1IQAWArduLkta9LpYo4a_ULsyqdta6-6aDDiwpUnQT6c/edit?usp=sharing"",""นครสวรรค์!I314"")"),25)</f>
        <v>25</v>
      </c>
      <c r="Y18" s="177">
        <f ca="1">IFERROR(__xludf.DUMMYFUNCTION("IMPORTRANGE(""https://docs.google.com/spreadsheets/d/1IQAWArduLkta9LpYo4a_ULsyqdta6-6aDDiwpUnQT6c/edit?usp=sharing"",""นครสวรรค์!J314"")"),0)</f>
        <v>0</v>
      </c>
      <c r="Z18" s="354">
        <f t="shared" ca="1" si="39"/>
        <v>0</v>
      </c>
      <c r="AA18" s="353" t="str">
        <f ca="1">IFERROR(__xludf.DUMMYFUNCTION("IMPORTRANGE(""https://docs.google.com/spreadsheets/d/1IQAWArduLkta9LpYo4a_ULsyqdta6-6aDDiwpUnQT6c/edit?usp=sharing"",""นครสวรรค์!I315"")"),"")</f>
        <v/>
      </c>
      <c r="AB18" s="177" t="str">
        <f ca="1">IFERROR(__xludf.DUMMYFUNCTION("IMPORTRANGE(""https://docs.google.com/spreadsheets/d/1IQAWArduLkta9LpYo4a_ULsyqdta6-6aDDiwpUnQT6c/edit?usp=sharing"",""นครสวรรค์!J315"")"),"")</f>
        <v/>
      </c>
      <c r="AC18" s="354" t="e">
        <f t="shared" ca="1" si="41"/>
        <v>#VALUE!</v>
      </c>
      <c r="AD18" s="353" t="str">
        <f ca="1">IFERROR(__xludf.DUMMYFUNCTION("IMPORTRANGE(""https://docs.google.com/spreadsheets/d/1IQAWArduLkta9LpYo4a_ULsyqdta6-6aDDiwpUnQT6c/edit?usp=sharing"",""นครสวรรค์!I316"")"),"")</f>
        <v/>
      </c>
      <c r="AE18" s="177" t="str">
        <f ca="1">IFERROR(__xludf.DUMMYFUNCTION("IMPORTRANGE(""https://docs.google.com/spreadsheets/d/1IQAWArduLkta9LpYo4a_ULsyqdta6-6aDDiwpUnQT6c/edit?usp=sharing"",""นครสวรรค์!J316"")"),"")</f>
        <v/>
      </c>
      <c r="AF18" s="354" t="e">
        <f t="shared" ca="1" si="43"/>
        <v>#VALUE!</v>
      </c>
      <c r="AG18" s="353" t="str">
        <f ca="1">IFERROR(__xludf.DUMMYFUNCTION("IMPORTRANGE(""https://docs.google.com/spreadsheets/d/1IQAWArduLkta9LpYo4a_ULsyqdta6-6aDDiwpUnQT6c/edit?usp=sharing"",""นครสวรรค์!I317"")"),"")</f>
        <v/>
      </c>
      <c r="AH18" s="177" t="str">
        <f ca="1">IFERROR(__xludf.DUMMYFUNCTION("IMPORTRANGE(""https://docs.google.com/spreadsheets/d/1IQAWArduLkta9LpYo4a_ULsyqdta6-6aDDiwpUnQT6c/edit?usp=sharing"",""นครสวรรค์!J317"")"),"")</f>
        <v/>
      </c>
      <c r="AI18" s="354" t="e">
        <f t="shared" ca="1" si="45"/>
        <v>#VALUE!</v>
      </c>
    </row>
    <row r="19" spans="1:35" ht="24" customHeight="1" x14ac:dyDescent="0.3">
      <c r="A19" s="89">
        <v>6</v>
      </c>
      <c r="B19" s="90" t="s">
        <v>45</v>
      </c>
      <c r="C19" s="174">
        <f t="shared" ca="1" si="27"/>
        <v>0</v>
      </c>
      <c r="D19" s="175">
        <f t="shared" ca="1" si="46"/>
        <v>0</v>
      </c>
      <c r="E19" s="176">
        <f ca="1">IFERROR(__xludf.DUMMYFUNCTION("IMPORTRANGE(""https://docs.google.com/spreadsheets/d/1-uDff_7J0KD5mKrp0Vvzr7lt3OU09vwQwhkpOPPYv2Y/edit?usp=sharing"",""งบพรบ!DZ19"")"),0)</f>
        <v>0</v>
      </c>
      <c r="F19" s="176">
        <f ca="1">IFERROR(__xludf.DUMMYFUNCTION("IMPORTRANGE(""https://docs.google.com/spreadsheets/d/1-uDff_7J0KD5mKrp0Vvzr7lt3OU09vwQwhkpOPPYv2Y/edit?usp=sharing"",""งบพรบ!EA19"")"),0)</f>
        <v>0</v>
      </c>
      <c r="G19" s="176">
        <f ca="1">IFERROR(__xludf.DUMMYFUNCTION("IMPORTRANGE(""https://docs.google.com/spreadsheets/d/1-uDff_7J0KD5mKrp0Vvzr7lt3OU09vwQwhkpOPPYv2Y/edit?usp=sharing"",""งบพรบ!EB19"")"),0)</f>
        <v>0</v>
      </c>
      <c r="H19" s="176">
        <f ca="1">IFERROR(__xludf.DUMMYFUNCTION("IMPORTRANGE(""https://docs.google.com/spreadsheets/d/1-uDff_7J0KD5mKrp0Vvzr7lt3OU09vwQwhkpOPPYv2Y/edit?usp=sharing"",""งบพรบ!ED19"")"),0)</f>
        <v>0</v>
      </c>
      <c r="I19" s="176">
        <f ca="1">IFERROR(__xludf.DUMMYFUNCTION("IMPORTRANGE(""https://docs.google.com/spreadsheets/d/1-uDff_7J0KD5mKrp0Vvzr7lt3OU09vwQwhkpOPPYv2Y/edit?usp=sharing"",""งบพรบ!EE19"")"),0)</f>
        <v>0</v>
      </c>
      <c r="J19" s="176">
        <f t="shared" ca="1" si="29"/>
        <v>0</v>
      </c>
      <c r="K19" s="179">
        <f t="shared" ca="1" si="30"/>
        <v>0</v>
      </c>
      <c r="L19" s="176">
        <f ca="1">IFERROR(__xludf.DUMMYFUNCTION("IMPORTRANGE(""https://docs.google.com/spreadsheets/d/1-uDff_7J0KD5mKrp0Vvzr7lt3OU09vwQwhkpOPPYv2Y/edit?usp=sharing"",""งบพรบ!EF19"")"),0)</f>
        <v>0</v>
      </c>
      <c r="M19" s="87">
        <f t="shared" ca="1" si="31"/>
        <v>0</v>
      </c>
      <c r="N19" s="87">
        <f t="shared" ca="1" si="32"/>
        <v>0</v>
      </c>
      <c r="O19" s="86">
        <f ca="1">IFERROR(__xludf.DUMMYFUNCTION("IMPORTRANGE(""https://docs.google.com/spreadsheets/d/1-uDff_7J0KD5mKrp0Vvzr7lt3OU09vwQwhkpOPPYv2Y/edit?usp=sharing"",""งบพรบ!EG19"")"),0)</f>
        <v>0</v>
      </c>
      <c r="P19" s="86">
        <f t="shared" ca="1" si="33"/>
        <v>0</v>
      </c>
      <c r="Q19" s="87">
        <f t="shared" ca="1" si="34"/>
        <v>0</v>
      </c>
      <c r="R19" s="241">
        <f ca="1">IFERROR(__xludf.DUMMYFUNCTION("IMPORTRANGE(""https://docs.google.com/spreadsheets/d/10s13Sk5xrltsiR-Zkbmk5DwIaDIKO8XlbJAfqyT7Gvg/edit?usp=sharing"",""น่าน!Q303"")"),260958.39)</f>
        <v>260958.39</v>
      </c>
      <c r="S19" s="242">
        <f ca="1">IFERROR(__xludf.DUMMYFUNCTION("IMPORTRANGE(""https://docs.google.com/spreadsheets/d/10s13Sk5xrltsiR-Zkbmk5DwIaDIKO8XlbJAfqyT7Gvg/edit?usp=sharing"",""น่าน!R303"")"),0)</f>
        <v>0</v>
      </c>
      <c r="T19" s="242">
        <f ca="1">IFERROR(__xludf.DUMMYFUNCTION("IMPORTRANGE(""https://docs.google.com/spreadsheets/d/10s13Sk5xrltsiR-Zkbmk5DwIaDIKO8XlbJAfqyT7Gvg/edit?usp=sharing"",""น่าน!S303"")"),0)</f>
        <v>0</v>
      </c>
      <c r="U19" s="243">
        <f t="shared" ca="1" si="36"/>
        <v>0</v>
      </c>
      <c r="V19" s="243">
        <f t="shared" ca="1" si="37"/>
        <v>0</v>
      </c>
      <c r="W19" s="353" t="str">
        <f ca="1">IFERROR(__xludf.DUMMYFUNCTION("IMPORTRANGE(""https://docs.google.com/spreadsheets/d/10s13Sk5xrltsiR-Zkbmk5DwIaDIKO8XlbJAfqyT7Gvg/edit?usp=sharing"",""น่าน!J313"")"),"")</f>
        <v/>
      </c>
      <c r="X19" s="353">
        <f ca="1">IFERROR(__xludf.DUMMYFUNCTION("IMPORTRANGE(""https://docs.google.com/spreadsheets/d/10s13Sk5xrltsiR-Zkbmk5DwIaDIKO8XlbJAfqyT7Gvg/edit?usp=sharing"",""น่าน!I314"")"),30)</f>
        <v>30</v>
      </c>
      <c r="Y19" s="177">
        <f ca="1">IFERROR(__xludf.DUMMYFUNCTION("IMPORTRANGE(""https://docs.google.com/spreadsheets/d/10s13Sk5xrltsiR-Zkbmk5DwIaDIKO8XlbJAfqyT7Gvg/edit?usp=sharing"",""น่าน!J314"")"),0)</f>
        <v>0</v>
      </c>
      <c r="Z19" s="354">
        <f t="shared" ca="1" si="39"/>
        <v>0</v>
      </c>
      <c r="AA19" s="353" t="str">
        <f ca="1">IFERROR(__xludf.DUMMYFUNCTION("IMPORTRANGE(""https://docs.google.com/spreadsheets/d/10s13Sk5xrltsiR-Zkbmk5DwIaDIKO8XlbJAfqyT7Gvg/edit?usp=sharing"",""น่าน!I315"")"),"")</f>
        <v/>
      </c>
      <c r="AB19" s="177" t="str">
        <f ca="1">IFERROR(__xludf.DUMMYFUNCTION("IMPORTRANGE(""https://docs.google.com/spreadsheets/d/10s13Sk5xrltsiR-Zkbmk5DwIaDIKO8XlbJAfqyT7Gvg/edit?usp=sharing"",""น่าน!J315"")"),"")</f>
        <v/>
      </c>
      <c r="AC19" s="354" t="e">
        <f t="shared" ca="1" si="41"/>
        <v>#VALUE!</v>
      </c>
      <c r="AD19" s="353" t="str">
        <f ca="1">IFERROR(__xludf.DUMMYFUNCTION("IMPORTRANGE(""https://docs.google.com/spreadsheets/d/10s13Sk5xrltsiR-Zkbmk5DwIaDIKO8XlbJAfqyT7Gvg/edit?usp=sharing"",""น่าน!I316"")"),"")</f>
        <v/>
      </c>
      <c r="AE19" s="177" t="str">
        <f ca="1">IFERROR(__xludf.DUMMYFUNCTION("IMPORTRANGE(""https://docs.google.com/spreadsheets/d/10s13Sk5xrltsiR-Zkbmk5DwIaDIKO8XlbJAfqyT7Gvg/edit?usp=sharing"",""น่าน!J316"")"),"")</f>
        <v/>
      </c>
      <c r="AF19" s="354" t="e">
        <f t="shared" ca="1" si="43"/>
        <v>#VALUE!</v>
      </c>
      <c r="AG19" s="353" t="str">
        <f ca="1">IFERROR(__xludf.DUMMYFUNCTION("IMPORTRANGE(""https://docs.google.com/spreadsheets/d/10s13Sk5xrltsiR-Zkbmk5DwIaDIKO8XlbJAfqyT7Gvg/edit?usp=sharing"",""น่าน!I317"")"),"")</f>
        <v/>
      </c>
      <c r="AH19" s="177" t="str">
        <f ca="1">IFERROR(__xludf.DUMMYFUNCTION("IMPORTRANGE(""https://docs.google.com/spreadsheets/d/10s13Sk5xrltsiR-Zkbmk5DwIaDIKO8XlbJAfqyT7Gvg/edit?usp=sharing"",""น่าน!J317"")"),"")</f>
        <v/>
      </c>
      <c r="AI19" s="354" t="e">
        <f t="shared" ca="1" si="45"/>
        <v>#VALUE!</v>
      </c>
    </row>
    <row r="20" spans="1:35" ht="24" customHeight="1" x14ac:dyDescent="0.3">
      <c r="A20" s="89">
        <v>7</v>
      </c>
      <c r="B20" s="90" t="s">
        <v>46</v>
      </c>
      <c r="C20" s="174">
        <f t="shared" ca="1" si="27"/>
        <v>133500</v>
      </c>
      <c r="D20" s="175">
        <f t="shared" ca="1" si="46"/>
        <v>133500</v>
      </c>
      <c r="E20" s="176">
        <f ca="1">IFERROR(__xludf.DUMMYFUNCTION("IMPORTRANGE(""https://docs.google.com/spreadsheets/d/1-uDff_7J0KD5mKrp0Vvzr7lt3OU09vwQwhkpOPPYv2Y/edit?usp=sharing"",""งบพรบ!DZ20"")"),51100)</f>
        <v>51100</v>
      </c>
      <c r="F20" s="176">
        <f ca="1">IFERROR(__xludf.DUMMYFUNCTION("IMPORTRANGE(""https://docs.google.com/spreadsheets/d/1-uDff_7J0KD5mKrp0Vvzr7lt3OU09vwQwhkpOPPYv2Y/edit?usp=sharing"",""งบพรบ!EA20"")"),82400)</f>
        <v>82400</v>
      </c>
      <c r="G20" s="176">
        <f ca="1">IFERROR(__xludf.DUMMYFUNCTION("IMPORTRANGE(""https://docs.google.com/spreadsheets/d/1-uDff_7J0KD5mKrp0Vvzr7lt3OU09vwQwhkpOPPYv2Y/edit?usp=sharing"",""งบพรบ!EB20"")"),0)</f>
        <v>0</v>
      </c>
      <c r="H20" s="176">
        <f ca="1">IFERROR(__xludf.DUMMYFUNCTION("IMPORTRANGE(""https://docs.google.com/spreadsheets/d/1-uDff_7J0KD5mKrp0Vvzr7lt3OU09vwQwhkpOPPYv2Y/edit?usp=sharing"",""งบพรบ!ED20"")"),133500)</f>
        <v>133500</v>
      </c>
      <c r="I20" s="176">
        <f ca="1">IFERROR(__xludf.DUMMYFUNCTION("IMPORTRANGE(""https://docs.google.com/spreadsheets/d/1-uDff_7J0KD5mKrp0Vvzr7lt3OU09vwQwhkpOPPYv2Y/edit?usp=sharing"",""งบพรบ!EE20"")"),0)</f>
        <v>0</v>
      </c>
      <c r="J20" s="176">
        <f t="shared" ca="1" si="29"/>
        <v>58230</v>
      </c>
      <c r="K20" s="179">
        <f t="shared" ca="1" si="30"/>
        <v>43.617977528089888</v>
      </c>
      <c r="L20" s="176">
        <f ca="1">IFERROR(__xludf.DUMMYFUNCTION("IMPORTRANGE(""https://docs.google.com/spreadsheets/d/1-uDff_7J0KD5mKrp0Vvzr7lt3OU09vwQwhkpOPPYv2Y/edit?usp=sharing"",""งบพรบ!EF20"")"),58230)</f>
        <v>58230</v>
      </c>
      <c r="M20" s="87">
        <f t="shared" ca="1" si="31"/>
        <v>43.617977528089888</v>
      </c>
      <c r="N20" s="87">
        <f t="shared" ca="1" si="32"/>
        <v>43.617977528089888</v>
      </c>
      <c r="O20" s="86">
        <f ca="1">IFERROR(__xludf.DUMMYFUNCTION("IMPORTRANGE(""https://docs.google.com/spreadsheets/d/1-uDff_7J0KD5mKrp0Vvzr7lt3OU09vwQwhkpOPPYv2Y/edit?usp=sharing"",""งบพรบ!EG20"")"),0)</f>
        <v>0</v>
      </c>
      <c r="P20" s="86">
        <f t="shared" ca="1" si="33"/>
        <v>0</v>
      </c>
      <c r="Q20" s="87">
        <f t="shared" ca="1" si="34"/>
        <v>0</v>
      </c>
      <c r="R20" s="241">
        <f ca="1">IFERROR(__xludf.DUMMYFUNCTION("IMPORTRANGE(""https://docs.google.com/spreadsheets/d/1uu4nAn4Dbi1XREnLKKotUANlKXa7yCgRcgq8HEzQYW8/edit?usp=sharing"",""พะเยา!Q303"")"),144609.24)</f>
        <v>144609.24</v>
      </c>
      <c r="S20" s="242">
        <f ca="1">IFERROR(__xludf.DUMMYFUNCTION("IMPORTRANGE(""https://docs.google.com/spreadsheets/d/1uu4nAn4Dbi1XREnLKKotUANlKXa7yCgRcgq8HEzQYW8/edit?usp=sharing"",""พะเยา!R303"")"),0)</f>
        <v>0</v>
      </c>
      <c r="T20" s="242">
        <f ca="1">IFERROR(__xludf.DUMMYFUNCTION("IMPORTRANGE(""https://docs.google.com/spreadsheets/d/1uu4nAn4Dbi1XREnLKKotUANlKXa7yCgRcgq8HEzQYW8/edit?usp=sharing"",""พะเยา!S303"")"),0)</f>
        <v>0</v>
      </c>
      <c r="U20" s="243">
        <f t="shared" ca="1" si="36"/>
        <v>0</v>
      </c>
      <c r="V20" s="243">
        <f t="shared" ca="1" si="37"/>
        <v>0</v>
      </c>
      <c r="W20" s="353" t="str">
        <f ca="1">IFERROR(__xludf.DUMMYFUNCTION("IMPORTRANGE(""https://docs.google.com/spreadsheets/d/1uu4nAn4Dbi1XREnLKKotUANlKXa7yCgRcgq8HEzQYW8/edit?usp=sharing"",""พะเยา!J313"")"),"")</f>
        <v/>
      </c>
      <c r="X20" s="353">
        <f ca="1">IFERROR(__xludf.DUMMYFUNCTION("IMPORTRANGE(""https://docs.google.com/spreadsheets/d/1uu4nAn4Dbi1XREnLKKotUANlKXa7yCgRcgq8HEzQYW8/edit?usp=sharing"",""พะเยา!I314"")"),20)</f>
        <v>20</v>
      </c>
      <c r="Y20" s="177">
        <f ca="1">IFERROR(__xludf.DUMMYFUNCTION("IMPORTRANGE(""https://docs.google.com/spreadsheets/d/1uu4nAn4Dbi1XREnLKKotUANlKXa7yCgRcgq8HEzQYW8/edit?usp=sharing"",""พะเยา!J314"")"),0)</f>
        <v>0</v>
      </c>
      <c r="Z20" s="354">
        <f t="shared" ca="1" si="39"/>
        <v>0</v>
      </c>
      <c r="AA20" s="353" t="str">
        <f ca="1">IFERROR(__xludf.DUMMYFUNCTION("IMPORTRANGE(""https://docs.google.com/spreadsheets/d/1uu4nAn4Dbi1XREnLKKotUANlKXa7yCgRcgq8HEzQYW8/edit?usp=sharing"",""พะเยา!I315"")"),"")</f>
        <v/>
      </c>
      <c r="AB20" s="177" t="str">
        <f ca="1">IFERROR(__xludf.DUMMYFUNCTION("IMPORTRANGE(""https://docs.google.com/spreadsheets/d/1uu4nAn4Dbi1XREnLKKotUANlKXa7yCgRcgq8HEzQYW8/edit?usp=sharing"",""พะเยา!J315"")"),"")</f>
        <v/>
      </c>
      <c r="AC20" s="354" t="e">
        <f t="shared" ca="1" si="41"/>
        <v>#VALUE!</v>
      </c>
      <c r="AD20" s="353" t="str">
        <f ca="1">IFERROR(__xludf.DUMMYFUNCTION("IMPORTRANGE(""https://docs.google.com/spreadsheets/d/1uu4nAn4Dbi1XREnLKKotUANlKXa7yCgRcgq8HEzQYW8/edit?usp=sharing"",""พะเยา!I316"")"),"")</f>
        <v/>
      </c>
      <c r="AE20" s="177" t="str">
        <f ca="1">IFERROR(__xludf.DUMMYFUNCTION("IMPORTRANGE(""https://docs.google.com/spreadsheets/d/1uu4nAn4Dbi1XREnLKKotUANlKXa7yCgRcgq8HEzQYW8/edit?usp=sharing"",""พะเยา!J316"")"),"")</f>
        <v/>
      </c>
      <c r="AF20" s="354" t="e">
        <f t="shared" ca="1" si="43"/>
        <v>#VALUE!</v>
      </c>
      <c r="AG20" s="353" t="str">
        <f ca="1">IFERROR(__xludf.DUMMYFUNCTION("IMPORTRANGE(""https://docs.google.com/spreadsheets/d/1uu4nAn4Dbi1XREnLKKotUANlKXa7yCgRcgq8HEzQYW8/edit?usp=sharing"",""พะเยา!I317"")"),"")</f>
        <v/>
      </c>
      <c r="AH20" s="177" t="str">
        <f ca="1">IFERROR(__xludf.DUMMYFUNCTION("IMPORTRANGE(""https://docs.google.com/spreadsheets/d/1uu4nAn4Dbi1XREnLKKotUANlKXa7yCgRcgq8HEzQYW8/edit?usp=sharing"",""พะเยา!J317"")"),"")</f>
        <v/>
      </c>
      <c r="AI20" s="354" t="e">
        <f t="shared" ca="1" si="45"/>
        <v>#VALUE!</v>
      </c>
    </row>
    <row r="21" spans="1:35" ht="24" customHeight="1" x14ac:dyDescent="0.3">
      <c r="A21" s="89">
        <v>8</v>
      </c>
      <c r="B21" s="90" t="s">
        <v>47</v>
      </c>
      <c r="C21" s="174">
        <f t="shared" ca="1" si="27"/>
        <v>0</v>
      </c>
      <c r="D21" s="175">
        <f t="shared" ca="1" si="46"/>
        <v>0</v>
      </c>
      <c r="E21" s="176">
        <f ca="1">IFERROR(__xludf.DUMMYFUNCTION("IMPORTRANGE(""https://docs.google.com/spreadsheets/d/1-uDff_7J0KD5mKrp0Vvzr7lt3OU09vwQwhkpOPPYv2Y/edit?usp=sharing"",""งบพรบ!DZ21"")"),0)</f>
        <v>0</v>
      </c>
      <c r="F21" s="176">
        <f ca="1">IFERROR(__xludf.DUMMYFUNCTION("IMPORTRANGE(""https://docs.google.com/spreadsheets/d/1-uDff_7J0KD5mKrp0Vvzr7lt3OU09vwQwhkpOPPYv2Y/edit?usp=sharing"",""งบพรบ!EA21"")"),0)</f>
        <v>0</v>
      </c>
      <c r="G21" s="176">
        <f ca="1">IFERROR(__xludf.DUMMYFUNCTION("IMPORTRANGE(""https://docs.google.com/spreadsheets/d/1-uDff_7J0KD5mKrp0Vvzr7lt3OU09vwQwhkpOPPYv2Y/edit?usp=sharing"",""งบพรบ!EB21"")"),0)</f>
        <v>0</v>
      </c>
      <c r="H21" s="176">
        <f ca="1">IFERROR(__xludf.DUMMYFUNCTION("IMPORTRANGE(""https://docs.google.com/spreadsheets/d/1-uDff_7J0KD5mKrp0Vvzr7lt3OU09vwQwhkpOPPYv2Y/edit?usp=sharing"",""งบพรบ!ED21"")"),0)</f>
        <v>0</v>
      </c>
      <c r="I21" s="176">
        <f ca="1">IFERROR(__xludf.DUMMYFUNCTION("IMPORTRANGE(""https://docs.google.com/spreadsheets/d/1-uDff_7J0KD5mKrp0Vvzr7lt3OU09vwQwhkpOPPYv2Y/edit?usp=sharing"",""งบพรบ!EE21"")"),0)</f>
        <v>0</v>
      </c>
      <c r="J21" s="176">
        <f t="shared" ca="1" si="29"/>
        <v>0</v>
      </c>
      <c r="K21" s="179">
        <f t="shared" ca="1" si="30"/>
        <v>0</v>
      </c>
      <c r="L21" s="176">
        <f ca="1">IFERROR(__xludf.DUMMYFUNCTION("IMPORTRANGE(""https://docs.google.com/spreadsheets/d/1-uDff_7J0KD5mKrp0Vvzr7lt3OU09vwQwhkpOPPYv2Y/edit?usp=sharing"",""งบพรบ!EF21"")"),0)</f>
        <v>0</v>
      </c>
      <c r="M21" s="87">
        <f t="shared" ca="1" si="31"/>
        <v>0</v>
      </c>
      <c r="N21" s="87">
        <f t="shared" ca="1" si="32"/>
        <v>0</v>
      </c>
      <c r="O21" s="86">
        <f ca="1">IFERROR(__xludf.DUMMYFUNCTION("IMPORTRANGE(""https://docs.google.com/spreadsheets/d/1-uDff_7J0KD5mKrp0Vvzr7lt3OU09vwQwhkpOPPYv2Y/edit?usp=sharing"",""งบพรบ!EG21"")"),0)</f>
        <v>0</v>
      </c>
      <c r="P21" s="86">
        <f t="shared" ca="1" si="33"/>
        <v>0</v>
      </c>
      <c r="Q21" s="87">
        <f t="shared" ca="1" si="34"/>
        <v>0</v>
      </c>
      <c r="R21" s="241">
        <f ca="1">IFERROR(__xludf.DUMMYFUNCTION("IMPORTRANGE(""https://docs.google.com/spreadsheets/d/1xfJKIQxVOaPDIICqsflNlLu3JacTDk1FP9RH4phX7mI/edit?usp=sharing"",""พิจิตร!Q303"")"),228095.39)</f>
        <v>228095.39</v>
      </c>
      <c r="S21" s="242">
        <f ca="1">IFERROR(__xludf.DUMMYFUNCTION("IMPORTRANGE(""https://docs.google.com/spreadsheets/d/1xfJKIQxVOaPDIICqsflNlLu3JacTDk1FP9RH4phX7mI/edit?usp=sharing"",""พิจิตร!R303"")"),0)</f>
        <v>0</v>
      </c>
      <c r="T21" s="242">
        <f ca="1">IFERROR(__xludf.DUMMYFUNCTION("IMPORTRANGE(""https://docs.google.com/spreadsheets/d/1xfJKIQxVOaPDIICqsflNlLu3JacTDk1FP9RH4phX7mI/edit?usp=sharing"",""พิจิตร!S303"")"),0)</f>
        <v>0</v>
      </c>
      <c r="U21" s="243">
        <f t="shared" ca="1" si="36"/>
        <v>0</v>
      </c>
      <c r="V21" s="243">
        <f t="shared" ca="1" si="37"/>
        <v>0</v>
      </c>
      <c r="W21" s="353" t="str">
        <f ca="1">IFERROR(__xludf.DUMMYFUNCTION("IMPORTRANGE(""https://docs.google.com/spreadsheets/d/1xfJKIQxVOaPDIICqsflNlLu3JacTDk1FP9RH4phX7mI/edit?usp=sharing"",""พิจิตร!J313"")"),"")</f>
        <v/>
      </c>
      <c r="X21" s="353">
        <f ca="1">IFERROR(__xludf.DUMMYFUNCTION("IMPORTRANGE(""https://docs.google.com/spreadsheets/d/1xfJKIQxVOaPDIICqsflNlLu3JacTDk1FP9RH4phX7mI/edit?usp=sharing"",""พิจิตร!I314"")"),25)</f>
        <v>25</v>
      </c>
      <c r="Y21" s="177">
        <f ca="1">IFERROR(__xludf.DUMMYFUNCTION("IMPORTRANGE(""https://docs.google.com/spreadsheets/d/1xfJKIQxVOaPDIICqsflNlLu3JacTDk1FP9RH4phX7mI/edit?usp=sharing"",""พิจิตร!J314"")"),0)</f>
        <v>0</v>
      </c>
      <c r="Z21" s="354">
        <f t="shared" ca="1" si="39"/>
        <v>0</v>
      </c>
      <c r="AA21" s="353" t="str">
        <f ca="1">IFERROR(__xludf.DUMMYFUNCTION("IMPORTRANGE(""https://docs.google.com/spreadsheets/d/1xfJKIQxVOaPDIICqsflNlLu3JacTDk1FP9RH4phX7mI/edit?usp=sharing"",""พิจิตร!I315"")"),"")</f>
        <v/>
      </c>
      <c r="AB21" s="177" t="str">
        <f ca="1">IFERROR(__xludf.DUMMYFUNCTION("IMPORTRANGE(""https://docs.google.com/spreadsheets/d/1xfJKIQxVOaPDIICqsflNlLu3JacTDk1FP9RH4phX7mI/edit?usp=sharing"",""พิจิตร!J315"")"),"")</f>
        <v/>
      </c>
      <c r="AC21" s="354" t="e">
        <f t="shared" ca="1" si="41"/>
        <v>#VALUE!</v>
      </c>
      <c r="AD21" s="353" t="str">
        <f ca="1">IFERROR(__xludf.DUMMYFUNCTION("IMPORTRANGE(""https://docs.google.com/spreadsheets/d/1xfJKIQxVOaPDIICqsflNlLu3JacTDk1FP9RH4phX7mI/edit?usp=sharing"",""พิจิตร!I316"")"),"")</f>
        <v/>
      </c>
      <c r="AE21" s="177" t="str">
        <f ca="1">IFERROR(__xludf.DUMMYFUNCTION("IMPORTRANGE(""https://docs.google.com/spreadsheets/d/1xfJKIQxVOaPDIICqsflNlLu3JacTDk1FP9RH4phX7mI/edit?usp=sharing"",""พิจิตร!J316"")"),"")</f>
        <v/>
      </c>
      <c r="AF21" s="354" t="e">
        <f t="shared" ca="1" si="43"/>
        <v>#VALUE!</v>
      </c>
      <c r="AG21" s="353" t="str">
        <f ca="1">IFERROR(__xludf.DUMMYFUNCTION("IMPORTRANGE(""https://docs.google.com/spreadsheets/d/1xfJKIQxVOaPDIICqsflNlLu3JacTDk1FP9RH4phX7mI/edit?usp=sharing"",""พิจิตร!I317"")"),"")</f>
        <v/>
      </c>
      <c r="AH21" s="177" t="str">
        <f ca="1">IFERROR(__xludf.DUMMYFUNCTION("IMPORTRANGE(""https://docs.google.com/spreadsheets/d/1xfJKIQxVOaPDIICqsflNlLu3JacTDk1FP9RH4phX7mI/edit?usp=sharing"",""พิจิตร!J317"")"),"")</f>
        <v/>
      </c>
      <c r="AI21" s="354" t="e">
        <f t="shared" ca="1" si="45"/>
        <v>#VALUE!</v>
      </c>
    </row>
    <row r="22" spans="1:35" ht="24" customHeight="1" x14ac:dyDescent="0.3">
      <c r="A22" s="89">
        <v>9</v>
      </c>
      <c r="B22" s="90" t="s">
        <v>48</v>
      </c>
      <c r="C22" s="174">
        <f t="shared" ca="1" si="27"/>
        <v>0</v>
      </c>
      <c r="D22" s="175">
        <f t="shared" ca="1" si="46"/>
        <v>0</v>
      </c>
      <c r="E22" s="176">
        <f ca="1">IFERROR(__xludf.DUMMYFUNCTION("IMPORTRANGE(""https://docs.google.com/spreadsheets/d/1-uDff_7J0KD5mKrp0Vvzr7lt3OU09vwQwhkpOPPYv2Y/edit?usp=sharing"",""งบพรบ!DZ22"")"),0)</f>
        <v>0</v>
      </c>
      <c r="F22" s="176">
        <f ca="1">IFERROR(__xludf.DUMMYFUNCTION("IMPORTRANGE(""https://docs.google.com/spreadsheets/d/1-uDff_7J0KD5mKrp0Vvzr7lt3OU09vwQwhkpOPPYv2Y/edit?usp=sharing"",""งบพรบ!EA22"")"),0)</f>
        <v>0</v>
      </c>
      <c r="G22" s="176">
        <f ca="1">IFERROR(__xludf.DUMMYFUNCTION("IMPORTRANGE(""https://docs.google.com/spreadsheets/d/1-uDff_7J0KD5mKrp0Vvzr7lt3OU09vwQwhkpOPPYv2Y/edit?usp=sharing"",""งบพรบ!EB22"")"),0)</f>
        <v>0</v>
      </c>
      <c r="H22" s="176">
        <f ca="1">IFERROR(__xludf.DUMMYFUNCTION("IMPORTRANGE(""https://docs.google.com/spreadsheets/d/1-uDff_7J0KD5mKrp0Vvzr7lt3OU09vwQwhkpOPPYv2Y/edit?usp=sharing"",""งบพรบ!ED22"")"),0)</f>
        <v>0</v>
      </c>
      <c r="I22" s="176">
        <f ca="1">IFERROR(__xludf.DUMMYFUNCTION("IMPORTRANGE(""https://docs.google.com/spreadsheets/d/1-uDff_7J0KD5mKrp0Vvzr7lt3OU09vwQwhkpOPPYv2Y/edit?usp=sharing"",""งบพรบ!EE22"")"),0)</f>
        <v>0</v>
      </c>
      <c r="J22" s="176">
        <f t="shared" ca="1" si="29"/>
        <v>0</v>
      </c>
      <c r="K22" s="179">
        <f t="shared" ca="1" si="30"/>
        <v>0</v>
      </c>
      <c r="L22" s="176">
        <f ca="1">IFERROR(__xludf.DUMMYFUNCTION("IMPORTRANGE(""https://docs.google.com/spreadsheets/d/1-uDff_7J0KD5mKrp0Vvzr7lt3OU09vwQwhkpOPPYv2Y/edit?usp=sharing"",""งบพรบ!EF22"")"),0)</f>
        <v>0</v>
      </c>
      <c r="M22" s="87">
        <f t="shared" ca="1" si="31"/>
        <v>0</v>
      </c>
      <c r="N22" s="87">
        <f t="shared" ca="1" si="32"/>
        <v>0</v>
      </c>
      <c r="O22" s="86">
        <f ca="1">IFERROR(__xludf.DUMMYFUNCTION("IMPORTRANGE(""https://docs.google.com/spreadsheets/d/1-uDff_7J0KD5mKrp0Vvzr7lt3OU09vwQwhkpOPPYv2Y/edit?usp=sharing"",""งบพรบ!EG22"")"),0)</f>
        <v>0</v>
      </c>
      <c r="P22" s="86">
        <f t="shared" ca="1" si="33"/>
        <v>0</v>
      </c>
      <c r="Q22" s="87">
        <f t="shared" ca="1" si="34"/>
        <v>0</v>
      </c>
      <c r="R22" s="241">
        <f ca="1">IFERROR(__xludf.DUMMYFUNCTION("IMPORTRANGE(""https://docs.google.com/spreadsheets/d/1JtRfZkJMHtEhI5RdRHxYUG4FIZHqKDpNyIuN7A1Q0_k/edit?usp=sharing"",""พิษณุโลก!Q303"")"),260958.39)</f>
        <v>260958.39</v>
      </c>
      <c r="S22" s="242">
        <f ca="1">IFERROR(__xludf.DUMMYFUNCTION("IMPORTRANGE(""https://docs.google.com/spreadsheets/d/1JtRfZkJMHtEhI5RdRHxYUG4FIZHqKDpNyIuN7A1Q0_k/edit?usp=sharing"",""พิษณุโลก!R303"")"),0)</f>
        <v>0</v>
      </c>
      <c r="T22" s="242">
        <f ca="1">IFERROR(__xludf.DUMMYFUNCTION("IMPORTRANGE(""https://docs.google.com/spreadsheets/d/1JtRfZkJMHtEhI5RdRHxYUG4FIZHqKDpNyIuN7A1Q0_k/edit?usp=sharing"",""พิษณุโลก!S303"")"),0)</f>
        <v>0</v>
      </c>
      <c r="U22" s="243">
        <f t="shared" ca="1" si="36"/>
        <v>0</v>
      </c>
      <c r="V22" s="243">
        <f t="shared" ca="1" si="37"/>
        <v>0</v>
      </c>
      <c r="W22" s="353" t="str">
        <f ca="1">IFERROR(__xludf.DUMMYFUNCTION("IMPORTRANGE(""https://docs.google.com/spreadsheets/d/1JtRfZkJMHtEhI5RdRHxYUG4FIZHqKDpNyIuN7A1Q0_k/edit?usp=sharing"",""พิษณุโลก!J313"")"),"")</f>
        <v/>
      </c>
      <c r="X22" s="353">
        <f ca="1">IFERROR(__xludf.DUMMYFUNCTION("IMPORTRANGE(""https://docs.google.com/spreadsheets/d/1JtRfZkJMHtEhI5RdRHxYUG4FIZHqKDpNyIuN7A1Q0_k/edit?usp=sharing"",""พิษณุโลก!I314"")"),30)</f>
        <v>30</v>
      </c>
      <c r="Y22" s="177">
        <f ca="1">IFERROR(__xludf.DUMMYFUNCTION("IMPORTRANGE(""https://docs.google.com/spreadsheets/d/1JtRfZkJMHtEhI5RdRHxYUG4FIZHqKDpNyIuN7A1Q0_k/edit?usp=sharing"",""พิษณุโลก!J314"")"),0)</f>
        <v>0</v>
      </c>
      <c r="Z22" s="354">
        <f t="shared" ca="1" si="39"/>
        <v>0</v>
      </c>
      <c r="AA22" s="353" t="str">
        <f ca="1">IFERROR(__xludf.DUMMYFUNCTION("IMPORTRANGE(""https://docs.google.com/spreadsheets/d/1JtRfZkJMHtEhI5RdRHxYUG4FIZHqKDpNyIuN7A1Q0_k/edit?usp=sharing"",""พิษณุโลก!I315"")"),"")</f>
        <v/>
      </c>
      <c r="AB22" s="177" t="str">
        <f ca="1">IFERROR(__xludf.DUMMYFUNCTION("IMPORTRANGE(""https://docs.google.com/spreadsheets/d/1JtRfZkJMHtEhI5RdRHxYUG4FIZHqKDpNyIuN7A1Q0_k/edit?usp=sharing"",""พิษณุโลก!J315"")"),"")</f>
        <v/>
      </c>
      <c r="AC22" s="354" t="e">
        <f t="shared" ca="1" si="41"/>
        <v>#VALUE!</v>
      </c>
      <c r="AD22" s="353" t="str">
        <f ca="1">IFERROR(__xludf.DUMMYFUNCTION("IMPORTRANGE(""https://docs.google.com/spreadsheets/d/1JtRfZkJMHtEhI5RdRHxYUG4FIZHqKDpNyIuN7A1Q0_k/edit?usp=sharing"",""พิษณุโลก!I316"")"),"")</f>
        <v/>
      </c>
      <c r="AE22" s="177" t="str">
        <f ca="1">IFERROR(__xludf.DUMMYFUNCTION("IMPORTRANGE(""https://docs.google.com/spreadsheets/d/1JtRfZkJMHtEhI5RdRHxYUG4FIZHqKDpNyIuN7A1Q0_k/edit?usp=sharing"",""พิษณุโลก!J316"")"),"")</f>
        <v/>
      </c>
      <c r="AF22" s="354" t="e">
        <f t="shared" ca="1" si="43"/>
        <v>#VALUE!</v>
      </c>
      <c r="AG22" s="353" t="str">
        <f ca="1">IFERROR(__xludf.DUMMYFUNCTION("IMPORTRANGE(""https://docs.google.com/spreadsheets/d/1JtRfZkJMHtEhI5RdRHxYUG4FIZHqKDpNyIuN7A1Q0_k/edit?usp=sharing"",""พิษณุโลก!I317"")"),"")</f>
        <v/>
      </c>
      <c r="AH22" s="177" t="str">
        <f ca="1">IFERROR(__xludf.DUMMYFUNCTION("IMPORTRANGE(""https://docs.google.com/spreadsheets/d/1JtRfZkJMHtEhI5RdRHxYUG4FIZHqKDpNyIuN7A1Q0_k/edit?usp=sharing"",""พิษณุโลก!J317"")"),"")</f>
        <v/>
      </c>
      <c r="AI22" s="354" t="e">
        <f t="shared" ca="1" si="45"/>
        <v>#VALUE!</v>
      </c>
    </row>
    <row r="23" spans="1:35" ht="24" customHeight="1" x14ac:dyDescent="0.3">
      <c r="A23" s="89">
        <v>10</v>
      </c>
      <c r="B23" s="90" t="s">
        <v>49</v>
      </c>
      <c r="C23" s="174">
        <f t="shared" ca="1" si="27"/>
        <v>152100</v>
      </c>
      <c r="D23" s="175">
        <f t="shared" ca="1" si="46"/>
        <v>152100</v>
      </c>
      <c r="E23" s="176">
        <f ca="1">IFERROR(__xludf.DUMMYFUNCTION("IMPORTRANGE(""https://docs.google.com/spreadsheets/d/1-uDff_7J0KD5mKrp0Vvzr7lt3OU09vwQwhkpOPPYv2Y/edit?usp=sharing"",""งบพรบ!DZ23"")"),51100)</f>
        <v>51100</v>
      </c>
      <c r="F23" s="176">
        <f ca="1">IFERROR(__xludf.DUMMYFUNCTION("IMPORTRANGE(""https://docs.google.com/spreadsheets/d/1-uDff_7J0KD5mKrp0Vvzr7lt3OU09vwQwhkpOPPYv2Y/edit?usp=sharing"",""งบพรบ!EA23"")"),101000)</f>
        <v>101000</v>
      </c>
      <c r="G23" s="176">
        <f ca="1">IFERROR(__xludf.DUMMYFUNCTION("IMPORTRANGE(""https://docs.google.com/spreadsheets/d/1-uDff_7J0KD5mKrp0Vvzr7lt3OU09vwQwhkpOPPYv2Y/edit?usp=sharing"",""งบพรบ!EB23"")"),0)</f>
        <v>0</v>
      </c>
      <c r="H23" s="176">
        <f ca="1">IFERROR(__xludf.DUMMYFUNCTION("IMPORTRANGE(""https://docs.google.com/spreadsheets/d/1-uDff_7J0KD5mKrp0Vvzr7lt3OU09vwQwhkpOPPYv2Y/edit?usp=sharing"",""งบพรบ!ED23"")"),152100)</f>
        <v>152100</v>
      </c>
      <c r="I23" s="176">
        <f ca="1">IFERROR(__xludf.DUMMYFUNCTION("IMPORTRANGE(""https://docs.google.com/spreadsheets/d/1-uDff_7J0KD5mKrp0Vvzr7lt3OU09vwQwhkpOPPYv2Y/edit?usp=sharing"",""งบพรบ!EE23"")"),0)</f>
        <v>0</v>
      </c>
      <c r="J23" s="176">
        <f t="shared" ca="1" si="29"/>
        <v>99025</v>
      </c>
      <c r="K23" s="179">
        <f t="shared" ca="1" si="30"/>
        <v>65.1051939513478</v>
      </c>
      <c r="L23" s="176">
        <f ca="1">IFERROR(__xludf.DUMMYFUNCTION("IMPORTRANGE(""https://docs.google.com/spreadsheets/d/1-uDff_7J0KD5mKrp0Vvzr7lt3OU09vwQwhkpOPPYv2Y/edit?usp=sharing"",""งบพรบ!EF23"")"),99025)</f>
        <v>99025</v>
      </c>
      <c r="M23" s="87">
        <f t="shared" ca="1" si="31"/>
        <v>65.1051939513478</v>
      </c>
      <c r="N23" s="87">
        <f t="shared" ca="1" si="32"/>
        <v>65.1051939513478</v>
      </c>
      <c r="O23" s="86">
        <f ca="1">IFERROR(__xludf.DUMMYFUNCTION("IMPORTRANGE(""https://docs.google.com/spreadsheets/d/1-uDff_7J0KD5mKrp0Vvzr7lt3OU09vwQwhkpOPPYv2Y/edit?usp=sharing"",""งบพรบ!EG23"")"),0)</f>
        <v>0</v>
      </c>
      <c r="P23" s="86">
        <f t="shared" ca="1" si="33"/>
        <v>0</v>
      </c>
      <c r="Q23" s="87">
        <f t="shared" ca="1" si="34"/>
        <v>0</v>
      </c>
      <c r="R23" s="241">
        <f ca="1">IFERROR(__xludf.DUMMYFUNCTION("IMPORTRANGE(""https://docs.google.com/spreadsheets/d/1xlcVZWUNn6SuWm0c307h32SiGkd9BaeQWlAktfD3KO8/edit?usp=sharing"",""เพชรบูรณ์!Q303"")"),166057.24)</f>
        <v>166057.24</v>
      </c>
      <c r="S23" s="242">
        <f ca="1">IFERROR(__xludf.DUMMYFUNCTION("IMPORTRANGE(""https://docs.google.com/spreadsheets/d/1xlcVZWUNn6SuWm0c307h32SiGkd9BaeQWlAktfD3KO8/edit?usp=sharing"",""เพชรบูรณ์!R303"")"),0)</f>
        <v>0</v>
      </c>
      <c r="T23" s="242">
        <f ca="1">IFERROR(__xludf.DUMMYFUNCTION("IMPORTRANGE(""https://docs.google.com/spreadsheets/d/1xlcVZWUNn6SuWm0c307h32SiGkd9BaeQWlAktfD3KO8/edit?usp=sharing"",""เพชรบูรณ์!S303"")"),0)</f>
        <v>0</v>
      </c>
      <c r="U23" s="243">
        <f t="shared" ca="1" si="36"/>
        <v>0</v>
      </c>
      <c r="V23" s="243">
        <f t="shared" ca="1" si="37"/>
        <v>0</v>
      </c>
      <c r="W23" s="353" t="str">
        <f ca="1">IFERROR(__xludf.DUMMYFUNCTION("IMPORTRANGE(""https://docs.google.com/spreadsheets/d/1xlcVZWUNn6SuWm0c307h32SiGkd9BaeQWlAktfD3KO8/edit?usp=sharing"",""เพชรบูรณ์!J313"")"),"")</f>
        <v/>
      </c>
      <c r="X23" s="353">
        <f ca="1">IFERROR(__xludf.DUMMYFUNCTION("IMPORTRANGE(""https://docs.google.com/spreadsheets/d/1xlcVZWUNn6SuWm0c307h32SiGkd9BaeQWlAktfD3KO8/edit?usp=sharing"",""เพชรบูรณ์!I314"")"),25)</f>
        <v>25</v>
      </c>
      <c r="Y23" s="177">
        <f ca="1">IFERROR(__xludf.DUMMYFUNCTION("IMPORTRANGE(""https://docs.google.com/spreadsheets/d/1xlcVZWUNn6SuWm0c307h32SiGkd9BaeQWlAktfD3KO8/edit?usp=sharing"",""เพชรบูรณ์!J314"")"),25)</f>
        <v>25</v>
      </c>
      <c r="Z23" s="354">
        <f t="shared" ca="1" si="39"/>
        <v>100</v>
      </c>
      <c r="AA23" s="353" t="str">
        <f ca="1">IFERROR(__xludf.DUMMYFUNCTION("IMPORTRANGE(""https://docs.google.com/spreadsheets/d/1xlcVZWUNn6SuWm0c307h32SiGkd9BaeQWlAktfD3KO8/edit?usp=sharing"",""เพชรบูรณ์!I315"")"),"")</f>
        <v/>
      </c>
      <c r="AB23" s="177" t="str">
        <f ca="1">IFERROR(__xludf.DUMMYFUNCTION("IMPORTRANGE(""https://docs.google.com/spreadsheets/d/1xlcVZWUNn6SuWm0c307h32SiGkd9BaeQWlAktfD3KO8/edit?usp=sharing"",""เพชรบูรณ์!J315"")"),"")</f>
        <v/>
      </c>
      <c r="AC23" s="354" t="e">
        <f t="shared" ca="1" si="41"/>
        <v>#VALUE!</v>
      </c>
      <c r="AD23" s="353" t="str">
        <f ca="1">IFERROR(__xludf.DUMMYFUNCTION("IMPORTRANGE(""https://docs.google.com/spreadsheets/d/1xlcVZWUNn6SuWm0c307h32SiGkd9BaeQWlAktfD3KO8/edit?usp=sharing"",""เพชรบูรณ์!I316"")"),"")</f>
        <v/>
      </c>
      <c r="AE23" s="177" t="str">
        <f ca="1">IFERROR(__xludf.DUMMYFUNCTION("IMPORTRANGE(""https://docs.google.com/spreadsheets/d/1xlcVZWUNn6SuWm0c307h32SiGkd9BaeQWlAktfD3KO8/edit?usp=sharing"",""เพชรบูรณ์!J316"")"),"")</f>
        <v/>
      </c>
      <c r="AF23" s="354" t="e">
        <f t="shared" ca="1" si="43"/>
        <v>#VALUE!</v>
      </c>
      <c r="AG23" s="353" t="str">
        <f ca="1">IFERROR(__xludf.DUMMYFUNCTION("IMPORTRANGE(""https://docs.google.com/spreadsheets/d/1xlcVZWUNn6SuWm0c307h32SiGkd9BaeQWlAktfD3KO8/edit?usp=sharing"",""เพชรบูรณ์!I317"")"),"")</f>
        <v/>
      </c>
      <c r="AH23" s="177" t="str">
        <f ca="1">IFERROR(__xludf.DUMMYFUNCTION("IMPORTRANGE(""https://docs.google.com/spreadsheets/d/1xlcVZWUNn6SuWm0c307h32SiGkd9BaeQWlAktfD3KO8/edit?usp=sharing"",""เพชรบูรณ์!J317"")"),"")</f>
        <v/>
      </c>
      <c r="AI23" s="354" t="e">
        <f t="shared" ca="1" si="45"/>
        <v>#VALUE!</v>
      </c>
    </row>
    <row r="24" spans="1:35" ht="24" customHeight="1" x14ac:dyDescent="0.3">
      <c r="A24" s="89">
        <v>11</v>
      </c>
      <c r="B24" s="90" t="s">
        <v>50</v>
      </c>
      <c r="C24" s="174">
        <f t="shared" ca="1" si="27"/>
        <v>0</v>
      </c>
      <c r="D24" s="175">
        <f t="shared" ca="1" si="46"/>
        <v>0</v>
      </c>
      <c r="E24" s="176">
        <f ca="1">IFERROR(__xludf.DUMMYFUNCTION("IMPORTRANGE(""https://docs.google.com/spreadsheets/d/1-uDff_7J0KD5mKrp0Vvzr7lt3OU09vwQwhkpOPPYv2Y/edit?usp=sharing"",""งบพรบ!DZ24"")"),0)</f>
        <v>0</v>
      </c>
      <c r="F24" s="176">
        <f ca="1">IFERROR(__xludf.DUMMYFUNCTION("IMPORTRANGE(""https://docs.google.com/spreadsheets/d/1-uDff_7J0KD5mKrp0Vvzr7lt3OU09vwQwhkpOPPYv2Y/edit?usp=sharing"",""งบพรบ!EA24"")"),0)</f>
        <v>0</v>
      </c>
      <c r="G24" s="176">
        <f ca="1">IFERROR(__xludf.DUMMYFUNCTION("IMPORTRANGE(""https://docs.google.com/spreadsheets/d/1-uDff_7J0KD5mKrp0Vvzr7lt3OU09vwQwhkpOPPYv2Y/edit?usp=sharing"",""งบพรบ!EB24"")"),0)</f>
        <v>0</v>
      </c>
      <c r="H24" s="176">
        <f ca="1">IFERROR(__xludf.DUMMYFUNCTION("IMPORTRANGE(""https://docs.google.com/spreadsheets/d/1-uDff_7J0KD5mKrp0Vvzr7lt3OU09vwQwhkpOPPYv2Y/edit?usp=sharing"",""งบพรบ!ED24"")"),0)</f>
        <v>0</v>
      </c>
      <c r="I24" s="176">
        <f ca="1">IFERROR(__xludf.DUMMYFUNCTION("IMPORTRANGE(""https://docs.google.com/spreadsheets/d/1-uDff_7J0KD5mKrp0Vvzr7lt3OU09vwQwhkpOPPYv2Y/edit?usp=sharing"",""งบพรบ!EE24"")"),0)</f>
        <v>0</v>
      </c>
      <c r="J24" s="176">
        <f t="shared" ca="1" si="29"/>
        <v>0</v>
      </c>
      <c r="K24" s="179">
        <f t="shared" ca="1" si="30"/>
        <v>0</v>
      </c>
      <c r="L24" s="176">
        <f ca="1">IFERROR(__xludf.DUMMYFUNCTION("IMPORTRANGE(""https://docs.google.com/spreadsheets/d/1-uDff_7J0KD5mKrp0Vvzr7lt3OU09vwQwhkpOPPYv2Y/edit?usp=sharing"",""งบพรบ!EF24"")"),0)</f>
        <v>0</v>
      </c>
      <c r="M24" s="87">
        <f t="shared" ca="1" si="31"/>
        <v>0</v>
      </c>
      <c r="N24" s="87">
        <f t="shared" ca="1" si="32"/>
        <v>0</v>
      </c>
      <c r="O24" s="86">
        <f ca="1">IFERROR(__xludf.DUMMYFUNCTION("IMPORTRANGE(""https://docs.google.com/spreadsheets/d/1-uDff_7J0KD5mKrp0Vvzr7lt3OU09vwQwhkpOPPYv2Y/edit?usp=sharing"",""งบพรบ!EG24"")"),0)</f>
        <v>0</v>
      </c>
      <c r="P24" s="86">
        <f t="shared" ca="1" si="33"/>
        <v>0</v>
      </c>
      <c r="Q24" s="87">
        <f t="shared" ca="1" si="34"/>
        <v>0</v>
      </c>
      <c r="R24" s="241">
        <f ca="1">IFERROR(__xludf.DUMMYFUNCTION("IMPORTRANGE(""https://docs.google.com/spreadsheets/d/1lOVebEIsI9qjGXl6EX66luk7wiuP2tBaryw-wKvv4e0/edit?usp=sharing"",""แพร่!Q303"")"),260958.39)</f>
        <v>260958.39</v>
      </c>
      <c r="S24" s="242">
        <f ca="1">IFERROR(__xludf.DUMMYFUNCTION("IMPORTRANGE(""https://docs.google.com/spreadsheets/d/1lOVebEIsI9qjGXl6EX66luk7wiuP2tBaryw-wKvv4e0/edit?usp=sharing"",""แพร่!R303"")"),0)</f>
        <v>0</v>
      </c>
      <c r="T24" s="242">
        <f ca="1">IFERROR(__xludf.DUMMYFUNCTION("IMPORTRANGE(""https://docs.google.com/spreadsheets/d/1lOVebEIsI9qjGXl6EX66luk7wiuP2tBaryw-wKvv4e0/edit?usp=sharing"",""แพร่!S303"")"),0)</f>
        <v>0</v>
      </c>
      <c r="U24" s="243">
        <f t="shared" ca="1" si="36"/>
        <v>0</v>
      </c>
      <c r="V24" s="243">
        <f t="shared" ca="1" si="37"/>
        <v>0</v>
      </c>
      <c r="W24" s="353" t="str">
        <f ca="1">IFERROR(__xludf.DUMMYFUNCTION("IMPORTRANGE(""https://docs.google.com/spreadsheets/d/1lOVebEIsI9qjGXl6EX66luk7wiuP2tBaryw-wKvv4e0/edit?usp=sharing"",""แพร่!J313"")"),"")</f>
        <v/>
      </c>
      <c r="X24" s="353">
        <f ca="1">IFERROR(__xludf.DUMMYFUNCTION("IMPORTRANGE(""https://docs.google.com/spreadsheets/d/1lOVebEIsI9qjGXl6EX66luk7wiuP2tBaryw-wKvv4e0/edit?usp=sharing"",""แพร่!I314"")"),30)</f>
        <v>30</v>
      </c>
      <c r="Y24" s="177">
        <f ca="1">IFERROR(__xludf.DUMMYFUNCTION("IMPORTRANGE(""https://docs.google.com/spreadsheets/d/1lOVebEIsI9qjGXl6EX66luk7wiuP2tBaryw-wKvv4e0/edit?usp=sharing"",""แพร่!J314"")"),0)</f>
        <v>0</v>
      </c>
      <c r="Z24" s="354">
        <f t="shared" ca="1" si="39"/>
        <v>0</v>
      </c>
      <c r="AA24" s="353" t="str">
        <f ca="1">IFERROR(__xludf.DUMMYFUNCTION("IMPORTRANGE(""https://docs.google.com/spreadsheets/d/1lOVebEIsI9qjGXl6EX66luk7wiuP2tBaryw-wKvv4e0/edit?usp=sharing"",""แพร่!I315"")"),"")</f>
        <v/>
      </c>
      <c r="AB24" s="177" t="str">
        <f ca="1">IFERROR(__xludf.DUMMYFUNCTION("IMPORTRANGE(""https://docs.google.com/spreadsheets/d/1lOVebEIsI9qjGXl6EX66luk7wiuP2tBaryw-wKvv4e0/edit?usp=sharing"",""แพร่!J315"")"),"")</f>
        <v/>
      </c>
      <c r="AC24" s="354" t="e">
        <f t="shared" ca="1" si="41"/>
        <v>#VALUE!</v>
      </c>
      <c r="AD24" s="353" t="str">
        <f ca="1">IFERROR(__xludf.DUMMYFUNCTION("IMPORTRANGE(""https://docs.google.com/spreadsheets/d/1lOVebEIsI9qjGXl6EX66luk7wiuP2tBaryw-wKvv4e0/edit?usp=sharing"",""แพร่!I316"")"),"")</f>
        <v/>
      </c>
      <c r="AE24" s="177" t="str">
        <f ca="1">IFERROR(__xludf.DUMMYFUNCTION("IMPORTRANGE(""https://docs.google.com/spreadsheets/d/1lOVebEIsI9qjGXl6EX66luk7wiuP2tBaryw-wKvv4e0/edit?usp=sharing"",""แพร่!J316"")"),"")</f>
        <v/>
      </c>
      <c r="AF24" s="354" t="e">
        <f t="shared" ca="1" si="43"/>
        <v>#VALUE!</v>
      </c>
      <c r="AG24" s="353" t="str">
        <f ca="1">IFERROR(__xludf.DUMMYFUNCTION("IMPORTRANGE(""https://docs.google.com/spreadsheets/d/1lOVebEIsI9qjGXl6EX66luk7wiuP2tBaryw-wKvv4e0/edit?usp=sharing"",""แพร่!I317"")"),"")</f>
        <v/>
      </c>
      <c r="AH24" s="177" t="str">
        <f ca="1">IFERROR(__xludf.DUMMYFUNCTION("IMPORTRANGE(""https://docs.google.com/spreadsheets/d/1lOVebEIsI9qjGXl6EX66luk7wiuP2tBaryw-wKvv4e0/edit?usp=sharing"",""แพร่!J317"")"),"")</f>
        <v/>
      </c>
      <c r="AI24" s="354" t="e">
        <f t="shared" ca="1" si="45"/>
        <v>#VALUE!</v>
      </c>
    </row>
    <row r="25" spans="1:35" ht="24" customHeight="1" x14ac:dyDescent="0.3">
      <c r="A25" s="89">
        <v>12</v>
      </c>
      <c r="B25" s="90" t="s">
        <v>51</v>
      </c>
      <c r="C25" s="174">
        <f t="shared" ca="1" si="27"/>
        <v>0</v>
      </c>
      <c r="D25" s="175">
        <f t="shared" ca="1" si="46"/>
        <v>0</v>
      </c>
      <c r="E25" s="176">
        <f ca="1">IFERROR(__xludf.DUMMYFUNCTION("IMPORTRANGE(""https://docs.google.com/spreadsheets/d/1-uDff_7J0KD5mKrp0Vvzr7lt3OU09vwQwhkpOPPYv2Y/edit?usp=sharing"",""งบพรบ!DZ25"")"),0)</f>
        <v>0</v>
      </c>
      <c r="F25" s="176">
        <f ca="1">IFERROR(__xludf.DUMMYFUNCTION("IMPORTRANGE(""https://docs.google.com/spreadsheets/d/1-uDff_7J0KD5mKrp0Vvzr7lt3OU09vwQwhkpOPPYv2Y/edit?usp=sharing"",""งบพรบ!EA25"")"),0)</f>
        <v>0</v>
      </c>
      <c r="G25" s="176">
        <f ca="1">IFERROR(__xludf.DUMMYFUNCTION("IMPORTRANGE(""https://docs.google.com/spreadsheets/d/1-uDff_7J0KD5mKrp0Vvzr7lt3OU09vwQwhkpOPPYv2Y/edit?usp=sharing"",""งบพรบ!EB25"")"),0)</f>
        <v>0</v>
      </c>
      <c r="H25" s="176">
        <f ca="1">IFERROR(__xludf.DUMMYFUNCTION("IMPORTRANGE(""https://docs.google.com/spreadsheets/d/1-uDff_7J0KD5mKrp0Vvzr7lt3OU09vwQwhkpOPPYv2Y/edit?usp=sharing"",""งบพรบ!ED25"")"),0)</f>
        <v>0</v>
      </c>
      <c r="I25" s="176">
        <f ca="1">IFERROR(__xludf.DUMMYFUNCTION("IMPORTRANGE(""https://docs.google.com/spreadsheets/d/1-uDff_7J0KD5mKrp0Vvzr7lt3OU09vwQwhkpOPPYv2Y/edit?usp=sharing"",""งบพรบ!EE25"")"),0)</f>
        <v>0</v>
      </c>
      <c r="J25" s="176">
        <f t="shared" ca="1" si="29"/>
        <v>0</v>
      </c>
      <c r="K25" s="179">
        <f t="shared" ca="1" si="30"/>
        <v>0</v>
      </c>
      <c r="L25" s="176">
        <f ca="1">IFERROR(__xludf.DUMMYFUNCTION("IMPORTRANGE(""https://docs.google.com/spreadsheets/d/1-uDff_7J0KD5mKrp0Vvzr7lt3OU09vwQwhkpOPPYv2Y/edit?usp=sharing"",""งบพรบ!EF25"")"),0)</f>
        <v>0</v>
      </c>
      <c r="M25" s="87">
        <f t="shared" ca="1" si="31"/>
        <v>0</v>
      </c>
      <c r="N25" s="87">
        <f t="shared" ca="1" si="32"/>
        <v>0</v>
      </c>
      <c r="O25" s="86">
        <f ca="1">IFERROR(__xludf.DUMMYFUNCTION("IMPORTRANGE(""https://docs.google.com/spreadsheets/d/1-uDff_7J0KD5mKrp0Vvzr7lt3OU09vwQwhkpOPPYv2Y/edit?usp=sharing"",""งบพรบ!EG25"")"),0)</f>
        <v>0</v>
      </c>
      <c r="P25" s="86">
        <f t="shared" ca="1" si="33"/>
        <v>0</v>
      </c>
      <c r="Q25" s="87">
        <f t="shared" ca="1" si="34"/>
        <v>0</v>
      </c>
      <c r="R25" s="241">
        <f ca="1">IFERROR(__xludf.DUMMYFUNCTION("IMPORTRANGE(""https://docs.google.com/spreadsheets/d/1dQrvX0vEcN7Gu0fnZ0B5S90AeR19zth4XlExFBeExMY/edit?usp=sharing"",""แม่ฮ่องสอน!Q303"")"),228095.39)</f>
        <v>228095.39</v>
      </c>
      <c r="S25" s="242">
        <f ca="1">IFERROR(__xludf.DUMMYFUNCTION("IMPORTRANGE(""https://docs.google.com/spreadsheets/d/1dQrvX0vEcN7Gu0fnZ0B5S90AeR19zth4XlExFBeExMY/edit?usp=sharing"",""แม่ฮ่องสอน!R303"")"),0)</f>
        <v>0</v>
      </c>
      <c r="T25" s="242">
        <f ca="1">IFERROR(__xludf.DUMMYFUNCTION("IMPORTRANGE(""https://docs.google.com/spreadsheets/d/1dQrvX0vEcN7Gu0fnZ0B5S90AeR19zth4XlExFBeExMY/edit?usp=sharing"",""แม่ฮ่องสอน!S303"")"),0)</f>
        <v>0</v>
      </c>
      <c r="U25" s="243">
        <f t="shared" ca="1" si="36"/>
        <v>0</v>
      </c>
      <c r="V25" s="243">
        <f t="shared" ca="1" si="37"/>
        <v>0</v>
      </c>
      <c r="W25" s="353" t="str">
        <f ca="1">IFERROR(__xludf.DUMMYFUNCTION("IMPORTRANGE(""https://docs.google.com/spreadsheets/d/1dQrvX0vEcN7Gu0fnZ0B5S90AeR19zth4XlExFBeExMY/edit?usp=sharing"",""แม่ฮ่องสอน!J313"")"),"")</f>
        <v/>
      </c>
      <c r="X25" s="353">
        <f ca="1">IFERROR(__xludf.DUMMYFUNCTION("IMPORTRANGE(""https://docs.google.com/spreadsheets/d/1dQrvX0vEcN7Gu0fnZ0B5S90AeR19zth4XlExFBeExMY/edit?usp=sharing"",""แม่ฮ่องสอน!I314"")"),25)</f>
        <v>25</v>
      </c>
      <c r="Y25" s="177">
        <f ca="1">IFERROR(__xludf.DUMMYFUNCTION("IMPORTRANGE(""https://docs.google.com/spreadsheets/d/1dQrvX0vEcN7Gu0fnZ0B5S90AeR19zth4XlExFBeExMY/edit?usp=sharing"",""แม่ฮ่องสอน!J314"")"),0)</f>
        <v>0</v>
      </c>
      <c r="Z25" s="354">
        <f t="shared" ca="1" si="39"/>
        <v>0</v>
      </c>
      <c r="AA25" s="353" t="str">
        <f ca="1">IFERROR(__xludf.DUMMYFUNCTION("IMPORTRANGE(""https://docs.google.com/spreadsheets/d/1dQrvX0vEcN7Gu0fnZ0B5S90AeR19zth4XlExFBeExMY/edit?usp=sharing"",""แม่ฮ่องสอน!I315"")"),"")</f>
        <v/>
      </c>
      <c r="AB25" s="177" t="str">
        <f ca="1">IFERROR(__xludf.DUMMYFUNCTION("IMPORTRANGE(""https://docs.google.com/spreadsheets/d/1dQrvX0vEcN7Gu0fnZ0B5S90AeR19zth4XlExFBeExMY/edit?usp=sharing"",""แม่ฮ่องสอน!J315"")"),"")</f>
        <v/>
      </c>
      <c r="AC25" s="354" t="e">
        <f t="shared" ca="1" si="41"/>
        <v>#VALUE!</v>
      </c>
      <c r="AD25" s="353" t="str">
        <f ca="1">IFERROR(__xludf.DUMMYFUNCTION("IMPORTRANGE(""https://docs.google.com/spreadsheets/d/1dQrvX0vEcN7Gu0fnZ0B5S90AeR19zth4XlExFBeExMY/edit?usp=sharing"",""แม่ฮ่องสอน!I316"")"),"")</f>
        <v/>
      </c>
      <c r="AE25" s="177" t="str">
        <f ca="1">IFERROR(__xludf.DUMMYFUNCTION("IMPORTRANGE(""https://docs.google.com/spreadsheets/d/1dQrvX0vEcN7Gu0fnZ0B5S90AeR19zth4XlExFBeExMY/edit?usp=sharing"",""แม่ฮ่องสอน!J316"")"),"")</f>
        <v/>
      </c>
      <c r="AF25" s="354" t="e">
        <f t="shared" ca="1" si="43"/>
        <v>#VALUE!</v>
      </c>
      <c r="AG25" s="353" t="str">
        <f ca="1">IFERROR(__xludf.DUMMYFUNCTION("IMPORTRANGE(""https://docs.google.com/spreadsheets/d/1dQrvX0vEcN7Gu0fnZ0B5S90AeR19zth4XlExFBeExMY/edit?usp=sharing"",""แม่ฮ่องสอน!I317"")"),"")</f>
        <v/>
      </c>
      <c r="AH25" s="177" t="str">
        <f ca="1">IFERROR(__xludf.DUMMYFUNCTION("IMPORTRANGE(""https://docs.google.com/spreadsheets/d/1dQrvX0vEcN7Gu0fnZ0B5S90AeR19zth4XlExFBeExMY/edit?usp=sharing"",""แม่ฮ่องสอน!J317"")"),"")</f>
        <v/>
      </c>
      <c r="AI25" s="354" t="e">
        <f t="shared" ca="1" si="45"/>
        <v>#VALUE!</v>
      </c>
    </row>
    <row r="26" spans="1:35" ht="24" customHeight="1" x14ac:dyDescent="0.3">
      <c r="A26" s="89">
        <v>13</v>
      </c>
      <c r="B26" s="90" t="s">
        <v>52</v>
      </c>
      <c r="C26" s="174">
        <f t="shared" ca="1" si="27"/>
        <v>0</v>
      </c>
      <c r="D26" s="175">
        <f t="shared" ca="1" si="46"/>
        <v>0</v>
      </c>
      <c r="E26" s="176">
        <f ca="1">IFERROR(__xludf.DUMMYFUNCTION("IMPORTRANGE(""https://docs.google.com/spreadsheets/d/1-uDff_7J0KD5mKrp0Vvzr7lt3OU09vwQwhkpOPPYv2Y/edit?usp=sharing"",""งบพรบ!DZ26"")"),0)</f>
        <v>0</v>
      </c>
      <c r="F26" s="176">
        <f ca="1">IFERROR(__xludf.DUMMYFUNCTION("IMPORTRANGE(""https://docs.google.com/spreadsheets/d/1-uDff_7J0KD5mKrp0Vvzr7lt3OU09vwQwhkpOPPYv2Y/edit?usp=sharing"",""งบพรบ!EA26"")"),0)</f>
        <v>0</v>
      </c>
      <c r="G26" s="176">
        <f ca="1">IFERROR(__xludf.DUMMYFUNCTION("IMPORTRANGE(""https://docs.google.com/spreadsheets/d/1-uDff_7J0KD5mKrp0Vvzr7lt3OU09vwQwhkpOPPYv2Y/edit?usp=sharing"",""งบพรบ!EB26"")"),0)</f>
        <v>0</v>
      </c>
      <c r="H26" s="176">
        <f ca="1">IFERROR(__xludf.DUMMYFUNCTION("IMPORTRANGE(""https://docs.google.com/spreadsheets/d/1-uDff_7J0KD5mKrp0Vvzr7lt3OU09vwQwhkpOPPYv2Y/edit?usp=sharing"",""งบพรบ!ED26"")"),0)</f>
        <v>0</v>
      </c>
      <c r="I26" s="176">
        <f ca="1">IFERROR(__xludf.DUMMYFUNCTION("IMPORTRANGE(""https://docs.google.com/spreadsheets/d/1-uDff_7J0KD5mKrp0Vvzr7lt3OU09vwQwhkpOPPYv2Y/edit?usp=sharing"",""งบพรบ!EE26"")"),0)</f>
        <v>0</v>
      </c>
      <c r="J26" s="176">
        <f t="shared" ca="1" si="29"/>
        <v>0</v>
      </c>
      <c r="K26" s="179">
        <f t="shared" ca="1" si="30"/>
        <v>0</v>
      </c>
      <c r="L26" s="176">
        <f ca="1">IFERROR(__xludf.DUMMYFUNCTION("IMPORTRANGE(""https://docs.google.com/spreadsheets/d/1-uDff_7J0KD5mKrp0Vvzr7lt3OU09vwQwhkpOPPYv2Y/edit?usp=sharing"",""งบพรบ!EF26"")"),0)</f>
        <v>0</v>
      </c>
      <c r="M26" s="87">
        <f t="shared" ca="1" si="31"/>
        <v>0</v>
      </c>
      <c r="N26" s="87">
        <f t="shared" ca="1" si="32"/>
        <v>0</v>
      </c>
      <c r="O26" s="86">
        <f ca="1">IFERROR(__xludf.DUMMYFUNCTION("IMPORTRANGE(""https://docs.google.com/spreadsheets/d/1-uDff_7J0KD5mKrp0Vvzr7lt3OU09vwQwhkpOPPYv2Y/edit?usp=sharing"",""งบพรบ!EG26"")"),0)</f>
        <v>0</v>
      </c>
      <c r="P26" s="86">
        <f t="shared" ca="1" si="33"/>
        <v>0</v>
      </c>
      <c r="Q26" s="87">
        <f t="shared" ca="1" si="34"/>
        <v>0</v>
      </c>
      <c r="R26" s="241">
        <f ca="1">IFERROR(__xludf.DUMMYFUNCTION("IMPORTRANGE(""https://docs.google.com/spreadsheets/d/1DY4XTNNwjluuxqdfdn6qvOSlMRrZqUtmYcZR0ttFiG4/edit?usp=sharing"",""ลำปาง!Q303"")"),260958.39)</f>
        <v>260958.39</v>
      </c>
      <c r="S26" s="242">
        <f ca="1">IFERROR(__xludf.DUMMYFUNCTION("IMPORTRANGE(""https://docs.google.com/spreadsheets/d/1DY4XTNNwjluuxqdfdn6qvOSlMRrZqUtmYcZR0ttFiG4/edit?usp=sharing"",""ลำปาง!R303"")"),0)</f>
        <v>0</v>
      </c>
      <c r="T26" s="242">
        <f ca="1">IFERROR(__xludf.DUMMYFUNCTION("IMPORTRANGE(""https://docs.google.com/spreadsheets/d/1DY4XTNNwjluuxqdfdn6qvOSlMRrZqUtmYcZR0ttFiG4/edit?usp=sharing"",""ลำปาง!S303"")"),0)</f>
        <v>0</v>
      </c>
      <c r="U26" s="243">
        <f t="shared" ca="1" si="36"/>
        <v>0</v>
      </c>
      <c r="V26" s="243">
        <f t="shared" ca="1" si="37"/>
        <v>0</v>
      </c>
      <c r="W26" s="353" t="str">
        <f ca="1">IFERROR(__xludf.DUMMYFUNCTION("IMPORTRANGE(""https://docs.google.com/spreadsheets/d/1DY4XTNNwjluuxqdfdn6qvOSlMRrZqUtmYcZR0ttFiG4/edit?usp=sharing"",""ลำปาง!J313"")"),"")</f>
        <v/>
      </c>
      <c r="X26" s="355">
        <f ca="1">IFERROR(__xludf.DUMMYFUNCTION("IMPORTRANGE(""https://docs.google.com/spreadsheets/d/1DY4XTNNwjluuxqdfdn6qvOSlMRrZqUtmYcZR0ttFiG4/edit?usp=sharing"",""ลำปาง!I314"")"),30)</f>
        <v>30</v>
      </c>
      <c r="Y26" s="177">
        <f ca="1">IFERROR(__xludf.DUMMYFUNCTION("IMPORTRANGE(""https://docs.google.com/spreadsheets/d/1DY4XTNNwjluuxqdfdn6qvOSlMRrZqUtmYcZR0ttFiG4/edit?usp=sharing"",""ลำปาง!J314"")"),0)</f>
        <v>0</v>
      </c>
      <c r="Z26" s="354">
        <f t="shared" ca="1" si="39"/>
        <v>0</v>
      </c>
      <c r="AA26" s="355" t="str">
        <f ca="1">IFERROR(__xludf.DUMMYFUNCTION("IMPORTRANGE(""https://docs.google.com/spreadsheets/d/1DY4XTNNwjluuxqdfdn6qvOSlMRrZqUtmYcZR0ttFiG4/edit?usp=sharing"",""ลำปาง!I315"")"),"")</f>
        <v/>
      </c>
      <c r="AB26" s="177" t="str">
        <f ca="1">IFERROR(__xludf.DUMMYFUNCTION("IMPORTRANGE(""https://docs.google.com/spreadsheets/d/1DY4XTNNwjluuxqdfdn6qvOSlMRrZqUtmYcZR0ttFiG4/edit?usp=sharing"",""ลำปาง!J315"")"),"")</f>
        <v/>
      </c>
      <c r="AC26" s="354" t="e">
        <f t="shared" ca="1" si="41"/>
        <v>#VALUE!</v>
      </c>
      <c r="AD26" s="355" t="str">
        <f ca="1">IFERROR(__xludf.DUMMYFUNCTION("IMPORTRANGE(""https://docs.google.com/spreadsheets/d/1DY4XTNNwjluuxqdfdn6qvOSlMRrZqUtmYcZR0ttFiG4/edit?usp=sharing"",""ลำปาง!I316"")"),"")</f>
        <v/>
      </c>
      <c r="AE26" s="177" t="str">
        <f ca="1">IFERROR(__xludf.DUMMYFUNCTION("IMPORTRANGE(""https://docs.google.com/spreadsheets/d/1DY4XTNNwjluuxqdfdn6qvOSlMRrZqUtmYcZR0ttFiG4/edit?usp=sharing"",""ลำปาง!J316"")"),"")</f>
        <v/>
      </c>
      <c r="AF26" s="354" t="e">
        <f t="shared" ca="1" si="43"/>
        <v>#VALUE!</v>
      </c>
      <c r="AG26" s="355" t="str">
        <f ca="1">IFERROR(__xludf.DUMMYFUNCTION("IMPORTRANGE(""https://docs.google.com/spreadsheets/d/1DY4XTNNwjluuxqdfdn6qvOSlMRrZqUtmYcZR0ttFiG4/edit?usp=sharing"",""ลำปาง!I317"")"),"")</f>
        <v/>
      </c>
      <c r="AH26" s="177" t="str">
        <f ca="1">IFERROR(__xludf.DUMMYFUNCTION("IMPORTRANGE(""https://docs.google.com/spreadsheets/d/1DY4XTNNwjluuxqdfdn6qvOSlMRrZqUtmYcZR0ttFiG4/edit?usp=sharing"",""ลำปาง!J317"")"),"")</f>
        <v/>
      </c>
      <c r="AI26" s="354" t="e">
        <f t="shared" ca="1" si="45"/>
        <v>#VALUE!</v>
      </c>
    </row>
    <row r="27" spans="1:35" ht="24" customHeight="1" x14ac:dyDescent="0.3">
      <c r="A27" s="89">
        <v>14</v>
      </c>
      <c r="B27" s="90" t="s">
        <v>53</v>
      </c>
      <c r="C27" s="174">
        <f t="shared" ca="1" si="27"/>
        <v>0</v>
      </c>
      <c r="D27" s="175">
        <f t="shared" ca="1" si="46"/>
        <v>0</v>
      </c>
      <c r="E27" s="176">
        <f ca="1">IFERROR(__xludf.DUMMYFUNCTION("IMPORTRANGE(""https://docs.google.com/spreadsheets/d/1-uDff_7J0KD5mKrp0Vvzr7lt3OU09vwQwhkpOPPYv2Y/edit?usp=sharing"",""งบพรบ!DZ27"")"),0)</f>
        <v>0</v>
      </c>
      <c r="F27" s="176">
        <f ca="1">IFERROR(__xludf.DUMMYFUNCTION("IMPORTRANGE(""https://docs.google.com/spreadsheets/d/1-uDff_7J0KD5mKrp0Vvzr7lt3OU09vwQwhkpOPPYv2Y/edit?usp=sharing"",""งบพรบ!EA27"")"),0)</f>
        <v>0</v>
      </c>
      <c r="G27" s="176">
        <f ca="1">IFERROR(__xludf.DUMMYFUNCTION("IMPORTRANGE(""https://docs.google.com/spreadsheets/d/1-uDff_7J0KD5mKrp0Vvzr7lt3OU09vwQwhkpOPPYv2Y/edit?usp=sharing"",""งบพรบ!EB27"")"),0)</f>
        <v>0</v>
      </c>
      <c r="H27" s="176">
        <f ca="1">IFERROR(__xludf.DUMMYFUNCTION("IMPORTRANGE(""https://docs.google.com/spreadsheets/d/1-uDff_7J0KD5mKrp0Vvzr7lt3OU09vwQwhkpOPPYv2Y/edit?usp=sharing"",""งบพรบ!ED27"")"),0)</f>
        <v>0</v>
      </c>
      <c r="I27" s="176">
        <f ca="1">IFERROR(__xludf.DUMMYFUNCTION("IMPORTRANGE(""https://docs.google.com/spreadsheets/d/1-uDff_7J0KD5mKrp0Vvzr7lt3OU09vwQwhkpOPPYv2Y/edit?usp=sharing"",""งบพรบ!EE27"")"),0)</f>
        <v>0</v>
      </c>
      <c r="J27" s="176">
        <f t="shared" ca="1" si="29"/>
        <v>0</v>
      </c>
      <c r="K27" s="179">
        <f t="shared" ca="1" si="30"/>
        <v>0</v>
      </c>
      <c r="L27" s="176">
        <f ca="1">IFERROR(__xludf.DUMMYFUNCTION("IMPORTRANGE(""https://docs.google.com/spreadsheets/d/1-uDff_7J0KD5mKrp0Vvzr7lt3OU09vwQwhkpOPPYv2Y/edit?usp=sharing"",""งบพรบ!EF27"")"),0)</f>
        <v>0</v>
      </c>
      <c r="M27" s="87">
        <f t="shared" ca="1" si="31"/>
        <v>0</v>
      </c>
      <c r="N27" s="87">
        <f t="shared" ca="1" si="32"/>
        <v>0</v>
      </c>
      <c r="O27" s="86">
        <f ca="1">IFERROR(__xludf.DUMMYFUNCTION("IMPORTRANGE(""https://docs.google.com/spreadsheets/d/1-uDff_7J0KD5mKrp0Vvzr7lt3OU09vwQwhkpOPPYv2Y/edit?usp=sharing"",""งบพรบ!EG27"")"),0)</f>
        <v>0</v>
      </c>
      <c r="P27" s="86">
        <f t="shared" ca="1" si="33"/>
        <v>0</v>
      </c>
      <c r="Q27" s="87">
        <f t="shared" ca="1" si="34"/>
        <v>0</v>
      </c>
      <c r="R27" s="241">
        <f ca="1">IFERROR(__xludf.DUMMYFUNCTION("IMPORTRANGE(""https://docs.google.com/spreadsheets/d/1ICwG78r0OFT8biBlxnBF8r7she7gNSzOvJ958PWT09c/edit?usp=sharing"",""ลำพูน!Q303"")"),228095.39)</f>
        <v>228095.39</v>
      </c>
      <c r="S27" s="242">
        <f ca="1">IFERROR(__xludf.DUMMYFUNCTION("IMPORTRANGE(""https://docs.google.com/spreadsheets/d/1ICwG78r0OFT8biBlxnBF8r7she7gNSzOvJ958PWT09c/edit?usp=sharing"",""ลำพูน!R303"")"),0)</f>
        <v>0</v>
      </c>
      <c r="T27" s="242">
        <f ca="1">IFERROR(__xludf.DUMMYFUNCTION("IMPORTRANGE(""https://docs.google.com/spreadsheets/d/1ICwG78r0OFT8biBlxnBF8r7she7gNSzOvJ958PWT09c/edit?usp=sharing"",""ลำพูน!S303"")"),0)</f>
        <v>0</v>
      </c>
      <c r="U27" s="243">
        <f t="shared" ca="1" si="36"/>
        <v>0</v>
      </c>
      <c r="V27" s="243">
        <f t="shared" ca="1" si="37"/>
        <v>0</v>
      </c>
      <c r="W27" s="353" t="str">
        <f ca="1">IFERROR(__xludf.DUMMYFUNCTION("IMPORTRANGE(""https://docs.google.com/spreadsheets/d/1ICwG78r0OFT8biBlxnBF8r7she7gNSzOvJ958PWT09c/edit?usp=sharing"",""ลำพูน!J313"")"),"")</f>
        <v/>
      </c>
      <c r="X27" s="353">
        <f ca="1">IFERROR(__xludf.DUMMYFUNCTION("IMPORTRANGE(""https://docs.google.com/spreadsheets/d/1ICwG78r0OFT8biBlxnBF8r7she7gNSzOvJ958PWT09c/edit?usp=sharing"",""ลำพูน!I314"")"),25)</f>
        <v>25</v>
      </c>
      <c r="Y27" s="177">
        <f ca="1">IFERROR(__xludf.DUMMYFUNCTION("IMPORTRANGE(""https://docs.google.com/spreadsheets/d/1ICwG78r0OFT8biBlxnBF8r7she7gNSzOvJ958PWT09c/edit?usp=sharing"",""ลำพูน!J314"")"),0)</f>
        <v>0</v>
      </c>
      <c r="Z27" s="354">
        <f t="shared" ca="1" si="39"/>
        <v>0</v>
      </c>
      <c r="AA27" s="353" t="str">
        <f ca="1">IFERROR(__xludf.DUMMYFUNCTION("IMPORTRANGE(""https://docs.google.com/spreadsheets/d/1ICwG78r0OFT8biBlxnBF8r7she7gNSzOvJ958PWT09c/edit?usp=sharing"",""ลำพูน!I315"")"),"")</f>
        <v/>
      </c>
      <c r="AB27" s="177" t="str">
        <f ca="1">IFERROR(__xludf.DUMMYFUNCTION("IMPORTRANGE(""https://docs.google.com/spreadsheets/d/1ICwG78r0OFT8biBlxnBF8r7she7gNSzOvJ958PWT09c/edit?usp=sharing"",""ลำพูน!J315"")"),"")</f>
        <v/>
      </c>
      <c r="AC27" s="354" t="e">
        <f t="shared" ca="1" si="41"/>
        <v>#VALUE!</v>
      </c>
      <c r="AD27" s="353" t="str">
        <f ca="1">IFERROR(__xludf.DUMMYFUNCTION("IMPORTRANGE(""https://docs.google.com/spreadsheets/d/1ICwG78r0OFT8biBlxnBF8r7she7gNSzOvJ958PWT09c/edit?usp=sharing"",""ลำพูน!I316"")"),"")</f>
        <v/>
      </c>
      <c r="AE27" s="177" t="str">
        <f ca="1">IFERROR(__xludf.DUMMYFUNCTION("IMPORTRANGE(""https://docs.google.com/spreadsheets/d/1ICwG78r0OFT8biBlxnBF8r7she7gNSzOvJ958PWT09c/edit?usp=sharing"",""ลำพูน!J316"")"),"")</f>
        <v/>
      </c>
      <c r="AF27" s="354" t="e">
        <f t="shared" ca="1" si="43"/>
        <v>#VALUE!</v>
      </c>
      <c r="AG27" s="353" t="str">
        <f ca="1">IFERROR(__xludf.DUMMYFUNCTION("IMPORTRANGE(""https://docs.google.com/spreadsheets/d/1ICwG78r0OFT8biBlxnBF8r7she7gNSzOvJ958PWT09c/edit?usp=sharing"",""ลำพูน!I317"")"),"")</f>
        <v/>
      </c>
      <c r="AH27" s="177" t="str">
        <f ca="1">IFERROR(__xludf.DUMMYFUNCTION("IMPORTRANGE(""https://docs.google.com/spreadsheets/d/1ICwG78r0OFT8biBlxnBF8r7she7gNSzOvJ958PWT09c/edit?usp=sharing"",""ลำพูน!J317"")"),"")</f>
        <v/>
      </c>
      <c r="AI27" s="354" t="e">
        <f t="shared" ca="1" si="45"/>
        <v>#VALUE!</v>
      </c>
    </row>
    <row r="28" spans="1:35" ht="24" customHeight="1" x14ac:dyDescent="0.3">
      <c r="A28" s="89">
        <v>15</v>
      </c>
      <c r="B28" s="90" t="s">
        <v>54</v>
      </c>
      <c r="C28" s="174">
        <f t="shared" ca="1" si="27"/>
        <v>0</v>
      </c>
      <c r="D28" s="175">
        <f t="shared" ca="1" si="46"/>
        <v>0</v>
      </c>
      <c r="E28" s="176">
        <f ca="1">IFERROR(__xludf.DUMMYFUNCTION("IMPORTRANGE(""https://docs.google.com/spreadsheets/d/1-uDff_7J0KD5mKrp0Vvzr7lt3OU09vwQwhkpOPPYv2Y/edit?usp=sharing"",""งบพรบ!DZ28"")"),0)</f>
        <v>0</v>
      </c>
      <c r="F28" s="176">
        <f ca="1">IFERROR(__xludf.DUMMYFUNCTION("IMPORTRANGE(""https://docs.google.com/spreadsheets/d/1-uDff_7J0KD5mKrp0Vvzr7lt3OU09vwQwhkpOPPYv2Y/edit?usp=sharing"",""งบพรบ!EA28"")"),0)</f>
        <v>0</v>
      </c>
      <c r="G28" s="176">
        <f ca="1">IFERROR(__xludf.DUMMYFUNCTION("IMPORTRANGE(""https://docs.google.com/spreadsheets/d/1-uDff_7J0KD5mKrp0Vvzr7lt3OU09vwQwhkpOPPYv2Y/edit?usp=sharing"",""งบพรบ!EB28"")"),0)</f>
        <v>0</v>
      </c>
      <c r="H28" s="176">
        <f ca="1">IFERROR(__xludf.DUMMYFUNCTION("IMPORTRANGE(""https://docs.google.com/spreadsheets/d/1-uDff_7J0KD5mKrp0Vvzr7lt3OU09vwQwhkpOPPYv2Y/edit?usp=sharing"",""งบพรบ!ED28"")"),0)</f>
        <v>0</v>
      </c>
      <c r="I28" s="176">
        <f ca="1">IFERROR(__xludf.DUMMYFUNCTION("IMPORTRANGE(""https://docs.google.com/spreadsheets/d/1-uDff_7J0KD5mKrp0Vvzr7lt3OU09vwQwhkpOPPYv2Y/edit?usp=sharing"",""งบพรบ!EE28"")"),0)</f>
        <v>0</v>
      </c>
      <c r="J28" s="176">
        <f t="shared" ca="1" si="29"/>
        <v>0</v>
      </c>
      <c r="K28" s="179">
        <f t="shared" ca="1" si="30"/>
        <v>0</v>
      </c>
      <c r="L28" s="176">
        <f ca="1">IFERROR(__xludf.DUMMYFUNCTION("IMPORTRANGE(""https://docs.google.com/spreadsheets/d/1-uDff_7J0KD5mKrp0Vvzr7lt3OU09vwQwhkpOPPYv2Y/edit?usp=sharing"",""งบพรบ!EF28"")"),0)</f>
        <v>0</v>
      </c>
      <c r="M28" s="87">
        <f t="shared" ca="1" si="31"/>
        <v>0</v>
      </c>
      <c r="N28" s="87">
        <f t="shared" ca="1" si="32"/>
        <v>0</v>
      </c>
      <c r="O28" s="86">
        <f ca="1">IFERROR(__xludf.DUMMYFUNCTION("IMPORTRANGE(""https://docs.google.com/spreadsheets/d/1-uDff_7J0KD5mKrp0Vvzr7lt3OU09vwQwhkpOPPYv2Y/edit?usp=sharing"",""งบพรบ!EG28"")"),0)</f>
        <v>0</v>
      </c>
      <c r="P28" s="86">
        <f t="shared" ca="1" si="33"/>
        <v>0</v>
      </c>
      <c r="Q28" s="87">
        <f t="shared" ca="1" si="34"/>
        <v>0</v>
      </c>
      <c r="R28" s="241">
        <f ca="1">IFERROR(__xludf.DUMMYFUNCTION("IMPORTRANGE(""https://docs.google.com/spreadsheets/d/1B0f2xJpZUC6Z0xXnqKlZtEPzsf6L84eP1r1Q15seqRM/edit?usp=sharing"",""สุโขทัย!Q303"")"),374853.15)</f>
        <v>374853.15</v>
      </c>
      <c r="S28" s="242">
        <f ca="1">IFERROR(__xludf.DUMMYFUNCTION("IMPORTRANGE(""https://docs.google.com/spreadsheets/d/1B0f2xJpZUC6Z0xXnqKlZtEPzsf6L84eP1r1Q15seqRM/edit?usp=sharing"",""สุโขทัย!R303"")"),0)</f>
        <v>0</v>
      </c>
      <c r="T28" s="242">
        <f ca="1">IFERROR(__xludf.DUMMYFUNCTION("IMPORTRANGE(""https://docs.google.com/spreadsheets/d/1B0f2xJpZUC6Z0xXnqKlZtEPzsf6L84eP1r1Q15seqRM/edit?usp=sharing"",""สุโขทัย!S303"")"),0)</f>
        <v>0</v>
      </c>
      <c r="U28" s="243">
        <f t="shared" ca="1" si="36"/>
        <v>0</v>
      </c>
      <c r="V28" s="243">
        <f t="shared" ca="1" si="37"/>
        <v>0</v>
      </c>
      <c r="W28" s="353" t="str">
        <f ca="1">IFERROR(__xludf.DUMMYFUNCTION("IMPORTRANGE(""https://docs.google.com/spreadsheets/d/1B0f2xJpZUC6Z0xXnqKlZtEPzsf6L84eP1r1Q15seqRM/edit?usp=sharing"",""สุโขทัย!J313"")"),"")</f>
        <v/>
      </c>
      <c r="X28" s="353">
        <f ca="1">IFERROR(__xludf.DUMMYFUNCTION("IMPORTRANGE(""https://docs.google.com/spreadsheets/d/1B0f2xJpZUC6Z0xXnqKlZtEPzsf6L84eP1r1Q15seqRM/edit?usp=sharing"",""สุโขทัย!I314"")"),50)</f>
        <v>50</v>
      </c>
      <c r="Y28" s="177">
        <f ca="1">IFERROR(__xludf.DUMMYFUNCTION("IMPORTRANGE(""https://docs.google.com/spreadsheets/d/1B0f2xJpZUC6Z0xXnqKlZtEPzsf6L84eP1r1Q15seqRM/edit?usp=sharing"",""สุโขทัย!J314"")"),0)</f>
        <v>0</v>
      </c>
      <c r="Z28" s="354">
        <f t="shared" ca="1" si="39"/>
        <v>0</v>
      </c>
      <c r="AA28" s="353" t="str">
        <f ca="1">IFERROR(__xludf.DUMMYFUNCTION("IMPORTRANGE(""https://docs.google.com/spreadsheets/d/1B0f2xJpZUC6Z0xXnqKlZtEPzsf6L84eP1r1Q15seqRM/edit?usp=sharing"",""สุโขทัย!I315"")"),"")</f>
        <v/>
      </c>
      <c r="AB28" s="177" t="str">
        <f ca="1">IFERROR(__xludf.DUMMYFUNCTION("IMPORTRANGE(""https://docs.google.com/spreadsheets/d/1B0f2xJpZUC6Z0xXnqKlZtEPzsf6L84eP1r1Q15seqRM/edit?usp=sharing"",""สุโขทัย!J315"")"),"")</f>
        <v/>
      </c>
      <c r="AC28" s="354" t="e">
        <f t="shared" ca="1" si="41"/>
        <v>#VALUE!</v>
      </c>
      <c r="AD28" s="353" t="str">
        <f ca="1">IFERROR(__xludf.DUMMYFUNCTION("IMPORTRANGE(""https://docs.google.com/spreadsheets/d/1B0f2xJpZUC6Z0xXnqKlZtEPzsf6L84eP1r1Q15seqRM/edit?usp=sharing"",""สุโขทัย!I316"")"),"")</f>
        <v/>
      </c>
      <c r="AE28" s="177" t="str">
        <f ca="1">IFERROR(__xludf.DUMMYFUNCTION("IMPORTRANGE(""https://docs.google.com/spreadsheets/d/1B0f2xJpZUC6Z0xXnqKlZtEPzsf6L84eP1r1Q15seqRM/edit?usp=sharing"",""สุโขทัย!J316"")"),"")</f>
        <v/>
      </c>
      <c r="AF28" s="354" t="e">
        <f t="shared" ca="1" si="43"/>
        <v>#VALUE!</v>
      </c>
      <c r="AG28" s="353" t="str">
        <f ca="1">IFERROR(__xludf.DUMMYFUNCTION("IMPORTRANGE(""https://docs.google.com/spreadsheets/d/1B0f2xJpZUC6Z0xXnqKlZtEPzsf6L84eP1r1Q15seqRM/edit?usp=sharing"",""สุโขทัย!I317"")"),"")</f>
        <v/>
      </c>
      <c r="AH28" s="177" t="str">
        <f ca="1">IFERROR(__xludf.DUMMYFUNCTION("IMPORTRANGE(""https://docs.google.com/spreadsheets/d/1B0f2xJpZUC6Z0xXnqKlZtEPzsf6L84eP1r1Q15seqRM/edit?usp=sharing"",""สุโขทัย!J317"")"),"")</f>
        <v/>
      </c>
      <c r="AI28" s="354" t="e">
        <f t="shared" ca="1" si="45"/>
        <v>#VALUE!</v>
      </c>
    </row>
    <row r="29" spans="1:35" ht="24" customHeight="1" x14ac:dyDescent="0.3">
      <c r="A29" s="89">
        <v>16</v>
      </c>
      <c r="B29" s="90" t="s">
        <v>55</v>
      </c>
      <c r="C29" s="174">
        <f t="shared" ca="1" si="27"/>
        <v>184600</v>
      </c>
      <c r="D29" s="175">
        <f t="shared" ca="1" si="46"/>
        <v>184600</v>
      </c>
      <c r="E29" s="176">
        <f ca="1">IFERROR(__xludf.DUMMYFUNCTION("IMPORTRANGE(""https://docs.google.com/spreadsheets/d/1-uDff_7J0KD5mKrp0Vvzr7lt3OU09vwQwhkpOPPYv2Y/edit?usp=sharing"",""งบพรบ!DZ29"")"),102200)</f>
        <v>102200</v>
      </c>
      <c r="F29" s="176">
        <f ca="1">IFERROR(__xludf.DUMMYFUNCTION("IMPORTRANGE(""https://docs.google.com/spreadsheets/d/1-uDff_7J0KD5mKrp0Vvzr7lt3OU09vwQwhkpOPPYv2Y/edit?usp=sharing"",""งบพรบ!EA29"")"),82400)</f>
        <v>82400</v>
      </c>
      <c r="G29" s="176">
        <f ca="1">IFERROR(__xludf.DUMMYFUNCTION("IMPORTRANGE(""https://docs.google.com/spreadsheets/d/1-uDff_7J0KD5mKrp0Vvzr7lt3OU09vwQwhkpOPPYv2Y/edit?usp=sharing"",""งบพรบ!EB29"")"),0)</f>
        <v>0</v>
      </c>
      <c r="H29" s="176">
        <f ca="1">IFERROR(__xludf.DUMMYFUNCTION("IMPORTRANGE(""https://docs.google.com/spreadsheets/d/1-uDff_7J0KD5mKrp0Vvzr7lt3OU09vwQwhkpOPPYv2Y/edit?usp=sharing"",""งบพรบ!ED29"")"),184600)</f>
        <v>184600</v>
      </c>
      <c r="I29" s="176">
        <f ca="1">IFERROR(__xludf.DUMMYFUNCTION("IMPORTRANGE(""https://docs.google.com/spreadsheets/d/1-uDff_7J0KD5mKrp0Vvzr7lt3OU09vwQwhkpOPPYv2Y/edit?usp=sharing"",""งบพรบ!EE29"")"),0)</f>
        <v>0</v>
      </c>
      <c r="J29" s="176">
        <f t="shared" ca="1" si="29"/>
        <v>43700</v>
      </c>
      <c r="K29" s="179">
        <f t="shared" ca="1" si="30"/>
        <v>23.672806067172264</v>
      </c>
      <c r="L29" s="176">
        <f ca="1">IFERROR(__xludf.DUMMYFUNCTION("IMPORTRANGE(""https://docs.google.com/spreadsheets/d/1-uDff_7J0KD5mKrp0Vvzr7lt3OU09vwQwhkpOPPYv2Y/edit?usp=sharing"",""งบพรบ!EF29"")"),43700)</f>
        <v>43700</v>
      </c>
      <c r="M29" s="87">
        <f t="shared" ca="1" si="31"/>
        <v>23.672806067172264</v>
      </c>
      <c r="N29" s="87">
        <f t="shared" ca="1" si="32"/>
        <v>23.672806067172264</v>
      </c>
      <c r="O29" s="86">
        <f ca="1">IFERROR(__xludf.DUMMYFUNCTION("IMPORTRANGE(""https://docs.google.com/spreadsheets/d/1-uDff_7J0KD5mKrp0Vvzr7lt3OU09vwQwhkpOPPYv2Y/edit?usp=sharing"",""งบพรบ!EG29"")"),0)</f>
        <v>0</v>
      </c>
      <c r="P29" s="86">
        <f t="shared" ca="1" si="33"/>
        <v>0</v>
      </c>
      <c r="Q29" s="87">
        <f t="shared" ca="1" si="34"/>
        <v>0</v>
      </c>
      <c r="R29" s="241">
        <f ca="1">IFERROR(__xludf.DUMMYFUNCTION("IMPORTRANGE(""https://docs.google.com/spreadsheets/d/1v0b9pFQCsKUVExMei7AgY2yQkdeNQvtOssygGsXbiKo/edit?usp=sharing"",""อุตรดิตถ์!Q303"")"),144609.24)</f>
        <v>144609.24</v>
      </c>
      <c r="S29" s="242">
        <f ca="1">IFERROR(__xludf.DUMMYFUNCTION("IMPORTRANGE(""https://docs.google.com/spreadsheets/d/1v0b9pFQCsKUVExMei7AgY2yQkdeNQvtOssygGsXbiKo/edit?usp=sharing"",""อุตรดิตถ์!R303"")"),0)</f>
        <v>0</v>
      </c>
      <c r="T29" s="242">
        <f ca="1">IFERROR(__xludf.DUMMYFUNCTION("IMPORTRANGE(""https://docs.google.com/spreadsheets/d/1v0b9pFQCsKUVExMei7AgY2yQkdeNQvtOssygGsXbiKo/edit?usp=sharing"",""อุตรดิตถ์!S303"")"),0)</f>
        <v>0</v>
      </c>
      <c r="U29" s="243">
        <f t="shared" ca="1" si="36"/>
        <v>0</v>
      </c>
      <c r="V29" s="243">
        <f t="shared" ca="1" si="37"/>
        <v>0</v>
      </c>
      <c r="W29" s="353" t="str">
        <f ca="1">IFERROR(__xludf.DUMMYFUNCTION("IMPORTRANGE(""https://docs.google.com/spreadsheets/d/1v0b9pFQCsKUVExMei7AgY2yQkdeNQvtOssygGsXbiKo/edit?usp=sharing"",""อุตรดิตถ์!J313"")"),"")</f>
        <v/>
      </c>
      <c r="X29" s="353">
        <f ca="1">IFERROR(__xludf.DUMMYFUNCTION("IMPORTRANGE(""https://docs.google.com/spreadsheets/d/1v0b9pFQCsKUVExMei7AgY2yQkdeNQvtOssygGsXbiKo/edit?usp=sharing"",""อุตรดิตถ์!I314"")"),20)</f>
        <v>20</v>
      </c>
      <c r="Y29" s="177">
        <f ca="1">IFERROR(__xludf.DUMMYFUNCTION("IMPORTRANGE(""https://docs.google.com/spreadsheets/d/1v0b9pFQCsKUVExMei7AgY2yQkdeNQvtOssygGsXbiKo/edit?usp=sharing"",""อุตรดิตถ์!J314"")"),0)</f>
        <v>0</v>
      </c>
      <c r="Z29" s="354">
        <f t="shared" ca="1" si="39"/>
        <v>0</v>
      </c>
      <c r="AA29" s="353" t="str">
        <f ca="1">IFERROR(__xludf.DUMMYFUNCTION("IMPORTRANGE(""https://docs.google.com/spreadsheets/d/1v0b9pFQCsKUVExMei7AgY2yQkdeNQvtOssygGsXbiKo/edit?usp=sharing"",""อุตรดิตถ์!I315"")"),"")</f>
        <v/>
      </c>
      <c r="AB29" s="177" t="str">
        <f ca="1">IFERROR(__xludf.DUMMYFUNCTION("IMPORTRANGE(""https://docs.google.com/spreadsheets/d/1v0b9pFQCsKUVExMei7AgY2yQkdeNQvtOssygGsXbiKo/edit?usp=sharing"",""อุตรดิตถ์!J315"")"),"")</f>
        <v/>
      </c>
      <c r="AC29" s="354" t="e">
        <f t="shared" ca="1" si="41"/>
        <v>#VALUE!</v>
      </c>
      <c r="AD29" s="353" t="str">
        <f ca="1">IFERROR(__xludf.DUMMYFUNCTION("IMPORTRANGE(""https://docs.google.com/spreadsheets/d/1v0b9pFQCsKUVExMei7AgY2yQkdeNQvtOssygGsXbiKo/edit?usp=sharing"",""อุตรดิตถ์!I316"")"),"")</f>
        <v/>
      </c>
      <c r="AE29" s="177" t="str">
        <f ca="1">IFERROR(__xludf.DUMMYFUNCTION("IMPORTRANGE(""https://docs.google.com/spreadsheets/d/1v0b9pFQCsKUVExMei7AgY2yQkdeNQvtOssygGsXbiKo/edit?usp=sharing"",""อุตรดิตถ์!J316"")"),"")</f>
        <v/>
      </c>
      <c r="AF29" s="354" t="e">
        <f t="shared" ca="1" si="43"/>
        <v>#VALUE!</v>
      </c>
      <c r="AG29" s="353" t="str">
        <f ca="1">IFERROR(__xludf.DUMMYFUNCTION("IMPORTRANGE(""https://docs.google.com/spreadsheets/d/1v0b9pFQCsKUVExMei7AgY2yQkdeNQvtOssygGsXbiKo/edit?usp=sharing"",""อุตรดิตถ์!I317"")"),"")</f>
        <v/>
      </c>
      <c r="AH29" s="177" t="str">
        <f ca="1">IFERROR(__xludf.DUMMYFUNCTION("IMPORTRANGE(""https://docs.google.com/spreadsheets/d/1v0b9pFQCsKUVExMei7AgY2yQkdeNQvtOssygGsXbiKo/edit?usp=sharing"",""อุตรดิตถ์!J317"")"),"")</f>
        <v/>
      </c>
      <c r="AI29" s="354" t="e">
        <f t="shared" ca="1" si="45"/>
        <v>#VALUE!</v>
      </c>
    </row>
    <row r="30" spans="1:35" ht="24" customHeight="1" x14ac:dyDescent="0.3">
      <c r="A30" s="100">
        <v>17</v>
      </c>
      <c r="B30" s="101" t="s">
        <v>56</v>
      </c>
      <c r="C30" s="182">
        <f t="shared" ca="1" si="27"/>
        <v>184600</v>
      </c>
      <c r="D30" s="183">
        <f t="shared" ca="1" si="46"/>
        <v>184600</v>
      </c>
      <c r="E30" s="184">
        <f ca="1">IFERROR(__xludf.DUMMYFUNCTION("IMPORTRANGE(""https://docs.google.com/spreadsheets/d/1-uDff_7J0KD5mKrp0Vvzr7lt3OU09vwQwhkpOPPYv2Y/edit?usp=sharing"",""งบพรบ!DZ30"")"),102200)</f>
        <v>102200</v>
      </c>
      <c r="F30" s="184">
        <f ca="1">IFERROR(__xludf.DUMMYFUNCTION("IMPORTRANGE(""https://docs.google.com/spreadsheets/d/1-uDff_7J0KD5mKrp0Vvzr7lt3OU09vwQwhkpOPPYv2Y/edit?usp=sharing"",""งบพรบ!EA30"")"),82400)</f>
        <v>82400</v>
      </c>
      <c r="G30" s="184">
        <f ca="1">IFERROR(__xludf.DUMMYFUNCTION("IMPORTRANGE(""https://docs.google.com/spreadsheets/d/1-uDff_7J0KD5mKrp0Vvzr7lt3OU09vwQwhkpOPPYv2Y/edit?usp=sharing"",""งบพรบ!EB30"")"),0)</f>
        <v>0</v>
      </c>
      <c r="H30" s="184">
        <f ca="1">IFERROR(__xludf.DUMMYFUNCTION("IMPORTRANGE(""https://docs.google.com/spreadsheets/d/1-uDff_7J0KD5mKrp0Vvzr7lt3OU09vwQwhkpOPPYv2Y/edit?usp=sharing"",""งบพรบ!ED30"")"),184600)</f>
        <v>184600</v>
      </c>
      <c r="I30" s="184">
        <f ca="1">IFERROR(__xludf.DUMMYFUNCTION("IMPORTRANGE(""https://docs.google.com/spreadsheets/d/1-uDff_7J0KD5mKrp0Vvzr7lt3OU09vwQwhkpOPPYv2Y/edit?usp=sharing"",""งบพรบ!EE30"")"),0)</f>
        <v>0</v>
      </c>
      <c r="J30" s="184">
        <f t="shared" ca="1" si="29"/>
        <v>78662</v>
      </c>
      <c r="K30" s="185">
        <f t="shared" ca="1" si="30"/>
        <v>42.612134344528712</v>
      </c>
      <c r="L30" s="184">
        <f ca="1">IFERROR(__xludf.DUMMYFUNCTION("IMPORTRANGE(""https://docs.google.com/spreadsheets/d/1-uDff_7J0KD5mKrp0Vvzr7lt3OU09vwQwhkpOPPYv2Y/edit?usp=sharing"",""งบพรบ!EF30"")"),78662)</f>
        <v>78662</v>
      </c>
      <c r="M30" s="109">
        <f t="shared" ca="1" si="31"/>
        <v>42.612134344528712</v>
      </c>
      <c r="N30" s="109">
        <f t="shared" ca="1" si="32"/>
        <v>42.612134344528712</v>
      </c>
      <c r="O30" s="108">
        <f ca="1">IFERROR(__xludf.DUMMYFUNCTION("IMPORTRANGE(""https://docs.google.com/spreadsheets/d/1-uDff_7J0KD5mKrp0Vvzr7lt3OU09vwQwhkpOPPYv2Y/edit?usp=sharing"",""งบพรบ!EG30"")"),0)</f>
        <v>0</v>
      </c>
      <c r="P30" s="108">
        <f t="shared" ca="1" si="33"/>
        <v>0</v>
      </c>
      <c r="Q30" s="109">
        <f t="shared" ca="1" si="34"/>
        <v>0</v>
      </c>
      <c r="R30" s="244">
        <f ca="1">IFERROR(__xludf.DUMMYFUNCTION("IMPORTRANGE(""https://docs.google.com/spreadsheets/d/1UsNK1e-WWiCo2PvGqdNfdme4m17_Ezd3J69EeeiQPD0/edit?usp=sharing"",""อุทัยธานี!Q303"")"),144609.24)</f>
        <v>144609.24</v>
      </c>
      <c r="S30" s="245">
        <f ca="1">IFERROR(__xludf.DUMMYFUNCTION("IMPORTRANGE(""https://docs.google.com/spreadsheets/d/1UsNK1e-WWiCo2PvGqdNfdme4m17_Ezd3J69EeeiQPD0/edit?usp=sharing"",""อุทัยธานี!R303"")"),0)</f>
        <v>0</v>
      </c>
      <c r="T30" s="245">
        <f ca="1">IFERROR(__xludf.DUMMYFUNCTION("IMPORTRANGE(""https://docs.google.com/spreadsheets/d/1UsNK1e-WWiCo2PvGqdNfdme4m17_Ezd3J69EeeiQPD0/edit?usp=sharing"",""อุทัยธานี!S303"")"),0)</f>
        <v>0</v>
      </c>
      <c r="U30" s="246">
        <f t="shared" ca="1" si="36"/>
        <v>0</v>
      </c>
      <c r="V30" s="246">
        <f t="shared" ca="1" si="37"/>
        <v>0</v>
      </c>
      <c r="W30" s="356" t="str">
        <f ca="1">IFERROR(__xludf.DUMMYFUNCTION("IMPORTRANGE(""https://docs.google.com/spreadsheets/d/1UsNK1e-WWiCo2PvGqdNfdme4m17_Ezd3J69EeeiQPD0/edit?usp=sharing"",""อุทัยธานี!J313"")"),"")</f>
        <v/>
      </c>
      <c r="X30" s="356">
        <f ca="1">IFERROR(__xludf.DUMMYFUNCTION("IMPORTRANGE(""https://docs.google.com/spreadsheets/d/1UsNK1e-WWiCo2PvGqdNfdme4m17_Ezd3J69EeeiQPD0/edit?usp=sharing"",""อุทัยธานี!I314"")"),20)</f>
        <v>20</v>
      </c>
      <c r="Y30" s="186">
        <f ca="1">IFERROR(__xludf.DUMMYFUNCTION("IMPORTRANGE(""https://docs.google.com/spreadsheets/d/1UsNK1e-WWiCo2PvGqdNfdme4m17_Ezd3J69EeeiQPD0/edit?usp=sharing"",""อุทัยธานี!J314"")"),20)</f>
        <v>20</v>
      </c>
      <c r="Z30" s="357">
        <f t="shared" ca="1" si="39"/>
        <v>100</v>
      </c>
      <c r="AA30" s="356" t="str">
        <f ca="1">IFERROR(__xludf.DUMMYFUNCTION("IMPORTRANGE(""https://docs.google.com/spreadsheets/d/1UsNK1e-WWiCo2PvGqdNfdme4m17_Ezd3J69EeeiQPD0/edit?usp=sharing"",""อุทัยธานี!I315"")"),"")</f>
        <v/>
      </c>
      <c r="AB30" s="186" t="str">
        <f ca="1">IFERROR(__xludf.DUMMYFUNCTION("IMPORTRANGE(""https://docs.google.com/spreadsheets/d/1UsNK1e-WWiCo2PvGqdNfdme4m17_Ezd3J69EeeiQPD0/edit?usp=sharing"",""อุทัยธานี!J315"")"),"")</f>
        <v/>
      </c>
      <c r="AC30" s="357" t="e">
        <f t="shared" ca="1" si="41"/>
        <v>#VALUE!</v>
      </c>
      <c r="AD30" s="356" t="str">
        <f ca="1">IFERROR(__xludf.DUMMYFUNCTION("IMPORTRANGE(""https://docs.google.com/spreadsheets/d/1UsNK1e-WWiCo2PvGqdNfdme4m17_Ezd3J69EeeiQPD0/edit?usp=sharing"",""อุทัยธานี!I316"")"),"")</f>
        <v/>
      </c>
      <c r="AE30" s="186" t="str">
        <f ca="1">IFERROR(__xludf.DUMMYFUNCTION("IMPORTRANGE(""https://docs.google.com/spreadsheets/d/1UsNK1e-WWiCo2PvGqdNfdme4m17_Ezd3J69EeeiQPD0/edit?usp=sharing"",""อุทัยธานี!J316"")"),"")</f>
        <v/>
      </c>
      <c r="AF30" s="357" t="e">
        <f t="shared" ca="1" si="43"/>
        <v>#VALUE!</v>
      </c>
      <c r="AG30" s="356" t="str">
        <f ca="1">IFERROR(__xludf.DUMMYFUNCTION("IMPORTRANGE(""https://docs.google.com/spreadsheets/d/1UsNK1e-WWiCo2PvGqdNfdme4m17_Ezd3J69EeeiQPD0/edit?usp=sharing"",""อุทัยธานี!I317"")"),"")</f>
        <v/>
      </c>
      <c r="AH30" s="186" t="str">
        <f ca="1">IFERROR(__xludf.DUMMYFUNCTION("IMPORTRANGE(""https://docs.google.com/spreadsheets/d/1UsNK1e-WWiCo2PvGqdNfdme4m17_Ezd3J69EeeiQPD0/edit?usp=sharing"",""อุทัยธานี!J317"")"),"")</f>
        <v/>
      </c>
      <c r="AI30" s="357" t="e">
        <f t="shared" ca="1" si="45"/>
        <v>#VALUE!</v>
      </c>
    </row>
    <row r="31" spans="1:35" ht="21" customHeight="1" x14ac:dyDescent="0.3">
      <c r="A31" s="625" t="s">
        <v>57</v>
      </c>
      <c r="B31" s="626"/>
      <c r="C31" s="161">
        <f t="shared" ca="1" si="27"/>
        <v>1259700</v>
      </c>
      <c r="D31" s="161">
        <f t="shared" ref="D31:I31" ca="1" si="47">SUM(D32:D51)</f>
        <v>1259700</v>
      </c>
      <c r="E31" s="161">
        <f t="shared" ca="1" si="47"/>
        <v>664300</v>
      </c>
      <c r="F31" s="161">
        <f t="shared" ca="1" si="47"/>
        <v>595400</v>
      </c>
      <c r="G31" s="161">
        <f t="shared" ca="1" si="47"/>
        <v>0</v>
      </c>
      <c r="H31" s="161">
        <f t="shared" ca="1" si="47"/>
        <v>1259700</v>
      </c>
      <c r="I31" s="161">
        <f t="shared" ca="1" si="47"/>
        <v>0</v>
      </c>
      <c r="J31" s="161">
        <f t="shared" ca="1" si="29"/>
        <v>520791.32</v>
      </c>
      <c r="K31" s="162">
        <f t="shared" ca="1" si="30"/>
        <v>41.342487893943002</v>
      </c>
      <c r="L31" s="161">
        <f ca="1">SUM(L32:L51)</f>
        <v>520791.32</v>
      </c>
      <c r="M31" s="40">
        <f t="shared" ca="1" si="31"/>
        <v>41.342487893943002</v>
      </c>
      <c r="N31" s="40">
        <f t="shared" ca="1" si="32"/>
        <v>41.342487893943002</v>
      </c>
      <c r="O31" s="39">
        <f ca="1">SUM(O32:O51)</f>
        <v>0</v>
      </c>
      <c r="P31" s="39">
        <f t="shared" ca="1" si="33"/>
        <v>0</v>
      </c>
      <c r="Q31" s="40">
        <f t="shared" ca="1" si="34"/>
        <v>0</v>
      </c>
      <c r="R31" s="232">
        <f t="shared" ref="R31:T31" ca="1" si="48">SUM(R32:R51)</f>
        <v>3742634.1500000004</v>
      </c>
      <c r="S31" s="233">
        <f t="shared" ca="1" si="48"/>
        <v>0</v>
      </c>
      <c r="T31" s="233">
        <f t="shared" ca="1" si="48"/>
        <v>0</v>
      </c>
      <c r="U31" s="234">
        <f t="shared" ca="1" si="36"/>
        <v>0</v>
      </c>
      <c r="V31" s="234">
        <f t="shared" ca="1" si="37"/>
        <v>0</v>
      </c>
      <c r="W31" s="347">
        <f t="shared" ref="W31:Y31" ca="1" si="49">SUM(W32:W51)</f>
        <v>0</v>
      </c>
      <c r="X31" s="348">
        <f t="shared" ca="1" si="49"/>
        <v>475</v>
      </c>
      <c r="Y31" s="161">
        <f t="shared" ca="1" si="49"/>
        <v>20</v>
      </c>
      <c r="Z31" s="40">
        <f t="shared" ca="1" si="39"/>
        <v>4.2105263157894735</v>
      </c>
      <c r="AA31" s="348">
        <f t="shared" ref="AA31:AB31" ca="1" si="50">SUM(AA32:AA51)</f>
        <v>0</v>
      </c>
      <c r="AB31" s="161">
        <f t="shared" ca="1" si="50"/>
        <v>0</v>
      </c>
      <c r="AC31" s="40">
        <f t="shared" ca="1" si="41"/>
        <v>0</v>
      </c>
      <c r="AD31" s="348">
        <f t="shared" ref="AD31:AE31" ca="1" si="51">SUM(AD32:AD51)</f>
        <v>0</v>
      </c>
      <c r="AE31" s="161">
        <f t="shared" ca="1" si="51"/>
        <v>0</v>
      </c>
      <c r="AF31" s="40">
        <f t="shared" ca="1" si="43"/>
        <v>0</v>
      </c>
      <c r="AG31" s="348">
        <f t="shared" ref="AG31:AH31" ca="1" si="52">SUM(AG32:AG51)</f>
        <v>0</v>
      </c>
      <c r="AH31" s="161">
        <f t="shared" ca="1" si="52"/>
        <v>0</v>
      </c>
      <c r="AI31" s="40">
        <f t="shared" ca="1" si="45"/>
        <v>0</v>
      </c>
    </row>
    <row r="32" spans="1:35" ht="21" customHeight="1" x14ac:dyDescent="0.3">
      <c r="A32" s="77">
        <v>1</v>
      </c>
      <c r="B32" s="78" t="s">
        <v>58</v>
      </c>
      <c r="C32" s="174">
        <f t="shared" ca="1" si="27"/>
        <v>0</v>
      </c>
      <c r="D32" s="175">
        <f t="shared" ref="D32:D51" ca="1" si="53">+E32+F32</f>
        <v>0</v>
      </c>
      <c r="E32" s="176">
        <f ca="1">IFERROR(__xludf.DUMMYFUNCTION("IMPORTRANGE(""https://docs.google.com/spreadsheets/d/1-uDff_7J0KD5mKrp0Vvzr7lt3OU09vwQwhkpOPPYv2Y/edit?usp=sharing"",""งบพรบ!DZ32"")"),0)</f>
        <v>0</v>
      </c>
      <c r="F32" s="176">
        <f ca="1">IFERROR(__xludf.DUMMYFUNCTION("IMPORTRANGE(""https://docs.google.com/spreadsheets/d/1-uDff_7J0KD5mKrp0Vvzr7lt3OU09vwQwhkpOPPYv2Y/edit?usp=sharing"",""งบพรบ!EA32"")"),0)</f>
        <v>0</v>
      </c>
      <c r="G32" s="177">
        <f ca="1">IFERROR(__xludf.DUMMYFUNCTION("IMPORTRANGE(""https://docs.google.com/spreadsheets/d/1-uDff_7J0KD5mKrp0Vvzr7lt3OU09vwQwhkpOPPYv2Y/edit?usp=sharing"",""งบพรบ!EB32"")"),0)</f>
        <v>0</v>
      </c>
      <c r="H32" s="177">
        <f ca="1">IFERROR(__xludf.DUMMYFUNCTION("IMPORTRANGE(""https://docs.google.com/spreadsheets/d/1-uDff_7J0KD5mKrp0Vvzr7lt3OU09vwQwhkpOPPYv2Y/edit?usp=sharing"",""งบพรบ!ED32"")"),0)</f>
        <v>0</v>
      </c>
      <c r="I32" s="177">
        <f ca="1">IFERROR(__xludf.DUMMYFUNCTION("IMPORTRANGE(""https://docs.google.com/spreadsheets/d/1-uDff_7J0KD5mKrp0Vvzr7lt3OU09vwQwhkpOPPYv2Y/edit?usp=sharing"",""งบพรบ!EE32"")"),0)</f>
        <v>0</v>
      </c>
      <c r="J32" s="177">
        <f t="shared" ca="1" si="29"/>
        <v>0</v>
      </c>
      <c r="K32" s="178">
        <f t="shared" ca="1" si="30"/>
        <v>0</v>
      </c>
      <c r="L32" s="177">
        <f ca="1">IFERROR(__xludf.DUMMYFUNCTION("IMPORTRANGE(""https://docs.google.com/spreadsheets/d/1-uDff_7J0KD5mKrp0Vvzr7lt3OU09vwQwhkpOPPYv2Y/edit?usp=sharing"",""งบพรบ!EF32"")"),0)</f>
        <v>0</v>
      </c>
      <c r="M32" s="87">
        <f t="shared" ca="1" si="31"/>
        <v>0</v>
      </c>
      <c r="N32" s="87">
        <f t="shared" ca="1" si="32"/>
        <v>0</v>
      </c>
      <c r="O32" s="86">
        <f ca="1">IFERROR(__xludf.DUMMYFUNCTION("IMPORTRANGE(""https://docs.google.com/spreadsheets/d/1-uDff_7J0KD5mKrp0Vvzr7lt3OU09vwQwhkpOPPYv2Y/edit?usp=sharing"",""งบพรบ!EG32"")"),0)</f>
        <v>0</v>
      </c>
      <c r="P32" s="86">
        <f t="shared" ca="1" si="33"/>
        <v>0</v>
      </c>
      <c r="Q32" s="87">
        <f t="shared" ca="1" si="34"/>
        <v>0</v>
      </c>
      <c r="R32" s="241">
        <f ca="1">IFERROR(__xludf.DUMMYFUNCTION("IMPORTRANGE(""https://docs.google.com/spreadsheets/d/1yhBcrRPreicbMKl9Bu_Snb2-OcQAF62RKfhTLhJ2eAA/edit?usp=sharing"",""กาฬสินธุ์!Q303"")"),0)</f>
        <v>0</v>
      </c>
      <c r="S32" s="242">
        <f ca="1">IFERROR(__xludf.DUMMYFUNCTION("IMPORTRANGE(""https://docs.google.com/spreadsheets/d/1yhBcrRPreicbMKl9Bu_Snb2-OcQAF62RKfhTLhJ2eAA/edit?usp=sharing"",""กาฬสินธุ์!R303"")"),0)</f>
        <v>0</v>
      </c>
      <c r="T32" s="242">
        <f ca="1">IFERROR(__xludf.DUMMYFUNCTION("IMPORTRANGE(""https://docs.google.com/spreadsheets/d/1yhBcrRPreicbMKl9Bu_Snb2-OcQAF62RKfhTLhJ2eAA/edit?usp=sharing"",""กาฬสินธุ์!S303"")"),0)</f>
        <v>0</v>
      </c>
      <c r="U32" s="243">
        <f t="shared" ca="1" si="36"/>
        <v>0</v>
      </c>
      <c r="V32" s="243">
        <f t="shared" ca="1" si="37"/>
        <v>0</v>
      </c>
      <c r="W32" s="353" t="str">
        <f ca="1">IFERROR(__xludf.DUMMYFUNCTION("IMPORTRANGE(""https://docs.google.com/spreadsheets/d/1yhBcrRPreicbMKl9Bu_Snb2-OcQAF62RKfhTLhJ2eAA/edit?usp=sharing"",""กาฬสินธุ์!J313"")"),"")</f>
        <v/>
      </c>
      <c r="X32" s="353">
        <f ca="1">IFERROR(__xludf.DUMMYFUNCTION("IMPORTRANGE(""https://docs.google.com/spreadsheets/d/1yhBcrRPreicbMKl9Bu_Snb2-OcQAF62RKfhTLhJ2eAA/edit?usp=sharing"",""กาฬสินธุ์!I314"")"),0)</f>
        <v>0</v>
      </c>
      <c r="Y32" s="177">
        <f ca="1">IFERROR(__xludf.DUMMYFUNCTION("IMPORTRANGE(""https://docs.google.com/spreadsheets/d/1yhBcrRPreicbMKl9Bu_Snb2-OcQAF62RKfhTLhJ2eAA/edit?usp=sharing"",""กาฬสินธุ์!J314"")"),0)</f>
        <v>0</v>
      </c>
      <c r="Z32" s="354">
        <f t="shared" ca="1" si="39"/>
        <v>0</v>
      </c>
      <c r="AA32" s="353" t="str">
        <f ca="1">IFERROR(__xludf.DUMMYFUNCTION("IMPORTRANGE(""https://docs.google.com/spreadsheets/d/1yhBcrRPreicbMKl9Bu_Snb2-OcQAF62RKfhTLhJ2eAA/edit?usp=sharing"",""กาฬสินธุ์!I315"")"),"")</f>
        <v/>
      </c>
      <c r="AB32" s="177" t="str">
        <f ca="1">IFERROR(__xludf.DUMMYFUNCTION("IMPORTRANGE(""https://docs.google.com/spreadsheets/d/1yhBcrRPreicbMKl9Bu_Snb2-OcQAF62RKfhTLhJ2eAA/edit?usp=sharing"",""กาฬสินธุ์!J315"")"),"")</f>
        <v/>
      </c>
      <c r="AC32" s="354">
        <f t="shared" ca="1" si="41"/>
        <v>0</v>
      </c>
      <c r="AD32" s="353" t="str">
        <f ca="1">IFERROR(__xludf.DUMMYFUNCTION("IMPORTRANGE(""https://docs.google.com/spreadsheets/d/1yhBcrRPreicbMKl9Bu_Snb2-OcQAF62RKfhTLhJ2eAA/edit?usp=sharing"",""กาฬสินธุ์!I316"")"),"")</f>
        <v/>
      </c>
      <c r="AE32" s="177" t="str">
        <f ca="1">IFERROR(__xludf.DUMMYFUNCTION("IMPORTRANGE(""https://docs.google.com/spreadsheets/d/1yhBcrRPreicbMKl9Bu_Snb2-OcQAF62RKfhTLhJ2eAA/edit?usp=sharing"",""กาฬสินธุ์!J316"")"),"")</f>
        <v/>
      </c>
      <c r="AF32" s="354" t="e">
        <f t="shared" ca="1" si="43"/>
        <v>#VALUE!</v>
      </c>
      <c r="AG32" s="353" t="str">
        <f ca="1">IFERROR(__xludf.DUMMYFUNCTION("IMPORTRANGE(""https://docs.google.com/spreadsheets/d/1yhBcrRPreicbMKl9Bu_Snb2-OcQAF62RKfhTLhJ2eAA/edit?usp=sharing"",""กาฬสินธุ์!I317"")"),"")</f>
        <v/>
      </c>
      <c r="AH32" s="177" t="str">
        <f ca="1">IFERROR(__xludf.DUMMYFUNCTION("IMPORTRANGE(""https://docs.google.com/spreadsheets/d/1yhBcrRPreicbMKl9Bu_Snb2-OcQAF62RKfhTLhJ2eAA/edit?usp=sharing"",""กาฬสินธุ์!J317"")"),"")</f>
        <v/>
      </c>
      <c r="AI32" s="354" t="e">
        <f t="shared" ca="1" si="45"/>
        <v>#VALUE!</v>
      </c>
    </row>
    <row r="33" spans="1:35" ht="21" customHeight="1" x14ac:dyDescent="0.3">
      <c r="A33" s="89">
        <v>2</v>
      </c>
      <c r="B33" s="90" t="s">
        <v>59</v>
      </c>
      <c r="C33" s="174">
        <f t="shared" ca="1" si="27"/>
        <v>0</v>
      </c>
      <c r="D33" s="175">
        <f t="shared" ca="1" si="53"/>
        <v>0</v>
      </c>
      <c r="E33" s="176">
        <f ca="1">IFERROR(__xludf.DUMMYFUNCTION("IMPORTRANGE(""https://docs.google.com/spreadsheets/d/1-uDff_7J0KD5mKrp0Vvzr7lt3OU09vwQwhkpOPPYv2Y/edit?usp=sharing"",""งบพรบ!DZ33"")"),0)</f>
        <v>0</v>
      </c>
      <c r="F33" s="176">
        <f ca="1">IFERROR(__xludf.DUMMYFUNCTION("IMPORTRANGE(""https://docs.google.com/spreadsheets/d/1-uDff_7J0KD5mKrp0Vvzr7lt3OU09vwQwhkpOPPYv2Y/edit?usp=sharing"",""งบพรบ!EA33"")"),0)</f>
        <v>0</v>
      </c>
      <c r="G33" s="176">
        <f ca="1">IFERROR(__xludf.DUMMYFUNCTION("IMPORTRANGE(""https://docs.google.com/spreadsheets/d/1-uDff_7J0KD5mKrp0Vvzr7lt3OU09vwQwhkpOPPYv2Y/edit?usp=sharing"",""งบพรบ!EB33"")"),0)</f>
        <v>0</v>
      </c>
      <c r="H33" s="176">
        <f ca="1">IFERROR(__xludf.DUMMYFUNCTION("IMPORTRANGE(""https://docs.google.com/spreadsheets/d/1-uDff_7J0KD5mKrp0Vvzr7lt3OU09vwQwhkpOPPYv2Y/edit?usp=sharing"",""งบพรบ!ED33"")"),0)</f>
        <v>0</v>
      </c>
      <c r="I33" s="176">
        <f ca="1">IFERROR(__xludf.DUMMYFUNCTION("IMPORTRANGE(""https://docs.google.com/spreadsheets/d/1-uDff_7J0KD5mKrp0Vvzr7lt3OU09vwQwhkpOPPYv2Y/edit?usp=sharing"",""งบพรบ!EE33"")"),0)</f>
        <v>0</v>
      </c>
      <c r="J33" s="176">
        <f t="shared" ca="1" si="29"/>
        <v>0</v>
      </c>
      <c r="K33" s="179">
        <f t="shared" ca="1" si="30"/>
        <v>0</v>
      </c>
      <c r="L33" s="176">
        <f ca="1">IFERROR(__xludf.DUMMYFUNCTION("IMPORTRANGE(""https://docs.google.com/spreadsheets/d/1-uDff_7J0KD5mKrp0Vvzr7lt3OU09vwQwhkpOPPYv2Y/edit?usp=sharing"",""งบพรบ!EF33"")"),0)</f>
        <v>0</v>
      </c>
      <c r="M33" s="87">
        <f t="shared" ca="1" si="31"/>
        <v>0</v>
      </c>
      <c r="N33" s="87">
        <f t="shared" ca="1" si="32"/>
        <v>0</v>
      </c>
      <c r="O33" s="86">
        <f ca="1">IFERROR(__xludf.DUMMYFUNCTION("IMPORTRANGE(""https://docs.google.com/spreadsheets/d/1-uDff_7J0KD5mKrp0Vvzr7lt3OU09vwQwhkpOPPYv2Y/edit?usp=sharing"",""งบพรบ!EG33"")"),0)</f>
        <v>0</v>
      </c>
      <c r="P33" s="86">
        <f t="shared" ca="1" si="33"/>
        <v>0</v>
      </c>
      <c r="Q33" s="87">
        <f t="shared" ca="1" si="34"/>
        <v>0</v>
      </c>
      <c r="R33" s="241">
        <f ca="1">IFERROR(__xludf.DUMMYFUNCTION("IMPORTRANGE(""https://docs.google.com/spreadsheets/d/1aHkj4IaQMThhwWwevcOymEh837vdxeC_PycurhTbGFA/edit?usp=sharing"",""ขอนแก่น!Q303"")"),260958.39)</f>
        <v>260958.39</v>
      </c>
      <c r="S33" s="242">
        <f ca="1">IFERROR(__xludf.DUMMYFUNCTION("IMPORTRANGE(""https://docs.google.com/spreadsheets/d/1aHkj4IaQMThhwWwevcOymEh837vdxeC_PycurhTbGFA/edit?usp=sharing"",""ขอนแก่น!R303"")"),0)</f>
        <v>0</v>
      </c>
      <c r="T33" s="242">
        <f ca="1">IFERROR(__xludf.DUMMYFUNCTION("IMPORTRANGE(""https://docs.google.com/spreadsheets/d/1aHkj4IaQMThhwWwevcOymEh837vdxeC_PycurhTbGFA/edit?usp=sharing"",""ขอนแก่น!S303"")"),0)</f>
        <v>0</v>
      </c>
      <c r="U33" s="243">
        <f t="shared" ca="1" si="36"/>
        <v>0</v>
      </c>
      <c r="V33" s="243">
        <f t="shared" ca="1" si="37"/>
        <v>0</v>
      </c>
      <c r="W33" s="353" t="str">
        <f ca="1">IFERROR(__xludf.DUMMYFUNCTION("IMPORTRANGE(""https://docs.google.com/spreadsheets/d/1aHkj4IaQMThhwWwevcOymEh837vdxeC_PycurhTbGFA/edit?usp=sharing"",""ขอนแก่น!J313"")"),"")</f>
        <v/>
      </c>
      <c r="X33" s="355">
        <f ca="1">IFERROR(__xludf.DUMMYFUNCTION("IMPORTRANGE(""https://docs.google.com/spreadsheets/d/1aHkj4IaQMThhwWwevcOymEh837vdxeC_PycurhTbGFA/edit?usp=sharing"",""ขอนแก่น!I314"")"),30)</f>
        <v>30</v>
      </c>
      <c r="Y33" s="177">
        <f ca="1">IFERROR(__xludf.DUMMYFUNCTION("IMPORTRANGE(""https://docs.google.com/spreadsheets/d/1aHkj4IaQMThhwWwevcOymEh837vdxeC_PycurhTbGFA/edit?usp=sharing"",""ขอนแก่น!J314"")"),0)</f>
        <v>0</v>
      </c>
      <c r="Z33" s="354">
        <f t="shared" ca="1" si="39"/>
        <v>0</v>
      </c>
      <c r="AA33" s="355" t="str">
        <f ca="1">IFERROR(__xludf.DUMMYFUNCTION("IMPORTRANGE(""https://docs.google.com/spreadsheets/d/1aHkj4IaQMThhwWwevcOymEh837vdxeC_PycurhTbGFA/edit?usp=sharing"",""ขอนแก่น!I315"")"),"")</f>
        <v/>
      </c>
      <c r="AB33" s="177" t="str">
        <f ca="1">IFERROR(__xludf.DUMMYFUNCTION("IMPORTRANGE(""https://docs.google.com/spreadsheets/d/1aHkj4IaQMThhwWwevcOymEh837vdxeC_PycurhTbGFA/edit?usp=sharing"",""ขอนแก่น!J315"")"),"")</f>
        <v/>
      </c>
      <c r="AC33" s="354" t="e">
        <f t="shared" ca="1" si="41"/>
        <v>#VALUE!</v>
      </c>
      <c r="AD33" s="355" t="str">
        <f ca="1">IFERROR(__xludf.DUMMYFUNCTION("IMPORTRANGE(""https://docs.google.com/spreadsheets/d/1aHkj4IaQMThhwWwevcOymEh837vdxeC_PycurhTbGFA/edit?usp=sharing"",""ขอนแก่น!I316"")"),"")</f>
        <v/>
      </c>
      <c r="AE33" s="177" t="str">
        <f ca="1">IFERROR(__xludf.DUMMYFUNCTION("IMPORTRANGE(""https://docs.google.com/spreadsheets/d/1aHkj4IaQMThhwWwevcOymEh837vdxeC_PycurhTbGFA/edit?usp=sharing"",""ขอนแก่น!J316"")"),"")</f>
        <v/>
      </c>
      <c r="AF33" s="354" t="e">
        <f t="shared" ca="1" si="43"/>
        <v>#VALUE!</v>
      </c>
      <c r="AG33" s="355" t="str">
        <f ca="1">IFERROR(__xludf.DUMMYFUNCTION("IMPORTRANGE(""https://docs.google.com/spreadsheets/d/1aHkj4IaQMThhwWwevcOymEh837vdxeC_PycurhTbGFA/edit?usp=sharing"",""ขอนแก่น!I317"")"),"")</f>
        <v/>
      </c>
      <c r="AH33" s="177" t="str">
        <f ca="1">IFERROR(__xludf.DUMMYFUNCTION("IMPORTRANGE(""https://docs.google.com/spreadsheets/d/1aHkj4IaQMThhwWwevcOymEh837vdxeC_PycurhTbGFA/edit?usp=sharing"",""ขอนแก่น!J317"")"),"")</f>
        <v/>
      </c>
      <c r="AI33" s="354" t="e">
        <f t="shared" ca="1" si="45"/>
        <v>#VALUE!</v>
      </c>
    </row>
    <row r="34" spans="1:35" ht="21" customHeight="1" x14ac:dyDescent="0.3">
      <c r="A34" s="89">
        <v>3</v>
      </c>
      <c r="B34" s="90" t="s">
        <v>60</v>
      </c>
      <c r="C34" s="174">
        <f t="shared" ca="1" si="27"/>
        <v>0</v>
      </c>
      <c r="D34" s="175">
        <f t="shared" ca="1" si="53"/>
        <v>0</v>
      </c>
      <c r="E34" s="176">
        <f ca="1">IFERROR(__xludf.DUMMYFUNCTION("IMPORTRANGE(""https://docs.google.com/spreadsheets/d/1-uDff_7J0KD5mKrp0Vvzr7lt3OU09vwQwhkpOPPYv2Y/edit?usp=sharing"",""งบพรบ!DZ34"")"),0)</f>
        <v>0</v>
      </c>
      <c r="F34" s="176">
        <f ca="1">IFERROR(__xludf.DUMMYFUNCTION("IMPORTRANGE(""https://docs.google.com/spreadsheets/d/1-uDff_7J0KD5mKrp0Vvzr7lt3OU09vwQwhkpOPPYv2Y/edit?usp=sharing"",""งบพรบ!EA34"")"),0)</f>
        <v>0</v>
      </c>
      <c r="G34" s="176">
        <f ca="1">IFERROR(__xludf.DUMMYFUNCTION("IMPORTRANGE(""https://docs.google.com/spreadsheets/d/1-uDff_7J0KD5mKrp0Vvzr7lt3OU09vwQwhkpOPPYv2Y/edit?usp=sharing"",""งบพรบ!EB34"")"),0)</f>
        <v>0</v>
      </c>
      <c r="H34" s="176">
        <f ca="1">IFERROR(__xludf.DUMMYFUNCTION("IMPORTRANGE(""https://docs.google.com/spreadsheets/d/1-uDff_7J0KD5mKrp0Vvzr7lt3OU09vwQwhkpOPPYv2Y/edit?usp=sharing"",""งบพรบ!ED34"")"),0)</f>
        <v>0</v>
      </c>
      <c r="I34" s="176">
        <f ca="1">IFERROR(__xludf.DUMMYFUNCTION("IMPORTRANGE(""https://docs.google.com/spreadsheets/d/1-uDff_7J0KD5mKrp0Vvzr7lt3OU09vwQwhkpOPPYv2Y/edit?usp=sharing"",""งบพรบ!EE34"")"),0)</f>
        <v>0</v>
      </c>
      <c r="J34" s="176">
        <f t="shared" ca="1" si="29"/>
        <v>0</v>
      </c>
      <c r="K34" s="179">
        <f t="shared" ca="1" si="30"/>
        <v>0</v>
      </c>
      <c r="L34" s="176">
        <f ca="1">IFERROR(__xludf.DUMMYFUNCTION("IMPORTRANGE(""https://docs.google.com/spreadsheets/d/1-uDff_7J0KD5mKrp0Vvzr7lt3OU09vwQwhkpOPPYv2Y/edit?usp=sharing"",""งบพรบ!EF34"")"),0)</f>
        <v>0</v>
      </c>
      <c r="M34" s="87">
        <f t="shared" ca="1" si="31"/>
        <v>0</v>
      </c>
      <c r="N34" s="87">
        <f t="shared" ca="1" si="32"/>
        <v>0</v>
      </c>
      <c r="O34" s="86">
        <f ca="1">IFERROR(__xludf.DUMMYFUNCTION("IMPORTRANGE(""https://docs.google.com/spreadsheets/d/1-uDff_7J0KD5mKrp0Vvzr7lt3OU09vwQwhkpOPPYv2Y/edit?usp=sharing"",""งบพรบ!EG34"")"),0)</f>
        <v>0</v>
      </c>
      <c r="P34" s="86">
        <f t="shared" ca="1" si="33"/>
        <v>0</v>
      </c>
      <c r="Q34" s="87">
        <f t="shared" ca="1" si="34"/>
        <v>0</v>
      </c>
      <c r="R34" s="241">
        <f ca="1">IFERROR(__xludf.DUMMYFUNCTION("IMPORTRANGE(""https://docs.google.com/spreadsheets/d/1FvTu2DsIWUjP6WCWra38Bkj_oOl_sOMf14r5Fg5srxU/edit?usp=sharing"",""ชัยภูมิ!Q303"")"),374853.15)</f>
        <v>374853.15</v>
      </c>
      <c r="S34" s="242">
        <f ca="1">IFERROR(__xludf.DUMMYFUNCTION("IMPORTRANGE(""https://docs.google.com/spreadsheets/d/1FvTu2DsIWUjP6WCWra38Bkj_oOl_sOMf14r5Fg5srxU/edit?usp=sharing"",""ชัยภูมิ!R303"")"),0)</f>
        <v>0</v>
      </c>
      <c r="T34" s="242">
        <f ca="1">IFERROR(__xludf.DUMMYFUNCTION("IMPORTRANGE(""https://docs.google.com/spreadsheets/d/1FvTu2DsIWUjP6WCWra38Bkj_oOl_sOMf14r5Fg5srxU/edit?usp=sharing"",""ชัยภูมิ!S303"")"),0)</f>
        <v>0</v>
      </c>
      <c r="U34" s="243">
        <f t="shared" ca="1" si="36"/>
        <v>0</v>
      </c>
      <c r="V34" s="243">
        <f t="shared" ca="1" si="37"/>
        <v>0</v>
      </c>
      <c r="W34" s="353" t="str">
        <f ca="1">IFERROR(__xludf.DUMMYFUNCTION("IMPORTRANGE(""https://docs.google.com/spreadsheets/d/1FvTu2DsIWUjP6WCWra38Bkj_oOl_sOMf14r5Fg5srxU/edit?usp=sharing"",""ชัยภูมิ!J313"")"),"")</f>
        <v/>
      </c>
      <c r="X34" s="353">
        <f ca="1">IFERROR(__xludf.DUMMYFUNCTION("IMPORTRANGE(""https://docs.google.com/spreadsheets/d/1FvTu2DsIWUjP6WCWra38Bkj_oOl_sOMf14r5Fg5srxU/edit?usp=sharing"",""ชัยภูมิ!I314"")"),50)</f>
        <v>50</v>
      </c>
      <c r="Y34" s="177">
        <f ca="1">IFERROR(__xludf.DUMMYFUNCTION("IMPORTRANGE(""https://docs.google.com/spreadsheets/d/1FvTu2DsIWUjP6WCWra38Bkj_oOl_sOMf14r5Fg5srxU/edit?usp=sharing"",""ชัยภูมิ!J314"")"),0)</f>
        <v>0</v>
      </c>
      <c r="Z34" s="354">
        <f t="shared" ca="1" si="39"/>
        <v>0</v>
      </c>
      <c r="AA34" s="353" t="str">
        <f ca="1">IFERROR(__xludf.DUMMYFUNCTION("IMPORTRANGE(""https://docs.google.com/spreadsheets/d/1FvTu2DsIWUjP6WCWra38Bkj_oOl_sOMf14r5Fg5srxU/edit?usp=sharing"",""ชัยภูมิ!I315"")"),"")</f>
        <v/>
      </c>
      <c r="AB34" s="177" t="str">
        <f ca="1">IFERROR(__xludf.DUMMYFUNCTION("IMPORTRANGE(""https://docs.google.com/spreadsheets/d/1FvTu2DsIWUjP6WCWra38Bkj_oOl_sOMf14r5Fg5srxU/edit?usp=sharing"",""ชัยภูมิ!J315"")"),"")</f>
        <v/>
      </c>
      <c r="AC34" s="354" t="e">
        <f t="shared" ca="1" si="41"/>
        <v>#VALUE!</v>
      </c>
      <c r="AD34" s="353" t="str">
        <f ca="1">IFERROR(__xludf.DUMMYFUNCTION("IMPORTRANGE(""https://docs.google.com/spreadsheets/d/1FvTu2DsIWUjP6WCWra38Bkj_oOl_sOMf14r5Fg5srxU/edit?usp=sharing"",""ชัยภูมิ!I316"")"),"")</f>
        <v/>
      </c>
      <c r="AE34" s="177" t="str">
        <f ca="1">IFERROR(__xludf.DUMMYFUNCTION("IMPORTRANGE(""https://docs.google.com/spreadsheets/d/1FvTu2DsIWUjP6WCWra38Bkj_oOl_sOMf14r5Fg5srxU/edit?usp=sharing"",""ชัยภูมิ!J316"")"),"")</f>
        <v/>
      </c>
      <c r="AF34" s="354" t="e">
        <f t="shared" ca="1" si="43"/>
        <v>#VALUE!</v>
      </c>
      <c r="AG34" s="353" t="str">
        <f ca="1">IFERROR(__xludf.DUMMYFUNCTION("IMPORTRANGE(""https://docs.google.com/spreadsheets/d/1FvTu2DsIWUjP6WCWra38Bkj_oOl_sOMf14r5Fg5srxU/edit?usp=sharing"",""ชัยภูมิ!I317"")"),"")</f>
        <v/>
      </c>
      <c r="AH34" s="177" t="str">
        <f ca="1">IFERROR(__xludf.DUMMYFUNCTION("IMPORTRANGE(""https://docs.google.com/spreadsheets/d/1FvTu2DsIWUjP6WCWra38Bkj_oOl_sOMf14r5Fg5srxU/edit?usp=sharing"",""ชัยภูมิ!J317"")"),"")</f>
        <v/>
      </c>
      <c r="AI34" s="354" t="e">
        <f t="shared" ca="1" si="45"/>
        <v>#VALUE!</v>
      </c>
    </row>
    <row r="35" spans="1:35" ht="21" customHeight="1" x14ac:dyDescent="0.3">
      <c r="A35" s="89">
        <v>4</v>
      </c>
      <c r="B35" s="90" t="s">
        <v>61</v>
      </c>
      <c r="C35" s="174">
        <f t="shared" ca="1" si="27"/>
        <v>166000</v>
      </c>
      <c r="D35" s="175">
        <f t="shared" ca="1" si="53"/>
        <v>166000</v>
      </c>
      <c r="E35" s="176">
        <f ca="1">IFERROR(__xludf.DUMMYFUNCTION("IMPORTRANGE(""https://docs.google.com/spreadsheets/d/1-uDff_7J0KD5mKrp0Vvzr7lt3OU09vwQwhkpOPPYv2Y/edit?usp=sharing"",""งบพรบ!DZ35"")"),102200)</f>
        <v>102200</v>
      </c>
      <c r="F35" s="176">
        <f ca="1">IFERROR(__xludf.DUMMYFUNCTION("IMPORTRANGE(""https://docs.google.com/spreadsheets/d/1-uDff_7J0KD5mKrp0Vvzr7lt3OU09vwQwhkpOPPYv2Y/edit?usp=sharing"",""งบพรบ!EA35"")"),63800)</f>
        <v>63800</v>
      </c>
      <c r="G35" s="176">
        <f ca="1">IFERROR(__xludf.DUMMYFUNCTION("IMPORTRANGE(""https://docs.google.com/spreadsheets/d/1-uDff_7J0KD5mKrp0Vvzr7lt3OU09vwQwhkpOPPYv2Y/edit?usp=sharing"",""งบพรบ!EB35"")"),0)</f>
        <v>0</v>
      </c>
      <c r="H35" s="176">
        <f ca="1">IFERROR(__xludf.DUMMYFUNCTION("IMPORTRANGE(""https://docs.google.com/spreadsheets/d/1-uDff_7J0KD5mKrp0Vvzr7lt3OU09vwQwhkpOPPYv2Y/edit?usp=sharing"",""งบพรบ!ED35"")"),166000)</f>
        <v>166000</v>
      </c>
      <c r="I35" s="176">
        <f ca="1">IFERROR(__xludf.DUMMYFUNCTION("IMPORTRANGE(""https://docs.google.com/spreadsheets/d/1-uDff_7J0KD5mKrp0Vvzr7lt3OU09vwQwhkpOPPYv2Y/edit?usp=sharing"",""งบพรบ!EE35"")"),0)</f>
        <v>0</v>
      </c>
      <c r="J35" s="176">
        <f t="shared" ca="1" si="29"/>
        <v>41400</v>
      </c>
      <c r="K35" s="179">
        <f t="shared" ca="1" si="30"/>
        <v>24.939759036144579</v>
      </c>
      <c r="L35" s="176">
        <f ca="1">IFERROR(__xludf.DUMMYFUNCTION("IMPORTRANGE(""https://docs.google.com/spreadsheets/d/1-uDff_7J0KD5mKrp0Vvzr7lt3OU09vwQwhkpOPPYv2Y/edit?usp=sharing"",""งบพรบ!EF35"")"),41400)</f>
        <v>41400</v>
      </c>
      <c r="M35" s="87">
        <f t="shared" ca="1" si="31"/>
        <v>24.939759036144579</v>
      </c>
      <c r="N35" s="87">
        <f t="shared" ca="1" si="32"/>
        <v>24.939759036144579</v>
      </c>
      <c r="O35" s="86">
        <f ca="1">IFERROR(__xludf.DUMMYFUNCTION("IMPORTRANGE(""https://docs.google.com/spreadsheets/d/1-uDff_7J0KD5mKrp0Vvzr7lt3OU09vwQwhkpOPPYv2Y/edit?usp=sharing"",""งบพรบ!EG35"")"),0)</f>
        <v>0</v>
      </c>
      <c r="P35" s="86">
        <f t="shared" ca="1" si="33"/>
        <v>0</v>
      </c>
      <c r="Q35" s="87">
        <f t="shared" ca="1" si="34"/>
        <v>0</v>
      </c>
      <c r="R35" s="241">
        <f ca="1">IFERROR(__xludf.DUMMYFUNCTION("IMPORTRANGE(""https://docs.google.com/spreadsheets/d/1XVB7oCJ3pr-vBUdflwPQ8Z2LlzhnCvZaaYjAfP-647E/edit?usp=sharing"",""นครพนม!Q303"")"),123161.24)</f>
        <v>123161.24</v>
      </c>
      <c r="S35" s="242">
        <f ca="1">IFERROR(__xludf.DUMMYFUNCTION("IMPORTRANGE(""https://docs.google.com/spreadsheets/d/1XVB7oCJ3pr-vBUdflwPQ8Z2LlzhnCvZaaYjAfP-647E/edit?usp=sharing"",""นครพนม!R303"")"),0)</f>
        <v>0</v>
      </c>
      <c r="T35" s="242">
        <f ca="1">IFERROR(__xludf.DUMMYFUNCTION("IMPORTRANGE(""https://docs.google.com/spreadsheets/d/1XVB7oCJ3pr-vBUdflwPQ8Z2LlzhnCvZaaYjAfP-647E/edit?usp=sharing"",""นครพนม!S303"")"),0)</f>
        <v>0</v>
      </c>
      <c r="U35" s="243">
        <f t="shared" ca="1" si="36"/>
        <v>0</v>
      </c>
      <c r="V35" s="243">
        <f t="shared" ca="1" si="37"/>
        <v>0</v>
      </c>
      <c r="W35" s="353" t="str">
        <f ca="1">IFERROR(__xludf.DUMMYFUNCTION("IMPORTRANGE(""https://docs.google.com/spreadsheets/d/1XVB7oCJ3pr-vBUdflwPQ8Z2LlzhnCvZaaYjAfP-647E/edit?usp=sharing"",""นครพนม!J313"")"),"")</f>
        <v/>
      </c>
      <c r="X35" s="353">
        <f ca="1">IFERROR(__xludf.DUMMYFUNCTION("IMPORTRANGE(""https://docs.google.com/spreadsheets/d/1XVB7oCJ3pr-vBUdflwPQ8Z2LlzhnCvZaaYjAfP-647E/edit?usp=sharing"",""นครพนม!I314"")"),15)</f>
        <v>15</v>
      </c>
      <c r="Y35" s="177">
        <f ca="1">IFERROR(__xludf.DUMMYFUNCTION("IMPORTRANGE(""https://docs.google.com/spreadsheets/d/1XVB7oCJ3pr-vBUdflwPQ8Z2LlzhnCvZaaYjAfP-647E/edit?usp=sharing"",""นครพนม!J314"")"),0)</f>
        <v>0</v>
      </c>
      <c r="Z35" s="354">
        <f t="shared" ca="1" si="39"/>
        <v>0</v>
      </c>
      <c r="AA35" s="353" t="str">
        <f ca="1">IFERROR(__xludf.DUMMYFUNCTION("IMPORTRANGE(""https://docs.google.com/spreadsheets/d/1XVB7oCJ3pr-vBUdflwPQ8Z2LlzhnCvZaaYjAfP-647E/edit?usp=sharing"",""นครพนม!I315"")"),"")</f>
        <v/>
      </c>
      <c r="AB35" s="177" t="str">
        <f ca="1">IFERROR(__xludf.DUMMYFUNCTION("IMPORTRANGE(""https://docs.google.com/spreadsheets/d/1XVB7oCJ3pr-vBUdflwPQ8Z2LlzhnCvZaaYjAfP-647E/edit?usp=sharing"",""นครพนม!J315"")"),"")</f>
        <v/>
      </c>
      <c r="AC35" s="354" t="e">
        <f t="shared" ca="1" si="41"/>
        <v>#VALUE!</v>
      </c>
      <c r="AD35" s="353" t="str">
        <f ca="1">IFERROR(__xludf.DUMMYFUNCTION("IMPORTRANGE(""https://docs.google.com/spreadsheets/d/1XVB7oCJ3pr-vBUdflwPQ8Z2LlzhnCvZaaYjAfP-647E/edit?usp=sharing"",""นครพนม!I316"")"),"")</f>
        <v/>
      </c>
      <c r="AE35" s="177" t="str">
        <f ca="1">IFERROR(__xludf.DUMMYFUNCTION("IMPORTRANGE(""https://docs.google.com/spreadsheets/d/1XVB7oCJ3pr-vBUdflwPQ8Z2LlzhnCvZaaYjAfP-647E/edit?usp=sharing"",""นครพนม!J316"")"),"")</f>
        <v/>
      </c>
      <c r="AF35" s="354" t="e">
        <f t="shared" ca="1" si="43"/>
        <v>#VALUE!</v>
      </c>
      <c r="AG35" s="353" t="str">
        <f ca="1">IFERROR(__xludf.DUMMYFUNCTION("IMPORTRANGE(""https://docs.google.com/spreadsheets/d/1XVB7oCJ3pr-vBUdflwPQ8Z2LlzhnCvZaaYjAfP-647E/edit?usp=sharing"",""นครพนม!I317"")"),"")</f>
        <v/>
      </c>
      <c r="AH35" s="177" t="str">
        <f ca="1">IFERROR(__xludf.DUMMYFUNCTION("IMPORTRANGE(""https://docs.google.com/spreadsheets/d/1XVB7oCJ3pr-vBUdflwPQ8Z2LlzhnCvZaaYjAfP-647E/edit?usp=sharing"",""นครพนม!J317"")"),"")</f>
        <v/>
      </c>
      <c r="AI35" s="354" t="e">
        <f t="shared" ca="1" si="45"/>
        <v>#VALUE!</v>
      </c>
    </row>
    <row r="36" spans="1:35" ht="21" customHeight="1" x14ac:dyDescent="0.3">
      <c r="A36" s="89">
        <v>5</v>
      </c>
      <c r="B36" s="90" t="s">
        <v>62</v>
      </c>
      <c r="C36" s="174">
        <f t="shared" ca="1" si="27"/>
        <v>305400</v>
      </c>
      <c r="D36" s="175">
        <f t="shared" ca="1" si="53"/>
        <v>305400</v>
      </c>
      <c r="E36" s="176">
        <f ca="1">IFERROR(__xludf.DUMMYFUNCTION("IMPORTRANGE(""https://docs.google.com/spreadsheets/d/1-uDff_7J0KD5mKrp0Vvzr7lt3OU09vwQwhkpOPPYv2Y/edit?usp=sharing"",""งบพรบ!DZ36"")"),204400)</f>
        <v>204400</v>
      </c>
      <c r="F36" s="176">
        <f ca="1">IFERROR(__xludf.DUMMYFUNCTION("IMPORTRANGE(""https://docs.google.com/spreadsheets/d/1-uDff_7J0KD5mKrp0Vvzr7lt3OU09vwQwhkpOPPYv2Y/edit?usp=sharing"",""งบพรบ!EA36"")"),101000)</f>
        <v>101000</v>
      </c>
      <c r="G36" s="176">
        <f ca="1">IFERROR(__xludf.DUMMYFUNCTION("IMPORTRANGE(""https://docs.google.com/spreadsheets/d/1-uDff_7J0KD5mKrp0Vvzr7lt3OU09vwQwhkpOPPYv2Y/edit?usp=sharing"",""งบพรบ!EB36"")"),0)</f>
        <v>0</v>
      </c>
      <c r="H36" s="176">
        <f ca="1">IFERROR(__xludf.DUMMYFUNCTION("IMPORTRANGE(""https://docs.google.com/spreadsheets/d/1-uDff_7J0KD5mKrp0Vvzr7lt3OU09vwQwhkpOPPYv2Y/edit?usp=sharing"",""งบพรบ!ED36"")"),305400)</f>
        <v>305400</v>
      </c>
      <c r="I36" s="176">
        <f ca="1">IFERROR(__xludf.DUMMYFUNCTION("IMPORTRANGE(""https://docs.google.com/spreadsheets/d/1-uDff_7J0KD5mKrp0Vvzr7lt3OU09vwQwhkpOPPYv2Y/edit?usp=sharing"",""งบพรบ!EE36"")"),0)</f>
        <v>0</v>
      </c>
      <c r="J36" s="176">
        <f t="shared" ca="1" si="29"/>
        <v>215286.99</v>
      </c>
      <c r="K36" s="179">
        <f t="shared" ca="1" si="30"/>
        <v>70.493447937131634</v>
      </c>
      <c r="L36" s="176">
        <f ca="1">IFERROR(__xludf.DUMMYFUNCTION("IMPORTRANGE(""https://docs.google.com/spreadsheets/d/1-uDff_7J0KD5mKrp0Vvzr7lt3OU09vwQwhkpOPPYv2Y/edit?usp=sharing"",""งบพรบ!EF36"")"),215286.99)</f>
        <v>215286.99</v>
      </c>
      <c r="M36" s="87">
        <f t="shared" ca="1" si="31"/>
        <v>70.493447937131634</v>
      </c>
      <c r="N36" s="87">
        <f t="shared" ca="1" si="32"/>
        <v>70.493447937131634</v>
      </c>
      <c r="O36" s="86">
        <f ca="1">IFERROR(__xludf.DUMMYFUNCTION("IMPORTRANGE(""https://docs.google.com/spreadsheets/d/1-uDff_7J0KD5mKrp0Vvzr7lt3OU09vwQwhkpOPPYv2Y/edit?usp=sharing"",""งบพรบ!EG36"")"),0)</f>
        <v>0</v>
      </c>
      <c r="P36" s="86">
        <f t="shared" ca="1" si="33"/>
        <v>0</v>
      </c>
      <c r="Q36" s="87">
        <f t="shared" ca="1" si="34"/>
        <v>0</v>
      </c>
      <c r="R36" s="241">
        <f ca="1">IFERROR(__xludf.DUMMYFUNCTION("IMPORTRANGE(""https://docs.google.com/spreadsheets/d/1Mnpb-8PYAgn85W6KOTD40hc_Xc55CaLfHoGAbrZ8tls/edit?usp=sharing"",""นครราชสีมา!Q303"")"),166057.24)</f>
        <v>166057.24</v>
      </c>
      <c r="S36" s="242">
        <f ca="1">IFERROR(__xludf.DUMMYFUNCTION("IMPORTRANGE(""https://docs.google.com/spreadsheets/d/1Mnpb-8PYAgn85W6KOTD40hc_Xc55CaLfHoGAbrZ8tls/edit?usp=sharing"",""นครราชสีมา!R303"")"),0)</f>
        <v>0</v>
      </c>
      <c r="T36" s="242">
        <f ca="1">IFERROR(__xludf.DUMMYFUNCTION("IMPORTRANGE(""https://docs.google.com/spreadsheets/d/1Mnpb-8PYAgn85W6KOTD40hc_Xc55CaLfHoGAbrZ8tls/edit?usp=sharing"",""นครราชสีมา!S303"")"),0)</f>
        <v>0</v>
      </c>
      <c r="U36" s="243">
        <f t="shared" ca="1" si="36"/>
        <v>0</v>
      </c>
      <c r="V36" s="243">
        <f t="shared" ca="1" si="37"/>
        <v>0</v>
      </c>
      <c r="W36" s="353" t="str">
        <f ca="1">IFERROR(__xludf.DUMMYFUNCTION("IMPORTRANGE(""https://docs.google.com/spreadsheets/d/1Mnpb-8PYAgn85W6KOTD40hc_Xc55CaLfHoGAbrZ8tls/edit?usp=sharing"",""นครราชสีมา!J313"")"),"")</f>
        <v/>
      </c>
      <c r="X36" s="353">
        <f ca="1">IFERROR(__xludf.DUMMYFUNCTION("IMPORTRANGE(""https://docs.google.com/spreadsheets/d/1Mnpb-8PYAgn85W6KOTD40hc_Xc55CaLfHoGAbrZ8tls/edit?usp=sharing"",""นครราชสีมา!I314"")"),25)</f>
        <v>25</v>
      </c>
      <c r="Y36" s="177">
        <f ca="1">IFERROR(__xludf.DUMMYFUNCTION("IMPORTRANGE(""https://docs.google.com/spreadsheets/d/1Mnpb-8PYAgn85W6KOTD40hc_Xc55CaLfHoGAbrZ8tls/edit?usp=sharing"",""นครราชสีมา!J314"")"),0)</f>
        <v>0</v>
      </c>
      <c r="Z36" s="354">
        <f t="shared" ca="1" si="39"/>
        <v>0</v>
      </c>
      <c r="AA36" s="353" t="str">
        <f ca="1">IFERROR(__xludf.DUMMYFUNCTION("IMPORTRANGE(""https://docs.google.com/spreadsheets/d/1Mnpb-8PYAgn85W6KOTD40hc_Xc55CaLfHoGAbrZ8tls/edit?usp=sharing"",""นครราชสีมา!I315"")"),"")</f>
        <v/>
      </c>
      <c r="AB36" s="177" t="str">
        <f ca="1">IFERROR(__xludf.DUMMYFUNCTION("IMPORTRANGE(""https://docs.google.com/spreadsheets/d/1Mnpb-8PYAgn85W6KOTD40hc_Xc55CaLfHoGAbrZ8tls/edit?usp=sharing"",""นครราชสีมา!J315"")"),"")</f>
        <v/>
      </c>
      <c r="AC36" s="354" t="e">
        <f t="shared" ca="1" si="41"/>
        <v>#VALUE!</v>
      </c>
      <c r="AD36" s="353" t="str">
        <f ca="1">IFERROR(__xludf.DUMMYFUNCTION("IMPORTRANGE(""https://docs.google.com/spreadsheets/d/1Mnpb-8PYAgn85W6KOTD40hc_Xc55CaLfHoGAbrZ8tls/edit?usp=sharing"",""นครราชสีมา!I316"")"),"")</f>
        <v/>
      </c>
      <c r="AE36" s="177" t="str">
        <f ca="1">IFERROR(__xludf.DUMMYFUNCTION("IMPORTRANGE(""https://docs.google.com/spreadsheets/d/1Mnpb-8PYAgn85W6KOTD40hc_Xc55CaLfHoGAbrZ8tls/edit?usp=sharing"",""นครราชสีมา!J316"")"),"")</f>
        <v/>
      </c>
      <c r="AF36" s="354" t="e">
        <f t="shared" ca="1" si="43"/>
        <v>#VALUE!</v>
      </c>
      <c r="AG36" s="353" t="str">
        <f ca="1">IFERROR(__xludf.DUMMYFUNCTION("IMPORTRANGE(""https://docs.google.com/spreadsheets/d/1Mnpb-8PYAgn85W6KOTD40hc_Xc55CaLfHoGAbrZ8tls/edit?usp=sharing"",""นครราชสีมา!I317"")"),"")</f>
        <v/>
      </c>
      <c r="AH36" s="177" t="str">
        <f ca="1">IFERROR(__xludf.DUMMYFUNCTION("IMPORTRANGE(""https://docs.google.com/spreadsheets/d/1Mnpb-8PYAgn85W6KOTD40hc_Xc55CaLfHoGAbrZ8tls/edit?usp=sharing"",""นครราชสีมา!J317"")"),"")</f>
        <v/>
      </c>
      <c r="AI36" s="354" t="e">
        <f t="shared" ca="1" si="45"/>
        <v>#VALUE!</v>
      </c>
    </row>
    <row r="37" spans="1:35" ht="21" customHeight="1" x14ac:dyDescent="0.3">
      <c r="A37" s="89">
        <v>6</v>
      </c>
      <c r="B37" s="90" t="s">
        <v>63</v>
      </c>
      <c r="C37" s="174">
        <f t="shared" ca="1" si="27"/>
        <v>0</v>
      </c>
      <c r="D37" s="175">
        <f t="shared" ca="1" si="53"/>
        <v>0</v>
      </c>
      <c r="E37" s="176">
        <f ca="1">IFERROR(__xludf.DUMMYFUNCTION("IMPORTRANGE(""https://docs.google.com/spreadsheets/d/1-uDff_7J0KD5mKrp0Vvzr7lt3OU09vwQwhkpOPPYv2Y/edit?usp=sharing"",""งบพรบ!DZ37"")"),0)</f>
        <v>0</v>
      </c>
      <c r="F37" s="176">
        <f ca="1">IFERROR(__xludf.DUMMYFUNCTION("IMPORTRANGE(""https://docs.google.com/spreadsheets/d/1-uDff_7J0KD5mKrp0Vvzr7lt3OU09vwQwhkpOPPYv2Y/edit?usp=sharing"",""งบพรบ!EA37"")"),0)</f>
        <v>0</v>
      </c>
      <c r="G37" s="176">
        <f ca="1">IFERROR(__xludf.DUMMYFUNCTION("IMPORTRANGE(""https://docs.google.com/spreadsheets/d/1-uDff_7J0KD5mKrp0Vvzr7lt3OU09vwQwhkpOPPYv2Y/edit?usp=sharing"",""งบพรบ!EB37"")"),0)</f>
        <v>0</v>
      </c>
      <c r="H37" s="176">
        <f ca="1">IFERROR(__xludf.DUMMYFUNCTION("IMPORTRANGE(""https://docs.google.com/spreadsheets/d/1-uDff_7J0KD5mKrp0Vvzr7lt3OU09vwQwhkpOPPYv2Y/edit?usp=sharing"",""งบพรบ!ED37"")"),0)</f>
        <v>0</v>
      </c>
      <c r="I37" s="176">
        <f ca="1">IFERROR(__xludf.DUMMYFUNCTION("IMPORTRANGE(""https://docs.google.com/spreadsheets/d/1-uDff_7J0KD5mKrp0Vvzr7lt3OU09vwQwhkpOPPYv2Y/edit?usp=sharing"",""งบพรบ!EE37"")"),0)</f>
        <v>0</v>
      </c>
      <c r="J37" s="176">
        <f t="shared" ca="1" si="29"/>
        <v>0</v>
      </c>
      <c r="K37" s="179">
        <f t="shared" ca="1" si="30"/>
        <v>0</v>
      </c>
      <c r="L37" s="176">
        <f ca="1">IFERROR(__xludf.DUMMYFUNCTION("IMPORTRANGE(""https://docs.google.com/spreadsheets/d/1-uDff_7J0KD5mKrp0Vvzr7lt3OU09vwQwhkpOPPYv2Y/edit?usp=sharing"",""งบพรบ!EF37"")"),0)</f>
        <v>0</v>
      </c>
      <c r="M37" s="87">
        <f t="shared" ca="1" si="31"/>
        <v>0</v>
      </c>
      <c r="N37" s="87">
        <f t="shared" ca="1" si="32"/>
        <v>0</v>
      </c>
      <c r="O37" s="86">
        <f ca="1">IFERROR(__xludf.DUMMYFUNCTION("IMPORTRANGE(""https://docs.google.com/spreadsheets/d/1-uDff_7J0KD5mKrp0Vvzr7lt3OU09vwQwhkpOPPYv2Y/edit?usp=sharing"",""งบพรบ!EG37"")"),0)</f>
        <v>0</v>
      </c>
      <c r="P37" s="86">
        <f t="shared" ca="1" si="33"/>
        <v>0</v>
      </c>
      <c r="Q37" s="87">
        <f t="shared" ca="1" si="34"/>
        <v>0</v>
      </c>
      <c r="R37" s="241">
        <f ca="1">IFERROR(__xludf.DUMMYFUNCTION("IMPORTRANGE(""https://docs.google.com/spreadsheets/d/1xoDLGBv9CYbyosIhki0kTq6IpYNj-gpjxfobnaDiut0/edit?usp=sharing"",""บึงกาฬ!Q303"")"),0)</f>
        <v>0</v>
      </c>
      <c r="S37" s="242">
        <f ca="1">IFERROR(__xludf.DUMMYFUNCTION("IMPORTRANGE(""https://docs.google.com/spreadsheets/d/1xoDLGBv9CYbyosIhki0kTq6IpYNj-gpjxfobnaDiut0/edit?usp=sharing"",""บึงกาฬ!R303"")"),0)</f>
        <v>0</v>
      </c>
      <c r="T37" s="242">
        <f ca="1">IFERROR(__xludf.DUMMYFUNCTION("IMPORTRANGE(""https://docs.google.com/spreadsheets/d/1xoDLGBv9CYbyosIhki0kTq6IpYNj-gpjxfobnaDiut0/edit?usp=sharing"",""บึงกาฬ!S303"")"),0)</f>
        <v>0</v>
      </c>
      <c r="U37" s="243">
        <f t="shared" ca="1" si="36"/>
        <v>0</v>
      </c>
      <c r="V37" s="243">
        <f t="shared" ca="1" si="37"/>
        <v>0</v>
      </c>
      <c r="W37" s="353" t="str">
        <f ca="1">IFERROR(__xludf.DUMMYFUNCTION("IMPORTRANGE(""https://docs.google.com/spreadsheets/d/1xoDLGBv9CYbyosIhki0kTq6IpYNj-gpjxfobnaDiut0/edit?usp=sharing"",""บึงกาฬ!J313"")"),"")</f>
        <v/>
      </c>
      <c r="X37" s="353">
        <f ca="1">IFERROR(__xludf.DUMMYFUNCTION("IMPORTRANGE(""https://docs.google.com/spreadsheets/d/1xoDLGBv9CYbyosIhki0kTq6IpYNj-gpjxfobnaDiut0/edit?usp=sharing"",""บึงกาฬ!I314"")"),0)</f>
        <v>0</v>
      </c>
      <c r="Y37" s="177">
        <f ca="1">IFERROR(__xludf.DUMMYFUNCTION("IMPORTRANGE(""https://docs.google.com/spreadsheets/d/1xoDLGBv9CYbyosIhki0kTq6IpYNj-gpjxfobnaDiut0/edit?usp=sharing"",""บึงกาฬ!J314"")"),0)</f>
        <v>0</v>
      </c>
      <c r="Z37" s="354">
        <f t="shared" ca="1" si="39"/>
        <v>0</v>
      </c>
      <c r="AA37" s="353" t="str">
        <f ca="1">IFERROR(__xludf.DUMMYFUNCTION("IMPORTRANGE(""https://docs.google.com/spreadsheets/d/1xoDLGBv9CYbyosIhki0kTq6IpYNj-gpjxfobnaDiut0/edit?usp=sharing"",""บึงกาฬ!I315"")"),"")</f>
        <v/>
      </c>
      <c r="AB37" s="177" t="str">
        <f ca="1">IFERROR(__xludf.DUMMYFUNCTION("IMPORTRANGE(""https://docs.google.com/spreadsheets/d/1xoDLGBv9CYbyosIhki0kTq6IpYNj-gpjxfobnaDiut0/edit?usp=sharing"",""บึงกาฬ!J315"")"),"")</f>
        <v/>
      </c>
      <c r="AC37" s="354">
        <f t="shared" ca="1" si="41"/>
        <v>0</v>
      </c>
      <c r="AD37" s="353" t="str">
        <f ca="1">IFERROR(__xludf.DUMMYFUNCTION("IMPORTRANGE(""https://docs.google.com/spreadsheets/d/1xoDLGBv9CYbyosIhki0kTq6IpYNj-gpjxfobnaDiut0/edit?usp=sharing"",""บึงกาฬ!I316"")"),"")</f>
        <v/>
      </c>
      <c r="AE37" s="177" t="str">
        <f ca="1">IFERROR(__xludf.DUMMYFUNCTION("IMPORTRANGE(""https://docs.google.com/spreadsheets/d/1xoDLGBv9CYbyosIhki0kTq6IpYNj-gpjxfobnaDiut0/edit?usp=sharing"",""บึงกาฬ!J316"")"),"")</f>
        <v/>
      </c>
      <c r="AF37" s="354" t="e">
        <f t="shared" ca="1" si="43"/>
        <v>#VALUE!</v>
      </c>
      <c r="AG37" s="353" t="str">
        <f ca="1">IFERROR(__xludf.DUMMYFUNCTION("IMPORTRANGE(""https://docs.google.com/spreadsheets/d/1xoDLGBv9CYbyosIhki0kTq6IpYNj-gpjxfobnaDiut0/edit?usp=sharing"",""บึงกาฬ!I317"")"),"")</f>
        <v/>
      </c>
      <c r="AH37" s="177" t="str">
        <f ca="1">IFERROR(__xludf.DUMMYFUNCTION("IMPORTRANGE(""https://docs.google.com/spreadsheets/d/1xoDLGBv9CYbyosIhki0kTq6IpYNj-gpjxfobnaDiut0/edit?usp=sharing"",""บึงกาฬ!J317"")"),"")</f>
        <v/>
      </c>
      <c r="AI37" s="354" t="e">
        <f t="shared" ca="1" si="45"/>
        <v>#VALUE!</v>
      </c>
    </row>
    <row r="38" spans="1:35" ht="21" customHeight="1" x14ac:dyDescent="0.3">
      <c r="A38" s="89">
        <v>7</v>
      </c>
      <c r="B38" s="90" t="s">
        <v>64</v>
      </c>
      <c r="C38" s="174">
        <f t="shared" ca="1" si="27"/>
        <v>305400</v>
      </c>
      <c r="D38" s="175">
        <f t="shared" ca="1" si="53"/>
        <v>305400</v>
      </c>
      <c r="E38" s="176">
        <f ca="1">IFERROR(__xludf.DUMMYFUNCTION("IMPORTRANGE(""https://docs.google.com/spreadsheets/d/1-uDff_7J0KD5mKrp0Vvzr7lt3OU09vwQwhkpOPPYv2Y/edit?usp=sharing"",""งบพรบ!DZ38"")"),204400)</f>
        <v>204400</v>
      </c>
      <c r="F38" s="176">
        <f ca="1">IFERROR(__xludf.DUMMYFUNCTION("IMPORTRANGE(""https://docs.google.com/spreadsheets/d/1-uDff_7J0KD5mKrp0Vvzr7lt3OU09vwQwhkpOPPYv2Y/edit?usp=sharing"",""งบพรบ!EA38"")"),101000)</f>
        <v>101000</v>
      </c>
      <c r="G38" s="176">
        <f ca="1">IFERROR(__xludf.DUMMYFUNCTION("IMPORTRANGE(""https://docs.google.com/spreadsheets/d/1-uDff_7J0KD5mKrp0Vvzr7lt3OU09vwQwhkpOPPYv2Y/edit?usp=sharing"",""งบพรบ!EB38"")"),0)</f>
        <v>0</v>
      </c>
      <c r="H38" s="176">
        <f ca="1">IFERROR(__xludf.DUMMYFUNCTION("IMPORTRANGE(""https://docs.google.com/spreadsheets/d/1-uDff_7J0KD5mKrp0Vvzr7lt3OU09vwQwhkpOPPYv2Y/edit?usp=sharing"",""งบพรบ!ED38"")"),305400)</f>
        <v>305400</v>
      </c>
      <c r="I38" s="176">
        <f ca="1">IFERROR(__xludf.DUMMYFUNCTION("IMPORTRANGE(""https://docs.google.com/spreadsheets/d/1-uDff_7J0KD5mKrp0Vvzr7lt3OU09vwQwhkpOPPYv2Y/edit?usp=sharing"",""งบพรบ!EE38"")"),0)</f>
        <v>0</v>
      </c>
      <c r="J38" s="176">
        <f t="shared" ca="1" si="29"/>
        <v>92633.33</v>
      </c>
      <c r="K38" s="179">
        <f t="shared" ca="1" si="30"/>
        <v>30.331804191224624</v>
      </c>
      <c r="L38" s="176">
        <f ca="1">IFERROR(__xludf.DUMMYFUNCTION("IMPORTRANGE(""https://docs.google.com/spreadsheets/d/1-uDff_7J0KD5mKrp0Vvzr7lt3OU09vwQwhkpOPPYv2Y/edit?usp=sharing"",""งบพรบ!EF38"")"),92633.33)</f>
        <v>92633.33</v>
      </c>
      <c r="M38" s="87">
        <f t="shared" ca="1" si="31"/>
        <v>30.331804191224624</v>
      </c>
      <c r="N38" s="87">
        <f t="shared" ca="1" si="32"/>
        <v>30.331804191224624</v>
      </c>
      <c r="O38" s="86">
        <f ca="1">IFERROR(__xludf.DUMMYFUNCTION("IMPORTRANGE(""https://docs.google.com/spreadsheets/d/1-uDff_7J0KD5mKrp0Vvzr7lt3OU09vwQwhkpOPPYv2Y/edit?usp=sharing"",""งบพรบ!EG38"")"),0)</f>
        <v>0</v>
      </c>
      <c r="P38" s="86">
        <f t="shared" ca="1" si="33"/>
        <v>0</v>
      </c>
      <c r="Q38" s="87">
        <f t="shared" ca="1" si="34"/>
        <v>0</v>
      </c>
      <c r="R38" s="241">
        <f ca="1">IFERROR(__xludf.DUMMYFUNCTION("IMPORTRANGE(""https://docs.google.com/spreadsheets/d/1MMPq-JyI6DSgQETxuSiXkesP-P7JHuemnE6QJIa-Nlw/edit?usp=sharing"",""บุรีรัมย์!Q303"")"),166057.24)</f>
        <v>166057.24</v>
      </c>
      <c r="S38" s="242">
        <f ca="1">IFERROR(__xludf.DUMMYFUNCTION("IMPORTRANGE(""https://docs.google.com/spreadsheets/d/1MMPq-JyI6DSgQETxuSiXkesP-P7JHuemnE6QJIa-Nlw/edit?usp=sharing"",""บุรีรัมย์!R303"")"),0)</f>
        <v>0</v>
      </c>
      <c r="T38" s="242">
        <f ca="1">IFERROR(__xludf.DUMMYFUNCTION("IMPORTRANGE(""https://docs.google.com/spreadsheets/d/1MMPq-JyI6DSgQETxuSiXkesP-P7JHuemnE6QJIa-Nlw/edit?usp=sharing"",""บุรีรัมย์!S303"")"),0)</f>
        <v>0</v>
      </c>
      <c r="U38" s="243">
        <f t="shared" ca="1" si="36"/>
        <v>0</v>
      </c>
      <c r="V38" s="243">
        <f t="shared" ca="1" si="37"/>
        <v>0</v>
      </c>
      <c r="W38" s="353" t="str">
        <f ca="1">IFERROR(__xludf.DUMMYFUNCTION("IMPORTRANGE(""https://docs.google.com/spreadsheets/d/1MMPq-JyI6DSgQETxuSiXkesP-P7JHuemnE6QJIa-Nlw/edit?usp=sharing"",""บุรีรัมย์!J313"")"),"")</f>
        <v/>
      </c>
      <c r="X38" s="353">
        <f ca="1">IFERROR(__xludf.DUMMYFUNCTION("IMPORTRANGE(""https://docs.google.com/spreadsheets/d/1MMPq-JyI6DSgQETxuSiXkesP-P7JHuemnE6QJIa-Nlw/edit?usp=sharing"",""บุรีรัมย์!I314"")"),25)</f>
        <v>25</v>
      </c>
      <c r="Y38" s="177">
        <f ca="1">IFERROR(__xludf.DUMMYFUNCTION("IMPORTRANGE(""https://docs.google.com/spreadsheets/d/1MMPq-JyI6DSgQETxuSiXkesP-P7JHuemnE6QJIa-Nlw/edit?usp=sharing"",""บุรีรัมย์!J314"")"),0)</f>
        <v>0</v>
      </c>
      <c r="Z38" s="354">
        <f t="shared" ca="1" si="39"/>
        <v>0</v>
      </c>
      <c r="AA38" s="353" t="str">
        <f ca="1">IFERROR(__xludf.DUMMYFUNCTION("IMPORTRANGE(""https://docs.google.com/spreadsheets/d/1MMPq-JyI6DSgQETxuSiXkesP-P7JHuemnE6QJIa-Nlw/edit?usp=sharing"",""บุรีรัมย์!I315"")"),"")</f>
        <v/>
      </c>
      <c r="AB38" s="177" t="str">
        <f ca="1">IFERROR(__xludf.DUMMYFUNCTION("IMPORTRANGE(""https://docs.google.com/spreadsheets/d/1MMPq-JyI6DSgQETxuSiXkesP-P7JHuemnE6QJIa-Nlw/edit?usp=sharing"",""บุรีรัมย์!J315"")"),"")</f>
        <v/>
      </c>
      <c r="AC38" s="354" t="e">
        <f t="shared" ca="1" si="41"/>
        <v>#VALUE!</v>
      </c>
      <c r="AD38" s="353" t="str">
        <f ca="1">IFERROR(__xludf.DUMMYFUNCTION("IMPORTRANGE(""https://docs.google.com/spreadsheets/d/1MMPq-JyI6DSgQETxuSiXkesP-P7JHuemnE6QJIa-Nlw/edit?usp=sharing"",""บุรีรัมย์!I316"")"),"")</f>
        <v/>
      </c>
      <c r="AE38" s="177" t="str">
        <f ca="1">IFERROR(__xludf.DUMMYFUNCTION("IMPORTRANGE(""https://docs.google.com/spreadsheets/d/1MMPq-JyI6DSgQETxuSiXkesP-P7JHuemnE6QJIa-Nlw/edit?usp=sharing"",""บุรีรัมย์!J316"")"),"")</f>
        <v/>
      </c>
      <c r="AF38" s="354" t="e">
        <f t="shared" ca="1" si="43"/>
        <v>#VALUE!</v>
      </c>
      <c r="AG38" s="353" t="str">
        <f ca="1">IFERROR(__xludf.DUMMYFUNCTION("IMPORTRANGE(""https://docs.google.com/spreadsheets/d/1MMPq-JyI6DSgQETxuSiXkesP-P7JHuemnE6QJIa-Nlw/edit?usp=sharing"",""บุรีรัมย์!I317"")"),"")</f>
        <v/>
      </c>
      <c r="AH38" s="177" t="str">
        <f ca="1">IFERROR(__xludf.DUMMYFUNCTION("IMPORTRANGE(""https://docs.google.com/spreadsheets/d/1MMPq-JyI6DSgQETxuSiXkesP-P7JHuemnE6QJIa-Nlw/edit?usp=sharing"",""บุรีรัมย์!J317"")"),"")</f>
        <v/>
      </c>
      <c r="AI38" s="354" t="e">
        <f t="shared" ca="1" si="45"/>
        <v>#VALUE!</v>
      </c>
    </row>
    <row r="39" spans="1:35" ht="21" customHeight="1" x14ac:dyDescent="0.3">
      <c r="A39" s="89">
        <v>8</v>
      </c>
      <c r="B39" s="90" t="s">
        <v>65</v>
      </c>
      <c r="C39" s="174">
        <f t="shared" ca="1" si="27"/>
        <v>0</v>
      </c>
      <c r="D39" s="175">
        <f t="shared" ca="1" si="53"/>
        <v>0</v>
      </c>
      <c r="E39" s="176">
        <f ca="1">IFERROR(__xludf.DUMMYFUNCTION("IMPORTRANGE(""https://docs.google.com/spreadsheets/d/1-uDff_7J0KD5mKrp0Vvzr7lt3OU09vwQwhkpOPPYv2Y/edit?usp=sharing"",""งบพรบ!DZ39"")"),0)</f>
        <v>0</v>
      </c>
      <c r="F39" s="176">
        <f ca="1">IFERROR(__xludf.DUMMYFUNCTION("IMPORTRANGE(""https://docs.google.com/spreadsheets/d/1-uDff_7J0KD5mKrp0Vvzr7lt3OU09vwQwhkpOPPYv2Y/edit?usp=sharing"",""งบพรบ!EA39"")"),0)</f>
        <v>0</v>
      </c>
      <c r="G39" s="176">
        <f ca="1">IFERROR(__xludf.DUMMYFUNCTION("IMPORTRANGE(""https://docs.google.com/spreadsheets/d/1-uDff_7J0KD5mKrp0Vvzr7lt3OU09vwQwhkpOPPYv2Y/edit?usp=sharing"",""งบพรบ!EB39"")"),0)</f>
        <v>0</v>
      </c>
      <c r="H39" s="176">
        <f ca="1">IFERROR(__xludf.DUMMYFUNCTION("IMPORTRANGE(""https://docs.google.com/spreadsheets/d/1-uDff_7J0KD5mKrp0Vvzr7lt3OU09vwQwhkpOPPYv2Y/edit?usp=sharing"",""งบพรบ!ED39"")"),0)</f>
        <v>0</v>
      </c>
      <c r="I39" s="176">
        <f ca="1">IFERROR(__xludf.DUMMYFUNCTION("IMPORTRANGE(""https://docs.google.com/spreadsheets/d/1-uDff_7J0KD5mKrp0Vvzr7lt3OU09vwQwhkpOPPYv2Y/edit?usp=sharing"",""งบพรบ!EE39"")"),0)</f>
        <v>0</v>
      </c>
      <c r="J39" s="176">
        <f t="shared" ca="1" si="29"/>
        <v>0</v>
      </c>
      <c r="K39" s="179">
        <f t="shared" ca="1" si="30"/>
        <v>0</v>
      </c>
      <c r="L39" s="176">
        <f ca="1">IFERROR(__xludf.DUMMYFUNCTION("IMPORTRANGE(""https://docs.google.com/spreadsheets/d/1-uDff_7J0KD5mKrp0Vvzr7lt3OU09vwQwhkpOPPYv2Y/edit?usp=sharing"",""งบพรบ!EF39"")"),0)</f>
        <v>0</v>
      </c>
      <c r="M39" s="87">
        <f t="shared" ca="1" si="31"/>
        <v>0</v>
      </c>
      <c r="N39" s="87">
        <f t="shared" ca="1" si="32"/>
        <v>0</v>
      </c>
      <c r="O39" s="86">
        <f ca="1">IFERROR(__xludf.DUMMYFUNCTION("IMPORTRANGE(""https://docs.google.com/spreadsheets/d/1-uDff_7J0KD5mKrp0Vvzr7lt3OU09vwQwhkpOPPYv2Y/edit?usp=sharing"",""งบพรบ!EG39"")"),0)</f>
        <v>0</v>
      </c>
      <c r="P39" s="86">
        <f t="shared" ca="1" si="33"/>
        <v>0</v>
      </c>
      <c r="Q39" s="87">
        <f t="shared" ca="1" si="34"/>
        <v>0</v>
      </c>
      <c r="R39" s="241">
        <f ca="1">IFERROR(__xludf.DUMMYFUNCTION("IMPORTRANGE(""https://docs.google.com/spreadsheets/d/1l6IZ8xUPgMrESzcTYwhA1k_tPjeQjJPTqlm8Gd9eU5g/edit?usp=sharing"",""มหาสารคาม!Q303"")"),260958.39)</f>
        <v>260958.39</v>
      </c>
      <c r="S39" s="242">
        <f ca="1">IFERROR(__xludf.DUMMYFUNCTION("IMPORTRANGE(""https://docs.google.com/spreadsheets/d/1l6IZ8xUPgMrESzcTYwhA1k_tPjeQjJPTqlm8Gd9eU5g/edit?usp=sharing"",""มหาสารคาม!R303"")"),0)</f>
        <v>0</v>
      </c>
      <c r="T39" s="242">
        <f ca="1">IFERROR(__xludf.DUMMYFUNCTION("IMPORTRANGE(""https://docs.google.com/spreadsheets/d/1l6IZ8xUPgMrESzcTYwhA1k_tPjeQjJPTqlm8Gd9eU5g/edit?usp=sharing"",""มหาสารคาม!S303"")"),0)</f>
        <v>0</v>
      </c>
      <c r="U39" s="243">
        <f t="shared" ca="1" si="36"/>
        <v>0</v>
      </c>
      <c r="V39" s="243">
        <f t="shared" ca="1" si="37"/>
        <v>0</v>
      </c>
      <c r="W39" s="353" t="str">
        <f ca="1">IFERROR(__xludf.DUMMYFUNCTION("IMPORTRANGE(""https://docs.google.com/spreadsheets/d/1l6IZ8xUPgMrESzcTYwhA1k_tPjeQjJPTqlm8Gd9eU5g/edit?usp=sharing"",""มหาสารคาม!J313"")"),"")</f>
        <v/>
      </c>
      <c r="X39" s="353">
        <f ca="1">IFERROR(__xludf.DUMMYFUNCTION("IMPORTRANGE(""https://docs.google.com/spreadsheets/d/1l6IZ8xUPgMrESzcTYwhA1k_tPjeQjJPTqlm8Gd9eU5g/edit?usp=sharing"",""มหาสารคาม!I314"")"),30)</f>
        <v>30</v>
      </c>
      <c r="Y39" s="177">
        <f ca="1">IFERROR(__xludf.DUMMYFUNCTION("IMPORTRANGE(""https://docs.google.com/spreadsheets/d/1l6IZ8xUPgMrESzcTYwhA1k_tPjeQjJPTqlm8Gd9eU5g/edit?usp=sharing"",""มหาสารคาม!J314"")"),0)</f>
        <v>0</v>
      </c>
      <c r="Z39" s="354">
        <f t="shared" ca="1" si="39"/>
        <v>0</v>
      </c>
      <c r="AA39" s="353" t="str">
        <f ca="1">IFERROR(__xludf.DUMMYFUNCTION("IMPORTRANGE(""https://docs.google.com/spreadsheets/d/1l6IZ8xUPgMrESzcTYwhA1k_tPjeQjJPTqlm8Gd9eU5g/edit?usp=sharing"",""มหาสารคาม!I315"")"),"")</f>
        <v/>
      </c>
      <c r="AB39" s="177" t="str">
        <f ca="1">IFERROR(__xludf.DUMMYFUNCTION("IMPORTRANGE(""https://docs.google.com/spreadsheets/d/1l6IZ8xUPgMrESzcTYwhA1k_tPjeQjJPTqlm8Gd9eU5g/edit?usp=sharing"",""มหาสารคาม!J315"")"),"")</f>
        <v/>
      </c>
      <c r="AC39" s="354" t="e">
        <f t="shared" ca="1" si="41"/>
        <v>#VALUE!</v>
      </c>
      <c r="AD39" s="353" t="str">
        <f ca="1">IFERROR(__xludf.DUMMYFUNCTION("IMPORTRANGE(""https://docs.google.com/spreadsheets/d/1l6IZ8xUPgMrESzcTYwhA1k_tPjeQjJPTqlm8Gd9eU5g/edit?usp=sharing"",""มหาสารคาม!I316"")"),"")</f>
        <v/>
      </c>
      <c r="AE39" s="177" t="str">
        <f ca="1">IFERROR(__xludf.DUMMYFUNCTION("IMPORTRANGE(""https://docs.google.com/spreadsheets/d/1l6IZ8xUPgMrESzcTYwhA1k_tPjeQjJPTqlm8Gd9eU5g/edit?usp=sharing"",""มหาสารคาม!J316"")"),"")</f>
        <v/>
      </c>
      <c r="AF39" s="354" t="e">
        <f t="shared" ca="1" si="43"/>
        <v>#VALUE!</v>
      </c>
      <c r="AG39" s="353" t="str">
        <f ca="1">IFERROR(__xludf.DUMMYFUNCTION("IMPORTRANGE(""https://docs.google.com/spreadsheets/d/1l6IZ8xUPgMrESzcTYwhA1k_tPjeQjJPTqlm8Gd9eU5g/edit?usp=sharing"",""มหาสารคาม!I317"")"),"")</f>
        <v/>
      </c>
      <c r="AH39" s="177" t="str">
        <f ca="1">IFERROR(__xludf.DUMMYFUNCTION("IMPORTRANGE(""https://docs.google.com/spreadsheets/d/1l6IZ8xUPgMrESzcTYwhA1k_tPjeQjJPTqlm8Gd9eU5g/edit?usp=sharing"",""มหาสารคาม!J317"")"),"")</f>
        <v/>
      </c>
      <c r="AI39" s="354" t="e">
        <f t="shared" ca="1" si="45"/>
        <v>#VALUE!</v>
      </c>
    </row>
    <row r="40" spans="1:35" ht="21" customHeight="1" x14ac:dyDescent="0.3">
      <c r="A40" s="89">
        <v>9</v>
      </c>
      <c r="B40" s="90" t="s">
        <v>66</v>
      </c>
      <c r="C40" s="174">
        <f t="shared" ca="1" si="27"/>
        <v>133500</v>
      </c>
      <c r="D40" s="175">
        <f t="shared" ca="1" si="53"/>
        <v>133500</v>
      </c>
      <c r="E40" s="176">
        <f ca="1">IFERROR(__xludf.DUMMYFUNCTION("IMPORTRANGE(""https://docs.google.com/spreadsheets/d/1-uDff_7J0KD5mKrp0Vvzr7lt3OU09vwQwhkpOPPYv2Y/edit?usp=sharing"",""งบพรบ!DZ40"")"),51100)</f>
        <v>51100</v>
      </c>
      <c r="F40" s="176">
        <f ca="1">IFERROR(__xludf.DUMMYFUNCTION("IMPORTRANGE(""https://docs.google.com/spreadsheets/d/1-uDff_7J0KD5mKrp0Vvzr7lt3OU09vwQwhkpOPPYv2Y/edit?usp=sharing"",""งบพรบ!EA40"")"),82400)</f>
        <v>82400</v>
      </c>
      <c r="G40" s="176">
        <f ca="1">IFERROR(__xludf.DUMMYFUNCTION("IMPORTRANGE(""https://docs.google.com/spreadsheets/d/1-uDff_7J0KD5mKrp0Vvzr7lt3OU09vwQwhkpOPPYv2Y/edit?usp=sharing"",""งบพรบ!EB40"")"),0)</f>
        <v>0</v>
      </c>
      <c r="H40" s="176">
        <f ca="1">IFERROR(__xludf.DUMMYFUNCTION("IMPORTRANGE(""https://docs.google.com/spreadsheets/d/1-uDff_7J0KD5mKrp0Vvzr7lt3OU09vwQwhkpOPPYv2Y/edit?usp=sharing"",""งบพรบ!ED40"")"),133500)</f>
        <v>133500</v>
      </c>
      <c r="I40" s="176">
        <f ca="1">IFERROR(__xludf.DUMMYFUNCTION("IMPORTRANGE(""https://docs.google.com/spreadsheets/d/1-uDff_7J0KD5mKrp0Vvzr7lt3OU09vwQwhkpOPPYv2Y/edit?usp=sharing"",""งบพรบ!EE40"")"),0)</f>
        <v>0</v>
      </c>
      <c r="J40" s="176">
        <f t="shared" ca="1" si="29"/>
        <v>65481</v>
      </c>
      <c r="K40" s="179">
        <f t="shared" ca="1" si="30"/>
        <v>49.049438202247188</v>
      </c>
      <c r="L40" s="176">
        <f ca="1">IFERROR(__xludf.DUMMYFUNCTION("IMPORTRANGE(""https://docs.google.com/spreadsheets/d/1-uDff_7J0KD5mKrp0Vvzr7lt3OU09vwQwhkpOPPYv2Y/edit?usp=sharing"",""งบพรบ!EF40"")"),65481)</f>
        <v>65481</v>
      </c>
      <c r="M40" s="87">
        <f t="shared" ca="1" si="31"/>
        <v>49.049438202247188</v>
      </c>
      <c r="N40" s="87">
        <f t="shared" ca="1" si="32"/>
        <v>49.049438202247188</v>
      </c>
      <c r="O40" s="86">
        <f ca="1">IFERROR(__xludf.DUMMYFUNCTION("IMPORTRANGE(""https://docs.google.com/spreadsheets/d/1-uDff_7J0KD5mKrp0Vvzr7lt3OU09vwQwhkpOPPYv2Y/edit?usp=sharing"",""งบพรบ!EG40"")"),0)</f>
        <v>0</v>
      </c>
      <c r="P40" s="86">
        <f t="shared" ca="1" si="33"/>
        <v>0</v>
      </c>
      <c r="Q40" s="87">
        <f t="shared" ca="1" si="34"/>
        <v>0</v>
      </c>
      <c r="R40" s="241">
        <f ca="1">IFERROR(__xludf.DUMMYFUNCTION("IMPORTRANGE(""https://docs.google.com/spreadsheets/d/1uB74YLqNjWX6FObjekfB2NtSYigTQyR2rq9u4Ub2Sq4/edit?usp=sharing"",""มุกดาหาร!Q303"")"),144609.24)</f>
        <v>144609.24</v>
      </c>
      <c r="S40" s="242">
        <f ca="1">IFERROR(__xludf.DUMMYFUNCTION("IMPORTRANGE(""https://docs.google.com/spreadsheets/d/1uB74YLqNjWX6FObjekfB2NtSYigTQyR2rq9u4Ub2Sq4/edit?usp=sharing"",""มุกดาหาร!R303"")"),0)</f>
        <v>0</v>
      </c>
      <c r="T40" s="242">
        <f ca="1">IFERROR(__xludf.DUMMYFUNCTION("IMPORTRANGE(""https://docs.google.com/spreadsheets/d/1uB74YLqNjWX6FObjekfB2NtSYigTQyR2rq9u4Ub2Sq4/edit?usp=sharing"",""มุกดาหาร!S303"")"),0)</f>
        <v>0</v>
      </c>
      <c r="U40" s="243">
        <f t="shared" ca="1" si="36"/>
        <v>0</v>
      </c>
      <c r="V40" s="243">
        <f t="shared" ca="1" si="37"/>
        <v>0</v>
      </c>
      <c r="W40" s="353" t="str">
        <f ca="1">IFERROR(__xludf.DUMMYFUNCTION("IMPORTRANGE(""https://docs.google.com/spreadsheets/d/1uB74YLqNjWX6FObjekfB2NtSYigTQyR2rq9u4Ub2Sq4/edit?usp=sharing"",""มุกดาหาร!J313"")"),"")</f>
        <v/>
      </c>
      <c r="X40" s="355">
        <f ca="1">IFERROR(__xludf.DUMMYFUNCTION("IMPORTRANGE(""https://docs.google.com/spreadsheets/d/1uB74YLqNjWX6FObjekfB2NtSYigTQyR2rq9u4Ub2Sq4/edit?usp=sharing"",""มุกดาหาร!I314"")"),20)</f>
        <v>20</v>
      </c>
      <c r="Y40" s="177">
        <f ca="1">IFERROR(__xludf.DUMMYFUNCTION("IMPORTRANGE(""https://docs.google.com/spreadsheets/d/1uB74YLqNjWX6FObjekfB2NtSYigTQyR2rq9u4Ub2Sq4/edit?usp=sharing"",""มุกดาหาร!J314"")"),20)</f>
        <v>20</v>
      </c>
      <c r="Z40" s="354">
        <f t="shared" ca="1" si="39"/>
        <v>100</v>
      </c>
      <c r="AA40" s="355" t="str">
        <f ca="1">IFERROR(__xludf.DUMMYFUNCTION("IMPORTRANGE(""https://docs.google.com/spreadsheets/d/1uB74YLqNjWX6FObjekfB2NtSYigTQyR2rq9u4Ub2Sq4/edit?usp=sharing"",""มุกดาหาร!I315"")"),"")</f>
        <v/>
      </c>
      <c r="AB40" s="177" t="str">
        <f ca="1">IFERROR(__xludf.DUMMYFUNCTION("IMPORTRANGE(""https://docs.google.com/spreadsheets/d/1uB74YLqNjWX6FObjekfB2NtSYigTQyR2rq9u4Ub2Sq4/edit?usp=sharing"",""มุกดาหาร!J315"")"),"")</f>
        <v/>
      </c>
      <c r="AC40" s="354" t="e">
        <f t="shared" ca="1" si="41"/>
        <v>#VALUE!</v>
      </c>
      <c r="AD40" s="355" t="str">
        <f ca="1">IFERROR(__xludf.DUMMYFUNCTION("IMPORTRANGE(""https://docs.google.com/spreadsheets/d/1uB74YLqNjWX6FObjekfB2NtSYigTQyR2rq9u4Ub2Sq4/edit?usp=sharing"",""มุกดาหาร!I316"")"),"")</f>
        <v/>
      </c>
      <c r="AE40" s="177" t="str">
        <f ca="1">IFERROR(__xludf.DUMMYFUNCTION("IMPORTRANGE(""https://docs.google.com/spreadsheets/d/1uB74YLqNjWX6FObjekfB2NtSYigTQyR2rq9u4Ub2Sq4/edit?usp=sharing"",""มุกดาหาร!J316"")"),"")</f>
        <v/>
      </c>
      <c r="AF40" s="354" t="e">
        <f t="shared" ca="1" si="43"/>
        <v>#VALUE!</v>
      </c>
      <c r="AG40" s="355" t="str">
        <f ca="1">IFERROR(__xludf.DUMMYFUNCTION("IMPORTRANGE(""https://docs.google.com/spreadsheets/d/1uB74YLqNjWX6FObjekfB2NtSYigTQyR2rq9u4Ub2Sq4/edit?usp=sharing"",""มุกดาหาร!I317"")"),"")</f>
        <v/>
      </c>
      <c r="AH40" s="177" t="str">
        <f ca="1">IFERROR(__xludf.DUMMYFUNCTION("IMPORTRANGE(""https://docs.google.com/spreadsheets/d/1uB74YLqNjWX6FObjekfB2NtSYigTQyR2rq9u4Ub2Sq4/edit?usp=sharing"",""มุกดาหาร!J317"")"),"")</f>
        <v/>
      </c>
      <c r="AI40" s="354" t="e">
        <f t="shared" ca="1" si="45"/>
        <v>#VALUE!</v>
      </c>
    </row>
    <row r="41" spans="1:35" ht="21" customHeight="1" x14ac:dyDescent="0.3">
      <c r="A41" s="89">
        <v>10</v>
      </c>
      <c r="B41" s="90" t="s">
        <v>67</v>
      </c>
      <c r="C41" s="174">
        <f t="shared" ca="1" si="27"/>
        <v>0</v>
      </c>
      <c r="D41" s="175">
        <f t="shared" ca="1" si="53"/>
        <v>0</v>
      </c>
      <c r="E41" s="176">
        <f ca="1">IFERROR(__xludf.DUMMYFUNCTION("IMPORTRANGE(""https://docs.google.com/spreadsheets/d/1-uDff_7J0KD5mKrp0Vvzr7lt3OU09vwQwhkpOPPYv2Y/edit?usp=sharing"",""งบพรบ!DZ41"")"),0)</f>
        <v>0</v>
      </c>
      <c r="F41" s="176">
        <f ca="1">IFERROR(__xludf.DUMMYFUNCTION("IMPORTRANGE(""https://docs.google.com/spreadsheets/d/1-uDff_7J0KD5mKrp0Vvzr7lt3OU09vwQwhkpOPPYv2Y/edit?usp=sharing"",""งบพรบ!EA41"")"),0)</f>
        <v>0</v>
      </c>
      <c r="G41" s="176">
        <f ca="1">IFERROR(__xludf.DUMMYFUNCTION("IMPORTRANGE(""https://docs.google.com/spreadsheets/d/1-uDff_7J0KD5mKrp0Vvzr7lt3OU09vwQwhkpOPPYv2Y/edit?usp=sharing"",""งบพรบ!EB41"")"),0)</f>
        <v>0</v>
      </c>
      <c r="H41" s="176">
        <f ca="1">IFERROR(__xludf.DUMMYFUNCTION("IMPORTRANGE(""https://docs.google.com/spreadsheets/d/1-uDff_7J0KD5mKrp0Vvzr7lt3OU09vwQwhkpOPPYv2Y/edit?usp=sharing"",""งบพรบ!ED41"")"),0)</f>
        <v>0</v>
      </c>
      <c r="I41" s="176">
        <f ca="1">IFERROR(__xludf.DUMMYFUNCTION("IMPORTRANGE(""https://docs.google.com/spreadsheets/d/1-uDff_7J0KD5mKrp0Vvzr7lt3OU09vwQwhkpOPPYv2Y/edit?usp=sharing"",""งบพรบ!EE41"")"),0)</f>
        <v>0</v>
      </c>
      <c r="J41" s="176">
        <f t="shared" ca="1" si="29"/>
        <v>0</v>
      </c>
      <c r="K41" s="179">
        <f t="shared" ca="1" si="30"/>
        <v>0</v>
      </c>
      <c r="L41" s="176">
        <f ca="1">IFERROR(__xludf.DUMMYFUNCTION("IMPORTRANGE(""https://docs.google.com/spreadsheets/d/1-uDff_7J0KD5mKrp0Vvzr7lt3OU09vwQwhkpOPPYv2Y/edit?usp=sharing"",""งบพรบ!EF41"")"),0)</f>
        <v>0</v>
      </c>
      <c r="M41" s="87">
        <f t="shared" ca="1" si="31"/>
        <v>0</v>
      </c>
      <c r="N41" s="87">
        <f t="shared" ca="1" si="32"/>
        <v>0</v>
      </c>
      <c r="O41" s="86">
        <f ca="1">IFERROR(__xludf.DUMMYFUNCTION("IMPORTRANGE(""https://docs.google.com/spreadsheets/d/1-uDff_7J0KD5mKrp0Vvzr7lt3OU09vwQwhkpOPPYv2Y/edit?usp=sharing"",""งบพรบ!EG41"")"),0)</f>
        <v>0</v>
      </c>
      <c r="P41" s="86">
        <f t="shared" ca="1" si="33"/>
        <v>0</v>
      </c>
      <c r="Q41" s="87">
        <f t="shared" ca="1" si="34"/>
        <v>0</v>
      </c>
      <c r="R41" s="241">
        <f ca="1">IFERROR(__xludf.DUMMYFUNCTION("IMPORTRANGE(""https://docs.google.com/spreadsheets/d/1NexK3geCPxCTO1fzNF8dPec7yZyUx3OaWkFBC9HsQOo/edit?usp=sharing"",""ยโสธร!Q303"")"),260958.39)</f>
        <v>260958.39</v>
      </c>
      <c r="S41" s="242">
        <f ca="1">IFERROR(__xludf.DUMMYFUNCTION("IMPORTRANGE(""https://docs.google.com/spreadsheets/d/1NexK3geCPxCTO1fzNF8dPec7yZyUx3OaWkFBC9HsQOo/edit?usp=sharing"",""ยโสธร!R303"")"),0)</f>
        <v>0</v>
      </c>
      <c r="T41" s="242">
        <f ca="1">IFERROR(__xludf.DUMMYFUNCTION("IMPORTRANGE(""https://docs.google.com/spreadsheets/d/1NexK3geCPxCTO1fzNF8dPec7yZyUx3OaWkFBC9HsQOo/edit?usp=sharing"",""ยโสธร!S303"")"),0)</f>
        <v>0</v>
      </c>
      <c r="U41" s="243">
        <f t="shared" ca="1" si="36"/>
        <v>0</v>
      </c>
      <c r="V41" s="243">
        <f t="shared" ca="1" si="37"/>
        <v>0</v>
      </c>
      <c r="W41" s="353" t="str">
        <f ca="1">IFERROR(__xludf.DUMMYFUNCTION("IMPORTRANGE(""https://docs.google.com/spreadsheets/d/1NexK3geCPxCTO1fzNF8dPec7yZyUx3OaWkFBC9HsQOo/edit?usp=sharing"",""ยโสธร!J313"")"),"")</f>
        <v/>
      </c>
      <c r="X41" s="355">
        <f ca="1">IFERROR(__xludf.DUMMYFUNCTION("IMPORTRANGE(""https://docs.google.com/spreadsheets/d/1NexK3geCPxCTO1fzNF8dPec7yZyUx3OaWkFBC9HsQOo/edit?usp=sharing"",""ยโสธร!I314"")"),30)</f>
        <v>30</v>
      </c>
      <c r="Y41" s="177">
        <f ca="1">IFERROR(__xludf.DUMMYFUNCTION("IMPORTRANGE(""https://docs.google.com/spreadsheets/d/1NexK3geCPxCTO1fzNF8dPec7yZyUx3OaWkFBC9HsQOo/edit?usp=sharing"",""ยโสธร!J314"")"),0)</f>
        <v>0</v>
      </c>
      <c r="Z41" s="354">
        <f t="shared" ca="1" si="39"/>
        <v>0</v>
      </c>
      <c r="AA41" s="355" t="str">
        <f ca="1">IFERROR(__xludf.DUMMYFUNCTION("IMPORTRANGE(""https://docs.google.com/spreadsheets/d/1NexK3geCPxCTO1fzNF8dPec7yZyUx3OaWkFBC9HsQOo/edit?usp=sharing"",""ยโสธร!I315"")"),"")</f>
        <v/>
      </c>
      <c r="AB41" s="177" t="str">
        <f ca="1">IFERROR(__xludf.DUMMYFUNCTION("IMPORTRANGE(""https://docs.google.com/spreadsheets/d/1NexK3geCPxCTO1fzNF8dPec7yZyUx3OaWkFBC9HsQOo/edit?usp=sharing"",""ยโสธร!J315"")"),"")</f>
        <v/>
      </c>
      <c r="AC41" s="354" t="e">
        <f t="shared" ca="1" si="41"/>
        <v>#VALUE!</v>
      </c>
      <c r="AD41" s="355" t="str">
        <f ca="1">IFERROR(__xludf.DUMMYFUNCTION("IMPORTRANGE(""https://docs.google.com/spreadsheets/d/1NexK3geCPxCTO1fzNF8dPec7yZyUx3OaWkFBC9HsQOo/edit?usp=sharing"",""ยโสธร!I316"")"),"")</f>
        <v/>
      </c>
      <c r="AE41" s="177" t="str">
        <f ca="1">IFERROR(__xludf.DUMMYFUNCTION("IMPORTRANGE(""https://docs.google.com/spreadsheets/d/1NexK3geCPxCTO1fzNF8dPec7yZyUx3OaWkFBC9HsQOo/edit?usp=sharing"",""ยโสธร!J316"")"),"")</f>
        <v/>
      </c>
      <c r="AF41" s="354" t="e">
        <f t="shared" ca="1" si="43"/>
        <v>#VALUE!</v>
      </c>
      <c r="AG41" s="355" t="str">
        <f ca="1">IFERROR(__xludf.DUMMYFUNCTION("IMPORTRANGE(""https://docs.google.com/spreadsheets/d/1NexK3geCPxCTO1fzNF8dPec7yZyUx3OaWkFBC9HsQOo/edit?usp=sharing"",""ยโสธร!I317"")"),"")</f>
        <v/>
      </c>
      <c r="AH41" s="177" t="str">
        <f ca="1">IFERROR(__xludf.DUMMYFUNCTION("IMPORTRANGE(""https://docs.google.com/spreadsheets/d/1NexK3geCPxCTO1fzNF8dPec7yZyUx3OaWkFBC9HsQOo/edit?usp=sharing"",""ยโสธร!J317"")"),"")</f>
        <v/>
      </c>
      <c r="AI41" s="354" t="e">
        <f t="shared" ca="1" si="45"/>
        <v>#VALUE!</v>
      </c>
    </row>
    <row r="42" spans="1:35" ht="21" customHeight="1" x14ac:dyDescent="0.3">
      <c r="A42" s="89">
        <v>11</v>
      </c>
      <c r="B42" s="90" t="s">
        <v>68</v>
      </c>
      <c r="C42" s="174">
        <f t="shared" ca="1" si="27"/>
        <v>0</v>
      </c>
      <c r="D42" s="175">
        <f t="shared" ca="1" si="53"/>
        <v>0</v>
      </c>
      <c r="E42" s="176">
        <f ca="1">IFERROR(__xludf.DUMMYFUNCTION("IMPORTRANGE(""https://docs.google.com/spreadsheets/d/1-uDff_7J0KD5mKrp0Vvzr7lt3OU09vwQwhkpOPPYv2Y/edit?usp=sharing"",""งบพรบ!DZ42"")"),0)</f>
        <v>0</v>
      </c>
      <c r="F42" s="176">
        <f ca="1">IFERROR(__xludf.DUMMYFUNCTION("IMPORTRANGE(""https://docs.google.com/spreadsheets/d/1-uDff_7J0KD5mKrp0Vvzr7lt3OU09vwQwhkpOPPYv2Y/edit?usp=sharing"",""งบพรบ!EA42"")"),0)</f>
        <v>0</v>
      </c>
      <c r="G42" s="176">
        <f ca="1">IFERROR(__xludf.DUMMYFUNCTION("IMPORTRANGE(""https://docs.google.com/spreadsheets/d/1-uDff_7J0KD5mKrp0Vvzr7lt3OU09vwQwhkpOPPYv2Y/edit?usp=sharing"",""งบพรบ!EB42"")"),0)</f>
        <v>0</v>
      </c>
      <c r="H42" s="176">
        <f ca="1">IFERROR(__xludf.DUMMYFUNCTION("IMPORTRANGE(""https://docs.google.com/spreadsheets/d/1-uDff_7J0KD5mKrp0Vvzr7lt3OU09vwQwhkpOPPYv2Y/edit?usp=sharing"",""งบพรบ!ED42"")"),0)</f>
        <v>0</v>
      </c>
      <c r="I42" s="176">
        <f ca="1">IFERROR(__xludf.DUMMYFUNCTION("IMPORTRANGE(""https://docs.google.com/spreadsheets/d/1-uDff_7J0KD5mKrp0Vvzr7lt3OU09vwQwhkpOPPYv2Y/edit?usp=sharing"",""งบพรบ!EE42"")"),0)</f>
        <v>0</v>
      </c>
      <c r="J42" s="176">
        <f t="shared" ca="1" si="29"/>
        <v>0</v>
      </c>
      <c r="K42" s="179">
        <f t="shared" ca="1" si="30"/>
        <v>0</v>
      </c>
      <c r="L42" s="176">
        <f ca="1">IFERROR(__xludf.DUMMYFUNCTION("IMPORTRANGE(""https://docs.google.com/spreadsheets/d/1-uDff_7J0KD5mKrp0Vvzr7lt3OU09vwQwhkpOPPYv2Y/edit?usp=sharing"",""งบพรบ!EF42"")"),0)</f>
        <v>0</v>
      </c>
      <c r="M42" s="87">
        <f t="shared" ca="1" si="31"/>
        <v>0</v>
      </c>
      <c r="N42" s="87">
        <f t="shared" ca="1" si="32"/>
        <v>0</v>
      </c>
      <c r="O42" s="86">
        <f ca="1">IFERROR(__xludf.DUMMYFUNCTION("IMPORTRANGE(""https://docs.google.com/spreadsheets/d/1-uDff_7J0KD5mKrp0Vvzr7lt3OU09vwQwhkpOPPYv2Y/edit?usp=sharing"",""งบพรบ!EG42"")"),0)</f>
        <v>0</v>
      </c>
      <c r="P42" s="86">
        <f t="shared" ca="1" si="33"/>
        <v>0</v>
      </c>
      <c r="Q42" s="87">
        <f t="shared" ca="1" si="34"/>
        <v>0</v>
      </c>
      <c r="R42" s="241">
        <f ca="1">IFERROR(__xludf.DUMMYFUNCTION("IMPORTRANGE(""https://docs.google.com/spreadsheets/d/1v_cJrbBlyqmnHPReHk44g9NrMRdENNlSy_E_c5M9fIg/edit?usp=sharing"",""ร้อยเอ็ด!Q303"")"),384158.99)</f>
        <v>384158.99</v>
      </c>
      <c r="S42" s="242">
        <f ca="1">IFERROR(__xludf.DUMMYFUNCTION("IMPORTRANGE(""https://docs.google.com/spreadsheets/d/1v_cJrbBlyqmnHPReHk44g9NrMRdENNlSy_E_c5M9fIg/edit?usp=sharing"",""ร้อยเอ็ด!R303"")"),0)</f>
        <v>0</v>
      </c>
      <c r="T42" s="242">
        <f ca="1">IFERROR(__xludf.DUMMYFUNCTION("IMPORTRANGE(""https://docs.google.com/spreadsheets/d/1v_cJrbBlyqmnHPReHk44g9NrMRdENNlSy_E_c5M9fIg/edit?usp=sharing"",""ร้อยเอ็ด!S303"")"),0)</f>
        <v>0</v>
      </c>
      <c r="U42" s="243">
        <f t="shared" ca="1" si="36"/>
        <v>0</v>
      </c>
      <c r="V42" s="243">
        <f t="shared" ca="1" si="37"/>
        <v>0</v>
      </c>
      <c r="W42" s="353" t="str">
        <f ca="1">IFERROR(__xludf.DUMMYFUNCTION("IMPORTRANGE(""https://docs.google.com/spreadsheets/d/1v_cJrbBlyqmnHPReHk44g9NrMRdENNlSy_E_c5M9fIg/edit?usp=sharing"",""ร้อยเอ็ด!J313"")"),"")</f>
        <v/>
      </c>
      <c r="X42" s="353">
        <f ca="1">IFERROR(__xludf.DUMMYFUNCTION("IMPORTRANGE(""https://docs.google.com/spreadsheets/d/1v_cJrbBlyqmnHPReHk44g9NrMRdENNlSy_E_c5M9fIg/edit?usp=sharing"",""ร้อยเอ็ด!I314"")"),50)</f>
        <v>50</v>
      </c>
      <c r="Y42" s="177">
        <f ca="1">IFERROR(__xludf.DUMMYFUNCTION("IMPORTRANGE(""https://docs.google.com/spreadsheets/d/1v_cJrbBlyqmnHPReHk44g9NrMRdENNlSy_E_c5M9fIg/edit?usp=sharing"",""ร้อยเอ็ด!J314"")"),0)</f>
        <v>0</v>
      </c>
      <c r="Z42" s="354">
        <f t="shared" ca="1" si="39"/>
        <v>0</v>
      </c>
      <c r="AA42" s="353" t="str">
        <f ca="1">IFERROR(__xludf.DUMMYFUNCTION("IMPORTRANGE(""https://docs.google.com/spreadsheets/d/1v_cJrbBlyqmnHPReHk44g9NrMRdENNlSy_E_c5M9fIg/edit?usp=sharing"",""ร้อยเอ็ด!I315"")"),"")</f>
        <v/>
      </c>
      <c r="AB42" s="177" t="str">
        <f ca="1">IFERROR(__xludf.DUMMYFUNCTION("IMPORTRANGE(""https://docs.google.com/spreadsheets/d/1v_cJrbBlyqmnHPReHk44g9NrMRdENNlSy_E_c5M9fIg/edit?usp=sharing"",""ร้อยเอ็ด!J315"")"),"")</f>
        <v/>
      </c>
      <c r="AC42" s="354" t="e">
        <f t="shared" ca="1" si="41"/>
        <v>#VALUE!</v>
      </c>
      <c r="AD42" s="353" t="str">
        <f ca="1">IFERROR(__xludf.DUMMYFUNCTION("IMPORTRANGE(""https://docs.google.com/spreadsheets/d/1v_cJrbBlyqmnHPReHk44g9NrMRdENNlSy_E_c5M9fIg/edit?usp=sharing"",""ร้อยเอ็ด!I316"")"),"")</f>
        <v/>
      </c>
      <c r="AE42" s="177" t="str">
        <f ca="1">IFERROR(__xludf.DUMMYFUNCTION("IMPORTRANGE(""https://docs.google.com/spreadsheets/d/1v_cJrbBlyqmnHPReHk44g9NrMRdENNlSy_E_c5M9fIg/edit?usp=sharing"",""ร้อยเอ็ด!J316"")"),"")</f>
        <v/>
      </c>
      <c r="AF42" s="354" t="e">
        <f t="shared" ca="1" si="43"/>
        <v>#VALUE!</v>
      </c>
      <c r="AG42" s="353" t="str">
        <f ca="1">IFERROR(__xludf.DUMMYFUNCTION("IMPORTRANGE(""https://docs.google.com/spreadsheets/d/1v_cJrbBlyqmnHPReHk44g9NrMRdENNlSy_E_c5M9fIg/edit?usp=sharing"",""ร้อยเอ็ด!I317"")"),"")</f>
        <v/>
      </c>
      <c r="AH42" s="177" t="str">
        <f ca="1">IFERROR(__xludf.DUMMYFUNCTION("IMPORTRANGE(""https://docs.google.com/spreadsheets/d/1v_cJrbBlyqmnHPReHk44g9NrMRdENNlSy_E_c5M9fIg/edit?usp=sharing"",""ร้อยเอ็ด!J317"")"),"")</f>
        <v/>
      </c>
      <c r="AI42" s="354" t="e">
        <f t="shared" ca="1" si="45"/>
        <v>#VALUE!</v>
      </c>
    </row>
    <row r="43" spans="1:35" ht="21" customHeight="1" x14ac:dyDescent="0.3">
      <c r="A43" s="89">
        <v>12</v>
      </c>
      <c r="B43" s="90" t="s">
        <v>69</v>
      </c>
      <c r="C43" s="174">
        <f t="shared" ca="1" si="27"/>
        <v>0</v>
      </c>
      <c r="D43" s="175">
        <f t="shared" ca="1" si="53"/>
        <v>0</v>
      </c>
      <c r="E43" s="176">
        <f ca="1">IFERROR(__xludf.DUMMYFUNCTION("IMPORTRANGE(""https://docs.google.com/spreadsheets/d/1-uDff_7J0KD5mKrp0Vvzr7lt3OU09vwQwhkpOPPYv2Y/edit?usp=sharing"",""งบพรบ!DZ43"")"),0)</f>
        <v>0</v>
      </c>
      <c r="F43" s="176">
        <f ca="1">IFERROR(__xludf.DUMMYFUNCTION("IMPORTRANGE(""https://docs.google.com/spreadsheets/d/1-uDff_7J0KD5mKrp0Vvzr7lt3OU09vwQwhkpOPPYv2Y/edit?usp=sharing"",""งบพรบ!EA43"")"),0)</f>
        <v>0</v>
      </c>
      <c r="G43" s="176">
        <f ca="1">IFERROR(__xludf.DUMMYFUNCTION("IMPORTRANGE(""https://docs.google.com/spreadsheets/d/1-uDff_7J0KD5mKrp0Vvzr7lt3OU09vwQwhkpOPPYv2Y/edit?usp=sharing"",""งบพรบ!EB43"")"),0)</f>
        <v>0</v>
      </c>
      <c r="H43" s="176">
        <f ca="1">IFERROR(__xludf.DUMMYFUNCTION("IMPORTRANGE(""https://docs.google.com/spreadsheets/d/1-uDff_7J0KD5mKrp0Vvzr7lt3OU09vwQwhkpOPPYv2Y/edit?usp=sharing"",""งบพรบ!ED43"")"),0)</f>
        <v>0</v>
      </c>
      <c r="I43" s="176">
        <f ca="1">IFERROR(__xludf.DUMMYFUNCTION("IMPORTRANGE(""https://docs.google.com/spreadsheets/d/1-uDff_7J0KD5mKrp0Vvzr7lt3OU09vwQwhkpOPPYv2Y/edit?usp=sharing"",""งบพรบ!EE43"")"),0)</f>
        <v>0</v>
      </c>
      <c r="J43" s="176">
        <f t="shared" ca="1" si="29"/>
        <v>0</v>
      </c>
      <c r="K43" s="179">
        <f t="shared" ca="1" si="30"/>
        <v>0</v>
      </c>
      <c r="L43" s="176">
        <f ca="1">IFERROR(__xludf.DUMMYFUNCTION("IMPORTRANGE(""https://docs.google.com/spreadsheets/d/1-uDff_7J0KD5mKrp0Vvzr7lt3OU09vwQwhkpOPPYv2Y/edit?usp=sharing"",""งบพรบ!EF43"")"),0)</f>
        <v>0</v>
      </c>
      <c r="M43" s="87">
        <f t="shared" ca="1" si="31"/>
        <v>0</v>
      </c>
      <c r="N43" s="87">
        <f t="shared" ca="1" si="32"/>
        <v>0</v>
      </c>
      <c r="O43" s="86">
        <f ca="1">IFERROR(__xludf.DUMMYFUNCTION("IMPORTRANGE(""https://docs.google.com/spreadsheets/d/1-uDff_7J0KD5mKrp0Vvzr7lt3OU09vwQwhkpOPPYv2Y/edit?usp=sharing"",""งบพรบ!EG43"")"),0)</f>
        <v>0</v>
      </c>
      <c r="P43" s="86">
        <f t="shared" ca="1" si="33"/>
        <v>0</v>
      </c>
      <c r="Q43" s="87">
        <f t="shared" ca="1" si="34"/>
        <v>0</v>
      </c>
      <c r="R43" s="241">
        <f ca="1">IFERROR(__xludf.DUMMYFUNCTION("IMPORTRANGE(""https://docs.google.com/spreadsheets/d/1Ul4RCpCX66NxYADU1QpwAPjOmBzW64SsT11s1wzXw_c/edit?usp=sharing"",""เลย!Q303"")"),260958.39)</f>
        <v>260958.39</v>
      </c>
      <c r="S43" s="242">
        <f ca="1">IFERROR(__xludf.DUMMYFUNCTION("IMPORTRANGE(""https://docs.google.com/spreadsheets/d/1Ul4RCpCX66NxYADU1QpwAPjOmBzW64SsT11s1wzXw_c/edit?usp=sharing"",""เลย!R303"")"),0)</f>
        <v>0</v>
      </c>
      <c r="T43" s="242">
        <f ca="1">IFERROR(__xludf.DUMMYFUNCTION("IMPORTRANGE(""https://docs.google.com/spreadsheets/d/1Ul4RCpCX66NxYADU1QpwAPjOmBzW64SsT11s1wzXw_c/edit?usp=sharing"",""เลย!S303"")"),0)</f>
        <v>0</v>
      </c>
      <c r="U43" s="243">
        <f t="shared" ca="1" si="36"/>
        <v>0</v>
      </c>
      <c r="V43" s="243">
        <f t="shared" ca="1" si="37"/>
        <v>0</v>
      </c>
      <c r="W43" s="353" t="str">
        <f ca="1">IFERROR(__xludf.DUMMYFUNCTION("IMPORTRANGE(""https://docs.google.com/spreadsheets/d/1Ul4RCpCX66NxYADU1QpwAPjOmBzW64SsT11s1wzXw_c/edit?usp=sharing"",""เลย!J313"")"),"")</f>
        <v/>
      </c>
      <c r="X43" s="353">
        <f ca="1">IFERROR(__xludf.DUMMYFUNCTION("IMPORTRANGE(""https://docs.google.com/spreadsheets/d/1Ul4RCpCX66NxYADU1QpwAPjOmBzW64SsT11s1wzXw_c/edit?usp=sharing"",""เลย!I314"")"),30)</f>
        <v>30</v>
      </c>
      <c r="Y43" s="177">
        <f ca="1">IFERROR(__xludf.DUMMYFUNCTION("IMPORTRANGE(""https://docs.google.com/spreadsheets/d/1Ul4RCpCX66NxYADU1QpwAPjOmBzW64SsT11s1wzXw_c/edit?usp=sharing"",""เลย!J314"")"),0)</f>
        <v>0</v>
      </c>
      <c r="Z43" s="354">
        <f t="shared" ca="1" si="39"/>
        <v>0</v>
      </c>
      <c r="AA43" s="353" t="str">
        <f ca="1">IFERROR(__xludf.DUMMYFUNCTION("IMPORTRANGE(""https://docs.google.com/spreadsheets/d/1Ul4RCpCX66NxYADU1QpwAPjOmBzW64SsT11s1wzXw_c/edit?usp=sharing"",""เลย!I315"")"),"")</f>
        <v/>
      </c>
      <c r="AB43" s="177" t="str">
        <f ca="1">IFERROR(__xludf.DUMMYFUNCTION("IMPORTRANGE(""https://docs.google.com/spreadsheets/d/1Ul4RCpCX66NxYADU1QpwAPjOmBzW64SsT11s1wzXw_c/edit?usp=sharing"",""เลย!J315"")"),"")</f>
        <v/>
      </c>
      <c r="AC43" s="354" t="e">
        <f t="shared" ca="1" si="41"/>
        <v>#VALUE!</v>
      </c>
      <c r="AD43" s="353" t="str">
        <f ca="1">IFERROR(__xludf.DUMMYFUNCTION("IMPORTRANGE(""https://docs.google.com/spreadsheets/d/1Ul4RCpCX66NxYADU1QpwAPjOmBzW64SsT11s1wzXw_c/edit?usp=sharing"",""เลย!I316"")"),"")</f>
        <v/>
      </c>
      <c r="AE43" s="177" t="str">
        <f ca="1">IFERROR(__xludf.DUMMYFUNCTION("IMPORTRANGE(""https://docs.google.com/spreadsheets/d/1Ul4RCpCX66NxYADU1QpwAPjOmBzW64SsT11s1wzXw_c/edit?usp=sharing"",""เลย!J316"")"),"")</f>
        <v/>
      </c>
      <c r="AF43" s="354" t="e">
        <f t="shared" ca="1" si="43"/>
        <v>#VALUE!</v>
      </c>
      <c r="AG43" s="353" t="str">
        <f ca="1">IFERROR(__xludf.DUMMYFUNCTION("IMPORTRANGE(""https://docs.google.com/spreadsheets/d/1Ul4RCpCX66NxYADU1QpwAPjOmBzW64SsT11s1wzXw_c/edit?usp=sharing"",""เลย!I317"")"),"")</f>
        <v/>
      </c>
      <c r="AH43" s="177" t="str">
        <f ca="1">IFERROR(__xludf.DUMMYFUNCTION("IMPORTRANGE(""https://docs.google.com/spreadsheets/d/1Ul4RCpCX66NxYADU1QpwAPjOmBzW64SsT11s1wzXw_c/edit?usp=sharing"",""เลย!J317"")"),"")</f>
        <v/>
      </c>
      <c r="AI43" s="354" t="e">
        <f t="shared" ca="1" si="45"/>
        <v>#VALUE!</v>
      </c>
    </row>
    <row r="44" spans="1:35" ht="21" customHeight="1" x14ac:dyDescent="0.3">
      <c r="A44" s="89">
        <v>13</v>
      </c>
      <c r="B44" s="90" t="s">
        <v>70</v>
      </c>
      <c r="C44" s="174">
        <f t="shared" ca="1" si="27"/>
        <v>0</v>
      </c>
      <c r="D44" s="175">
        <f t="shared" ca="1" si="53"/>
        <v>0</v>
      </c>
      <c r="E44" s="176">
        <f ca="1">IFERROR(__xludf.DUMMYFUNCTION("IMPORTRANGE(""https://docs.google.com/spreadsheets/d/1-uDff_7J0KD5mKrp0Vvzr7lt3OU09vwQwhkpOPPYv2Y/edit?usp=sharing"",""งบพรบ!DZ44"")"),0)</f>
        <v>0</v>
      </c>
      <c r="F44" s="176">
        <f ca="1">IFERROR(__xludf.DUMMYFUNCTION("IMPORTRANGE(""https://docs.google.com/spreadsheets/d/1-uDff_7J0KD5mKrp0Vvzr7lt3OU09vwQwhkpOPPYv2Y/edit?usp=sharing"",""งบพรบ!EA44"")"),0)</f>
        <v>0</v>
      </c>
      <c r="G44" s="176">
        <f ca="1">IFERROR(__xludf.DUMMYFUNCTION("IMPORTRANGE(""https://docs.google.com/spreadsheets/d/1-uDff_7J0KD5mKrp0Vvzr7lt3OU09vwQwhkpOPPYv2Y/edit?usp=sharing"",""งบพรบ!EB44"")"),0)</f>
        <v>0</v>
      </c>
      <c r="H44" s="176">
        <f ca="1">IFERROR(__xludf.DUMMYFUNCTION("IMPORTRANGE(""https://docs.google.com/spreadsheets/d/1-uDff_7J0KD5mKrp0Vvzr7lt3OU09vwQwhkpOPPYv2Y/edit?usp=sharing"",""งบพรบ!ED44"")"),0)</f>
        <v>0</v>
      </c>
      <c r="I44" s="176">
        <f ca="1">IFERROR(__xludf.DUMMYFUNCTION("IMPORTRANGE(""https://docs.google.com/spreadsheets/d/1-uDff_7J0KD5mKrp0Vvzr7lt3OU09vwQwhkpOPPYv2Y/edit?usp=sharing"",""งบพรบ!EE44"")"),0)</f>
        <v>0</v>
      </c>
      <c r="J44" s="176">
        <f t="shared" ca="1" si="29"/>
        <v>0</v>
      </c>
      <c r="K44" s="179">
        <f t="shared" ca="1" si="30"/>
        <v>0</v>
      </c>
      <c r="L44" s="176">
        <f ca="1">IFERROR(__xludf.DUMMYFUNCTION("IMPORTRANGE(""https://docs.google.com/spreadsheets/d/1-uDff_7J0KD5mKrp0Vvzr7lt3OU09vwQwhkpOPPYv2Y/edit?usp=sharing"",""งบพรบ!EF44"")"),0)</f>
        <v>0</v>
      </c>
      <c r="M44" s="87">
        <f t="shared" ca="1" si="31"/>
        <v>0</v>
      </c>
      <c r="N44" s="87">
        <f t="shared" ca="1" si="32"/>
        <v>0</v>
      </c>
      <c r="O44" s="86">
        <f ca="1">IFERROR(__xludf.DUMMYFUNCTION("IMPORTRANGE(""https://docs.google.com/spreadsheets/d/1-uDff_7J0KD5mKrp0Vvzr7lt3OU09vwQwhkpOPPYv2Y/edit?usp=sharing"",""งบพรบ!EG44"")"),0)</f>
        <v>0</v>
      </c>
      <c r="P44" s="86">
        <f t="shared" ca="1" si="33"/>
        <v>0</v>
      </c>
      <c r="Q44" s="87">
        <f t="shared" ca="1" si="34"/>
        <v>0</v>
      </c>
      <c r="R44" s="241">
        <f ca="1">IFERROR(__xludf.DUMMYFUNCTION("IMPORTRANGE(""https://docs.google.com/spreadsheets/d/1bRrNKwbHDVktQG10isr5vbWRtt5spIZPpkOSWgbT5ug/edit?usp=sharing"",""ศรีสะเกษ!Q303"")"),260958.39)</f>
        <v>260958.39</v>
      </c>
      <c r="S44" s="242">
        <f ca="1">IFERROR(__xludf.DUMMYFUNCTION("IMPORTRANGE(""https://docs.google.com/spreadsheets/d/1bRrNKwbHDVktQG10isr5vbWRtt5spIZPpkOSWgbT5ug/edit?usp=sharing"",""ศรีสะเกษ!R303"")"),0)</f>
        <v>0</v>
      </c>
      <c r="T44" s="242">
        <f ca="1">IFERROR(__xludf.DUMMYFUNCTION("IMPORTRANGE(""https://docs.google.com/spreadsheets/d/1bRrNKwbHDVktQG10isr5vbWRtt5spIZPpkOSWgbT5ug/edit?usp=sharing"",""ศรีสะเกษ!S303"")"),0)</f>
        <v>0</v>
      </c>
      <c r="U44" s="243">
        <f t="shared" ca="1" si="36"/>
        <v>0</v>
      </c>
      <c r="V44" s="243">
        <f t="shared" ca="1" si="37"/>
        <v>0</v>
      </c>
      <c r="W44" s="353" t="str">
        <f ca="1">IFERROR(__xludf.DUMMYFUNCTION("IMPORTRANGE(""https://docs.google.com/spreadsheets/d/1bRrNKwbHDVktQG10isr5vbWRtt5spIZPpkOSWgbT5ug/edit?usp=sharing"",""ศรีสะเกษ!J313"")"),"")</f>
        <v/>
      </c>
      <c r="X44" s="355">
        <f ca="1">IFERROR(__xludf.DUMMYFUNCTION("IMPORTRANGE(""https://docs.google.com/spreadsheets/d/1bRrNKwbHDVktQG10isr5vbWRtt5spIZPpkOSWgbT5ug/edit?usp=sharing"",""ศรีสะเกษ!I314"")"),30)</f>
        <v>30</v>
      </c>
      <c r="Y44" s="177">
        <f ca="1">IFERROR(__xludf.DUMMYFUNCTION("IMPORTRANGE(""https://docs.google.com/spreadsheets/d/1bRrNKwbHDVktQG10isr5vbWRtt5spIZPpkOSWgbT5ug/edit?usp=sharing"",""ศรีสะเกษ!J314"")"),0)</f>
        <v>0</v>
      </c>
      <c r="Z44" s="354">
        <f t="shared" ca="1" si="39"/>
        <v>0</v>
      </c>
      <c r="AA44" s="355" t="str">
        <f ca="1">IFERROR(__xludf.DUMMYFUNCTION("IMPORTRANGE(""https://docs.google.com/spreadsheets/d/1bRrNKwbHDVktQG10isr5vbWRtt5spIZPpkOSWgbT5ug/edit?usp=sharing"",""ศรีสะเกษ!I315"")"),"")</f>
        <v/>
      </c>
      <c r="AB44" s="177" t="str">
        <f ca="1">IFERROR(__xludf.DUMMYFUNCTION("IMPORTRANGE(""https://docs.google.com/spreadsheets/d/1bRrNKwbHDVktQG10isr5vbWRtt5spIZPpkOSWgbT5ug/edit?usp=sharing"",""ศรีสะเกษ!J315"")"),"")</f>
        <v/>
      </c>
      <c r="AC44" s="354" t="e">
        <f t="shared" ca="1" si="41"/>
        <v>#VALUE!</v>
      </c>
      <c r="AD44" s="355" t="str">
        <f ca="1">IFERROR(__xludf.DUMMYFUNCTION("IMPORTRANGE(""https://docs.google.com/spreadsheets/d/1bRrNKwbHDVktQG10isr5vbWRtt5spIZPpkOSWgbT5ug/edit?usp=sharing"",""ศรีสะเกษ!I316"")"),"")</f>
        <v/>
      </c>
      <c r="AE44" s="177" t="str">
        <f ca="1">IFERROR(__xludf.DUMMYFUNCTION("IMPORTRANGE(""https://docs.google.com/spreadsheets/d/1bRrNKwbHDVktQG10isr5vbWRtt5spIZPpkOSWgbT5ug/edit?usp=sharing"",""ศรีสะเกษ!J316"")"),"")</f>
        <v/>
      </c>
      <c r="AF44" s="354" t="e">
        <f t="shared" ca="1" si="43"/>
        <v>#VALUE!</v>
      </c>
      <c r="AG44" s="355" t="str">
        <f ca="1">IFERROR(__xludf.DUMMYFUNCTION("IMPORTRANGE(""https://docs.google.com/spreadsheets/d/1bRrNKwbHDVktQG10isr5vbWRtt5spIZPpkOSWgbT5ug/edit?usp=sharing"",""ศรีสะเกษ!I317"")"),"")</f>
        <v/>
      </c>
      <c r="AH44" s="177" t="str">
        <f ca="1">IFERROR(__xludf.DUMMYFUNCTION("IMPORTRANGE(""https://docs.google.com/spreadsheets/d/1bRrNKwbHDVktQG10isr5vbWRtt5spIZPpkOSWgbT5ug/edit?usp=sharing"",""ศรีสะเกษ!J317"")"),"")</f>
        <v/>
      </c>
      <c r="AI44" s="354" t="e">
        <f t="shared" ca="1" si="45"/>
        <v>#VALUE!</v>
      </c>
    </row>
    <row r="45" spans="1:35" ht="21" customHeight="1" x14ac:dyDescent="0.3">
      <c r="A45" s="89">
        <v>14</v>
      </c>
      <c r="B45" s="90" t="s">
        <v>71</v>
      </c>
      <c r="C45" s="174">
        <f t="shared" ca="1" si="27"/>
        <v>133500</v>
      </c>
      <c r="D45" s="175">
        <f t="shared" ca="1" si="53"/>
        <v>133500</v>
      </c>
      <c r="E45" s="176">
        <f ca="1">IFERROR(__xludf.DUMMYFUNCTION("IMPORTRANGE(""https://docs.google.com/spreadsheets/d/1-uDff_7J0KD5mKrp0Vvzr7lt3OU09vwQwhkpOPPYv2Y/edit?usp=sharing"",""งบพรบ!DZ45"")"),51100)</f>
        <v>51100</v>
      </c>
      <c r="F45" s="176">
        <f ca="1">IFERROR(__xludf.DUMMYFUNCTION("IMPORTRANGE(""https://docs.google.com/spreadsheets/d/1-uDff_7J0KD5mKrp0Vvzr7lt3OU09vwQwhkpOPPYv2Y/edit?usp=sharing"",""งบพรบ!EA45"")"),82400)</f>
        <v>82400</v>
      </c>
      <c r="G45" s="176">
        <f ca="1">IFERROR(__xludf.DUMMYFUNCTION("IMPORTRANGE(""https://docs.google.com/spreadsheets/d/1-uDff_7J0KD5mKrp0Vvzr7lt3OU09vwQwhkpOPPYv2Y/edit?usp=sharing"",""งบพรบ!EB45"")"),0)</f>
        <v>0</v>
      </c>
      <c r="H45" s="176">
        <f ca="1">IFERROR(__xludf.DUMMYFUNCTION("IMPORTRANGE(""https://docs.google.com/spreadsheets/d/1-uDff_7J0KD5mKrp0Vvzr7lt3OU09vwQwhkpOPPYv2Y/edit?usp=sharing"",""งบพรบ!ED45"")"),133500)</f>
        <v>133500</v>
      </c>
      <c r="I45" s="176">
        <f ca="1">IFERROR(__xludf.DUMMYFUNCTION("IMPORTRANGE(""https://docs.google.com/spreadsheets/d/1-uDff_7J0KD5mKrp0Vvzr7lt3OU09vwQwhkpOPPYv2Y/edit?usp=sharing"",""งบพรบ!EE45"")"),0)</f>
        <v>0</v>
      </c>
      <c r="J45" s="176">
        <f t="shared" ca="1" si="29"/>
        <v>54790</v>
      </c>
      <c r="K45" s="179">
        <f t="shared" ca="1" si="30"/>
        <v>41.041198501872657</v>
      </c>
      <c r="L45" s="176">
        <f ca="1">IFERROR(__xludf.DUMMYFUNCTION("IMPORTRANGE(""https://docs.google.com/spreadsheets/d/1-uDff_7J0KD5mKrp0Vvzr7lt3OU09vwQwhkpOPPYv2Y/edit?usp=sharing"",""งบพรบ!EF45"")"),54790)</f>
        <v>54790</v>
      </c>
      <c r="M45" s="87">
        <f t="shared" ca="1" si="31"/>
        <v>41.041198501872657</v>
      </c>
      <c r="N45" s="87">
        <f t="shared" ca="1" si="32"/>
        <v>41.041198501872657</v>
      </c>
      <c r="O45" s="86">
        <f ca="1">IFERROR(__xludf.DUMMYFUNCTION("IMPORTRANGE(""https://docs.google.com/spreadsheets/d/1-uDff_7J0KD5mKrp0Vvzr7lt3OU09vwQwhkpOPPYv2Y/edit?usp=sharing"",""งบพรบ!EG45"")"),0)</f>
        <v>0</v>
      </c>
      <c r="P45" s="86">
        <f t="shared" ca="1" si="33"/>
        <v>0</v>
      </c>
      <c r="Q45" s="87">
        <f t="shared" ca="1" si="34"/>
        <v>0</v>
      </c>
      <c r="R45" s="241">
        <f ca="1">IFERROR(__xludf.DUMMYFUNCTION("IMPORTRANGE(""https://docs.google.com/spreadsheets/d/17P34_Ow5kFBfdQD0qspb2UuPX5zpi6WMrQzslghyvrI/edit?usp=sharing"",""สกลนคร!Q303"")"),144609.24)</f>
        <v>144609.24</v>
      </c>
      <c r="S45" s="242">
        <f ca="1">IFERROR(__xludf.DUMMYFUNCTION("IMPORTRANGE(""https://docs.google.com/spreadsheets/d/17P34_Ow5kFBfdQD0qspb2UuPX5zpi6WMrQzslghyvrI/edit?usp=sharing"",""สกลนคร!R303"")"),0)</f>
        <v>0</v>
      </c>
      <c r="T45" s="242">
        <f ca="1">IFERROR(__xludf.DUMMYFUNCTION("IMPORTRANGE(""https://docs.google.com/spreadsheets/d/17P34_Ow5kFBfdQD0qspb2UuPX5zpi6WMrQzslghyvrI/edit?usp=sharing"",""สกลนคร!S303"")"),0)</f>
        <v>0</v>
      </c>
      <c r="U45" s="243">
        <f t="shared" ca="1" si="36"/>
        <v>0</v>
      </c>
      <c r="V45" s="243">
        <f t="shared" ca="1" si="37"/>
        <v>0</v>
      </c>
      <c r="W45" s="353" t="str">
        <f ca="1">IFERROR(__xludf.DUMMYFUNCTION("IMPORTRANGE(""https://docs.google.com/spreadsheets/d/17P34_Ow5kFBfdQD0qspb2UuPX5zpi6WMrQzslghyvrI/edit?usp=sharing"",""สกลนคร!J313"")"),"")</f>
        <v/>
      </c>
      <c r="X45" s="353">
        <f ca="1">IFERROR(__xludf.DUMMYFUNCTION("IMPORTRANGE(""https://docs.google.com/spreadsheets/d/17P34_Ow5kFBfdQD0qspb2UuPX5zpi6WMrQzslghyvrI/edit?usp=sharing"",""สกลนคร!I314"")"),20)</f>
        <v>20</v>
      </c>
      <c r="Y45" s="177">
        <f ca="1">IFERROR(__xludf.DUMMYFUNCTION("IMPORTRANGE(""https://docs.google.com/spreadsheets/d/17P34_Ow5kFBfdQD0qspb2UuPX5zpi6WMrQzslghyvrI/edit?usp=sharing"",""สกลนคร!J314"")"),0)</f>
        <v>0</v>
      </c>
      <c r="Z45" s="354">
        <f t="shared" ca="1" si="39"/>
        <v>0</v>
      </c>
      <c r="AA45" s="353" t="str">
        <f ca="1">IFERROR(__xludf.DUMMYFUNCTION("IMPORTRANGE(""https://docs.google.com/spreadsheets/d/17P34_Ow5kFBfdQD0qspb2UuPX5zpi6WMrQzslghyvrI/edit?usp=sharing"",""สกลนคร!I315"")"),"")</f>
        <v/>
      </c>
      <c r="AB45" s="177" t="str">
        <f ca="1">IFERROR(__xludf.DUMMYFUNCTION("IMPORTRANGE(""https://docs.google.com/spreadsheets/d/17P34_Ow5kFBfdQD0qspb2UuPX5zpi6WMrQzslghyvrI/edit?usp=sharing"",""สกลนคร!J315"")"),"")</f>
        <v/>
      </c>
      <c r="AC45" s="354" t="e">
        <f t="shared" ca="1" si="41"/>
        <v>#VALUE!</v>
      </c>
      <c r="AD45" s="353" t="str">
        <f ca="1">IFERROR(__xludf.DUMMYFUNCTION("IMPORTRANGE(""https://docs.google.com/spreadsheets/d/17P34_Ow5kFBfdQD0qspb2UuPX5zpi6WMrQzslghyvrI/edit?usp=sharing"",""สกลนคร!I316"")"),"")</f>
        <v/>
      </c>
      <c r="AE45" s="177" t="str">
        <f ca="1">IFERROR(__xludf.DUMMYFUNCTION("IMPORTRANGE(""https://docs.google.com/spreadsheets/d/17P34_Ow5kFBfdQD0qspb2UuPX5zpi6WMrQzslghyvrI/edit?usp=sharing"",""สกลนคร!J316"")"),"")</f>
        <v/>
      </c>
      <c r="AF45" s="354" t="e">
        <f t="shared" ca="1" si="43"/>
        <v>#VALUE!</v>
      </c>
      <c r="AG45" s="353" t="str">
        <f ca="1">IFERROR(__xludf.DUMMYFUNCTION("IMPORTRANGE(""https://docs.google.com/spreadsheets/d/17P34_Ow5kFBfdQD0qspb2UuPX5zpi6WMrQzslghyvrI/edit?usp=sharing"",""สกลนคร!I317"")"),"")</f>
        <v/>
      </c>
      <c r="AH45" s="177" t="str">
        <f ca="1">IFERROR(__xludf.DUMMYFUNCTION("IMPORTRANGE(""https://docs.google.com/spreadsheets/d/17P34_Ow5kFBfdQD0qspb2UuPX5zpi6WMrQzslghyvrI/edit?usp=sharing"",""สกลนคร!J317"")"),"")</f>
        <v/>
      </c>
      <c r="AI45" s="354" t="e">
        <f t="shared" ca="1" si="45"/>
        <v>#VALUE!</v>
      </c>
    </row>
    <row r="46" spans="1:35" ht="21" customHeight="1" x14ac:dyDescent="0.3">
      <c r="A46" s="89">
        <v>15</v>
      </c>
      <c r="B46" s="90" t="s">
        <v>72</v>
      </c>
      <c r="C46" s="174">
        <f t="shared" ca="1" si="27"/>
        <v>82400</v>
      </c>
      <c r="D46" s="175">
        <f t="shared" ca="1" si="53"/>
        <v>82400</v>
      </c>
      <c r="E46" s="176">
        <f ca="1">IFERROR(__xludf.DUMMYFUNCTION("IMPORTRANGE(""https://docs.google.com/spreadsheets/d/1-uDff_7J0KD5mKrp0Vvzr7lt3OU09vwQwhkpOPPYv2Y/edit?usp=sharing"",""งบพรบ!DZ46"")"),0)</f>
        <v>0</v>
      </c>
      <c r="F46" s="176">
        <f ca="1">IFERROR(__xludf.DUMMYFUNCTION("IMPORTRANGE(""https://docs.google.com/spreadsheets/d/1-uDff_7J0KD5mKrp0Vvzr7lt3OU09vwQwhkpOPPYv2Y/edit?usp=sharing"",""งบพรบ!EA46"")"),82400)</f>
        <v>82400</v>
      </c>
      <c r="G46" s="176">
        <f ca="1">IFERROR(__xludf.DUMMYFUNCTION("IMPORTRANGE(""https://docs.google.com/spreadsheets/d/1-uDff_7J0KD5mKrp0Vvzr7lt3OU09vwQwhkpOPPYv2Y/edit?usp=sharing"",""งบพรบ!EB46"")"),0)</f>
        <v>0</v>
      </c>
      <c r="H46" s="176">
        <f ca="1">IFERROR(__xludf.DUMMYFUNCTION("IMPORTRANGE(""https://docs.google.com/spreadsheets/d/1-uDff_7J0KD5mKrp0Vvzr7lt3OU09vwQwhkpOPPYv2Y/edit?usp=sharing"",""งบพรบ!ED46"")"),82400)</f>
        <v>82400</v>
      </c>
      <c r="I46" s="176">
        <f ca="1">IFERROR(__xludf.DUMMYFUNCTION("IMPORTRANGE(""https://docs.google.com/spreadsheets/d/1-uDff_7J0KD5mKrp0Vvzr7lt3OU09vwQwhkpOPPYv2Y/edit?usp=sharing"",""งบพรบ!EE46"")"),0)</f>
        <v>0</v>
      </c>
      <c r="J46" s="176">
        <f t="shared" ca="1" si="29"/>
        <v>22000</v>
      </c>
      <c r="K46" s="179">
        <f t="shared" ca="1" si="30"/>
        <v>26.699029126213592</v>
      </c>
      <c r="L46" s="176">
        <f ca="1">IFERROR(__xludf.DUMMYFUNCTION("IMPORTRANGE(""https://docs.google.com/spreadsheets/d/1-uDff_7J0KD5mKrp0Vvzr7lt3OU09vwQwhkpOPPYv2Y/edit?usp=sharing"",""งบพรบ!EF46"")"),22000)</f>
        <v>22000</v>
      </c>
      <c r="M46" s="87">
        <f t="shared" ca="1" si="31"/>
        <v>26.699029126213592</v>
      </c>
      <c r="N46" s="87">
        <f t="shared" ca="1" si="32"/>
        <v>26.699029126213592</v>
      </c>
      <c r="O46" s="86">
        <f ca="1">IFERROR(__xludf.DUMMYFUNCTION("IMPORTRANGE(""https://docs.google.com/spreadsheets/d/1-uDff_7J0KD5mKrp0Vvzr7lt3OU09vwQwhkpOPPYv2Y/edit?usp=sharing"",""งบพรบ!EG46"")"),0)</f>
        <v>0</v>
      </c>
      <c r="P46" s="86">
        <f t="shared" ca="1" si="33"/>
        <v>0</v>
      </c>
      <c r="Q46" s="87">
        <f t="shared" ca="1" si="34"/>
        <v>0</v>
      </c>
      <c r="R46" s="241">
        <f ca="1">IFERROR(__xludf.DUMMYFUNCTION("IMPORTRANGE(""https://docs.google.com/spreadsheets/d/1yswqbM3-AEpThF3ZSUa1AcmHnmRTF1vlJ1CZGcJ8YuU/edit?usp=sharing"",""สุรินทร์!Q303"")"),144609.24)</f>
        <v>144609.24</v>
      </c>
      <c r="S46" s="242">
        <f ca="1">IFERROR(__xludf.DUMMYFUNCTION("IMPORTRANGE(""https://docs.google.com/spreadsheets/d/1yswqbM3-AEpThF3ZSUa1AcmHnmRTF1vlJ1CZGcJ8YuU/edit?usp=sharing"",""สุรินทร์!R303"")"),0)</f>
        <v>0</v>
      </c>
      <c r="T46" s="242">
        <f ca="1">IFERROR(__xludf.DUMMYFUNCTION("IMPORTRANGE(""https://docs.google.com/spreadsheets/d/1yswqbM3-AEpThF3ZSUa1AcmHnmRTF1vlJ1CZGcJ8YuU/edit?usp=sharing"",""สุรินทร์!S303"")"),0)</f>
        <v>0</v>
      </c>
      <c r="U46" s="243">
        <f t="shared" ca="1" si="36"/>
        <v>0</v>
      </c>
      <c r="V46" s="243">
        <f t="shared" ca="1" si="37"/>
        <v>0</v>
      </c>
      <c r="W46" s="353" t="str">
        <f ca="1">IFERROR(__xludf.DUMMYFUNCTION("IMPORTRANGE(""https://docs.google.com/spreadsheets/d/1yswqbM3-AEpThF3ZSUa1AcmHnmRTF1vlJ1CZGcJ8YuU/edit?usp=sharing"",""สุรินทร์!J313"")"),"")</f>
        <v/>
      </c>
      <c r="X46" s="353">
        <f ca="1">IFERROR(__xludf.DUMMYFUNCTION("IMPORTRANGE(""https://docs.google.com/spreadsheets/d/1yswqbM3-AEpThF3ZSUa1AcmHnmRTF1vlJ1CZGcJ8YuU/edit?usp=sharing"",""สุรินทร์!I314"")"),20)</f>
        <v>20</v>
      </c>
      <c r="Y46" s="177">
        <f ca="1">IFERROR(__xludf.DUMMYFUNCTION("IMPORTRANGE(""https://docs.google.com/spreadsheets/d/1yswqbM3-AEpThF3ZSUa1AcmHnmRTF1vlJ1CZGcJ8YuU/edit?usp=sharing"",""สุรินทร์!J314"")"),0)</f>
        <v>0</v>
      </c>
      <c r="Z46" s="354">
        <f t="shared" ca="1" si="39"/>
        <v>0</v>
      </c>
      <c r="AA46" s="353" t="str">
        <f ca="1">IFERROR(__xludf.DUMMYFUNCTION("IMPORTRANGE(""https://docs.google.com/spreadsheets/d/1yswqbM3-AEpThF3ZSUa1AcmHnmRTF1vlJ1CZGcJ8YuU/edit?usp=sharing"",""สุรินทร์!I315"")"),"")</f>
        <v/>
      </c>
      <c r="AB46" s="177" t="str">
        <f ca="1">IFERROR(__xludf.DUMMYFUNCTION("IMPORTRANGE(""https://docs.google.com/spreadsheets/d/1yswqbM3-AEpThF3ZSUa1AcmHnmRTF1vlJ1CZGcJ8YuU/edit?usp=sharing"",""สุรินทร์!J315"")"),"")</f>
        <v/>
      </c>
      <c r="AC46" s="354" t="e">
        <f t="shared" ca="1" si="41"/>
        <v>#VALUE!</v>
      </c>
      <c r="AD46" s="353" t="str">
        <f ca="1">IFERROR(__xludf.DUMMYFUNCTION("IMPORTRANGE(""https://docs.google.com/spreadsheets/d/1yswqbM3-AEpThF3ZSUa1AcmHnmRTF1vlJ1CZGcJ8YuU/edit?usp=sharing"",""สุรินทร์!I316"")"),"")</f>
        <v/>
      </c>
      <c r="AE46" s="177" t="str">
        <f ca="1">IFERROR(__xludf.DUMMYFUNCTION("IMPORTRANGE(""https://docs.google.com/spreadsheets/d/1yswqbM3-AEpThF3ZSUa1AcmHnmRTF1vlJ1CZGcJ8YuU/edit?usp=sharing"",""สุรินทร์!J316"")"),"")</f>
        <v/>
      </c>
      <c r="AF46" s="354" t="e">
        <f t="shared" ca="1" si="43"/>
        <v>#VALUE!</v>
      </c>
      <c r="AG46" s="353" t="str">
        <f ca="1">IFERROR(__xludf.DUMMYFUNCTION("IMPORTRANGE(""https://docs.google.com/spreadsheets/d/1yswqbM3-AEpThF3ZSUa1AcmHnmRTF1vlJ1CZGcJ8YuU/edit?usp=sharing"",""สุรินทร์!I317"")"),"")</f>
        <v/>
      </c>
      <c r="AH46" s="177" t="str">
        <f ca="1">IFERROR(__xludf.DUMMYFUNCTION("IMPORTRANGE(""https://docs.google.com/spreadsheets/d/1yswqbM3-AEpThF3ZSUa1AcmHnmRTF1vlJ1CZGcJ8YuU/edit?usp=sharing"",""สุรินทร์!J317"")"),"")</f>
        <v/>
      </c>
      <c r="AI46" s="354" t="e">
        <f t="shared" ca="1" si="45"/>
        <v>#VALUE!</v>
      </c>
    </row>
    <row r="47" spans="1:35" ht="21" customHeight="1" x14ac:dyDescent="0.3">
      <c r="A47" s="89">
        <v>16</v>
      </c>
      <c r="B47" s="90" t="s">
        <v>73</v>
      </c>
      <c r="C47" s="174">
        <f t="shared" ca="1" si="27"/>
        <v>0</v>
      </c>
      <c r="D47" s="175">
        <f t="shared" ca="1" si="53"/>
        <v>0</v>
      </c>
      <c r="E47" s="176">
        <f ca="1">IFERROR(__xludf.DUMMYFUNCTION("IMPORTRANGE(""https://docs.google.com/spreadsheets/d/1-uDff_7J0KD5mKrp0Vvzr7lt3OU09vwQwhkpOPPYv2Y/edit?usp=sharing"",""งบพรบ!DZ47"")"),0)</f>
        <v>0</v>
      </c>
      <c r="F47" s="176">
        <f ca="1">IFERROR(__xludf.DUMMYFUNCTION("IMPORTRANGE(""https://docs.google.com/spreadsheets/d/1-uDff_7J0KD5mKrp0Vvzr7lt3OU09vwQwhkpOPPYv2Y/edit?usp=sharing"",""งบพรบ!EA47"")"),0)</f>
        <v>0</v>
      </c>
      <c r="G47" s="176">
        <f ca="1">IFERROR(__xludf.DUMMYFUNCTION("IMPORTRANGE(""https://docs.google.com/spreadsheets/d/1-uDff_7J0KD5mKrp0Vvzr7lt3OU09vwQwhkpOPPYv2Y/edit?usp=sharing"",""งบพรบ!EB47"")"),0)</f>
        <v>0</v>
      </c>
      <c r="H47" s="176">
        <f ca="1">IFERROR(__xludf.DUMMYFUNCTION("IMPORTRANGE(""https://docs.google.com/spreadsheets/d/1-uDff_7J0KD5mKrp0Vvzr7lt3OU09vwQwhkpOPPYv2Y/edit?usp=sharing"",""งบพรบ!ED47"")"),0)</f>
        <v>0</v>
      </c>
      <c r="I47" s="176">
        <f ca="1">IFERROR(__xludf.DUMMYFUNCTION("IMPORTRANGE(""https://docs.google.com/spreadsheets/d/1-uDff_7J0KD5mKrp0Vvzr7lt3OU09vwQwhkpOPPYv2Y/edit?usp=sharing"",""งบพรบ!EE47"")"),0)</f>
        <v>0</v>
      </c>
      <c r="J47" s="176">
        <f t="shared" ca="1" si="29"/>
        <v>0</v>
      </c>
      <c r="K47" s="179">
        <f t="shared" ca="1" si="30"/>
        <v>0</v>
      </c>
      <c r="L47" s="176">
        <f ca="1">IFERROR(__xludf.DUMMYFUNCTION("IMPORTRANGE(""https://docs.google.com/spreadsheets/d/1-uDff_7J0KD5mKrp0Vvzr7lt3OU09vwQwhkpOPPYv2Y/edit?usp=sharing"",""งบพรบ!EF47"")"),0)</f>
        <v>0</v>
      </c>
      <c r="M47" s="87">
        <f t="shared" ca="1" si="31"/>
        <v>0</v>
      </c>
      <c r="N47" s="87">
        <f t="shared" ca="1" si="32"/>
        <v>0</v>
      </c>
      <c r="O47" s="86">
        <f ca="1">IFERROR(__xludf.DUMMYFUNCTION("IMPORTRANGE(""https://docs.google.com/spreadsheets/d/1-uDff_7J0KD5mKrp0Vvzr7lt3OU09vwQwhkpOPPYv2Y/edit?usp=sharing"",""งบพรบ!EG47"")"),0)</f>
        <v>0</v>
      </c>
      <c r="P47" s="86">
        <f t="shared" ca="1" si="33"/>
        <v>0</v>
      </c>
      <c r="Q47" s="87">
        <f t="shared" ca="1" si="34"/>
        <v>0</v>
      </c>
      <c r="R47" s="241">
        <f ca="1">IFERROR(__xludf.DUMMYFUNCTION("IMPORTRANGE(""https://docs.google.com/spreadsheets/d/13JHU_EFbsQOUQ0JSQ3dWy1VTRosIWcDq6Nc99z2qzdc/edit?usp=sharing"",""หนองคาย!Q303"")"),0)</f>
        <v>0</v>
      </c>
      <c r="S47" s="242">
        <f ca="1">IFERROR(__xludf.DUMMYFUNCTION("IMPORTRANGE(""https://docs.google.com/spreadsheets/d/13JHU_EFbsQOUQ0JSQ3dWy1VTRosIWcDq6Nc99z2qzdc/edit?usp=sharing"",""หนองคาย!R303"")"),0)</f>
        <v>0</v>
      </c>
      <c r="T47" s="242">
        <f ca="1">IFERROR(__xludf.DUMMYFUNCTION("IMPORTRANGE(""https://docs.google.com/spreadsheets/d/13JHU_EFbsQOUQ0JSQ3dWy1VTRosIWcDq6Nc99z2qzdc/edit?usp=sharing"",""หนองคาย!S303"")"),0)</f>
        <v>0</v>
      </c>
      <c r="U47" s="243">
        <f t="shared" ca="1" si="36"/>
        <v>0</v>
      </c>
      <c r="V47" s="243">
        <f t="shared" ca="1" si="37"/>
        <v>0</v>
      </c>
      <c r="W47" s="353" t="str">
        <f ca="1">IFERROR(__xludf.DUMMYFUNCTION("IMPORTRANGE(""https://docs.google.com/spreadsheets/d/13JHU_EFbsQOUQ0JSQ3dWy1VTRosIWcDq6Nc99z2qzdc/edit?usp=sharing"",""หนองคาย!J313"")"),"")</f>
        <v/>
      </c>
      <c r="X47" s="353">
        <f ca="1">IFERROR(__xludf.DUMMYFUNCTION("IMPORTRANGE(""https://docs.google.com/spreadsheets/d/13JHU_EFbsQOUQ0JSQ3dWy1VTRosIWcDq6Nc99z2qzdc/edit?usp=sharing"",""หนองคาย!I314"")"),0)</f>
        <v>0</v>
      </c>
      <c r="Y47" s="177">
        <f ca="1">IFERROR(__xludf.DUMMYFUNCTION("IMPORTRANGE(""https://docs.google.com/spreadsheets/d/13JHU_EFbsQOUQ0JSQ3dWy1VTRosIWcDq6Nc99z2qzdc/edit?usp=sharing"",""หนองคาย!J314"")"),0)</f>
        <v>0</v>
      </c>
      <c r="Z47" s="354">
        <f t="shared" ca="1" si="39"/>
        <v>0</v>
      </c>
      <c r="AA47" s="353" t="str">
        <f ca="1">IFERROR(__xludf.DUMMYFUNCTION("IMPORTRANGE(""https://docs.google.com/spreadsheets/d/13JHU_EFbsQOUQ0JSQ3dWy1VTRosIWcDq6Nc99z2qzdc/edit?usp=sharing"",""หนองคาย!I315"")"),"")</f>
        <v/>
      </c>
      <c r="AB47" s="177" t="str">
        <f ca="1">IFERROR(__xludf.DUMMYFUNCTION("IMPORTRANGE(""https://docs.google.com/spreadsheets/d/13JHU_EFbsQOUQ0JSQ3dWy1VTRosIWcDq6Nc99z2qzdc/edit?usp=sharing"",""หนองคาย!J315"")"),"")</f>
        <v/>
      </c>
      <c r="AC47" s="354">
        <f t="shared" ca="1" si="41"/>
        <v>0</v>
      </c>
      <c r="AD47" s="353" t="str">
        <f ca="1">IFERROR(__xludf.DUMMYFUNCTION("IMPORTRANGE(""https://docs.google.com/spreadsheets/d/13JHU_EFbsQOUQ0JSQ3dWy1VTRosIWcDq6Nc99z2qzdc/edit?usp=sharing"",""หนองคาย!I316"")"),"")</f>
        <v/>
      </c>
      <c r="AE47" s="177" t="str">
        <f ca="1">IFERROR(__xludf.DUMMYFUNCTION("IMPORTRANGE(""https://docs.google.com/spreadsheets/d/13JHU_EFbsQOUQ0JSQ3dWy1VTRosIWcDq6Nc99z2qzdc/edit?usp=sharing"",""หนองคาย!J316"")"),"")</f>
        <v/>
      </c>
      <c r="AF47" s="354" t="e">
        <f t="shared" ca="1" si="43"/>
        <v>#VALUE!</v>
      </c>
      <c r="AG47" s="353" t="str">
        <f ca="1">IFERROR(__xludf.DUMMYFUNCTION("IMPORTRANGE(""https://docs.google.com/spreadsheets/d/13JHU_EFbsQOUQ0JSQ3dWy1VTRosIWcDq6Nc99z2qzdc/edit?usp=sharing"",""หนองคาย!I317"")"),"")</f>
        <v/>
      </c>
      <c r="AH47" s="177" t="str">
        <f ca="1">IFERROR(__xludf.DUMMYFUNCTION("IMPORTRANGE(""https://docs.google.com/spreadsheets/d/13JHU_EFbsQOUQ0JSQ3dWy1VTRosIWcDq6Nc99z2qzdc/edit?usp=sharing"",""หนองคาย!J317"")"),"")</f>
        <v/>
      </c>
      <c r="AI47" s="354" t="e">
        <f t="shared" ca="1" si="45"/>
        <v>#VALUE!</v>
      </c>
    </row>
    <row r="48" spans="1:35" ht="21" customHeight="1" x14ac:dyDescent="0.3">
      <c r="A48" s="89">
        <v>17</v>
      </c>
      <c r="B48" s="90" t="s">
        <v>74</v>
      </c>
      <c r="C48" s="174">
        <f t="shared" ca="1" si="27"/>
        <v>0</v>
      </c>
      <c r="D48" s="175">
        <f t="shared" ca="1" si="53"/>
        <v>0</v>
      </c>
      <c r="E48" s="176">
        <f ca="1">IFERROR(__xludf.DUMMYFUNCTION("IMPORTRANGE(""https://docs.google.com/spreadsheets/d/1-uDff_7J0KD5mKrp0Vvzr7lt3OU09vwQwhkpOPPYv2Y/edit?usp=sharing"",""งบพรบ!DZ48"")"),0)</f>
        <v>0</v>
      </c>
      <c r="F48" s="176">
        <f ca="1">IFERROR(__xludf.DUMMYFUNCTION("IMPORTRANGE(""https://docs.google.com/spreadsheets/d/1-uDff_7J0KD5mKrp0Vvzr7lt3OU09vwQwhkpOPPYv2Y/edit?usp=sharing"",""งบพรบ!EA48"")"),0)</f>
        <v>0</v>
      </c>
      <c r="G48" s="176">
        <f ca="1">IFERROR(__xludf.DUMMYFUNCTION("IMPORTRANGE(""https://docs.google.com/spreadsheets/d/1-uDff_7J0KD5mKrp0Vvzr7lt3OU09vwQwhkpOPPYv2Y/edit?usp=sharing"",""งบพรบ!EB48"")"),0)</f>
        <v>0</v>
      </c>
      <c r="H48" s="176">
        <f ca="1">IFERROR(__xludf.DUMMYFUNCTION("IMPORTRANGE(""https://docs.google.com/spreadsheets/d/1-uDff_7J0KD5mKrp0Vvzr7lt3OU09vwQwhkpOPPYv2Y/edit?usp=sharing"",""งบพรบ!ED48"")"),0)</f>
        <v>0</v>
      </c>
      <c r="I48" s="176">
        <f ca="1">IFERROR(__xludf.DUMMYFUNCTION("IMPORTRANGE(""https://docs.google.com/spreadsheets/d/1-uDff_7J0KD5mKrp0Vvzr7lt3OU09vwQwhkpOPPYv2Y/edit?usp=sharing"",""งบพรบ!EE48"")"),0)</f>
        <v>0</v>
      </c>
      <c r="J48" s="176">
        <f t="shared" ca="1" si="29"/>
        <v>0</v>
      </c>
      <c r="K48" s="179">
        <f t="shared" ca="1" si="30"/>
        <v>0</v>
      </c>
      <c r="L48" s="176">
        <f ca="1">IFERROR(__xludf.DUMMYFUNCTION("IMPORTRANGE(""https://docs.google.com/spreadsheets/d/1-uDff_7J0KD5mKrp0Vvzr7lt3OU09vwQwhkpOPPYv2Y/edit?usp=sharing"",""งบพรบ!EF48"")"),0)</f>
        <v>0</v>
      </c>
      <c r="M48" s="87">
        <f t="shared" ca="1" si="31"/>
        <v>0</v>
      </c>
      <c r="N48" s="87">
        <f t="shared" ca="1" si="32"/>
        <v>0</v>
      </c>
      <c r="O48" s="86">
        <f ca="1">IFERROR(__xludf.DUMMYFUNCTION("IMPORTRANGE(""https://docs.google.com/spreadsheets/d/1-uDff_7J0KD5mKrp0Vvzr7lt3OU09vwQwhkpOPPYv2Y/edit?usp=sharing"",""งบพรบ!EG48"")"),0)</f>
        <v>0</v>
      </c>
      <c r="P48" s="86">
        <f t="shared" ca="1" si="33"/>
        <v>0</v>
      </c>
      <c r="Q48" s="87">
        <f t="shared" ca="1" si="34"/>
        <v>0</v>
      </c>
      <c r="R48" s="241">
        <f ca="1">IFERROR(__xludf.DUMMYFUNCTION("IMPORTRANGE(""https://docs.google.com/spreadsheets/d/1Hx73zIEgVdDZZaYSTc46Dqv64atFhpr3GelxLbaIN8A/edit?usp=sharing"",""หนองบัวลำภู!Q303"")"),0)</f>
        <v>0</v>
      </c>
      <c r="S48" s="242">
        <f ca="1">IFERROR(__xludf.DUMMYFUNCTION("IMPORTRANGE(""https://docs.google.com/spreadsheets/d/1Hx73zIEgVdDZZaYSTc46Dqv64atFhpr3GelxLbaIN8A/edit?usp=sharing"",""หนองบัวลำภู!R303"")"),0)</f>
        <v>0</v>
      </c>
      <c r="T48" s="242">
        <f ca="1">IFERROR(__xludf.DUMMYFUNCTION("IMPORTRANGE(""https://docs.google.com/spreadsheets/d/1Hx73zIEgVdDZZaYSTc46Dqv64atFhpr3GelxLbaIN8A/edit?usp=sharing"",""หนองบัวลำภู!S303"")"),0)</f>
        <v>0</v>
      </c>
      <c r="U48" s="243">
        <f t="shared" ca="1" si="36"/>
        <v>0</v>
      </c>
      <c r="V48" s="243">
        <f t="shared" ca="1" si="37"/>
        <v>0</v>
      </c>
      <c r="W48" s="353" t="str">
        <f ca="1">IFERROR(__xludf.DUMMYFUNCTION("IMPORTRANGE(""https://docs.google.com/spreadsheets/d/1Hx73zIEgVdDZZaYSTc46Dqv64atFhpr3GelxLbaIN8A/edit?usp=sharing"",""หนองบัวลำภู!J313"")"),"")</f>
        <v/>
      </c>
      <c r="X48" s="353">
        <f ca="1">IFERROR(__xludf.DUMMYFUNCTION("IMPORTRANGE(""https://docs.google.com/spreadsheets/d/1Hx73zIEgVdDZZaYSTc46Dqv64atFhpr3GelxLbaIN8A/edit?usp=sharing"",""หนองบัวลำภู!I314"")"),0)</f>
        <v>0</v>
      </c>
      <c r="Y48" s="177">
        <f ca="1">IFERROR(__xludf.DUMMYFUNCTION("IMPORTRANGE(""https://docs.google.com/spreadsheets/d/1Hx73zIEgVdDZZaYSTc46Dqv64atFhpr3GelxLbaIN8A/edit?usp=sharing"",""หนองบัวลำภู!J314"")"),0)</f>
        <v>0</v>
      </c>
      <c r="Z48" s="354">
        <f t="shared" ca="1" si="39"/>
        <v>0</v>
      </c>
      <c r="AA48" s="353" t="str">
        <f ca="1">IFERROR(__xludf.DUMMYFUNCTION("IMPORTRANGE(""https://docs.google.com/spreadsheets/d/1Hx73zIEgVdDZZaYSTc46Dqv64atFhpr3GelxLbaIN8A/edit?usp=sharing"",""หนองบัวลำภู!I315"")"),"")</f>
        <v/>
      </c>
      <c r="AB48" s="177" t="str">
        <f ca="1">IFERROR(__xludf.DUMMYFUNCTION("IMPORTRANGE(""https://docs.google.com/spreadsheets/d/1Hx73zIEgVdDZZaYSTc46Dqv64atFhpr3GelxLbaIN8A/edit?usp=sharing"",""หนองบัวลำภู!J315"")"),"")</f>
        <v/>
      </c>
      <c r="AC48" s="354">
        <f t="shared" ca="1" si="41"/>
        <v>0</v>
      </c>
      <c r="AD48" s="353" t="str">
        <f ca="1">IFERROR(__xludf.DUMMYFUNCTION("IMPORTRANGE(""https://docs.google.com/spreadsheets/d/1Hx73zIEgVdDZZaYSTc46Dqv64atFhpr3GelxLbaIN8A/edit?usp=sharing"",""หนองบัวลำภู!I316"")"),"")</f>
        <v/>
      </c>
      <c r="AE48" s="177" t="str">
        <f ca="1">IFERROR(__xludf.DUMMYFUNCTION("IMPORTRANGE(""https://docs.google.com/spreadsheets/d/1Hx73zIEgVdDZZaYSTc46Dqv64atFhpr3GelxLbaIN8A/edit?usp=sharing"",""หนองบัวลำภู!J316"")"),"")</f>
        <v/>
      </c>
      <c r="AF48" s="354" t="e">
        <f t="shared" ca="1" si="43"/>
        <v>#VALUE!</v>
      </c>
      <c r="AG48" s="353" t="str">
        <f ca="1">IFERROR(__xludf.DUMMYFUNCTION("IMPORTRANGE(""https://docs.google.com/spreadsheets/d/1Hx73zIEgVdDZZaYSTc46Dqv64atFhpr3GelxLbaIN8A/edit?usp=sharing"",""หนองบัวลำภู!I317"")"),"")</f>
        <v/>
      </c>
      <c r="AH48" s="177" t="str">
        <f ca="1">IFERROR(__xludf.DUMMYFUNCTION("IMPORTRANGE(""https://docs.google.com/spreadsheets/d/1Hx73zIEgVdDZZaYSTc46Dqv64atFhpr3GelxLbaIN8A/edit?usp=sharing"",""หนองบัวลำภู!J317"")"),"")</f>
        <v/>
      </c>
      <c r="AI48" s="354" t="e">
        <f t="shared" ca="1" si="45"/>
        <v>#VALUE!</v>
      </c>
    </row>
    <row r="49" spans="1:35" ht="21" customHeight="1" x14ac:dyDescent="0.3">
      <c r="A49" s="89">
        <v>18</v>
      </c>
      <c r="B49" s="90" t="s">
        <v>75</v>
      </c>
      <c r="C49" s="174">
        <f t="shared" ca="1" si="27"/>
        <v>0</v>
      </c>
      <c r="D49" s="175">
        <f t="shared" ca="1" si="53"/>
        <v>0</v>
      </c>
      <c r="E49" s="176">
        <f ca="1">IFERROR(__xludf.DUMMYFUNCTION("IMPORTRANGE(""https://docs.google.com/spreadsheets/d/1-uDff_7J0KD5mKrp0Vvzr7lt3OU09vwQwhkpOPPYv2Y/edit?usp=sharing"",""งบพรบ!DZ49"")"),0)</f>
        <v>0</v>
      </c>
      <c r="F49" s="176">
        <f ca="1">IFERROR(__xludf.DUMMYFUNCTION("IMPORTRANGE(""https://docs.google.com/spreadsheets/d/1-uDff_7J0KD5mKrp0Vvzr7lt3OU09vwQwhkpOPPYv2Y/edit?usp=sharing"",""งบพรบ!EA49"")"),0)</f>
        <v>0</v>
      </c>
      <c r="G49" s="176">
        <f ca="1">IFERROR(__xludf.DUMMYFUNCTION("IMPORTRANGE(""https://docs.google.com/spreadsheets/d/1-uDff_7J0KD5mKrp0Vvzr7lt3OU09vwQwhkpOPPYv2Y/edit?usp=sharing"",""งบพรบ!EB49"")"),0)</f>
        <v>0</v>
      </c>
      <c r="H49" s="176">
        <f ca="1">IFERROR(__xludf.DUMMYFUNCTION("IMPORTRANGE(""https://docs.google.com/spreadsheets/d/1-uDff_7J0KD5mKrp0Vvzr7lt3OU09vwQwhkpOPPYv2Y/edit?usp=sharing"",""งบพรบ!ED49"")"),0)</f>
        <v>0</v>
      </c>
      <c r="I49" s="176">
        <f ca="1">IFERROR(__xludf.DUMMYFUNCTION("IMPORTRANGE(""https://docs.google.com/spreadsheets/d/1-uDff_7J0KD5mKrp0Vvzr7lt3OU09vwQwhkpOPPYv2Y/edit?usp=sharing"",""งบพรบ!EE49"")"),0)</f>
        <v>0</v>
      </c>
      <c r="J49" s="176">
        <f t="shared" ca="1" si="29"/>
        <v>0</v>
      </c>
      <c r="K49" s="179">
        <f t="shared" ca="1" si="30"/>
        <v>0</v>
      </c>
      <c r="L49" s="176">
        <f ca="1">IFERROR(__xludf.DUMMYFUNCTION("IMPORTRANGE(""https://docs.google.com/spreadsheets/d/1-uDff_7J0KD5mKrp0Vvzr7lt3OU09vwQwhkpOPPYv2Y/edit?usp=sharing"",""งบพรบ!EF49"")"),0)</f>
        <v>0</v>
      </c>
      <c r="M49" s="87">
        <f t="shared" ca="1" si="31"/>
        <v>0</v>
      </c>
      <c r="N49" s="87">
        <f t="shared" ca="1" si="32"/>
        <v>0</v>
      </c>
      <c r="O49" s="86">
        <f ca="1">IFERROR(__xludf.DUMMYFUNCTION("IMPORTRANGE(""https://docs.google.com/spreadsheets/d/1-uDff_7J0KD5mKrp0Vvzr7lt3OU09vwQwhkpOPPYv2Y/edit?usp=sharing"",""งบพรบ!EG49"")"),0)</f>
        <v>0</v>
      </c>
      <c r="P49" s="86">
        <f t="shared" ca="1" si="33"/>
        <v>0</v>
      </c>
      <c r="Q49" s="87">
        <f t="shared" ca="1" si="34"/>
        <v>0</v>
      </c>
      <c r="R49" s="241">
        <f ca="1">IFERROR(__xludf.DUMMYFUNCTION("IMPORTRANGE(""https://docs.google.com/spreadsheets/d/1lFxr3ctmjFN90yc-xV6jrQ9Ty8BKYVBWnAZ15wcNIJc/edit?usp=sharing"",""อำนาจเจริญ!Q303"")"),260958.39)</f>
        <v>260958.39</v>
      </c>
      <c r="S49" s="242">
        <f ca="1">IFERROR(__xludf.DUMMYFUNCTION("IMPORTRANGE(""https://docs.google.com/spreadsheets/d/1lFxr3ctmjFN90yc-xV6jrQ9Ty8BKYVBWnAZ15wcNIJc/edit?usp=sharing"",""อำนาจเจริญ!R303"")"),0)</f>
        <v>0</v>
      </c>
      <c r="T49" s="242">
        <f ca="1">IFERROR(__xludf.DUMMYFUNCTION("IMPORTRANGE(""https://docs.google.com/spreadsheets/d/1lFxr3ctmjFN90yc-xV6jrQ9Ty8BKYVBWnAZ15wcNIJc/edit?usp=sharing"",""อำนาจเจริญ!S303"")"),0)</f>
        <v>0</v>
      </c>
      <c r="U49" s="243">
        <f t="shared" ca="1" si="36"/>
        <v>0</v>
      </c>
      <c r="V49" s="243">
        <f t="shared" ca="1" si="37"/>
        <v>0</v>
      </c>
      <c r="W49" s="353" t="str">
        <f ca="1">IFERROR(__xludf.DUMMYFUNCTION("IMPORTRANGE(""https://docs.google.com/spreadsheets/d/1lFxr3ctmjFN90yc-xV6jrQ9Ty8BKYVBWnAZ15wcNIJc/edit?usp=sharing"",""อำนาจเจริญ!J313"")"),"")</f>
        <v/>
      </c>
      <c r="X49" s="353">
        <f ca="1">IFERROR(__xludf.DUMMYFUNCTION("IMPORTRANGE(""https://docs.google.com/spreadsheets/d/1lFxr3ctmjFN90yc-xV6jrQ9Ty8BKYVBWnAZ15wcNIJc/edit?usp=sharing"",""อำนาจเจริญ!I314"")"),30)</f>
        <v>30</v>
      </c>
      <c r="Y49" s="177">
        <f ca="1">IFERROR(__xludf.DUMMYFUNCTION("IMPORTRANGE(""https://docs.google.com/spreadsheets/d/1lFxr3ctmjFN90yc-xV6jrQ9Ty8BKYVBWnAZ15wcNIJc/edit?usp=sharing"",""อำนาจเจริญ!J314"")"),0)</f>
        <v>0</v>
      </c>
      <c r="Z49" s="354">
        <f t="shared" ca="1" si="39"/>
        <v>0</v>
      </c>
      <c r="AA49" s="353" t="str">
        <f ca="1">IFERROR(__xludf.DUMMYFUNCTION("IMPORTRANGE(""https://docs.google.com/spreadsheets/d/1lFxr3ctmjFN90yc-xV6jrQ9Ty8BKYVBWnAZ15wcNIJc/edit?usp=sharing"",""อำนาจเจริญ!I315"")"),"")</f>
        <v/>
      </c>
      <c r="AB49" s="177" t="str">
        <f ca="1">IFERROR(__xludf.DUMMYFUNCTION("IMPORTRANGE(""https://docs.google.com/spreadsheets/d/1lFxr3ctmjFN90yc-xV6jrQ9Ty8BKYVBWnAZ15wcNIJc/edit?usp=sharing"",""อำนาจเจริญ!J315"")"),"")</f>
        <v/>
      </c>
      <c r="AC49" s="354" t="e">
        <f t="shared" ca="1" si="41"/>
        <v>#VALUE!</v>
      </c>
      <c r="AD49" s="353" t="str">
        <f ca="1">IFERROR(__xludf.DUMMYFUNCTION("IMPORTRANGE(""https://docs.google.com/spreadsheets/d/1lFxr3ctmjFN90yc-xV6jrQ9Ty8BKYVBWnAZ15wcNIJc/edit?usp=sharing"",""อำนาจเจริญ!I316"")"),"")</f>
        <v/>
      </c>
      <c r="AE49" s="177" t="str">
        <f ca="1">IFERROR(__xludf.DUMMYFUNCTION("IMPORTRANGE(""https://docs.google.com/spreadsheets/d/1lFxr3ctmjFN90yc-xV6jrQ9Ty8BKYVBWnAZ15wcNIJc/edit?usp=sharing"",""อำนาจเจริญ!J316"")"),"")</f>
        <v/>
      </c>
      <c r="AF49" s="354" t="e">
        <f t="shared" ca="1" si="43"/>
        <v>#VALUE!</v>
      </c>
      <c r="AG49" s="353" t="str">
        <f ca="1">IFERROR(__xludf.DUMMYFUNCTION("IMPORTRANGE(""https://docs.google.com/spreadsheets/d/1lFxr3ctmjFN90yc-xV6jrQ9Ty8BKYVBWnAZ15wcNIJc/edit?usp=sharing"",""อำนาจเจริญ!I317"")"),"")</f>
        <v/>
      </c>
      <c r="AH49" s="177" t="str">
        <f ca="1">IFERROR(__xludf.DUMMYFUNCTION("IMPORTRANGE(""https://docs.google.com/spreadsheets/d/1lFxr3ctmjFN90yc-xV6jrQ9Ty8BKYVBWnAZ15wcNIJc/edit?usp=sharing"",""อำนาจเจริญ!J317"")"),"")</f>
        <v/>
      </c>
      <c r="AI49" s="354" t="e">
        <f t="shared" ca="1" si="45"/>
        <v>#VALUE!</v>
      </c>
    </row>
    <row r="50" spans="1:35" ht="21" customHeight="1" x14ac:dyDescent="0.3">
      <c r="A50" s="89">
        <v>19</v>
      </c>
      <c r="B50" s="90" t="s">
        <v>76</v>
      </c>
      <c r="C50" s="174">
        <f t="shared" ca="1" si="27"/>
        <v>133500</v>
      </c>
      <c r="D50" s="175">
        <f t="shared" ca="1" si="53"/>
        <v>133500</v>
      </c>
      <c r="E50" s="176">
        <f ca="1">IFERROR(__xludf.DUMMYFUNCTION("IMPORTRANGE(""https://docs.google.com/spreadsheets/d/1-uDff_7J0KD5mKrp0Vvzr7lt3OU09vwQwhkpOPPYv2Y/edit?usp=sharing"",""งบพรบ!DZ50"")"),51100)</f>
        <v>51100</v>
      </c>
      <c r="F50" s="176">
        <f ca="1">IFERROR(__xludf.DUMMYFUNCTION("IMPORTRANGE(""https://docs.google.com/spreadsheets/d/1-uDff_7J0KD5mKrp0Vvzr7lt3OU09vwQwhkpOPPYv2Y/edit?usp=sharing"",""งบพรบ!EA50"")"),82400)</f>
        <v>82400</v>
      </c>
      <c r="G50" s="176">
        <f ca="1">IFERROR(__xludf.DUMMYFUNCTION("IMPORTRANGE(""https://docs.google.com/spreadsheets/d/1-uDff_7J0KD5mKrp0Vvzr7lt3OU09vwQwhkpOPPYv2Y/edit?usp=sharing"",""งบพรบ!EB50"")"),0)</f>
        <v>0</v>
      </c>
      <c r="H50" s="176">
        <f ca="1">IFERROR(__xludf.DUMMYFUNCTION("IMPORTRANGE(""https://docs.google.com/spreadsheets/d/1-uDff_7J0KD5mKrp0Vvzr7lt3OU09vwQwhkpOPPYv2Y/edit?usp=sharing"",""งบพรบ!ED50"")"),133500)</f>
        <v>133500</v>
      </c>
      <c r="I50" s="176">
        <f ca="1">IFERROR(__xludf.DUMMYFUNCTION("IMPORTRANGE(""https://docs.google.com/spreadsheets/d/1-uDff_7J0KD5mKrp0Vvzr7lt3OU09vwQwhkpOPPYv2Y/edit?usp=sharing"",""งบพรบ!EE50"")"),0)</f>
        <v>0</v>
      </c>
      <c r="J50" s="176">
        <f t="shared" ca="1" si="29"/>
        <v>29200</v>
      </c>
      <c r="K50" s="179">
        <f t="shared" ca="1" si="30"/>
        <v>21.872659176029963</v>
      </c>
      <c r="L50" s="176">
        <f ca="1">IFERROR(__xludf.DUMMYFUNCTION("IMPORTRANGE(""https://docs.google.com/spreadsheets/d/1-uDff_7J0KD5mKrp0Vvzr7lt3OU09vwQwhkpOPPYv2Y/edit?usp=sharing"",""งบพรบ!EF50"")"),29200)</f>
        <v>29200</v>
      </c>
      <c r="M50" s="87">
        <f t="shared" ca="1" si="31"/>
        <v>21.872659176029963</v>
      </c>
      <c r="N50" s="87">
        <f t="shared" ca="1" si="32"/>
        <v>21.872659176029963</v>
      </c>
      <c r="O50" s="86">
        <f ca="1">IFERROR(__xludf.DUMMYFUNCTION("IMPORTRANGE(""https://docs.google.com/spreadsheets/d/1-uDff_7J0KD5mKrp0Vvzr7lt3OU09vwQwhkpOPPYv2Y/edit?usp=sharing"",""งบพรบ!EG50"")"),0)</f>
        <v>0</v>
      </c>
      <c r="P50" s="86">
        <f t="shared" ca="1" si="33"/>
        <v>0</v>
      </c>
      <c r="Q50" s="87">
        <f t="shared" ca="1" si="34"/>
        <v>0</v>
      </c>
      <c r="R50" s="241">
        <f ca="1">IFERROR(__xludf.DUMMYFUNCTION("IMPORTRANGE(""https://docs.google.com/spreadsheets/d/1gF7RJpRnL-1oyjyeWxs5SFWEH7y8ahOZsQlyp2A2e-A/edit?usp=sharing"",""อุดรธานี!Q303"")"),144609.24)</f>
        <v>144609.24</v>
      </c>
      <c r="S50" s="242">
        <f ca="1">IFERROR(__xludf.DUMMYFUNCTION("IMPORTRANGE(""https://docs.google.com/spreadsheets/d/1gF7RJpRnL-1oyjyeWxs5SFWEH7y8ahOZsQlyp2A2e-A/edit?usp=sharing"",""อุดรธานี!R303"")"),0)</f>
        <v>0</v>
      </c>
      <c r="T50" s="242">
        <f ca="1">IFERROR(__xludf.DUMMYFUNCTION("IMPORTRANGE(""https://docs.google.com/spreadsheets/d/1gF7RJpRnL-1oyjyeWxs5SFWEH7y8ahOZsQlyp2A2e-A/edit?usp=sharing"",""อุดรธานี!S303"")"),0)</f>
        <v>0</v>
      </c>
      <c r="U50" s="243">
        <f t="shared" ca="1" si="36"/>
        <v>0</v>
      </c>
      <c r="V50" s="243">
        <f t="shared" ca="1" si="37"/>
        <v>0</v>
      </c>
      <c r="W50" s="353" t="str">
        <f ca="1">IFERROR(__xludf.DUMMYFUNCTION("IMPORTRANGE(""https://docs.google.com/spreadsheets/d/1gF7RJpRnL-1oyjyeWxs5SFWEH7y8ahOZsQlyp2A2e-A/edit?usp=sharing"",""อุดรธานี!J313"")"),"")</f>
        <v/>
      </c>
      <c r="X50" s="353">
        <f ca="1">IFERROR(__xludf.DUMMYFUNCTION("IMPORTRANGE(""https://docs.google.com/spreadsheets/d/1gF7RJpRnL-1oyjyeWxs5SFWEH7y8ahOZsQlyp2A2e-A/edit?usp=sharing"",""อุดรธานี!I314"")"),20)</f>
        <v>20</v>
      </c>
      <c r="Y50" s="177">
        <f ca="1">IFERROR(__xludf.DUMMYFUNCTION("IMPORTRANGE(""https://docs.google.com/spreadsheets/d/1gF7RJpRnL-1oyjyeWxs5SFWEH7y8ahOZsQlyp2A2e-A/edit?usp=sharing"",""อุดรธานี!J314"")"),0)</f>
        <v>0</v>
      </c>
      <c r="Z50" s="354">
        <f t="shared" ca="1" si="39"/>
        <v>0</v>
      </c>
      <c r="AA50" s="353" t="str">
        <f ca="1">IFERROR(__xludf.DUMMYFUNCTION("IMPORTRANGE(""https://docs.google.com/spreadsheets/d/1gF7RJpRnL-1oyjyeWxs5SFWEH7y8ahOZsQlyp2A2e-A/edit?usp=sharing"",""อุดรธานี!I315"")"),"")</f>
        <v/>
      </c>
      <c r="AB50" s="177" t="str">
        <f ca="1">IFERROR(__xludf.DUMMYFUNCTION("IMPORTRANGE(""https://docs.google.com/spreadsheets/d/1gF7RJpRnL-1oyjyeWxs5SFWEH7y8ahOZsQlyp2A2e-A/edit?usp=sharing"",""อุดรธานี!J315"")"),"")</f>
        <v/>
      </c>
      <c r="AC50" s="354" t="e">
        <f t="shared" ca="1" si="41"/>
        <v>#VALUE!</v>
      </c>
      <c r="AD50" s="353" t="str">
        <f ca="1">IFERROR(__xludf.DUMMYFUNCTION("IMPORTRANGE(""https://docs.google.com/spreadsheets/d/1gF7RJpRnL-1oyjyeWxs5SFWEH7y8ahOZsQlyp2A2e-A/edit?usp=sharing"",""อุดรธานี!I316"")"),"")</f>
        <v/>
      </c>
      <c r="AE50" s="177" t="str">
        <f ca="1">IFERROR(__xludf.DUMMYFUNCTION("IMPORTRANGE(""https://docs.google.com/spreadsheets/d/1gF7RJpRnL-1oyjyeWxs5SFWEH7y8ahOZsQlyp2A2e-A/edit?usp=sharing"",""อุดรธานี!J316"")"),"")</f>
        <v/>
      </c>
      <c r="AF50" s="354" t="e">
        <f t="shared" ca="1" si="43"/>
        <v>#VALUE!</v>
      </c>
      <c r="AG50" s="353" t="str">
        <f ca="1">IFERROR(__xludf.DUMMYFUNCTION("IMPORTRANGE(""https://docs.google.com/spreadsheets/d/1gF7RJpRnL-1oyjyeWxs5SFWEH7y8ahOZsQlyp2A2e-A/edit?usp=sharing"",""อุดรธานี!I317"")"),"")</f>
        <v/>
      </c>
      <c r="AH50" s="177" t="str">
        <f ca="1">IFERROR(__xludf.DUMMYFUNCTION("IMPORTRANGE(""https://docs.google.com/spreadsheets/d/1gF7RJpRnL-1oyjyeWxs5SFWEH7y8ahOZsQlyp2A2e-A/edit?usp=sharing"",""อุดรธานี!J317"")"),"")</f>
        <v/>
      </c>
      <c r="AI50" s="354" t="e">
        <f t="shared" ca="1" si="45"/>
        <v>#VALUE!</v>
      </c>
    </row>
    <row r="51" spans="1:35" ht="21" customHeight="1" x14ac:dyDescent="0.3">
      <c r="A51" s="100">
        <v>20</v>
      </c>
      <c r="B51" s="101" t="s">
        <v>77</v>
      </c>
      <c r="C51" s="189">
        <f t="shared" ca="1" si="27"/>
        <v>0</v>
      </c>
      <c r="D51" s="190">
        <f t="shared" ca="1" si="53"/>
        <v>0</v>
      </c>
      <c r="E51" s="191">
        <f ca="1">IFERROR(__xludf.DUMMYFUNCTION("IMPORTRANGE(""https://docs.google.com/spreadsheets/d/1-uDff_7J0KD5mKrp0Vvzr7lt3OU09vwQwhkpOPPYv2Y/edit?usp=sharing"",""งบพรบ!DZ51"")"),0)</f>
        <v>0</v>
      </c>
      <c r="F51" s="191">
        <f ca="1">IFERROR(__xludf.DUMMYFUNCTION("IMPORTRANGE(""https://docs.google.com/spreadsheets/d/1-uDff_7J0KD5mKrp0Vvzr7lt3OU09vwQwhkpOPPYv2Y/edit?usp=sharing"",""งบพรบ!EA51"")"),0)</f>
        <v>0</v>
      </c>
      <c r="G51" s="191">
        <f ca="1">IFERROR(__xludf.DUMMYFUNCTION("IMPORTRANGE(""https://docs.google.com/spreadsheets/d/1-uDff_7J0KD5mKrp0Vvzr7lt3OU09vwQwhkpOPPYv2Y/edit?usp=sharing"",""งบพรบ!EB51"")"),0)</f>
        <v>0</v>
      </c>
      <c r="H51" s="191">
        <f ca="1">IFERROR(__xludf.DUMMYFUNCTION("IMPORTRANGE(""https://docs.google.com/spreadsheets/d/1-uDff_7J0KD5mKrp0Vvzr7lt3OU09vwQwhkpOPPYv2Y/edit?usp=sharing"",""งบพรบ!ED51"")"),0)</f>
        <v>0</v>
      </c>
      <c r="I51" s="191">
        <f ca="1">IFERROR(__xludf.DUMMYFUNCTION("IMPORTRANGE(""https://docs.google.com/spreadsheets/d/1-uDff_7J0KD5mKrp0Vvzr7lt3OU09vwQwhkpOPPYv2Y/edit?usp=sharing"",""งบพรบ!EE51"")"),0)</f>
        <v>0</v>
      </c>
      <c r="J51" s="191">
        <f t="shared" ca="1" si="29"/>
        <v>0</v>
      </c>
      <c r="K51" s="192">
        <f t="shared" ca="1" si="30"/>
        <v>0</v>
      </c>
      <c r="L51" s="191">
        <f ca="1">IFERROR(__xludf.DUMMYFUNCTION("IMPORTRANGE(""https://docs.google.com/spreadsheets/d/1-uDff_7J0KD5mKrp0Vvzr7lt3OU09vwQwhkpOPPYv2Y/edit?usp=sharing"",""งบพรบ!EF51"")"),0)</f>
        <v>0</v>
      </c>
      <c r="M51" s="118">
        <f t="shared" ca="1" si="31"/>
        <v>0</v>
      </c>
      <c r="N51" s="118">
        <f t="shared" ca="1" si="32"/>
        <v>0</v>
      </c>
      <c r="O51" s="117">
        <f ca="1">IFERROR(__xludf.DUMMYFUNCTION("IMPORTRANGE(""https://docs.google.com/spreadsheets/d/1-uDff_7J0KD5mKrp0Vvzr7lt3OU09vwQwhkpOPPYv2Y/edit?usp=sharing"",""งบพรบ!EG51"")"),0)</f>
        <v>0</v>
      </c>
      <c r="P51" s="117">
        <f t="shared" ca="1" si="33"/>
        <v>0</v>
      </c>
      <c r="Q51" s="118">
        <f t="shared" ca="1" si="34"/>
        <v>0</v>
      </c>
      <c r="R51" s="244">
        <f ca="1">IFERROR(__xludf.DUMMYFUNCTION("IMPORTRANGE(""https://docs.google.com/spreadsheets/d/1kfLP0j3INXRa8bTDpcEmoWewMBV61jlFlfzczfjWIgc/edit?usp=sharing"",""อุบลราชธานี!Q303"")"),384158.99)</f>
        <v>384158.99</v>
      </c>
      <c r="S51" s="245">
        <f ca="1">IFERROR(__xludf.DUMMYFUNCTION("IMPORTRANGE(""https://docs.google.com/spreadsheets/d/1kfLP0j3INXRa8bTDpcEmoWewMBV61jlFlfzczfjWIgc/edit?usp=sharing"",""อุบลราชธานี!R303"")"),0)</f>
        <v>0</v>
      </c>
      <c r="T51" s="245">
        <f ca="1">IFERROR(__xludf.DUMMYFUNCTION("IMPORTRANGE(""https://docs.google.com/spreadsheets/d/1kfLP0j3INXRa8bTDpcEmoWewMBV61jlFlfzczfjWIgc/edit?usp=sharing"",""อุบลราชธานี!S303"")"),0)</f>
        <v>0</v>
      </c>
      <c r="U51" s="246">
        <f t="shared" ca="1" si="36"/>
        <v>0</v>
      </c>
      <c r="V51" s="246">
        <f t="shared" ca="1" si="37"/>
        <v>0</v>
      </c>
      <c r="W51" s="356" t="str">
        <f ca="1">IFERROR(__xludf.DUMMYFUNCTION("IMPORTRANGE(""https://docs.google.com/spreadsheets/d/1kfLP0j3INXRa8bTDpcEmoWewMBV61jlFlfzczfjWIgc/edit?usp=sharing"",""อุบลราชธานี!J313"")"),"")</f>
        <v/>
      </c>
      <c r="X51" s="356">
        <f ca="1">IFERROR(__xludf.DUMMYFUNCTION("IMPORTRANGE(""https://docs.google.com/spreadsheets/d/1kfLP0j3INXRa8bTDpcEmoWewMBV61jlFlfzczfjWIgc/edit?usp=sharing"",""อุบลราชธานี!I314"")"),50)</f>
        <v>50</v>
      </c>
      <c r="Y51" s="186">
        <f ca="1">IFERROR(__xludf.DUMMYFUNCTION("IMPORTRANGE(""https://docs.google.com/spreadsheets/d/1kfLP0j3INXRa8bTDpcEmoWewMBV61jlFlfzczfjWIgc/edit?usp=sharing"",""อุบลราชธานี!J314"")"),0)</f>
        <v>0</v>
      </c>
      <c r="Z51" s="357">
        <f t="shared" ca="1" si="39"/>
        <v>0</v>
      </c>
      <c r="AA51" s="356" t="str">
        <f ca="1">IFERROR(__xludf.DUMMYFUNCTION("IMPORTRANGE(""https://docs.google.com/spreadsheets/d/1kfLP0j3INXRa8bTDpcEmoWewMBV61jlFlfzczfjWIgc/edit?usp=sharing"",""อุบลราชธานี!I315"")"),"")</f>
        <v/>
      </c>
      <c r="AB51" s="186" t="str">
        <f ca="1">IFERROR(__xludf.DUMMYFUNCTION("IMPORTRANGE(""https://docs.google.com/spreadsheets/d/1kfLP0j3INXRa8bTDpcEmoWewMBV61jlFlfzczfjWIgc/edit?usp=sharing"",""อุบลราชธานี!J315"")"),"")</f>
        <v/>
      </c>
      <c r="AC51" s="357" t="e">
        <f t="shared" ca="1" si="41"/>
        <v>#VALUE!</v>
      </c>
      <c r="AD51" s="356" t="str">
        <f ca="1">IFERROR(__xludf.DUMMYFUNCTION("IMPORTRANGE(""https://docs.google.com/spreadsheets/d/1kfLP0j3INXRa8bTDpcEmoWewMBV61jlFlfzczfjWIgc/edit?usp=sharing"",""อุบลราชธานี!I316"")"),"")</f>
        <v/>
      </c>
      <c r="AE51" s="186" t="str">
        <f ca="1">IFERROR(__xludf.DUMMYFUNCTION("IMPORTRANGE(""https://docs.google.com/spreadsheets/d/1kfLP0j3INXRa8bTDpcEmoWewMBV61jlFlfzczfjWIgc/edit?usp=sharing"",""อุบลราชธานี!J316"")"),"")</f>
        <v/>
      </c>
      <c r="AF51" s="357" t="e">
        <f t="shared" ca="1" si="43"/>
        <v>#VALUE!</v>
      </c>
      <c r="AG51" s="356" t="str">
        <f ca="1">IFERROR(__xludf.DUMMYFUNCTION("IMPORTRANGE(""https://docs.google.com/spreadsheets/d/1kfLP0j3INXRa8bTDpcEmoWewMBV61jlFlfzczfjWIgc/edit?usp=sharing"",""อุบลราชธานี!I317"")"),"")</f>
        <v/>
      </c>
      <c r="AH51" s="186" t="str">
        <f ca="1">IFERROR(__xludf.DUMMYFUNCTION("IMPORTRANGE(""https://docs.google.com/spreadsheets/d/1kfLP0j3INXRa8bTDpcEmoWewMBV61jlFlfzczfjWIgc/edit?usp=sharing"",""อุบลราชธานี!J317"")"),"")</f>
        <v/>
      </c>
      <c r="AI51" s="357" t="e">
        <f t="shared" ca="1" si="45"/>
        <v>#VALUE!</v>
      </c>
    </row>
    <row r="52" spans="1:35" ht="21" customHeight="1" x14ac:dyDescent="0.3">
      <c r="A52" s="650" t="s">
        <v>78</v>
      </c>
      <c r="B52" s="583"/>
      <c r="C52" s="194">
        <f t="shared" ca="1" si="27"/>
        <v>1119100</v>
      </c>
      <c r="D52" s="194">
        <f t="shared" ref="D52:I52" ca="1" si="54">SUM(D53:D73)</f>
        <v>1119100</v>
      </c>
      <c r="E52" s="194">
        <f t="shared" ca="1" si="54"/>
        <v>459900</v>
      </c>
      <c r="F52" s="194">
        <f t="shared" ca="1" si="54"/>
        <v>659200</v>
      </c>
      <c r="G52" s="194">
        <f t="shared" ca="1" si="54"/>
        <v>0</v>
      </c>
      <c r="H52" s="194">
        <f t="shared" ca="1" si="54"/>
        <v>1119100</v>
      </c>
      <c r="I52" s="194">
        <f t="shared" ca="1" si="54"/>
        <v>0</v>
      </c>
      <c r="J52" s="194">
        <f t="shared" ca="1" si="29"/>
        <v>301467.33999999997</v>
      </c>
      <c r="K52" s="195">
        <f t="shared" ca="1" si="30"/>
        <v>26.938373693146275</v>
      </c>
      <c r="L52" s="194">
        <f ca="1">SUM(L53:L73)</f>
        <v>301467.33999999997</v>
      </c>
      <c r="M52" s="120">
        <f t="shared" ca="1" si="31"/>
        <v>26.938373693146275</v>
      </c>
      <c r="N52" s="120">
        <f t="shared" ca="1" si="32"/>
        <v>26.938373693146275</v>
      </c>
      <c r="O52" s="119">
        <f ca="1">SUM(O53:O73)</f>
        <v>0</v>
      </c>
      <c r="P52" s="119">
        <f t="shared" ca="1" si="33"/>
        <v>0</v>
      </c>
      <c r="Q52" s="120">
        <f t="shared" ca="1" si="34"/>
        <v>0</v>
      </c>
      <c r="R52" s="232">
        <f t="shared" ref="R52:T52" ca="1" si="55">SUM(R53:R73)</f>
        <v>2884993.6500000008</v>
      </c>
      <c r="S52" s="233">
        <f t="shared" ca="1" si="55"/>
        <v>0</v>
      </c>
      <c r="T52" s="233">
        <f t="shared" ca="1" si="55"/>
        <v>0</v>
      </c>
      <c r="U52" s="234">
        <f t="shared" ca="1" si="36"/>
        <v>0</v>
      </c>
      <c r="V52" s="234">
        <f t="shared" ca="1" si="37"/>
        <v>0</v>
      </c>
      <c r="W52" s="347">
        <f t="shared" ref="W52:Y52" ca="1" si="56">SUM(W53:W73)</f>
        <v>0</v>
      </c>
      <c r="X52" s="348">
        <f t="shared" ca="1" si="56"/>
        <v>355</v>
      </c>
      <c r="Y52" s="161">
        <f t="shared" ca="1" si="56"/>
        <v>25</v>
      </c>
      <c r="Z52" s="40">
        <f t="shared" ca="1" si="39"/>
        <v>7.042253521126761</v>
      </c>
      <c r="AA52" s="348">
        <f t="shared" ref="AA52:AB52" ca="1" si="57">SUM(AA53:AA73)</f>
        <v>0</v>
      </c>
      <c r="AB52" s="161">
        <f t="shared" ca="1" si="57"/>
        <v>0</v>
      </c>
      <c r="AC52" s="40">
        <f t="shared" ca="1" si="41"/>
        <v>0</v>
      </c>
      <c r="AD52" s="348">
        <f t="shared" ref="AD52:AE52" ca="1" si="58">SUM(AD53:AD73)</f>
        <v>0</v>
      </c>
      <c r="AE52" s="161">
        <f t="shared" ca="1" si="58"/>
        <v>0</v>
      </c>
      <c r="AF52" s="40">
        <f t="shared" ca="1" si="43"/>
        <v>0</v>
      </c>
      <c r="AG52" s="348">
        <f t="shared" ref="AG52:AH52" ca="1" si="59">SUM(AG53:AG73)</f>
        <v>0</v>
      </c>
      <c r="AH52" s="161">
        <f t="shared" ca="1" si="59"/>
        <v>0</v>
      </c>
      <c r="AI52" s="40">
        <f t="shared" ca="1" si="45"/>
        <v>0</v>
      </c>
    </row>
    <row r="53" spans="1:35" ht="21" customHeight="1" x14ac:dyDescent="0.3">
      <c r="A53" s="77">
        <v>1</v>
      </c>
      <c r="B53" s="78" t="s">
        <v>79</v>
      </c>
      <c r="C53" s="174">
        <f t="shared" ca="1" si="27"/>
        <v>0</v>
      </c>
      <c r="D53" s="175">
        <f t="shared" ref="D53:D73" ca="1" si="60">+E53+F53</f>
        <v>0</v>
      </c>
      <c r="E53" s="176">
        <f ca="1">IFERROR(__xludf.DUMMYFUNCTION("IMPORTRANGE(""https://docs.google.com/spreadsheets/d/1-uDff_7J0KD5mKrp0Vvzr7lt3OU09vwQwhkpOPPYv2Y/edit?usp=sharing"",""งบพรบ!DZ53"")"),0)</f>
        <v>0</v>
      </c>
      <c r="F53" s="176">
        <f ca="1">IFERROR(__xludf.DUMMYFUNCTION("IMPORTRANGE(""https://docs.google.com/spreadsheets/d/1-uDff_7J0KD5mKrp0Vvzr7lt3OU09vwQwhkpOPPYv2Y/edit?usp=sharing"",""งบพรบ!EA53"")"),0)</f>
        <v>0</v>
      </c>
      <c r="G53" s="177">
        <f ca="1">IFERROR(__xludf.DUMMYFUNCTION("IMPORTRANGE(""https://docs.google.com/spreadsheets/d/1-uDff_7J0KD5mKrp0Vvzr7lt3OU09vwQwhkpOPPYv2Y/edit?usp=sharing"",""งบพรบ!EB53"")"),0)</f>
        <v>0</v>
      </c>
      <c r="H53" s="177">
        <f ca="1">IFERROR(__xludf.DUMMYFUNCTION("IMPORTRANGE(""https://docs.google.com/spreadsheets/d/1-uDff_7J0KD5mKrp0Vvzr7lt3OU09vwQwhkpOPPYv2Y/edit?usp=sharing"",""งบพรบ!ED53"")"),0)</f>
        <v>0</v>
      </c>
      <c r="I53" s="177">
        <f ca="1">IFERROR(__xludf.DUMMYFUNCTION("IMPORTRANGE(""https://docs.google.com/spreadsheets/d/1-uDff_7J0KD5mKrp0Vvzr7lt3OU09vwQwhkpOPPYv2Y/edit?usp=sharing"",""งบพรบ!EE53"")"),0)</f>
        <v>0</v>
      </c>
      <c r="J53" s="177">
        <f t="shared" ca="1" si="29"/>
        <v>0</v>
      </c>
      <c r="K53" s="178">
        <f t="shared" ca="1" si="30"/>
        <v>0</v>
      </c>
      <c r="L53" s="177">
        <f ca="1">IFERROR(__xludf.DUMMYFUNCTION("IMPORTRANGE(""https://docs.google.com/spreadsheets/d/1-uDff_7J0KD5mKrp0Vvzr7lt3OU09vwQwhkpOPPYv2Y/edit?usp=sharing"",""งบพรบ!EF53"")"),0)</f>
        <v>0</v>
      </c>
      <c r="M53" s="87">
        <f t="shared" ca="1" si="31"/>
        <v>0</v>
      </c>
      <c r="N53" s="87">
        <f t="shared" ca="1" si="32"/>
        <v>0</v>
      </c>
      <c r="O53" s="86">
        <f ca="1">IFERROR(__xludf.DUMMYFUNCTION("IMPORTRANGE(""https://docs.google.com/spreadsheets/d/1-uDff_7J0KD5mKrp0Vvzr7lt3OU09vwQwhkpOPPYv2Y/edit?usp=sharing"",""งบพรบ!EG53"")"),0)</f>
        <v>0</v>
      </c>
      <c r="P53" s="86">
        <f t="shared" ca="1" si="33"/>
        <v>0</v>
      </c>
      <c r="Q53" s="87">
        <f t="shared" ca="1" si="34"/>
        <v>0</v>
      </c>
      <c r="R53" s="241">
        <f ca="1">IFERROR(__xludf.DUMMYFUNCTION("IMPORTRANGE(""https://docs.google.com/spreadsheets/d/13wPX838HrBrQMCywv1BsuMkt4PEKTChp52zj44s2izQ/edit?usp=sharing"",""กาญจนบุรี!Q303"")"),260958.39)</f>
        <v>260958.39</v>
      </c>
      <c r="S53" s="242">
        <f ca="1">IFERROR(__xludf.DUMMYFUNCTION("IMPORTRANGE(""https://docs.google.com/spreadsheets/d/13wPX838HrBrQMCywv1BsuMkt4PEKTChp52zj44s2izQ/edit?usp=sharing"",""กาญจนบุรี!R303"")"),0)</f>
        <v>0</v>
      </c>
      <c r="T53" s="242">
        <f ca="1">IFERROR(__xludf.DUMMYFUNCTION("IMPORTRANGE(""https://docs.google.com/spreadsheets/d/13wPX838HrBrQMCywv1BsuMkt4PEKTChp52zj44s2izQ/edit?usp=sharing"",""กาญจนบุรี!S303"")"),0)</f>
        <v>0</v>
      </c>
      <c r="U53" s="243">
        <f t="shared" ca="1" si="36"/>
        <v>0</v>
      </c>
      <c r="V53" s="243">
        <f t="shared" ca="1" si="37"/>
        <v>0</v>
      </c>
      <c r="W53" s="353" t="str">
        <f ca="1">IFERROR(__xludf.DUMMYFUNCTION("IMPORTRANGE(""https://docs.google.com/spreadsheets/d/13wPX838HrBrQMCywv1BsuMkt4PEKTChp52zj44s2izQ/edit?usp=sharing"",""กาญจนบุรี!J313"")"),"")</f>
        <v/>
      </c>
      <c r="X53" s="353">
        <f ca="1">IFERROR(__xludf.DUMMYFUNCTION("IMPORTRANGE(""https://docs.google.com/spreadsheets/d/13wPX838HrBrQMCywv1BsuMkt4PEKTChp52zj44s2izQ/edit?usp=sharing"",""กาญจนบุรี!I314"")"),30)</f>
        <v>30</v>
      </c>
      <c r="Y53" s="177">
        <f ca="1">IFERROR(__xludf.DUMMYFUNCTION("IMPORTRANGE(""https://docs.google.com/spreadsheets/d/13wPX838HrBrQMCywv1BsuMkt4PEKTChp52zj44s2izQ/edit?usp=sharing"",""กาญจนบุรี!J314"")"),0)</f>
        <v>0</v>
      </c>
      <c r="Z53" s="354">
        <f t="shared" ca="1" si="39"/>
        <v>0</v>
      </c>
      <c r="AA53" s="353" t="str">
        <f ca="1">IFERROR(__xludf.DUMMYFUNCTION("IMPORTRANGE(""https://docs.google.com/spreadsheets/d/13wPX838HrBrQMCywv1BsuMkt4PEKTChp52zj44s2izQ/edit?usp=sharing"",""กาญจนบุรี!I315"")"),"")</f>
        <v/>
      </c>
      <c r="AB53" s="177" t="str">
        <f ca="1">IFERROR(__xludf.DUMMYFUNCTION("IMPORTRANGE(""https://docs.google.com/spreadsheets/d/13wPX838HrBrQMCywv1BsuMkt4PEKTChp52zj44s2izQ/edit?usp=sharing"",""กาญจนบุรี!J315"")"),"")</f>
        <v/>
      </c>
      <c r="AC53" s="354" t="e">
        <f t="shared" ca="1" si="41"/>
        <v>#VALUE!</v>
      </c>
      <c r="AD53" s="353" t="str">
        <f ca="1">IFERROR(__xludf.DUMMYFUNCTION("IMPORTRANGE(""https://docs.google.com/spreadsheets/d/13wPX838HrBrQMCywv1BsuMkt4PEKTChp52zj44s2izQ/edit?usp=sharing"",""กาญจนบุรี!I316"")"),"")</f>
        <v/>
      </c>
      <c r="AE53" s="177" t="str">
        <f ca="1">IFERROR(__xludf.DUMMYFUNCTION("IMPORTRANGE(""https://docs.google.com/spreadsheets/d/13wPX838HrBrQMCywv1BsuMkt4PEKTChp52zj44s2izQ/edit?usp=sharing"",""กาญจนบุรี!J316"")"),"")</f>
        <v/>
      </c>
      <c r="AF53" s="354" t="e">
        <f t="shared" ca="1" si="43"/>
        <v>#VALUE!</v>
      </c>
      <c r="AG53" s="353" t="str">
        <f ca="1">IFERROR(__xludf.DUMMYFUNCTION("IMPORTRANGE(""https://docs.google.com/spreadsheets/d/13wPX838HrBrQMCywv1BsuMkt4PEKTChp52zj44s2izQ/edit?usp=sharing"",""กาญจนบุรี!I317"")"),"")</f>
        <v/>
      </c>
      <c r="AH53" s="177" t="str">
        <f ca="1">IFERROR(__xludf.DUMMYFUNCTION("IMPORTRANGE(""https://docs.google.com/spreadsheets/d/13wPX838HrBrQMCywv1BsuMkt4PEKTChp52zj44s2izQ/edit?usp=sharing"",""กาญจนบุรี!J317"")"),"")</f>
        <v/>
      </c>
      <c r="AI53" s="354" t="e">
        <f t="shared" ca="1" si="45"/>
        <v>#VALUE!</v>
      </c>
    </row>
    <row r="54" spans="1:35" ht="21" customHeight="1" x14ac:dyDescent="0.3">
      <c r="A54" s="89">
        <v>2</v>
      </c>
      <c r="B54" s="90" t="s">
        <v>80</v>
      </c>
      <c r="C54" s="174">
        <f t="shared" ca="1" si="27"/>
        <v>0</v>
      </c>
      <c r="D54" s="175">
        <f t="shared" ca="1" si="60"/>
        <v>0</v>
      </c>
      <c r="E54" s="176">
        <f ca="1">IFERROR(__xludf.DUMMYFUNCTION("IMPORTRANGE(""https://docs.google.com/spreadsheets/d/1-uDff_7J0KD5mKrp0Vvzr7lt3OU09vwQwhkpOPPYv2Y/edit?usp=sharing"",""งบพรบ!DZ54"")"),0)</f>
        <v>0</v>
      </c>
      <c r="F54" s="176">
        <f ca="1">IFERROR(__xludf.DUMMYFUNCTION("IMPORTRANGE(""https://docs.google.com/spreadsheets/d/1-uDff_7J0KD5mKrp0Vvzr7lt3OU09vwQwhkpOPPYv2Y/edit?usp=sharing"",""งบพรบ!EA54"")"),0)</f>
        <v>0</v>
      </c>
      <c r="G54" s="176">
        <f ca="1">IFERROR(__xludf.DUMMYFUNCTION("IMPORTRANGE(""https://docs.google.com/spreadsheets/d/1-uDff_7J0KD5mKrp0Vvzr7lt3OU09vwQwhkpOPPYv2Y/edit?usp=sharing"",""งบพรบ!EB54"")"),0)</f>
        <v>0</v>
      </c>
      <c r="H54" s="176">
        <f ca="1">IFERROR(__xludf.DUMMYFUNCTION("IMPORTRANGE(""https://docs.google.com/spreadsheets/d/1-uDff_7J0KD5mKrp0Vvzr7lt3OU09vwQwhkpOPPYv2Y/edit?usp=sharing"",""งบพรบ!ED54"")"),0)</f>
        <v>0</v>
      </c>
      <c r="I54" s="176">
        <f ca="1">IFERROR(__xludf.DUMMYFUNCTION("IMPORTRANGE(""https://docs.google.com/spreadsheets/d/1-uDff_7J0KD5mKrp0Vvzr7lt3OU09vwQwhkpOPPYv2Y/edit?usp=sharing"",""งบพรบ!EE54"")"),0)</f>
        <v>0</v>
      </c>
      <c r="J54" s="176">
        <f t="shared" ca="1" si="29"/>
        <v>0</v>
      </c>
      <c r="K54" s="179">
        <f t="shared" ca="1" si="30"/>
        <v>0</v>
      </c>
      <c r="L54" s="176">
        <f ca="1">IFERROR(__xludf.DUMMYFUNCTION("IMPORTRANGE(""https://docs.google.com/spreadsheets/d/1-uDff_7J0KD5mKrp0Vvzr7lt3OU09vwQwhkpOPPYv2Y/edit?usp=sharing"",""งบพรบ!EF54"")"),0)</f>
        <v>0</v>
      </c>
      <c r="M54" s="87">
        <f t="shared" ca="1" si="31"/>
        <v>0</v>
      </c>
      <c r="N54" s="87">
        <f t="shared" ca="1" si="32"/>
        <v>0</v>
      </c>
      <c r="O54" s="86">
        <f ca="1">IFERROR(__xludf.DUMMYFUNCTION("IMPORTRANGE(""https://docs.google.com/spreadsheets/d/1-uDff_7J0KD5mKrp0Vvzr7lt3OU09vwQwhkpOPPYv2Y/edit?usp=sharing"",""งบพรบ!EG54"")"),0)</f>
        <v>0</v>
      </c>
      <c r="P54" s="86">
        <f t="shared" ca="1" si="33"/>
        <v>0</v>
      </c>
      <c r="Q54" s="87">
        <f t="shared" ca="1" si="34"/>
        <v>0</v>
      </c>
      <c r="R54" s="241">
        <f ca="1">IFERROR(__xludf.DUMMYFUNCTION("IMPORTRANGE(""https://docs.google.com/spreadsheets/d/1ddFKvqj1W1NEiWytbGlB1zMx_ykJDVtmfEQ-6-lIUBA/edit?usp=sharing"",""จันทบุรี!Q303"")"),228095.39)</f>
        <v>228095.39</v>
      </c>
      <c r="S54" s="242">
        <f ca="1">IFERROR(__xludf.DUMMYFUNCTION("IMPORTRANGE(""https://docs.google.com/spreadsheets/d/1ddFKvqj1W1NEiWytbGlB1zMx_ykJDVtmfEQ-6-lIUBA/edit?usp=sharing"",""จันทบุรี!R303"")"),0)</f>
        <v>0</v>
      </c>
      <c r="T54" s="242">
        <f ca="1">IFERROR(__xludf.DUMMYFUNCTION("IMPORTRANGE(""https://docs.google.com/spreadsheets/d/1ddFKvqj1W1NEiWytbGlB1zMx_ykJDVtmfEQ-6-lIUBA/edit?usp=sharing"",""จันทบุรี!S303"")"),0)</f>
        <v>0</v>
      </c>
      <c r="U54" s="243">
        <f t="shared" ca="1" si="36"/>
        <v>0</v>
      </c>
      <c r="V54" s="243">
        <f t="shared" ca="1" si="37"/>
        <v>0</v>
      </c>
      <c r="W54" s="353" t="str">
        <f ca="1">IFERROR(__xludf.DUMMYFUNCTION("IMPORTRANGE(""https://docs.google.com/spreadsheets/d/1ddFKvqj1W1NEiWytbGlB1zMx_ykJDVtmfEQ-6-lIUBA/edit?usp=sharing"",""จันทบุรี!J313"")"),"")</f>
        <v/>
      </c>
      <c r="X54" s="353">
        <f ca="1">IFERROR(__xludf.DUMMYFUNCTION("IMPORTRANGE(""https://docs.google.com/spreadsheets/d/1ddFKvqj1W1NEiWytbGlB1zMx_ykJDVtmfEQ-6-lIUBA/edit?usp=sharing"",""จันทบุรี!I314"")"),25)</f>
        <v>25</v>
      </c>
      <c r="Y54" s="177">
        <f ca="1">IFERROR(__xludf.DUMMYFUNCTION("IMPORTRANGE(""https://docs.google.com/spreadsheets/d/1ddFKvqj1W1NEiWytbGlB1zMx_ykJDVtmfEQ-6-lIUBA/edit?usp=sharing"",""จันทบุรี!J314"")"),0)</f>
        <v>0</v>
      </c>
      <c r="Z54" s="354">
        <f t="shared" ca="1" si="39"/>
        <v>0</v>
      </c>
      <c r="AA54" s="353" t="str">
        <f ca="1">IFERROR(__xludf.DUMMYFUNCTION("IMPORTRANGE(""https://docs.google.com/spreadsheets/d/1ddFKvqj1W1NEiWytbGlB1zMx_ykJDVtmfEQ-6-lIUBA/edit?usp=sharing"",""จันทบุรี!I315"")"),"")</f>
        <v/>
      </c>
      <c r="AB54" s="177" t="str">
        <f ca="1">IFERROR(__xludf.DUMMYFUNCTION("IMPORTRANGE(""https://docs.google.com/spreadsheets/d/1ddFKvqj1W1NEiWytbGlB1zMx_ykJDVtmfEQ-6-lIUBA/edit?usp=sharing"",""จันทบุรี!J315"")"),"")</f>
        <v/>
      </c>
      <c r="AC54" s="354" t="e">
        <f t="shared" ca="1" si="41"/>
        <v>#VALUE!</v>
      </c>
      <c r="AD54" s="353" t="str">
        <f ca="1">IFERROR(__xludf.DUMMYFUNCTION("IMPORTRANGE(""https://docs.google.com/spreadsheets/d/1ddFKvqj1W1NEiWytbGlB1zMx_ykJDVtmfEQ-6-lIUBA/edit?usp=sharing"",""จันทบุรี!I316"")"),"")</f>
        <v/>
      </c>
      <c r="AE54" s="177" t="str">
        <f ca="1">IFERROR(__xludf.DUMMYFUNCTION("IMPORTRANGE(""https://docs.google.com/spreadsheets/d/1ddFKvqj1W1NEiWytbGlB1zMx_ykJDVtmfEQ-6-lIUBA/edit?usp=sharing"",""จันทบุรี!J316"")"),"")</f>
        <v/>
      </c>
      <c r="AF54" s="354" t="e">
        <f t="shared" ca="1" si="43"/>
        <v>#VALUE!</v>
      </c>
      <c r="AG54" s="353" t="str">
        <f ca="1">IFERROR(__xludf.DUMMYFUNCTION("IMPORTRANGE(""https://docs.google.com/spreadsheets/d/1ddFKvqj1W1NEiWytbGlB1zMx_ykJDVtmfEQ-6-lIUBA/edit?usp=sharing"",""จันทบุรี!I317"")"),"")</f>
        <v/>
      </c>
      <c r="AH54" s="177" t="str">
        <f ca="1">IFERROR(__xludf.DUMMYFUNCTION("IMPORTRANGE(""https://docs.google.com/spreadsheets/d/1ddFKvqj1W1NEiWytbGlB1zMx_ykJDVtmfEQ-6-lIUBA/edit?usp=sharing"",""จันทบุรี!J317"")"),"")</f>
        <v/>
      </c>
      <c r="AI54" s="354" t="e">
        <f t="shared" ca="1" si="45"/>
        <v>#VALUE!</v>
      </c>
    </row>
    <row r="55" spans="1:35" ht="21" customHeight="1" x14ac:dyDescent="0.3">
      <c r="A55" s="89">
        <v>3</v>
      </c>
      <c r="B55" s="90" t="s">
        <v>81</v>
      </c>
      <c r="C55" s="174">
        <f t="shared" ca="1" si="27"/>
        <v>133500</v>
      </c>
      <c r="D55" s="175">
        <f t="shared" ca="1" si="60"/>
        <v>133500</v>
      </c>
      <c r="E55" s="176">
        <f ca="1">IFERROR(__xludf.DUMMYFUNCTION("IMPORTRANGE(""https://docs.google.com/spreadsheets/d/1-uDff_7J0KD5mKrp0Vvzr7lt3OU09vwQwhkpOPPYv2Y/edit?usp=sharing"",""งบพรบ!DZ55"")"),51100)</f>
        <v>51100</v>
      </c>
      <c r="F55" s="176">
        <f ca="1">IFERROR(__xludf.DUMMYFUNCTION("IMPORTRANGE(""https://docs.google.com/spreadsheets/d/1-uDff_7J0KD5mKrp0Vvzr7lt3OU09vwQwhkpOPPYv2Y/edit?usp=sharing"",""งบพรบ!EA55"")"),82400)</f>
        <v>82400</v>
      </c>
      <c r="G55" s="176">
        <f ca="1">IFERROR(__xludf.DUMMYFUNCTION("IMPORTRANGE(""https://docs.google.com/spreadsheets/d/1-uDff_7J0KD5mKrp0Vvzr7lt3OU09vwQwhkpOPPYv2Y/edit?usp=sharing"",""งบพรบ!EB55"")"),0)</f>
        <v>0</v>
      </c>
      <c r="H55" s="176">
        <f ca="1">IFERROR(__xludf.DUMMYFUNCTION("IMPORTRANGE(""https://docs.google.com/spreadsheets/d/1-uDff_7J0KD5mKrp0Vvzr7lt3OU09vwQwhkpOPPYv2Y/edit?usp=sharing"",""งบพรบ!ED55"")"),133500)</f>
        <v>133500</v>
      </c>
      <c r="I55" s="176">
        <f ca="1">IFERROR(__xludf.DUMMYFUNCTION("IMPORTRANGE(""https://docs.google.com/spreadsheets/d/1-uDff_7J0KD5mKrp0Vvzr7lt3OU09vwQwhkpOPPYv2Y/edit?usp=sharing"",""งบพรบ!EE55"")"),0)</f>
        <v>0</v>
      </c>
      <c r="J55" s="176">
        <f t="shared" ca="1" si="29"/>
        <v>22593.34</v>
      </c>
      <c r="K55" s="179">
        <f t="shared" ca="1" si="30"/>
        <v>16.923850187265916</v>
      </c>
      <c r="L55" s="176">
        <f ca="1">IFERROR(__xludf.DUMMYFUNCTION("IMPORTRANGE(""https://docs.google.com/spreadsheets/d/1-uDff_7J0KD5mKrp0Vvzr7lt3OU09vwQwhkpOPPYv2Y/edit?usp=sharing"",""งบพรบ!EF55"")"),22593.34)</f>
        <v>22593.34</v>
      </c>
      <c r="M55" s="87">
        <f t="shared" ca="1" si="31"/>
        <v>16.923850187265916</v>
      </c>
      <c r="N55" s="87">
        <f t="shared" ca="1" si="32"/>
        <v>16.923850187265916</v>
      </c>
      <c r="O55" s="86">
        <f ca="1">IFERROR(__xludf.DUMMYFUNCTION("IMPORTRANGE(""https://docs.google.com/spreadsheets/d/1-uDff_7J0KD5mKrp0Vvzr7lt3OU09vwQwhkpOPPYv2Y/edit?usp=sharing"",""งบพรบ!EG55"")"),0)</f>
        <v>0</v>
      </c>
      <c r="P55" s="86">
        <f t="shared" ca="1" si="33"/>
        <v>0</v>
      </c>
      <c r="Q55" s="87">
        <f t="shared" ca="1" si="34"/>
        <v>0</v>
      </c>
      <c r="R55" s="241">
        <f ca="1">IFERROR(__xludf.DUMMYFUNCTION("IMPORTRANGE(""https://docs.google.com/spreadsheets/d/1T1PQvRODqOBZk8BRht_U031fIS1beLA0Ub2CEytj2q0/edit?usp=sharing"",""ฉะเชิงเทรา!Q303"")"),144609.24)</f>
        <v>144609.24</v>
      </c>
      <c r="S55" s="242">
        <f ca="1">IFERROR(__xludf.DUMMYFUNCTION("IMPORTRANGE(""https://docs.google.com/spreadsheets/d/1T1PQvRODqOBZk8BRht_U031fIS1beLA0Ub2CEytj2q0/edit?usp=sharing"",""ฉะเชิงเทรา!R303"")"),0)</f>
        <v>0</v>
      </c>
      <c r="T55" s="242">
        <f ca="1">IFERROR(__xludf.DUMMYFUNCTION("IMPORTRANGE(""https://docs.google.com/spreadsheets/d/1T1PQvRODqOBZk8BRht_U031fIS1beLA0Ub2CEytj2q0/edit?usp=sharing"",""ฉะเชิงเทรา!S303"")"),0)</f>
        <v>0</v>
      </c>
      <c r="U55" s="243">
        <f t="shared" ca="1" si="36"/>
        <v>0</v>
      </c>
      <c r="V55" s="243">
        <f t="shared" ca="1" si="37"/>
        <v>0</v>
      </c>
      <c r="W55" s="353" t="str">
        <f ca="1">IFERROR(__xludf.DUMMYFUNCTION("IMPORTRANGE(""https://docs.google.com/spreadsheets/d/1T1PQvRODqOBZk8BRht_U031fIS1beLA0Ub2CEytj2q0/edit?usp=sharing"",""ฉะเชิงเทรา!J313"")"),"")</f>
        <v/>
      </c>
      <c r="X55" s="353">
        <f ca="1">IFERROR(__xludf.DUMMYFUNCTION("IMPORTRANGE(""https://docs.google.com/spreadsheets/d/1T1PQvRODqOBZk8BRht_U031fIS1beLA0Ub2CEytj2q0/edit?usp=sharing"",""ฉะเชิงเทรา!I314"")"),20)</f>
        <v>20</v>
      </c>
      <c r="Y55" s="177">
        <f ca="1">IFERROR(__xludf.DUMMYFUNCTION("IMPORTRANGE(""https://docs.google.com/spreadsheets/d/1T1PQvRODqOBZk8BRht_U031fIS1beLA0Ub2CEytj2q0/edit?usp=sharing"",""ฉะเชิงเทรา!J314"")"),0)</f>
        <v>0</v>
      </c>
      <c r="Z55" s="354">
        <f t="shared" ca="1" si="39"/>
        <v>0</v>
      </c>
      <c r="AA55" s="353" t="str">
        <f ca="1">IFERROR(__xludf.DUMMYFUNCTION("IMPORTRANGE(""https://docs.google.com/spreadsheets/d/1T1PQvRODqOBZk8BRht_U031fIS1beLA0Ub2CEytj2q0/edit?usp=sharing"",""ฉะเชิงเทรา!I315"")"),"")</f>
        <v/>
      </c>
      <c r="AB55" s="177" t="str">
        <f ca="1">IFERROR(__xludf.DUMMYFUNCTION("IMPORTRANGE(""https://docs.google.com/spreadsheets/d/1T1PQvRODqOBZk8BRht_U031fIS1beLA0Ub2CEytj2q0/edit?usp=sharing"",""ฉะเชิงเทรา!J315"")"),"")</f>
        <v/>
      </c>
      <c r="AC55" s="354" t="e">
        <f t="shared" ca="1" si="41"/>
        <v>#VALUE!</v>
      </c>
      <c r="AD55" s="353" t="str">
        <f ca="1">IFERROR(__xludf.DUMMYFUNCTION("IMPORTRANGE(""https://docs.google.com/spreadsheets/d/1T1PQvRODqOBZk8BRht_U031fIS1beLA0Ub2CEytj2q0/edit?usp=sharing"",""ฉะเชิงเทรา!I316"")"),"")</f>
        <v/>
      </c>
      <c r="AE55" s="177" t="str">
        <f ca="1">IFERROR(__xludf.DUMMYFUNCTION("IMPORTRANGE(""https://docs.google.com/spreadsheets/d/1T1PQvRODqOBZk8BRht_U031fIS1beLA0Ub2CEytj2q0/edit?usp=sharing"",""ฉะเชิงเทรา!J316"")"),"")</f>
        <v/>
      </c>
      <c r="AF55" s="354" t="e">
        <f t="shared" ca="1" si="43"/>
        <v>#VALUE!</v>
      </c>
      <c r="AG55" s="353" t="str">
        <f ca="1">IFERROR(__xludf.DUMMYFUNCTION("IMPORTRANGE(""https://docs.google.com/spreadsheets/d/1T1PQvRODqOBZk8BRht_U031fIS1beLA0Ub2CEytj2q0/edit?usp=sharing"",""ฉะเชิงเทรา!I317"")"),"")</f>
        <v/>
      </c>
      <c r="AH55" s="177" t="str">
        <f ca="1">IFERROR(__xludf.DUMMYFUNCTION("IMPORTRANGE(""https://docs.google.com/spreadsheets/d/1T1PQvRODqOBZk8BRht_U031fIS1beLA0Ub2CEytj2q0/edit?usp=sharing"",""ฉะเชิงเทรา!J317"")"),"")</f>
        <v/>
      </c>
      <c r="AI55" s="354" t="e">
        <f t="shared" ca="1" si="45"/>
        <v>#VALUE!</v>
      </c>
    </row>
    <row r="56" spans="1:35" ht="21" customHeight="1" x14ac:dyDescent="0.3">
      <c r="A56" s="89">
        <v>4</v>
      </c>
      <c r="B56" s="90" t="s">
        <v>82</v>
      </c>
      <c r="C56" s="174">
        <f t="shared" ca="1" si="27"/>
        <v>0</v>
      </c>
      <c r="D56" s="175">
        <f t="shared" ca="1" si="60"/>
        <v>0</v>
      </c>
      <c r="E56" s="176">
        <f ca="1">IFERROR(__xludf.DUMMYFUNCTION("IMPORTRANGE(""https://docs.google.com/spreadsheets/d/1-uDff_7J0KD5mKrp0Vvzr7lt3OU09vwQwhkpOPPYv2Y/edit?usp=sharing"",""งบพรบ!DZ56"")"),0)</f>
        <v>0</v>
      </c>
      <c r="F56" s="176">
        <f ca="1">IFERROR(__xludf.DUMMYFUNCTION("IMPORTRANGE(""https://docs.google.com/spreadsheets/d/1-uDff_7J0KD5mKrp0Vvzr7lt3OU09vwQwhkpOPPYv2Y/edit?usp=sharing"",""งบพรบ!EA56"")"),0)</f>
        <v>0</v>
      </c>
      <c r="G56" s="176">
        <f ca="1">IFERROR(__xludf.DUMMYFUNCTION("IMPORTRANGE(""https://docs.google.com/spreadsheets/d/1-uDff_7J0KD5mKrp0Vvzr7lt3OU09vwQwhkpOPPYv2Y/edit?usp=sharing"",""งบพรบ!EB56"")"),0)</f>
        <v>0</v>
      </c>
      <c r="H56" s="176">
        <f ca="1">IFERROR(__xludf.DUMMYFUNCTION("IMPORTRANGE(""https://docs.google.com/spreadsheets/d/1-uDff_7J0KD5mKrp0Vvzr7lt3OU09vwQwhkpOPPYv2Y/edit?usp=sharing"",""งบพรบ!ED56"")"),0)</f>
        <v>0</v>
      </c>
      <c r="I56" s="176">
        <f ca="1">IFERROR(__xludf.DUMMYFUNCTION("IMPORTRANGE(""https://docs.google.com/spreadsheets/d/1-uDff_7J0KD5mKrp0Vvzr7lt3OU09vwQwhkpOPPYv2Y/edit?usp=sharing"",""งบพรบ!EE56"")"),0)</f>
        <v>0</v>
      </c>
      <c r="J56" s="176">
        <f t="shared" ca="1" si="29"/>
        <v>0</v>
      </c>
      <c r="K56" s="179">
        <f t="shared" ca="1" si="30"/>
        <v>0</v>
      </c>
      <c r="L56" s="176">
        <f ca="1">IFERROR(__xludf.DUMMYFUNCTION("IMPORTRANGE(""https://docs.google.com/spreadsheets/d/1-uDff_7J0KD5mKrp0Vvzr7lt3OU09vwQwhkpOPPYv2Y/edit?usp=sharing"",""งบพรบ!EF56"")"),0)</f>
        <v>0</v>
      </c>
      <c r="M56" s="87">
        <f t="shared" ca="1" si="31"/>
        <v>0</v>
      </c>
      <c r="N56" s="87">
        <f t="shared" ca="1" si="32"/>
        <v>0</v>
      </c>
      <c r="O56" s="86">
        <f ca="1">IFERROR(__xludf.DUMMYFUNCTION("IMPORTRANGE(""https://docs.google.com/spreadsheets/d/1-uDff_7J0KD5mKrp0Vvzr7lt3OU09vwQwhkpOPPYv2Y/edit?usp=sharing"",""งบพรบ!EG56"")"),0)</f>
        <v>0</v>
      </c>
      <c r="P56" s="86">
        <f t="shared" ca="1" si="33"/>
        <v>0</v>
      </c>
      <c r="Q56" s="87">
        <f t="shared" ca="1" si="34"/>
        <v>0</v>
      </c>
      <c r="R56" s="241">
        <f ca="1">IFERROR(__xludf.DUMMYFUNCTION("IMPORTRANGE(""https://docs.google.com/spreadsheets/d/11tr1B-Bhyr79v2bkwVh5h_fR-PStkgjlZtkrZpYurG0/edit?usp=sharing"",""ชลบุรี!Q303"")"),228095.39)</f>
        <v>228095.39</v>
      </c>
      <c r="S56" s="242">
        <f ca="1">IFERROR(__xludf.DUMMYFUNCTION("IMPORTRANGE(""https://docs.google.com/spreadsheets/d/11tr1B-Bhyr79v2bkwVh5h_fR-PStkgjlZtkrZpYurG0/edit?usp=sharing"",""ชลบุรี!R303"")"),0)</f>
        <v>0</v>
      </c>
      <c r="T56" s="242">
        <f ca="1">IFERROR(__xludf.DUMMYFUNCTION("IMPORTRANGE(""https://docs.google.com/spreadsheets/d/11tr1B-Bhyr79v2bkwVh5h_fR-PStkgjlZtkrZpYurG0/edit?usp=sharing"",""ชลบุรี!S303"")"),0)</f>
        <v>0</v>
      </c>
      <c r="U56" s="243">
        <f t="shared" ca="1" si="36"/>
        <v>0</v>
      </c>
      <c r="V56" s="243">
        <f t="shared" ca="1" si="37"/>
        <v>0</v>
      </c>
      <c r="W56" s="353" t="str">
        <f ca="1">IFERROR(__xludf.DUMMYFUNCTION("IMPORTRANGE(""https://docs.google.com/spreadsheets/d/11tr1B-Bhyr79v2bkwVh5h_fR-PStkgjlZtkrZpYurG0/edit?usp=sharing"",""ชลบุรี!J313"")"),"")</f>
        <v/>
      </c>
      <c r="X56" s="353">
        <f ca="1">IFERROR(__xludf.DUMMYFUNCTION("IMPORTRANGE(""https://docs.google.com/spreadsheets/d/11tr1B-Bhyr79v2bkwVh5h_fR-PStkgjlZtkrZpYurG0/edit?usp=sharing"",""ชลบุรี!I314"")"),25)</f>
        <v>25</v>
      </c>
      <c r="Y56" s="177">
        <f ca="1">IFERROR(__xludf.DUMMYFUNCTION("IMPORTRANGE(""https://docs.google.com/spreadsheets/d/11tr1B-Bhyr79v2bkwVh5h_fR-PStkgjlZtkrZpYurG0/edit?usp=sharing"",""ชลบุรี!J314"")"),0)</f>
        <v>0</v>
      </c>
      <c r="Z56" s="354">
        <f t="shared" ca="1" si="39"/>
        <v>0</v>
      </c>
      <c r="AA56" s="353" t="str">
        <f ca="1">IFERROR(__xludf.DUMMYFUNCTION("IMPORTRANGE(""https://docs.google.com/spreadsheets/d/11tr1B-Bhyr79v2bkwVh5h_fR-PStkgjlZtkrZpYurG0/edit?usp=sharing"",""ชลบุรี!I315"")"),"")</f>
        <v/>
      </c>
      <c r="AB56" s="177" t="str">
        <f ca="1">IFERROR(__xludf.DUMMYFUNCTION("IMPORTRANGE(""https://docs.google.com/spreadsheets/d/11tr1B-Bhyr79v2bkwVh5h_fR-PStkgjlZtkrZpYurG0/edit?usp=sharing"",""ชลบุรี!J315"")"),"")</f>
        <v/>
      </c>
      <c r="AC56" s="354" t="e">
        <f t="shared" ca="1" si="41"/>
        <v>#VALUE!</v>
      </c>
      <c r="AD56" s="353" t="str">
        <f ca="1">IFERROR(__xludf.DUMMYFUNCTION("IMPORTRANGE(""https://docs.google.com/spreadsheets/d/11tr1B-Bhyr79v2bkwVh5h_fR-PStkgjlZtkrZpYurG0/edit?usp=sharing"",""ชลบุรี!I316"")"),"")</f>
        <v/>
      </c>
      <c r="AE56" s="177" t="str">
        <f ca="1">IFERROR(__xludf.DUMMYFUNCTION("IMPORTRANGE(""https://docs.google.com/spreadsheets/d/11tr1B-Bhyr79v2bkwVh5h_fR-PStkgjlZtkrZpYurG0/edit?usp=sharing"",""ชลบุรี!J316"")"),"")</f>
        <v/>
      </c>
      <c r="AF56" s="354" t="e">
        <f t="shared" ca="1" si="43"/>
        <v>#VALUE!</v>
      </c>
      <c r="AG56" s="353" t="str">
        <f ca="1">IFERROR(__xludf.DUMMYFUNCTION("IMPORTRANGE(""https://docs.google.com/spreadsheets/d/11tr1B-Bhyr79v2bkwVh5h_fR-PStkgjlZtkrZpYurG0/edit?usp=sharing"",""ชลบุรี!I317"")"),"")</f>
        <v/>
      </c>
      <c r="AH56" s="177" t="str">
        <f ca="1">IFERROR(__xludf.DUMMYFUNCTION("IMPORTRANGE(""https://docs.google.com/spreadsheets/d/11tr1B-Bhyr79v2bkwVh5h_fR-PStkgjlZtkrZpYurG0/edit?usp=sharing"",""ชลบุรี!J317"")"),"")</f>
        <v/>
      </c>
      <c r="AI56" s="354" t="e">
        <f t="shared" ca="1" si="45"/>
        <v>#VALUE!</v>
      </c>
    </row>
    <row r="57" spans="1:35" ht="21" customHeight="1" x14ac:dyDescent="0.3">
      <c r="A57" s="89">
        <v>5</v>
      </c>
      <c r="B57" s="90" t="s">
        <v>83</v>
      </c>
      <c r="C57" s="174">
        <f t="shared" ca="1" si="27"/>
        <v>133500</v>
      </c>
      <c r="D57" s="175">
        <f t="shared" ca="1" si="60"/>
        <v>133500</v>
      </c>
      <c r="E57" s="176">
        <f ca="1">IFERROR(__xludf.DUMMYFUNCTION("IMPORTRANGE(""https://docs.google.com/spreadsheets/d/1-uDff_7J0KD5mKrp0Vvzr7lt3OU09vwQwhkpOPPYv2Y/edit?usp=sharing"",""งบพรบ!DZ57"")"),51100)</f>
        <v>51100</v>
      </c>
      <c r="F57" s="176">
        <f ca="1">IFERROR(__xludf.DUMMYFUNCTION("IMPORTRANGE(""https://docs.google.com/spreadsheets/d/1-uDff_7J0KD5mKrp0Vvzr7lt3OU09vwQwhkpOPPYv2Y/edit?usp=sharing"",""งบพรบ!EA57"")"),82400)</f>
        <v>82400</v>
      </c>
      <c r="G57" s="176">
        <f ca="1">IFERROR(__xludf.DUMMYFUNCTION("IMPORTRANGE(""https://docs.google.com/spreadsheets/d/1-uDff_7J0KD5mKrp0Vvzr7lt3OU09vwQwhkpOPPYv2Y/edit?usp=sharing"",""งบพรบ!EB57"")"),0)</f>
        <v>0</v>
      </c>
      <c r="H57" s="176">
        <f ca="1">IFERROR(__xludf.DUMMYFUNCTION("IMPORTRANGE(""https://docs.google.com/spreadsheets/d/1-uDff_7J0KD5mKrp0Vvzr7lt3OU09vwQwhkpOPPYv2Y/edit?usp=sharing"",""งบพรบ!ED57"")"),133500)</f>
        <v>133500</v>
      </c>
      <c r="I57" s="176">
        <f ca="1">IFERROR(__xludf.DUMMYFUNCTION("IMPORTRANGE(""https://docs.google.com/spreadsheets/d/1-uDff_7J0KD5mKrp0Vvzr7lt3OU09vwQwhkpOPPYv2Y/edit?usp=sharing"",""งบพรบ!EE57"")"),0)</f>
        <v>0</v>
      </c>
      <c r="J57" s="176">
        <f t="shared" ca="1" si="29"/>
        <v>33820</v>
      </c>
      <c r="K57" s="179">
        <f t="shared" ca="1" si="30"/>
        <v>25.333333333333332</v>
      </c>
      <c r="L57" s="176">
        <f ca="1">IFERROR(__xludf.DUMMYFUNCTION("IMPORTRANGE(""https://docs.google.com/spreadsheets/d/1-uDff_7J0KD5mKrp0Vvzr7lt3OU09vwQwhkpOPPYv2Y/edit?usp=sharing"",""งบพรบ!EF57"")"),33820)</f>
        <v>33820</v>
      </c>
      <c r="M57" s="87">
        <f t="shared" ca="1" si="31"/>
        <v>25.333333333333332</v>
      </c>
      <c r="N57" s="87">
        <f t="shared" ca="1" si="32"/>
        <v>25.333333333333332</v>
      </c>
      <c r="O57" s="86">
        <f ca="1">IFERROR(__xludf.DUMMYFUNCTION("IMPORTRANGE(""https://docs.google.com/spreadsheets/d/1-uDff_7J0KD5mKrp0Vvzr7lt3OU09vwQwhkpOPPYv2Y/edit?usp=sharing"",""งบพรบ!EG57"")"),0)</f>
        <v>0</v>
      </c>
      <c r="P57" s="86">
        <f t="shared" ca="1" si="33"/>
        <v>0</v>
      </c>
      <c r="Q57" s="87">
        <f t="shared" ca="1" si="34"/>
        <v>0</v>
      </c>
      <c r="R57" s="241">
        <f ca="1">IFERROR(__xludf.DUMMYFUNCTION("IMPORTRANGE(""https://docs.google.com/spreadsheets/d/1hh-FVnSX0vozXhGluamEcS54Dw9_zqW0N7qJUWgJ0Sw/edit?usp=sharing"",""ชัยนาท!Q303"")"),144609.24)</f>
        <v>144609.24</v>
      </c>
      <c r="S57" s="242">
        <f ca="1">IFERROR(__xludf.DUMMYFUNCTION("IMPORTRANGE(""https://docs.google.com/spreadsheets/d/1hh-FVnSX0vozXhGluamEcS54Dw9_zqW0N7qJUWgJ0Sw/edit?usp=sharing"",""ชัยนาท!R303"")"),0)</f>
        <v>0</v>
      </c>
      <c r="T57" s="242">
        <f ca="1">IFERROR(__xludf.DUMMYFUNCTION("IMPORTRANGE(""https://docs.google.com/spreadsheets/d/1hh-FVnSX0vozXhGluamEcS54Dw9_zqW0N7qJUWgJ0Sw/edit?usp=sharing"",""ชัยนาท!S303"")"),0)</f>
        <v>0</v>
      </c>
      <c r="U57" s="243">
        <f t="shared" ca="1" si="36"/>
        <v>0</v>
      </c>
      <c r="V57" s="243">
        <f t="shared" ca="1" si="37"/>
        <v>0</v>
      </c>
      <c r="W57" s="353" t="str">
        <f ca="1">IFERROR(__xludf.DUMMYFUNCTION("IMPORTRANGE(""https://docs.google.com/spreadsheets/d/1hh-FVnSX0vozXhGluamEcS54Dw9_zqW0N7qJUWgJ0Sw/edit?usp=sharing"",""ชัยนาท!J313"")"),"")</f>
        <v/>
      </c>
      <c r="X57" s="353">
        <f ca="1">IFERROR(__xludf.DUMMYFUNCTION("IMPORTRANGE(""https://docs.google.com/spreadsheets/d/1hh-FVnSX0vozXhGluamEcS54Dw9_zqW0N7qJUWgJ0Sw/edit?usp=sharing"",""ชัยนาท!I314"")"),20)</f>
        <v>20</v>
      </c>
      <c r="Y57" s="177">
        <f ca="1">IFERROR(__xludf.DUMMYFUNCTION("IMPORTRANGE(""https://docs.google.com/spreadsheets/d/1hh-FVnSX0vozXhGluamEcS54Dw9_zqW0N7qJUWgJ0Sw/edit?usp=sharing"",""ชัยนาท!J314"")"),0)</f>
        <v>0</v>
      </c>
      <c r="Z57" s="354">
        <f t="shared" ca="1" si="39"/>
        <v>0</v>
      </c>
      <c r="AA57" s="353" t="str">
        <f ca="1">IFERROR(__xludf.DUMMYFUNCTION("IMPORTRANGE(""https://docs.google.com/spreadsheets/d/1hh-FVnSX0vozXhGluamEcS54Dw9_zqW0N7qJUWgJ0Sw/edit?usp=sharing"",""ชัยนาท!I315"")"),"")</f>
        <v/>
      </c>
      <c r="AB57" s="177" t="str">
        <f ca="1">IFERROR(__xludf.DUMMYFUNCTION("IMPORTRANGE(""https://docs.google.com/spreadsheets/d/1hh-FVnSX0vozXhGluamEcS54Dw9_zqW0N7qJUWgJ0Sw/edit?usp=sharing"",""ชัยนาท!J315"")"),"")</f>
        <v/>
      </c>
      <c r="AC57" s="354" t="e">
        <f t="shared" ca="1" si="41"/>
        <v>#VALUE!</v>
      </c>
      <c r="AD57" s="353" t="str">
        <f ca="1">IFERROR(__xludf.DUMMYFUNCTION("IMPORTRANGE(""https://docs.google.com/spreadsheets/d/1hh-FVnSX0vozXhGluamEcS54Dw9_zqW0N7qJUWgJ0Sw/edit?usp=sharing"",""ชัยนาท!I316"")"),"")</f>
        <v/>
      </c>
      <c r="AE57" s="177" t="str">
        <f ca="1">IFERROR(__xludf.DUMMYFUNCTION("IMPORTRANGE(""https://docs.google.com/spreadsheets/d/1hh-FVnSX0vozXhGluamEcS54Dw9_zqW0N7qJUWgJ0Sw/edit?usp=sharing"",""ชัยนาท!J316"")"),"")</f>
        <v/>
      </c>
      <c r="AF57" s="354" t="e">
        <f t="shared" ca="1" si="43"/>
        <v>#VALUE!</v>
      </c>
      <c r="AG57" s="353" t="str">
        <f ca="1">IFERROR(__xludf.DUMMYFUNCTION("IMPORTRANGE(""https://docs.google.com/spreadsheets/d/1hh-FVnSX0vozXhGluamEcS54Dw9_zqW0N7qJUWgJ0Sw/edit?usp=sharing"",""ชัยนาท!I317"")"),"")</f>
        <v/>
      </c>
      <c r="AH57" s="177" t="str">
        <f ca="1">IFERROR(__xludf.DUMMYFUNCTION("IMPORTRANGE(""https://docs.google.com/spreadsheets/d/1hh-FVnSX0vozXhGluamEcS54Dw9_zqW0N7qJUWgJ0Sw/edit?usp=sharing"",""ชัยนาท!J317"")"),"")</f>
        <v/>
      </c>
      <c r="AI57" s="354" t="e">
        <f t="shared" ca="1" si="45"/>
        <v>#VALUE!</v>
      </c>
    </row>
    <row r="58" spans="1:35" ht="21" customHeight="1" x14ac:dyDescent="0.3">
      <c r="A58" s="89">
        <v>6</v>
      </c>
      <c r="B58" s="90" t="s">
        <v>84</v>
      </c>
      <c r="C58" s="174">
        <f t="shared" ca="1" si="27"/>
        <v>0</v>
      </c>
      <c r="D58" s="175">
        <f t="shared" ca="1" si="60"/>
        <v>0</v>
      </c>
      <c r="E58" s="176">
        <f ca="1">IFERROR(__xludf.DUMMYFUNCTION("IMPORTRANGE(""https://docs.google.com/spreadsheets/d/1-uDff_7J0KD5mKrp0Vvzr7lt3OU09vwQwhkpOPPYv2Y/edit?usp=sharing"",""งบพรบ!DZ58"")"),0)</f>
        <v>0</v>
      </c>
      <c r="F58" s="176">
        <f ca="1">IFERROR(__xludf.DUMMYFUNCTION("IMPORTRANGE(""https://docs.google.com/spreadsheets/d/1-uDff_7J0KD5mKrp0Vvzr7lt3OU09vwQwhkpOPPYv2Y/edit?usp=sharing"",""งบพรบ!EA58"")"),0)</f>
        <v>0</v>
      </c>
      <c r="G58" s="176">
        <f ca="1">IFERROR(__xludf.DUMMYFUNCTION("IMPORTRANGE(""https://docs.google.com/spreadsheets/d/1-uDff_7J0KD5mKrp0Vvzr7lt3OU09vwQwhkpOPPYv2Y/edit?usp=sharing"",""งบพรบ!EB58"")"),0)</f>
        <v>0</v>
      </c>
      <c r="H58" s="176">
        <f ca="1">IFERROR(__xludf.DUMMYFUNCTION("IMPORTRANGE(""https://docs.google.com/spreadsheets/d/1-uDff_7J0KD5mKrp0Vvzr7lt3OU09vwQwhkpOPPYv2Y/edit?usp=sharing"",""งบพรบ!ED58"")"),0)</f>
        <v>0</v>
      </c>
      <c r="I58" s="176">
        <f ca="1">IFERROR(__xludf.DUMMYFUNCTION("IMPORTRANGE(""https://docs.google.com/spreadsheets/d/1-uDff_7J0KD5mKrp0Vvzr7lt3OU09vwQwhkpOPPYv2Y/edit?usp=sharing"",""งบพรบ!EE58"")"),0)</f>
        <v>0</v>
      </c>
      <c r="J58" s="176">
        <f t="shared" ca="1" si="29"/>
        <v>0</v>
      </c>
      <c r="K58" s="179">
        <f t="shared" ca="1" si="30"/>
        <v>0</v>
      </c>
      <c r="L58" s="176">
        <f ca="1">IFERROR(__xludf.DUMMYFUNCTION("IMPORTRANGE(""https://docs.google.com/spreadsheets/d/1-uDff_7J0KD5mKrp0Vvzr7lt3OU09vwQwhkpOPPYv2Y/edit?usp=sharing"",""งบพรบ!EF58"")"),0)</f>
        <v>0</v>
      </c>
      <c r="M58" s="87">
        <f t="shared" ca="1" si="31"/>
        <v>0</v>
      </c>
      <c r="N58" s="87">
        <f t="shared" ca="1" si="32"/>
        <v>0</v>
      </c>
      <c r="O58" s="86">
        <f ca="1">IFERROR(__xludf.DUMMYFUNCTION("IMPORTRANGE(""https://docs.google.com/spreadsheets/d/1-uDff_7J0KD5mKrp0Vvzr7lt3OU09vwQwhkpOPPYv2Y/edit?usp=sharing"",""งบพรบ!EG58"")"),0)</f>
        <v>0</v>
      </c>
      <c r="P58" s="86">
        <f t="shared" ca="1" si="33"/>
        <v>0</v>
      </c>
      <c r="Q58" s="87">
        <f t="shared" ca="1" si="34"/>
        <v>0</v>
      </c>
      <c r="R58" s="241">
        <f ca="1">IFERROR(__xludf.DUMMYFUNCTION("IMPORTRANGE(""https://docs.google.com/spreadsheets/d/1jkqa6GXxSacMcY1eN8AHjMNJ_7dDXMJVRLDlaFSOdPM/edit?usp=sharing"",""ตราด!Q303"")"),0)</f>
        <v>0</v>
      </c>
      <c r="S58" s="242">
        <f ca="1">IFERROR(__xludf.DUMMYFUNCTION("IMPORTRANGE(""https://docs.google.com/spreadsheets/d/1jkqa6GXxSacMcY1eN8AHjMNJ_7dDXMJVRLDlaFSOdPM/edit?usp=sharing"",""ตราด!R303"")"),0)</f>
        <v>0</v>
      </c>
      <c r="T58" s="242">
        <f ca="1">IFERROR(__xludf.DUMMYFUNCTION("IMPORTRANGE(""https://docs.google.com/spreadsheets/d/1jkqa6GXxSacMcY1eN8AHjMNJ_7dDXMJVRLDlaFSOdPM/edit?usp=sharing"",""ตราด!S303"")"),0)</f>
        <v>0</v>
      </c>
      <c r="U58" s="243">
        <f t="shared" ca="1" si="36"/>
        <v>0</v>
      </c>
      <c r="V58" s="243">
        <f t="shared" ca="1" si="37"/>
        <v>0</v>
      </c>
      <c r="W58" s="353" t="str">
        <f ca="1">IFERROR(__xludf.DUMMYFUNCTION("IMPORTRANGE(""https://docs.google.com/spreadsheets/d/1jkqa6GXxSacMcY1eN8AHjMNJ_7dDXMJVRLDlaFSOdPM/edit?usp=sharing"",""ตราด!J313"")"),"")</f>
        <v/>
      </c>
      <c r="X58" s="353">
        <f ca="1">IFERROR(__xludf.DUMMYFUNCTION("IMPORTRANGE(""https://docs.google.com/spreadsheets/d/1jkqa6GXxSacMcY1eN8AHjMNJ_7dDXMJVRLDlaFSOdPM/edit?usp=sharing"",""ตราด!I314"")"),0)</f>
        <v>0</v>
      </c>
      <c r="Y58" s="177">
        <f ca="1">IFERROR(__xludf.DUMMYFUNCTION("IMPORTRANGE(""https://docs.google.com/spreadsheets/d/1jkqa6GXxSacMcY1eN8AHjMNJ_7dDXMJVRLDlaFSOdPM/edit?usp=sharing"",""ตราด!J314"")"),0)</f>
        <v>0</v>
      </c>
      <c r="Z58" s="354">
        <f t="shared" ca="1" si="39"/>
        <v>0</v>
      </c>
      <c r="AA58" s="353" t="str">
        <f ca="1">IFERROR(__xludf.DUMMYFUNCTION("IMPORTRANGE(""https://docs.google.com/spreadsheets/d/1jkqa6GXxSacMcY1eN8AHjMNJ_7dDXMJVRLDlaFSOdPM/edit?usp=sharing"",""ตราด!I315"")"),"")</f>
        <v/>
      </c>
      <c r="AB58" s="177" t="str">
        <f ca="1">IFERROR(__xludf.DUMMYFUNCTION("IMPORTRANGE(""https://docs.google.com/spreadsheets/d/1jkqa6GXxSacMcY1eN8AHjMNJ_7dDXMJVRLDlaFSOdPM/edit?usp=sharing"",""ตราด!J315"")"),"")</f>
        <v/>
      </c>
      <c r="AC58" s="354">
        <f t="shared" ca="1" si="41"/>
        <v>0</v>
      </c>
      <c r="AD58" s="353" t="str">
        <f ca="1">IFERROR(__xludf.DUMMYFUNCTION("IMPORTRANGE(""https://docs.google.com/spreadsheets/d/1jkqa6GXxSacMcY1eN8AHjMNJ_7dDXMJVRLDlaFSOdPM/edit?usp=sharing"",""ตราด!I316"")"),"")</f>
        <v/>
      </c>
      <c r="AE58" s="177" t="str">
        <f ca="1">IFERROR(__xludf.DUMMYFUNCTION("IMPORTRANGE(""https://docs.google.com/spreadsheets/d/1jkqa6GXxSacMcY1eN8AHjMNJ_7dDXMJVRLDlaFSOdPM/edit?usp=sharing"",""ตราด!J316"")"),"")</f>
        <v/>
      </c>
      <c r="AF58" s="354" t="e">
        <f t="shared" ca="1" si="43"/>
        <v>#VALUE!</v>
      </c>
      <c r="AG58" s="353" t="str">
        <f ca="1">IFERROR(__xludf.DUMMYFUNCTION("IMPORTRANGE(""https://docs.google.com/spreadsheets/d/1jkqa6GXxSacMcY1eN8AHjMNJ_7dDXMJVRLDlaFSOdPM/edit?usp=sharing"",""ตราด!I317"")"),"")</f>
        <v/>
      </c>
      <c r="AH58" s="177" t="str">
        <f ca="1">IFERROR(__xludf.DUMMYFUNCTION("IMPORTRANGE(""https://docs.google.com/spreadsheets/d/1jkqa6GXxSacMcY1eN8AHjMNJ_7dDXMJVRLDlaFSOdPM/edit?usp=sharing"",""ตราด!J317"")"),"")</f>
        <v/>
      </c>
      <c r="AI58" s="354" t="e">
        <f t="shared" ca="1" si="45"/>
        <v>#VALUE!</v>
      </c>
    </row>
    <row r="59" spans="1:35" ht="21" customHeight="1" x14ac:dyDescent="0.3">
      <c r="A59" s="89">
        <v>7</v>
      </c>
      <c r="B59" s="90" t="s">
        <v>85</v>
      </c>
      <c r="C59" s="174">
        <f t="shared" ca="1" si="27"/>
        <v>166000</v>
      </c>
      <c r="D59" s="175">
        <f t="shared" ca="1" si="60"/>
        <v>166000</v>
      </c>
      <c r="E59" s="176">
        <f ca="1">IFERROR(__xludf.DUMMYFUNCTION("IMPORTRANGE(""https://docs.google.com/spreadsheets/d/1-uDff_7J0KD5mKrp0Vvzr7lt3OU09vwQwhkpOPPYv2Y/edit?usp=sharing"",""งบพรบ!DZ59"")"),102200)</f>
        <v>102200</v>
      </c>
      <c r="F59" s="176">
        <f ca="1">IFERROR(__xludf.DUMMYFUNCTION("IMPORTRANGE(""https://docs.google.com/spreadsheets/d/1-uDff_7J0KD5mKrp0Vvzr7lt3OU09vwQwhkpOPPYv2Y/edit?usp=sharing"",""งบพรบ!EA59"")"),63800)</f>
        <v>63800</v>
      </c>
      <c r="G59" s="176">
        <f ca="1">IFERROR(__xludf.DUMMYFUNCTION("IMPORTRANGE(""https://docs.google.com/spreadsheets/d/1-uDff_7J0KD5mKrp0Vvzr7lt3OU09vwQwhkpOPPYv2Y/edit?usp=sharing"",""งบพรบ!EB59"")"),0)</f>
        <v>0</v>
      </c>
      <c r="H59" s="176">
        <f ca="1">IFERROR(__xludf.DUMMYFUNCTION("IMPORTRANGE(""https://docs.google.com/spreadsheets/d/1-uDff_7J0KD5mKrp0Vvzr7lt3OU09vwQwhkpOPPYv2Y/edit?usp=sharing"",""งบพรบ!ED59"")"),166000)</f>
        <v>166000</v>
      </c>
      <c r="I59" s="176">
        <f ca="1">IFERROR(__xludf.DUMMYFUNCTION("IMPORTRANGE(""https://docs.google.com/spreadsheets/d/1-uDff_7J0KD5mKrp0Vvzr7lt3OU09vwQwhkpOPPYv2Y/edit?usp=sharing"",""งบพรบ!EE59"")"),0)</f>
        <v>0</v>
      </c>
      <c r="J59" s="176">
        <f t="shared" ca="1" si="29"/>
        <v>70555</v>
      </c>
      <c r="K59" s="179">
        <f t="shared" ca="1" si="30"/>
        <v>42.503012048192772</v>
      </c>
      <c r="L59" s="176">
        <f ca="1">IFERROR(__xludf.DUMMYFUNCTION("IMPORTRANGE(""https://docs.google.com/spreadsheets/d/1-uDff_7J0KD5mKrp0Vvzr7lt3OU09vwQwhkpOPPYv2Y/edit?usp=sharing"",""งบพรบ!EF59"")"),70555)</f>
        <v>70555</v>
      </c>
      <c r="M59" s="87">
        <f t="shared" ca="1" si="31"/>
        <v>42.503012048192772</v>
      </c>
      <c r="N59" s="87">
        <f t="shared" ca="1" si="32"/>
        <v>42.503012048192772</v>
      </c>
      <c r="O59" s="86">
        <f ca="1">IFERROR(__xludf.DUMMYFUNCTION("IMPORTRANGE(""https://docs.google.com/spreadsheets/d/1-uDff_7J0KD5mKrp0Vvzr7lt3OU09vwQwhkpOPPYv2Y/edit?usp=sharing"",""งบพรบ!EG59"")"),0)</f>
        <v>0</v>
      </c>
      <c r="P59" s="86">
        <f t="shared" ca="1" si="33"/>
        <v>0</v>
      </c>
      <c r="Q59" s="87">
        <f t="shared" ca="1" si="34"/>
        <v>0</v>
      </c>
      <c r="R59" s="241">
        <f ca="1">IFERROR(__xludf.DUMMYFUNCTION("IMPORTRANGE(""https://docs.google.com/spreadsheets/d/18hSgUJ3VwClqi_qtULmmW3cLr0oe3OKaSYoKzdpTsYQ/edit?usp=sharing"",""นครนายก!Q303"")"),123161.24)</f>
        <v>123161.24</v>
      </c>
      <c r="S59" s="242">
        <f ca="1">IFERROR(__xludf.DUMMYFUNCTION("IMPORTRANGE(""https://docs.google.com/spreadsheets/d/18hSgUJ3VwClqi_qtULmmW3cLr0oe3OKaSYoKzdpTsYQ/edit?usp=sharing"",""นครนายก!R303"")"),0)</f>
        <v>0</v>
      </c>
      <c r="T59" s="242">
        <f ca="1">IFERROR(__xludf.DUMMYFUNCTION("IMPORTRANGE(""https://docs.google.com/spreadsheets/d/18hSgUJ3VwClqi_qtULmmW3cLr0oe3OKaSYoKzdpTsYQ/edit?usp=sharing"",""นครนายก!S303"")"),0)</f>
        <v>0</v>
      </c>
      <c r="U59" s="243">
        <f t="shared" ca="1" si="36"/>
        <v>0</v>
      </c>
      <c r="V59" s="243">
        <f t="shared" ca="1" si="37"/>
        <v>0</v>
      </c>
      <c r="W59" s="353" t="str">
        <f ca="1">IFERROR(__xludf.DUMMYFUNCTION("IMPORTRANGE(""https://docs.google.com/spreadsheets/d/18hSgUJ3VwClqi_qtULmmW3cLr0oe3OKaSYoKzdpTsYQ/edit?usp=sharing"",""นครนายก!J313"")"),"")</f>
        <v/>
      </c>
      <c r="X59" s="353">
        <f ca="1">IFERROR(__xludf.DUMMYFUNCTION("IMPORTRANGE(""https://docs.google.com/spreadsheets/d/18hSgUJ3VwClqi_qtULmmW3cLr0oe3OKaSYoKzdpTsYQ/edit?usp=sharing"",""นครนายก!I314"")"),15)</f>
        <v>15</v>
      </c>
      <c r="Y59" s="177">
        <f ca="1">IFERROR(__xludf.DUMMYFUNCTION("IMPORTRANGE(""https://docs.google.com/spreadsheets/d/18hSgUJ3VwClqi_qtULmmW3cLr0oe3OKaSYoKzdpTsYQ/edit?usp=sharing"",""นครนายก!J314"")"),0)</f>
        <v>0</v>
      </c>
      <c r="Z59" s="354">
        <f t="shared" ca="1" si="39"/>
        <v>0</v>
      </c>
      <c r="AA59" s="353" t="str">
        <f ca="1">IFERROR(__xludf.DUMMYFUNCTION("IMPORTRANGE(""https://docs.google.com/spreadsheets/d/18hSgUJ3VwClqi_qtULmmW3cLr0oe3OKaSYoKzdpTsYQ/edit?usp=sharing"",""นครนายก!I315"")"),"")</f>
        <v/>
      </c>
      <c r="AB59" s="177" t="str">
        <f ca="1">IFERROR(__xludf.DUMMYFUNCTION("IMPORTRANGE(""https://docs.google.com/spreadsheets/d/18hSgUJ3VwClqi_qtULmmW3cLr0oe3OKaSYoKzdpTsYQ/edit?usp=sharing"",""นครนายก!J315"")"),"")</f>
        <v/>
      </c>
      <c r="AC59" s="354" t="e">
        <f t="shared" ca="1" si="41"/>
        <v>#VALUE!</v>
      </c>
      <c r="AD59" s="353" t="str">
        <f ca="1">IFERROR(__xludf.DUMMYFUNCTION("IMPORTRANGE(""https://docs.google.com/spreadsheets/d/18hSgUJ3VwClqi_qtULmmW3cLr0oe3OKaSYoKzdpTsYQ/edit?usp=sharing"",""นครนายก!I316"")"),"")</f>
        <v/>
      </c>
      <c r="AE59" s="177" t="str">
        <f ca="1">IFERROR(__xludf.DUMMYFUNCTION("IMPORTRANGE(""https://docs.google.com/spreadsheets/d/18hSgUJ3VwClqi_qtULmmW3cLr0oe3OKaSYoKzdpTsYQ/edit?usp=sharing"",""นครนายก!J316"")"),"")</f>
        <v/>
      </c>
      <c r="AF59" s="354" t="e">
        <f t="shared" ca="1" si="43"/>
        <v>#VALUE!</v>
      </c>
      <c r="AG59" s="353" t="str">
        <f ca="1">IFERROR(__xludf.DUMMYFUNCTION("IMPORTRANGE(""https://docs.google.com/spreadsheets/d/18hSgUJ3VwClqi_qtULmmW3cLr0oe3OKaSYoKzdpTsYQ/edit?usp=sharing"",""นครนายก!I317"")"),"")</f>
        <v/>
      </c>
      <c r="AH59" s="177" t="str">
        <f ca="1">IFERROR(__xludf.DUMMYFUNCTION("IMPORTRANGE(""https://docs.google.com/spreadsheets/d/18hSgUJ3VwClqi_qtULmmW3cLr0oe3OKaSYoKzdpTsYQ/edit?usp=sharing"",""นครนายก!J317"")"),"")</f>
        <v/>
      </c>
      <c r="AI59" s="354" t="e">
        <f t="shared" ca="1" si="45"/>
        <v>#VALUE!</v>
      </c>
    </row>
    <row r="60" spans="1:35" ht="21" customHeight="1" x14ac:dyDescent="0.3">
      <c r="A60" s="89">
        <v>8</v>
      </c>
      <c r="B60" s="90" t="s">
        <v>86</v>
      </c>
      <c r="C60" s="174">
        <f t="shared" ca="1" si="27"/>
        <v>0</v>
      </c>
      <c r="D60" s="175">
        <f t="shared" ca="1" si="60"/>
        <v>0</v>
      </c>
      <c r="E60" s="176">
        <f ca="1">IFERROR(__xludf.DUMMYFUNCTION("IMPORTRANGE(""https://docs.google.com/spreadsheets/d/1-uDff_7J0KD5mKrp0Vvzr7lt3OU09vwQwhkpOPPYv2Y/edit?usp=sharing"",""งบพรบ!DZ60"")"),0)</f>
        <v>0</v>
      </c>
      <c r="F60" s="176">
        <f ca="1">IFERROR(__xludf.DUMMYFUNCTION("IMPORTRANGE(""https://docs.google.com/spreadsheets/d/1-uDff_7J0KD5mKrp0Vvzr7lt3OU09vwQwhkpOPPYv2Y/edit?usp=sharing"",""งบพรบ!EA60"")"),0)</f>
        <v>0</v>
      </c>
      <c r="G60" s="176">
        <f ca="1">IFERROR(__xludf.DUMMYFUNCTION("IMPORTRANGE(""https://docs.google.com/spreadsheets/d/1-uDff_7J0KD5mKrp0Vvzr7lt3OU09vwQwhkpOPPYv2Y/edit?usp=sharing"",""งบพรบ!EB60"")"),0)</f>
        <v>0</v>
      </c>
      <c r="H60" s="176">
        <f ca="1">IFERROR(__xludf.DUMMYFUNCTION("IMPORTRANGE(""https://docs.google.com/spreadsheets/d/1-uDff_7J0KD5mKrp0Vvzr7lt3OU09vwQwhkpOPPYv2Y/edit?usp=sharing"",""งบพรบ!ED60"")"),0)</f>
        <v>0</v>
      </c>
      <c r="I60" s="176">
        <f ca="1">IFERROR(__xludf.DUMMYFUNCTION("IMPORTRANGE(""https://docs.google.com/spreadsheets/d/1-uDff_7J0KD5mKrp0Vvzr7lt3OU09vwQwhkpOPPYv2Y/edit?usp=sharing"",""งบพรบ!EE60"")"),0)</f>
        <v>0</v>
      </c>
      <c r="J60" s="176">
        <f t="shared" ca="1" si="29"/>
        <v>0</v>
      </c>
      <c r="K60" s="179">
        <f t="shared" ca="1" si="30"/>
        <v>0</v>
      </c>
      <c r="L60" s="176">
        <f ca="1">IFERROR(__xludf.DUMMYFUNCTION("IMPORTRANGE(""https://docs.google.com/spreadsheets/d/1-uDff_7J0KD5mKrp0Vvzr7lt3OU09vwQwhkpOPPYv2Y/edit?usp=sharing"",""งบพรบ!EF60"")"),0)</f>
        <v>0</v>
      </c>
      <c r="M60" s="87">
        <f t="shared" ca="1" si="31"/>
        <v>0</v>
      </c>
      <c r="N60" s="87">
        <f t="shared" ca="1" si="32"/>
        <v>0</v>
      </c>
      <c r="O60" s="86">
        <f ca="1">IFERROR(__xludf.DUMMYFUNCTION("IMPORTRANGE(""https://docs.google.com/spreadsheets/d/1-uDff_7J0KD5mKrp0Vvzr7lt3OU09vwQwhkpOPPYv2Y/edit?usp=sharing"",""งบพรบ!EG60"")"),0)</f>
        <v>0</v>
      </c>
      <c r="P60" s="86">
        <f t="shared" ca="1" si="33"/>
        <v>0</v>
      </c>
      <c r="Q60" s="87">
        <f t="shared" ca="1" si="34"/>
        <v>0</v>
      </c>
      <c r="R60" s="241">
        <f ca="1">IFERROR(__xludf.DUMMYFUNCTION("IMPORTRANGE(""https://docs.google.com/spreadsheets/d/1YTZo6WM2dQ6Ix6FSdnL5P7uVnVKu40sxZu975tgG10E/edit?usp=sharing"",""นครปฐม!Q303"")"),0)</f>
        <v>0</v>
      </c>
      <c r="S60" s="242">
        <f ca="1">IFERROR(__xludf.DUMMYFUNCTION("IMPORTRANGE(""https://docs.google.com/spreadsheets/d/1YTZo6WM2dQ6Ix6FSdnL5P7uVnVKu40sxZu975tgG10E/edit?usp=sharing"",""นครปฐม!R303"")"),0)</f>
        <v>0</v>
      </c>
      <c r="T60" s="242">
        <f ca="1">IFERROR(__xludf.DUMMYFUNCTION("IMPORTRANGE(""https://docs.google.com/spreadsheets/d/1YTZo6WM2dQ6Ix6FSdnL5P7uVnVKu40sxZu975tgG10E/edit?usp=sharing"",""นครปฐม!S303"")"),0)</f>
        <v>0</v>
      </c>
      <c r="U60" s="243">
        <f t="shared" ca="1" si="36"/>
        <v>0</v>
      </c>
      <c r="V60" s="243">
        <f t="shared" ca="1" si="37"/>
        <v>0</v>
      </c>
      <c r="W60" s="353" t="str">
        <f ca="1">IFERROR(__xludf.DUMMYFUNCTION("IMPORTRANGE(""https://docs.google.com/spreadsheets/d/1YTZo6WM2dQ6Ix6FSdnL5P7uVnVKu40sxZu975tgG10E/edit?usp=sharing"",""นครปฐม!J313"")"),"")</f>
        <v/>
      </c>
      <c r="X60" s="353">
        <f ca="1">IFERROR(__xludf.DUMMYFUNCTION("IMPORTRANGE(""https://docs.google.com/spreadsheets/d/1YTZo6WM2dQ6Ix6FSdnL5P7uVnVKu40sxZu975tgG10E/edit?usp=sharing"",""นครปฐม!I314"")"),0)</f>
        <v>0</v>
      </c>
      <c r="Y60" s="177">
        <f ca="1">IFERROR(__xludf.DUMMYFUNCTION("IMPORTRANGE(""https://docs.google.com/spreadsheets/d/1YTZo6WM2dQ6Ix6FSdnL5P7uVnVKu40sxZu975tgG10E/edit?usp=sharing"",""นครปฐม!J314"")"),0)</f>
        <v>0</v>
      </c>
      <c r="Z60" s="354">
        <f t="shared" ca="1" si="39"/>
        <v>0</v>
      </c>
      <c r="AA60" s="353" t="str">
        <f ca="1">IFERROR(__xludf.DUMMYFUNCTION("IMPORTRANGE(""https://docs.google.com/spreadsheets/d/1YTZo6WM2dQ6Ix6FSdnL5P7uVnVKu40sxZu975tgG10E/edit?usp=sharing"",""นครปฐม!I315"")"),"")</f>
        <v/>
      </c>
      <c r="AB60" s="177" t="str">
        <f ca="1">IFERROR(__xludf.DUMMYFUNCTION("IMPORTRANGE(""https://docs.google.com/spreadsheets/d/1YTZo6WM2dQ6Ix6FSdnL5P7uVnVKu40sxZu975tgG10E/edit?usp=sharing"",""นครปฐม!J315"")"),"")</f>
        <v/>
      </c>
      <c r="AC60" s="354">
        <f t="shared" ca="1" si="41"/>
        <v>0</v>
      </c>
      <c r="AD60" s="353" t="str">
        <f ca="1">IFERROR(__xludf.DUMMYFUNCTION("IMPORTRANGE(""https://docs.google.com/spreadsheets/d/1YTZo6WM2dQ6Ix6FSdnL5P7uVnVKu40sxZu975tgG10E/edit?usp=sharing"",""นครปฐม!I316"")"),"")</f>
        <v/>
      </c>
      <c r="AE60" s="177" t="str">
        <f ca="1">IFERROR(__xludf.DUMMYFUNCTION("IMPORTRANGE(""https://docs.google.com/spreadsheets/d/1YTZo6WM2dQ6Ix6FSdnL5P7uVnVKu40sxZu975tgG10E/edit?usp=sharing"",""นครปฐม!J316"")"),"")</f>
        <v/>
      </c>
      <c r="AF60" s="354" t="e">
        <f t="shared" ca="1" si="43"/>
        <v>#VALUE!</v>
      </c>
      <c r="AG60" s="353" t="str">
        <f ca="1">IFERROR(__xludf.DUMMYFUNCTION("IMPORTRANGE(""https://docs.google.com/spreadsheets/d/1YTZo6WM2dQ6Ix6FSdnL5P7uVnVKu40sxZu975tgG10E/edit?usp=sharing"",""นครปฐม!I317"")"),"")</f>
        <v/>
      </c>
      <c r="AH60" s="177" t="str">
        <f ca="1">IFERROR(__xludf.DUMMYFUNCTION("IMPORTRANGE(""https://docs.google.com/spreadsheets/d/1YTZo6WM2dQ6Ix6FSdnL5P7uVnVKu40sxZu975tgG10E/edit?usp=sharing"",""นครปฐม!J317"")"),"")</f>
        <v/>
      </c>
      <c r="AI60" s="354" t="e">
        <f t="shared" ca="1" si="45"/>
        <v>#VALUE!</v>
      </c>
    </row>
    <row r="61" spans="1:35" ht="21" customHeight="1" x14ac:dyDescent="0.3">
      <c r="A61" s="89">
        <v>9</v>
      </c>
      <c r="B61" s="90" t="s">
        <v>87</v>
      </c>
      <c r="C61" s="174">
        <f t="shared" ca="1" si="27"/>
        <v>0</v>
      </c>
      <c r="D61" s="175">
        <f t="shared" ca="1" si="60"/>
        <v>0</v>
      </c>
      <c r="E61" s="176">
        <f ca="1">IFERROR(__xludf.DUMMYFUNCTION("IMPORTRANGE(""https://docs.google.com/spreadsheets/d/1-uDff_7J0KD5mKrp0Vvzr7lt3OU09vwQwhkpOPPYv2Y/edit?usp=sharing"",""งบพรบ!DZ61"")"),0)</f>
        <v>0</v>
      </c>
      <c r="F61" s="176">
        <f ca="1">IFERROR(__xludf.DUMMYFUNCTION("IMPORTRANGE(""https://docs.google.com/spreadsheets/d/1-uDff_7J0KD5mKrp0Vvzr7lt3OU09vwQwhkpOPPYv2Y/edit?usp=sharing"",""งบพรบ!EA61"")"),0)</f>
        <v>0</v>
      </c>
      <c r="G61" s="176">
        <f ca="1">IFERROR(__xludf.DUMMYFUNCTION("IMPORTRANGE(""https://docs.google.com/spreadsheets/d/1-uDff_7J0KD5mKrp0Vvzr7lt3OU09vwQwhkpOPPYv2Y/edit?usp=sharing"",""งบพรบ!EB61"")"),0)</f>
        <v>0</v>
      </c>
      <c r="H61" s="176">
        <f ca="1">IFERROR(__xludf.DUMMYFUNCTION("IMPORTRANGE(""https://docs.google.com/spreadsheets/d/1-uDff_7J0KD5mKrp0Vvzr7lt3OU09vwQwhkpOPPYv2Y/edit?usp=sharing"",""งบพรบ!ED61"")"),0)</f>
        <v>0</v>
      </c>
      <c r="I61" s="176">
        <f ca="1">IFERROR(__xludf.DUMMYFUNCTION("IMPORTRANGE(""https://docs.google.com/spreadsheets/d/1-uDff_7J0KD5mKrp0Vvzr7lt3OU09vwQwhkpOPPYv2Y/edit?usp=sharing"",""งบพรบ!EE61"")"),0)</f>
        <v>0</v>
      </c>
      <c r="J61" s="176">
        <f t="shared" ca="1" si="29"/>
        <v>0</v>
      </c>
      <c r="K61" s="179">
        <f t="shared" ca="1" si="30"/>
        <v>0</v>
      </c>
      <c r="L61" s="176">
        <f ca="1">IFERROR(__xludf.DUMMYFUNCTION("IMPORTRANGE(""https://docs.google.com/spreadsheets/d/1-uDff_7J0KD5mKrp0Vvzr7lt3OU09vwQwhkpOPPYv2Y/edit?usp=sharing"",""งบพรบ!EF61"")"),0)</f>
        <v>0</v>
      </c>
      <c r="M61" s="87">
        <f t="shared" ca="1" si="31"/>
        <v>0</v>
      </c>
      <c r="N61" s="87">
        <f t="shared" ca="1" si="32"/>
        <v>0</v>
      </c>
      <c r="O61" s="86">
        <f ca="1">IFERROR(__xludf.DUMMYFUNCTION("IMPORTRANGE(""https://docs.google.com/spreadsheets/d/1-uDff_7J0KD5mKrp0Vvzr7lt3OU09vwQwhkpOPPYv2Y/edit?usp=sharing"",""งบพรบ!EG61"")"),0)</f>
        <v>0</v>
      </c>
      <c r="P61" s="86">
        <f t="shared" ca="1" si="33"/>
        <v>0</v>
      </c>
      <c r="Q61" s="87">
        <f t="shared" ca="1" si="34"/>
        <v>0</v>
      </c>
      <c r="R61" s="241">
        <f ca="1">IFERROR(__xludf.DUMMYFUNCTION("IMPORTRANGE(""https://docs.google.com/spreadsheets/d/1OYoGg4WDg5RIzwGeB10padOxJF9E_Vljuvvct_M7RDo/edit?usp=sharing"",""ปทุมธานี!Q303"")"),260958.39)</f>
        <v>260958.39</v>
      </c>
      <c r="S61" s="242">
        <f ca="1">IFERROR(__xludf.DUMMYFUNCTION("IMPORTRANGE(""https://docs.google.com/spreadsheets/d/1OYoGg4WDg5RIzwGeB10padOxJF9E_Vljuvvct_M7RDo/edit?usp=sharing"",""ปทุมธานี!R303"")"),0)</f>
        <v>0</v>
      </c>
      <c r="T61" s="242">
        <f ca="1">IFERROR(__xludf.DUMMYFUNCTION("IMPORTRANGE(""https://docs.google.com/spreadsheets/d/1OYoGg4WDg5RIzwGeB10padOxJF9E_Vljuvvct_M7RDo/edit?usp=sharing"",""ปทุมธานี!S303"")"),0)</f>
        <v>0</v>
      </c>
      <c r="U61" s="243">
        <f t="shared" ca="1" si="36"/>
        <v>0</v>
      </c>
      <c r="V61" s="243">
        <f t="shared" ca="1" si="37"/>
        <v>0</v>
      </c>
      <c r="W61" s="353" t="str">
        <f ca="1">IFERROR(__xludf.DUMMYFUNCTION("IMPORTRANGE(""https://docs.google.com/spreadsheets/d/1OYoGg4WDg5RIzwGeB10padOxJF9E_Vljuvvct_M7RDo/edit?usp=sharing"",""ปทุมธานี!J313"")"),"")</f>
        <v/>
      </c>
      <c r="X61" s="353">
        <f ca="1">IFERROR(__xludf.DUMMYFUNCTION("IMPORTRANGE(""https://docs.google.com/spreadsheets/d/1OYoGg4WDg5RIzwGeB10padOxJF9E_Vljuvvct_M7RDo/edit?usp=sharing"",""ปทุมธานี!I314"")"),30)</f>
        <v>30</v>
      </c>
      <c r="Y61" s="177">
        <f ca="1">IFERROR(__xludf.DUMMYFUNCTION("IMPORTRANGE(""https://docs.google.com/spreadsheets/d/1OYoGg4WDg5RIzwGeB10padOxJF9E_Vljuvvct_M7RDo/edit?usp=sharing"",""ปทุมธานี!J314"")"),0)</f>
        <v>0</v>
      </c>
      <c r="Z61" s="354">
        <f t="shared" ca="1" si="39"/>
        <v>0</v>
      </c>
      <c r="AA61" s="353" t="str">
        <f ca="1">IFERROR(__xludf.DUMMYFUNCTION("IMPORTRANGE(""https://docs.google.com/spreadsheets/d/1OYoGg4WDg5RIzwGeB10padOxJF9E_Vljuvvct_M7RDo/edit?usp=sharing"",""ปทุมธานี!I315"")"),"")</f>
        <v/>
      </c>
      <c r="AB61" s="177" t="str">
        <f ca="1">IFERROR(__xludf.DUMMYFUNCTION("IMPORTRANGE(""https://docs.google.com/spreadsheets/d/1OYoGg4WDg5RIzwGeB10padOxJF9E_Vljuvvct_M7RDo/edit?usp=sharing"",""ปทุมธานี!J315"")"),"")</f>
        <v/>
      </c>
      <c r="AC61" s="354" t="e">
        <f t="shared" ca="1" si="41"/>
        <v>#VALUE!</v>
      </c>
      <c r="AD61" s="353" t="str">
        <f ca="1">IFERROR(__xludf.DUMMYFUNCTION("IMPORTRANGE(""https://docs.google.com/spreadsheets/d/1OYoGg4WDg5RIzwGeB10padOxJF9E_Vljuvvct_M7RDo/edit?usp=sharing"",""ปทุมธานี!I316"")"),"")</f>
        <v/>
      </c>
      <c r="AE61" s="177" t="str">
        <f ca="1">IFERROR(__xludf.DUMMYFUNCTION("IMPORTRANGE(""https://docs.google.com/spreadsheets/d/1OYoGg4WDg5RIzwGeB10padOxJF9E_Vljuvvct_M7RDo/edit?usp=sharing"",""ปทุมธานี!J316"")"),"")</f>
        <v/>
      </c>
      <c r="AF61" s="354" t="e">
        <f t="shared" ca="1" si="43"/>
        <v>#VALUE!</v>
      </c>
      <c r="AG61" s="353" t="str">
        <f ca="1">IFERROR(__xludf.DUMMYFUNCTION("IMPORTRANGE(""https://docs.google.com/spreadsheets/d/1OYoGg4WDg5RIzwGeB10padOxJF9E_Vljuvvct_M7RDo/edit?usp=sharing"",""ปทุมธานี!I317"")"),"")</f>
        <v/>
      </c>
      <c r="AH61" s="177" t="str">
        <f ca="1">IFERROR(__xludf.DUMMYFUNCTION("IMPORTRANGE(""https://docs.google.com/spreadsheets/d/1OYoGg4WDg5RIzwGeB10padOxJF9E_Vljuvvct_M7RDo/edit?usp=sharing"",""ปทุมธานี!J317"")"),"")</f>
        <v/>
      </c>
      <c r="AI61" s="354" t="e">
        <f t="shared" ca="1" si="45"/>
        <v>#VALUE!</v>
      </c>
    </row>
    <row r="62" spans="1:35" ht="21" customHeight="1" x14ac:dyDescent="0.3">
      <c r="A62" s="89">
        <v>10</v>
      </c>
      <c r="B62" s="90" t="s">
        <v>88</v>
      </c>
      <c r="C62" s="174">
        <f t="shared" ca="1" si="27"/>
        <v>0</v>
      </c>
      <c r="D62" s="175">
        <f t="shared" ca="1" si="60"/>
        <v>0</v>
      </c>
      <c r="E62" s="176">
        <f ca="1">IFERROR(__xludf.DUMMYFUNCTION("IMPORTRANGE(""https://docs.google.com/spreadsheets/d/1-uDff_7J0KD5mKrp0Vvzr7lt3OU09vwQwhkpOPPYv2Y/edit?usp=sharing"",""งบพรบ!DZ62"")"),0)</f>
        <v>0</v>
      </c>
      <c r="F62" s="176">
        <f ca="1">IFERROR(__xludf.DUMMYFUNCTION("IMPORTRANGE(""https://docs.google.com/spreadsheets/d/1-uDff_7J0KD5mKrp0Vvzr7lt3OU09vwQwhkpOPPYv2Y/edit?usp=sharing"",""งบพรบ!EA62"")"),0)</f>
        <v>0</v>
      </c>
      <c r="G62" s="176">
        <f ca="1">IFERROR(__xludf.DUMMYFUNCTION("IMPORTRANGE(""https://docs.google.com/spreadsheets/d/1-uDff_7J0KD5mKrp0Vvzr7lt3OU09vwQwhkpOPPYv2Y/edit?usp=sharing"",""งบพรบ!EB62"")"),0)</f>
        <v>0</v>
      </c>
      <c r="H62" s="176">
        <f ca="1">IFERROR(__xludf.DUMMYFUNCTION("IMPORTRANGE(""https://docs.google.com/spreadsheets/d/1-uDff_7J0KD5mKrp0Vvzr7lt3OU09vwQwhkpOPPYv2Y/edit?usp=sharing"",""งบพรบ!ED62"")"),0)</f>
        <v>0</v>
      </c>
      <c r="I62" s="176">
        <f ca="1">IFERROR(__xludf.DUMMYFUNCTION("IMPORTRANGE(""https://docs.google.com/spreadsheets/d/1-uDff_7J0KD5mKrp0Vvzr7lt3OU09vwQwhkpOPPYv2Y/edit?usp=sharing"",""งบพรบ!EE62"")"),0)</f>
        <v>0</v>
      </c>
      <c r="J62" s="176">
        <f t="shared" ca="1" si="29"/>
        <v>0</v>
      </c>
      <c r="K62" s="179">
        <f t="shared" ca="1" si="30"/>
        <v>0</v>
      </c>
      <c r="L62" s="176">
        <f ca="1">IFERROR(__xludf.DUMMYFUNCTION("IMPORTRANGE(""https://docs.google.com/spreadsheets/d/1-uDff_7J0KD5mKrp0Vvzr7lt3OU09vwQwhkpOPPYv2Y/edit?usp=sharing"",""งบพรบ!EF62"")"),0)</f>
        <v>0</v>
      </c>
      <c r="M62" s="87">
        <f t="shared" ca="1" si="31"/>
        <v>0</v>
      </c>
      <c r="N62" s="87">
        <f t="shared" ca="1" si="32"/>
        <v>0</v>
      </c>
      <c r="O62" s="86">
        <f ca="1">IFERROR(__xludf.DUMMYFUNCTION("IMPORTRANGE(""https://docs.google.com/spreadsheets/d/1-uDff_7J0KD5mKrp0Vvzr7lt3OU09vwQwhkpOPPYv2Y/edit?usp=sharing"",""งบพรบ!EG62"")"),0)</f>
        <v>0</v>
      </c>
      <c r="P62" s="86">
        <f t="shared" ca="1" si="33"/>
        <v>0</v>
      </c>
      <c r="Q62" s="87">
        <f t="shared" ca="1" si="34"/>
        <v>0</v>
      </c>
      <c r="R62" s="241">
        <f ca="1">IFERROR(__xludf.DUMMYFUNCTION("IMPORTRANGE(""https://docs.google.com/spreadsheets/d/1GbCIE4D4wk9FUozzqk7SxfDMxDVBwVmI5zcaVUSzKAc/edit?usp=sharing"",""ประจวบคีรีขันธ์!Q303"")"),228095.39)</f>
        <v>228095.39</v>
      </c>
      <c r="S62" s="242">
        <f ca="1">IFERROR(__xludf.DUMMYFUNCTION("IMPORTRANGE(""https://docs.google.com/spreadsheets/d/1GbCIE4D4wk9FUozzqk7SxfDMxDVBwVmI5zcaVUSzKAc/edit?usp=sharing"",""ประจวบคีรีขันธ์!R303"")"),0)</f>
        <v>0</v>
      </c>
      <c r="T62" s="242">
        <f ca="1">IFERROR(__xludf.DUMMYFUNCTION("IMPORTRANGE(""https://docs.google.com/spreadsheets/d/1GbCIE4D4wk9FUozzqk7SxfDMxDVBwVmI5zcaVUSzKAc/edit?usp=sharing"",""ประจวบคีรีขันธ์!S303"")"),0)</f>
        <v>0</v>
      </c>
      <c r="U62" s="243">
        <f t="shared" ca="1" si="36"/>
        <v>0</v>
      </c>
      <c r="V62" s="243">
        <f t="shared" ca="1" si="37"/>
        <v>0</v>
      </c>
      <c r="W62" s="353" t="str">
        <f ca="1">IFERROR(__xludf.DUMMYFUNCTION("IMPORTRANGE(""https://docs.google.com/spreadsheets/d/1GbCIE4D4wk9FUozzqk7SxfDMxDVBwVmI5zcaVUSzKAc/edit?usp=sharing"",""ประจวบคีรีขันธ์!J313"")"),"")</f>
        <v/>
      </c>
      <c r="X62" s="353">
        <f ca="1">IFERROR(__xludf.DUMMYFUNCTION("IMPORTRANGE(""https://docs.google.com/spreadsheets/d/1GbCIE4D4wk9FUozzqk7SxfDMxDVBwVmI5zcaVUSzKAc/edit?usp=sharing"",""ประจวบคีรีขันธ์!I314"")"),25)</f>
        <v>25</v>
      </c>
      <c r="Y62" s="177">
        <f ca="1">IFERROR(__xludf.DUMMYFUNCTION("IMPORTRANGE(""https://docs.google.com/spreadsheets/d/1GbCIE4D4wk9FUozzqk7SxfDMxDVBwVmI5zcaVUSzKAc/edit?usp=sharing"",""ประจวบคีรีขันธ์!J314"")"),0)</f>
        <v>0</v>
      </c>
      <c r="Z62" s="354">
        <f t="shared" ca="1" si="39"/>
        <v>0</v>
      </c>
      <c r="AA62" s="353" t="str">
        <f ca="1">IFERROR(__xludf.DUMMYFUNCTION("IMPORTRANGE(""https://docs.google.com/spreadsheets/d/1GbCIE4D4wk9FUozzqk7SxfDMxDVBwVmI5zcaVUSzKAc/edit?usp=sharing"",""ประจวบคีรีขันธ์!I315"")"),"")</f>
        <v/>
      </c>
      <c r="AB62" s="177" t="str">
        <f ca="1">IFERROR(__xludf.DUMMYFUNCTION("IMPORTRANGE(""https://docs.google.com/spreadsheets/d/1GbCIE4D4wk9FUozzqk7SxfDMxDVBwVmI5zcaVUSzKAc/edit?usp=sharing"",""ประจวบคีรีขันธ์!J315"")"),"")</f>
        <v/>
      </c>
      <c r="AC62" s="354" t="e">
        <f t="shared" ca="1" si="41"/>
        <v>#VALUE!</v>
      </c>
      <c r="AD62" s="353" t="str">
        <f ca="1">IFERROR(__xludf.DUMMYFUNCTION("IMPORTRANGE(""https://docs.google.com/spreadsheets/d/1GbCIE4D4wk9FUozzqk7SxfDMxDVBwVmI5zcaVUSzKAc/edit?usp=sharing"",""ประจวบคีรีขันธ์!I316"")"),"")</f>
        <v/>
      </c>
      <c r="AE62" s="177" t="str">
        <f ca="1">IFERROR(__xludf.DUMMYFUNCTION("IMPORTRANGE(""https://docs.google.com/spreadsheets/d/1GbCIE4D4wk9FUozzqk7SxfDMxDVBwVmI5zcaVUSzKAc/edit?usp=sharing"",""ประจวบคีรีขันธ์!J316"")"),"")</f>
        <v/>
      </c>
      <c r="AF62" s="354" t="e">
        <f t="shared" ca="1" si="43"/>
        <v>#VALUE!</v>
      </c>
      <c r="AG62" s="353" t="str">
        <f ca="1">IFERROR(__xludf.DUMMYFUNCTION("IMPORTRANGE(""https://docs.google.com/spreadsheets/d/1GbCIE4D4wk9FUozzqk7SxfDMxDVBwVmI5zcaVUSzKAc/edit?usp=sharing"",""ประจวบคีรีขันธ์!I317"")"),"")</f>
        <v/>
      </c>
      <c r="AH62" s="177" t="str">
        <f ca="1">IFERROR(__xludf.DUMMYFUNCTION("IMPORTRANGE(""https://docs.google.com/spreadsheets/d/1GbCIE4D4wk9FUozzqk7SxfDMxDVBwVmI5zcaVUSzKAc/edit?usp=sharing"",""ประจวบคีรีขันธ์!J317"")"),"")</f>
        <v/>
      </c>
      <c r="AI62" s="354" t="e">
        <f t="shared" ca="1" si="45"/>
        <v>#VALUE!</v>
      </c>
    </row>
    <row r="63" spans="1:35" ht="21" customHeight="1" x14ac:dyDescent="0.3">
      <c r="A63" s="89">
        <v>11</v>
      </c>
      <c r="B63" s="90" t="s">
        <v>89</v>
      </c>
      <c r="C63" s="174">
        <f t="shared" ca="1" si="27"/>
        <v>82400</v>
      </c>
      <c r="D63" s="175">
        <f t="shared" ca="1" si="60"/>
        <v>82400</v>
      </c>
      <c r="E63" s="176">
        <f ca="1">IFERROR(__xludf.DUMMYFUNCTION("IMPORTRANGE(""https://docs.google.com/spreadsheets/d/1-uDff_7J0KD5mKrp0Vvzr7lt3OU09vwQwhkpOPPYv2Y/edit?usp=sharing"",""งบพรบ!DZ63"")"),0)</f>
        <v>0</v>
      </c>
      <c r="F63" s="176">
        <f ca="1">IFERROR(__xludf.DUMMYFUNCTION("IMPORTRANGE(""https://docs.google.com/spreadsheets/d/1-uDff_7J0KD5mKrp0Vvzr7lt3OU09vwQwhkpOPPYv2Y/edit?usp=sharing"",""งบพรบ!EA63"")"),82400)</f>
        <v>82400</v>
      </c>
      <c r="G63" s="176">
        <f ca="1">IFERROR(__xludf.DUMMYFUNCTION("IMPORTRANGE(""https://docs.google.com/spreadsheets/d/1-uDff_7J0KD5mKrp0Vvzr7lt3OU09vwQwhkpOPPYv2Y/edit?usp=sharing"",""งบพรบ!EB63"")"),0)</f>
        <v>0</v>
      </c>
      <c r="H63" s="176">
        <f ca="1">IFERROR(__xludf.DUMMYFUNCTION("IMPORTRANGE(""https://docs.google.com/spreadsheets/d/1-uDff_7J0KD5mKrp0Vvzr7lt3OU09vwQwhkpOPPYv2Y/edit?usp=sharing"",""งบพรบ!ED63"")"),82400)</f>
        <v>82400</v>
      </c>
      <c r="I63" s="176">
        <f ca="1">IFERROR(__xludf.DUMMYFUNCTION("IMPORTRANGE(""https://docs.google.com/spreadsheets/d/1-uDff_7J0KD5mKrp0Vvzr7lt3OU09vwQwhkpOPPYv2Y/edit?usp=sharing"",""งบพรบ!EE63"")"),0)</f>
        <v>0</v>
      </c>
      <c r="J63" s="176">
        <f t="shared" ca="1" si="29"/>
        <v>1690</v>
      </c>
      <c r="K63" s="179">
        <f t="shared" ca="1" si="30"/>
        <v>2.0509708737864076</v>
      </c>
      <c r="L63" s="176">
        <f ca="1">IFERROR(__xludf.DUMMYFUNCTION("IMPORTRANGE(""https://docs.google.com/spreadsheets/d/1-uDff_7J0KD5mKrp0Vvzr7lt3OU09vwQwhkpOPPYv2Y/edit?usp=sharing"",""งบพรบ!EF63"")"),1690)</f>
        <v>1690</v>
      </c>
      <c r="M63" s="87">
        <f t="shared" ca="1" si="31"/>
        <v>2.0509708737864076</v>
      </c>
      <c r="N63" s="87">
        <f t="shared" ca="1" si="32"/>
        <v>2.0509708737864076</v>
      </c>
      <c r="O63" s="86">
        <f ca="1">IFERROR(__xludf.DUMMYFUNCTION("IMPORTRANGE(""https://docs.google.com/spreadsheets/d/1-uDff_7J0KD5mKrp0Vvzr7lt3OU09vwQwhkpOPPYv2Y/edit?usp=sharing"",""งบพรบ!EG63"")"),0)</f>
        <v>0</v>
      </c>
      <c r="P63" s="86">
        <f t="shared" ca="1" si="33"/>
        <v>0</v>
      </c>
      <c r="Q63" s="87">
        <f t="shared" ca="1" si="34"/>
        <v>0</v>
      </c>
      <c r="R63" s="241">
        <f ca="1">IFERROR(__xludf.DUMMYFUNCTION("IMPORTRANGE(""https://docs.google.com/spreadsheets/d/1vVf6wykvW_lAyu7Yo9L4hUTqHqIeP_qcVuxCtosJEbg/edit?usp=sharing"",""ปราจีนบุรี!Q303"")"),144609.24)</f>
        <v>144609.24</v>
      </c>
      <c r="S63" s="242">
        <f ca="1">IFERROR(__xludf.DUMMYFUNCTION("IMPORTRANGE(""https://docs.google.com/spreadsheets/d/1vVf6wykvW_lAyu7Yo9L4hUTqHqIeP_qcVuxCtosJEbg/edit?usp=sharing"",""ปราจีนบุรี!R303"")"),0)</f>
        <v>0</v>
      </c>
      <c r="T63" s="242">
        <f ca="1">IFERROR(__xludf.DUMMYFUNCTION("IMPORTRANGE(""https://docs.google.com/spreadsheets/d/1vVf6wykvW_lAyu7Yo9L4hUTqHqIeP_qcVuxCtosJEbg/edit?usp=sharing"",""ปราจีนบุรี!S303"")"),0)</f>
        <v>0</v>
      </c>
      <c r="U63" s="243">
        <f t="shared" ca="1" si="36"/>
        <v>0</v>
      </c>
      <c r="V63" s="243">
        <f t="shared" ca="1" si="37"/>
        <v>0</v>
      </c>
      <c r="W63" s="353" t="str">
        <f ca="1">IFERROR(__xludf.DUMMYFUNCTION("IMPORTRANGE(""https://docs.google.com/spreadsheets/d/1vVf6wykvW_lAyu7Yo9L4hUTqHqIeP_qcVuxCtosJEbg/edit?usp=sharing"",""ปราจีนบุรี!J313"")"),"")</f>
        <v/>
      </c>
      <c r="X63" s="353">
        <f ca="1">IFERROR(__xludf.DUMMYFUNCTION("IMPORTRANGE(""https://docs.google.com/spreadsheets/d/1vVf6wykvW_lAyu7Yo9L4hUTqHqIeP_qcVuxCtosJEbg/edit?usp=sharing"",""ปราจีนบุรี!I314"")"),20)</f>
        <v>20</v>
      </c>
      <c r="Y63" s="177">
        <f ca="1">IFERROR(__xludf.DUMMYFUNCTION("IMPORTRANGE(""https://docs.google.com/spreadsheets/d/1vVf6wykvW_lAyu7Yo9L4hUTqHqIeP_qcVuxCtosJEbg/edit?usp=sharing"",""ปราจีนบุรี!J314"")"),0)</f>
        <v>0</v>
      </c>
      <c r="Z63" s="354">
        <f t="shared" ca="1" si="39"/>
        <v>0</v>
      </c>
      <c r="AA63" s="353" t="str">
        <f ca="1">IFERROR(__xludf.DUMMYFUNCTION("IMPORTRANGE(""https://docs.google.com/spreadsheets/d/1vVf6wykvW_lAyu7Yo9L4hUTqHqIeP_qcVuxCtosJEbg/edit?usp=sharing"",""ปราจีนบุรี!I315"")"),"")</f>
        <v/>
      </c>
      <c r="AB63" s="177" t="str">
        <f ca="1">IFERROR(__xludf.DUMMYFUNCTION("IMPORTRANGE(""https://docs.google.com/spreadsheets/d/1vVf6wykvW_lAyu7Yo9L4hUTqHqIeP_qcVuxCtosJEbg/edit?usp=sharing"",""ปราจีนบุรี!J315"")"),"")</f>
        <v/>
      </c>
      <c r="AC63" s="354" t="e">
        <f t="shared" ca="1" si="41"/>
        <v>#VALUE!</v>
      </c>
      <c r="AD63" s="353" t="str">
        <f ca="1">IFERROR(__xludf.DUMMYFUNCTION("IMPORTRANGE(""https://docs.google.com/spreadsheets/d/1vVf6wykvW_lAyu7Yo9L4hUTqHqIeP_qcVuxCtosJEbg/edit?usp=sharing"",""ปราจีนบุรี!I316"")"),"")</f>
        <v/>
      </c>
      <c r="AE63" s="177" t="str">
        <f ca="1">IFERROR(__xludf.DUMMYFUNCTION("IMPORTRANGE(""https://docs.google.com/spreadsheets/d/1vVf6wykvW_lAyu7Yo9L4hUTqHqIeP_qcVuxCtosJEbg/edit?usp=sharing"",""ปราจีนบุรี!J316"")"),"")</f>
        <v/>
      </c>
      <c r="AF63" s="354" t="e">
        <f t="shared" ca="1" si="43"/>
        <v>#VALUE!</v>
      </c>
      <c r="AG63" s="353" t="str">
        <f ca="1">IFERROR(__xludf.DUMMYFUNCTION("IMPORTRANGE(""https://docs.google.com/spreadsheets/d/1vVf6wykvW_lAyu7Yo9L4hUTqHqIeP_qcVuxCtosJEbg/edit?usp=sharing"",""ปราจีนบุรี!I317"")"),"")</f>
        <v/>
      </c>
      <c r="AH63" s="177" t="str">
        <f ca="1">IFERROR(__xludf.DUMMYFUNCTION("IMPORTRANGE(""https://docs.google.com/spreadsheets/d/1vVf6wykvW_lAyu7Yo9L4hUTqHqIeP_qcVuxCtosJEbg/edit?usp=sharing"",""ปราจีนบุรี!J317"")"),"")</f>
        <v/>
      </c>
      <c r="AI63" s="354" t="e">
        <f t="shared" ca="1" si="45"/>
        <v>#VALUE!</v>
      </c>
    </row>
    <row r="64" spans="1:35" ht="21" customHeight="1" x14ac:dyDescent="0.3">
      <c r="A64" s="89">
        <v>12</v>
      </c>
      <c r="B64" s="90" t="s">
        <v>90</v>
      </c>
      <c r="C64" s="174">
        <f t="shared" ca="1" si="27"/>
        <v>82400</v>
      </c>
      <c r="D64" s="175">
        <f t="shared" ca="1" si="60"/>
        <v>82400</v>
      </c>
      <c r="E64" s="176">
        <f ca="1">IFERROR(__xludf.DUMMYFUNCTION("IMPORTRANGE(""https://docs.google.com/spreadsheets/d/1-uDff_7J0KD5mKrp0Vvzr7lt3OU09vwQwhkpOPPYv2Y/edit?usp=sharing"",""งบพรบ!DZ64"")"),0)</f>
        <v>0</v>
      </c>
      <c r="F64" s="176">
        <f ca="1">IFERROR(__xludf.DUMMYFUNCTION("IMPORTRANGE(""https://docs.google.com/spreadsheets/d/1-uDff_7J0KD5mKrp0Vvzr7lt3OU09vwQwhkpOPPYv2Y/edit?usp=sharing"",""งบพรบ!EA64"")"),82400)</f>
        <v>82400</v>
      </c>
      <c r="G64" s="176">
        <f ca="1">IFERROR(__xludf.DUMMYFUNCTION("IMPORTRANGE(""https://docs.google.com/spreadsheets/d/1-uDff_7J0KD5mKrp0Vvzr7lt3OU09vwQwhkpOPPYv2Y/edit?usp=sharing"",""งบพรบ!EB64"")"),0)</f>
        <v>0</v>
      </c>
      <c r="H64" s="176">
        <f ca="1">IFERROR(__xludf.DUMMYFUNCTION("IMPORTRANGE(""https://docs.google.com/spreadsheets/d/1-uDff_7J0KD5mKrp0Vvzr7lt3OU09vwQwhkpOPPYv2Y/edit?usp=sharing"",""งบพรบ!ED64"")"),82400)</f>
        <v>82400</v>
      </c>
      <c r="I64" s="176">
        <f ca="1">IFERROR(__xludf.DUMMYFUNCTION("IMPORTRANGE(""https://docs.google.com/spreadsheets/d/1-uDff_7J0KD5mKrp0Vvzr7lt3OU09vwQwhkpOPPYv2Y/edit?usp=sharing"",""งบพรบ!EE64"")"),0)</f>
        <v>0</v>
      </c>
      <c r="J64" s="176">
        <f t="shared" ca="1" si="29"/>
        <v>2920</v>
      </c>
      <c r="K64" s="179">
        <f t="shared" ca="1" si="30"/>
        <v>3.5436893203883497</v>
      </c>
      <c r="L64" s="176">
        <f ca="1">IFERROR(__xludf.DUMMYFUNCTION("IMPORTRANGE(""https://docs.google.com/spreadsheets/d/1-uDff_7J0KD5mKrp0Vvzr7lt3OU09vwQwhkpOPPYv2Y/edit?usp=sharing"",""งบพรบ!EF64"")"),2920)</f>
        <v>2920</v>
      </c>
      <c r="M64" s="87">
        <f t="shared" ca="1" si="31"/>
        <v>3.5436893203883497</v>
      </c>
      <c r="N64" s="87">
        <f t="shared" ca="1" si="32"/>
        <v>3.5436893203883497</v>
      </c>
      <c r="O64" s="86">
        <f ca="1">IFERROR(__xludf.DUMMYFUNCTION("IMPORTRANGE(""https://docs.google.com/spreadsheets/d/1-uDff_7J0KD5mKrp0Vvzr7lt3OU09vwQwhkpOPPYv2Y/edit?usp=sharing"",""งบพรบ!EG64"")"),0)</f>
        <v>0</v>
      </c>
      <c r="P64" s="86">
        <f t="shared" ca="1" si="33"/>
        <v>0</v>
      </c>
      <c r="Q64" s="87">
        <f t="shared" ca="1" si="34"/>
        <v>0</v>
      </c>
      <c r="R64" s="241">
        <f ca="1">IFERROR(__xludf.DUMMYFUNCTION("IMPORTRANGE(""https://docs.google.com/spreadsheets/d/1BIDqLLg5jk3v59G8NlR8rk5xfQDKne0sAvZHSj7TI6I/edit?usp=sharing"",""พระนครศรีอยุธยา!Q303"")"),144609.24)</f>
        <v>144609.24</v>
      </c>
      <c r="S64" s="242">
        <f ca="1">IFERROR(__xludf.DUMMYFUNCTION("IMPORTRANGE(""https://docs.google.com/spreadsheets/d/1BIDqLLg5jk3v59G8NlR8rk5xfQDKne0sAvZHSj7TI6I/edit?usp=sharing"",""พระนครศรีอยุธยา!R303"")"),0)</f>
        <v>0</v>
      </c>
      <c r="T64" s="242">
        <f ca="1">IFERROR(__xludf.DUMMYFUNCTION("IMPORTRANGE(""https://docs.google.com/spreadsheets/d/1BIDqLLg5jk3v59G8NlR8rk5xfQDKne0sAvZHSj7TI6I/edit?usp=sharing"",""พระนครศรีอยุธยา!S303"")"),0)</f>
        <v>0</v>
      </c>
      <c r="U64" s="243">
        <f t="shared" ca="1" si="36"/>
        <v>0</v>
      </c>
      <c r="V64" s="243">
        <f t="shared" ca="1" si="37"/>
        <v>0</v>
      </c>
      <c r="W64" s="353" t="str">
        <f ca="1">IFERROR(__xludf.DUMMYFUNCTION("IMPORTRANGE(""https://docs.google.com/spreadsheets/d/1BIDqLLg5jk3v59G8NlR8rk5xfQDKne0sAvZHSj7TI6I/edit?usp=sharing"",""พระนครศรีอยุธยา!J313"")"),"")</f>
        <v/>
      </c>
      <c r="X64" s="353">
        <f ca="1">IFERROR(__xludf.DUMMYFUNCTION("IMPORTRANGE(""https://docs.google.com/spreadsheets/d/1BIDqLLg5jk3v59G8NlR8rk5xfQDKne0sAvZHSj7TI6I/edit?usp=sharing"",""พระนครศรีอยุธยา!I314"")"),20)</f>
        <v>20</v>
      </c>
      <c r="Y64" s="177">
        <f ca="1">IFERROR(__xludf.DUMMYFUNCTION("IMPORTRANGE(""https://docs.google.com/spreadsheets/d/1BIDqLLg5jk3v59G8NlR8rk5xfQDKne0sAvZHSj7TI6I/edit?usp=sharing"",""พระนครศรีอยุธยา!J314"")"),0)</f>
        <v>0</v>
      </c>
      <c r="Z64" s="354">
        <f t="shared" ca="1" si="39"/>
        <v>0</v>
      </c>
      <c r="AA64" s="353" t="str">
        <f ca="1">IFERROR(__xludf.DUMMYFUNCTION("IMPORTRANGE(""https://docs.google.com/spreadsheets/d/1BIDqLLg5jk3v59G8NlR8rk5xfQDKne0sAvZHSj7TI6I/edit?usp=sharing"",""พระนครศรีอยุธยา!I315"")"),"")</f>
        <v/>
      </c>
      <c r="AB64" s="177" t="str">
        <f ca="1">IFERROR(__xludf.DUMMYFUNCTION("IMPORTRANGE(""https://docs.google.com/spreadsheets/d/1BIDqLLg5jk3v59G8NlR8rk5xfQDKne0sAvZHSj7TI6I/edit?usp=sharing"",""พระนครศรีอยุธยา!J315"")"),"")</f>
        <v/>
      </c>
      <c r="AC64" s="354" t="e">
        <f t="shared" ca="1" si="41"/>
        <v>#VALUE!</v>
      </c>
      <c r="AD64" s="353" t="str">
        <f ca="1">IFERROR(__xludf.DUMMYFUNCTION("IMPORTRANGE(""https://docs.google.com/spreadsheets/d/1BIDqLLg5jk3v59G8NlR8rk5xfQDKne0sAvZHSj7TI6I/edit?usp=sharing"",""พระนครศรีอยุธยา!I316"")"),"")</f>
        <v/>
      </c>
      <c r="AE64" s="177" t="str">
        <f ca="1">IFERROR(__xludf.DUMMYFUNCTION("IMPORTRANGE(""https://docs.google.com/spreadsheets/d/1BIDqLLg5jk3v59G8NlR8rk5xfQDKne0sAvZHSj7TI6I/edit?usp=sharing"",""พระนครศรีอยุธยา!J316"")"),"")</f>
        <v/>
      </c>
      <c r="AF64" s="354" t="e">
        <f t="shared" ca="1" si="43"/>
        <v>#VALUE!</v>
      </c>
      <c r="AG64" s="353" t="str">
        <f ca="1">IFERROR(__xludf.DUMMYFUNCTION("IMPORTRANGE(""https://docs.google.com/spreadsheets/d/1BIDqLLg5jk3v59G8NlR8rk5xfQDKne0sAvZHSj7TI6I/edit?usp=sharing"",""พระนครศรีอยุธยา!I317"")"),"")</f>
        <v/>
      </c>
      <c r="AH64" s="177" t="str">
        <f ca="1">IFERROR(__xludf.DUMMYFUNCTION("IMPORTRANGE(""https://docs.google.com/spreadsheets/d/1BIDqLLg5jk3v59G8NlR8rk5xfQDKne0sAvZHSj7TI6I/edit?usp=sharing"",""พระนครศรีอยุธยา!J317"")"),"")</f>
        <v/>
      </c>
      <c r="AI64" s="354" t="e">
        <f t="shared" ca="1" si="45"/>
        <v>#VALUE!</v>
      </c>
    </row>
    <row r="65" spans="1:35" ht="21" customHeight="1" x14ac:dyDescent="0.3">
      <c r="A65" s="89">
        <v>13</v>
      </c>
      <c r="B65" s="90" t="s">
        <v>91</v>
      </c>
      <c r="C65" s="174">
        <f t="shared" ca="1" si="27"/>
        <v>0</v>
      </c>
      <c r="D65" s="175">
        <f t="shared" ca="1" si="60"/>
        <v>0</v>
      </c>
      <c r="E65" s="176">
        <f ca="1">IFERROR(__xludf.DUMMYFUNCTION("IMPORTRANGE(""https://docs.google.com/spreadsheets/d/1-uDff_7J0KD5mKrp0Vvzr7lt3OU09vwQwhkpOPPYv2Y/edit?usp=sharing"",""งบพรบ!DZ65"")"),0)</f>
        <v>0</v>
      </c>
      <c r="F65" s="176">
        <f ca="1">IFERROR(__xludf.DUMMYFUNCTION("IMPORTRANGE(""https://docs.google.com/spreadsheets/d/1-uDff_7J0KD5mKrp0Vvzr7lt3OU09vwQwhkpOPPYv2Y/edit?usp=sharing"",""งบพรบ!EA65"")"),0)</f>
        <v>0</v>
      </c>
      <c r="G65" s="176">
        <f ca="1">IFERROR(__xludf.DUMMYFUNCTION("IMPORTRANGE(""https://docs.google.com/spreadsheets/d/1-uDff_7J0KD5mKrp0Vvzr7lt3OU09vwQwhkpOPPYv2Y/edit?usp=sharing"",""งบพรบ!EB65"")"),0)</f>
        <v>0</v>
      </c>
      <c r="H65" s="176">
        <f ca="1">IFERROR(__xludf.DUMMYFUNCTION("IMPORTRANGE(""https://docs.google.com/spreadsheets/d/1-uDff_7J0KD5mKrp0Vvzr7lt3OU09vwQwhkpOPPYv2Y/edit?usp=sharing"",""งบพรบ!ED65"")"),0)</f>
        <v>0</v>
      </c>
      <c r="I65" s="176">
        <f ca="1">IFERROR(__xludf.DUMMYFUNCTION("IMPORTRANGE(""https://docs.google.com/spreadsheets/d/1-uDff_7J0KD5mKrp0Vvzr7lt3OU09vwQwhkpOPPYv2Y/edit?usp=sharing"",""งบพรบ!EE65"")"),0)</f>
        <v>0</v>
      </c>
      <c r="J65" s="176">
        <f t="shared" ca="1" si="29"/>
        <v>0</v>
      </c>
      <c r="K65" s="179">
        <f t="shared" ca="1" si="30"/>
        <v>0</v>
      </c>
      <c r="L65" s="176">
        <f ca="1">IFERROR(__xludf.DUMMYFUNCTION("IMPORTRANGE(""https://docs.google.com/spreadsheets/d/1-uDff_7J0KD5mKrp0Vvzr7lt3OU09vwQwhkpOPPYv2Y/edit?usp=sharing"",""งบพรบ!EF65"")"),0)</f>
        <v>0</v>
      </c>
      <c r="M65" s="87">
        <f t="shared" ca="1" si="31"/>
        <v>0</v>
      </c>
      <c r="N65" s="87">
        <f t="shared" ca="1" si="32"/>
        <v>0</v>
      </c>
      <c r="O65" s="86">
        <f ca="1">IFERROR(__xludf.DUMMYFUNCTION("IMPORTRANGE(""https://docs.google.com/spreadsheets/d/1-uDff_7J0KD5mKrp0Vvzr7lt3OU09vwQwhkpOPPYv2Y/edit?usp=sharing"",""งบพรบ!EG65"")"),0)</f>
        <v>0</v>
      </c>
      <c r="P65" s="86">
        <f t="shared" ca="1" si="33"/>
        <v>0</v>
      </c>
      <c r="Q65" s="87">
        <f t="shared" ca="1" si="34"/>
        <v>0</v>
      </c>
      <c r="R65" s="241">
        <f ca="1">IFERROR(__xludf.DUMMYFUNCTION("IMPORTRANGE(""https://docs.google.com/spreadsheets/d/1YXvxf8Yu6_rV4hTBrwMqAcAnv6DfhUxh5emyM3CJp_w/edit?usp=sharing"",""เพชรบุรี!Q303"")"),0)</f>
        <v>0</v>
      </c>
      <c r="S65" s="242">
        <f ca="1">IFERROR(__xludf.DUMMYFUNCTION("IMPORTRANGE(""https://docs.google.com/spreadsheets/d/1YXvxf8Yu6_rV4hTBrwMqAcAnv6DfhUxh5emyM3CJp_w/edit?usp=sharing"",""เพชรบุรี!R303"")"),0)</f>
        <v>0</v>
      </c>
      <c r="T65" s="242">
        <f ca="1">IFERROR(__xludf.DUMMYFUNCTION("IMPORTRANGE(""https://docs.google.com/spreadsheets/d/1YXvxf8Yu6_rV4hTBrwMqAcAnv6DfhUxh5emyM3CJp_w/edit?usp=sharing"",""เพชรบุรี!S303"")"),0)</f>
        <v>0</v>
      </c>
      <c r="U65" s="243">
        <f t="shared" ca="1" si="36"/>
        <v>0</v>
      </c>
      <c r="V65" s="243">
        <f t="shared" ca="1" si="37"/>
        <v>0</v>
      </c>
      <c r="W65" s="353" t="str">
        <f ca="1">IFERROR(__xludf.DUMMYFUNCTION("IMPORTRANGE(""https://docs.google.com/spreadsheets/d/1YXvxf8Yu6_rV4hTBrwMqAcAnv6DfhUxh5emyM3CJp_w/edit?usp=sharing"",""เพชรบุรี!J313"")"),"")</f>
        <v/>
      </c>
      <c r="X65" s="353">
        <f ca="1">IFERROR(__xludf.DUMMYFUNCTION("IMPORTRANGE(""https://docs.google.com/spreadsheets/d/1YXvxf8Yu6_rV4hTBrwMqAcAnv6DfhUxh5emyM3CJp_w/edit?usp=sharing"",""เพชรบุรี!I314"")"),0)</f>
        <v>0</v>
      </c>
      <c r="Y65" s="177">
        <f ca="1">IFERROR(__xludf.DUMMYFUNCTION("IMPORTRANGE(""https://docs.google.com/spreadsheets/d/1YXvxf8Yu6_rV4hTBrwMqAcAnv6DfhUxh5emyM3CJp_w/edit?usp=sharing"",""เพชรบุรี!J314"")"),0)</f>
        <v>0</v>
      </c>
      <c r="Z65" s="354">
        <f t="shared" ca="1" si="39"/>
        <v>0</v>
      </c>
      <c r="AA65" s="353" t="str">
        <f ca="1">IFERROR(__xludf.DUMMYFUNCTION("IMPORTRANGE(""https://docs.google.com/spreadsheets/d/1YXvxf8Yu6_rV4hTBrwMqAcAnv6DfhUxh5emyM3CJp_w/edit?usp=sharing"",""เพชรบุรี!I315"")"),"")</f>
        <v/>
      </c>
      <c r="AB65" s="177" t="str">
        <f ca="1">IFERROR(__xludf.DUMMYFUNCTION("IMPORTRANGE(""https://docs.google.com/spreadsheets/d/1YXvxf8Yu6_rV4hTBrwMqAcAnv6DfhUxh5emyM3CJp_w/edit?usp=sharing"",""เพชรบุรี!J315"")"),"")</f>
        <v/>
      </c>
      <c r="AC65" s="354">
        <f t="shared" ca="1" si="41"/>
        <v>0</v>
      </c>
      <c r="AD65" s="353" t="str">
        <f ca="1">IFERROR(__xludf.DUMMYFUNCTION("IMPORTRANGE(""https://docs.google.com/spreadsheets/d/1YXvxf8Yu6_rV4hTBrwMqAcAnv6DfhUxh5emyM3CJp_w/edit?usp=sharing"",""เพชรบุรี!I316"")"),"")</f>
        <v/>
      </c>
      <c r="AE65" s="177" t="str">
        <f ca="1">IFERROR(__xludf.DUMMYFUNCTION("IMPORTRANGE(""https://docs.google.com/spreadsheets/d/1YXvxf8Yu6_rV4hTBrwMqAcAnv6DfhUxh5emyM3CJp_w/edit?usp=sharing"",""เพชรบุรี!J316"")"),"")</f>
        <v/>
      </c>
      <c r="AF65" s="354" t="e">
        <f t="shared" ca="1" si="43"/>
        <v>#VALUE!</v>
      </c>
      <c r="AG65" s="353" t="str">
        <f ca="1">IFERROR(__xludf.DUMMYFUNCTION("IMPORTRANGE(""https://docs.google.com/spreadsheets/d/1YXvxf8Yu6_rV4hTBrwMqAcAnv6DfhUxh5emyM3CJp_w/edit?usp=sharing"",""เพชรบุรี!I317"")"),"")</f>
        <v/>
      </c>
      <c r="AH65" s="177" t="str">
        <f ca="1">IFERROR(__xludf.DUMMYFUNCTION("IMPORTRANGE(""https://docs.google.com/spreadsheets/d/1YXvxf8Yu6_rV4hTBrwMqAcAnv6DfhUxh5emyM3CJp_w/edit?usp=sharing"",""เพชรบุรี!J317"")"),"")</f>
        <v/>
      </c>
      <c r="AI65" s="354" t="e">
        <f t="shared" ca="1" si="45"/>
        <v>#VALUE!</v>
      </c>
    </row>
    <row r="66" spans="1:35" ht="21" customHeight="1" x14ac:dyDescent="0.3">
      <c r="A66" s="89">
        <v>14</v>
      </c>
      <c r="B66" s="90" t="s">
        <v>92</v>
      </c>
      <c r="C66" s="174">
        <f t="shared" ca="1" si="27"/>
        <v>101000</v>
      </c>
      <c r="D66" s="175">
        <f t="shared" ca="1" si="60"/>
        <v>101000</v>
      </c>
      <c r="E66" s="176">
        <f ca="1">IFERROR(__xludf.DUMMYFUNCTION("IMPORTRANGE(""https://docs.google.com/spreadsheets/d/1-uDff_7J0KD5mKrp0Vvzr7lt3OU09vwQwhkpOPPYv2Y/edit?usp=sharing"",""งบพรบ!DZ66"")"),0)</f>
        <v>0</v>
      </c>
      <c r="F66" s="176">
        <f ca="1">IFERROR(__xludf.DUMMYFUNCTION("IMPORTRANGE(""https://docs.google.com/spreadsheets/d/1-uDff_7J0KD5mKrp0Vvzr7lt3OU09vwQwhkpOPPYv2Y/edit?usp=sharing"",""งบพรบ!EA66"")"),101000)</f>
        <v>101000</v>
      </c>
      <c r="G66" s="176">
        <f ca="1">IFERROR(__xludf.DUMMYFUNCTION("IMPORTRANGE(""https://docs.google.com/spreadsheets/d/1-uDff_7J0KD5mKrp0Vvzr7lt3OU09vwQwhkpOPPYv2Y/edit?usp=sharing"",""งบพรบ!EB66"")"),0)</f>
        <v>0</v>
      </c>
      <c r="H66" s="176">
        <f ca="1">IFERROR(__xludf.DUMMYFUNCTION("IMPORTRANGE(""https://docs.google.com/spreadsheets/d/1-uDff_7J0KD5mKrp0Vvzr7lt3OU09vwQwhkpOPPYv2Y/edit?usp=sharing"",""งบพรบ!ED66"")"),101000)</f>
        <v>101000</v>
      </c>
      <c r="I66" s="176">
        <f ca="1">IFERROR(__xludf.DUMMYFUNCTION("IMPORTRANGE(""https://docs.google.com/spreadsheets/d/1-uDff_7J0KD5mKrp0Vvzr7lt3OU09vwQwhkpOPPYv2Y/edit?usp=sharing"",""งบพรบ!EE66"")"),0)</f>
        <v>0</v>
      </c>
      <c r="J66" s="176">
        <f t="shared" ca="1" si="29"/>
        <v>56925</v>
      </c>
      <c r="K66" s="179">
        <f t="shared" ca="1" si="30"/>
        <v>56.361386138613859</v>
      </c>
      <c r="L66" s="176">
        <f ca="1">IFERROR(__xludf.DUMMYFUNCTION("IMPORTRANGE(""https://docs.google.com/spreadsheets/d/1-uDff_7J0KD5mKrp0Vvzr7lt3OU09vwQwhkpOPPYv2Y/edit?usp=sharing"",""งบพรบ!EF66"")"),56925)</f>
        <v>56925</v>
      </c>
      <c r="M66" s="87">
        <f t="shared" ca="1" si="31"/>
        <v>56.361386138613859</v>
      </c>
      <c r="N66" s="87">
        <f t="shared" ca="1" si="32"/>
        <v>56.361386138613859</v>
      </c>
      <c r="O66" s="86">
        <f ca="1">IFERROR(__xludf.DUMMYFUNCTION("IMPORTRANGE(""https://docs.google.com/spreadsheets/d/1-uDff_7J0KD5mKrp0Vvzr7lt3OU09vwQwhkpOPPYv2Y/edit?usp=sharing"",""งบพรบ!EG66"")"),0)</f>
        <v>0</v>
      </c>
      <c r="P66" s="86">
        <f t="shared" ca="1" si="33"/>
        <v>0</v>
      </c>
      <c r="Q66" s="87">
        <f t="shared" ca="1" si="34"/>
        <v>0</v>
      </c>
      <c r="R66" s="241">
        <f ca="1">IFERROR(__xludf.DUMMYFUNCTION("IMPORTRANGE(""https://docs.google.com/spreadsheets/d/19KBlQQs7uwvsao6t2n-KvW3Ax8J8uRRfZPq1zPbXgKc/edit?usp=sharing"",""ระยอง!Q303"")"),166057.24)</f>
        <v>166057.24</v>
      </c>
      <c r="S66" s="242">
        <f ca="1">IFERROR(__xludf.DUMMYFUNCTION("IMPORTRANGE(""https://docs.google.com/spreadsheets/d/19KBlQQs7uwvsao6t2n-KvW3Ax8J8uRRfZPq1zPbXgKc/edit?usp=sharing"",""ระยอง!R303"")"),0)</f>
        <v>0</v>
      </c>
      <c r="T66" s="242">
        <f ca="1">IFERROR(__xludf.DUMMYFUNCTION("IMPORTRANGE(""https://docs.google.com/spreadsheets/d/19KBlQQs7uwvsao6t2n-KvW3Ax8J8uRRfZPq1zPbXgKc/edit?usp=sharing"",""ระยอง!S303"")"),0)</f>
        <v>0</v>
      </c>
      <c r="U66" s="243">
        <f t="shared" ca="1" si="36"/>
        <v>0</v>
      </c>
      <c r="V66" s="243">
        <f t="shared" ca="1" si="37"/>
        <v>0</v>
      </c>
      <c r="W66" s="353" t="str">
        <f ca="1">IFERROR(__xludf.DUMMYFUNCTION("IMPORTRANGE(""https://docs.google.com/spreadsheets/d/19KBlQQs7uwvsao6t2n-KvW3Ax8J8uRRfZPq1zPbXgKc/edit?usp=sharing"",""ระยอง!J313"")"),"")</f>
        <v/>
      </c>
      <c r="X66" s="353">
        <f ca="1">IFERROR(__xludf.DUMMYFUNCTION("IMPORTRANGE(""https://docs.google.com/spreadsheets/d/19KBlQQs7uwvsao6t2n-KvW3Ax8J8uRRfZPq1zPbXgKc/edit?usp=sharing"",""ระยอง!I314"")"),25)</f>
        <v>25</v>
      </c>
      <c r="Y66" s="177">
        <f ca="1">IFERROR(__xludf.DUMMYFUNCTION("IMPORTRANGE(""https://docs.google.com/spreadsheets/d/19KBlQQs7uwvsao6t2n-KvW3Ax8J8uRRfZPq1zPbXgKc/edit?usp=sharing"",""ระยอง!J314"")"),25)</f>
        <v>25</v>
      </c>
      <c r="Z66" s="354">
        <f t="shared" ca="1" si="39"/>
        <v>100</v>
      </c>
      <c r="AA66" s="353" t="str">
        <f ca="1">IFERROR(__xludf.DUMMYFUNCTION("IMPORTRANGE(""https://docs.google.com/spreadsheets/d/19KBlQQs7uwvsao6t2n-KvW3Ax8J8uRRfZPq1zPbXgKc/edit?usp=sharing"",""ระยอง!I315"")"),"")</f>
        <v/>
      </c>
      <c r="AB66" s="177" t="str">
        <f ca="1">IFERROR(__xludf.DUMMYFUNCTION("IMPORTRANGE(""https://docs.google.com/spreadsheets/d/19KBlQQs7uwvsao6t2n-KvW3Ax8J8uRRfZPq1zPbXgKc/edit?usp=sharing"",""ระยอง!J315"")"),"")</f>
        <v/>
      </c>
      <c r="AC66" s="354" t="e">
        <f t="shared" ca="1" si="41"/>
        <v>#VALUE!</v>
      </c>
      <c r="AD66" s="353" t="str">
        <f ca="1">IFERROR(__xludf.DUMMYFUNCTION("IMPORTRANGE(""https://docs.google.com/spreadsheets/d/19KBlQQs7uwvsao6t2n-KvW3Ax8J8uRRfZPq1zPbXgKc/edit?usp=sharing"",""ระยอง!I316"")"),"")</f>
        <v/>
      </c>
      <c r="AE66" s="177" t="str">
        <f ca="1">IFERROR(__xludf.DUMMYFUNCTION("IMPORTRANGE(""https://docs.google.com/spreadsheets/d/19KBlQQs7uwvsao6t2n-KvW3Ax8J8uRRfZPq1zPbXgKc/edit?usp=sharing"",""ระยอง!J316"")"),"")</f>
        <v/>
      </c>
      <c r="AF66" s="354" t="e">
        <f t="shared" ca="1" si="43"/>
        <v>#VALUE!</v>
      </c>
      <c r="AG66" s="353" t="str">
        <f ca="1">IFERROR(__xludf.DUMMYFUNCTION("IMPORTRANGE(""https://docs.google.com/spreadsheets/d/19KBlQQs7uwvsao6t2n-KvW3Ax8J8uRRfZPq1zPbXgKc/edit?usp=sharing"",""ระยอง!I317"")"),"")</f>
        <v/>
      </c>
      <c r="AH66" s="177" t="str">
        <f ca="1">IFERROR(__xludf.DUMMYFUNCTION("IMPORTRANGE(""https://docs.google.com/spreadsheets/d/19KBlQQs7uwvsao6t2n-KvW3Ax8J8uRRfZPq1zPbXgKc/edit?usp=sharing"",""ระยอง!J317"")"),"")</f>
        <v/>
      </c>
      <c r="AI66" s="354" t="e">
        <f t="shared" ca="1" si="45"/>
        <v>#VALUE!</v>
      </c>
    </row>
    <row r="67" spans="1:35" ht="21" customHeight="1" x14ac:dyDescent="0.3">
      <c r="A67" s="89">
        <v>15</v>
      </c>
      <c r="B67" s="90" t="s">
        <v>93</v>
      </c>
      <c r="C67" s="174">
        <f t="shared" ca="1" si="27"/>
        <v>0</v>
      </c>
      <c r="D67" s="175">
        <f t="shared" ca="1" si="60"/>
        <v>0</v>
      </c>
      <c r="E67" s="176">
        <f ca="1">IFERROR(__xludf.DUMMYFUNCTION("IMPORTRANGE(""https://docs.google.com/spreadsheets/d/1-uDff_7J0KD5mKrp0Vvzr7lt3OU09vwQwhkpOPPYv2Y/edit?usp=sharing"",""งบพรบ!DZ67"")"),0)</f>
        <v>0</v>
      </c>
      <c r="F67" s="176">
        <f ca="1">IFERROR(__xludf.DUMMYFUNCTION("IMPORTRANGE(""https://docs.google.com/spreadsheets/d/1-uDff_7J0KD5mKrp0Vvzr7lt3OU09vwQwhkpOPPYv2Y/edit?usp=sharing"",""งบพรบ!EA67"")"),0)</f>
        <v>0</v>
      </c>
      <c r="G67" s="176">
        <f ca="1">IFERROR(__xludf.DUMMYFUNCTION("IMPORTRANGE(""https://docs.google.com/spreadsheets/d/1-uDff_7J0KD5mKrp0Vvzr7lt3OU09vwQwhkpOPPYv2Y/edit?usp=sharing"",""งบพรบ!EB67"")"),0)</f>
        <v>0</v>
      </c>
      <c r="H67" s="176">
        <f ca="1">IFERROR(__xludf.DUMMYFUNCTION("IMPORTRANGE(""https://docs.google.com/spreadsheets/d/1-uDff_7J0KD5mKrp0Vvzr7lt3OU09vwQwhkpOPPYv2Y/edit?usp=sharing"",""งบพรบ!ED67"")"),0)</f>
        <v>0</v>
      </c>
      <c r="I67" s="176">
        <f ca="1">IFERROR(__xludf.DUMMYFUNCTION("IMPORTRANGE(""https://docs.google.com/spreadsheets/d/1-uDff_7J0KD5mKrp0Vvzr7lt3OU09vwQwhkpOPPYv2Y/edit?usp=sharing"",""งบพรบ!EE67"")"),0)</f>
        <v>0</v>
      </c>
      <c r="J67" s="176">
        <f t="shared" ca="1" si="29"/>
        <v>0</v>
      </c>
      <c r="K67" s="179">
        <f t="shared" ca="1" si="30"/>
        <v>0</v>
      </c>
      <c r="L67" s="176">
        <f ca="1">IFERROR(__xludf.DUMMYFUNCTION("IMPORTRANGE(""https://docs.google.com/spreadsheets/d/1-uDff_7J0KD5mKrp0Vvzr7lt3OU09vwQwhkpOPPYv2Y/edit?usp=sharing"",""งบพรบ!EF67"")"),0)</f>
        <v>0</v>
      </c>
      <c r="M67" s="87">
        <f t="shared" ca="1" si="31"/>
        <v>0</v>
      </c>
      <c r="N67" s="87">
        <f t="shared" ca="1" si="32"/>
        <v>0</v>
      </c>
      <c r="O67" s="86">
        <f ca="1">IFERROR(__xludf.DUMMYFUNCTION("IMPORTRANGE(""https://docs.google.com/spreadsheets/d/1-uDff_7J0KD5mKrp0Vvzr7lt3OU09vwQwhkpOPPYv2Y/edit?usp=sharing"",""งบพรบ!EG67"")"),0)</f>
        <v>0</v>
      </c>
      <c r="P67" s="86">
        <f t="shared" ca="1" si="33"/>
        <v>0</v>
      </c>
      <c r="Q67" s="87">
        <f t="shared" ca="1" si="34"/>
        <v>0</v>
      </c>
      <c r="R67" s="241">
        <f ca="1">IFERROR(__xludf.DUMMYFUNCTION("IMPORTRANGE(""https://docs.google.com/spreadsheets/d/1jQ6P4QcrGM89YfqcC_PxOHGCMq5ezhucwJd8ci-NHng/edit?usp=sharing"",""ราชบุรี!Q303"")"),260958.39)</f>
        <v>260958.39</v>
      </c>
      <c r="S67" s="242">
        <f ca="1">IFERROR(__xludf.DUMMYFUNCTION("IMPORTRANGE(""https://docs.google.com/spreadsheets/d/1jQ6P4QcrGM89YfqcC_PxOHGCMq5ezhucwJd8ci-NHng/edit?usp=sharing"",""ราชบุรี!R303"")"),0)</f>
        <v>0</v>
      </c>
      <c r="T67" s="242">
        <f ca="1">IFERROR(__xludf.DUMMYFUNCTION("IMPORTRANGE(""https://docs.google.com/spreadsheets/d/1jQ6P4QcrGM89YfqcC_PxOHGCMq5ezhucwJd8ci-NHng/edit?usp=sharing"",""ราชบุรี!S303"")"),0)</f>
        <v>0</v>
      </c>
      <c r="U67" s="243">
        <f t="shared" ca="1" si="36"/>
        <v>0</v>
      </c>
      <c r="V67" s="243">
        <f t="shared" ca="1" si="37"/>
        <v>0</v>
      </c>
      <c r="W67" s="353" t="str">
        <f ca="1">IFERROR(__xludf.DUMMYFUNCTION("IMPORTRANGE(""https://docs.google.com/spreadsheets/d/1jQ6P4QcrGM89YfqcC_PxOHGCMq5ezhucwJd8ci-NHng/edit?usp=sharing"",""ราชบุรี!J313"")"),"")</f>
        <v/>
      </c>
      <c r="X67" s="355">
        <f ca="1">IFERROR(__xludf.DUMMYFUNCTION("IMPORTRANGE(""https://docs.google.com/spreadsheets/d/1jQ6P4QcrGM89YfqcC_PxOHGCMq5ezhucwJd8ci-NHng/edit?usp=sharing"",""ราชบุรี!I314"")"),30)</f>
        <v>30</v>
      </c>
      <c r="Y67" s="177">
        <f ca="1">IFERROR(__xludf.DUMMYFUNCTION("IMPORTRANGE(""https://docs.google.com/spreadsheets/d/1jQ6P4QcrGM89YfqcC_PxOHGCMq5ezhucwJd8ci-NHng/edit?usp=sharing"",""ราชบุรี!J314"")"),0)</f>
        <v>0</v>
      </c>
      <c r="Z67" s="354">
        <f t="shared" ca="1" si="39"/>
        <v>0</v>
      </c>
      <c r="AA67" s="355" t="str">
        <f ca="1">IFERROR(__xludf.DUMMYFUNCTION("IMPORTRANGE(""https://docs.google.com/spreadsheets/d/1jQ6P4QcrGM89YfqcC_PxOHGCMq5ezhucwJd8ci-NHng/edit?usp=sharing"",""ราชบุรี!I315"")"),"")</f>
        <v/>
      </c>
      <c r="AB67" s="177" t="str">
        <f ca="1">IFERROR(__xludf.DUMMYFUNCTION("IMPORTRANGE(""https://docs.google.com/spreadsheets/d/1jQ6P4QcrGM89YfqcC_PxOHGCMq5ezhucwJd8ci-NHng/edit?usp=sharing"",""ราชบุรี!J315"")"),"")</f>
        <v/>
      </c>
      <c r="AC67" s="354" t="e">
        <f t="shared" ca="1" si="41"/>
        <v>#VALUE!</v>
      </c>
      <c r="AD67" s="355" t="str">
        <f ca="1">IFERROR(__xludf.DUMMYFUNCTION("IMPORTRANGE(""https://docs.google.com/spreadsheets/d/1jQ6P4QcrGM89YfqcC_PxOHGCMq5ezhucwJd8ci-NHng/edit?usp=sharing"",""ราชบุรี!I316"")"),"")</f>
        <v/>
      </c>
      <c r="AE67" s="177" t="str">
        <f ca="1">IFERROR(__xludf.DUMMYFUNCTION("IMPORTRANGE(""https://docs.google.com/spreadsheets/d/1jQ6P4QcrGM89YfqcC_PxOHGCMq5ezhucwJd8ci-NHng/edit?usp=sharing"",""ราชบุรี!J316"")"),"")</f>
        <v/>
      </c>
      <c r="AF67" s="354" t="e">
        <f t="shared" ca="1" si="43"/>
        <v>#VALUE!</v>
      </c>
      <c r="AG67" s="355" t="str">
        <f ca="1">IFERROR(__xludf.DUMMYFUNCTION("IMPORTRANGE(""https://docs.google.com/spreadsheets/d/1jQ6P4QcrGM89YfqcC_PxOHGCMq5ezhucwJd8ci-NHng/edit?usp=sharing"",""ราชบุรี!I317"")"),"")</f>
        <v/>
      </c>
      <c r="AH67" s="177" t="str">
        <f ca="1">IFERROR(__xludf.DUMMYFUNCTION("IMPORTRANGE(""https://docs.google.com/spreadsheets/d/1jQ6P4QcrGM89YfqcC_PxOHGCMq5ezhucwJd8ci-NHng/edit?usp=sharing"",""ราชบุรี!J317"")"),"")</f>
        <v/>
      </c>
      <c r="AI67" s="354" t="e">
        <f t="shared" ca="1" si="45"/>
        <v>#VALUE!</v>
      </c>
    </row>
    <row r="68" spans="1:35" ht="24" customHeight="1" x14ac:dyDescent="0.3">
      <c r="A68" s="89">
        <v>16</v>
      </c>
      <c r="B68" s="90" t="s">
        <v>94</v>
      </c>
      <c r="C68" s="174">
        <f t="shared" ca="1" si="27"/>
        <v>203200</v>
      </c>
      <c r="D68" s="175">
        <f t="shared" ca="1" si="60"/>
        <v>203200</v>
      </c>
      <c r="E68" s="176">
        <f ca="1">IFERROR(__xludf.DUMMYFUNCTION("IMPORTRANGE(""https://docs.google.com/spreadsheets/d/1-uDff_7J0KD5mKrp0Vvzr7lt3OU09vwQwhkpOPPYv2Y/edit?usp=sharing"",""งบพรบ!DZ68"")"),102200)</f>
        <v>102200</v>
      </c>
      <c r="F68" s="176">
        <f ca="1">IFERROR(__xludf.DUMMYFUNCTION("IMPORTRANGE(""https://docs.google.com/spreadsheets/d/1-uDff_7J0KD5mKrp0Vvzr7lt3OU09vwQwhkpOPPYv2Y/edit?usp=sharing"",""งบพรบ!EA68"")"),101000)</f>
        <v>101000</v>
      </c>
      <c r="G68" s="176">
        <f ca="1">IFERROR(__xludf.DUMMYFUNCTION("IMPORTRANGE(""https://docs.google.com/spreadsheets/d/1-uDff_7J0KD5mKrp0Vvzr7lt3OU09vwQwhkpOPPYv2Y/edit?usp=sharing"",""งบพรบ!EB68"")"),0)</f>
        <v>0</v>
      </c>
      <c r="H68" s="176">
        <f ca="1">IFERROR(__xludf.DUMMYFUNCTION("IMPORTRANGE(""https://docs.google.com/spreadsheets/d/1-uDff_7J0KD5mKrp0Vvzr7lt3OU09vwQwhkpOPPYv2Y/edit?usp=sharing"",""งบพรบ!ED68"")"),203200)</f>
        <v>203200</v>
      </c>
      <c r="I68" s="176">
        <f ca="1">IFERROR(__xludf.DUMMYFUNCTION("IMPORTRANGE(""https://docs.google.com/spreadsheets/d/1-uDff_7J0KD5mKrp0Vvzr7lt3OU09vwQwhkpOPPYv2Y/edit?usp=sharing"",""งบพรบ!EE68"")"),0)</f>
        <v>0</v>
      </c>
      <c r="J68" s="176">
        <f t="shared" ca="1" si="29"/>
        <v>45524</v>
      </c>
      <c r="K68" s="179">
        <f t="shared" ca="1" si="30"/>
        <v>22.403543307086615</v>
      </c>
      <c r="L68" s="176">
        <f ca="1">IFERROR(__xludf.DUMMYFUNCTION("IMPORTRANGE(""https://docs.google.com/spreadsheets/d/1-uDff_7J0KD5mKrp0Vvzr7lt3OU09vwQwhkpOPPYv2Y/edit?usp=sharing"",""งบพรบ!EF68"")"),45524)</f>
        <v>45524</v>
      </c>
      <c r="M68" s="87">
        <f t="shared" ca="1" si="31"/>
        <v>22.403543307086615</v>
      </c>
      <c r="N68" s="87">
        <f t="shared" ca="1" si="32"/>
        <v>22.403543307086615</v>
      </c>
      <c r="O68" s="86">
        <f ca="1">IFERROR(__xludf.DUMMYFUNCTION("IMPORTRANGE(""https://docs.google.com/spreadsheets/d/1-uDff_7J0KD5mKrp0Vvzr7lt3OU09vwQwhkpOPPYv2Y/edit?usp=sharing"",""งบพรบ!EG68"")"),0)</f>
        <v>0</v>
      </c>
      <c r="P68" s="86">
        <f t="shared" ca="1" si="33"/>
        <v>0</v>
      </c>
      <c r="Q68" s="87">
        <f t="shared" ca="1" si="34"/>
        <v>0</v>
      </c>
      <c r="R68" s="241">
        <f ca="1">IFERROR(__xludf.DUMMYFUNCTION("IMPORTRANGE(""https://docs.google.com/spreadsheets/d/1lufeA2cfFqM-elVq2hznhDzC6Pr7wkJ9ZG_sYNGCMCU/edit?usp=sharing"",""ลพบุรี!Q303"")"),166057.24)</f>
        <v>166057.24</v>
      </c>
      <c r="S68" s="242">
        <f ca="1">IFERROR(__xludf.DUMMYFUNCTION("IMPORTRANGE(""https://docs.google.com/spreadsheets/d/1lufeA2cfFqM-elVq2hznhDzC6Pr7wkJ9ZG_sYNGCMCU/edit?usp=sharing"",""ลพบุรี!R303"")"),0)</f>
        <v>0</v>
      </c>
      <c r="T68" s="242">
        <f ca="1">IFERROR(__xludf.DUMMYFUNCTION("IMPORTRANGE(""https://docs.google.com/spreadsheets/d/1lufeA2cfFqM-elVq2hznhDzC6Pr7wkJ9ZG_sYNGCMCU/edit?usp=sharing"",""ลพบุรี!S303"")"),0)</f>
        <v>0</v>
      </c>
      <c r="U68" s="243">
        <f t="shared" ca="1" si="36"/>
        <v>0</v>
      </c>
      <c r="V68" s="243">
        <f t="shared" ca="1" si="37"/>
        <v>0</v>
      </c>
      <c r="W68" s="353" t="str">
        <f ca="1">IFERROR(__xludf.DUMMYFUNCTION("IMPORTRANGE(""https://docs.google.com/spreadsheets/d/1lufeA2cfFqM-elVq2hznhDzC6Pr7wkJ9ZG_sYNGCMCU/edit?usp=sharing"",""ลพบุรี!J313"")"),"")</f>
        <v/>
      </c>
      <c r="X68" s="353">
        <f ca="1">IFERROR(__xludf.DUMMYFUNCTION("IMPORTRANGE(""https://docs.google.com/spreadsheets/d/1lufeA2cfFqM-elVq2hznhDzC6Pr7wkJ9ZG_sYNGCMCU/edit?usp=sharing"",""ลพบุรี!I314"")"),25)</f>
        <v>25</v>
      </c>
      <c r="Y68" s="177">
        <f ca="1">IFERROR(__xludf.DUMMYFUNCTION("IMPORTRANGE(""https://docs.google.com/spreadsheets/d/1lufeA2cfFqM-elVq2hznhDzC6Pr7wkJ9ZG_sYNGCMCU/edit?usp=sharing"",""ลพบุรี!J314"")"),0)</f>
        <v>0</v>
      </c>
      <c r="Z68" s="354">
        <f t="shared" ca="1" si="39"/>
        <v>0</v>
      </c>
      <c r="AA68" s="353" t="str">
        <f ca="1">IFERROR(__xludf.DUMMYFUNCTION("IMPORTRANGE(""https://docs.google.com/spreadsheets/d/1lufeA2cfFqM-elVq2hznhDzC6Pr7wkJ9ZG_sYNGCMCU/edit?usp=sharing"",""ลพบุรี!I315"")"),"")</f>
        <v/>
      </c>
      <c r="AB68" s="177" t="str">
        <f ca="1">IFERROR(__xludf.DUMMYFUNCTION("IMPORTRANGE(""https://docs.google.com/spreadsheets/d/1lufeA2cfFqM-elVq2hznhDzC6Pr7wkJ9ZG_sYNGCMCU/edit?usp=sharing"",""ลพบุรี!J315"")"),"")</f>
        <v/>
      </c>
      <c r="AC68" s="354" t="e">
        <f t="shared" ca="1" si="41"/>
        <v>#VALUE!</v>
      </c>
      <c r="AD68" s="353" t="str">
        <f ca="1">IFERROR(__xludf.DUMMYFUNCTION("IMPORTRANGE(""https://docs.google.com/spreadsheets/d/1lufeA2cfFqM-elVq2hznhDzC6Pr7wkJ9ZG_sYNGCMCU/edit?usp=sharing"",""ลพบุรี!I316"")"),"")</f>
        <v/>
      </c>
      <c r="AE68" s="177" t="str">
        <f ca="1">IFERROR(__xludf.DUMMYFUNCTION("IMPORTRANGE(""https://docs.google.com/spreadsheets/d/1lufeA2cfFqM-elVq2hznhDzC6Pr7wkJ9ZG_sYNGCMCU/edit?usp=sharing"",""ลพบุรี!J316"")"),"")</f>
        <v/>
      </c>
      <c r="AF68" s="354" t="e">
        <f t="shared" ca="1" si="43"/>
        <v>#VALUE!</v>
      </c>
      <c r="AG68" s="353" t="str">
        <f ca="1">IFERROR(__xludf.DUMMYFUNCTION("IMPORTRANGE(""https://docs.google.com/spreadsheets/d/1lufeA2cfFqM-elVq2hznhDzC6Pr7wkJ9ZG_sYNGCMCU/edit?usp=sharing"",""ลพบุรี!I317"")"),"")</f>
        <v/>
      </c>
      <c r="AH68" s="177" t="str">
        <f ca="1">IFERROR(__xludf.DUMMYFUNCTION("IMPORTRANGE(""https://docs.google.com/spreadsheets/d/1lufeA2cfFqM-elVq2hznhDzC6Pr7wkJ9ZG_sYNGCMCU/edit?usp=sharing"",""ลพบุรี!J317"")"),"")</f>
        <v/>
      </c>
      <c r="AI68" s="354" t="e">
        <f t="shared" ca="1" si="45"/>
        <v>#VALUE!</v>
      </c>
    </row>
    <row r="69" spans="1:35" ht="21" customHeight="1" x14ac:dyDescent="0.3">
      <c r="A69" s="89">
        <v>17</v>
      </c>
      <c r="B69" s="90" t="s">
        <v>95</v>
      </c>
      <c r="C69" s="174">
        <f t="shared" ca="1" si="27"/>
        <v>0</v>
      </c>
      <c r="D69" s="175">
        <f t="shared" ca="1" si="60"/>
        <v>0</v>
      </c>
      <c r="E69" s="176">
        <f ca="1">IFERROR(__xludf.DUMMYFUNCTION("IMPORTRANGE(""https://docs.google.com/spreadsheets/d/1-uDff_7J0KD5mKrp0Vvzr7lt3OU09vwQwhkpOPPYv2Y/edit?usp=sharing"",""งบพรบ!DZ69"")"),0)</f>
        <v>0</v>
      </c>
      <c r="F69" s="176">
        <f ca="1">IFERROR(__xludf.DUMMYFUNCTION("IMPORTRANGE(""https://docs.google.com/spreadsheets/d/1-uDff_7J0KD5mKrp0Vvzr7lt3OU09vwQwhkpOPPYv2Y/edit?usp=sharing"",""งบพรบ!EA69"")"),0)</f>
        <v>0</v>
      </c>
      <c r="G69" s="176">
        <f ca="1">IFERROR(__xludf.DUMMYFUNCTION("IMPORTRANGE(""https://docs.google.com/spreadsheets/d/1-uDff_7J0KD5mKrp0Vvzr7lt3OU09vwQwhkpOPPYv2Y/edit?usp=sharing"",""งบพรบ!EB69"")"),0)</f>
        <v>0</v>
      </c>
      <c r="H69" s="176">
        <f ca="1">IFERROR(__xludf.DUMMYFUNCTION("IMPORTRANGE(""https://docs.google.com/spreadsheets/d/1-uDff_7J0KD5mKrp0Vvzr7lt3OU09vwQwhkpOPPYv2Y/edit?usp=sharing"",""งบพรบ!ED69"")"),0)</f>
        <v>0</v>
      </c>
      <c r="I69" s="176">
        <f ca="1">IFERROR(__xludf.DUMMYFUNCTION("IMPORTRANGE(""https://docs.google.com/spreadsheets/d/1-uDff_7J0KD5mKrp0Vvzr7lt3OU09vwQwhkpOPPYv2Y/edit?usp=sharing"",""งบพรบ!EE69"")"),0)</f>
        <v>0</v>
      </c>
      <c r="J69" s="176">
        <f t="shared" ca="1" si="29"/>
        <v>0</v>
      </c>
      <c r="K69" s="179">
        <f t="shared" ca="1" si="30"/>
        <v>0</v>
      </c>
      <c r="L69" s="176">
        <f ca="1">IFERROR(__xludf.DUMMYFUNCTION("IMPORTRANGE(""https://docs.google.com/spreadsheets/d/1-uDff_7J0KD5mKrp0Vvzr7lt3OU09vwQwhkpOPPYv2Y/edit?usp=sharing"",""งบพรบ!EF69"")"),0)</f>
        <v>0</v>
      </c>
      <c r="M69" s="87">
        <f t="shared" ca="1" si="31"/>
        <v>0</v>
      </c>
      <c r="N69" s="87">
        <f t="shared" ca="1" si="32"/>
        <v>0</v>
      </c>
      <c r="O69" s="86">
        <f ca="1">IFERROR(__xludf.DUMMYFUNCTION("IMPORTRANGE(""https://docs.google.com/spreadsheets/d/1-uDff_7J0KD5mKrp0Vvzr7lt3OU09vwQwhkpOPPYv2Y/edit?usp=sharing"",""งบพรบ!EG69"")"),0)</f>
        <v>0</v>
      </c>
      <c r="P69" s="86">
        <f t="shared" ca="1" si="33"/>
        <v>0</v>
      </c>
      <c r="Q69" s="87">
        <f t="shared" ca="1" si="34"/>
        <v>0</v>
      </c>
      <c r="R69" s="241">
        <f ca="1">IFERROR(__xludf.DUMMYFUNCTION("IMPORTRANGE(""https://docs.google.com/spreadsheets/d/10oOiF7loTyfsTkbd4MpaIm0HQ9SwB7IYHdIUvt-U1Uc/edit?usp=sharing"",""สระแก้ว!Q303"")"),0)</f>
        <v>0</v>
      </c>
      <c r="S69" s="242">
        <f ca="1">IFERROR(__xludf.DUMMYFUNCTION("IMPORTRANGE(""https://docs.google.com/spreadsheets/d/10oOiF7loTyfsTkbd4MpaIm0HQ9SwB7IYHdIUvt-U1Uc/edit?usp=sharing"",""สระแก้ว!R303"")"),0)</f>
        <v>0</v>
      </c>
      <c r="T69" s="242">
        <f ca="1">IFERROR(__xludf.DUMMYFUNCTION("IMPORTRANGE(""https://docs.google.com/spreadsheets/d/10oOiF7loTyfsTkbd4MpaIm0HQ9SwB7IYHdIUvt-U1Uc/edit?usp=sharing"",""สระแก้ว!S303"")"),0)</f>
        <v>0</v>
      </c>
      <c r="U69" s="243">
        <f t="shared" ca="1" si="36"/>
        <v>0</v>
      </c>
      <c r="V69" s="243">
        <f t="shared" ca="1" si="37"/>
        <v>0</v>
      </c>
      <c r="W69" s="353" t="str">
        <f ca="1">IFERROR(__xludf.DUMMYFUNCTION("IMPORTRANGE(""https://docs.google.com/spreadsheets/d/10oOiF7loTyfsTkbd4MpaIm0HQ9SwB7IYHdIUvt-U1Uc/edit?usp=sharing"",""สระแก้ว!J313"")"),"")</f>
        <v/>
      </c>
      <c r="X69" s="353">
        <f ca="1">IFERROR(__xludf.DUMMYFUNCTION("IMPORTRANGE(""https://docs.google.com/spreadsheets/d/10oOiF7loTyfsTkbd4MpaIm0HQ9SwB7IYHdIUvt-U1Uc/edit?usp=sharing"",""สระแก้ว!I314"")"),0)</f>
        <v>0</v>
      </c>
      <c r="Y69" s="177">
        <f ca="1">IFERROR(__xludf.DUMMYFUNCTION("IMPORTRANGE(""https://docs.google.com/spreadsheets/d/10oOiF7loTyfsTkbd4MpaIm0HQ9SwB7IYHdIUvt-U1Uc/edit?usp=sharing"",""สระแก้ว!J314"")"),0)</f>
        <v>0</v>
      </c>
      <c r="Z69" s="354">
        <f t="shared" ca="1" si="39"/>
        <v>0</v>
      </c>
      <c r="AA69" s="353" t="str">
        <f ca="1">IFERROR(__xludf.DUMMYFUNCTION("IMPORTRANGE(""https://docs.google.com/spreadsheets/d/10oOiF7loTyfsTkbd4MpaIm0HQ9SwB7IYHdIUvt-U1Uc/edit?usp=sharing"",""สระแก้ว!I315"")"),"")</f>
        <v/>
      </c>
      <c r="AB69" s="177" t="str">
        <f ca="1">IFERROR(__xludf.DUMMYFUNCTION("IMPORTRANGE(""https://docs.google.com/spreadsheets/d/10oOiF7loTyfsTkbd4MpaIm0HQ9SwB7IYHdIUvt-U1Uc/edit?usp=sharing"",""สระแก้ว!J315"")"),"")</f>
        <v/>
      </c>
      <c r="AC69" s="354">
        <f t="shared" ca="1" si="41"/>
        <v>0</v>
      </c>
      <c r="AD69" s="353" t="str">
        <f ca="1">IFERROR(__xludf.DUMMYFUNCTION("IMPORTRANGE(""https://docs.google.com/spreadsheets/d/10oOiF7loTyfsTkbd4MpaIm0HQ9SwB7IYHdIUvt-U1Uc/edit?usp=sharing"",""สระแก้ว!I316"")"),"")</f>
        <v/>
      </c>
      <c r="AE69" s="177" t="str">
        <f ca="1">IFERROR(__xludf.DUMMYFUNCTION("IMPORTRANGE(""https://docs.google.com/spreadsheets/d/10oOiF7loTyfsTkbd4MpaIm0HQ9SwB7IYHdIUvt-U1Uc/edit?usp=sharing"",""สระแก้ว!J316"")"),"")</f>
        <v/>
      </c>
      <c r="AF69" s="354" t="e">
        <f t="shared" ca="1" si="43"/>
        <v>#VALUE!</v>
      </c>
      <c r="AG69" s="353" t="str">
        <f ca="1">IFERROR(__xludf.DUMMYFUNCTION("IMPORTRANGE(""https://docs.google.com/spreadsheets/d/10oOiF7loTyfsTkbd4MpaIm0HQ9SwB7IYHdIUvt-U1Uc/edit?usp=sharing"",""สระแก้ว!I317"")"),"")</f>
        <v/>
      </c>
      <c r="AH69" s="177" t="str">
        <f ca="1">IFERROR(__xludf.DUMMYFUNCTION("IMPORTRANGE(""https://docs.google.com/spreadsheets/d/10oOiF7loTyfsTkbd4MpaIm0HQ9SwB7IYHdIUvt-U1Uc/edit?usp=sharing"",""สระแก้ว!J317"")"),"")</f>
        <v/>
      </c>
      <c r="AI69" s="354" t="e">
        <f t="shared" ca="1" si="45"/>
        <v>#VALUE!</v>
      </c>
    </row>
    <row r="70" spans="1:35" ht="21" customHeight="1" x14ac:dyDescent="0.3">
      <c r="A70" s="89">
        <v>18</v>
      </c>
      <c r="B70" s="90" t="s">
        <v>96</v>
      </c>
      <c r="C70" s="174">
        <f t="shared" ca="1" si="27"/>
        <v>0</v>
      </c>
      <c r="D70" s="175">
        <f t="shared" ca="1" si="60"/>
        <v>0</v>
      </c>
      <c r="E70" s="176">
        <f ca="1">IFERROR(__xludf.DUMMYFUNCTION("IMPORTRANGE(""https://docs.google.com/spreadsheets/d/1-uDff_7J0KD5mKrp0Vvzr7lt3OU09vwQwhkpOPPYv2Y/edit?usp=sharing"",""งบพรบ!DZ70"")"),0)</f>
        <v>0</v>
      </c>
      <c r="F70" s="176">
        <f ca="1">IFERROR(__xludf.DUMMYFUNCTION("IMPORTRANGE(""https://docs.google.com/spreadsheets/d/1-uDff_7J0KD5mKrp0Vvzr7lt3OU09vwQwhkpOPPYv2Y/edit?usp=sharing"",""งบพรบ!EA70"")"),0)</f>
        <v>0</v>
      </c>
      <c r="G70" s="176">
        <f ca="1">IFERROR(__xludf.DUMMYFUNCTION("IMPORTRANGE(""https://docs.google.com/spreadsheets/d/1-uDff_7J0KD5mKrp0Vvzr7lt3OU09vwQwhkpOPPYv2Y/edit?usp=sharing"",""งบพรบ!EB70"")"),0)</f>
        <v>0</v>
      </c>
      <c r="H70" s="176">
        <f ca="1">IFERROR(__xludf.DUMMYFUNCTION("IMPORTRANGE(""https://docs.google.com/spreadsheets/d/1-uDff_7J0KD5mKrp0Vvzr7lt3OU09vwQwhkpOPPYv2Y/edit?usp=sharing"",""งบพรบ!ED70"")"),0)</f>
        <v>0</v>
      </c>
      <c r="I70" s="176">
        <f ca="1">IFERROR(__xludf.DUMMYFUNCTION("IMPORTRANGE(""https://docs.google.com/spreadsheets/d/1-uDff_7J0KD5mKrp0Vvzr7lt3OU09vwQwhkpOPPYv2Y/edit?usp=sharing"",""งบพรบ!EE70"")"),0)</f>
        <v>0</v>
      </c>
      <c r="J70" s="176">
        <f t="shared" ca="1" si="29"/>
        <v>0</v>
      </c>
      <c r="K70" s="179">
        <f t="shared" ca="1" si="30"/>
        <v>0</v>
      </c>
      <c r="L70" s="176">
        <f ca="1">IFERROR(__xludf.DUMMYFUNCTION("IMPORTRANGE(""https://docs.google.com/spreadsheets/d/1-uDff_7J0KD5mKrp0Vvzr7lt3OU09vwQwhkpOPPYv2Y/edit?usp=sharing"",""งบพรบ!EF70"")"),0)</f>
        <v>0</v>
      </c>
      <c r="M70" s="87">
        <f t="shared" ca="1" si="31"/>
        <v>0</v>
      </c>
      <c r="N70" s="87">
        <f t="shared" ca="1" si="32"/>
        <v>0</v>
      </c>
      <c r="O70" s="86">
        <f ca="1">IFERROR(__xludf.DUMMYFUNCTION("IMPORTRANGE(""https://docs.google.com/spreadsheets/d/1-uDff_7J0KD5mKrp0Vvzr7lt3OU09vwQwhkpOPPYv2Y/edit?usp=sharing"",""งบพรบ!EG70"")"),0)</f>
        <v>0</v>
      </c>
      <c r="P70" s="86">
        <f t="shared" ca="1" si="33"/>
        <v>0</v>
      </c>
      <c r="Q70" s="87">
        <f t="shared" ca="1" si="34"/>
        <v>0</v>
      </c>
      <c r="R70" s="241">
        <f ca="1">IFERROR(__xludf.DUMMYFUNCTION("IMPORTRANGE(""https://docs.google.com/spreadsheets/d/1xmPlrr1QbdSIKvl1dWUl9K4PjAfSL9oeMr_37QVzcxc/edit?usp=sharing"",""สระบุรี!Q303"")"),260958.39)</f>
        <v>260958.39</v>
      </c>
      <c r="S70" s="242">
        <f ca="1">IFERROR(__xludf.DUMMYFUNCTION("IMPORTRANGE(""https://docs.google.com/spreadsheets/d/1xmPlrr1QbdSIKvl1dWUl9K4PjAfSL9oeMr_37QVzcxc/edit?usp=sharing"",""สระบุรี!R303"")"),0)</f>
        <v>0</v>
      </c>
      <c r="T70" s="242">
        <f ca="1">IFERROR(__xludf.DUMMYFUNCTION("IMPORTRANGE(""https://docs.google.com/spreadsheets/d/1xmPlrr1QbdSIKvl1dWUl9K4PjAfSL9oeMr_37QVzcxc/edit?usp=sharing"",""สระบุรี!S303"")"),0)</f>
        <v>0</v>
      </c>
      <c r="U70" s="243">
        <f t="shared" ca="1" si="36"/>
        <v>0</v>
      </c>
      <c r="V70" s="243">
        <f t="shared" ca="1" si="37"/>
        <v>0</v>
      </c>
      <c r="W70" s="353" t="str">
        <f ca="1">IFERROR(__xludf.DUMMYFUNCTION("IMPORTRANGE(""https://docs.google.com/spreadsheets/d/1xmPlrr1QbdSIKvl1dWUl9K4PjAfSL9oeMr_37QVzcxc/edit?usp=sharing"",""สระบุรี!J313"")"),"")</f>
        <v/>
      </c>
      <c r="X70" s="353">
        <f ca="1">IFERROR(__xludf.DUMMYFUNCTION("IMPORTRANGE(""https://docs.google.com/spreadsheets/d/1xmPlrr1QbdSIKvl1dWUl9K4PjAfSL9oeMr_37QVzcxc/edit?usp=sharing"",""สระบุรี!I314"")"),30)</f>
        <v>30</v>
      </c>
      <c r="Y70" s="177">
        <f ca="1">IFERROR(__xludf.DUMMYFUNCTION("IMPORTRANGE(""https://docs.google.com/spreadsheets/d/1xmPlrr1QbdSIKvl1dWUl9K4PjAfSL9oeMr_37QVzcxc/edit?usp=sharing"",""สระบุรี!J314"")"),0)</f>
        <v>0</v>
      </c>
      <c r="Z70" s="354">
        <f t="shared" ca="1" si="39"/>
        <v>0</v>
      </c>
      <c r="AA70" s="353" t="str">
        <f ca="1">IFERROR(__xludf.DUMMYFUNCTION("IMPORTRANGE(""https://docs.google.com/spreadsheets/d/1xmPlrr1QbdSIKvl1dWUl9K4PjAfSL9oeMr_37QVzcxc/edit?usp=sharing"",""สระบุรี!I315"")"),"")</f>
        <v/>
      </c>
      <c r="AB70" s="177" t="str">
        <f ca="1">IFERROR(__xludf.DUMMYFUNCTION("IMPORTRANGE(""https://docs.google.com/spreadsheets/d/1xmPlrr1QbdSIKvl1dWUl9K4PjAfSL9oeMr_37QVzcxc/edit?usp=sharing"",""สระบุรี!J315"")"),"")</f>
        <v/>
      </c>
      <c r="AC70" s="354" t="e">
        <f t="shared" ca="1" si="41"/>
        <v>#VALUE!</v>
      </c>
      <c r="AD70" s="353" t="str">
        <f ca="1">IFERROR(__xludf.DUMMYFUNCTION("IMPORTRANGE(""https://docs.google.com/spreadsheets/d/1xmPlrr1QbdSIKvl1dWUl9K4PjAfSL9oeMr_37QVzcxc/edit?usp=sharing"",""สระบุรี!I316"")"),"")</f>
        <v/>
      </c>
      <c r="AE70" s="177" t="str">
        <f ca="1">IFERROR(__xludf.DUMMYFUNCTION("IMPORTRANGE(""https://docs.google.com/spreadsheets/d/1xmPlrr1QbdSIKvl1dWUl9K4PjAfSL9oeMr_37QVzcxc/edit?usp=sharing"",""สระบุรี!J316"")"),"")</f>
        <v/>
      </c>
      <c r="AF70" s="354" t="e">
        <f t="shared" ca="1" si="43"/>
        <v>#VALUE!</v>
      </c>
      <c r="AG70" s="353" t="str">
        <f ca="1">IFERROR(__xludf.DUMMYFUNCTION("IMPORTRANGE(""https://docs.google.com/spreadsheets/d/1xmPlrr1QbdSIKvl1dWUl9K4PjAfSL9oeMr_37QVzcxc/edit?usp=sharing"",""สระบุรี!I317"")"),"")</f>
        <v/>
      </c>
      <c r="AH70" s="177" t="str">
        <f ca="1">IFERROR(__xludf.DUMMYFUNCTION("IMPORTRANGE(""https://docs.google.com/spreadsheets/d/1xmPlrr1QbdSIKvl1dWUl9K4PjAfSL9oeMr_37QVzcxc/edit?usp=sharing"",""สระบุรี!J317"")"),"")</f>
        <v/>
      </c>
      <c r="AI70" s="354" t="e">
        <f t="shared" ca="1" si="45"/>
        <v>#VALUE!</v>
      </c>
    </row>
    <row r="71" spans="1:35" ht="21" customHeight="1" x14ac:dyDescent="0.3">
      <c r="A71" s="89">
        <v>19</v>
      </c>
      <c r="B71" s="90" t="s">
        <v>97</v>
      </c>
      <c r="C71" s="174">
        <f t="shared" ca="1" si="27"/>
        <v>0</v>
      </c>
      <c r="D71" s="175">
        <f t="shared" ca="1" si="60"/>
        <v>0</v>
      </c>
      <c r="E71" s="176">
        <f ca="1">IFERROR(__xludf.DUMMYFUNCTION("IMPORTRANGE(""https://docs.google.com/spreadsheets/d/1-uDff_7J0KD5mKrp0Vvzr7lt3OU09vwQwhkpOPPYv2Y/edit?usp=sharing"",""งบพรบ!DZ71"")"),0)</f>
        <v>0</v>
      </c>
      <c r="F71" s="176">
        <f ca="1">IFERROR(__xludf.DUMMYFUNCTION("IMPORTRANGE(""https://docs.google.com/spreadsheets/d/1-uDff_7J0KD5mKrp0Vvzr7lt3OU09vwQwhkpOPPYv2Y/edit?usp=sharing"",""งบพรบ!EA71"")"),0)</f>
        <v>0</v>
      </c>
      <c r="G71" s="176">
        <f ca="1">IFERROR(__xludf.DUMMYFUNCTION("IMPORTRANGE(""https://docs.google.com/spreadsheets/d/1-uDff_7J0KD5mKrp0Vvzr7lt3OU09vwQwhkpOPPYv2Y/edit?usp=sharing"",""งบพรบ!EB71"")"),0)</f>
        <v>0</v>
      </c>
      <c r="H71" s="176">
        <f ca="1">IFERROR(__xludf.DUMMYFUNCTION("IMPORTRANGE(""https://docs.google.com/spreadsheets/d/1-uDff_7J0KD5mKrp0Vvzr7lt3OU09vwQwhkpOPPYv2Y/edit?usp=sharing"",""งบพรบ!ED71"")"),0)</f>
        <v>0</v>
      </c>
      <c r="I71" s="176">
        <f ca="1">IFERROR(__xludf.DUMMYFUNCTION("IMPORTRANGE(""https://docs.google.com/spreadsheets/d/1-uDff_7J0KD5mKrp0Vvzr7lt3OU09vwQwhkpOPPYv2Y/edit?usp=sharing"",""งบพรบ!EE71"")"),0)</f>
        <v>0</v>
      </c>
      <c r="J71" s="176">
        <f t="shared" ca="1" si="29"/>
        <v>0</v>
      </c>
      <c r="K71" s="179">
        <f t="shared" ca="1" si="30"/>
        <v>0</v>
      </c>
      <c r="L71" s="176">
        <f ca="1">IFERROR(__xludf.DUMMYFUNCTION("IMPORTRANGE(""https://docs.google.com/spreadsheets/d/1-uDff_7J0KD5mKrp0Vvzr7lt3OU09vwQwhkpOPPYv2Y/edit?usp=sharing"",""งบพรบ!EF71"")"),0)</f>
        <v>0</v>
      </c>
      <c r="M71" s="87">
        <f t="shared" ca="1" si="31"/>
        <v>0</v>
      </c>
      <c r="N71" s="87">
        <f t="shared" ca="1" si="32"/>
        <v>0</v>
      </c>
      <c r="O71" s="86">
        <f ca="1">IFERROR(__xludf.DUMMYFUNCTION("IMPORTRANGE(""https://docs.google.com/spreadsheets/d/1-uDff_7J0KD5mKrp0Vvzr7lt3OU09vwQwhkpOPPYv2Y/edit?usp=sharing"",""งบพรบ!EG71"")"),0)</f>
        <v>0</v>
      </c>
      <c r="P71" s="86">
        <f t="shared" ca="1" si="33"/>
        <v>0</v>
      </c>
      <c r="Q71" s="87">
        <f t="shared" ca="1" si="34"/>
        <v>0</v>
      </c>
      <c r="R71" s="241">
        <f ca="1">IFERROR(__xludf.DUMMYFUNCTION("IMPORTRANGE(""https://docs.google.com/spreadsheets/d/1j51vR6CYVGhABJpv6tkstgok82RLpXieLzW1yOY5rHw/edit?usp=sharing"",""สิงห์บุรี!Q303"")"),0)</f>
        <v>0</v>
      </c>
      <c r="S71" s="242">
        <f ca="1">IFERROR(__xludf.DUMMYFUNCTION("IMPORTRANGE(""https://docs.google.com/spreadsheets/d/1j51vR6CYVGhABJpv6tkstgok82RLpXieLzW1yOY5rHw/edit?usp=sharing"",""สิงห์บุรี!R303"")"),0)</f>
        <v>0</v>
      </c>
      <c r="T71" s="242">
        <f ca="1">IFERROR(__xludf.DUMMYFUNCTION("IMPORTRANGE(""https://docs.google.com/spreadsheets/d/1j51vR6CYVGhABJpv6tkstgok82RLpXieLzW1yOY5rHw/edit?usp=sharing"",""สิงห์บุรี!S303"")"),0)</f>
        <v>0</v>
      </c>
      <c r="U71" s="243">
        <f t="shared" ca="1" si="36"/>
        <v>0</v>
      </c>
      <c r="V71" s="243">
        <f t="shared" ca="1" si="37"/>
        <v>0</v>
      </c>
      <c r="W71" s="353" t="str">
        <f ca="1">IFERROR(__xludf.DUMMYFUNCTION("IMPORTRANGE(""https://docs.google.com/spreadsheets/d/1j51vR6CYVGhABJpv6tkstgok82RLpXieLzW1yOY5rHw/edit?usp=sharing"",""สิงห์บุรี!J313"")"),"")</f>
        <v/>
      </c>
      <c r="X71" s="353">
        <f ca="1">IFERROR(__xludf.DUMMYFUNCTION("IMPORTRANGE(""https://docs.google.com/spreadsheets/d/1j51vR6CYVGhABJpv6tkstgok82RLpXieLzW1yOY5rHw/edit?usp=sharing"",""สิงห์บุรี!I314"")"),0)</f>
        <v>0</v>
      </c>
      <c r="Y71" s="177">
        <f ca="1">IFERROR(__xludf.DUMMYFUNCTION("IMPORTRANGE(""https://docs.google.com/spreadsheets/d/1j51vR6CYVGhABJpv6tkstgok82RLpXieLzW1yOY5rHw/edit?usp=sharing"",""สิงห์บุรี!J314"")"),0)</f>
        <v>0</v>
      </c>
      <c r="Z71" s="354">
        <f t="shared" ca="1" si="39"/>
        <v>0</v>
      </c>
      <c r="AA71" s="353" t="str">
        <f ca="1">IFERROR(__xludf.DUMMYFUNCTION("IMPORTRANGE(""https://docs.google.com/spreadsheets/d/1j51vR6CYVGhABJpv6tkstgok82RLpXieLzW1yOY5rHw/edit?usp=sharing"",""สิงห์บุรี!I315"")"),"")</f>
        <v/>
      </c>
      <c r="AB71" s="177" t="str">
        <f ca="1">IFERROR(__xludf.DUMMYFUNCTION("IMPORTRANGE(""https://docs.google.com/spreadsheets/d/1j51vR6CYVGhABJpv6tkstgok82RLpXieLzW1yOY5rHw/edit?usp=sharing"",""สิงห์บุรี!J315"")"),"")</f>
        <v/>
      </c>
      <c r="AC71" s="354">
        <f t="shared" ca="1" si="41"/>
        <v>0</v>
      </c>
      <c r="AD71" s="353" t="str">
        <f ca="1">IFERROR(__xludf.DUMMYFUNCTION("IMPORTRANGE(""https://docs.google.com/spreadsheets/d/1j51vR6CYVGhABJpv6tkstgok82RLpXieLzW1yOY5rHw/edit?usp=sharing"",""สิงห์บุรี!I316"")"),"")</f>
        <v/>
      </c>
      <c r="AE71" s="177" t="str">
        <f ca="1">IFERROR(__xludf.DUMMYFUNCTION("IMPORTRANGE(""https://docs.google.com/spreadsheets/d/1j51vR6CYVGhABJpv6tkstgok82RLpXieLzW1yOY5rHw/edit?usp=sharing"",""สิงห์บุรี!J316"")"),"")</f>
        <v/>
      </c>
      <c r="AF71" s="354" t="e">
        <f t="shared" ca="1" si="43"/>
        <v>#VALUE!</v>
      </c>
      <c r="AG71" s="353" t="str">
        <f ca="1">IFERROR(__xludf.DUMMYFUNCTION("IMPORTRANGE(""https://docs.google.com/spreadsheets/d/1j51vR6CYVGhABJpv6tkstgok82RLpXieLzW1yOY5rHw/edit?usp=sharing"",""สิงห์บุรี!I317"")"),"")</f>
        <v/>
      </c>
      <c r="AH71" s="177" t="str">
        <f ca="1">IFERROR(__xludf.DUMMYFUNCTION("IMPORTRANGE(""https://docs.google.com/spreadsheets/d/1j51vR6CYVGhABJpv6tkstgok82RLpXieLzW1yOY5rHw/edit?usp=sharing"",""สิงห์บุรี!J317"")"),"")</f>
        <v/>
      </c>
      <c r="AI71" s="354" t="e">
        <f t="shared" ca="1" si="45"/>
        <v>#VALUE!</v>
      </c>
    </row>
    <row r="72" spans="1:35" ht="21" customHeight="1" x14ac:dyDescent="0.3">
      <c r="A72" s="89">
        <v>20</v>
      </c>
      <c r="B72" s="90" t="s">
        <v>98</v>
      </c>
      <c r="C72" s="174">
        <f t="shared" ca="1" si="27"/>
        <v>217100</v>
      </c>
      <c r="D72" s="175">
        <f t="shared" ca="1" si="60"/>
        <v>217100</v>
      </c>
      <c r="E72" s="176">
        <f ca="1">IFERROR(__xludf.DUMMYFUNCTION("IMPORTRANGE(""https://docs.google.com/spreadsheets/d/1-uDff_7J0KD5mKrp0Vvzr7lt3OU09vwQwhkpOPPYv2Y/edit?usp=sharing"",""งบพรบ!DZ72"")"),153300)</f>
        <v>153300</v>
      </c>
      <c r="F72" s="176">
        <f ca="1">IFERROR(__xludf.DUMMYFUNCTION("IMPORTRANGE(""https://docs.google.com/spreadsheets/d/1-uDff_7J0KD5mKrp0Vvzr7lt3OU09vwQwhkpOPPYv2Y/edit?usp=sharing"",""งบพรบ!EA72"")"),63800)</f>
        <v>63800</v>
      </c>
      <c r="G72" s="176">
        <f ca="1">IFERROR(__xludf.DUMMYFUNCTION("IMPORTRANGE(""https://docs.google.com/spreadsheets/d/1-uDff_7J0KD5mKrp0Vvzr7lt3OU09vwQwhkpOPPYv2Y/edit?usp=sharing"",""งบพรบ!EB72"")"),0)</f>
        <v>0</v>
      </c>
      <c r="H72" s="176">
        <f ca="1">IFERROR(__xludf.DUMMYFUNCTION("IMPORTRANGE(""https://docs.google.com/spreadsheets/d/1-uDff_7J0KD5mKrp0Vvzr7lt3OU09vwQwhkpOPPYv2Y/edit?usp=sharing"",""งบพรบ!ED72"")"),217100)</f>
        <v>217100</v>
      </c>
      <c r="I72" s="176">
        <f ca="1">IFERROR(__xludf.DUMMYFUNCTION("IMPORTRANGE(""https://docs.google.com/spreadsheets/d/1-uDff_7J0KD5mKrp0Vvzr7lt3OU09vwQwhkpOPPYv2Y/edit?usp=sharing"",""งบพรบ!EE72"")"),0)</f>
        <v>0</v>
      </c>
      <c r="J72" s="176">
        <f t="shared" ca="1" si="29"/>
        <v>67440</v>
      </c>
      <c r="K72" s="179">
        <f t="shared" ca="1" si="30"/>
        <v>31.064025794564717</v>
      </c>
      <c r="L72" s="176">
        <f ca="1">IFERROR(__xludf.DUMMYFUNCTION("IMPORTRANGE(""https://docs.google.com/spreadsheets/d/1-uDff_7J0KD5mKrp0Vvzr7lt3OU09vwQwhkpOPPYv2Y/edit?usp=sharing"",""งบพรบ!EF72"")"),67440)</f>
        <v>67440</v>
      </c>
      <c r="M72" s="87">
        <f t="shared" ca="1" si="31"/>
        <v>31.064025794564717</v>
      </c>
      <c r="N72" s="87">
        <f t="shared" ca="1" si="32"/>
        <v>31.064025794564717</v>
      </c>
      <c r="O72" s="86">
        <f ca="1">IFERROR(__xludf.DUMMYFUNCTION("IMPORTRANGE(""https://docs.google.com/spreadsheets/d/1-uDff_7J0KD5mKrp0Vvzr7lt3OU09vwQwhkpOPPYv2Y/edit?usp=sharing"",""งบพรบ!EG72"")"),0)</f>
        <v>0</v>
      </c>
      <c r="P72" s="86">
        <f t="shared" ca="1" si="33"/>
        <v>0</v>
      </c>
      <c r="Q72" s="87">
        <f t="shared" ca="1" si="34"/>
        <v>0</v>
      </c>
      <c r="R72" s="241">
        <f ca="1">IFERROR(__xludf.DUMMYFUNCTION("IMPORTRANGE(""https://docs.google.com/spreadsheets/d/1H1EalTWKUSzO4Z1-1CwzoDUaVffgrThEBe2sl74kKG0/edit?usp=sharing"",""สุพรรณบุรี!Q303"")"),123161.24)</f>
        <v>123161.24</v>
      </c>
      <c r="S72" s="242">
        <f ca="1">IFERROR(__xludf.DUMMYFUNCTION("IMPORTRANGE(""https://docs.google.com/spreadsheets/d/1H1EalTWKUSzO4Z1-1CwzoDUaVffgrThEBe2sl74kKG0/edit?usp=sharing"",""สุพรรณบุรี!R303"")"),0)</f>
        <v>0</v>
      </c>
      <c r="T72" s="242">
        <f ca="1">IFERROR(__xludf.DUMMYFUNCTION("IMPORTRANGE(""https://docs.google.com/spreadsheets/d/1H1EalTWKUSzO4Z1-1CwzoDUaVffgrThEBe2sl74kKG0/edit?usp=sharing"",""สุพรรณบุรี!S303"")"),0)</f>
        <v>0</v>
      </c>
      <c r="U72" s="243">
        <f t="shared" ca="1" si="36"/>
        <v>0</v>
      </c>
      <c r="V72" s="243">
        <f t="shared" ca="1" si="37"/>
        <v>0</v>
      </c>
      <c r="W72" s="353" t="str">
        <f ca="1">IFERROR(__xludf.DUMMYFUNCTION("IMPORTRANGE(""https://docs.google.com/spreadsheets/d/1H1EalTWKUSzO4Z1-1CwzoDUaVffgrThEBe2sl74kKG0/edit?usp=sharing"",""สุพรรณบุรี!J313"")"),"")</f>
        <v/>
      </c>
      <c r="X72" s="353">
        <f ca="1">IFERROR(__xludf.DUMMYFUNCTION("IMPORTRANGE(""https://docs.google.com/spreadsheets/d/1H1EalTWKUSzO4Z1-1CwzoDUaVffgrThEBe2sl74kKG0/edit?usp=sharing"",""สุพรรณบุรี!I314"")"),15)</f>
        <v>15</v>
      </c>
      <c r="Y72" s="177">
        <f ca="1">IFERROR(__xludf.DUMMYFUNCTION("IMPORTRANGE(""https://docs.google.com/spreadsheets/d/1H1EalTWKUSzO4Z1-1CwzoDUaVffgrThEBe2sl74kKG0/edit?usp=sharing"",""สุพรรณบุรี!J314"")"),0)</f>
        <v>0</v>
      </c>
      <c r="Z72" s="354">
        <f t="shared" ca="1" si="39"/>
        <v>0</v>
      </c>
      <c r="AA72" s="353" t="str">
        <f ca="1">IFERROR(__xludf.DUMMYFUNCTION("IMPORTRANGE(""https://docs.google.com/spreadsheets/d/1H1EalTWKUSzO4Z1-1CwzoDUaVffgrThEBe2sl74kKG0/edit?usp=sharing"",""สุพรรณบุรี!I315"")"),"")</f>
        <v/>
      </c>
      <c r="AB72" s="177" t="str">
        <f ca="1">IFERROR(__xludf.DUMMYFUNCTION("IMPORTRANGE(""https://docs.google.com/spreadsheets/d/1H1EalTWKUSzO4Z1-1CwzoDUaVffgrThEBe2sl74kKG0/edit?usp=sharing"",""สุพรรณบุรี!J315"")"),"")</f>
        <v/>
      </c>
      <c r="AC72" s="354" t="e">
        <f t="shared" ca="1" si="41"/>
        <v>#VALUE!</v>
      </c>
      <c r="AD72" s="353" t="str">
        <f ca="1">IFERROR(__xludf.DUMMYFUNCTION("IMPORTRANGE(""https://docs.google.com/spreadsheets/d/1H1EalTWKUSzO4Z1-1CwzoDUaVffgrThEBe2sl74kKG0/edit?usp=sharing"",""สุพรรณบุรี!I316"")"),"")</f>
        <v/>
      </c>
      <c r="AE72" s="177" t="str">
        <f ca="1">IFERROR(__xludf.DUMMYFUNCTION("IMPORTRANGE(""https://docs.google.com/spreadsheets/d/1H1EalTWKUSzO4Z1-1CwzoDUaVffgrThEBe2sl74kKG0/edit?usp=sharing"",""สุพรรณบุรี!J316"")"),"")</f>
        <v/>
      </c>
      <c r="AF72" s="354" t="e">
        <f t="shared" ca="1" si="43"/>
        <v>#VALUE!</v>
      </c>
      <c r="AG72" s="353" t="str">
        <f ca="1">IFERROR(__xludf.DUMMYFUNCTION("IMPORTRANGE(""https://docs.google.com/spreadsheets/d/1H1EalTWKUSzO4Z1-1CwzoDUaVffgrThEBe2sl74kKG0/edit?usp=sharing"",""สุพรรณบุรี!I317"")"),"")</f>
        <v/>
      </c>
      <c r="AH72" s="177" t="str">
        <f ca="1">IFERROR(__xludf.DUMMYFUNCTION("IMPORTRANGE(""https://docs.google.com/spreadsheets/d/1H1EalTWKUSzO4Z1-1CwzoDUaVffgrThEBe2sl74kKG0/edit?usp=sharing"",""สุพรรณบุรี!J317"")"),"")</f>
        <v/>
      </c>
      <c r="AI72" s="354" t="e">
        <f t="shared" ca="1" si="45"/>
        <v>#VALUE!</v>
      </c>
    </row>
    <row r="73" spans="1:35" ht="21" customHeight="1" x14ac:dyDescent="0.3">
      <c r="A73" s="100">
        <v>21</v>
      </c>
      <c r="B73" s="101" t="s">
        <v>99</v>
      </c>
      <c r="C73" s="182">
        <f t="shared" ca="1" si="27"/>
        <v>0</v>
      </c>
      <c r="D73" s="183">
        <f t="shared" ca="1" si="60"/>
        <v>0</v>
      </c>
      <c r="E73" s="184">
        <f ca="1">IFERROR(__xludf.DUMMYFUNCTION("IMPORTRANGE(""https://docs.google.com/spreadsheets/d/1-uDff_7J0KD5mKrp0Vvzr7lt3OU09vwQwhkpOPPYv2Y/edit?usp=sharing"",""งบพรบ!DZ73"")"),0)</f>
        <v>0</v>
      </c>
      <c r="F73" s="184">
        <f ca="1">IFERROR(__xludf.DUMMYFUNCTION("IMPORTRANGE(""https://docs.google.com/spreadsheets/d/1-uDff_7J0KD5mKrp0Vvzr7lt3OU09vwQwhkpOPPYv2Y/edit?usp=sharing"",""งบพรบ!EA73"")"),0)</f>
        <v>0</v>
      </c>
      <c r="G73" s="184">
        <f ca="1">IFERROR(__xludf.DUMMYFUNCTION("IMPORTRANGE(""https://docs.google.com/spreadsheets/d/1-uDff_7J0KD5mKrp0Vvzr7lt3OU09vwQwhkpOPPYv2Y/edit?usp=sharing"",""งบพรบ!EB73"")"),0)</f>
        <v>0</v>
      </c>
      <c r="H73" s="184">
        <f ca="1">IFERROR(__xludf.DUMMYFUNCTION("IMPORTRANGE(""https://docs.google.com/spreadsheets/d/1-uDff_7J0KD5mKrp0Vvzr7lt3OU09vwQwhkpOPPYv2Y/edit?usp=sharing"",""งบพรบ!ED73"")"),0)</f>
        <v>0</v>
      </c>
      <c r="I73" s="184">
        <f ca="1">IFERROR(__xludf.DUMMYFUNCTION("IMPORTRANGE(""https://docs.google.com/spreadsheets/d/1-uDff_7J0KD5mKrp0Vvzr7lt3OU09vwQwhkpOPPYv2Y/edit?usp=sharing"",""งบพรบ!EE73"")"),0)</f>
        <v>0</v>
      </c>
      <c r="J73" s="184">
        <f t="shared" ca="1" si="29"/>
        <v>0</v>
      </c>
      <c r="K73" s="185">
        <f t="shared" ca="1" si="30"/>
        <v>0</v>
      </c>
      <c r="L73" s="184">
        <f ca="1">IFERROR(__xludf.DUMMYFUNCTION("IMPORTRANGE(""https://docs.google.com/spreadsheets/d/1-uDff_7J0KD5mKrp0Vvzr7lt3OU09vwQwhkpOPPYv2Y/edit?usp=sharing"",""งบพรบ!EF73"")"),0)</f>
        <v>0</v>
      </c>
      <c r="M73" s="109">
        <f t="shared" ca="1" si="31"/>
        <v>0</v>
      </c>
      <c r="N73" s="109">
        <f t="shared" ca="1" si="32"/>
        <v>0</v>
      </c>
      <c r="O73" s="108">
        <f ca="1">IFERROR(__xludf.DUMMYFUNCTION("IMPORTRANGE(""https://docs.google.com/spreadsheets/d/1-uDff_7J0KD5mKrp0Vvzr7lt3OU09vwQwhkpOPPYv2Y/edit?usp=sharing"",""งบพรบ!EG73"")"),0)</f>
        <v>0</v>
      </c>
      <c r="P73" s="108">
        <f t="shared" ca="1" si="33"/>
        <v>0</v>
      </c>
      <c r="Q73" s="109">
        <f t="shared" ca="1" si="34"/>
        <v>0</v>
      </c>
      <c r="R73" s="244">
        <f ca="1">IFERROR(__xludf.DUMMYFUNCTION("IMPORTRANGE(""https://docs.google.com/spreadsheets/d/1BmIruG_sIrJLYao_Pdr7zVArWsfoBt2692TMi6x_854/edit?usp=sharing"",""อ่างทอง!Q303"")"),0)</f>
        <v>0</v>
      </c>
      <c r="S73" s="245">
        <f ca="1">IFERROR(__xludf.DUMMYFUNCTION("IMPORTRANGE(""https://docs.google.com/spreadsheets/d/1BmIruG_sIrJLYao_Pdr7zVArWsfoBt2692TMi6x_854/edit?usp=sharing"",""อ่างทอง!R303"")"),0)</f>
        <v>0</v>
      </c>
      <c r="T73" s="245">
        <f ca="1">IFERROR(__xludf.DUMMYFUNCTION("IMPORTRANGE(""https://docs.google.com/spreadsheets/d/1BmIruG_sIrJLYao_Pdr7zVArWsfoBt2692TMi6x_854/edit?usp=sharing"",""อ่างทอง!S303"")"),0)</f>
        <v>0</v>
      </c>
      <c r="U73" s="246">
        <f t="shared" ca="1" si="36"/>
        <v>0</v>
      </c>
      <c r="V73" s="246">
        <f t="shared" ca="1" si="37"/>
        <v>0</v>
      </c>
      <c r="W73" s="356" t="str">
        <f ca="1">IFERROR(__xludf.DUMMYFUNCTION("IMPORTRANGE(""https://docs.google.com/spreadsheets/d/1BmIruG_sIrJLYao_Pdr7zVArWsfoBt2692TMi6x_854/edit?usp=sharing"",""อ่างทอง!J313"")"),"")</f>
        <v/>
      </c>
      <c r="X73" s="356">
        <f ca="1">IFERROR(__xludf.DUMMYFUNCTION("IMPORTRANGE(""https://docs.google.com/spreadsheets/d/1BmIruG_sIrJLYao_Pdr7zVArWsfoBt2692TMi6x_854/edit?usp=sharing"",""อ่างทอง!I314"")"),0)</f>
        <v>0</v>
      </c>
      <c r="Y73" s="186">
        <f ca="1">IFERROR(__xludf.DUMMYFUNCTION("IMPORTRANGE(""https://docs.google.com/spreadsheets/d/1BmIruG_sIrJLYao_Pdr7zVArWsfoBt2692TMi6x_854/edit?usp=sharing"",""อ่างทอง!J314"")"),0)</f>
        <v>0</v>
      </c>
      <c r="Z73" s="357">
        <f t="shared" ca="1" si="39"/>
        <v>0</v>
      </c>
      <c r="AA73" s="356" t="str">
        <f ca="1">IFERROR(__xludf.DUMMYFUNCTION("IMPORTRANGE(""https://docs.google.com/spreadsheets/d/1BmIruG_sIrJLYao_Pdr7zVArWsfoBt2692TMi6x_854/edit?usp=sharing"",""อ่างทอง!I315"")"),"")</f>
        <v/>
      </c>
      <c r="AB73" s="186" t="str">
        <f ca="1">IFERROR(__xludf.DUMMYFUNCTION("IMPORTRANGE(""https://docs.google.com/spreadsheets/d/1BmIruG_sIrJLYao_Pdr7zVArWsfoBt2692TMi6x_854/edit?usp=sharing"",""อ่างทอง!J315"")"),"")</f>
        <v/>
      </c>
      <c r="AC73" s="357">
        <f t="shared" ca="1" si="41"/>
        <v>0</v>
      </c>
      <c r="AD73" s="356" t="str">
        <f ca="1">IFERROR(__xludf.DUMMYFUNCTION("IMPORTRANGE(""https://docs.google.com/spreadsheets/d/1BmIruG_sIrJLYao_Pdr7zVArWsfoBt2692TMi6x_854/edit?usp=sharing"",""อ่างทอง!I316"")"),"")</f>
        <v/>
      </c>
      <c r="AE73" s="186" t="str">
        <f ca="1">IFERROR(__xludf.DUMMYFUNCTION("IMPORTRANGE(""https://docs.google.com/spreadsheets/d/1BmIruG_sIrJLYao_Pdr7zVArWsfoBt2692TMi6x_854/edit?usp=sharing"",""อ่างทอง!J316"")"),"")</f>
        <v/>
      </c>
      <c r="AF73" s="357" t="e">
        <f t="shared" ca="1" si="43"/>
        <v>#VALUE!</v>
      </c>
      <c r="AG73" s="356" t="str">
        <f ca="1">IFERROR(__xludf.DUMMYFUNCTION("IMPORTRANGE(""https://docs.google.com/spreadsheets/d/1BmIruG_sIrJLYao_Pdr7zVArWsfoBt2692TMi6x_854/edit?usp=sharing"",""อ่างทอง!I317"")"),"")</f>
        <v/>
      </c>
      <c r="AH73" s="186" t="str">
        <f ca="1">IFERROR(__xludf.DUMMYFUNCTION("IMPORTRANGE(""https://docs.google.com/spreadsheets/d/1BmIruG_sIrJLYao_Pdr7zVArWsfoBt2692TMi6x_854/edit?usp=sharing"",""อ่างทอง!J317"")"),"")</f>
        <v/>
      </c>
      <c r="AI73" s="357" t="e">
        <f t="shared" ca="1" si="45"/>
        <v>#VALUE!</v>
      </c>
    </row>
    <row r="74" spans="1:35" ht="21" customHeight="1" x14ac:dyDescent="0.3">
      <c r="A74" s="624" t="s">
        <v>100</v>
      </c>
      <c r="B74" s="604"/>
      <c r="C74" s="161">
        <f t="shared" ca="1" si="27"/>
        <v>299500</v>
      </c>
      <c r="D74" s="161">
        <f t="shared" ref="D74:I74" ca="1" si="61">SUM(D75:D88)</f>
        <v>299500</v>
      </c>
      <c r="E74" s="161">
        <f t="shared" ca="1" si="61"/>
        <v>153300</v>
      </c>
      <c r="F74" s="161">
        <f t="shared" ca="1" si="61"/>
        <v>146200</v>
      </c>
      <c r="G74" s="161">
        <f t="shared" ca="1" si="61"/>
        <v>0</v>
      </c>
      <c r="H74" s="161">
        <f t="shared" ca="1" si="61"/>
        <v>299500</v>
      </c>
      <c r="I74" s="161">
        <f t="shared" ca="1" si="61"/>
        <v>0</v>
      </c>
      <c r="J74" s="161">
        <f t="shared" ca="1" si="29"/>
        <v>104267.31</v>
      </c>
      <c r="K74" s="162">
        <f t="shared" ca="1" si="30"/>
        <v>34.813792988313857</v>
      </c>
      <c r="L74" s="161">
        <f ca="1">SUM(L75:L88)</f>
        <v>104267.31</v>
      </c>
      <c r="M74" s="40">
        <f t="shared" ca="1" si="31"/>
        <v>34.813792988313857</v>
      </c>
      <c r="N74" s="40">
        <f t="shared" ca="1" si="32"/>
        <v>34.813792988313857</v>
      </c>
      <c r="O74" s="39">
        <f ca="1">SUM(O75:O88)</f>
        <v>0</v>
      </c>
      <c r="P74" s="39">
        <f t="shared" ca="1" si="33"/>
        <v>0</v>
      </c>
      <c r="Q74" s="40">
        <f t="shared" ca="1" si="34"/>
        <v>0</v>
      </c>
      <c r="R74" s="232">
        <f t="shared" ref="R74:T74" ca="1" si="62">SUM(R75:R88)</f>
        <v>2086950.07</v>
      </c>
      <c r="S74" s="233">
        <f t="shared" ca="1" si="62"/>
        <v>0</v>
      </c>
      <c r="T74" s="233">
        <f t="shared" ca="1" si="62"/>
        <v>0</v>
      </c>
      <c r="U74" s="234">
        <f t="shared" ca="1" si="36"/>
        <v>0</v>
      </c>
      <c r="V74" s="234">
        <f t="shared" ca="1" si="37"/>
        <v>0</v>
      </c>
      <c r="W74" s="347">
        <f t="shared" ref="W74:Y74" ca="1" si="63">SUM(W75:W88)</f>
        <v>0</v>
      </c>
      <c r="X74" s="348">
        <f t="shared" ca="1" si="63"/>
        <v>235</v>
      </c>
      <c r="Y74" s="161">
        <f t="shared" ca="1" si="63"/>
        <v>0</v>
      </c>
      <c r="Z74" s="40">
        <f t="shared" ca="1" si="39"/>
        <v>0</v>
      </c>
      <c r="AA74" s="348">
        <f t="shared" ref="AA74:AB74" ca="1" si="64">SUM(AA75:AA88)</f>
        <v>0</v>
      </c>
      <c r="AB74" s="161">
        <f t="shared" ca="1" si="64"/>
        <v>0</v>
      </c>
      <c r="AC74" s="40">
        <f t="shared" ca="1" si="41"/>
        <v>0</v>
      </c>
      <c r="AD74" s="348">
        <f t="shared" ref="AD74:AE74" ca="1" si="65">SUM(AD75:AD88)</f>
        <v>0</v>
      </c>
      <c r="AE74" s="161">
        <f t="shared" ca="1" si="65"/>
        <v>0</v>
      </c>
      <c r="AF74" s="40">
        <f t="shared" ca="1" si="43"/>
        <v>0</v>
      </c>
      <c r="AG74" s="348">
        <f t="shared" ref="AG74:AH74" ca="1" si="66">SUM(AG75:AG88)</f>
        <v>0</v>
      </c>
      <c r="AH74" s="161">
        <f t="shared" ca="1" si="66"/>
        <v>0</v>
      </c>
      <c r="AI74" s="40">
        <f t="shared" ca="1" si="45"/>
        <v>0</v>
      </c>
    </row>
    <row r="75" spans="1:35" ht="21" customHeight="1" x14ac:dyDescent="0.3">
      <c r="A75" s="77">
        <v>1</v>
      </c>
      <c r="B75" s="78" t="s">
        <v>101</v>
      </c>
      <c r="C75" s="174">
        <f t="shared" ca="1" si="27"/>
        <v>0</v>
      </c>
      <c r="D75" s="175">
        <f t="shared" ref="D75:D88" ca="1" si="67">+E75+F75</f>
        <v>0</v>
      </c>
      <c r="E75" s="176">
        <f ca="1">IFERROR(__xludf.DUMMYFUNCTION("IMPORTRANGE(""https://docs.google.com/spreadsheets/d/1-uDff_7J0KD5mKrp0Vvzr7lt3OU09vwQwhkpOPPYv2Y/edit?usp=sharing"",""งบพรบ!DZ75"")"),0)</f>
        <v>0</v>
      </c>
      <c r="F75" s="176">
        <f ca="1">IFERROR(__xludf.DUMMYFUNCTION("IMPORTRANGE(""https://docs.google.com/spreadsheets/d/1-uDff_7J0KD5mKrp0Vvzr7lt3OU09vwQwhkpOPPYv2Y/edit?usp=sharing"",""งบพรบ!EA75"")"),0)</f>
        <v>0</v>
      </c>
      <c r="G75" s="176">
        <f ca="1">IFERROR(__xludf.DUMMYFUNCTION("IMPORTRANGE(""https://docs.google.com/spreadsheets/d/1-uDff_7J0KD5mKrp0Vvzr7lt3OU09vwQwhkpOPPYv2Y/edit?usp=sharing"",""งบพรบ!EB75"")"),0)</f>
        <v>0</v>
      </c>
      <c r="H75" s="176">
        <f ca="1">IFERROR(__xludf.DUMMYFUNCTION("IMPORTRANGE(""https://docs.google.com/spreadsheets/d/1-uDff_7J0KD5mKrp0Vvzr7lt3OU09vwQwhkpOPPYv2Y/edit?usp=sharing"",""งบพรบ!ED75"")"),0)</f>
        <v>0</v>
      </c>
      <c r="I75" s="176">
        <f ca="1">IFERROR(__xludf.DUMMYFUNCTION("IMPORTRANGE(""https://docs.google.com/spreadsheets/d/1-uDff_7J0KD5mKrp0Vvzr7lt3OU09vwQwhkpOPPYv2Y/edit?usp=sharing"",""งบพรบ!EE75"")"),0)</f>
        <v>0</v>
      </c>
      <c r="J75" s="176">
        <f t="shared" ca="1" si="29"/>
        <v>0</v>
      </c>
      <c r="K75" s="179">
        <f t="shared" ca="1" si="30"/>
        <v>0</v>
      </c>
      <c r="L75" s="176">
        <f ca="1">IFERROR(__xludf.DUMMYFUNCTION("IMPORTRANGE(""https://docs.google.com/spreadsheets/d/1-uDff_7J0KD5mKrp0Vvzr7lt3OU09vwQwhkpOPPYv2Y/edit?usp=sharing"",""งบพรบ!EF75"")"),0)</f>
        <v>0</v>
      </c>
      <c r="M75" s="87">
        <f t="shared" ca="1" si="31"/>
        <v>0</v>
      </c>
      <c r="N75" s="87">
        <f t="shared" ca="1" si="32"/>
        <v>0</v>
      </c>
      <c r="O75" s="86">
        <f ca="1">IFERROR(__xludf.DUMMYFUNCTION("IMPORTRANGE(""https://docs.google.com/spreadsheets/d/1-uDff_7J0KD5mKrp0Vvzr7lt3OU09vwQwhkpOPPYv2Y/edit?usp=sharing"",""งบพรบ!EG75"")"),0)</f>
        <v>0</v>
      </c>
      <c r="P75" s="86">
        <f t="shared" ca="1" si="33"/>
        <v>0</v>
      </c>
      <c r="Q75" s="87">
        <f t="shared" ca="1" si="34"/>
        <v>0</v>
      </c>
      <c r="R75" s="241">
        <f ca="1">IFERROR(__xludf.DUMMYFUNCTION("IMPORTRANGE(""https://docs.google.com/spreadsheets/d/1kKUcYdkIfrgTSj8iHHHB2MD2FAtwyyocFgqGQn6ADyI/edit?usp=sharing"",""กระบี่!Q303"")"),0)</f>
        <v>0</v>
      </c>
      <c r="S75" s="242">
        <f ca="1">IFERROR(__xludf.DUMMYFUNCTION("IMPORTRANGE(""https://docs.google.com/spreadsheets/d/1kKUcYdkIfrgTSj8iHHHB2MD2FAtwyyocFgqGQn6ADyI/edit?usp=sharing"",""กระบี่!R303"")"),0)</f>
        <v>0</v>
      </c>
      <c r="T75" s="242">
        <f ca="1">IFERROR(__xludf.DUMMYFUNCTION("IMPORTRANGE(""https://docs.google.com/spreadsheets/d/1kKUcYdkIfrgTSj8iHHHB2MD2FAtwyyocFgqGQn6ADyI/edit?usp=sharing"",""กระบี่!S303"")"),0)</f>
        <v>0</v>
      </c>
      <c r="U75" s="243">
        <f t="shared" ca="1" si="36"/>
        <v>0</v>
      </c>
      <c r="V75" s="243">
        <f t="shared" ca="1" si="37"/>
        <v>0</v>
      </c>
      <c r="W75" s="353" t="str">
        <f ca="1">IFERROR(__xludf.DUMMYFUNCTION("IMPORTRANGE(""https://docs.google.com/spreadsheets/d/1kKUcYdkIfrgTSj8iHHHB2MD2FAtwyyocFgqGQn6ADyI/edit?usp=sharing"",""กระบี่!J313"")"),"")</f>
        <v/>
      </c>
      <c r="X75" s="353">
        <f ca="1">IFERROR(__xludf.DUMMYFUNCTION("IMPORTRANGE(""https://docs.google.com/spreadsheets/d/1kKUcYdkIfrgTSj8iHHHB2MD2FAtwyyocFgqGQn6ADyI/edit?usp=sharing"",""กระบี่!I314"")"),0)</f>
        <v>0</v>
      </c>
      <c r="Y75" s="177">
        <f ca="1">IFERROR(__xludf.DUMMYFUNCTION("IMPORTRANGE(""https://docs.google.com/spreadsheets/d/1kKUcYdkIfrgTSj8iHHHB2MD2FAtwyyocFgqGQn6ADyI/edit?usp=sharing"",""กระบี่!J314"")"),0)</f>
        <v>0</v>
      </c>
      <c r="Z75" s="354">
        <f t="shared" ca="1" si="39"/>
        <v>0</v>
      </c>
      <c r="AA75" s="353" t="str">
        <f ca="1">IFERROR(__xludf.DUMMYFUNCTION("IMPORTRANGE(""https://docs.google.com/spreadsheets/d/1kKUcYdkIfrgTSj8iHHHB2MD2FAtwyyocFgqGQn6ADyI/edit?usp=sharing"",""กระบี่!I315"")"),"")</f>
        <v/>
      </c>
      <c r="AB75" s="177" t="str">
        <f ca="1">IFERROR(__xludf.DUMMYFUNCTION("IMPORTRANGE(""https://docs.google.com/spreadsheets/d/1kKUcYdkIfrgTSj8iHHHB2MD2FAtwyyocFgqGQn6ADyI/edit?usp=sharing"",""กระบี่!J315"")"),"")</f>
        <v/>
      </c>
      <c r="AC75" s="354">
        <f t="shared" ca="1" si="41"/>
        <v>0</v>
      </c>
      <c r="AD75" s="353" t="str">
        <f ca="1">IFERROR(__xludf.DUMMYFUNCTION("IMPORTRANGE(""https://docs.google.com/spreadsheets/d/1kKUcYdkIfrgTSj8iHHHB2MD2FAtwyyocFgqGQn6ADyI/edit?usp=sharing"",""กระบี่!I316"")"),"")</f>
        <v/>
      </c>
      <c r="AE75" s="177" t="str">
        <f ca="1">IFERROR(__xludf.DUMMYFUNCTION("IMPORTRANGE(""https://docs.google.com/spreadsheets/d/1kKUcYdkIfrgTSj8iHHHB2MD2FAtwyyocFgqGQn6ADyI/edit?usp=sharing"",""กระบี่!J316"")"),"")</f>
        <v/>
      </c>
      <c r="AF75" s="354" t="e">
        <f t="shared" ca="1" si="43"/>
        <v>#VALUE!</v>
      </c>
      <c r="AG75" s="353" t="str">
        <f ca="1">IFERROR(__xludf.DUMMYFUNCTION("IMPORTRANGE(""https://docs.google.com/spreadsheets/d/1kKUcYdkIfrgTSj8iHHHB2MD2FAtwyyocFgqGQn6ADyI/edit?usp=sharing"",""กระบี่!I317"")"),"")</f>
        <v/>
      </c>
      <c r="AH75" s="177" t="str">
        <f ca="1">IFERROR(__xludf.DUMMYFUNCTION("IMPORTRANGE(""https://docs.google.com/spreadsheets/d/1kKUcYdkIfrgTSj8iHHHB2MD2FAtwyyocFgqGQn6ADyI/edit?usp=sharing"",""กระบี่!J317"")"),"")</f>
        <v/>
      </c>
      <c r="AI75" s="354" t="e">
        <f t="shared" ca="1" si="45"/>
        <v>#VALUE!</v>
      </c>
    </row>
    <row r="76" spans="1:35" ht="21" customHeight="1" x14ac:dyDescent="0.3">
      <c r="A76" s="89">
        <v>2</v>
      </c>
      <c r="B76" s="90" t="s">
        <v>102</v>
      </c>
      <c r="C76" s="174">
        <f t="shared" ca="1" si="27"/>
        <v>0</v>
      </c>
      <c r="D76" s="175">
        <f t="shared" ca="1" si="67"/>
        <v>0</v>
      </c>
      <c r="E76" s="176">
        <f ca="1">IFERROR(__xludf.DUMMYFUNCTION("IMPORTRANGE(""https://docs.google.com/spreadsheets/d/1-uDff_7J0KD5mKrp0Vvzr7lt3OU09vwQwhkpOPPYv2Y/edit?usp=sharing"",""งบพรบ!DZ76"")"),0)</f>
        <v>0</v>
      </c>
      <c r="F76" s="176">
        <f ca="1">IFERROR(__xludf.DUMMYFUNCTION("IMPORTRANGE(""https://docs.google.com/spreadsheets/d/1-uDff_7J0KD5mKrp0Vvzr7lt3OU09vwQwhkpOPPYv2Y/edit?usp=sharing"",""งบพรบ!EA76"")"),0)</f>
        <v>0</v>
      </c>
      <c r="G76" s="176">
        <f ca="1">IFERROR(__xludf.DUMMYFUNCTION("IMPORTRANGE(""https://docs.google.com/spreadsheets/d/1-uDff_7J0KD5mKrp0Vvzr7lt3OU09vwQwhkpOPPYv2Y/edit?usp=sharing"",""งบพรบ!EB76"")"),0)</f>
        <v>0</v>
      </c>
      <c r="H76" s="176">
        <f ca="1">IFERROR(__xludf.DUMMYFUNCTION("IMPORTRANGE(""https://docs.google.com/spreadsheets/d/1-uDff_7J0KD5mKrp0Vvzr7lt3OU09vwQwhkpOPPYv2Y/edit?usp=sharing"",""งบพรบ!ED76"")"),0)</f>
        <v>0</v>
      </c>
      <c r="I76" s="176">
        <f ca="1">IFERROR(__xludf.DUMMYFUNCTION("IMPORTRANGE(""https://docs.google.com/spreadsheets/d/1-uDff_7J0KD5mKrp0Vvzr7lt3OU09vwQwhkpOPPYv2Y/edit?usp=sharing"",""งบพรบ!EE76"")"),0)</f>
        <v>0</v>
      </c>
      <c r="J76" s="176">
        <f t="shared" ca="1" si="29"/>
        <v>0</v>
      </c>
      <c r="K76" s="179">
        <f t="shared" ca="1" si="30"/>
        <v>0</v>
      </c>
      <c r="L76" s="176">
        <f ca="1">IFERROR(__xludf.DUMMYFUNCTION("IMPORTRANGE(""https://docs.google.com/spreadsheets/d/1-uDff_7J0KD5mKrp0Vvzr7lt3OU09vwQwhkpOPPYv2Y/edit?usp=sharing"",""งบพรบ!EF76"")"),0)</f>
        <v>0</v>
      </c>
      <c r="M76" s="87">
        <f t="shared" ca="1" si="31"/>
        <v>0</v>
      </c>
      <c r="N76" s="87">
        <f t="shared" ca="1" si="32"/>
        <v>0</v>
      </c>
      <c r="O76" s="86">
        <f ca="1">IFERROR(__xludf.DUMMYFUNCTION("IMPORTRANGE(""https://docs.google.com/spreadsheets/d/1-uDff_7J0KD5mKrp0Vvzr7lt3OU09vwQwhkpOPPYv2Y/edit?usp=sharing"",""งบพรบ!EG76"")"),0)</f>
        <v>0</v>
      </c>
      <c r="P76" s="86">
        <f t="shared" ca="1" si="33"/>
        <v>0</v>
      </c>
      <c r="Q76" s="87">
        <f t="shared" ca="1" si="34"/>
        <v>0</v>
      </c>
      <c r="R76" s="241">
        <f ca="1">IFERROR(__xludf.DUMMYFUNCTION("IMPORTRANGE(""https://docs.google.com/spreadsheets/d/1GwtLaSlNZkLk7iDqcyZz22giiy40b_usZZBXYciEN1U/edit?usp=sharing"",""ชุมพร!Q303"")"),260958.39)</f>
        <v>260958.39</v>
      </c>
      <c r="S76" s="242">
        <f ca="1">IFERROR(__xludf.DUMMYFUNCTION("IMPORTRANGE(""https://docs.google.com/spreadsheets/d/1GwtLaSlNZkLk7iDqcyZz22giiy40b_usZZBXYciEN1U/edit?usp=sharing"",""ชุมพร!R303"")"),0)</f>
        <v>0</v>
      </c>
      <c r="T76" s="242">
        <f ca="1">IFERROR(__xludf.DUMMYFUNCTION("IMPORTRANGE(""https://docs.google.com/spreadsheets/d/1GwtLaSlNZkLk7iDqcyZz22giiy40b_usZZBXYciEN1U/edit?usp=sharing"",""ชุมพร!S303"")"),0)</f>
        <v>0</v>
      </c>
      <c r="U76" s="243">
        <f t="shared" ca="1" si="36"/>
        <v>0</v>
      </c>
      <c r="V76" s="243">
        <f t="shared" ca="1" si="37"/>
        <v>0</v>
      </c>
      <c r="W76" s="353" t="str">
        <f ca="1">IFERROR(__xludf.DUMMYFUNCTION("IMPORTRANGE(""https://docs.google.com/spreadsheets/d/1GwtLaSlNZkLk7iDqcyZz22giiy40b_usZZBXYciEN1U/edit?usp=sharing"",""ชุมพร!J313"")"),"")</f>
        <v/>
      </c>
      <c r="X76" s="353">
        <f ca="1">IFERROR(__xludf.DUMMYFUNCTION("IMPORTRANGE(""https://docs.google.com/spreadsheets/d/1GwtLaSlNZkLk7iDqcyZz22giiy40b_usZZBXYciEN1U/edit?usp=sharing"",""ชุมพร!I314"")"),30)</f>
        <v>30</v>
      </c>
      <c r="Y76" s="177">
        <f ca="1">IFERROR(__xludf.DUMMYFUNCTION("IMPORTRANGE(""https://docs.google.com/spreadsheets/d/1GwtLaSlNZkLk7iDqcyZz22giiy40b_usZZBXYciEN1U/edit?usp=sharing"",""ชุมพร!J314"")"),0)</f>
        <v>0</v>
      </c>
      <c r="Z76" s="354">
        <f t="shared" ca="1" si="39"/>
        <v>0</v>
      </c>
      <c r="AA76" s="353" t="str">
        <f ca="1">IFERROR(__xludf.DUMMYFUNCTION("IMPORTRANGE(""https://docs.google.com/spreadsheets/d/1GwtLaSlNZkLk7iDqcyZz22giiy40b_usZZBXYciEN1U/edit?usp=sharing"",""ชุมพร!I315"")"),"")</f>
        <v/>
      </c>
      <c r="AB76" s="177" t="str">
        <f ca="1">IFERROR(__xludf.DUMMYFUNCTION("IMPORTRANGE(""https://docs.google.com/spreadsheets/d/1GwtLaSlNZkLk7iDqcyZz22giiy40b_usZZBXYciEN1U/edit?usp=sharing"",""ชุมพร!J315"")"),"")</f>
        <v/>
      </c>
      <c r="AC76" s="354" t="e">
        <f t="shared" ca="1" si="41"/>
        <v>#VALUE!</v>
      </c>
      <c r="AD76" s="353" t="str">
        <f ca="1">IFERROR(__xludf.DUMMYFUNCTION("IMPORTRANGE(""https://docs.google.com/spreadsheets/d/1GwtLaSlNZkLk7iDqcyZz22giiy40b_usZZBXYciEN1U/edit?usp=sharing"",""ชุมพร!I316"")"),"")</f>
        <v/>
      </c>
      <c r="AE76" s="177" t="str">
        <f ca="1">IFERROR(__xludf.DUMMYFUNCTION("IMPORTRANGE(""https://docs.google.com/spreadsheets/d/1GwtLaSlNZkLk7iDqcyZz22giiy40b_usZZBXYciEN1U/edit?usp=sharing"",""ชุมพร!J316"")"),"")</f>
        <v/>
      </c>
      <c r="AF76" s="354" t="e">
        <f t="shared" ca="1" si="43"/>
        <v>#VALUE!</v>
      </c>
      <c r="AG76" s="353" t="str">
        <f ca="1">IFERROR(__xludf.DUMMYFUNCTION("IMPORTRANGE(""https://docs.google.com/spreadsheets/d/1GwtLaSlNZkLk7iDqcyZz22giiy40b_usZZBXYciEN1U/edit?usp=sharing"",""ชุมพร!I317"")"),"")</f>
        <v/>
      </c>
      <c r="AH76" s="177" t="str">
        <f ca="1">IFERROR(__xludf.DUMMYFUNCTION("IMPORTRANGE(""https://docs.google.com/spreadsheets/d/1GwtLaSlNZkLk7iDqcyZz22giiy40b_usZZBXYciEN1U/edit?usp=sharing"",""ชุมพร!J317"")"),"")</f>
        <v/>
      </c>
      <c r="AI76" s="354" t="e">
        <f t="shared" ca="1" si="45"/>
        <v>#VALUE!</v>
      </c>
    </row>
    <row r="77" spans="1:35" ht="21" customHeight="1" x14ac:dyDescent="0.3">
      <c r="A77" s="89">
        <v>3</v>
      </c>
      <c r="B77" s="90" t="s">
        <v>103</v>
      </c>
      <c r="C77" s="174">
        <f t="shared" ca="1" si="27"/>
        <v>0</v>
      </c>
      <c r="D77" s="175">
        <f t="shared" ca="1" si="67"/>
        <v>0</v>
      </c>
      <c r="E77" s="176">
        <f ca="1">IFERROR(__xludf.DUMMYFUNCTION("IMPORTRANGE(""https://docs.google.com/spreadsheets/d/1-uDff_7J0KD5mKrp0Vvzr7lt3OU09vwQwhkpOPPYv2Y/edit?usp=sharing"",""งบพรบ!DZ77"")"),0)</f>
        <v>0</v>
      </c>
      <c r="F77" s="176">
        <f ca="1">IFERROR(__xludf.DUMMYFUNCTION("IMPORTRANGE(""https://docs.google.com/spreadsheets/d/1-uDff_7J0KD5mKrp0Vvzr7lt3OU09vwQwhkpOPPYv2Y/edit?usp=sharing"",""งบพรบ!EA77"")"),0)</f>
        <v>0</v>
      </c>
      <c r="G77" s="176">
        <f ca="1">IFERROR(__xludf.DUMMYFUNCTION("IMPORTRANGE(""https://docs.google.com/spreadsheets/d/1-uDff_7J0KD5mKrp0Vvzr7lt3OU09vwQwhkpOPPYv2Y/edit?usp=sharing"",""งบพรบ!EB77"")"),0)</f>
        <v>0</v>
      </c>
      <c r="H77" s="176">
        <f ca="1">IFERROR(__xludf.DUMMYFUNCTION("IMPORTRANGE(""https://docs.google.com/spreadsheets/d/1-uDff_7J0KD5mKrp0Vvzr7lt3OU09vwQwhkpOPPYv2Y/edit?usp=sharing"",""งบพรบ!ED77"")"),0)</f>
        <v>0</v>
      </c>
      <c r="I77" s="176">
        <f ca="1">IFERROR(__xludf.DUMMYFUNCTION("IMPORTRANGE(""https://docs.google.com/spreadsheets/d/1-uDff_7J0KD5mKrp0Vvzr7lt3OU09vwQwhkpOPPYv2Y/edit?usp=sharing"",""งบพรบ!EE77"")"),0)</f>
        <v>0</v>
      </c>
      <c r="J77" s="176">
        <f t="shared" ca="1" si="29"/>
        <v>0</v>
      </c>
      <c r="K77" s="179">
        <f t="shared" ca="1" si="30"/>
        <v>0</v>
      </c>
      <c r="L77" s="176">
        <f ca="1">IFERROR(__xludf.DUMMYFUNCTION("IMPORTRANGE(""https://docs.google.com/spreadsheets/d/1-uDff_7J0KD5mKrp0Vvzr7lt3OU09vwQwhkpOPPYv2Y/edit?usp=sharing"",""งบพรบ!EF77"")"),0)</f>
        <v>0</v>
      </c>
      <c r="M77" s="87">
        <f t="shared" ca="1" si="31"/>
        <v>0</v>
      </c>
      <c r="N77" s="87">
        <f t="shared" ca="1" si="32"/>
        <v>0</v>
      </c>
      <c r="O77" s="86">
        <f ca="1">IFERROR(__xludf.DUMMYFUNCTION("IMPORTRANGE(""https://docs.google.com/spreadsheets/d/1-uDff_7J0KD5mKrp0Vvzr7lt3OU09vwQwhkpOPPYv2Y/edit?usp=sharing"",""งบพรบ!EG77"")"),0)</f>
        <v>0</v>
      </c>
      <c r="P77" s="86">
        <f t="shared" ca="1" si="33"/>
        <v>0</v>
      </c>
      <c r="Q77" s="87">
        <f t="shared" ca="1" si="34"/>
        <v>0</v>
      </c>
      <c r="R77" s="241">
        <f ca="1">IFERROR(__xludf.DUMMYFUNCTION("IMPORTRANGE(""https://docs.google.com/spreadsheets/d/16pAz3pOhQEZBhvFNMa5KGgZS6iKWpsKX0pg6tQmwFpo/edit?usp=sharing"",""ตรัง!Q303"")"),229336.17)</f>
        <v>229336.17</v>
      </c>
      <c r="S77" s="242">
        <f ca="1">IFERROR(__xludf.DUMMYFUNCTION("IMPORTRANGE(""https://docs.google.com/spreadsheets/d/16pAz3pOhQEZBhvFNMa5KGgZS6iKWpsKX0pg6tQmwFpo/edit?usp=sharing"",""ตรัง!R303"")"),0)</f>
        <v>0</v>
      </c>
      <c r="T77" s="242">
        <f ca="1">IFERROR(__xludf.DUMMYFUNCTION("IMPORTRANGE(""https://docs.google.com/spreadsheets/d/16pAz3pOhQEZBhvFNMa5KGgZS6iKWpsKX0pg6tQmwFpo/edit?usp=sharing"",""ตรัง!S303"")"),0)</f>
        <v>0</v>
      </c>
      <c r="U77" s="243">
        <f t="shared" ca="1" si="36"/>
        <v>0</v>
      </c>
      <c r="V77" s="243">
        <f t="shared" ca="1" si="37"/>
        <v>0</v>
      </c>
      <c r="W77" s="353" t="str">
        <f ca="1">IFERROR(__xludf.DUMMYFUNCTION("IMPORTRANGE(""https://docs.google.com/spreadsheets/d/16pAz3pOhQEZBhvFNMa5KGgZS6iKWpsKX0pg6tQmwFpo/edit?usp=sharing"",""ตรัง!J313"")"),"")</f>
        <v/>
      </c>
      <c r="X77" s="353">
        <f ca="1">IFERROR(__xludf.DUMMYFUNCTION("IMPORTRANGE(""https://docs.google.com/spreadsheets/d/16pAz3pOhQEZBhvFNMa5KGgZS6iKWpsKX0pg6tQmwFpo/edit?usp=sharing"",""ตรัง!I314"")"),25)</f>
        <v>25</v>
      </c>
      <c r="Y77" s="177">
        <f ca="1">IFERROR(__xludf.DUMMYFUNCTION("IMPORTRANGE(""https://docs.google.com/spreadsheets/d/16pAz3pOhQEZBhvFNMa5KGgZS6iKWpsKX0pg6tQmwFpo/edit?usp=sharing"",""ตรัง!J314"")"),0)</f>
        <v>0</v>
      </c>
      <c r="Z77" s="354">
        <f t="shared" ca="1" si="39"/>
        <v>0</v>
      </c>
      <c r="AA77" s="353" t="str">
        <f ca="1">IFERROR(__xludf.DUMMYFUNCTION("IMPORTRANGE(""https://docs.google.com/spreadsheets/d/16pAz3pOhQEZBhvFNMa5KGgZS6iKWpsKX0pg6tQmwFpo/edit?usp=sharing"",""ตรัง!I315"")"),"")</f>
        <v/>
      </c>
      <c r="AB77" s="177" t="str">
        <f ca="1">IFERROR(__xludf.DUMMYFUNCTION("IMPORTRANGE(""https://docs.google.com/spreadsheets/d/16pAz3pOhQEZBhvFNMa5KGgZS6iKWpsKX0pg6tQmwFpo/edit?usp=sharing"",""ตรัง!J315"")"),"")</f>
        <v/>
      </c>
      <c r="AC77" s="354" t="e">
        <f t="shared" ca="1" si="41"/>
        <v>#VALUE!</v>
      </c>
      <c r="AD77" s="353" t="str">
        <f ca="1">IFERROR(__xludf.DUMMYFUNCTION("IMPORTRANGE(""https://docs.google.com/spreadsheets/d/16pAz3pOhQEZBhvFNMa5KGgZS6iKWpsKX0pg6tQmwFpo/edit?usp=sharing"",""ตรัง!I316"")"),"")</f>
        <v/>
      </c>
      <c r="AE77" s="177" t="str">
        <f ca="1">IFERROR(__xludf.DUMMYFUNCTION("IMPORTRANGE(""https://docs.google.com/spreadsheets/d/16pAz3pOhQEZBhvFNMa5KGgZS6iKWpsKX0pg6tQmwFpo/edit?usp=sharing"",""ตรัง!J316"")"),"")</f>
        <v/>
      </c>
      <c r="AF77" s="354" t="e">
        <f t="shared" ca="1" si="43"/>
        <v>#VALUE!</v>
      </c>
      <c r="AG77" s="353" t="str">
        <f ca="1">IFERROR(__xludf.DUMMYFUNCTION("IMPORTRANGE(""https://docs.google.com/spreadsheets/d/16pAz3pOhQEZBhvFNMa5KGgZS6iKWpsKX0pg6tQmwFpo/edit?usp=sharing"",""ตรัง!I317"")"),"")</f>
        <v/>
      </c>
      <c r="AH77" s="177" t="str">
        <f ca="1">IFERROR(__xludf.DUMMYFUNCTION("IMPORTRANGE(""https://docs.google.com/spreadsheets/d/16pAz3pOhQEZBhvFNMa5KGgZS6iKWpsKX0pg6tQmwFpo/edit?usp=sharing"",""ตรัง!J317"")"),"")</f>
        <v/>
      </c>
      <c r="AI77" s="354" t="e">
        <f t="shared" ca="1" si="45"/>
        <v>#VALUE!</v>
      </c>
    </row>
    <row r="78" spans="1:35" ht="21" customHeight="1" x14ac:dyDescent="0.3">
      <c r="A78" s="89">
        <v>4</v>
      </c>
      <c r="B78" s="90" t="s">
        <v>104</v>
      </c>
      <c r="C78" s="174">
        <f t="shared" ca="1" si="27"/>
        <v>0</v>
      </c>
      <c r="D78" s="175">
        <f t="shared" ca="1" si="67"/>
        <v>0</v>
      </c>
      <c r="E78" s="176">
        <f ca="1">IFERROR(__xludf.DUMMYFUNCTION("IMPORTRANGE(""https://docs.google.com/spreadsheets/d/1-uDff_7J0KD5mKrp0Vvzr7lt3OU09vwQwhkpOPPYv2Y/edit?usp=sharing"",""งบพรบ!DZ78"")"),0)</f>
        <v>0</v>
      </c>
      <c r="F78" s="176">
        <f ca="1">IFERROR(__xludf.DUMMYFUNCTION("IMPORTRANGE(""https://docs.google.com/spreadsheets/d/1-uDff_7J0KD5mKrp0Vvzr7lt3OU09vwQwhkpOPPYv2Y/edit?usp=sharing"",""งบพรบ!EA78"")"),0)</f>
        <v>0</v>
      </c>
      <c r="G78" s="176">
        <f ca="1">IFERROR(__xludf.DUMMYFUNCTION("IMPORTRANGE(""https://docs.google.com/spreadsheets/d/1-uDff_7J0KD5mKrp0Vvzr7lt3OU09vwQwhkpOPPYv2Y/edit?usp=sharing"",""งบพรบ!EB78"")"),0)</f>
        <v>0</v>
      </c>
      <c r="H78" s="176">
        <f ca="1">IFERROR(__xludf.DUMMYFUNCTION("IMPORTRANGE(""https://docs.google.com/spreadsheets/d/1-uDff_7J0KD5mKrp0Vvzr7lt3OU09vwQwhkpOPPYv2Y/edit?usp=sharing"",""งบพรบ!ED78"")"),0)</f>
        <v>0</v>
      </c>
      <c r="I78" s="176">
        <f ca="1">IFERROR(__xludf.DUMMYFUNCTION("IMPORTRANGE(""https://docs.google.com/spreadsheets/d/1-uDff_7J0KD5mKrp0Vvzr7lt3OU09vwQwhkpOPPYv2Y/edit?usp=sharing"",""งบพรบ!EE78"")"),0)</f>
        <v>0</v>
      </c>
      <c r="J78" s="176">
        <f t="shared" ca="1" si="29"/>
        <v>0</v>
      </c>
      <c r="K78" s="179">
        <f t="shared" ca="1" si="30"/>
        <v>0</v>
      </c>
      <c r="L78" s="176">
        <f ca="1">IFERROR(__xludf.DUMMYFUNCTION("IMPORTRANGE(""https://docs.google.com/spreadsheets/d/1-uDff_7J0KD5mKrp0Vvzr7lt3OU09vwQwhkpOPPYv2Y/edit?usp=sharing"",""งบพรบ!EF78"")"),0)</f>
        <v>0</v>
      </c>
      <c r="M78" s="87">
        <f t="shared" ca="1" si="31"/>
        <v>0</v>
      </c>
      <c r="N78" s="87">
        <f t="shared" ca="1" si="32"/>
        <v>0</v>
      </c>
      <c r="O78" s="86">
        <f ca="1">IFERROR(__xludf.DUMMYFUNCTION("IMPORTRANGE(""https://docs.google.com/spreadsheets/d/1-uDff_7J0KD5mKrp0Vvzr7lt3OU09vwQwhkpOPPYv2Y/edit?usp=sharing"",""งบพรบ!EG78"")"),0)</f>
        <v>0</v>
      </c>
      <c r="P78" s="86">
        <f t="shared" ca="1" si="33"/>
        <v>0</v>
      </c>
      <c r="Q78" s="87">
        <f t="shared" ca="1" si="34"/>
        <v>0</v>
      </c>
      <c r="R78" s="241">
        <f ca="1">IFERROR(__xludf.DUMMYFUNCTION("IMPORTRANGE(""https://docs.google.com/spreadsheets/d/1Dj4jcHCTV9JXKCaMoheSXS52JE63kDKyG7bPXnFogHk/edit?usp=sharing"",""นครศรีธรรมราช!Q303"")"),260958.39)</f>
        <v>260958.39</v>
      </c>
      <c r="S78" s="242">
        <f ca="1">IFERROR(__xludf.DUMMYFUNCTION("IMPORTRANGE(""https://docs.google.com/spreadsheets/d/1Dj4jcHCTV9JXKCaMoheSXS52JE63kDKyG7bPXnFogHk/edit?usp=sharing"",""นครศรีธรรมราช!R303"")"),0)</f>
        <v>0</v>
      </c>
      <c r="T78" s="242">
        <f ca="1">IFERROR(__xludf.DUMMYFUNCTION("IMPORTRANGE(""https://docs.google.com/spreadsheets/d/1Dj4jcHCTV9JXKCaMoheSXS52JE63kDKyG7bPXnFogHk/edit?usp=sharing"",""นครศรีธรรมราช!S303"")"),0)</f>
        <v>0</v>
      </c>
      <c r="U78" s="243">
        <f t="shared" ca="1" si="36"/>
        <v>0</v>
      </c>
      <c r="V78" s="243">
        <f t="shared" ca="1" si="37"/>
        <v>0</v>
      </c>
      <c r="W78" s="353" t="str">
        <f ca="1">IFERROR(__xludf.DUMMYFUNCTION("IMPORTRANGE(""https://docs.google.com/spreadsheets/d/1Dj4jcHCTV9JXKCaMoheSXS52JE63kDKyG7bPXnFogHk/edit?usp=sharing"",""นครศรีธรรมราช!J313"")"),"")</f>
        <v/>
      </c>
      <c r="X78" s="353">
        <f ca="1">IFERROR(__xludf.DUMMYFUNCTION("IMPORTRANGE(""https://docs.google.com/spreadsheets/d/1Dj4jcHCTV9JXKCaMoheSXS52JE63kDKyG7bPXnFogHk/edit?usp=sharing"",""นครศรีธรรมราช!I314"")"),30)</f>
        <v>30</v>
      </c>
      <c r="Y78" s="177">
        <f ca="1">IFERROR(__xludf.DUMMYFUNCTION("IMPORTRANGE(""https://docs.google.com/spreadsheets/d/1Dj4jcHCTV9JXKCaMoheSXS52JE63kDKyG7bPXnFogHk/edit?usp=sharing"",""นครศรีธรรมราช!J314"")"),0)</f>
        <v>0</v>
      </c>
      <c r="Z78" s="354">
        <f t="shared" ca="1" si="39"/>
        <v>0</v>
      </c>
      <c r="AA78" s="353" t="str">
        <f ca="1">IFERROR(__xludf.DUMMYFUNCTION("IMPORTRANGE(""https://docs.google.com/spreadsheets/d/1Dj4jcHCTV9JXKCaMoheSXS52JE63kDKyG7bPXnFogHk/edit?usp=sharing"",""นครศรีธรรมราช!I315"")"),"")</f>
        <v/>
      </c>
      <c r="AB78" s="177" t="str">
        <f ca="1">IFERROR(__xludf.DUMMYFUNCTION("IMPORTRANGE(""https://docs.google.com/spreadsheets/d/1Dj4jcHCTV9JXKCaMoheSXS52JE63kDKyG7bPXnFogHk/edit?usp=sharing"",""นครศรีธรรมราช!J315"")"),"")</f>
        <v/>
      </c>
      <c r="AC78" s="354" t="e">
        <f t="shared" ca="1" si="41"/>
        <v>#VALUE!</v>
      </c>
      <c r="AD78" s="353" t="str">
        <f ca="1">IFERROR(__xludf.DUMMYFUNCTION("IMPORTRANGE(""https://docs.google.com/spreadsheets/d/1Dj4jcHCTV9JXKCaMoheSXS52JE63kDKyG7bPXnFogHk/edit?usp=sharing"",""นครศรีธรรมราช!I316"")"),"")</f>
        <v/>
      </c>
      <c r="AE78" s="177" t="str">
        <f ca="1">IFERROR(__xludf.DUMMYFUNCTION("IMPORTRANGE(""https://docs.google.com/spreadsheets/d/1Dj4jcHCTV9JXKCaMoheSXS52JE63kDKyG7bPXnFogHk/edit?usp=sharing"",""นครศรีธรรมราช!J316"")"),"")</f>
        <v/>
      </c>
      <c r="AF78" s="354" t="e">
        <f t="shared" ca="1" si="43"/>
        <v>#VALUE!</v>
      </c>
      <c r="AG78" s="353" t="str">
        <f ca="1">IFERROR(__xludf.DUMMYFUNCTION("IMPORTRANGE(""https://docs.google.com/spreadsheets/d/1Dj4jcHCTV9JXKCaMoheSXS52JE63kDKyG7bPXnFogHk/edit?usp=sharing"",""นครศรีธรรมราช!I317"")"),"")</f>
        <v/>
      </c>
      <c r="AH78" s="177" t="str">
        <f ca="1">IFERROR(__xludf.DUMMYFUNCTION("IMPORTRANGE(""https://docs.google.com/spreadsheets/d/1Dj4jcHCTV9JXKCaMoheSXS52JE63kDKyG7bPXnFogHk/edit?usp=sharing"",""นครศรีธรรมราช!J317"")"),"")</f>
        <v/>
      </c>
      <c r="AI78" s="354" t="e">
        <f t="shared" ca="1" si="45"/>
        <v>#VALUE!</v>
      </c>
    </row>
    <row r="79" spans="1:35" ht="21" customHeight="1" x14ac:dyDescent="0.3">
      <c r="A79" s="89">
        <v>5</v>
      </c>
      <c r="B79" s="90" t="s">
        <v>105</v>
      </c>
      <c r="C79" s="174">
        <f t="shared" ca="1" si="27"/>
        <v>0</v>
      </c>
      <c r="D79" s="175">
        <f t="shared" ca="1" si="67"/>
        <v>0</v>
      </c>
      <c r="E79" s="176">
        <f ca="1">IFERROR(__xludf.DUMMYFUNCTION("IMPORTRANGE(""https://docs.google.com/spreadsheets/d/1-uDff_7J0KD5mKrp0Vvzr7lt3OU09vwQwhkpOPPYv2Y/edit?usp=sharing"",""งบพรบ!DZ79"")"),0)</f>
        <v>0</v>
      </c>
      <c r="F79" s="176">
        <f ca="1">IFERROR(__xludf.DUMMYFUNCTION("IMPORTRANGE(""https://docs.google.com/spreadsheets/d/1-uDff_7J0KD5mKrp0Vvzr7lt3OU09vwQwhkpOPPYv2Y/edit?usp=sharing"",""งบพรบ!EA79"")"),0)</f>
        <v>0</v>
      </c>
      <c r="G79" s="176">
        <f ca="1">IFERROR(__xludf.DUMMYFUNCTION("IMPORTRANGE(""https://docs.google.com/spreadsheets/d/1-uDff_7J0KD5mKrp0Vvzr7lt3OU09vwQwhkpOPPYv2Y/edit?usp=sharing"",""งบพรบ!EB79"")"),0)</f>
        <v>0</v>
      </c>
      <c r="H79" s="176">
        <f ca="1">IFERROR(__xludf.DUMMYFUNCTION("IMPORTRANGE(""https://docs.google.com/spreadsheets/d/1-uDff_7J0KD5mKrp0Vvzr7lt3OU09vwQwhkpOPPYv2Y/edit?usp=sharing"",""งบพรบ!ED79"")"),0)</f>
        <v>0</v>
      </c>
      <c r="I79" s="176">
        <f ca="1">IFERROR(__xludf.DUMMYFUNCTION("IMPORTRANGE(""https://docs.google.com/spreadsheets/d/1-uDff_7J0KD5mKrp0Vvzr7lt3OU09vwQwhkpOPPYv2Y/edit?usp=sharing"",""งบพรบ!EE79"")"),0)</f>
        <v>0</v>
      </c>
      <c r="J79" s="176">
        <f t="shared" ca="1" si="29"/>
        <v>0</v>
      </c>
      <c r="K79" s="179">
        <f t="shared" ca="1" si="30"/>
        <v>0</v>
      </c>
      <c r="L79" s="176">
        <f ca="1">IFERROR(__xludf.DUMMYFUNCTION("IMPORTRANGE(""https://docs.google.com/spreadsheets/d/1-uDff_7J0KD5mKrp0Vvzr7lt3OU09vwQwhkpOPPYv2Y/edit?usp=sharing"",""งบพรบ!EF79"")"),0)</f>
        <v>0</v>
      </c>
      <c r="M79" s="87">
        <f t="shared" ca="1" si="31"/>
        <v>0</v>
      </c>
      <c r="N79" s="87">
        <f t="shared" ca="1" si="32"/>
        <v>0</v>
      </c>
      <c r="O79" s="86">
        <f ca="1">IFERROR(__xludf.DUMMYFUNCTION("IMPORTRANGE(""https://docs.google.com/spreadsheets/d/1-uDff_7J0KD5mKrp0Vvzr7lt3OU09vwQwhkpOPPYv2Y/edit?usp=sharing"",""งบพรบ!EG79"")"),0)</f>
        <v>0</v>
      </c>
      <c r="P79" s="86">
        <f t="shared" ca="1" si="33"/>
        <v>0</v>
      </c>
      <c r="Q79" s="87">
        <f t="shared" ca="1" si="34"/>
        <v>0</v>
      </c>
      <c r="R79" s="241">
        <f ca="1">IFERROR(__xludf.DUMMYFUNCTION("IMPORTRANGE(""https://docs.google.com/spreadsheets/d/1iodCdmuK2GR3jzUwk8tpccY2JHQQA-87DLOtJP-ooyU/edit?usp=sharing"",""นราธิวาส!Q303"")"),0)</f>
        <v>0</v>
      </c>
      <c r="S79" s="242">
        <f ca="1">IFERROR(__xludf.DUMMYFUNCTION("IMPORTRANGE(""https://docs.google.com/spreadsheets/d/1iodCdmuK2GR3jzUwk8tpccY2JHQQA-87DLOtJP-ooyU/edit?usp=sharing"",""นราธิวาส!R303"")"),0)</f>
        <v>0</v>
      </c>
      <c r="T79" s="242">
        <f ca="1">IFERROR(__xludf.DUMMYFUNCTION("IMPORTRANGE(""https://docs.google.com/spreadsheets/d/1iodCdmuK2GR3jzUwk8tpccY2JHQQA-87DLOtJP-ooyU/edit?usp=sharing"",""นราธิวาส!S303"")"),0)</f>
        <v>0</v>
      </c>
      <c r="U79" s="243">
        <f t="shared" ca="1" si="36"/>
        <v>0</v>
      </c>
      <c r="V79" s="243">
        <f t="shared" ca="1" si="37"/>
        <v>0</v>
      </c>
      <c r="W79" s="353" t="str">
        <f ca="1">IFERROR(__xludf.DUMMYFUNCTION("IMPORTRANGE(""https://docs.google.com/spreadsheets/d/1iodCdmuK2GR3jzUwk8tpccY2JHQQA-87DLOtJP-ooyU/edit?usp=sharing"",""นราธิวาส!J313"")"),"")</f>
        <v/>
      </c>
      <c r="X79" s="353">
        <f ca="1">IFERROR(__xludf.DUMMYFUNCTION("IMPORTRANGE(""https://docs.google.com/spreadsheets/d/1iodCdmuK2GR3jzUwk8tpccY2JHQQA-87DLOtJP-ooyU/edit?usp=sharing"",""นราธิวาส!I314"")"),0)</f>
        <v>0</v>
      </c>
      <c r="Y79" s="177">
        <f ca="1">IFERROR(__xludf.DUMMYFUNCTION("IMPORTRANGE(""https://docs.google.com/spreadsheets/d/1iodCdmuK2GR3jzUwk8tpccY2JHQQA-87DLOtJP-ooyU/edit?usp=sharing"",""นราธิวาส!J314"")"),0)</f>
        <v>0</v>
      </c>
      <c r="Z79" s="354">
        <f t="shared" ca="1" si="39"/>
        <v>0</v>
      </c>
      <c r="AA79" s="353" t="str">
        <f ca="1">IFERROR(__xludf.DUMMYFUNCTION("IMPORTRANGE(""https://docs.google.com/spreadsheets/d/1iodCdmuK2GR3jzUwk8tpccY2JHQQA-87DLOtJP-ooyU/edit?usp=sharing"",""นราธิวาส!I315"")"),"")</f>
        <v/>
      </c>
      <c r="AB79" s="177" t="str">
        <f ca="1">IFERROR(__xludf.DUMMYFUNCTION("IMPORTRANGE(""https://docs.google.com/spreadsheets/d/1iodCdmuK2GR3jzUwk8tpccY2JHQQA-87DLOtJP-ooyU/edit?usp=sharing"",""นราธิวาส!J315"")"),"")</f>
        <v/>
      </c>
      <c r="AC79" s="354">
        <f t="shared" ca="1" si="41"/>
        <v>0</v>
      </c>
      <c r="AD79" s="353" t="str">
        <f ca="1">IFERROR(__xludf.DUMMYFUNCTION("IMPORTRANGE(""https://docs.google.com/spreadsheets/d/1iodCdmuK2GR3jzUwk8tpccY2JHQQA-87DLOtJP-ooyU/edit?usp=sharing"",""นราธิวาส!I316"")"),"")</f>
        <v/>
      </c>
      <c r="AE79" s="177" t="str">
        <f ca="1">IFERROR(__xludf.DUMMYFUNCTION("IMPORTRANGE(""https://docs.google.com/spreadsheets/d/1iodCdmuK2GR3jzUwk8tpccY2JHQQA-87DLOtJP-ooyU/edit?usp=sharing"",""นราธิวาส!J316"")"),"")</f>
        <v/>
      </c>
      <c r="AF79" s="354" t="e">
        <f t="shared" ca="1" si="43"/>
        <v>#VALUE!</v>
      </c>
      <c r="AG79" s="353" t="str">
        <f ca="1">IFERROR(__xludf.DUMMYFUNCTION("IMPORTRANGE(""https://docs.google.com/spreadsheets/d/1iodCdmuK2GR3jzUwk8tpccY2JHQQA-87DLOtJP-ooyU/edit?usp=sharing"",""นราธิวาส!I317"")"),"")</f>
        <v/>
      </c>
      <c r="AH79" s="177" t="str">
        <f ca="1">IFERROR(__xludf.DUMMYFUNCTION("IMPORTRANGE(""https://docs.google.com/spreadsheets/d/1iodCdmuK2GR3jzUwk8tpccY2JHQQA-87DLOtJP-ooyU/edit?usp=sharing"",""นราธิวาส!J317"")"),"")</f>
        <v/>
      </c>
      <c r="AI79" s="354" t="e">
        <f t="shared" ca="1" si="45"/>
        <v>#VALUE!</v>
      </c>
    </row>
    <row r="80" spans="1:35" ht="21" customHeight="1" x14ac:dyDescent="0.3">
      <c r="A80" s="89">
        <v>6</v>
      </c>
      <c r="B80" s="90" t="s">
        <v>106</v>
      </c>
      <c r="C80" s="174">
        <f t="shared" ca="1" si="27"/>
        <v>0</v>
      </c>
      <c r="D80" s="175">
        <f t="shared" ca="1" si="67"/>
        <v>0</v>
      </c>
      <c r="E80" s="176">
        <f ca="1">IFERROR(__xludf.DUMMYFUNCTION("IMPORTRANGE(""https://docs.google.com/spreadsheets/d/1-uDff_7J0KD5mKrp0Vvzr7lt3OU09vwQwhkpOPPYv2Y/edit?usp=sharing"",""งบพรบ!DZ80"")"),0)</f>
        <v>0</v>
      </c>
      <c r="F80" s="176">
        <f ca="1">IFERROR(__xludf.DUMMYFUNCTION("IMPORTRANGE(""https://docs.google.com/spreadsheets/d/1-uDff_7J0KD5mKrp0Vvzr7lt3OU09vwQwhkpOPPYv2Y/edit?usp=sharing"",""งบพรบ!EA80"")"),0)</f>
        <v>0</v>
      </c>
      <c r="G80" s="176">
        <f ca="1">IFERROR(__xludf.DUMMYFUNCTION("IMPORTRANGE(""https://docs.google.com/spreadsheets/d/1-uDff_7J0KD5mKrp0Vvzr7lt3OU09vwQwhkpOPPYv2Y/edit?usp=sharing"",""งบพรบ!EB80"")"),0)</f>
        <v>0</v>
      </c>
      <c r="H80" s="176">
        <f ca="1">IFERROR(__xludf.DUMMYFUNCTION("IMPORTRANGE(""https://docs.google.com/spreadsheets/d/1-uDff_7J0KD5mKrp0Vvzr7lt3OU09vwQwhkpOPPYv2Y/edit?usp=sharing"",""งบพรบ!ED80"")"),0)</f>
        <v>0</v>
      </c>
      <c r="I80" s="176">
        <f ca="1">IFERROR(__xludf.DUMMYFUNCTION("IMPORTRANGE(""https://docs.google.com/spreadsheets/d/1-uDff_7J0KD5mKrp0Vvzr7lt3OU09vwQwhkpOPPYv2Y/edit?usp=sharing"",""งบพรบ!EE80"")"),0)</f>
        <v>0</v>
      </c>
      <c r="J80" s="176">
        <f t="shared" ca="1" si="29"/>
        <v>0</v>
      </c>
      <c r="K80" s="179">
        <f t="shared" ca="1" si="30"/>
        <v>0</v>
      </c>
      <c r="L80" s="176">
        <f ca="1">IFERROR(__xludf.DUMMYFUNCTION("IMPORTRANGE(""https://docs.google.com/spreadsheets/d/1-uDff_7J0KD5mKrp0Vvzr7lt3OU09vwQwhkpOPPYv2Y/edit?usp=sharing"",""งบพรบ!EF80"")"),0)</f>
        <v>0</v>
      </c>
      <c r="M80" s="87">
        <f t="shared" ca="1" si="31"/>
        <v>0</v>
      </c>
      <c r="N80" s="87">
        <f t="shared" ca="1" si="32"/>
        <v>0</v>
      </c>
      <c r="O80" s="86">
        <f ca="1">IFERROR(__xludf.DUMMYFUNCTION("IMPORTRANGE(""https://docs.google.com/spreadsheets/d/1-uDff_7J0KD5mKrp0Vvzr7lt3OU09vwQwhkpOPPYv2Y/edit?usp=sharing"",""งบพรบ!EG80"")"),0)</f>
        <v>0</v>
      </c>
      <c r="P80" s="86">
        <f t="shared" ca="1" si="33"/>
        <v>0</v>
      </c>
      <c r="Q80" s="87">
        <f t="shared" ca="1" si="34"/>
        <v>0</v>
      </c>
      <c r="R80" s="241">
        <f ca="1">IFERROR(__xludf.DUMMYFUNCTION("IMPORTRANGE(""https://docs.google.com/spreadsheets/d/1SDNX3JhDdYRuIOsj0Wh2M-Qa_eaXl0NbWmhAOTbfQAs/edit?usp=sharing"",""ปัตตานี!Q303"")"),194611.99)</f>
        <v>194611.99</v>
      </c>
      <c r="S80" s="242">
        <f ca="1">IFERROR(__xludf.DUMMYFUNCTION("IMPORTRANGE(""https://docs.google.com/spreadsheets/d/1SDNX3JhDdYRuIOsj0Wh2M-Qa_eaXl0NbWmhAOTbfQAs/edit?usp=sharing"",""ปัตตานี!R303"")"),0)</f>
        <v>0</v>
      </c>
      <c r="T80" s="242">
        <f ca="1">IFERROR(__xludf.DUMMYFUNCTION("IMPORTRANGE(""https://docs.google.com/spreadsheets/d/1SDNX3JhDdYRuIOsj0Wh2M-Qa_eaXl0NbWmhAOTbfQAs/edit?usp=sharing"",""ปัตตานี!S303"")"),0)</f>
        <v>0</v>
      </c>
      <c r="U80" s="243">
        <f t="shared" ca="1" si="36"/>
        <v>0</v>
      </c>
      <c r="V80" s="243">
        <f t="shared" ca="1" si="37"/>
        <v>0</v>
      </c>
      <c r="W80" s="353" t="str">
        <f ca="1">IFERROR(__xludf.DUMMYFUNCTION("IMPORTRANGE(""https://docs.google.com/spreadsheets/d/1SDNX3JhDdYRuIOsj0Wh2M-Qa_eaXl0NbWmhAOTbfQAs/edit?usp=sharing"",""ปัตตานี!J313"")"),"")</f>
        <v/>
      </c>
      <c r="X80" s="355">
        <f ca="1">IFERROR(__xludf.DUMMYFUNCTION("IMPORTRANGE(""https://docs.google.com/spreadsheets/d/1SDNX3JhDdYRuIOsj0Wh2M-Qa_eaXl0NbWmhAOTbfQAs/edit?usp=sharing"",""ปัตตานี!I314"")"),20)</f>
        <v>20</v>
      </c>
      <c r="Y80" s="177">
        <f ca="1">IFERROR(__xludf.DUMMYFUNCTION("IMPORTRANGE(""https://docs.google.com/spreadsheets/d/1SDNX3JhDdYRuIOsj0Wh2M-Qa_eaXl0NbWmhAOTbfQAs/edit?usp=sharing"",""ปัตตานี!J314"")"),0)</f>
        <v>0</v>
      </c>
      <c r="Z80" s="354">
        <f t="shared" ca="1" si="39"/>
        <v>0</v>
      </c>
      <c r="AA80" s="355" t="str">
        <f ca="1">IFERROR(__xludf.DUMMYFUNCTION("IMPORTRANGE(""https://docs.google.com/spreadsheets/d/1SDNX3JhDdYRuIOsj0Wh2M-Qa_eaXl0NbWmhAOTbfQAs/edit?usp=sharing"",""ปัตตานี!I315"")"),"")</f>
        <v/>
      </c>
      <c r="AB80" s="177" t="str">
        <f ca="1">IFERROR(__xludf.DUMMYFUNCTION("IMPORTRANGE(""https://docs.google.com/spreadsheets/d/1SDNX3JhDdYRuIOsj0Wh2M-Qa_eaXl0NbWmhAOTbfQAs/edit?usp=sharing"",""ปัตตานี!J315"")"),"")</f>
        <v/>
      </c>
      <c r="AC80" s="354" t="e">
        <f t="shared" ca="1" si="41"/>
        <v>#VALUE!</v>
      </c>
      <c r="AD80" s="355" t="str">
        <f ca="1">IFERROR(__xludf.DUMMYFUNCTION("IMPORTRANGE(""https://docs.google.com/spreadsheets/d/1SDNX3JhDdYRuIOsj0Wh2M-Qa_eaXl0NbWmhAOTbfQAs/edit?usp=sharing"",""ปัตตานี!I316"")"),"")</f>
        <v/>
      </c>
      <c r="AE80" s="177" t="str">
        <f ca="1">IFERROR(__xludf.DUMMYFUNCTION("IMPORTRANGE(""https://docs.google.com/spreadsheets/d/1SDNX3JhDdYRuIOsj0Wh2M-Qa_eaXl0NbWmhAOTbfQAs/edit?usp=sharing"",""ปัตตานี!J316"")"),"")</f>
        <v/>
      </c>
      <c r="AF80" s="354" t="e">
        <f t="shared" ca="1" si="43"/>
        <v>#VALUE!</v>
      </c>
      <c r="AG80" s="355" t="str">
        <f ca="1">IFERROR(__xludf.DUMMYFUNCTION("IMPORTRANGE(""https://docs.google.com/spreadsheets/d/1SDNX3JhDdYRuIOsj0Wh2M-Qa_eaXl0NbWmhAOTbfQAs/edit?usp=sharing"",""ปัตตานี!I317"")"),"")</f>
        <v/>
      </c>
      <c r="AH80" s="177" t="str">
        <f ca="1">IFERROR(__xludf.DUMMYFUNCTION("IMPORTRANGE(""https://docs.google.com/spreadsheets/d/1SDNX3JhDdYRuIOsj0Wh2M-Qa_eaXl0NbWmhAOTbfQAs/edit?usp=sharing"",""ปัตตานี!J317"")"),"")</f>
        <v/>
      </c>
      <c r="AI80" s="354" t="e">
        <f t="shared" ca="1" si="45"/>
        <v>#VALUE!</v>
      </c>
    </row>
    <row r="81" spans="1:35" ht="21" customHeight="1" x14ac:dyDescent="0.3">
      <c r="A81" s="89">
        <v>7</v>
      </c>
      <c r="B81" s="90" t="s">
        <v>107</v>
      </c>
      <c r="C81" s="174">
        <f t="shared" ca="1" si="27"/>
        <v>0</v>
      </c>
      <c r="D81" s="175">
        <f t="shared" ca="1" si="67"/>
        <v>0</v>
      </c>
      <c r="E81" s="176">
        <f ca="1">IFERROR(__xludf.DUMMYFUNCTION("IMPORTRANGE(""https://docs.google.com/spreadsheets/d/1-uDff_7J0KD5mKrp0Vvzr7lt3OU09vwQwhkpOPPYv2Y/edit?usp=sharing"",""งบพรบ!DZ81"")"),0)</f>
        <v>0</v>
      </c>
      <c r="F81" s="176">
        <f ca="1">IFERROR(__xludf.DUMMYFUNCTION("IMPORTRANGE(""https://docs.google.com/spreadsheets/d/1-uDff_7J0KD5mKrp0Vvzr7lt3OU09vwQwhkpOPPYv2Y/edit?usp=sharing"",""งบพรบ!EA81"")"),0)</f>
        <v>0</v>
      </c>
      <c r="G81" s="176">
        <f ca="1">IFERROR(__xludf.DUMMYFUNCTION("IMPORTRANGE(""https://docs.google.com/spreadsheets/d/1-uDff_7J0KD5mKrp0Vvzr7lt3OU09vwQwhkpOPPYv2Y/edit?usp=sharing"",""งบพรบ!EB81"")"),0)</f>
        <v>0</v>
      </c>
      <c r="H81" s="176">
        <f ca="1">IFERROR(__xludf.DUMMYFUNCTION("IMPORTRANGE(""https://docs.google.com/spreadsheets/d/1-uDff_7J0KD5mKrp0Vvzr7lt3OU09vwQwhkpOPPYv2Y/edit?usp=sharing"",""งบพรบ!ED81"")"),0)</f>
        <v>0</v>
      </c>
      <c r="I81" s="176">
        <f ca="1">IFERROR(__xludf.DUMMYFUNCTION("IMPORTRANGE(""https://docs.google.com/spreadsheets/d/1-uDff_7J0KD5mKrp0Vvzr7lt3OU09vwQwhkpOPPYv2Y/edit?usp=sharing"",""งบพรบ!EE81"")"),0)</f>
        <v>0</v>
      </c>
      <c r="J81" s="176">
        <f t="shared" ca="1" si="29"/>
        <v>0</v>
      </c>
      <c r="K81" s="179">
        <f t="shared" ca="1" si="30"/>
        <v>0</v>
      </c>
      <c r="L81" s="176">
        <f ca="1">IFERROR(__xludf.DUMMYFUNCTION("IMPORTRANGE(""https://docs.google.com/spreadsheets/d/1-uDff_7J0KD5mKrp0Vvzr7lt3OU09vwQwhkpOPPYv2Y/edit?usp=sharing"",""งบพรบ!EF81"")"),0)</f>
        <v>0</v>
      </c>
      <c r="M81" s="87">
        <f t="shared" ca="1" si="31"/>
        <v>0</v>
      </c>
      <c r="N81" s="87">
        <f t="shared" ca="1" si="32"/>
        <v>0</v>
      </c>
      <c r="O81" s="86">
        <f ca="1">IFERROR(__xludf.DUMMYFUNCTION("IMPORTRANGE(""https://docs.google.com/spreadsheets/d/1-uDff_7J0KD5mKrp0Vvzr7lt3OU09vwQwhkpOPPYv2Y/edit?usp=sharing"",""งบพรบ!EG81"")"),0)</f>
        <v>0</v>
      </c>
      <c r="P81" s="86">
        <f t="shared" ca="1" si="33"/>
        <v>0</v>
      </c>
      <c r="Q81" s="87">
        <f t="shared" ca="1" si="34"/>
        <v>0</v>
      </c>
      <c r="R81" s="241">
        <f ca="1">IFERROR(__xludf.DUMMYFUNCTION("IMPORTRANGE(""https://docs.google.com/spreadsheets/d/16JDLGguT8s5DsGCND1KcwHP_AWR_zDMTqLHPLJUKhaU/edit?usp=sharing"",""พังงา!Q303"")"),226234.22)</f>
        <v>226234.22</v>
      </c>
      <c r="S81" s="242">
        <f ca="1">IFERROR(__xludf.DUMMYFUNCTION("IMPORTRANGE(""https://docs.google.com/spreadsheets/d/16JDLGguT8s5DsGCND1KcwHP_AWR_zDMTqLHPLJUKhaU/edit?usp=sharing"",""พังงา!R303"")"),0)</f>
        <v>0</v>
      </c>
      <c r="T81" s="242">
        <f ca="1">IFERROR(__xludf.DUMMYFUNCTION("IMPORTRANGE(""https://docs.google.com/spreadsheets/d/16JDLGguT8s5DsGCND1KcwHP_AWR_zDMTqLHPLJUKhaU/edit?usp=sharing"",""พังงา!S303"")"),0)</f>
        <v>0</v>
      </c>
      <c r="U81" s="243">
        <f t="shared" ca="1" si="36"/>
        <v>0</v>
      </c>
      <c r="V81" s="243">
        <f t="shared" ca="1" si="37"/>
        <v>0</v>
      </c>
      <c r="W81" s="353" t="str">
        <f ca="1">IFERROR(__xludf.DUMMYFUNCTION("IMPORTRANGE(""https://docs.google.com/spreadsheets/d/16JDLGguT8s5DsGCND1KcwHP_AWR_zDMTqLHPLJUKhaU/edit?usp=sharing"",""พังงา!J313"")"),"")</f>
        <v/>
      </c>
      <c r="X81" s="353">
        <f ca="1">IFERROR(__xludf.DUMMYFUNCTION("IMPORTRANGE(""https://docs.google.com/spreadsheets/d/16JDLGguT8s5DsGCND1KcwHP_AWR_zDMTqLHPLJUKhaU/edit?usp=sharing"",""พังงา!I314"")"),25)</f>
        <v>25</v>
      </c>
      <c r="Y81" s="177">
        <f ca="1">IFERROR(__xludf.DUMMYFUNCTION("IMPORTRANGE(""https://docs.google.com/spreadsheets/d/16JDLGguT8s5DsGCND1KcwHP_AWR_zDMTqLHPLJUKhaU/edit?usp=sharing"",""พังงา!J314"")"),0)</f>
        <v>0</v>
      </c>
      <c r="Z81" s="354">
        <f t="shared" ca="1" si="39"/>
        <v>0</v>
      </c>
      <c r="AA81" s="353" t="str">
        <f ca="1">IFERROR(__xludf.DUMMYFUNCTION("IMPORTRANGE(""https://docs.google.com/spreadsheets/d/16JDLGguT8s5DsGCND1KcwHP_AWR_zDMTqLHPLJUKhaU/edit?usp=sharing"",""พังงา!I315"")"),"")</f>
        <v/>
      </c>
      <c r="AB81" s="177" t="str">
        <f ca="1">IFERROR(__xludf.DUMMYFUNCTION("IMPORTRANGE(""https://docs.google.com/spreadsheets/d/16JDLGguT8s5DsGCND1KcwHP_AWR_zDMTqLHPLJUKhaU/edit?usp=sharing"",""พังงา!J315"")"),"")</f>
        <v/>
      </c>
      <c r="AC81" s="354" t="e">
        <f t="shared" ca="1" si="41"/>
        <v>#VALUE!</v>
      </c>
      <c r="AD81" s="353" t="str">
        <f ca="1">IFERROR(__xludf.DUMMYFUNCTION("IMPORTRANGE(""https://docs.google.com/spreadsheets/d/16JDLGguT8s5DsGCND1KcwHP_AWR_zDMTqLHPLJUKhaU/edit?usp=sharing"",""พังงา!I316"")"),"")</f>
        <v/>
      </c>
      <c r="AE81" s="177" t="str">
        <f ca="1">IFERROR(__xludf.DUMMYFUNCTION("IMPORTRANGE(""https://docs.google.com/spreadsheets/d/16JDLGguT8s5DsGCND1KcwHP_AWR_zDMTqLHPLJUKhaU/edit?usp=sharing"",""พังงา!J316"")"),"")</f>
        <v/>
      </c>
      <c r="AF81" s="354" t="e">
        <f t="shared" ca="1" si="43"/>
        <v>#VALUE!</v>
      </c>
      <c r="AG81" s="353" t="str">
        <f ca="1">IFERROR(__xludf.DUMMYFUNCTION("IMPORTRANGE(""https://docs.google.com/spreadsheets/d/16JDLGguT8s5DsGCND1KcwHP_AWR_zDMTqLHPLJUKhaU/edit?usp=sharing"",""พังงา!I317"")"),"")</f>
        <v/>
      </c>
      <c r="AH81" s="177" t="str">
        <f ca="1">IFERROR(__xludf.DUMMYFUNCTION("IMPORTRANGE(""https://docs.google.com/spreadsheets/d/16JDLGguT8s5DsGCND1KcwHP_AWR_zDMTqLHPLJUKhaU/edit?usp=sharing"",""พังงา!J317"")"),"")</f>
        <v/>
      </c>
      <c r="AI81" s="354" t="e">
        <f t="shared" ca="1" si="45"/>
        <v>#VALUE!</v>
      </c>
    </row>
    <row r="82" spans="1:35" ht="21" customHeight="1" x14ac:dyDescent="0.3">
      <c r="A82" s="89">
        <v>8</v>
      </c>
      <c r="B82" s="90" t="s">
        <v>108</v>
      </c>
      <c r="C82" s="174">
        <f t="shared" ca="1" si="27"/>
        <v>114900</v>
      </c>
      <c r="D82" s="175">
        <f t="shared" ca="1" si="67"/>
        <v>114900</v>
      </c>
      <c r="E82" s="176">
        <f ca="1">IFERROR(__xludf.DUMMYFUNCTION("IMPORTRANGE(""https://docs.google.com/spreadsheets/d/1-uDff_7J0KD5mKrp0Vvzr7lt3OU09vwQwhkpOPPYv2Y/edit?usp=sharing"",""งบพรบ!DZ82"")"),51100)</f>
        <v>51100</v>
      </c>
      <c r="F82" s="176">
        <f ca="1">IFERROR(__xludf.DUMMYFUNCTION("IMPORTRANGE(""https://docs.google.com/spreadsheets/d/1-uDff_7J0KD5mKrp0Vvzr7lt3OU09vwQwhkpOPPYv2Y/edit?usp=sharing"",""งบพรบ!EA82"")"),63800)</f>
        <v>63800</v>
      </c>
      <c r="G82" s="176">
        <f ca="1">IFERROR(__xludf.DUMMYFUNCTION("IMPORTRANGE(""https://docs.google.com/spreadsheets/d/1-uDff_7J0KD5mKrp0Vvzr7lt3OU09vwQwhkpOPPYv2Y/edit?usp=sharing"",""งบพรบ!EB82"")"),0)</f>
        <v>0</v>
      </c>
      <c r="H82" s="176">
        <f ca="1">IFERROR(__xludf.DUMMYFUNCTION("IMPORTRANGE(""https://docs.google.com/spreadsheets/d/1-uDff_7J0KD5mKrp0Vvzr7lt3OU09vwQwhkpOPPYv2Y/edit?usp=sharing"",""งบพรบ!ED82"")"),114900)</f>
        <v>114900</v>
      </c>
      <c r="I82" s="176">
        <f ca="1">IFERROR(__xludf.DUMMYFUNCTION("IMPORTRANGE(""https://docs.google.com/spreadsheets/d/1-uDff_7J0KD5mKrp0Vvzr7lt3OU09vwQwhkpOPPYv2Y/edit?usp=sharing"",""งบพรบ!EE82"")"),0)</f>
        <v>0</v>
      </c>
      <c r="J82" s="176">
        <f t="shared" ca="1" si="29"/>
        <v>26243.32</v>
      </c>
      <c r="K82" s="179">
        <f t="shared" ca="1" si="30"/>
        <v>22.840139251523063</v>
      </c>
      <c r="L82" s="176">
        <f ca="1">IFERROR(__xludf.DUMMYFUNCTION("IMPORTRANGE(""https://docs.google.com/spreadsheets/d/1-uDff_7J0KD5mKrp0Vvzr7lt3OU09vwQwhkpOPPYv2Y/edit?usp=sharing"",""งบพรบ!EF82"")"),26243.32)</f>
        <v>26243.32</v>
      </c>
      <c r="M82" s="87">
        <f t="shared" ca="1" si="31"/>
        <v>22.840139251523063</v>
      </c>
      <c r="N82" s="87">
        <f t="shared" ca="1" si="32"/>
        <v>22.840139251523063</v>
      </c>
      <c r="O82" s="86">
        <f ca="1">IFERROR(__xludf.DUMMYFUNCTION("IMPORTRANGE(""https://docs.google.com/spreadsheets/d/1-uDff_7J0KD5mKrp0Vvzr7lt3OU09vwQwhkpOPPYv2Y/edit?usp=sharing"",""งบพรบ!EG82"")"),0)</f>
        <v>0</v>
      </c>
      <c r="P82" s="86">
        <f t="shared" ca="1" si="33"/>
        <v>0</v>
      </c>
      <c r="Q82" s="87">
        <f t="shared" ca="1" si="34"/>
        <v>0</v>
      </c>
      <c r="R82" s="241">
        <f ca="1">IFERROR(__xludf.DUMMYFUNCTION("IMPORTRANGE(""https://docs.google.com/spreadsheets/d/17ht0gPKzzT3PObBL1XJkeRmntBXI7wGjpLV7QorqlTk/edit?usp=sharing"",""พัทลุง!Q303"")"),123161.24)</f>
        <v>123161.24</v>
      </c>
      <c r="S82" s="242">
        <f ca="1">IFERROR(__xludf.DUMMYFUNCTION("IMPORTRANGE(""https://docs.google.com/spreadsheets/d/17ht0gPKzzT3PObBL1XJkeRmntBXI7wGjpLV7QorqlTk/edit?usp=sharing"",""พัทลุง!R303"")"),0)</f>
        <v>0</v>
      </c>
      <c r="T82" s="242">
        <f ca="1">IFERROR(__xludf.DUMMYFUNCTION("IMPORTRANGE(""https://docs.google.com/spreadsheets/d/17ht0gPKzzT3PObBL1XJkeRmntBXI7wGjpLV7QorqlTk/edit?usp=sharing"",""พัทลุง!S303"")"),0)</f>
        <v>0</v>
      </c>
      <c r="U82" s="243">
        <f t="shared" ca="1" si="36"/>
        <v>0</v>
      </c>
      <c r="V82" s="243">
        <f t="shared" ca="1" si="37"/>
        <v>0</v>
      </c>
      <c r="W82" s="353" t="str">
        <f ca="1">IFERROR(__xludf.DUMMYFUNCTION("IMPORTRANGE(""https://docs.google.com/spreadsheets/d/17ht0gPKzzT3PObBL1XJkeRmntBXI7wGjpLV7QorqlTk/edit?usp=sharing"",""พัทลุง!J313"")"),"")</f>
        <v/>
      </c>
      <c r="X82" s="353">
        <f ca="1">IFERROR(__xludf.DUMMYFUNCTION("IMPORTRANGE(""https://docs.google.com/spreadsheets/d/17ht0gPKzzT3PObBL1XJkeRmntBXI7wGjpLV7QorqlTk/edit?usp=sharing"",""พัทลุง!I314"")"),15)</f>
        <v>15</v>
      </c>
      <c r="Y82" s="177">
        <f ca="1">IFERROR(__xludf.DUMMYFUNCTION("IMPORTRANGE(""https://docs.google.com/spreadsheets/d/17ht0gPKzzT3PObBL1XJkeRmntBXI7wGjpLV7QorqlTk/edit?usp=sharing"",""พัทลุง!J314"")"),0)</f>
        <v>0</v>
      </c>
      <c r="Z82" s="354">
        <f t="shared" ca="1" si="39"/>
        <v>0</v>
      </c>
      <c r="AA82" s="353" t="str">
        <f ca="1">IFERROR(__xludf.DUMMYFUNCTION("IMPORTRANGE(""https://docs.google.com/spreadsheets/d/17ht0gPKzzT3PObBL1XJkeRmntBXI7wGjpLV7QorqlTk/edit?usp=sharing"",""พัทลุง!I315"")"),"")</f>
        <v/>
      </c>
      <c r="AB82" s="177" t="str">
        <f ca="1">IFERROR(__xludf.DUMMYFUNCTION("IMPORTRANGE(""https://docs.google.com/spreadsheets/d/17ht0gPKzzT3PObBL1XJkeRmntBXI7wGjpLV7QorqlTk/edit?usp=sharing"",""พัทลุง!J315"")"),"")</f>
        <v/>
      </c>
      <c r="AC82" s="354" t="e">
        <f t="shared" ca="1" si="41"/>
        <v>#VALUE!</v>
      </c>
      <c r="AD82" s="353" t="str">
        <f ca="1">IFERROR(__xludf.DUMMYFUNCTION("IMPORTRANGE(""https://docs.google.com/spreadsheets/d/17ht0gPKzzT3PObBL1XJkeRmntBXI7wGjpLV7QorqlTk/edit?usp=sharing"",""พัทลุง!I316"")"),"")</f>
        <v/>
      </c>
      <c r="AE82" s="177" t="str">
        <f ca="1">IFERROR(__xludf.DUMMYFUNCTION("IMPORTRANGE(""https://docs.google.com/spreadsheets/d/17ht0gPKzzT3PObBL1XJkeRmntBXI7wGjpLV7QorqlTk/edit?usp=sharing"",""พัทลุง!J316"")"),"")</f>
        <v/>
      </c>
      <c r="AF82" s="354" t="e">
        <f t="shared" ca="1" si="43"/>
        <v>#VALUE!</v>
      </c>
      <c r="AG82" s="353" t="str">
        <f ca="1">IFERROR(__xludf.DUMMYFUNCTION("IMPORTRANGE(""https://docs.google.com/spreadsheets/d/17ht0gPKzzT3PObBL1XJkeRmntBXI7wGjpLV7QorqlTk/edit?usp=sharing"",""พัทลุง!I317"")"),"")</f>
        <v/>
      </c>
      <c r="AH82" s="177" t="str">
        <f ca="1">IFERROR(__xludf.DUMMYFUNCTION("IMPORTRANGE(""https://docs.google.com/spreadsheets/d/17ht0gPKzzT3PObBL1XJkeRmntBXI7wGjpLV7QorqlTk/edit?usp=sharing"",""พัทลุง!J317"")"),"")</f>
        <v/>
      </c>
      <c r="AI82" s="354" t="e">
        <f t="shared" ca="1" si="45"/>
        <v>#VALUE!</v>
      </c>
    </row>
    <row r="83" spans="1:35" ht="21" customHeight="1" x14ac:dyDescent="0.3">
      <c r="A83" s="89">
        <v>9</v>
      </c>
      <c r="B83" s="90" t="s">
        <v>109</v>
      </c>
      <c r="C83" s="174">
        <f t="shared" ca="1" si="27"/>
        <v>0</v>
      </c>
      <c r="D83" s="175">
        <f t="shared" ca="1" si="67"/>
        <v>0</v>
      </c>
      <c r="E83" s="176">
        <f ca="1">IFERROR(__xludf.DUMMYFUNCTION("IMPORTRANGE(""https://docs.google.com/spreadsheets/d/1-uDff_7J0KD5mKrp0Vvzr7lt3OU09vwQwhkpOPPYv2Y/edit?usp=sharing"",""งบพรบ!DZ83"")"),0)</f>
        <v>0</v>
      </c>
      <c r="F83" s="176">
        <f ca="1">IFERROR(__xludf.DUMMYFUNCTION("IMPORTRANGE(""https://docs.google.com/spreadsheets/d/1-uDff_7J0KD5mKrp0Vvzr7lt3OU09vwQwhkpOPPYv2Y/edit?usp=sharing"",""งบพรบ!EA83"")"),0)</f>
        <v>0</v>
      </c>
      <c r="G83" s="176">
        <f ca="1">IFERROR(__xludf.DUMMYFUNCTION("IMPORTRANGE(""https://docs.google.com/spreadsheets/d/1-uDff_7J0KD5mKrp0Vvzr7lt3OU09vwQwhkpOPPYv2Y/edit?usp=sharing"",""งบพรบ!EB83"")"),0)</f>
        <v>0</v>
      </c>
      <c r="H83" s="176">
        <f ca="1">IFERROR(__xludf.DUMMYFUNCTION("IMPORTRANGE(""https://docs.google.com/spreadsheets/d/1-uDff_7J0KD5mKrp0Vvzr7lt3OU09vwQwhkpOPPYv2Y/edit?usp=sharing"",""งบพรบ!ED83"")"),0)</f>
        <v>0</v>
      </c>
      <c r="I83" s="176">
        <f ca="1">IFERROR(__xludf.DUMMYFUNCTION("IMPORTRANGE(""https://docs.google.com/spreadsheets/d/1-uDff_7J0KD5mKrp0Vvzr7lt3OU09vwQwhkpOPPYv2Y/edit?usp=sharing"",""งบพรบ!EE83"")"),0)</f>
        <v>0</v>
      </c>
      <c r="J83" s="176">
        <f t="shared" ca="1" si="29"/>
        <v>0</v>
      </c>
      <c r="K83" s="179">
        <f t="shared" ca="1" si="30"/>
        <v>0</v>
      </c>
      <c r="L83" s="176">
        <f ca="1">IFERROR(__xludf.DUMMYFUNCTION("IMPORTRANGE(""https://docs.google.com/spreadsheets/d/1-uDff_7J0KD5mKrp0Vvzr7lt3OU09vwQwhkpOPPYv2Y/edit?usp=sharing"",""งบพรบ!EF83"")"),0)</f>
        <v>0</v>
      </c>
      <c r="M83" s="87">
        <f t="shared" ca="1" si="31"/>
        <v>0</v>
      </c>
      <c r="N83" s="87">
        <f t="shared" ca="1" si="32"/>
        <v>0</v>
      </c>
      <c r="O83" s="86">
        <f ca="1">IFERROR(__xludf.DUMMYFUNCTION("IMPORTRANGE(""https://docs.google.com/spreadsheets/d/1-uDff_7J0KD5mKrp0Vvzr7lt3OU09vwQwhkpOPPYv2Y/edit?usp=sharing"",""งบพรบ!EG83"")"),0)</f>
        <v>0</v>
      </c>
      <c r="P83" s="86">
        <f t="shared" ca="1" si="33"/>
        <v>0</v>
      </c>
      <c r="Q83" s="87">
        <f t="shared" ca="1" si="34"/>
        <v>0</v>
      </c>
      <c r="R83" s="241">
        <f ca="1">IFERROR(__xludf.DUMMYFUNCTION("IMPORTRANGE(""https://docs.google.com/spreadsheets/d/1rd4qoM1q_hsgaolqNGfrim9gbsoLxQsda4-vOz5x_BM/edit?usp=sharing"",""ภูเก็ต!Q303"")"),0)</f>
        <v>0</v>
      </c>
      <c r="S83" s="242">
        <f ca="1">IFERROR(__xludf.DUMMYFUNCTION("IMPORTRANGE(""https://docs.google.com/spreadsheets/d/1rd4qoM1q_hsgaolqNGfrim9gbsoLxQsda4-vOz5x_BM/edit?usp=sharing"",""ภูเก็ต!R303"")"),0)</f>
        <v>0</v>
      </c>
      <c r="T83" s="242">
        <f ca="1">IFERROR(__xludf.DUMMYFUNCTION("IMPORTRANGE(""https://docs.google.com/spreadsheets/d/1rd4qoM1q_hsgaolqNGfrim9gbsoLxQsda4-vOz5x_BM/edit?usp=sharing"",""ภูเก็ต!S303"")"),0)</f>
        <v>0</v>
      </c>
      <c r="U83" s="243">
        <f t="shared" ca="1" si="36"/>
        <v>0</v>
      </c>
      <c r="V83" s="243">
        <f t="shared" ca="1" si="37"/>
        <v>0</v>
      </c>
      <c r="W83" s="353" t="str">
        <f ca="1">IFERROR(__xludf.DUMMYFUNCTION("IMPORTRANGE(""https://docs.google.com/spreadsheets/d/1rd4qoM1q_hsgaolqNGfrim9gbsoLxQsda4-vOz5x_BM/edit?usp=sharing"",""ภูเก็ต!J313"")"),"")</f>
        <v/>
      </c>
      <c r="X83" s="353">
        <f ca="1">IFERROR(__xludf.DUMMYFUNCTION("IMPORTRANGE(""https://docs.google.com/spreadsheets/d/1rd4qoM1q_hsgaolqNGfrim9gbsoLxQsda4-vOz5x_BM/edit?usp=sharing"",""ภูเก็ต!I314"")"),0)</f>
        <v>0</v>
      </c>
      <c r="Y83" s="177">
        <f ca="1">IFERROR(__xludf.DUMMYFUNCTION("IMPORTRANGE(""https://docs.google.com/spreadsheets/d/1rd4qoM1q_hsgaolqNGfrim9gbsoLxQsda4-vOz5x_BM/edit?usp=sharing"",""ภูเก็ต!J314"")"),0)</f>
        <v>0</v>
      </c>
      <c r="Z83" s="354">
        <f t="shared" ca="1" si="39"/>
        <v>0</v>
      </c>
      <c r="AA83" s="353" t="str">
        <f ca="1">IFERROR(__xludf.DUMMYFUNCTION("IMPORTRANGE(""https://docs.google.com/spreadsheets/d/1rd4qoM1q_hsgaolqNGfrim9gbsoLxQsda4-vOz5x_BM/edit?usp=sharing"",""ภูเก็ต!I315"")"),"")</f>
        <v/>
      </c>
      <c r="AB83" s="177" t="str">
        <f ca="1">IFERROR(__xludf.DUMMYFUNCTION("IMPORTRANGE(""https://docs.google.com/spreadsheets/d/1rd4qoM1q_hsgaolqNGfrim9gbsoLxQsda4-vOz5x_BM/edit?usp=sharing"",""ภูเก็ต!J315"")"),"")</f>
        <v/>
      </c>
      <c r="AC83" s="354">
        <f t="shared" ca="1" si="41"/>
        <v>0</v>
      </c>
      <c r="AD83" s="353" t="str">
        <f ca="1">IFERROR(__xludf.DUMMYFUNCTION("IMPORTRANGE(""https://docs.google.com/spreadsheets/d/1rd4qoM1q_hsgaolqNGfrim9gbsoLxQsda4-vOz5x_BM/edit?usp=sharing"",""ภูเก็ต!I316"")"),"")</f>
        <v/>
      </c>
      <c r="AE83" s="177" t="str">
        <f ca="1">IFERROR(__xludf.DUMMYFUNCTION("IMPORTRANGE(""https://docs.google.com/spreadsheets/d/1rd4qoM1q_hsgaolqNGfrim9gbsoLxQsda4-vOz5x_BM/edit?usp=sharing"",""ภูเก็ต!J316"")"),"")</f>
        <v/>
      </c>
      <c r="AF83" s="354" t="e">
        <f t="shared" ca="1" si="43"/>
        <v>#VALUE!</v>
      </c>
      <c r="AG83" s="353" t="str">
        <f ca="1">IFERROR(__xludf.DUMMYFUNCTION("IMPORTRANGE(""https://docs.google.com/spreadsheets/d/1rd4qoM1q_hsgaolqNGfrim9gbsoLxQsda4-vOz5x_BM/edit?usp=sharing"",""ภูเก็ต!I317"")"),"")</f>
        <v/>
      </c>
      <c r="AH83" s="177" t="str">
        <f ca="1">IFERROR(__xludf.DUMMYFUNCTION("IMPORTRANGE(""https://docs.google.com/spreadsheets/d/1rd4qoM1q_hsgaolqNGfrim9gbsoLxQsda4-vOz5x_BM/edit?usp=sharing"",""ภูเก็ต!J317"")"),"")</f>
        <v/>
      </c>
      <c r="AI83" s="354" t="e">
        <f t="shared" ca="1" si="45"/>
        <v>#VALUE!</v>
      </c>
    </row>
    <row r="84" spans="1:35" ht="21" customHeight="1" x14ac:dyDescent="0.3">
      <c r="A84" s="89">
        <v>10</v>
      </c>
      <c r="B84" s="90" t="s">
        <v>110</v>
      </c>
      <c r="C84" s="174">
        <f t="shared" ca="1" si="27"/>
        <v>0</v>
      </c>
      <c r="D84" s="175">
        <f t="shared" ca="1" si="67"/>
        <v>0</v>
      </c>
      <c r="E84" s="176">
        <f ca="1">IFERROR(__xludf.DUMMYFUNCTION("IMPORTRANGE(""https://docs.google.com/spreadsheets/d/1-uDff_7J0KD5mKrp0Vvzr7lt3OU09vwQwhkpOPPYv2Y/edit?usp=sharing"",""งบพรบ!DZ84"")"),0)</f>
        <v>0</v>
      </c>
      <c r="F84" s="176">
        <f ca="1">IFERROR(__xludf.DUMMYFUNCTION("IMPORTRANGE(""https://docs.google.com/spreadsheets/d/1-uDff_7J0KD5mKrp0Vvzr7lt3OU09vwQwhkpOPPYv2Y/edit?usp=sharing"",""งบพรบ!EA84"")"),0)</f>
        <v>0</v>
      </c>
      <c r="G84" s="176">
        <f ca="1">IFERROR(__xludf.DUMMYFUNCTION("IMPORTRANGE(""https://docs.google.com/spreadsheets/d/1-uDff_7J0KD5mKrp0Vvzr7lt3OU09vwQwhkpOPPYv2Y/edit?usp=sharing"",""งบพรบ!EB84"")"),0)</f>
        <v>0</v>
      </c>
      <c r="H84" s="176">
        <f ca="1">IFERROR(__xludf.DUMMYFUNCTION("IMPORTRANGE(""https://docs.google.com/spreadsheets/d/1-uDff_7J0KD5mKrp0Vvzr7lt3OU09vwQwhkpOPPYv2Y/edit?usp=sharing"",""งบพรบ!ED84"")"),0)</f>
        <v>0</v>
      </c>
      <c r="I84" s="176">
        <f ca="1">IFERROR(__xludf.DUMMYFUNCTION("IMPORTRANGE(""https://docs.google.com/spreadsheets/d/1-uDff_7J0KD5mKrp0Vvzr7lt3OU09vwQwhkpOPPYv2Y/edit?usp=sharing"",""งบพรบ!EE84"")"),0)</f>
        <v>0</v>
      </c>
      <c r="J84" s="176">
        <f t="shared" ca="1" si="29"/>
        <v>0</v>
      </c>
      <c r="K84" s="179">
        <f t="shared" ca="1" si="30"/>
        <v>0</v>
      </c>
      <c r="L84" s="176">
        <f ca="1">IFERROR(__xludf.DUMMYFUNCTION("IMPORTRANGE(""https://docs.google.com/spreadsheets/d/1-uDff_7J0KD5mKrp0Vvzr7lt3OU09vwQwhkpOPPYv2Y/edit?usp=sharing"",""งบพรบ!EF84"")"),0)</f>
        <v>0</v>
      </c>
      <c r="M84" s="87">
        <f t="shared" ca="1" si="31"/>
        <v>0</v>
      </c>
      <c r="N84" s="87">
        <f t="shared" ca="1" si="32"/>
        <v>0</v>
      </c>
      <c r="O84" s="86">
        <f ca="1">IFERROR(__xludf.DUMMYFUNCTION("IMPORTRANGE(""https://docs.google.com/spreadsheets/d/1-uDff_7J0KD5mKrp0Vvzr7lt3OU09vwQwhkpOPPYv2Y/edit?usp=sharing"",""งบพรบ!EG84"")"),0)</f>
        <v>0</v>
      </c>
      <c r="P84" s="86">
        <f t="shared" ca="1" si="33"/>
        <v>0</v>
      </c>
      <c r="Q84" s="87">
        <f t="shared" ca="1" si="34"/>
        <v>0</v>
      </c>
      <c r="R84" s="241">
        <f ca="1">IFERROR(__xludf.DUMMYFUNCTION("IMPORTRANGE(""https://docs.google.com/spreadsheets/d/1woKwKjgoLssDvPcPeVyezB5izizAn4X1JDrys69n6xI/edit?usp=sharing"",""ยะลา!Q303"")"),194611.99)</f>
        <v>194611.99</v>
      </c>
      <c r="S84" s="242">
        <f ca="1">IFERROR(__xludf.DUMMYFUNCTION("IMPORTRANGE(""https://docs.google.com/spreadsheets/d/1woKwKjgoLssDvPcPeVyezB5izizAn4X1JDrys69n6xI/edit?usp=sharing"",""ยะลา!R303"")"),0)</f>
        <v>0</v>
      </c>
      <c r="T84" s="242">
        <f ca="1">IFERROR(__xludf.DUMMYFUNCTION("IMPORTRANGE(""https://docs.google.com/spreadsheets/d/1woKwKjgoLssDvPcPeVyezB5izizAn4X1JDrys69n6xI/edit?usp=sharing"",""ยะลา!S303"")"),0)</f>
        <v>0</v>
      </c>
      <c r="U84" s="243">
        <f t="shared" ca="1" si="36"/>
        <v>0</v>
      </c>
      <c r="V84" s="243">
        <f t="shared" ca="1" si="37"/>
        <v>0</v>
      </c>
      <c r="W84" s="353" t="str">
        <f ca="1">IFERROR(__xludf.DUMMYFUNCTION("IMPORTRANGE(""https://docs.google.com/spreadsheets/d/1woKwKjgoLssDvPcPeVyezB5izizAn4X1JDrys69n6xI/edit?usp=sharing"",""ยะลา!J313"")"),"")</f>
        <v/>
      </c>
      <c r="X84" s="353">
        <f ca="1">IFERROR(__xludf.DUMMYFUNCTION("IMPORTRANGE(""https://docs.google.com/spreadsheets/d/1woKwKjgoLssDvPcPeVyezB5izizAn4X1JDrys69n6xI/edit?usp=sharing"",""ยะลา!I314"")"),20)</f>
        <v>20</v>
      </c>
      <c r="Y84" s="177">
        <f ca="1">IFERROR(__xludf.DUMMYFUNCTION("IMPORTRANGE(""https://docs.google.com/spreadsheets/d/1woKwKjgoLssDvPcPeVyezB5izizAn4X1JDrys69n6xI/edit?usp=sharing"",""ยะลา!J314"")"),0)</f>
        <v>0</v>
      </c>
      <c r="Z84" s="354">
        <f t="shared" ca="1" si="39"/>
        <v>0</v>
      </c>
      <c r="AA84" s="353" t="str">
        <f ca="1">IFERROR(__xludf.DUMMYFUNCTION("IMPORTRANGE(""https://docs.google.com/spreadsheets/d/1woKwKjgoLssDvPcPeVyezB5izizAn4X1JDrys69n6xI/edit?usp=sharing"",""ยะลา!I315"")"),"")</f>
        <v/>
      </c>
      <c r="AB84" s="177" t="str">
        <f ca="1">IFERROR(__xludf.DUMMYFUNCTION("IMPORTRANGE(""https://docs.google.com/spreadsheets/d/1woKwKjgoLssDvPcPeVyezB5izizAn4X1JDrys69n6xI/edit?usp=sharing"",""ยะลา!J315"")"),"")</f>
        <v/>
      </c>
      <c r="AC84" s="354" t="e">
        <f t="shared" ca="1" si="41"/>
        <v>#VALUE!</v>
      </c>
      <c r="AD84" s="353" t="str">
        <f ca="1">IFERROR(__xludf.DUMMYFUNCTION("IMPORTRANGE(""https://docs.google.com/spreadsheets/d/1woKwKjgoLssDvPcPeVyezB5izizAn4X1JDrys69n6xI/edit?usp=sharing"",""ยะลา!I316"")"),"")</f>
        <v/>
      </c>
      <c r="AE84" s="177" t="str">
        <f ca="1">IFERROR(__xludf.DUMMYFUNCTION("IMPORTRANGE(""https://docs.google.com/spreadsheets/d/1woKwKjgoLssDvPcPeVyezB5izizAn4X1JDrys69n6xI/edit?usp=sharing"",""ยะลา!J316"")"),"")</f>
        <v/>
      </c>
      <c r="AF84" s="354" t="e">
        <f t="shared" ca="1" si="43"/>
        <v>#VALUE!</v>
      </c>
      <c r="AG84" s="353" t="str">
        <f ca="1">IFERROR(__xludf.DUMMYFUNCTION("IMPORTRANGE(""https://docs.google.com/spreadsheets/d/1woKwKjgoLssDvPcPeVyezB5izizAn4X1JDrys69n6xI/edit?usp=sharing"",""ยะลา!I317"")"),"")</f>
        <v/>
      </c>
      <c r="AH84" s="177" t="str">
        <f ca="1">IFERROR(__xludf.DUMMYFUNCTION("IMPORTRANGE(""https://docs.google.com/spreadsheets/d/1woKwKjgoLssDvPcPeVyezB5izizAn4X1JDrys69n6xI/edit?usp=sharing"",""ยะลา!J317"")"),"")</f>
        <v/>
      </c>
      <c r="AI84" s="354" t="e">
        <f t="shared" ca="1" si="45"/>
        <v>#VALUE!</v>
      </c>
    </row>
    <row r="85" spans="1:35" ht="21" customHeight="1" x14ac:dyDescent="0.3">
      <c r="A85" s="89">
        <v>11</v>
      </c>
      <c r="B85" s="90" t="s">
        <v>111</v>
      </c>
      <c r="C85" s="174">
        <f t="shared" ca="1" si="27"/>
        <v>0</v>
      </c>
      <c r="D85" s="175">
        <f t="shared" ca="1" si="67"/>
        <v>0</v>
      </c>
      <c r="E85" s="176">
        <f ca="1">IFERROR(__xludf.DUMMYFUNCTION("IMPORTRANGE(""https://docs.google.com/spreadsheets/d/1-uDff_7J0KD5mKrp0Vvzr7lt3OU09vwQwhkpOPPYv2Y/edit?usp=sharing"",""งบพรบ!DZ85"")"),0)</f>
        <v>0</v>
      </c>
      <c r="F85" s="176">
        <f ca="1">IFERROR(__xludf.DUMMYFUNCTION("IMPORTRANGE(""https://docs.google.com/spreadsheets/d/1-uDff_7J0KD5mKrp0Vvzr7lt3OU09vwQwhkpOPPYv2Y/edit?usp=sharing"",""งบพรบ!EA85"")"),0)</f>
        <v>0</v>
      </c>
      <c r="G85" s="176">
        <f ca="1">IFERROR(__xludf.DUMMYFUNCTION("IMPORTRANGE(""https://docs.google.com/spreadsheets/d/1-uDff_7J0KD5mKrp0Vvzr7lt3OU09vwQwhkpOPPYv2Y/edit?usp=sharing"",""งบพรบ!EB85"")"),0)</f>
        <v>0</v>
      </c>
      <c r="H85" s="176">
        <f ca="1">IFERROR(__xludf.DUMMYFUNCTION("IMPORTRANGE(""https://docs.google.com/spreadsheets/d/1-uDff_7J0KD5mKrp0Vvzr7lt3OU09vwQwhkpOPPYv2Y/edit?usp=sharing"",""งบพรบ!ED85"")"),0)</f>
        <v>0</v>
      </c>
      <c r="I85" s="176">
        <f ca="1">IFERROR(__xludf.DUMMYFUNCTION("IMPORTRANGE(""https://docs.google.com/spreadsheets/d/1-uDff_7J0KD5mKrp0Vvzr7lt3OU09vwQwhkpOPPYv2Y/edit?usp=sharing"",""งบพรบ!EE85"")"),0)</f>
        <v>0</v>
      </c>
      <c r="J85" s="176">
        <f t="shared" ca="1" si="29"/>
        <v>0</v>
      </c>
      <c r="K85" s="179">
        <f t="shared" ca="1" si="30"/>
        <v>0</v>
      </c>
      <c r="L85" s="176">
        <f ca="1">IFERROR(__xludf.DUMMYFUNCTION("IMPORTRANGE(""https://docs.google.com/spreadsheets/d/1-uDff_7J0KD5mKrp0Vvzr7lt3OU09vwQwhkpOPPYv2Y/edit?usp=sharing"",""งบพรบ!EF85"")"),0)</f>
        <v>0</v>
      </c>
      <c r="M85" s="87">
        <f t="shared" ca="1" si="31"/>
        <v>0</v>
      </c>
      <c r="N85" s="87">
        <f t="shared" ca="1" si="32"/>
        <v>0</v>
      </c>
      <c r="O85" s="86">
        <f ca="1">IFERROR(__xludf.DUMMYFUNCTION("IMPORTRANGE(""https://docs.google.com/spreadsheets/d/1-uDff_7J0KD5mKrp0Vvzr7lt3OU09vwQwhkpOPPYv2Y/edit?usp=sharing"",""งบพรบ!EG85"")"),0)</f>
        <v>0</v>
      </c>
      <c r="P85" s="86">
        <f t="shared" ca="1" si="33"/>
        <v>0</v>
      </c>
      <c r="Q85" s="87">
        <f t="shared" ca="1" si="34"/>
        <v>0</v>
      </c>
      <c r="R85" s="241">
        <f ca="1">IFERROR(__xludf.DUMMYFUNCTION("IMPORTRANGE(""https://docs.google.com/spreadsheets/d/1qfrKjzMhm2HJfxQ-qVlJlJQ25Hne1d0khsySbZyGtPA/edit?usp=sharing"",""ระนอง!Q303"")"),0)</f>
        <v>0</v>
      </c>
      <c r="S85" s="242">
        <f ca="1">IFERROR(__xludf.DUMMYFUNCTION("IMPORTRANGE(""https://docs.google.com/spreadsheets/d/1qfrKjzMhm2HJfxQ-qVlJlJQ25Hne1d0khsySbZyGtPA/edit?usp=sharing"",""ระนอง!R303"")"),0)</f>
        <v>0</v>
      </c>
      <c r="T85" s="242">
        <f ca="1">IFERROR(__xludf.DUMMYFUNCTION("IMPORTRANGE(""https://docs.google.com/spreadsheets/d/1qfrKjzMhm2HJfxQ-qVlJlJQ25Hne1d0khsySbZyGtPA/edit?usp=sharing"",""ระนอง!S303"")"),0)</f>
        <v>0</v>
      </c>
      <c r="U85" s="243">
        <f t="shared" ca="1" si="36"/>
        <v>0</v>
      </c>
      <c r="V85" s="243">
        <f t="shared" ca="1" si="37"/>
        <v>0</v>
      </c>
      <c r="W85" s="353" t="str">
        <f ca="1">IFERROR(__xludf.DUMMYFUNCTION("IMPORTRANGE(""https://docs.google.com/spreadsheets/d/1qfrKjzMhm2HJfxQ-qVlJlJQ25Hne1d0khsySbZyGtPA/edit?usp=sharing"",""ระนอง!J313"")"),"")</f>
        <v/>
      </c>
      <c r="X85" s="353">
        <f ca="1">IFERROR(__xludf.DUMMYFUNCTION("IMPORTRANGE(""https://docs.google.com/spreadsheets/d/1qfrKjzMhm2HJfxQ-qVlJlJQ25Hne1d0khsySbZyGtPA/edit?usp=sharing"",""ระนอง!I314"")"),0)</f>
        <v>0</v>
      </c>
      <c r="Y85" s="177">
        <f ca="1">IFERROR(__xludf.DUMMYFUNCTION("IMPORTRANGE(""https://docs.google.com/spreadsheets/d/1qfrKjzMhm2HJfxQ-qVlJlJQ25Hne1d0khsySbZyGtPA/edit?usp=sharing"",""ระนอง!J314"")"),0)</f>
        <v>0</v>
      </c>
      <c r="Z85" s="354">
        <f t="shared" ca="1" si="39"/>
        <v>0</v>
      </c>
      <c r="AA85" s="353" t="str">
        <f ca="1">IFERROR(__xludf.DUMMYFUNCTION("IMPORTRANGE(""https://docs.google.com/spreadsheets/d/1qfrKjzMhm2HJfxQ-qVlJlJQ25Hne1d0khsySbZyGtPA/edit?usp=sharing"",""ระนอง!I315"")"),"")</f>
        <v/>
      </c>
      <c r="AB85" s="177" t="str">
        <f ca="1">IFERROR(__xludf.DUMMYFUNCTION("IMPORTRANGE(""https://docs.google.com/spreadsheets/d/1qfrKjzMhm2HJfxQ-qVlJlJQ25Hne1d0khsySbZyGtPA/edit?usp=sharing"",""ระนอง!J315"")"),"")</f>
        <v/>
      </c>
      <c r="AC85" s="354">
        <f t="shared" ca="1" si="41"/>
        <v>0</v>
      </c>
      <c r="AD85" s="353" t="str">
        <f ca="1">IFERROR(__xludf.DUMMYFUNCTION("IMPORTRANGE(""https://docs.google.com/spreadsheets/d/1qfrKjzMhm2HJfxQ-qVlJlJQ25Hne1d0khsySbZyGtPA/edit?usp=sharing"",""ระนอง!I316"")"),"")</f>
        <v/>
      </c>
      <c r="AE85" s="177" t="str">
        <f ca="1">IFERROR(__xludf.DUMMYFUNCTION("IMPORTRANGE(""https://docs.google.com/spreadsheets/d/1qfrKjzMhm2HJfxQ-qVlJlJQ25Hne1d0khsySbZyGtPA/edit?usp=sharing"",""ระนอง!J316"")"),"")</f>
        <v/>
      </c>
      <c r="AF85" s="354" t="e">
        <f t="shared" ca="1" si="43"/>
        <v>#VALUE!</v>
      </c>
      <c r="AG85" s="353" t="str">
        <f ca="1">IFERROR(__xludf.DUMMYFUNCTION("IMPORTRANGE(""https://docs.google.com/spreadsheets/d/1qfrKjzMhm2HJfxQ-qVlJlJQ25Hne1d0khsySbZyGtPA/edit?usp=sharing"",""ระนอง!I317"")"),"")</f>
        <v/>
      </c>
      <c r="AH85" s="177" t="str">
        <f ca="1">IFERROR(__xludf.DUMMYFUNCTION("IMPORTRANGE(""https://docs.google.com/spreadsheets/d/1qfrKjzMhm2HJfxQ-qVlJlJQ25Hne1d0khsySbZyGtPA/edit?usp=sharing"",""ระนอง!J317"")"),"")</f>
        <v/>
      </c>
      <c r="AI85" s="354" t="e">
        <f t="shared" ca="1" si="45"/>
        <v>#VALUE!</v>
      </c>
    </row>
    <row r="86" spans="1:35" ht="24" customHeight="1" x14ac:dyDescent="0.3">
      <c r="A86" s="89">
        <v>12</v>
      </c>
      <c r="B86" s="90" t="s">
        <v>112</v>
      </c>
      <c r="C86" s="174">
        <f t="shared" ca="1" si="27"/>
        <v>0</v>
      </c>
      <c r="D86" s="175">
        <f t="shared" ca="1" si="67"/>
        <v>0</v>
      </c>
      <c r="E86" s="176">
        <f ca="1">IFERROR(__xludf.DUMMYFUNCTION("IMPORTRANGE(""https://docs.google.com/spreadsheets/d/1-uDff_7J0KD5mKrp0Vvzr7lt3OU09vwQwhkpOPPYv2Y/edit?usp=sharing"",""งบพรบ!DZ86"")"),0)</f>
        <v>0</v>
      </c>
      <c r="F86" s="176">
        <f ca="1">IFERROR(__xludf.DUMMYFUNCTION("IMPORTRANGE(""https://docs.google.com/spreadsheets/d/1-uDff_7J0KD5mKrp0Vvzr7lt3OU09vwQwhkpOPPYv2Y/edit?usp=sharing"",""งบพรบ!EA86"")"),0)</f>
        <v>0</v>
      </c>
      <c r="G86" s="176">
        <f ca="1">IFERROR(__xludf.DUMMYFUNCTION("IMPORTRANGE(""https://docs.google.com/spreadsheets/d/1-uDff_7J0KD5mKrp0Vvzr7lt3OU09vwQwhkpOPPYv2Y/edit?usp=sharing"",""งบพรบ!EB86"")"),0)</f>
        <v>0</v>
      </c>
      <c r="H86" s="176">
        <f ca="1">IFERROR(__xludf.DUMMYFUNCTION("IMPORTRANGE(""https://docs.google.com/spreadsheets/d/1-uDff_7J0KD5mKrp0Vvzr7lt3OU09vwQwhkpOPPYv2Y/edit?usp=sharing"",""งบพรบ!ED86"")"),0)</f>
        <v>0</v>
      </c>
      <c r="I86" s="176">
        <f ca="1">IFERROR(__xludf.DUMMYFUNCTION("IMPORTRANGE(""https://docs.google.com/spreadsheets/d/1-uDff_7J0KD5mKrp0Vvzr7lt3OU09vwQwhkpOPPYv2Y/edit?usp=sharing"",""งบพรบ!EE86"")"),0)</f>
        <v>0</v>
      </c>
      <c r="J86" s="176">
        <f t="shared" ca="1" si="29"/>
        <v>0</v>
      </c>
      <c r="K86" s="179">
        <f t="shared" ca="1" si="30"/>
        <v>0</v>
      </c>
      <c r="L86" s="176">
        <f ca="1">IFERROR(__xludf.DUMMYFUNCTION("IMPORTRANGE(""https://docs.google.com/spreadsheets/d/1-uDff_7J0KD5mKrp0Vvzr7lt3OU09vwQwhkpOPPYv2Y/edit?usp=sharing"",""งบพรบ!EF86"")"),0)</f>
        <v>0</v>
      </c>
      <c r="M86" s="87">
        <f t="shared" ca="1" si="31"/>
        <v>0</v>
      </c>
      <c r="N86" s="87">
        <f t="shared" ca="1" si="32"/>
        <v>0</v>
      </c>
      <c r="O86" s="86">
        <f ca="1">IFERROR(__xludf.DUMMYFUNCTION("IMPORTRANGE(""https://docs.google.com/spreadsheets/d/1-uDff_7J0KD5mKrp0Vvzr7lt3OU09vwQwhkpOPPYv2Y/edit?usp=sharing"",""งบพรบ!EG86"")"),0)</f>
        <v>0</v>
      </c>
      <c r="P86" s="86">
        <f t="shared" ca="1" si="33"/>
        <v>0</v>
      </c>
      <c r="Q86" s="87">
        <f t="shared" ca="1" si="34"/>
        <v>0</v>
      </c>
      <c r="R86" s="241">
        <f ca="1">IFERROR(__xludf.DUMMYFUNCTION("IMPORTRANGE(""https://docs.google.com/spreadsheets/d/1IbSCnFOKpZsnFogBHJnL_isstZVaOMnFiIN0fGTPZZw/edit?usp=sharing"",""สงขลา!Q303"")"),226234.22)</f>
        <v>226234.22</v>
      </c>
      <c r="S86" s="242">
        <f ca="1">IFERROR(__xludf.DUMMYFUNCTION("IMPORTRANGE(""https://docs.google.com/spreadsheets/d/1IbSCnFOKpZsnFogBHJnL_isstZVaOMnFiIN0fGTPZZw/edit?usp=sharing"",""สงขลา!R303"")"),0)</f>
        <v>0</v>
      </c>
      <c r="T86" s="242">
        <f ca="1">IFERROR(__xludf.DUMMYFUNCTION("IMPORTRANGE(""https://docs.google.com/spreadsheets/d/1IbSCnFOKpZsnFogBHJnL_isstZVaOMnFiIN0fGTPZZw/edit?usp=sharing"",""สงขลา!S303"")"),0)</f>
        <v>0</v>
      </c>
      <c r="U86" s="243">
        <f t="shared" ca="1" si="36"/>
        <v>0</v>
      </c>
      <c r="V86" s="243">
        <f t="shared" ca="1" si="37"/>
        <v>0</v>
      </c>
      <c r="W86" s="353" t="str">
        <f ca="1">IFERROR(__xludf.DUMMYFUNCTION("IMPORTRANGE(""https://docs.google.com/spreadsheets/d/1IbSCnFOKpZsnFogBHJnL_isstZVaOMnFiIN0fGTPZZw/edit?usp=sharing"",""สงขลา!J313"")"),"")</f>
        <v/>
      </c>
      <c r="X86" s="353">
        <f ca="1">IFERROR(__xludf.DUMMYFUNCTION("IMPORTRANGE(""https://docs.google.com/spreadsheets/d/1IbSCnFOKpZsnFogBHJnL_isstZVaOMnFiIN0fGTPZZw/edit?usp=sharing"",""สงขลา!I314"")"),25)</f>
        <v>25</v>
      </c>
      <c r="Y86" s="177">
        <f ca="1">IFERROR(__xludf.DUMMYFUNCTION("IMPORTRANGE(""https://docs.google.com/spreadsheets/d/1IbSCnFOKpZsnFogBHJnL_isstZVaOMnFiIN0fGTPZZw/edit?usp=sharing"",""สงขลา!J314"")"),0)</f>
        <v>0</v>
      </c>
      <c r="Z86" s="354">
        <f t="shared" ca="1" si="39"/>
        <v>0</v>
      </c>
      <c r="AA86" s="353" t="str">
        <f ca="1">IFERROR(__xludf.DUMMYFUNCTION("IMPORTRANGE(""https://docs.google.com/spreadsheets/d/1IbSCnFOKpZsnFogBHJnL_isstZVaOMnFiIN0fGTPZZw/edit?usp=sharing"",""สงขลา!I315"")"),"")</f>
        <v/>
      </c>
      <c r="AB86" s="177" t="str">
        <f ca="1">IFERROR(__xludf.DUMMYFUNCTION("IMPORTRANGE(""https://docs.google.com/spreadsheets/d/1IbSCnFOKpZsnFogBHJnL_isstZVaOMnFiIN0fGTPZZw/edit?usp=sharing"",""สงขลา!J315"")"),"")</f>
        <v/>
      </c>
      <c r="AC86" s="354" t="e">
        <f t="shared" ca="1" si="41"/>
        <v>#VALUE!</v>
      </c>
      <c r="AD86" s="353" t="str">
        <f ca="1">IFERROR(__xludf.DUMMYFUNCTION("IMPORTRANGE(""https://docs.google.com/spreadsheets/d/1IbSCnFOKpZsnFogBHJnL_isstZVaOMnFiIN0fGTPZZw/edit?usp=sharing"",""สงขลา!I316"")"),"")</f>
        <v/>
      </c>
      <c r="AE86" s="177" t="str">
        <f ca="1">IFERROR(__xludf.DUMMYFUNCTION("IMPORTRANGE(""https://docs.google.com/spreadsheets/d/1IbSCnFOKpZsnFogBHJnL_isstZVaOMnFiIN0fGTPZZw/edit?usp=sharing"",""สงขลา!J316"")"),"")</f>
        <v/>
      </c>
      <c r="AF86" s="354" t="e">
        <f t="shared" ca="1" si="43"/>
        <v>#VALUE!</v>
      </c>
      <c r="AG86" s="353" t="str">
        <f ca="1">IFERROR(__xludf.DUMMYFUNCTION("IMPORTRANGE(""https://docs.google.com/spreadsheets/d/1IbSCnFOKpZsnFogBHJnL_isstZVaOMnFiIN0fGTPZZw/edit?usp=sharing"",""สงขลา!I317"")"),"")</f>
        <v/>
      </c>
      <c r="AH86" s="177" t="str">
        <f ca="1">IFERROR(__xludf.DUMMYFUNCTION("IMPORTRANGE(""https://docs.google.com/spreadsheets/d/1IbSCnFOKpZsnFogBHJnL_isstZVaOMnFiIN0fGTPZZw/edit?usp=sharing"",""สงขลา!J317"")"),"")</f>
        <v/>
      </c>
      <c r="AI86" s="354" t="e">
        <f t="shared" ca="1" si="45"/>
        <v>#VALUE!</v>
      </c>
    </row>
    <row r="87" spans="1:35" ht="24" customHeight="1" x14ac:dyDescent="0.3">
      <c r="A87" s="89">
        <v>13</v>
      </c>
      <c r="B87" s="90" t="s">
        <v>113</v>
      </c>
      <c r="C87" s="174">
        <f t="shared" ca="1" si="27"/>
        <v>0</v>
      </c>
      <c r="D87" s="175">
        <f t="shared" ca="1" si="67"/>
        <v>0</v>
      </c>
      <c r="E87" s="176">
        <f ca="1">IFERROR(__xludf.DUMMYFUNCTION("IMPORTRANGE(""https://docs.google.com/spreadsheets/d/1-uDff_7J0KD5mKrp0Vvzr7lt3OU09vwQwhkpOPPYv2Y/edit?usp=sharing"",""งบพรบ!DZ87"")"),0)</f>
        <v>0</v>
      </c>
      <c r="F87" s="176">
        <f ca="1">IFERROR(__xludf.DUMMYFUNCTION("IMPORTRANGE(""https://docs.google.com/spreadsheets/d/1-uDff_7J0KD5mKrp0Vvzr7lt3OU09vwQwhkpOPPYv2Y/edit?usp=sharing"",""งบพรบ!EA87"")"),0)</f>
        <v>0</v>
      </c>
      <c r="G87" s="176">
        <f ca="1">IFERROR(__xludf.DUMMYFUNCTION("IMPORTRANGE(""https://docs.google.com/spreadsheets/d/1-uDff_7J0KD5mKrp0Vvzr7lt3OU09vwQwhkpOPPYv2Y/edit?usp=sharing"",""งบพรบ!EB87"")"),0)</f>
        <v>0</v>
      </c>
      <c r="H87" s="176">
        <f ca="1">IFERROR(__xludf.DUMMYFUNCTION("IMPORTRANGE(""https://docs.google.com/spreadsheets/d/1-uDff_7J0KD5mKrp0Vvzr7lt3OU09vwQwhkpOPPYv2Y/edit?usp=sharing"",""งบพรบ!ED87"")"),0)</f>
        <v>0</v>
      </c>
      <c r="I87" s="176">
        <f ca="1">IFERROR(__xludf.DUMMYFUNCTION("IMPORTRANGE(""https://docs.google.com/spreadsheets/d/1-uDff_7J0KD5mKrp0Vvzr7lt3OU09vwQwhkpOPPYv2Y/edit?usp=sharing"",""งบพรบ!EE87"")"),0)</f>
        <v>0</v>
      </c>
      <c r="J87" s="176">
        <f t="shared" ca="1" si="29"/>
        <v>0</v>
      </c>
      <c r="K87" s="179">
        <f t="shared" ca="1" si="30"/>
        <v>0</v>
      </c>
      <c r="L87" s="176">
        <f ca="1">IFERROR(__xludf.DUMMYFUNCTION("IMPORTRANGE(""https://docs.google.com/spreadsheets/d/1-uDff_7J0KD5mKrp0Vvzr7lt3OU09vwQwhkpOPPYv2Y/edit?usp=sharing"",""งบพรบ!EF87"")"),0)</f>
        <v>0</v>
      </c>
      <c r="M87" s="87">
        <f t="shared" ca="1" si="31"/>
        <v>0</v>
      </c>
      <c r="N87" s="87">
        <f t="shared" ca="1" si="32"/>
        <v>0</v>
      </c>
      <c r="O87" s="86">
        <f ca="1">IFERROR(__xludf.DUMMYFUNCTION("IMPORTRANGE(""https://docs.google.com/spreadsheets/d/1-uDff_7J0KD5mKrp0Vvzr7lt3OU09vwQwhkpOPPYv2Y/edit?usp=sharing"",""งบพรบ!EG87"")"),0)</f>
        <v>0</v>
      </c>
      <c r="P87" s="86">
        <f t="shared" ca="1" si="33"/>
        <v>0</v>
      </c>
      <c r="Q87" s="87">
        <f t="shared" ca="1" si="34"/>
        <v>0</v>
      </c>
      <c r="R87" s="241">
        <f ca="1">IFERROR(__xludf.DUMMYFUNCTION("IMPORTRANGE(""https://docs.google.com/spreadsheets/d/1q9nWasZJ-K8bFGvbE9n0qSRuKGA4Toe3Y89cKCiVtCU/edit?usp=sharing"",""สตูล!Q303"")"),226234.22)</f>
        <v>226234.22</v>
      </c>
      <c r="S87" s="242">
        <f ca="1">IFERROR(__xludf.DUMMYFUNCTION("IMPORTRANGE(""https://docs.google.com/spreadsheets/d/1q9nWasZJ-K8bFGvbE9n0qSRuKGA4Toe3Y89cKCiVtCU/edit?usp=sharing"",""สตูล!R303"")"),0)</f>
        <v>0</v>
      </c>
      <c r="T87" s="242">
        <f ca="1">IFERROR(__xludf.DUMMYFUNCTION("IMPORTRANGE(""https://docs.google.com/spreadsheets/d/1q9nWasZJ-K8bFGvbE9n0qSRuKGA4Toe3Y89cKCiVtCU/edit?usp=sharing"",""สตูล!S303"")"),0)</f>
        <v>0</v>
      </c>
      <c r="U87" s="243">
        <f t="shared" ca="1" si="36"/>
        <v>0</v>
      </c>
      <c r="V87" s="243">
        <f t="shared" ca="1" si="37"/>
        <v>0</v>
      </c>
      <c r="W87" s="353" t="str">
        <f ca="1">IFERROR(__xludf.DUMMYFUNCTION("IMPORTRANGE(""https://docs.google.com/spreadsheets/d/1q9nWasZJ-K8bFGvbE9n0qSRuKGA4Toe3Y89cKCiVtCU/edit?usp=sharing"",""สตูล!J313"")"),"")</f>
        <v/>
      </c>
      <c r="X87" s="353">
        <f ca="1">IFERROR(__xludf.DUMMYFUNCTION("IMPORTRANGE(""https://docs.google.com/spreadsheets/d/1q9nWasZJ-K8bFGvbE9n0qSRuKGA4Toe3Y89cKCiVtCU/edit?usp=sharing"",""สตูล!I314"")"),25)</f>
        <v>25</v>
      </c>
      <c r="Y87" s="177">
        <f ca="1">IFERROR(__xludf.DUMMYFUNCTION("IMPORTRANGE(""https://docs.google.com/spreadsheets/d/1q9nWasZJ-K8bFGvbE9n0qSRuKGA4Toe3Y89cKCiVtCU/edit?usp=sharing"",""สตูล!J314"")"),0)</f>
        <v>0</v>
      </c>
      <c r="Z87" s="354">
        <f t="shared" ca="1" si="39"/>
        <v>0</v>
      </c>
      <c r="AA87" s="353" t="str">
        <f ca="1">IFERROR(__xludf.DUMMYFUNCTION("IMPORTRANGE(""https://docs.google.com/spreadsheets/d/1q9nWasZJ-K8bFGvbE9n0qSRuKGA4Toe3Y89cKCiVtCU/edit?usp=sharing"",""สตูล!I315"")"),"")</f>
        <v/>
      </c>
      <c r="AB87" s="177" t="str">
        <f ca="1">IFERROR(__xludf.DUMMYFUNCTION("IMPORTRANGE(""https://docs.google.com/spreadsheets/d/1q9nWasZJ-K8bFGvbE9n0qSRuKGA4Toe3Y89cKCiVtCU/edit?usp=sharing"",""สตูล!J315"")"),"")</f>
        <v/>
      </c>
      <c r="AC87" s="354" t="e">
        <f t="shared" ca="1" si="41"/>
        <v>#VALUE!</v>
      </c>
      <c r="AD87" s="353" t="str">
        <f ca="1">IFERROR(__xludf.DUMMYFUNCTION("IMPORTRANGE(""https://docs.google.com/spreadsheets/d/1q9nWasZJ-K8bFGvbE9n0qSRuKGA4Toe3Y89cKCiVtCU/edit?usp=sharing"",""สตูล!I316"")"),"")</f>
        <v/>
      </c>
      <c r="AE87" s="177" t="str">
        <f ca="1">IFERROR(__xludf.DUMMYFUNCTION("IMPORTRANGE(""https://docs.google.com/spreadsheets/d/1q9nWasZJ-K8bFGvbE9n0qSRuKGA4Toe3Y89cKCiVtCU/edit?usp=sharing"",""สตูล!J316"")"),"")</f>
        <v/>
      </c>
      <c r="AF87" s="354" t="e">
        <f t="shared" ca="1" si="43"/>
        <v>#VALUE!</v>
      </c>
      <c r="AG87" s="353" t="str">
        <f ca="1">IFERROR(__xludf.DUMMYFUNCTION("IMPORTRANGE(""https://docs.google.com/spreadsheets/d/1q9nWasZJ-K8bFGvbE9n0qSRuKGA4Toe3Y89cKCiVtCU/edit?usp=sharing"",""สตูล!I317"")"),"")</f>
        <v/>
      </c>
      <c r="AH87" s="177" t="str">
        <f ca="1">IFERROR(__xludf.DUMMYFUNCTION("IMPORTRANGE(""https://docs.google.com/spreadsheets/d/1q9nWasZJ-K8bFGvbE9n0qSRuKGA4Toe3Y89cKCiVtCU/edit?usp=sharing"",""สตูล!J317"")"),"")</f>
        <v/>
      </c>
      <c r="AI87" s="354" t="e">
        <f t="shared" ca="1" si="45"/>
        <v>#VALUE!</v>
      </c>
    </row>
    <row r="88" spans="1:35" ht="24" customHeight="1" x14ac:dyDescent="0.3">
      <c r="A88" s="100">
        <v>14</v>
      </c>
      <c r="B88" s="101" t="s">
        <v>114</v>
      </c>
      <c r="C88" s="182">
        <f t="shared" ca="1" si="27"/>
        <v>184600</v>
      </c>
      <c r="D88" s="183">
        <f t="shared" ca="1" si="67"/>
        <v>184600</v>
      </c>
      <c r="E88" s="184">
        <f ca="1">IFERROR(__xludf.DUMMYFUNCTION("IMPORTRANGE(""https://docs.google.com/spreadsheets/d/1-uDff_7J0KD5mKrp0Vvzr7lt3OU09vwQwhkpOPPYv2Y/edit?usp=sharing"",""งบพรบ!DZ88"")"),102200)</f>
        <v>102200</v>
      </c>
      <c r="F88" s="184">
        <f ca="1">IFERROR(__xludf.DUMMYFUNCTION("IMPORTRANGE(""https://docs.google.com/spreadsheets/d/1-uDff_7J0KD5mKrp0Vvzr7lt3OU09vwQwhkpOPPYv2Y/edit?usp=sharing"",""งบพรบ!EA88"")"),82400)</f>
        <v>82400</v>
      </c>
      <c r="G88" s="184">
        <f ca="1">IFERROR(__xludf.DUMMYFUNCTION("IMPORTRANGE(""https://docs.google.com/spreadsheets/d/1-uDff_7J0KD5mKrp0Vvzr7lt3OU09vwQwhkpOPPYv2Y/edit?usp=sharing"",""งบพรบ!EB88"")"),0)</f>
        <v>0</v>
      </c>
      <c r="H88" s="184">
        <f ca="1">IFERROR(__xludf.DUMMYFUNCTION("IMPORTRANGE(""https://docs.google.com/spreadsheets/d/1-uDff_7J0KD5mKrp0Vvzr7lt3OU09vwQwhkpOPPYv2Y/edit?usp=sharing"",""งบพรบ!ED88"")"),184600)</f>
        <v>184600</v>
      </c>
      <c r="I88" s="184">
        <f ca="1">IFERROR(__xludf.DUMMYFUNCTION("IMPORTRANGE(""https://docs.google.com/spreadsheets/d/1-uDff_7J0KD5mKrp0Vvzr7lt3OU09vwQwhkpOPPYv2Y/edit?usp=sharing"",""งบพรบ!EE88"")"),0)</f>
        <v>0</v>
      </c>
      <c r="J88" s="184">
        <f t="shared" ca="1" si="29"/>
        <v>78023.990000000005</v>
      </c>
      <c r="K88" s="185">
        <f t="shared" ca="1" si="30"/>
        <v>42.266516793066096</v>
      </c>
      <c r="L88" s="184">
        <f ca="1">IFERROR(__xludf.DUMMYFUNCTION("IMPORTRANGE(""https://docs.google.com/spreadsheets/d/1-uDff_7J0KD5mKrp0Vvzr7lt3OU09vwQwhkpOPPYv2Y/edit?usp=sharing"",""งบพรบ!EF88"")"),78023.99)</f>
        <v>78023.990000000005</v>
      </c>
      <c r="M88" s="109">
        <f t="shared" ca="1" si="31"/>
        <v>42.266516793066096</v>
      </c>
      <c r="N88" s="109">
        <f t="shared" ca="1" si="32"/>
        <v>42.266516793066096</v>
      </c>
      <c r="O88" s="108">
        <f ca="1">IFERROR(__xludf.DUMMYFUNCTION("IMPORTRANGE(""https://docs.google.com/spreadsheets/d/1-uDff_7J0KD5mKrp0Vvzr7lt3OU09vwQwhkpOPPYv2Y/edit?usp=sharing"",""งบพรบ!EG88"")"),0)</f>
        <v>0</v>
      </c>
      <c r="P88" s="108">
        <f t="shared" ca="1" si="33"/>
        <v>0</v>
      </c>
      <c r="Q88" s="109">
        <f t="shared" ca="1" si="34"/>
        <v>0</v>
      </c>
      <c r="R88" s="244">
        <f ca="1">IFERROR(__xludf.DUMMYFUNCTION("IMPORTRANGE(""https://docs.google.com/spreadsheets/d/18T20gbkS_WBjdscyTOV05cvq_JqvqQ17C81mpxf7Ncs/edit?usp=sharing"",""สุราษฎร์ธานี!Q303"")"),144609.24)</f>
        <v>144609.24</v>
      </c>
      <c r="S88" s="245">
        <f ca="1">IFERROR(__xludf.DUMMYFUNCTION("IMPORTRANGE(""https://docs.google.com/spreadsheets/d/18T20gbkS_WBjdscyTOV05cvq_JqvqQ17C81mpxf7Ncs/edit?usp=sharing"",""สุราษฎร์ธานี!R303"")"),0)</f>
        <v>0</v>
      </c>
      <c r="T88" s="245">
        <f ca="1">IFERROR(__xludf.DUMMYFUNCTION("IMPORTRANGE(""https://docs.google.com/spreadsheets/d/18T20gbkS_WBjdscyTOV05cvq_JqvqQ17C81mpxf7Ncs/edit?usp=sharing"",""สุราษฎร์ธานี!S303"")"),0)</f>
        <v>0</v>
      </c>
      <c r="U88" s="246">
        <f t="shared" ca="1" si="36"/>
        <v>0</v>
      </c>
      <c r="V88" s="246">
        <f t="shared" ca="1" si="37"/>
        <v>0</v>
      </c>
      <c r="W88" s="356" t="str">
        <f ca="1">IFERROR(__xludf.DUMMYFUNCTION("IMPORTRANGE(""https://docs.google.com/spreadsheets/d/18T20gbkS_WBjdscyTOV05cvq_JqvqQ17C81mpxf7Ncs/edit?usp=sharing"",""สุราษฎร์ธานี!J313"")"),"")</f>
        <v/>
      </c>
      <c r="X88" s="356">
        <f ca="1">IFERROR(__xludf.DUMMYFUNCTION("IMPORTRANGE(""https://docs.google.com/spreadsheets/d/18T20gbkS_WBjdscyTOV05cvq_JqvqQ17C81mpxf7Ncs/edit?usp=sharing"",""สุราษฎร์ธานี!I314"")"),20)</f>
        <v>20</v>
      </c>
      <c r="Y88" s="186">
        <f ca="1">IFERROR(__xludf.DUMMYFUNCTION("IMPORTRANGE(""https://docs.google.com/spreadsheets/d/18T20gbkS_WBjdscyTOV05cvq_JqvqQ17C81mpxf7Ncs/edit?usp=sharing"",""สุราษฎร์ธานี!J314"")"),0)</f>
        <v>0</v>
      </c>
      <c r="Z88" s="357">
        <f t="shared" ca="1" si="39"/>
        <v>0</v>
      </c>
      <c r="AA88" s="356" t="str">
        <f ca="1">IFERROR(__xludf.DUMMYFUNCTION("IMPORTRANGE(""https://docs.google.com/spreadsheets/d/18T20gbkS_WBjdscyTOV05cvq_JqvqQ17C81mpxf7Ncs/edit?usp=sharing"",""สุราษฎร์ธานี!I315"")"),"")</f>
        <v/>
      </c>
      <c r="AB88" s="186" t="str">
        <f ca="1">IFERROR(__xludf.DUMMYFUNCTION("IMPORTRANGE(""https://docs.google.com/spreadsheets/d/18T20gbkS_WBjdscyTOV05cvq_JqvqQ17C81mpxf7Ncs/edit?usp=sharing"",""สุราษฎร์ธานี!J315"")"),"")</f>
        <v/>
      </c>
      <c r="AC88" s="357" t="e">
        <f t="shared" ca="1" si="41"/>
        <v>#VALUE!</v>
      </c>
      <c r="AD88" s="356" t="str">
        <f ca="1">IFERROR(__xludf.DUMMYFUNCTION("IMPORTRANGE(""https://docs.google.com/spreadsheets/d/18T20gbkS_WBjdscyTOV05cvq_JqvqQ17C81mpxf7Ncs/edit?usp=sharing"",""สุราษฎร์ธานี!I316"")"),"")</f>
        <v/>
      </c>
      <c r="AE88" s="186" t="str">
        <f ca="1">IFERROR(__xludf.DUMMYFUNCTION("IMPORTRANGE(""https://docs.google.com/spreadsheets/d/18T20gbkS_WBjdscyTOV05cvq_JqvqQ17C81mpxf7Ncs/edit?usp=sharing"",""สุราษฎร์ธานี!J316"")"),"")</f>
        <v/>
      </c>
      <c r="AF88" s="357" t="e">
        <f t="shared" ca="1" si="43"/>
        <v>#VALUE!</v>
      </c>
      <c r="AG88" s="356" t="str">
        <f ca="1">IFERROR(__xludf.DUMMYFUNCTION("IMPORTRANGE(""https://docs.google.com/spreadsheets/d/18T20gbkS_WBjdscyTOV05cvq_JqvqQ17C81mpxf7Ncs/edit?usp=sharing"",""สุราษฎร์ธานี!I317"")"),"")</f>
        <v/>
      </c>
      <c r="AH88" s="186" t="str">
        <f ca="1">IFERROR(__xludf.DUMMYFUNCTION("IMPORTRANGE(""https://docs.google.com/spreadsheets/d/18T20gbkS_WBjdscyTOV05cvq_JqvqQ17C81mpxf7Ncs/edit?usp=sharing"",""สุราษฎร์ธานี!J317"")"),"")</f>
        <v/>
      </c>
      <c r="AI88" s="357" t="e">
        <f t="shared" ca="1" si="45"/>
        <v>#VALUE!</v>
      </c>
    </row>
    <row r="89" spans="1:35" ht="21" hidden="1" customHeight="1" x14ac:dyDescent="0.3">
      <c r="A89" s="632" t="s">
        <v>115</v>
      </c>
      <c r="B89" s="633"/>
      <c r="C89" s="46">
        <f t="shared" ref="C89:T89" ca="1" si="68">SUM(C90:C106)</f>
        <v>1129300</v>
      </c>
      <c r="D89" s="45">
        <f t="shared" ca="1" si="68"/>
        <v>1129300</v>
      </c>
      <c r="E89" s="45">
        <f t="shared" ca="1" si="68"/>
        <v>252400</v>
      </c>
      <c r="F89" s="45">
        <f t="shared" ca="1" si="68"/>
        <v>876900</v>
      </c>
      <c r="G89" s="45">
        <f t="shared" ca="1" si="68"/>
        <v>0</v>
      </c>
      <c r="H89" s="45">
        <f t="shared" ca="1" si="68"/>
        <v>1129300</v>
      </c>
      <c r="I89" s="45">
        <f t="shared" ca="1" si="68"/>
        <v>0</v>
      </c>
      <c r="J89" s="45">
        <f t="shared" ca="1" si="68"/>
        <v>168244.67</v>
      </c>
      <c r="K89" s="47">
        <f t="shared" ca="1" si="68"/>
        <v>19.186300604401872</v>
      </c>
      <c r="L89" s="45">
        <f t="shared" ca="1" si="68"/>
        <v>168244.67</v>
      </c>
      <c r="M89" s="47">
        <f t="shared" ca="1" si="68"/>
        <v>19.186300604401872</v>
      </c>
      <c r="N89" s="47">
        <f t="shared" ca="1" si="68"/>
        <v>19.186300604401872</v>
      </c>
      <c r="O89" s="45">
        <f t="shared" ca="1" si="68"/>
        <v>0</v>
      </c>
      <c r="P89" s="45">
        <f t="shared" ca="1" si="68"/>
        <v>0</v>
      </c>
      <c r="Q89" s="45">
        <f t="shared" ca="1" si="68"/>
        <v>0</v>
      </c>
      <c r="R89" s="358">
        <f t="shared" si="68"/>
        <v>0</v>
      </c>
      <c r="S89" s="359">
        <f t="shared" si="68"/>
        <v>0</v>
      </c>
      <c r="T89" s="359">
        <f t="shared" si="68"/>
        <v>0</v>
      </c>
      <c r="U89" s="359">
        <f t="shared" si="36"/>
        <v>0</v>
      </c>
      <c r="V89" s="359">
        <f t="shared" si="37"/>
        <v>0</v>
      </c>
      <c r="W89" s="45"/>
      <c r="X89" s="293"/>
      <c r="Y89" s="196"/>
      <c r="Z89" s="349"/>
      <c r="AA89" s="196"/>
      <c r="AB89" s="196"/>
      <c r="AC89" s="349"/>
      <c r="AD89" s="196"/>
      <c r="AE89" s="196"/>
      <c r="AF89" s="349"/>
      <c r="AG89" s="196"/>
      <c r="AH89" s="196"/>
      <c r="AI89" s="349"/>
    </row>
    <row r="90" spans="1:35" ht="24" hidden="1" customHeight="1" x14ac:dyDescent="0.3">
      <c r="A90" s="197"/>
      <c r="B90" s="125" t="s">
        <v>116</v>
      </c>
      <c r="C90" s="198">
        <f t="shared" ref="C90:C106" ca="1" si="69">D90+G90</f>
        <v>0</v>
      </c>
      <c r="D90" s="199">
        <f t="shared" ref="D90:D106" ca="1" si="70">+E90+F90</f>
        <v>0</v>
      </c>
      <c r="E90" s="81">
        <f ca="1">IFERROR(__xludf.DUMMYFUNCTION("IMPORTRANGE(""https://docs.google.com/spreadsheets/d/1-uDff_7J0KD5mKrp0Vvzr7lt3OU09vwQwhkpOPPYv2Y/edit?usp=sharing"",""งบพรบ!DZ90"")"),0)</f>
        <v>0</v>
      </c>
      <c r="F90" s="81">
        <f ca="1">IFERROR(__xludf.DUMMYFUNCTION("IMPORTRANGE(""https://docs.google.com/spreadsheets/d/1-uDff_7J0KD5mKrp0Vvzr7lt3OU09vwQwhkpOPPYv2Y/edit?usp=sharing"",""งบพรบ!EA90"")"),0)</f>
        <v>0</v>
      </c>
      <c r="G90" s="81">
        <f ca="1">IFERROR(__xludf.DUMMYFUNCTION("IMPORTRANGE(""https://docs.google.com/spreadsheets/d/1-uDff_7J0KD5mKrp0Vvzr7lt3OU09vwQwhkpOPPYv2Y/edit?usp=sharing"",""งบพรบ!EB90"")"),0)</f>
        <v>0</v>
      </c>
      <c r="H90" s="81">
        <f ca="1">IFERROR(__xludf.DUMMYFUNCTION("IMPORTRANGE(""https://docs.google.com/spreadsheets/d/1-uDff_7J0KD5mKrp0Vvzr7lt3OU09vwQwhkpOPPYv2Y/edit?usp=sharing"",""งบพรบ!ED90"")"),0)</f>
        <v>0</v>
      </c>
      <c r="I90" s="81">
        <f ca="1">IFERROR(__xludf.DUMMYFUNCTION("IMPORTRANGE(""https://docs.google.com/spreadsheets/d/1-uDff_7J0KD5mKrp0Vvzr7lt3OU09vwQwhkpOPPYv2Y/edit?usp=sharing"",""งบพรบ!EE90"")"),0)</f>
        <v>0</v>
      </c>
      <c r="J90" s="81">
        <f t="shared" ref="J90:J106" ca="1" si="71">L90+O90</f>
        <v>0</v>
      </c>
      <c r="K90" s="126">
        <f t="shared" ref="K90:K106" ca="1" si="72">IF(C90&gt;0,J90*100/C90,0)</f>
        <v>0</v>
      </c>
      <c r="L90" s="81">
        <f ca="1">IFERROR(__xludf.DUMMYFUNCTION("IMPORTRANGE(""https://docs.google.com/spreadsheets/d/1-uDff_7J0KD5mKrp0Vvzr7lt3OU09vwQwhkpOPPYv2Y/edit?usp=sharing"",""งบพรบ!EF90"")"),0)</f>
        <v>0</v>
      </c>
      <c r="M90" s="84">
        <f t="shared" ref="M90:M106" ca="1" si="73">IF(D90&gt;0,L90*100/D90,0)</f>
        <v>0</v>
      </c>
      <c r="N90" s="84">
        <f t="shared" ref="N90:N106" ca="1" si="74">IF(H90&gt;0,L90*100/H90,0)</f>
        <v>0</v>
      </c>
      <c r="O90" s="85">
        <f ca="1">IFERROR(__xludf.DUMMYFUNCTION("IMPORTRANGE(""https://docs.google.com/spreadsheets/d/1-uDff_7J0KD5mKrp0Vvzr7lt3OU09vwQwhkpOPPYv2Y/edit?usp=sharing"",""งบพรบ!EG90"")"),0)</f>
        <v>0</v>
      </c>
      <c r="P90" s="85">
        <f t="shared" ref="P90:P106" ca="1" si="75">IF(G90&gt;0,O90*100/G90,0)</f>
        <v>0</v>
      </c>
      <c r="Q90" s="84">
        <f t="shared" ref="Q90:Q106" ca="1" si="76">IF(I90&gt;0,O90*100/I90,0)</f>
        <v>0</v>
      </c>
      <c r="R90" s="241">
        <v>0</v>
      </c>
      <c r="S90" s="242">
        <v>0</v>
      </c>
      <c r="T90" s="242">
        <v>0</v>
      </c>
      <c r="U90" s="243">
        <f t="shared" si="36"/>
        <v>0</v>
      </c>
      <c r="V90" s="243">
        <f t="shared" si="37"/>
        <v>0</v>
      </c>
      <c r="W90" s="81"/>
      <c r="X90" s="294"/>
      <c r="Y90" s="360"/>
      <c r="Z90" s="361"/>
      <c r="AA90" s="360"/>
      <c r="AB90" s="360"/>
      <c r="AC90" s="361"/>
      <c r="AD90" s="360"/>
      <c r="AE90" s="360"/>
      <c r="AF90" s="361"/>
      <c r="AG90" s="360"/>
      <c r="AH90" s="360"/>
      <c r="AI90" s="361"/>
    </row>
    <row r="91" spans="1:35" ht="24" hidden="1" customHeight="1" x14ac:dyDescent="0.3">
      <c r="A91" s="201"/>
      <c r="B91" s="129" t="s">
        <v>117</v>
      </c>
      <c r="C91" s="202">
        <f t="shared" ca="1" si="69"/>
        <v>0</v>
      </c>
      <c r="D91" s="203">
        <f t="shared" ca="1" si="70"/>
        <v>0</v>
      </c>
      <c r="E91" s="93">
        <f ca="1">IFERROR(__xludf.DUMMYFUNCTION("IMPORTRANGE(""https://docs.google.com/spreadsheets/d/1-uDff_7J0KD5mKrp0Vvzr7lt3OU09vwQwhkpOPPYv2Y/edit?usp=sharing"",""งบพรบ!DZ91"")"),0)</f>
        <v>0</v>
      </c>
      <c r="F91" s="93">
        <f ca="1">IFERROR(__xludf.DUMMYFUNCTION("IMPORTRANGE(""https://docs.google.com/spreadsheets/d/1-uDff_7J0KD5mKrp0Vvzr7lt3OU09vwQwhkpOPPYv2Y/edit?usp=sharing"",""งบพรบ!EA91"")"),0)</f>
        <v>0</v>
      </c>
      <c r="G91" s="93">
        <f ca="1">IFERROR(__xludf.DUMMYFUNCTION("IMPORTRANGE(""https://docs.google.com/spreadsheets/d/1-uDff_7J0KD5mKrp0Vvzr7lt3OU09vwQwhkpOPPYv2Y/edit?usp=sharing"",""งบพรบ!EB91"")"),0)</f>
        <v>0</v>
      </c>
      <c r="H91" s="93">
        <f ca="1">IFERROR(__xludf.DUMMYFUNCTION("IMPORTRANGE(""https://docs.google.com/spreadsheets/d/1-uDff_7J0KD5mKrp0Vvzr7lt3OU09vwQwhkpOPPYv2Y/edit?usp=sharing"",""งบพรบ!ED91"")"),0)</f>
        <v>0</v>
      </c>
      <c r="I91" s="93">
        <f ca="1">IFERROR(__xludf.DUMMYFUNCTION("IMPORTRANGE(""https://docs.google.com/spreadsheets/d/1-uDff_7J0KD5mKrp0Vvzr7lt3OU09vwQwhkpOPPYv2Y/edit?usp=sharing"",""งบพรบ!EE91"")"),0)</f>
        <v>0</v>
      </c>
      <c r="J91" s="93">
        <f t="shared" ca="1" si="71"/>
        <v>0</v>
      </c>
      <c r="K91" s="94">
        <f t="shared" ca="1" si="72"/>
        <v>0</v>
      </c>
      <c r="L91" s="93">
        <f ca="1">IFERROR(__xludf.DUMMYFUNCTION("IMPORTRANGE(""https://docs.google.com/spreadsheets/d/1-uDff_7J0KD5mKrp0Vvzr7lt3OU09vwQwhkpOPPYv2Y/edit?usp=sharing"",""งบพรบ!EF91"")"),0)</f>
        <v>0</v>
      </c>
      <c r="M91" s="95">
        <f t="shared" ca="1" si="73"/>
        <v>0</v>
      </c>
      <c r="N91" s="95">
        <f t="shared" ca="1" si="74"/>
        <v>0</v>
      </c>
      <c r="O91" s="96">
        <f ca="1">IFERROR(__xludf.DUMMYFUNCTION("IMPORTRANGE(""https://docs.google.com/spreadsheets/d/1-uDff_7J0KD5mKrp0Vvzr7lt3OU09vwQwhkpOPPYv2Y/edit?usp=sharing"",""งบพรบ!EG91"")"),0)</f>
        <v>0</v>
      </c>
      <c r="P91" s="96">
        <f t="shared" ca="1" si="75"/>
        <v>0</v>
      </c>
      <c r="Q91" s="95">
        <f t="shared" ca="1" si="76"/>
        <v>0</v>
      </c>
      <c r="R91" s="241">
        <v>0</v>
      </c>
      <c r="S91" s="242">
        <v>0</v>
      </c>
      <c r="T91" s="242">
        <v>0</v>
      </c>
      <c r="U91" s="243">
        <f t="shared" si="36"/>
        <v>0</v>
      </c>
      <c r="V91" s="243">
        <f t="shared" si="37"/>
        <v>0</v>
      </c>
      <c r="W91" s="93"/>
      <c r="X91" s="294"/>
      <c r="Y91" s="360"/>
      <c r="Z91" s="361"/>
      <c r="AA91" s="360"/>
      <c r="AB91" s="360"/>
      <c r="AC91" s="361"/>
      <c r="AD91" s="360"/>
      <c r="AE91" s="360"/>
      <c r="AF91" s="361"/>
      <c r="AG91" s="360"/>
      <c r="AH91" s="360"/>
      <c r="AI91" s="361"/>
    </row>
    <row r="92" spans="1:35" ht="24" hidden="1" customHeight="1" x14ac:dyDescent="0.3">
      <c r="A92" s="201"/>
      <c r="B92" s="129" t="s">
        <v>118</v>
      </c>
      <c r="C92" s="202">
        <f t="shared" ca="1" si="69"/>
        <v>0</v>
      </c>
      <c r="D92" s="203">
        <f t="shared" ca="1" si="70"/>
        <v>0</v>
      </c>
      <c r="E92" s="93">
        <f ca="1">IFERROR(__xludf.DUMMYFUNCTION("IMPORTRANGE(""https://docs.google.com/spreadsheets/d/1-uDff_7J0KD5mKrp0Vvzr7lt3OU09vwQwhkpOPPYv2Y/edit?usp=sharing"",""งบพรบ!DZ92"")"),0)</f>
        <v>0</v>
      </c>
      <c r="F92" s="93">
        <f ca="1">IFERROR(__xludf.DUMMYFUNCTION("IMPORTRANGE(""https://docs.google.com/spreadsheets/d/1-uDff_7J0KD5mKrp0Vvzr7lt3OU09vwQwhkpOPPYv2Y/edit?usp=sharing"",""งบพรบ!EA92"")"),0)</f>
        <v>0</v>
      </c>
      <c r="G92" s="93">
        <f ca="1">IFERROR(__xludf.DUMMYFUNCTION("IMPORTRANGE(""https://docs.google.com/spreadsheets/d/1-uDff_7J0KD5mKrp0Vvzr7lt3OU09vwQwhkpOPPYv2Y/edit?usp=sharing"",""งบพรบ!EB92"")"),0)</f>
        <v>0</v>
      </c>
      <c r="H92" s="93">
        <f ca="1">IFERROR(__xludf.DUMMYFUNCTION("IMPORTRANGE(""https://docs.google.com/spreadsheets/d/1-uDff_7J0KD5mKrp0Vvzr7lt3OU09vwQwhkpOPPYv2Y/edit?usp=sharing"",""งบพรบ!ED92"")"),0)</f>
        <v>0</v>
      </c>
      <c r="I92" s="93">
        <f ca="1">IFERROR(__xludf.DUMMYFUNCTION("IMPORTRANGE(""https://docs.google.com/spreadsheets/d/1-uDff_7J0KD5mKrp0Vvzr7lt3OU09vwQwhkpOPPYv2Y/edit?usp=sharing"",""งบพรบ!EE92"")"),0)</f>
        <v>0</v>
      </c>
      <c r="J92" s="93">
        <f t="shared" ca="1" si="71"/>
        <v>0</v>
      </c>
      <c r="K92" s="94">
        <f t="shared" ca="1" si="72"/>
        <v>0</v>
      </c>
      <c r="L92" s="93">
        <f ca="1">IFERROR(__xludf.DUMMYFUNCTION("IMPORTRANGE(""https://docs.google.com/spreadsheets/d/1-uDff_7J0KD5mKrp0Vvzr7lt3OU09vwQwhkpOPPYv2Y/edit?usp=sharing"",""งบพรบ!EF92"")"),0)</f>
        <v>0</v>
      </c>
      <c r="M92" s="95">
        <f t="shared" ca="1" si="73"/>
        <v>0</v>
      </c>
      <c r="N92" s="95">
        <f t="shared" ca="1" si="74"/>
        <v>0</v>
      </c>
      <c r="O92" s="96">
        <f ca="1">IFERROR(__xludf.DUMMYFUNCTION("IMPORTRANGE(""https://docs.google.com/spreadsheets/d/1-uDff_7J0KD5mKrp0Vvzr7lt3OU09vwQwhkpOPPYv2Y/edit?usp=sharing"",""งบพรบ!EG92"")"),0)</f>
        <v>0</v>
      </c>
      <c r="P92" s="96">
        <f t="shared" ca="1" si="75"/>
        <v>0</v>
      </c>
      <c r="Q92" s="95">
        <f t="shared" ca="1" si="76"/>
        <v>0</v>
      </c>
      <c r="R92" s="241">
        <v>0</v>
      </c>
      <c r="S92" s="242">
        <v>0</v>
      </c>
      <c r="T92" s="242">
        <v>0</v>
      </c>
      <c r="U92" s="243">
        <f t="shared" si="36"/>
        <v>0</v>
      </c>
      <c r="V92" s="243">
        <f t="shared" si="37"/>
        <v>0</v>
      </c>
      <c r="W92" s="93"/>
      <c r="X92" s="294"/>
      <c r="Y92" s="360"/>
      <c r="Z92" s="361"/>
      <c r="AA92" s="360"/>
      <c r="AB92" s="360"/>
      <c r="AC92" s="361"/>
      <c r="AD92" s="360"/>
      <c r="AE92" s="360"/>
      <c r="AF92" s="361"/>
      <c r="AG92" s="360"/>
      <c r="AH92" s="360"/>
      <c r="AI92" s="361"/>
    </row>
    <row r="93" spans="1:35" ht="24" hidden="1" customHeight="1" x14ac:dyDescent="0.3">
      <c r="A93" s="201"/>
      <c r="B93" s="129" t="s">
        <v>119</v>
      </c>
      <c r="C93" s="202">
        <f t="shared" ca="1" si="69"/>
        <v>0</v>
      </c>
      <c r="D93" s="203">
        <f t="shared" ca="1" si="70"/>
        <v>0</v>
      </c>
      <c r="E93" s="93">
        <f ca="1">IFERROR(__xludf.DUMMYFUNCTION("IMPORTRANGE(""https://docs.google.com/spreadsheets/d/1-uDff_7J0KD5mKrp0Vvzr7lt3OU09vwQwhkpOPPYv2Y/edit?usp=sharing"",""งบพรบ!DZ93"")"),0)</f>
        <v>0</v>
      </c>
      <c r="F93" s="93">
        <f ca="1">IFERROR(__xludf.DUMMYFUNCTION("IMPORTRANGE(""https://docs.google.com/spreadsheets/d/1-uDff_7J0KD5mKrp0Vvzr7lt3OU09vwQwhkpOPPYv2Y/edit?usp=sharing"",""งบพรบ!EA93"")"),0)</f>
        <v>0</v>
      </c>
      <c r="G93" s="93">
        <f ca="1">IFERROR(__xludf.DUMMYFUNCTION("IMPORTRANGE(""https://docs.google.com/spreadsheets/d/1-uDff_7J0KD5mKrp0Vvzr7lt3OU09vwQwhkpOPPYv2Y/edit?usp=sharing"",""งบพรบ!EB93"")"),0)</f>
        <v>0</v>
      </c>
      <c r="H93" s="93">
        <f ca="1">IFERROR(__xludf.DUMMYFUNCTION("IMPORTRANGE(""https://docs.google.com/spreadsheets/d/1-uDff_7J0KD5mKrp0Vvzr7lt3OU09vwQwhkpOPPYv2Y/edit?usp=sharing"",""งบพรบ!ED93"")"),0)</f>
        <v>0</v>
      </c>
      <c r="I93" s="93">
        <f ca="1">IFERROR(__xludf.DUMMYFUNCTION("IMPORTRANGE(""https://docs.google.com/spreadsheets/d/1-uDff_7J0KD5mKrp0Vvzr7lt3OU09vwQwhkpOPPYv2Y/edit?usp=sharing"",""งบพรบ!EE93"")"),0)</f>
        <v>0</v>
      </c>
      <c r="J93" s="93">
        <f t="shared" ca="1" si="71"/>
        <v>0</v>
      </c>
      <c r="K93" s="94">
        <f t="shared" ca="1" si="72"/>
        <v>0</v>
      </c>
      <c r="L93" s="93">
        <f ca="1">IFERROR(__xludf.DUMMYFUNCTION("IMPORTRANGE(""https://docs.google.com/spreadsheets/d/1-uDff_7J0KD5mKrp0Vvzr7lt3OU09vwQwhkpOPPYv2Y/edit?usp=sharing"",""งบพรบ!EF93"")"),0)</f>
        <v>0</v>
      </c>
      <c r="M93" s="95">
        <f t="shared" ca="1" si="73"/>
        <v>0</v>
      </c>
      <c r="N93" s="95">
        <f t="shared" ca="1" si="74"/>
        <v>0</v>
      </c>
      <c r="O93" s="96">
        <f ca="1">IFERROR(__xludf.DUMMYFUNCTION("IMPORTRANGE(""https://docs.google.com/spreadsheets/d/1-uDff_7J0KD5mKrp0Vvzr7lt3OU09vwQwhkpOPPYv2Y/edit?usp=sharing"",""งบพรบ!EG93"")"),0)</f>
        <v>0</v>
      </c>
      <c r="P93" s="96">
        <f t="shared" ca="1" si="75"/>
        <v>0</v>
      </c>
      <c r="Q93" s="95">
        <f t="shared" ca="1" si="76"/>
        <v>0</v>
      </c>
      <c r="R93" s="241">
        <v>0</v>
      </c>
      <c r="S93" s="242">
        <v>0</v>
      </c>
      <c r="T93" s="242">
        <v>0</v>
      </c>
      <c r="U93" s="243">
        <f t="shared" si="36"/>
        <v>0</v>
      </c>
      <c r="V93" s="243">
        <f t="shared" si="37"/>
        <v>0</v>
      </c>
      <c r="W93" s="93"/>
      <c r="X93" s="294"/>
      <c r="Y93" s="360"/>
      <c r="Z93" s="361"/>
      <c r="AA93" s="360"/>
      <c r="AB93" s="360"/>
      <c r="AC93" s="361"/>
      <c r="AD93" s="360"/>
      <c r="AE93" s="360"/>
      <c r="AF93" s="361"/>
      <c r="AG93" s="360"/>
      <c r="AH93" s="360"/>
      <c r="AI93" s="361"/>
    </row>
    <row r="94" spans="1:35" ht="24" hidden="1" customHeight="1" x14ac:dyDescent="0.3">
      <c r="A94" s="201"/>
      <c r="B94" s="129" t="s">
        <v>120</v>
      </c>
      <c r="C94" s="202">
        <f t="shared" ca="1" si="69"/>
        <v>0</v>
      </c>
      <c r="D94" s="203">
        <f t="shared" ca="1" si="70"/>
        <v>0</v>
      </c>
      <c r="E94" s="93">
        <f ca="1">IFERROR(__xludf.DUMMYFUNCTION("IMPORTRANGE(""https://docs.google.com/spreadsheets/d/1-uDff_7J0KD5mKrp0Vvzr7lt3OU09vwQwhkpOPPYv2Y/edit?usp=sharing"",""งบพรบ!DZ94"")"),0)</f>
        <v>0</v>
      </c>
      <c r="F94" s="93">
        <f ca="1">IFERROR(__xludf.DUMMYFUNCTION("IMPORTRANGE(""https://docs.google.com/spreadsheets/d/1-uDff_7J0KD5mKrp0Vvzr7lt3OU09vwQwhkpOPPYv2Y/edit?usp=sharing"",""งบพรบ!EA94"")"),0)</f>
        <v>0</v>
      </c>
      <c r="G94" s="93">
        <f ca="1">IFERROR(__xludf.DUMMYFUNCTION("IMPORTRANGE(""https://docs.google.com/spreadsheets/d/1-uDff_7J0KD5mKrp0Vvzr7lt3OU09vwQwhkpOPPYv2Y/edit?usp=sharing"",""งบพรบ!EB94"")"),0)</f>
        <v>0</v>
      </c>
      <c r="H94" s="93">
        <f ca="1">IFERROR(__xludf.DUMMYFUNCTION("IMPORTRANGE(""https://docs.google.com/spreadsheets/d/1-uDff_7J0KD5mKrp0Vvzr7lt3OU09vwQwhkpOPPYv2Y/edit?usp=sharing"",""งบพรบ!ED94"")"),0)</f>
        <v>0</v>
      </c>
      <c r="I94" s="93">
        <f ca="1">IFERROR(__xludf.DUMMYFUNCTION("IMPORTRANGE(""https://docs.google.com/spreadsheets/d/1-uDff_7J0KD5mKrp0Vvzr7lt3OU09vwQwhkpOPPYv2Y/edit?usp=sharing"",""งบพรบ!EE94"")"),0)</f>
        <v>0</v>
      </c>
      <c r="J94" s="93">
        <f t="shared" ca="1" si="71"/>
        <v>0</v>
      </c>
      <c r="K94" s="94">
        <f t="shared" ca="1" si="72"/>
        <v>0</v>
      </c>
      <c r="L94" s="93">
        <f ca="1">IFERROR(__xludf.DUMMYFUNCTION("IMPORTRANGE(""https://docs.google.com/spreadsheets/d/1-uDff_7J0KD5mKrp0Vvzr7lt3OU09vwQwhkpOPPYv2Y/edit?usp=sharing"",""งบพรบ!EF94"")"),0)</f>
        <v>0</v>
      </c>
      <c r="M94" s="95">
        <f t="shared" ca="1" si="73"/>
        <v>0</v>
      </c>
      <c r="N94" s="95">
        <f t="shared" ca="1" si="74"/>
        <v>0</v>
      </c>
      <c r="O94" s="96">
        <f ca="1">IFERROR(__xludf.DUMMYFUNCTION("IMPORTRANGE(""https://docs.google.com/spreadsheets/d/1-uDff_7J0KD5mKrp0Vvzr7lt3OU09vwQwhkpOPPYv2Y/edit?usp=sharing"",""งบพรบ!EG94"")"),0)</f>
        <v>0</v>
      </c>
      <c r="P94" s="96">
        <f t="shared" ca="1" si="75"/>
        <v>0</v>
      </c>
      <c r="Q94" s="95">
        <f t="shared" ca="1" si="76"/>
        <v>0</v>
      </c>
      <c r="R94" s="241">
        <v>0</v>
      </c>
      <c r="S94" s="242">
        <v>0</v>
      </c>
      <c r="T94" s="242">
        <v>0</v>
      </c>
      <c r="U94" s="243">
        <f t="shared" si="36"/>
        <v>0</v>
      </c>
      <c r="V94" s="243">
        <f t="shared" si="37"/>
        <v>0</v>
      </c>
      <c r="W94" s="93"/>
      <c r="X94" s="294"/>
      <c r="Y94" s="360"/>
      <c r="Z94" s="361"/>
      <c r="AA94" s="360"/>
      <c r="AB94" s="360"/>
      <c r="AC94" s="361"/>
      <c r="AD94" s="360"/>
      <c r="AE94" s="360"/>
      <c r="AF94" s="361"/>
      <c r="AG94" s="360"/>
      <c r="AH94" s="360"/>
      <c r="AI94" s="361"/>
    </row>
    <row r="95" spans="1:35" ht="24" hidden="1" customHeight="1" x14ac:dyDescent="0.3">
      <c r="A95" s="201"/>
      <c r="B95" s="129" t="s">
        <v>121</v>
      </c>
      <c r="C95" s="202">
        <f t="shared" ca="1" si="69"/>
        <v>205500</v>
      </c>
      <c r="D95" s="203">
        <f t="shared" ca="1" si="70"/>
        <v>205500</v>
      </c>
      <c r="E95" s="93">
        <f ca="1">IFERROR(__xludf.DUMMYFUNCTION("IMPORTRANGE(""https://docs.google.com/spreadsheets/d/1-uDff_7J0KD5mKrp0Vvzr7lt3OU09vwQwhkpOPPYv2Y/edit?usp=sharing"",""งบพรบ!DZ95"")"),205500)</f>
        <v>205500</v>
      </c>
      <c r="F95" s="93">
        <f ca="1">IFERROR(__xludf.DUMMYFUNCTION("IMPORTRANGE(""https://docs.google.com/spreadsheets/d/1-uDff_7J0KD5mKrp0Vvzr7lt3OU09vwQwhkpOPPYv2Y/edit?usp=sharing"",""งบพรบ!EA95"")"),0)</f>
        <v>0</v>
      </c>
      <c r="G95" s="93">
        <f ca="1">IFERROR(__xludf.DUMMYFUNCTION("IMPORTRANGE(""https://docs.google.com/spreadsheets/d/1-uDff_7J0KD5mKrp0Vvzr7lt3OU09vwQwhkpOPPYv2Y/edit?usp=sharing"",""งบพรบ!EB95"")"),0)</f>
        <v>0</v>
      </c>
      <c r="H95" s="93">
        <f ca="1">IFERROR(__xludf.DUMMYFUNCTION("IMPORTRANGE(""https://docs.google.com/spreadsheets/d/1-uDff_7J0KD5mKrp0Vvzr7lt3OU09vwQwhkpOPPYv2Y/edit?usp=sharing"",""งบพรบ!ED95"")"),205500)</f>
        <v>205500</v>
      </c>
      <c r="I95" s="93">
        <f ca="1">IFERROR(__xludf.DUMMYFUNCTION("IMPORTRANGE(""https://docs.google.com/spreadsheets/d/1-uDff_7J0KD5mKrp0Vvzr7lt3OU09vwQwhkpOPPYv2Y/edit?usp=sharing"",""งบพรบ!EE95"")"),0)</f>
        <v>0</v>
      </c>
      <c r="J95" s="93">
        <f t="shared" ca="1" si="71"/>
        <v>0</v>
      </c>
      <c r="K95" s="94">
        <f t="shared" ca="1" si="72"/>
        <v>0</v>
      </c>
      <c r="L95" s="93">
        <f ca="1">IFERROR(__xludf.DUMMYFUNCTION("IMPORTRANGE(""https://docs.google.com/spreadsheets/d/1-uDff_7J0KD5mKrp0Vvzr7lt3OU09vwQwhkpOPPYv2Y/edit?usp=sharing"",""งบพรบ!EF95"")"),0)</f>
        <v>0</v>
      </c>
      <c r="M95" s="95">
        <f t="shared" ca="1" si="73"/>
        <v>0</v>
      </c>
      <c r="N95" s="95">
        <f t="shared" ca="1" si="74"/>
        <v>0</v>
      </c>
      <c r="O95" s="96">
        <f ca="1">IFERROR(__xludf.DUMMYFUNCTION("IMPORTRANGE(""https://docs.google.com/spreadsheets/d/1-uDff_7J0KD5mKrp0Vvzr7lt3OU09vwQwhkpOPPYv2Y/edit?usp=sharing"",""งบพรบ!EG95"")"),0)</f>
        <v>0</v>
      </c>
      <c r="P95" s="96">
        <f t="shared" ca="1" si="75"/>
        <v>0</v>
      </c>
      <c r="Q95" s="95">
        <f t="shared" ca="1" si="76"/>
        <v>0</v>
      </c>
      <c r="R95" s="241">
        <v>0</v>
      </c>
      <c r="S95" s="242">
        <v>0</v>
      </c>
      <c r="T95" s="242">
        <v>0</v>
      </c>
      <c r="U95" s="243">
        <f t="shared" si="36"/>
        <v>0</v>
      </c>
      <c r="V95" s="243">
        <f t="shared" si="37"/>
        <v>0</v>
      </c>
      <c r="W95" s="93"/>
      <c r="X95" s="294"/>
      <c r="Y95" s="360"/>
      <c r="Z95" s="361"/>
      <c r="AA95" s="360"/>
      <c r="AB95" s="360"/>
      <c r="AC95" s="361"/>
      <c r="AD95" s="360"/>
      <c r="AE95" s="360"/>
      <c r="AF95" s="361"/>
      <c r="AG95" s="360"/>
      <c r="AH95" s="360"/>
      <c r="AI95" s="361"/>
    </row>
    <row r="96" spans="1:35" ht="24" hidden="1" customHeight="1" x14ac:dyDescent="0.3">
      <c r="A96" s="201"/>
      <c r="B96" s="129" t="s">
        <v>122</v>
      </c>
      <c r="C96" s="202">
        <f t="shared" ca="1" si="69"/>
        <v>0</v>
      </c>
      <c r="D96" s="203">
        <f t="shared" ca="1" si="70"/>
        <v>0</v>
      </c>
      <c r="E96" s="93">
        <f ca="1">IFERROR(__xludf.DUMMYFUNCTION("IMPORTRANGE(""https://docs.google.com/spreadsheets/d/1-uDff_7J0KD5mKrp0Vvzr7lt3OU09vwQwhkpOPPYv2Y/edit?usp=sharing"",""งบพรบ!DZ96"")"),0)</f>
        <v>0</v>
      </c>
      <c r="F96" s="93">
        <f ca="1">IFERROR(__xludf.DUMMYFUNCTION("IMPORTRANGE(""https://docs.google.com/spreadsheets/d/1-uDff_7J0KD5mKrp0Vvzr7lt3OU09vwQwhkpOPPYv2Y/edit?usp=sharing"",""งบพรบ!EA96"")"),0)</f>
        <v>0</v>
      </c>
      <c r="G96" s="93">
        <f ca="1">IFERROR(__xludf.DUMMYFUNCTION("IMPORTRANGE(""https://docs.google.com/spreadsheets/d/1-uDff_7J0KD5mKrp0Vvzr7lt3OU09vwQwhkpOPPYv2Y/edit?usp=sharing"",""งบพรบ!EB96"")"),0)</f>
        <v>0</v>
      </c>
      <c r="H96" s="93">
        <f ca="1">IFERROR(__xludf.DUMMYFUNCTION("IMPORTRANGE(""https://docs.google.com/spreadsheets/d/1-uDff_7J0KD5mKrp0Vvzr7lt3OU09vwQwhkpOPPYv2Y/edit?usp=sharing"",""งบพรบ!ED96"")"),0)</f>
        <v>0</v>
      </c>
      <c r="I96" s="93">
        <f ca="1">IFERROR(__xludf.DUMMYFUNCTION("IMPORTRANGE(""https://docs.google.com/spreadsheets/d/1-uDff_7J0KD5mKrp0Vvzr7lt3OU09vwQwhkpOPPYv2Y/edit?usp=sharing"",""งบพรบ!EE96"")"),0)</f>
        <v>0</v>
      </c>
      <c r="J96" s="93">
        <f t="shared" ca="1" si="71"/>
        <v>0</v>
      </c>
      <c r="K96" s="94">
        <f t="shared" ca="1" si="72"/>
        <v>0</v>
      </c>
      <c r="L96" s="93">
        <f ca="1">IFERROR(__xludf.DUMMYFUNCTION("IMPORTRANGE(""https://docs.google.com/spreadsheets/d/1-uDff_7J0KD5mKrp0Vvzr7lt3OU09vwQwhkpOPPYv2Y/edit?usp=sharing"",""งบพรบ!EF96"")"),0)</f>
        <v>0</v>
      </c>
      <c r="M96" s="95">
        <f t="shared" ca="1" si="73"/>
        <v>0</v>
      </c>
      <c r="N96" s="95">
        <f t="shared" ca="1" si="74"/>
        <v>0</v>
      </c>
      <c r="O96" s="96">
        <f ca="1">IFERROR(__xludf.DUMMYFUNCTION("IMPORTRANGE(""https://docs.google.com/spreadsheets/d/1-uDff_7J0KD5mKrp0Vvzr7lt3OU09vwQwhkpOPPYv2Y/edit?usp=sharing"",""งบพรบ!EG96"")"),0)</f>
        <v>0</v>
      </c>
      <c r="P96" s="96">
        <f t="shared" ca="1" si="75"/>
        <v>0</v>
      </c>
      <c r="Q96" s="95">
        <f t="shared" ca="1" si="76"/>
        <v>0</v>
      </c>
      <c r="R96" s="241">
        <v>0</v>
      </c>
      <c r="S96" s="242">
        <v>0</v>
      </c>
      <c r="T96" s="242">
        <v>0</v>
      </c>
      <c r="U96" s="243">
        <f t="shared" si="36"/>
        <v>0</v>
      </c>
      <c r="V96" s="243">
        <f t="shared" si="37"/>
        <v>0</v>
      </c>
      <c r="W96" s="93"/>
      <c r="X96" s="294"/>
      <c r="Y96" s="360"/>
      <c r="Z96" s="361"/>
      <c r="AA96" s="360"/>
      <c r="AB96" s="360"/>
      <c r="AC96" s="361"/>
      <c r="AD96" s="360"/>
      <c r="AE96" s="360"/>
      <c r="AF96" s="361"/>
      <c r="AG96" s="360"/>
      <c r="AH96" s="360"/>
      <c r="AI96" s="361"/>
    </row>
    <row r="97" spans="1:35" ht="24" hidden="1" customHeight="1" x14ac:dyDescent="0.3">
      <c r="A97" s="201"/>
      <c r="B97" s="129" t="s">
        <v>123</v>
      </c>
      <c r="C97" s="202">
        <f t="shared" ca="1" si="69"/>
        <v>0</v>
      </c>
      <c r="D97" s="203">
        <f t="shared" ca="1" si="70"/>
        <v>0</v>
      </c>
      <c r="E97" s="93">
        <f ca="1">IFERROR(__xludf.DUMMYFUNCTION("IMPORTRANGE(""https://docs.google.com/spreadsheets/d/1-uDff_7J0KD5mKrp0Vvzr7lt3OU09vwQwhkpOPPYv2Y/edit?usp=sharing"",""งบพรบ!DZ97"")"),0)</f>
        <v>0</v>
      </c>
      <c r="F97" s="93">
        <f ca="1">IFERROR(__xludf.DUMMYFUNCTION("IMPORTRANGE(""https://docs.google.com/spreadsheets/d/1-uDff_7J0KD5mKrp0Vvzr7lt3OU09vwQwhkpOPPYv2Y/edit?usp=sharing"",""งบพรบ!EA97"")"),0)</f>
        <v>0</v>
      </c>
      <c r="G97" s="93">
        <f ca="1">IFERROR(__xludf.DUMMYFUNCTION("IMPORTRANGE(""https://docs.google.com/spreadsheets/d/1-uDff_7J0KD5mKrp0Vvzr7lt3OU09vwQwhkpOPPYv2Y/edit?usp=sharing"",""งบพรบ!EB97"")"),0)</f>
        <v>0</v>
      </c>
      <c r="H97" s="93">
        <f ca="1">IFERROR(__xludf.DUMMYFUNCTION("IMPORTRANGE(""https://docs.google.com/spreadsheets/d/1-uDff_7J0KD5mKrp0Vvzr7lt3OU09vwQwhkpOPPYv2Y/edit?usp=sharing"",""งบพรบ!ED97"")"),0)</f>
        <v>0</v>
      </c>
      <c r="I97" s="93">
        <f ca="1">IFERROR(__xludf.DUMMYFUNCTION("IMPORTRANGE(""https://docs.google.com/spreadsheets/d/1-uDff_7J0KD5mKrp0Vvzr7lt3OU09vwQwhkpOPPYv2Y/edit?usp=sharing"",""งบพรบ!EE97"")"),0)</f>
        <v>0</v>
      </c>
      <c r="J97" s="93">
        <f t="shared" ca="1" si="71"/>
        <v>0</v>
      </c>
      <c r="K97" s="94">
        <f t="shared" ca="1" si="72"/>
        <v>0</v>
      </c>
      <c r="L97" s="93">
        <f ca="1">IFERROR(__xludf.DUMMYFUNCTION("IMPORTRANGE(""https://docs.google.com/spreadsheets/d/1-uDff_7J0KD5mKrp0Vvzr7lt3OU09vwQwhkpOPPYv2Y/edit?usp=sharing"",""งบพรบ!EF97"")"),0)</f>
        <v>0</v>
      </c>
      <c r="M97" s="95">
        <f t="shared" ca="1" si="73"/>
        <v>0</v>
      </c>
      <c r="N97" s="95">
        <f t="shared" ca="1" si="74"/>
        <v>0</v>
      </c>
      <c r="O97" s="96">
        <f ca="1">IFERROR(__xludf.DUMMYFUNCTION("IMPORTRANGE(""https://docs.google.com/spreadsheets/d/1-uDff_7J0KD5mKrp0Vvzr7lt3OU09vwQwhkpOPPYv2Y/edit?usp=sharing"",""งบพรบ!EG97"")"),0)</f>
        <v>0</v>
      </c>
      <c r="P97" s="96">
        <f t="shared" ca="1" si="75"/>
        <v>0</v>
      </c>
      <c r="Q97" s="95">
        <f t="shared" ca="1" si="76"/>
        <v>0</v>
      </c>
      <c r="R97" s="241">
        <v>0</v>
      </c>
      <c r="S97" s="242">
        <v>0</v>
      </c>
      <c r="T97" s="242">
        <v>0</v>
      </c>
      <c r="U97" s="243">
        <f t="shared" si="36"/>
        <v>0</v>
      </c>
      <c r="V97" s="243">
        <f t="shared" si="37"/>
        <v>0</v>
      </c>
      <c r="W97" s="93"/>
      <c r="X97" s="294"/>
      <c r="Y97" s="360"/>
      <c r="Z97" s="361"/>
      <c r="AA97" s="360"/>
      <c r="AB97" s="360"/>
      <c r="AC97" s="361"/>
      <c r="AD97" s="360"/>
      <c r="AE97" s="360"/>
      <c r="AF97" s="361"/>
      <c r="AG97" s="360"/>
      <c r="AH97" s="360"/>
      <c r="AI97" s="361"/>
    </row>
    <row r="98" spans="1:35" ht="24" hidden="1" customHeight="1" x14ac:dyDescent="0.3">
      <c r="A98" s="201"/>
      <c r="B98" s="129" t="s">
        <v>124</v>
      </c>
      <c r="C98" s="202">
        <f t="shared" ca="1" si="69"/>
        <v>0</v>
      </c>
      <c r="D98" s="203">
        <f t="shared" ca="1" si="70"/>
        <v>0</v>
      </c>
      <c r="E98" s="93">
        <f ca="1">IFERROR(__xludf.DUMMYFUNCTION("IMPORTRANGE(""https://docs.google.com/spreadsheets/d/1-uDff_7J0KD5mKrp0Vvzr7lt3OU09vwQwhkpOPPYv2Y/edit?usp=sharing"",""งบพรบ!DZ98"")"),0)</f>
        <v>0</v>
      </c>
      <c r="F98" s="93">
        <f ca="1">IFERROR(__xludf.DUMMYFUNCTION("IMPORTRANGE(""https://docs.google.com/spreadsheets/d/1-uDff_7J0KD5mKrp0Vvzr7lt3OU09vwQwhkpOPPYv2Y/edit?usp=sharing"",""งบพรบ!EA98"")"),0)</f>
        <v>0</v>
      </c>
      <c r="G98" s="93">
        <f ca="1">IFERROR(__xludf.DUMMYFUNCTION("IMPORTRANGE(""https://docs.google.com/spreadsheets/d/1-uDff_7J0KD5mKrp0Vvzr7lt3OU09vwQwhkpOPPYv2Y/edit?usp=sharing"",""งบพรบ!EB98"")"),0)</f>
        <v>0</v>
      </c>
      <c r="H98" s="93">
        <f ca="1">IFERROR(__xludf.DUMMYFUNCTION("IMPORTRANGE(""https://docs.google.com/spreadsheets/d/1-uDff_7J0KD5mKrp0Vvzr7lt3OU09vwQwhkpOPPYv2Y/edit?usp=sharing"",""งบพรบ!ED98"")"),0)</f>
        <v>0</v>
      </c>
      <c r="I98" s="93">
        <f ca="1">IFERROR(__xludf.DUMMYFUNCTION("IMPORTRANGE(""https://docs.google.com/spreadsheets/d/1-uDff_7J0KD5mKrp0Vvzr7lt3OU09vwQwhkpOPPYv2Y/edit?usp=sharing"",""งบพรบ!EE98"")"),0)</f>
        <v>0</v>
      </c>
      <c r="J98" s="93">
        <f t="shared" ca="1" si="71"/>
        <v>0</v>
      </c>
      <c r="K98" s="94">
        <f t="shared" ca="1" si="72"/>
        <v>0</v>
      </c>
      <c r="L98" s="93">
        <f ca="1">IFERROR(__xludf.DUMMYFUNCTION("IMPORTRANGE(""https://docs.google.com/spreadsheets/d/1-uDff_7J0KD5mKrp0Vvzr7lt3OU09vwQwhkpOPPYv2Y/edit?usp=sharing"",""งบพรบ!EF98"")"),0)</f>
        <v>0</v>
      </c>
      <c r="M98" s="95">
        <f t="shared" ca="1" si="73"/>
        <v>0</v>
      </c>
      <c r="N98" s="95">
        <f t="shared" ca="1" si="74"/>
        <v>0</v>
      </c>
      <c r="O98" s="96">
        <f ca="1">IFERROR(__xludf.DUMMYFUNCTION("IMPORTRANGE(""https://docs.google.com/spreadsheets/d/1-uDff_7J0KD5mKrp0Vvzr7lt3OU09vwQwhkpOPPYv2Y/edit?usp=sharing"",""งบพรบ!EG98"")"),0)</f>
        <v>0</v>
      </c>
      <c r="P98" s="96">
        <f t="shared" ca="1" si="75"/>
        <v>0</v>
      </c>
      <c r="Q98" s="95">
        <f t="shared" ca="1" si="76"/>
        <v>0</v>
      </c>
      <c r="R98" s="241">
        <v>0</v>
      </c>
      <c r="S98" s="242">
        <v>0</v>
      </c>
      <c r="T98" s="242">
        <v>0</v>
      </c>
      <c r="U98" s="243">
        <f t="shared" si="36"/>
        <v>0</v>
      </c>
      <c r="V98" s="243">
        <f t="shared" si="37"/>
        <v>0</v>
      </c>
      <c r="W98" s="93"/>
      <c r="X98" s="294"/>
      <c r="Y98" s="360"/>
      <c r="Z98" s="361"/>
      <c r="AA98" s="360"/>
      <c r="AB98" s="360"/>
      <c r="AC98" s="361"/>
      <c r="AD98" s="360"/>
      <c r="AE98" s="360"/>
      <c r="AF98" s="361"/>
      <c r="AG98" s="360"/>
      <c r="AH98" s="360"/>
      <c r="AI98" s="361"/>
    </row>
    <row r="99" spans="1:35" ht="24" hidden="1" customHeight="1" x14ac:dyDescent="0.3">
      <c r="A99" s="201"/>
      <c r="B99" s="129" t="s">
        <v>125</v>
      </c>
      <c r="C99" s="202">
        <f t="shared" ca="1" si="69"/>
        <v>0</v>
      </c>
      <c r="D99" s="203">
        <f t="shared" ca="1" si="70"/>
        <v>0</v>
      </c>
      <c r="E99" s="93">
        <f ca="1">IFERROR(__xludf.DUMMYFUNCTION("IMPORTRANGE(""https://docs.google.com/spreadsheets/d/1-uDff_7J0KD5mKrp0Vvzr7lt3OU09vwQwhkpOPPYv2Y/edit?usp=sharing"",""งบพรบ!DZ99"")"),0)</f>
        <v>0</v>
      </c>
      <c r="F99" s="93">
        <f ca="1">IFERROR(__xludf.DUMMYFUNCTION("IMPORTRANGE(""https://docs.google.com/spreadsheets/d/1-uDff_7J0KD5mKrp0Vvzr7lt3OU09vwQwhkpOPPYv2Y/edit?usp=sharing"",""งบพรบ!EA99"")"),0)</f>
        <v>0</v>
      </c>
      <c r="G99" s="93">
        <f ca="1">IFERROR(__xludf.DUMMYFUNCTION("IMPORTRANGE(""https://docs.google.com/spreadsheets/d/1-uDff_7J0KD5mKrp0Vvzr7lt3OU09vwQwhkpOPPYv2Y/edit?usp=sharing"",""งบพรบ!EB99"")"),0)</f>
        <v>0</v>
      </c>
      <c r="H99" s="93">
        <f ca="1">IFERROR(__xludf.DUMMYFUNCTION("IMPORTRANGE(""https://docs.google.com/spreadsheets/d/1-uDff_7J0KD5mKrp0Vvzr7lt3OU09vwQwhkpOPPYv2Y/edit?usp=sharing"",""งบพรบ!ED99"")"),0)</f>
        <v>0</v>
      </c>
      <c r="I99" s="93">
        <f ca="1">IFERROR(__xludf.DUMMYFUNCTION("IMPORTRANGE(""https://docs.google.com/spreadsheets/d/1-uDff_7J0KD5mKrp0Vvzr7lt3OU09vwQwhkpOPPYv2Y/edit?usp=sharing"",""งบพรบ!EE99"")"),0)</f>
        <v>0</v>
      </c>
      <c r="J99" s="93">
        <f t="shared" ca="1" si="71"/>
        <v>0</v>
      </c>
      <c r="K99" s="94">
        <f t="shared" ca="1" si="72"/>
        <v>0</v>
      </c>
      <c r="L99" s="93">
        <f ca="1">IFERROR(__xludf.DUMMYFUNCTION("IMPORTRANGE(""https://docs.google.com/spreadsheets/d/1-uDff_7J0KD5mKrp0Vvzr7lt3OU09vwQwhkpOPPYv2Y/edit?usp=sharing"",""งบพรบ!EF99"")"),0)</f>
        <v>0</v>
      </c>
      <c r="M99" s="95">
        <f t="shared" ca="1" si="73"/>
        <v>0</v>
      </c>
      <c r="N99" s="95">
        <f t="shared" ca="1" si="74"/>
        <v>0</v>
      </c>
      <c r="O99" s="96">
        <f ca="1">IFERROR(__xludf.DUMMYFUNCTION("IMPORTRANGE(""https://docs.google.com/spreadsheets/d/1-uDff_7J0KD5mKrp0Vvzr7lt3OU09vwQwhkpOPPYv2Y/edit?usp=sharing"",""งบพรบ!EG99"")"),0)</f>
        <v>0</v>
      </c>
      <c r="P99" s="96">
        <f t="shared" ca="1" si="75"/>
        <v>0</v>
      </c>
      <c r="Q99" s="95">
        <f t="shared" ca="1" si="76"/>
        <v>0</v>
      </c>
      <c r="R99" s="241">
        <v>0</v>
      </c>
      <c r="S99" s="242">
        <v>0</v>
      </c>
      <c r="T99" s="242">
        <v>0</v>
      </c>
      <c r="U99" s="243">
        <f t="shared" si="36"/>
        <v>0</v>
      </c>
      <c r="V99" s="243">
        <f t="shared" si="37"/>
        <v>0</v>
      </c>
      <c r="W99" s="93"/>
      <c r="X99" s="294"/>
      <c r="Y99" s="360"/>
      <c r="Z99" s="361"/>
      <c r="AA99" s="360"/>
      <c r="AB99" s="360"/>
      <c r="AC99" s="361"/>
      <c r="AD99" s="360"/>
      <c r="AE99" s="360"/>
      <c r="AF99" s="361"/>
      <c r="AG99" s="360"/>
      <c r="AH99" s="360"/>
      <c r="AI99" s="361"/>
    </row>
    <row r="100" spans="1:35" ht="24" hidden="1" customHeight="1" x14ac:dyDescent="0.3">
      <c r="A100" s="201"/>
      <c r="B100" s="129" t="s">
        <v>126</v>
      </c>
      <c r="C100" s="202">
        <f t="shared" ca="1" si="69"/>
        <v>0</v>
      </c>
      <c r="D100" s="203">
        <f t="shared" ca="1" si="70"/>
        <v>0</v>
      </c>
      <c r="E100" s="93">
        <f ca="1">IFERROR(__xludf.DUMMYFUNCTION("IMPORTRANGE(""https://docs.google.com/spreadsheets/d/1-uDff_7J0KD5mKrp0Vvzr7lt3OU09vwQwhkpOPPYv2Y/edit?usp=sharing"",""งบพรบ!DZ100"")"),0)</f>
        <v>0</v>
      </c>
      <c r="F100" s="93">
        <f ca="1">IFERROR(__xludf.DUMMYFUNCTION("IMPORTRANGE(""https://docs.google.com/spreadsheets/d/1-uDff_7J0KD5mKrp0Vvzr7lt3OU09vwQwhkpOPPYv2Y/edit?usp=sharing"",""งบพรบ!EA100"")"),0)</f>
        <v>0</v>
      </c>
      <c r="G100" s="93">
        <f ca="1">IFERROR(__xludf.DUMMYFUNCTION("IMPORTRANGE(""https://docs.google.com/spreadsheets/d/1-uDff_7J0KD5mKrp0Vvzr7lt3OU09vwQwhkpOPPYv2Y/edit?usp=sharing"",""งบพรบ!EB100"")"),0)</f>
        <v>0</v>
      </c>
      <c r="H100" s="93">
        <f ca="1">IFERROR(__xludf.DUMMYFUNCTION("IMPORTRANGE(""https://docs.google.com/spreadsheets/d/1-uDff_7J0KD5mKrp0Vvzr7lt3OU09vwQwhkpOPPYv2Y/edit?usp=sharing"",""งบพรบ!ED100"")"),0)</f>
        <v>0</v>
      </c>
      <c r="I100" s="93">
        <f ca="1">IFERROR(__xludf.DUMMYFUNCTION("IMPORTRANGE(""https://docs.google.com/spreadsheets/d/1-uDff_7J0KD5mKrp0Vvzr7lt3OU09vwQwhkpOPPYv2Y/edit?usp=sharing"",""งบพรบ!EE100"")"),0)</f>
        <v>0</v>
      </c>
      <c r="J100" s="93">
        <f t="shared" ca="1" si="71"/>
        <v>0</v>
      </c>
      <c r="K100" s="94">
        <f t="shared" ca="1" si="72"/>
        <v>0</v>
      </c>
      <c r="L100" s="93">
        <f ca="1">IFERROR(__xludf.DUMMYFUNCTION("IMPORTRANGE(""https://docs.google.com/spreadsheets/d/1-uDff_7J0KD5mKrp0Vvzr7lt3OU09vwQwhkpOPPYv2Y/edit?usp=sharing"",""งบพรบ!EF100"")"),0)</f>
        <v>0</v>
      </c>
      <c r="M100" s="95">
        <f t="shared" ca="1" si="73"/>
        <v>0</v>
      </c>
      <c r="N100" s="95">
        <f t="shared" ca="1" si="74"/>
        <v>0</v>
      </c>
      <c r="O100" s="96">
        <f ca="1">IFERROR(__xludf.DUMMYFUNCTION("IMPORTRANGE(""https://docs.google.com/spreadsheets/d/1-uDff_7J0KD5mKrp0Vvzr7lt3OU09vwQwhkpOPPYv2Y/edit?usp=sharing"",""งบพรบ!EG100"")"),0)</f>
        <v>0</v>
      </c>
      <c r="P100" s="96">
        <f t="shared" ca="1" si="75"/>
        <v>0</v>
      </c>
      <c r="Q100" s="95">
        <f t="shared" ca="1" si="76"/>
        <v>0</v>
      </c>
      <c r="R100" s="241">
        <v>0</v>
      </c>
      <c r="S100" s="242">
        <v>0</v>
      </c>
      <c r="T100" s="242">
        <v>0</v>
      </c>
      <c r="U100" s="243">
        <f t="shared" si="36"/>
        <v>0</v>
      </c>
      <c r="V100" s="243">
        <f t="shared" si="37"/>
        <v>0</v>
      </c>
      <c r="W100" s="93"/>
      <c r="X100" s="294"/>
      <c r="Y100" s="360"/>
      <c r="Z100" s="361"/>
      <c r="AA100" s="360"/>
      <c r="AB100" s="360"/>
      <c r="AC100" s="361"/>
      <c r="AD100" s="360"/>
      <c r="AE100" s="360"/>
      <c r="AF100" s="361"/>
      <c r="AG100" s="360"/>
      <c r="AH100" s="360"/>
      <c r="AI100" s="361"/>
    </row>
    <row r="101" spans="1:35" ht="24" hidden="1" customHeight="1" x14ac:dyDescent="0.3">
      <c r="A101" s="201"/>
      <c r="B101" s="129" t="s">
        <v>127</v>
      </c>
      <c r="C101" s="202">
        <f t="shared" ca="1" si="69"/>
        <v>876900</v>
      </c>
      <c r="D101" s="203">
        <f t="shared" ca="1" si="70"/>
        <v>876900</v>
      </c>
      <c r="E101" s="93">
        <f ca="1">IFERROR(__xludf.DUMMYFUNCTION("IMPORTRANGE(""https://docs.google.com/spreadsheets/d/1-uDff_7J0KD5mKrp0Vvzr7lt3OU09vwQwhkpOPPYv2Y/edit?usp=sharing"",""งบพรบ!DZ101"")"),0)</f>
        <v>0</v>
      </c>
      <c r="F101" s="93">
        <f ca="1">IFERROR(__xludf.DUMMYFUNCTION("IMPORTRANGE(""https://docs.google.com/spreadsheets/d/1-uDff_7J0KD5mKrp0Vvzr7lt3OU09vwQwhkpOPPYv2Y/edit?usp=sharing"",""งบพรบ!EA101"")"),876900)</f>
        <v>876900</v>
      </c>
      <c r="G101" s="93">
        <f ca="1">IFERROR(__xludf.DUMMYFUNCTION("IMPORTRANGE(""https://docs.google.com/spreadsheets/d/1-uDff_7J0KD5mKrp0Vvzr7lt3OU09vwQwhkpOPPYv2Y/edit?usp=sharing"",""งบพรบ!EB101"")"),0)</f>
        <v>0</v>
      </c>
      <c r="H101" s="93">
        <f ca="1">IFERROR(__xludf.DUMMYFUNCTION("IMPORTRANGE(""https://docs.google.com/spreadsheets/d/1-uDff_7J0KD5mKrp0Vvzr7lt3OU09vwQwhkpOPPYv2Y/edit?usp=sharing"",""งบพรบ!ED101"")"),876900)</f>
        <v>876900</v>
      </c>
      <c r="I101" s="93">
        <f ca="1">IFERROR(__xludf.DUMMYFUNCTION("IMPORTRANGE(""https://docs.google.com/spreadsheets/d/1-uDff_7J0KD5mKrp0Vvzr7lt3OU09vwQwhkpOPPYv2Y/edit?usp=sharing"",""งบพรบ!EE101"")"),0)</f>
        <v>0</v>
      </c>
      <c r="J101" s="93">
        <f t="shared" ca="1" si="71"/>
        <v>168244.67</v>
      </c>
      <c r="K101" s="94">
        <f t="shared" ca="1" si="72"/>
        <v>19.186300604401872</v>
      </c>
      <c r="L101" s="93">
        <f ca="1">IFERROR(__xludf.DUMMYFUNCTION("IMPORTRANGE(""https://docs.google.com/spreadsheets/d/1-uDff_7J0KD5mKrp0Vvzr7lt3OU09vwQwhkpOPPYv2Y/edit?usp=sharing"",""งบพรบ!EF101"")"),168244.67)</f>
        <v>168244.67</v>
      </c>
      <c r="M101" s="95">
        <f t="shared" ca="1" si="73"/>
        <v>19.186300604401872</v>
      </c>
      <c r="N101" s="95">
        <f t="shared" ca="1" si="74"/>
        <v>19.186300604401872</v>
      </c>
      <c r="O101" s="96">
        <f ca="1">IFERROR(__xludf.DUMMYFUNCTION("IMPORTRANGE(""https://docs.google.com/spreadsheets/d/1-uDff_7J0KD5mKrp0Vvzr7lt3OU09vwQwhkpOPPYv2Y/edit?usp=sharing"",""งบพรบ!EG101"")"),0)</f>
        <v>0</v>
      </c>
      <c r="P101" s="96">
        <f t="shared" ca="1" si="75"/>
        <v>0</v>
      </c>
      <c r="Q101" s="95">
        <f t="shared" ca="1" si="76"/>
        <v>0</v>
      </c>
      <c r="R101" s="241">
        <v>0</v>
      </c>
      <c r="S101" s="242">
        <v>0</v>
      </c>
      <c r="T101" s="242">
        <v>0</v>
      </c>
      <c r="U101" s="243">
        <f t="shared" si="36"/>
        <v>0</v>
      </c>
      <c r="V101" s="243">
        <f t="shared" si="37"/>
        <v>0</v>
      </c>
      <c r="W101" s="93"/>
      <c r="X101" s="294"/>
      <c r="Y101" s="360"/>
      <c r="Z101" s="361"/>
      <c r="AA101" s="360"/>
      <c r="AB101" s="360"/>
      <c r="AC101" s="361"/>
      <c r="AD101" s="360"/>
      <c r="AE101" s="360"/>
      <c r="AF101" s="361"/>
      <c r="AG101" s="360"/>
      <c r="AH101" s="360"/>
      <c r="AI101" s="361"/>
    </row>
    <row r="102" spans="1:35" ht="24" hidden="1" customHeight="1" x14ac:dyDescent="0.3">
      <c r="A102" s="201"/>
      <c r="B102" s="129" t="s">
        <v>128</v>
      </c>
      <c r="C102" s="202">
        <f t="shared" ca="1" si="69"/>
        <v>0</v>
      </c>
      <c r="D102" s="203">
        <f t="shared" ca="1" si="70"/>
        <v>0</v>
      </c>
      <c r="E102" s="93">
        <f ca="1">IFERROR(__xludf.DUMMYFUNCTION("IMPORTRANGE(""https://docs.google.com/spreadsheets/d/1-uDff_7J0KD5mKrp0Vvzr7lt3OU09vwQwhkpOPPYv2Y/edit?usp=sharing"",""งบพรบ!DZ102"")"),0)</f>
        <v>0</v>
      </c>
      <c r="F102" s="93">
        <f ca="1">IFERROR(__xludf.DUMMYFUNCTION("IMPORTRANGE(""https://docs.google.com/spreadsheets/d/1-uDff_7J0KD5mKrp0Vvzr7lt3OU09vwQwhkpOPPYv2Y/edit?usp=sharing"",""งบพรบ!EA102"")"),0)</f>
        <v>0</v>
      </c>
      <c r="G102" s="93">
        <f ca="1">IFERROR(__xludf.DUMMYFUNCTION("IMPORTRANGE(""https://docs.google.com/spreadsheets/d/1-uDff_7J0KD5mKrp0Vvzr7lt3OU09vwQwhkpOPPYv2Y/edit?usp=sharing"",""งบพรบ!EB102"")"),0)</f>
        <v>0</v>
      </c>
      <c r="H102" s="93">
        <f ca="1">IFERROR(__xludf.DUMMYFUNCTION("IMPORTRANGE(""https://docs.google.com/spreadsheets/d/1-uDff_7J0KD5mKrp0Vvzr7lt3OU09vwQwhkpOPPYv2Y/edit?usp=sharing"",""งบพรบ!ED102"")"),0)</f>
        <v>0</v>
      </c>
      <c r="I102" s="93">
        <f ca="1">IFERROR(__xludf.DUMMYFUNCTION("IMPORTRANGE(""https://docs.google.com/spreadsheets/d/1-uDff_7J0KD5mKrp0Vvzr7lt3OU09vwQwhkpOPPYv2Y/edit?usp=sharing"",""งบพรบ!EE102"")"),0)</f>
        <v>0</v>
      </c>
      <c r="J102" s="93">
        <f t="shared" ca="1" si="71"/>
        <v>0</v>
      </c>
      <c r="K102" s="94">
        <f t="shared" ca="1" si="72"/>
        <v>0</v>
      </c>
      <c r="L102" s="93">
        <f ca="1">IFERROR(__xludf.DUMMYFUNCTION("IMPORTRANGE(""https://docs.google.com/spreadsheets/d/1-uDff_7J0KD5mKrp0Vvzr7lt3OU09vwQwhkpOPPYv2Y/edit?usp=sharing"",""งบพรบ!EF102"")"),0)</f>
        <v>0</v>
      </c>
      <c r="M102" s="95">
        <f t="shared" ca="1" si="73"/>
        <v>0</v>
      </c>
      <c r="N102" s="95">
        <f t="shared" ca="1" si="74"/>
        <v>0</v>
      </c>
      <c r="O102" s="96">
        <f ca="1">IFERROR(__xludf.DUMMYFUNCTION("IMPORTRANGE(""https://docs.google.com/spreadsheets/d/1-uDff_7J0KD5mKrp0Vvzr7lt3OU09vwQwhkpOPPYv2Y/edit?usp=sharing"",""งบพรบ!EG102"")"),0)</f>
        <v>0</v>
      </c>
      <c r="P102" s="96">
        <f t="shared" ca="1" si="75"/>
        <v>0</v>
      </c>
      <c r="Q102" s="95">
        <f t="shared" ca="1" si="76"/>
        <v>0</v>
      </c>
      <c r="R102" s="241">
        <v>0</v>
      </c>
      <c r="S102" s="242">
        <v>0</v>
      </c>
      <c r="T102" s="242">
        <v>0</v>
      </c>
      <c r="U102" s="243">
        <f t="shared" si="36"/>
        <v>0</v>
      </c>
      <c r="V102" s="243">
        <f t="shared" si="37"/>
        <v>0</v>
      </c>
      <c r="W102" s="93"/>
      <c r="X102" s="294"/>
      <c r="Y102" s="360"/>
      <c r="Z102" s="361"/>
      <c r="AA102" s="360"/>
      <c r="AB102" s="360"/>
      <c r="AC102" s="361"/>
      <c r="AD102" s="360"/>
      <c r="AE102" s="360"/>
      <c r="AF102" s="361"/>
      <c r="AG102" s="360"/>
      <c r="AH102" s="360"/>
      <c r="AI102" s="361"/>
    </row>
    <row r="103" spans="1:35" ht="24" hidden="1" customHeight="1" x14ac:dyDescent="0.3">
      <c r="A103" s="201"/>
      <c r="B103" s="129" t="s">
        <v>129</v>
      </c>
      <c r="C103" s="202">
        <f t="shared" ca="1" si="69"/>
        <v>0</v>
      </c>
      <c r="D103" s="203">
        <f t="shared" ca="1" si="70"/>
        <v>0</v>
      </c>
      <c r="E103" s="93">
        <f ca="1">IFERROR(__xludf.DUMMYFUNCTION("IMPORTRANGE(""https://docs.google.com/spreadsheets/d/1-uDff_7J0KD5mKrp0Vvzr7lt3OU09vwQwhkpOPPYv2Y/edit?usp=sharing"",""งบพรบ!DZ103"")"),0)</f>
        <v>0</v>
      </c>
      <c r="F103" s="93">
        <f ca="1">IFERROR(__xludf.DUMMYFUNCTION("IMPORTRANGE(""https://docs.google.com/spreadsheets/d/1-uDff_7J0KD5mKrp0Vvzr7lt3OU09vwQwhkpOPPYv2Y/edit?usp=sharing"",""งบพรบ!EA103"")"),0)</f>
        <v>0</v>
      </c>
      <c r="G103" s="93">
        <f ca="1">IFERROR(__xludf.DUMMYFUNCTION("IMPORTRANGE(""https://docs.google.com/spreadsheets/d/1-uDff_7J0KD5mKrp0Vvzr7lt3OU09vwQwhkpOPPYv2Y/edit?usp=sharing"",""งบพรบ!EB103"")"),0)</f>
        <v>0</v>
      </c>
      <c r="H103" s="93">
        <f ca="1">IFERROR(__xludf.DUMMYFUNCTION("IMPORTRANGE(""https://docs.google.com/spreadsheets/d/1-uDff_7J0KD5mKrp0Vvzr7lt3OU09vwQwhkpOPPYv2Y/edit?usp=sharing"",""งบพรบ!ED103"")"),0)</f>
        <v>0</v>
      </c>
      <c r="I103" s="93">
        <f ca="1">IFERROR(__xludf.DUMMYFUNCTION("IMPORTRANGE(""https://docs.google.com/spreadsheets/d/1-uDff_7J0KD5mKrp0Vvzr7lt3OU09vwQwhkpOPPYv2Y/edit?usp=sharing"",""งบพรบ!EE103"")"),0)</f>
        <v>0</v>
      </c>
      <c r="J103" s="93">
        <f t="shared" ca="1" si="71"/>
        <v>0</v>
      </c>
      <c r="K103" s="94">
        <f t="shared" ca="1" si="72"/>
        <v>0</v>
      </c>
      <c r="L103" s="93">
        <f ca="1">IFERROR(__xludf.DUMMYFUNCTION("IMPORTRANGE(""https://docs.google.com/spreadsheets/d/1-uDff_7J0KD5mKrp0Vvzr7lt3OU09vwQwhkpOPPYv2Y/edit?usp=sharing"",""งบพรบ!EF103"")"),0)</f>
        <v>0</v>
      </c>
      <c r="M103" s="95">
        <f t="shared" ca="1" si="73"/>
        <v>0</v>
      </c>
      <c r="N103" s="95">
        <f t="shared" ca="1" si="74"/>
        <v>0</v>
      </c>
      <c r="O103" s="96">
        <f ca="1">IFERROR(__xludf.DUMMYFUNCTION("IMPORTRANGE(""https://docs.google.com/spreadsheets/d/1-uDff_7J0KD5mKrp0Vvzr7lt3OU09vwQwhkpOPPYv2Y/edit?usp=sharing"",""งบพรบ!EG103"")"),0)</f>
        <v>0</v>
      </c>
      <c r="P103" s="96">
        <f t="shared" ca="1" si="75"/>
        <v>0</v>
      </c>
      <c r="Q103" s="95">
        <f t="shared" ca="1" si="76"/>
        <v>0</v>
      </c>
      <c r="R103" s="241">
        <v>0</v>
      </c>
      <c r="S103" s="242">
        <v>0</v>
      </c>
      <c r="T103" s="242">
        <v>0</v>
      </c>
      <c r="U103" s="243">
        <f t="shared" si="36"/>
        <v>0</v>
      </c>
      <c r="V103" s="243">
        <f t="shared" si="37"/>
        <v>0</v>
      </c>
      <c r="W103" s="249"/>
      <c r="X103" s="295"/>
      <c r="Y103" s="362"/>
      <c r="Z103" s="363"/>
      <c r="AA103" s="362"/>
      <c r="AB103" s="362"/>
      <c r="AC103" s="363"/>
      <c r="AD103" s="362"/>
      <c r="AE103" s="362"/>
      <c r="AF103" s="363"/>
      <c r="AG103" s="362"/>
      <c r="AH103" s="362"/>
      <c r="AI103" s="363"/>
    </row>
    <row r="104" spans="1:35" ht="21" hidden="1" customHeight="1" x14ac:dyDescent="0.3">
      <c r="A104" s="201"/>
      <c r="B104" s="129" t="s">
        <v>130</v>
      </c>
      <c r="C104" s="202">
        <f t="shared" ca="1" si="69"/>
        <v>46900</v>
      </c>
      <c r="D104" s="203">
        <f t="shared" ca="1" si="70"/>
        <v>46900</v>
      </c>
      <c r="E104" s="93">
        <f ca="1">IFERROR(__xludf.DUMMYFUNCTION("IMPORTRANGE(""https://docs.google.com/spreadsheets/d/1-uDff_7J0KD5mKrp0Vvzr7lt3OU09vwQwhkpOPPYv2Y/edit?usp=sharing"",""งบพรบ!DZ104"")"),46900)</f>
        <v>46900</v>
      </c>
      <c r="F104" s="93">
        <f ca="1">IFERROR(__xludf.DUMMYFUNCTION("IMPORTRANGE(""https://docs.google.com/spreadsheets/d/1-uDff_7J0KD5mKrp0Vvzr7lt3OU09vwQwhkpOPPYv2Y/edit?usp=sharing"",""งบพรบ!EA104"")"),0)</f>
        <v>0</v>
      </c>
      <c r="G104" s="93">
        <f ca="1">IFERROR(__xludf.DUMMYFUNCTION("IMPORTRANGE(""https://docs.google.com/spreadsheets/d/1-uDff_7J0KD5mKrp0Vvzr7lt3OU09vwQwhkpOPPYv2Y/edit?usp=sharing"",""งบพรบ!EB104"")"),0)</f>
        <v>0</v>
      </c>
      <c r="H104" s="93">
        <f ca="1">IFERROR(__xludf.DUMMYFUNCTION("IMPORTRANGE(""https://docs.google.com/spreadsheets/d/1-uDff_7J0KD5mKrp0Vvzr7lt3OU09vwQwhkpOPPYv2Y/edit?usp=sharing"",""งบพรบ!ED104"")"),46900)</f>
        <v>46900</v>
      </c>
      <c r="I104" s="93">
        <f ca="1">IFERROR(__xludf.DUMMYFUNCTION("IMPORTRANGE(""https://docs.google.com/spreadsheets/d/1-uDff_7J0KD5mKrp0Vvzr7lt3OU09vwQwhkpOPPYv2Y/edit?usp=sharing"",""งบพรบ!EE104"")"),0)</f>
        <v>0</v>
      </c>
      <c r="J104" s="93">
        <f t="shared" ca="1" si="71"/>
        <v>0</v>
      </c>
      <c r="K104" s="94">
        <f t="shared" ca="1" si="72"/>
        <v>0</v>
      </c>
      <c r="L104" s="93">
        <f ca="1">IFERROR(__xludf.DUMMYFUNCTION("IMPORTRANGE(""https://docs.google.com/spreadsheets/d/1-uDff_7J0KD5mKrp0Vvzr7lt3OU09vwQwhkpOPPYv2Y/edit?usp=sharing"",""งบพรบ!EF104"")"),0)</f>
        <v>0</v>
      </c>
      <c r="M104" s="95">
        <f t="shared" ca="1" si="73"/>
        <v>0</v>
      </c>
      <c r="N104" s="95">
        <f t="shared" ca="1" si="74"/>
        <v>0</v>
      </c>
      <c r="O104" s="96">
        <f ca="1">IFERROR(__xludf.DUMMYFUNCTION("IMPORTRANGE(""https://docs.google.com/spreadsheets/d/1-uDff_7J0KD5mKrp0Vvzr7lt3OU09vwQwhkpOPPYv2Y/edit?usp=sharing"",""งบพรบ!EG104"")"),0)</f>
        <v>0</v>
      </c>
      <c r="P104" s="96">
        <f t="shared" ca="1" si="75"/>
        <v>0</v>
      </c>
      <c r="Q104" s="95">
        <f t="shared" ca="1" si="76"/>
        <v>0</v>
      </c>
      <c r="R104" s="241">
        <v>0</v>
      </c>
      <c r="S104" s="242">
        <v>0</v>
      </c>
      <c r="T104" s="242">
        <v>0</v>
      </c>
      <c r="U104" s="243">
        <f t="shared" si="36"/>
        <v>0</v>
      </c>
      <c r="V104" s="243">
        <f t="shared" si="37"/>
        <v>0</v>
      </c>
      <c r="W104" s="364"/>
      <c r="X104" s="365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366"/>
    </row>
    <row r="105" spans="1:35" ht="24" hidden="1" customHeight="1" x14ac:dyDescent="0.3">
      <c r="A105" s="201"/>
      <c r="B105" s="133" t="s">
        <v>131</v>
      </c>
      <c r="C105" s="202">
        <f t="shared" ca="1" si="69"/>
        <v>0</v>
      </c>
      <c r="D105" s="203">
        <f t="shared" ca="1" si="70"/>
        <v>0</v>
      </c>
      <c r="E105" s="93">
        <f ca="1">IFERROR(__xludf.DUMMYFUNCTION("IMPORTRANGE(""https://docs.google.com/spreadsheets/d/1-uDff_7J0KD5mKrp0Vvzr7lt3OU09vwQwhkpOPPYv2Y/edit?usp=sharing"",""งบพรบ!DZ105"")"),0)</f>
        <v>0</v>
      </c>
      <c r="F105" s="93">
        <f ca="1">IFERROR(__xludf.DUMMYFUNCTION("IMPORTRANGE(""https://docs.google.com/spreadsheets/d/1-uDff_7J0KD5mKrp0Vvzr7lt3OU09vwQwhkpOPPYv2Y/edit?usp=sharing"",""งบพรบ!EA105"")"),0)</f>
        <v>0</v>
      </c>
      <c r="G105" s="93">
        <f ca="1">IFERROR(__xludf.DUMMYFUNCTION("IMPORTRANGE(""https://docs.google.com/spreadsheets/d/1-uDff_7J0KD5mKrp0Vvzr7lt3OU09vwQwhkpOPPYv2Y/edit?usp=sharing"",""งบพรบ!EB105"")"),0)</f>
        <v>0</v>
      </c>
      <c r="H105" s="93">
        <f ca="1">IFERROR(__xludf.DUMMYFUNCTION("IMPORTRANGE(""https://docs.google.com/spreadsheets/d/1-uDff_7J0KD5mKrp0Vvzr7lt3OU09vwQwhkpOPPYv2Y/edit?usp=sharing"",""งบพรบ!ED105"")"),0)</f>
        <v>0</v>
      </c>
      <c r="I105" s="93">
        <f ca="1">IFERROR(__xludf.DUMMYFUNCTION("IMPORTRANGE(""https://docs.google.com/spreadsheets/d/1-uDff_7J0KD5mKrp0Vvzr7lt3OU09vwQwhkpOPPYv2Y/edit?usp=sharing"",""งบพรบ!EE105"")"),0)</f>
        <v>0</v>
      </c>
      <c r="J105" s="93">
        <f t="shared" ca="1" si="71"/>
        <v>0</v>
      </c>
      <c r="K105" s="94">
        <f t="shared" ca="1" si="72"/>
        <v>0</v>
      </c>
      <c r="L105" s="93">
        <f ca="1">IFERROR(__xludf.DUMMYFUNCTION("IMPORTRANGE(""https://docs.google.com/spreadsheets/d/1-uDff_7J0KD5mKrp0Vvzr7lt3OU09vwQwhkpOPPYv2Y/edit?usp=sharing"",""งบพรบ!EF105"")"),0)</f>
        <v>0</v>
      </c>
      <c r="M105" s="95">
        <f t="shared" ca="1" si="73"/>
        <v>0</v>
      </c>
      <c r="N105" s="95">
        <f t="shared" ca="1" si="74"/>
        <v>0</v>
      </c>
      <c r="O105" s="96">
        <f ca="1">IFERROR(__xludf.DUMMYFUNCTION("IMPORTRANGE(""https://docs.google.com/spreadsheets/d/1-uDff_7J0KD5mKrp0Vvzr7lt3OU09vwQwhkpOPPYv2Y/edit?usp=sharing"",""งบพรบ!EG105"")"),0)</f>
        <v>0</v>
      </c>
      <c r="P105" s="96">
        <f t="shared" ca="1" si="75"/>
        <v>0</v>
      </c>
      <c r="Q105" s="95">
        <f t="shared" ca="1" si="76"/>
        <v>0</v>
      </c>
      <c r="R105" s="241">
        <v>0</v>
      </c>
      <c r="S105" s="242">
        <v>0</v>
      </c>
      <c r="T105" s="242">
        <v>0</v>
      </c>
      <c r="U105" s="243">
        <f t="shared" si="36"/>
        <v>0</v>
      </c>
      <c r="V105" s="243">
        <f t="shared" si="37"/>
        <v>0</v>
      </c>
      <c r="W105" s="122"/>
      <c r="X105" s="294"/>
      <c r="Y105" s="360"/>
      <c r="Z105" s="360"/>
      <c r="AA105" s="360"/>
      <c r="AB105" s="360"/>
      <c r="AC105" s="360"/>
      <c r="AD105" s="360"/>
      <c r="AE105" s="360"/>
      <c r="AF105" s="360"/>
      <c r="AG105" s="360"/>
      <c r="AH105" s="360"/>
      <c r="AI105" s="360"/>
    </row>
    <row r="106" spans="1:35" ht="24" hidden="1" customHeight="1" x14ac:dyDescent="0.3">
      <c r="A106" s="205"/>
      <c r="B106" s="137" t="s">
        <v>132</v>
      </c>
      <c r="C106" s="206">
        <f t="shared" ca="1" si="69"/>
        <v>0</v>
      </c>
      <c r="D106" s="207">
        <f t="shared" ca="1" si="70"/>
        <v>0</v>
      </c>
      <c r="E106" s="104">
        <f ca="1">IFERROR(__xludf.DUMMYFUNCTION("IMPORTRANGE(""https://docs.google.com/spreadsheets/d/1-uDff_7J0KD5mKrp0Vvzr7lt3OU09vwQwhkpOPPYv2Y/edit?usp=sharing"",""งบพรบ!DZ106"")"),0)</f>
        <v>0</v>
      </c>
      <c r="F106" s="104">
        <f ca="1">IFERROR(__xludf.DUMMYFUNCTION("IMPORTRANGE(""https://docs.google.com/spreadsheets/d/1-uDff_7J0KD5mKrp0Vvzr7lt3OU09vwQwhkpOPPYv2Y/edit?usp=sharing"",""งบพรบ!EA106"")"),0)</f>
        <v>0</v>
      </c>
      <c r="G106" s="104">
        <f ca="1">IFERROR(__xludf.DUMMYFUNCTION("IMPORTRANGE(""https://docs.google.com/spreadsheets/d/1-uDff_7J0KD5mKrp0Vvzr7lt3OU09vwQwhkpOPPYv2Y/edit?usp=sharing"",""งบพรบ!EB106"")"),0)</f>
        <v>0</v>
      </c>
      <c r="H106" s="104">
        <f ca="1">IFERROR(__xludf.DUMMYFUNCTION("IMPORTRANGE(""https://docs.google.com/spreadsheets/d/1-uDff_7J0KD5mKrp0Vvzr7lt3OU09vwQwhkpOPPYv2Y/edit?usp=sharing"",""งบพรบ!ED106"")"),0)</f>
        <v>0</v>
      </c>
      <c r="I106" s="104">
        <f ca="1">IFERROR(__xludf.DUMMYFUNCTION("IMPORTRANGE(""https://docs.google.com/spreadsheets/d/1-uDff_7J0KD5mKrp0Vvzr7lt3OU09vwQwhkpOPPYv2Y/edit?usp=sharing"",""งบพรบ!EE106"")"),0)</f>
        <v>0</v>
      </c>
      <c r="J106" s="104">
        <f t="shared" ca="1" si="71"/>
        <v>0</v>
      </c>
      <c r="K106" s="105">
        <f t="shared" ca="1" si="72"/>
        <v>0</v>
      </c>
      <c r="L106" s="104">
        <f ca="1">IFERROR(__xludf.DUMMYFUNCTION("IMPORTRANGE(""https://docs.google.com/spreadsheets/d/1-uDff_7J0KD5mKrp0Vvzr7lt3OU09vwQwhkpOPPYv2Y/edit?usp=sharing"",""งบพรบ!EF106"")"),0)</f>
        <v>0</v>
      </c>
      <c r="M106" s="106">
        <f t="shared" ca="1" si="73"/>
        <v>0</v>
      </c>
      <c r="N106" s="106">
        <f t="shared" ca="1" si="74"/>
        <v>0</v>
      </c>
      <c r="O106" s="107">
        <f ca="1">IFERROR(__xludf.DUMMYFUNCTION("IMPORTRANGE(""https://docs.google.com/spreadsheets/d/1-uDff_7J0KD5mKrp0Vvzr7lt3OU09vwQwhkpOPPYv2Y/edit?usp=sharing"",""งบพรบ!EG106"")"),0)</f>
        <v>0</v>
      </c>
      <c r="P106" s="107">
        <f t="shared" ca="1" si="75"/>
        <v>0</v>
      </c>
      <c r="Q106" s="106">
        <f t="shared" ca="1" si="76"/>
        <v>0</v>
      </c>
      <c r="R106" s="244">
        <v>0</v>
      </c>
      <c r="S106" s="245">
        <v>0</v>
      </c>
      <c r="T106" s="245">
        <v>0</v>
      </c>
      <c r="U106" s="246">
        <f t="shared" si="36"/>
        <v>0</v>
      </c>
      <c r="V106" s="246">
        <f t="shared" si="37"/>
        <v>0</v>
      </c>
      <c r="W106" s="104"/>
      <c r="X106" s="297"/>
      <c r="Y106" s="367"/>
      <c r="Z106" s="367"/>
      <c r="AA106" s="367"/>
      <c r="AB106" s="367"/>
      <c r="AC106" s="367"/>
      <c r="AD106" s="367"/>
      <c r="AE106" s="367"/>
      <c r="AF106" s="367"/>
      <c r="AG106" s="367"/>
      <c r="AH106" s="367"/>
      <c r="AI106" s="367"/>
    </row>
  </sheetData>
  <mergeCells count="35">
    <mergeCell ref="A52:B52"/>
    <mergeCell ref="A74:B74"/>
    <mergeCell ref="A89:B89"/>
    <mergeCell ref="A2:B6"/>
    <mergeCell ref="C2:AI2"/>
    <mergeCell ref="C3:Q3"/>
    <mergeCell ref="W3:W4"/>
    <mergeCell ref="X3:Z4"/>
    <mergeCell ref="AA3:AC4"/>
    <mergeCell ref="J4:Q4"/>
    <mergeCell ref="AD3:AF4"/>
    <mergeCell ref="AG3:AI4"/>
    <mergeCell ref="C4:G4"/>
    <mergeCell ref="H4:I4"/>
    <mergeCell ref="C5:C6"/>
    <mergeCell ref="D5:D6"/>
    <mergeCell ref="AE5:AF5"/>
    <mergeCell ref="AH5:AI5"/>
    <mergeCell ref="A7:B7"/>
    <mergeCell ref="A13:B13"/>
    <mergeCell ref="A31:B31"/>
    <mergeCell ref="E5:E6"/>
    <mergeCell ref="F5:F6"/>
    <mergeCell ref="G5:G6"/>
    <mergeCell ref="J5:K5"/>
    <mergeCell ref="L5:N5"/>
    <mergeCell ref="O5:Q5"/>
    <mergeCell ref="Y5:Z5"/>
    <mergeCell ref="AB5:AC5"/>
    <mergeCell ref="R3:V3"/>
    <mergeCell ref="R4:R6"/>
    <mergeCell ref="S4:S6"/>
    <mergeCell ref="T4:T6"/>
    <mergeCell ref="U4:U6"/>
    <mergeCell ref="V4:V6"/>
  </mergeCells>
  <printOptions horizontalCentered="1"/>
  <pageMargins left="0.23622047244094491" right="0.23622047244094491" top="0.55118110236220474" bottom="0.55118110236220474" header="0" footer="0"/>
  <pageSetup paperSize="9" scale="42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00"/>
    <outlinePr summaryBelow="0" summaryRight="0"/>
    <pageSetUpPr fitToPage="1"/>
  </sheetPr>
  <dimension ref="A1:V106"/>
  <sheetViews>
    <sheetView view="pageBreakPreview" zoomScale="60" zoomScaleNormal="70" workbookViewId="0">
      <pane xSplit="2" ySplit="7" topLeftCell="C8" activePane="bottomRight" state="frozen"/>
      <selection activeCell="A13" sqref="A13:B13"/>
      <selection pane="topRight" activeCell="A13" sqref="A13:B13"/>
      <selection pane="bottomLeft" activeCell="A13" sqref="A13:B13"/>
      <selection pane="bottomRight" activeCell="A13" sqref="A13:B13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16.85546875" bestFit="1" customWidth="1"/>
    <col min="4" max="4" width="16.7109375" bestFit="1" customWidth="1"/>
    <col min="5" max="5" width="16.85546875" bestFit="1" customWidth="1"/>
    <col min="6" max="6" width="16.7109375" bestFit="1" customWidth="1"/>
    <col min="7" max="7" width="17.42578125" bestFit="1" customWidth="1"/>
    <col min="8" max="8" width="20.140625" bestFit="1" customWidth="1"/>
    <col min="9" max="9" width="13.85546875" customWidth="1"/>
    <col min="10" max="10" width="14.28515625" bestFit="1" customWidth="1"/>
    <col min="11" max="11" width="12.42578125" bestFit="1" customWidth="1"/>
    <col min="12" max="12" width="14.28515625" bestFit="1" customWidth="1"/>
    <col min="13" max="13" width="17.140625" bestFit="1" customWidth="1"/>
    <col min="14" max="14" width="18.7109375" bestFit="1" customWidth="1"/>
    <col min="15" max="15" width="8" bestFit="1" customWidth="1"/>
    <col min="16" max="16" width="17.140625" bestFit="1" customWidth="1"/>
    <col min="17" max="17" width="18.7109375" bestFit="1" customWidth="1"/>
    <col min="18" max="18" width="13.42578125" bestFit="1" customWidth="1"/>
    <col min="19" max="19" width="8.5703125" bestFit="1" customWidth="1"/>
    <col min="20" max="20" width="12.42578125" bestFit="1" customWidth="1"/>
  </cols>
  <sheetData>
    <row r="1" spans="1:22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2" ht="24" customHeight="1" x14ac:dyDescent="0.2">
      <c r="A2" s="616" t="s">
        <v>1</v>
      </c>
      <c r="B2" s="617"/>
      <c r="C2" s="600" t="s">
        <v>198</v>
      </c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2"/>
    </row>
    <row r="3" spans="1:22" ht="30" customHeight="1" x14ac:dyDescent="0.2">
      <c r="A3" s="618"/>
      <c r="B3" s="619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652" t="s">
        <v>199</v>
      </c>
      <c r="S3" s="585"/>
      <c r="T3" s="607"/>
    </row>
    <row r="4" spans="1:22" ht="30" customHeight="1" x14ac:dyDescent="0.2">
      <c r="A4" s="618"/>
      <c r="B4" s="619"/>
      <c r="C4" s="609" t="s">
        <v>7</v>
      </c>
      <c r="D4" s="598"/>
      <c r="E4" s="598"/>
      <c r="F4" s="598"/>
      <c r="G4" s="583"/>
      <c r="H4" s="612" t="s">
        <v>8</v>
      </c>
      <c r="I4" s="583"/>
      <c r="J4" s="613" t="s">
        <v>9</v>
      </c>
      <c r="K4" s="598"/>
      <c r="L4" s="598"/>
      <c r="M4" s="598"/>
      <c r="N4" s="598"/>
      <c r="O4" s="598"/>
      <c r="P4" s="598"/>
      <c r="Q4" s="583"/>
      <c r="R4" s="641"/>
      <c r="S4" s="592"/>
      <c r="T4" s="593"/>
      <c r="U4" s="757"/>
      <c r="V4" s="757"/>
    </row>
    <row r="5" spans="1:22" ht="24" customHeight="1" x14ac:dyDescent="0.3">
      <c r="A5" s="618"/>
      <c r="B5" s="619"/>
      <c r="C5" s="726" t="s">
        <v>19</v>
      </c>
      <c r="D5" s="727" t="s">
        <v>20</v>
      </c>
      <c r="E5" s="728" t="s">
        <v>21</v>
      </c>
      <c r="F5" s="729" t="s">
        <v>22</v>
      </c>
      <c r="G5" s="730" t="s">
        <v>23</v>
      </c>
      <c r="H5" s="6" t="s">
        <v>24</v>
      </c>
      <c r="I5" s="6" t="s">
        <v>25</v>
      </c>
      <c r="J5" s="589" t="s">
        <v>26</v>
      </c>
      <c r="K5" s="590"/>
      <c r="L5" s="591" t="s">
        <v>24</v>
      </c>
      <c r="M5" s="592"/>
      <c r="N5" s="593"/>
      <c r="O5" s="611" t="s">
        <v>25</v>
      </c>
      <c r="P5" s="592"/>
      <c r="Q5" s="593"/>
      <c r="R5" s="224" t="s">
        <v>27</v>
      </c>
      <c r="S5" s="597" t="s">
        <v>28</v>
      </c>
      <c r="T5" s="583"/>
      <c r="U5" s="757"/>
      <c r="V5" s="757"/>
    </row>
    <row r="6" spans="1:22" ht="46.5" customHeight="1" x14ac:dyDescent="0.2">
      <c r="A6" s="620"/>
      <c r="B6" s="621"/>
      <c r="C6" s="731"/>
      <c r="D6" s="732"/>
      <c r="E6" s="732"/>
      <c r="F6" s="732"/>
      <c r="G6" s="732"/>
      <c r="H6" s="6"/>
      <c r="I6" s="6"/>
      <c r="J6" s="739" t="s">
        <v>29</v>
      </c>
      <c r="K6" s="740" t="s">
        <v>30</v>
      </c>
      <c r="L6" s="739" t="s">
        <v>29</v>
      </c>
      <c r="M6" s="741" t="s">
        <v>31</v>
      </c>
      <c r="N6" s="742" t="s">
        <v>32</v>
      </c>
      <c r="O6" s="743" t="s">
        <v>29</v>
      </c>
      <c r="P6" s="741" t="s">
        <v>31</v>
      </c>
      <c r="Q6" s="742" t="s">
        <v>32</v>
      </c>
      <c r="R6" s="13" t="s">
        <v>200</v>
      </c>
      <c r="S6" s="227" t="s">
        <v>200</v>
      </c>
      <c r="T6" s="11" t="s">
        <v>30</v>
      </c>
      <c r="U6" s="757"/>
      <c r="V6" s="757"/>
    </row>
    <row r="7" spans="1:22" ht="24" customHeight="1" x14ac:dyDescent="0.3">
      <c r="A7" s="651" t="s">
        <v>289</v>
      </c>
      <c r="B7" s="629"/>
      <c r="C7" s="150">
        <f t="shared" ref="C7:C9" ca="1" si="0">D7+G7</f>
        <v>2767600</v>
      </c>
      <c r="D7" s="151">
        <f t="shared" ref="D7:E7" ca="1" si="1">D8+D9+D12</f>
        <v>2767600</v>
      </c>
      <c r="E7" s="152">
        <f t="shared" ca="1" si="1"/>
        <v>1245400</v>
      </c>
      <c r="F7" s="153">
        <f ca="1">F8+F9</f>
        <v>1522200</v>
      </c>
      <c r="G7" s="154">
        <f t="shared" ref="G7:I7" ca="1" si="2">G8+G9+G12</f>
        <v>0</v>
      </c>
      <c r="H7" s="228">
        <f t="shared" ca="1" si="2"/>
        <v>2767600</v>
      </c>
      <c r="I7" s="228">
        <f t="shared" ca="1" si="2"/>
        <v>0</v>
      </c>
      <c r="J7" s="156">
        <f t="shared" ref="J7:J9" ca="1" si="3">L7+O7</f>
        <v>908374.34</v>
      </c>
      <c r="K7" s="157">
        <f t="shared" ref="K7:K9" ca="1" si="4">IF(C7&gt;0,J7*100/C7,0)</f>
        <v>32.821735077323311</v>
      </c>
      <c r="L7" s="156">
        <f ca="1">L8+L9+L12</f>
        <v>908374.34</v>
      </c>
      <c r="M7" s="27">
        <f t="shared" ref="M7:M8" ca="1" si="5">IF(D7&gt;0,L7*100/D7,0)</f>
        <v>32.821735077323311</v>
      </c>
      <c r="N7" s="27">
        <f t="shared" ref="N7:N9" ca="1" si="6">IF(H7&gt;0,L7*100/H7,0)</f>
        <v>32.821735077323311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343">
        <f t="shared" ref="R7:S7" ca="1" si="9">R8</f>
        <v>10</v>
      </c>
      <c r="S7" s="344">
        <f t="shared" ca="1" si="9"/>
        <v>3</v>
      </c>
      <c r="T7" s="345">
        <f t="shared" ref="T7:T8" ca="1" si="10">IF(R7&gt;0,S7*100/R7,0)</f>
        <v>30</v>
      </c>
    </row>
    <row r="8" spans="1:22" ht="28.5" customHeight="1" x14ac:dyDescent="0.3">
      <c r="A8" s="31" t="s">
        <v>37</v>
      </c>
      <c r="B8" s="32"/>
      <c r="C8" s="161">
        <f t="shared" ca="1" si="0"/>
        <v>250000</v>
      </c>
      <c r="D8" s="161">
        <f t="shared" ref="D8:I8" ca="1" si="11">+D13+D31+D52+D74</f>
        <v>250000</v>
      </c>
      <c r="E8" s="161">
        <f t="shared" ca="1" si="11"/>
        <v>0</v>
      </c>
      <c r="F8" s="161">
        <f t="shared" ca="1" si="11"/>
        <v>250000</v>
      </c>
      <c r="G8" s="161">
        <f t="shared" ca="1" si="11"/>
        <v>0</v>
      </c>
      <c r="H8" s="161">
        <f t="shared" ca="1" si="11"/>
        <v>310000</v>
      </c>
      <c r="I8" s="161">
        <f t="shared" ca="1" si="11"/>
        <v>0</v>
      </c>
      <c r="J8" s="161">
        <f t="shared" ca="1" si="3"/>
        <v>128191.1</v>
      </c>
      <c r="K8" s="162">
        <f t="shared" ca="1" si="4"/>
        <v>51.276440000000001</v>
      </c>
      <c r="L8" s="161">
        <f ca="1">+L13+L31+L52+L74</f>
        <v>128191.1</v>
      </c>
      <c r="M8" s="40">
        <f t="shared" ca="1" si="5"/>
        <v>51.276440000000001</v>
      </c>
      <c r="N8" s="40">
        <f t="shared" ca="1" si="6"/>
        <v>41.351967741935482</v>
      </c>
      <c r="O8" s="39">
        <f ca="1">+O13+O31+O52+O74</f>
        <v>0</v>
      </c>
      <c r="P8" s="39">
        <f t="shared" ca="1" si="7"/>
        <v>0</v>
      </c>
      <c r="Q8" s="40">
        <f t="shared" ca="1" si="8"/>
        <v>0</v>
      </c>
      <c r="R8" s="348">
        <f t="shared" ref="R8:S8" ca="1" si="12">+R13+R31+R52+R74</f>
        <v>10</v>
      </c>
      <c r="S8" s="161">
        <f t="shared" ca="1" si="12"/>
        <v>3</v>
      </c>
      <c r="T8" s="40">
        <f t="shared" ca="1" si="10"/>
        <v>30</v>
      </c>
    </row>
    <row r="9" spans="1:22" ht="28.5" customHeight="1" x14ac:dyDescent="0.3">
      <c r="A9" s="43" t="s">
        <v>38</v>
      </c>
      <c r="B9" s="44"/>
      <c r="C9" s="164">
        <f t="shared" ca="1" si="0"/>
        <v>2517600</v>
      </c>
      <c r="D9" s="164">
        <f t="shared" ref="D9:I9" ca="1" si="13">+D89</f>
        <v>2517600</v>
      </c>
      <c r="E9" s="164">
        <f t="shared" ca="1" si="13"/>
        <v>1245400</v>
      </c>
      <c r="F9" s="164">
        <f t="shared" ca="1" si="13"/>
        <v>1272200</v>
      </c>
      <c r="G9" s="164">
        <f t="shared" ca="1" si="13"/>
        <v>0</v>
      </c>
      <c r="H9" s="164">
        <f t="shared" ca="1" si="13"/>
        <v>2457600</v>
      </c>
      <c r="I9" s="164">
        <f t="shared" ca="1" si="13"/>
        <v>0</v>
      </c>
      <c r="J9" s="164">
        <f t="shared" ca="1" si="3"/>
        <v>780183.24</v>
      </c>
      <c r="K9" s="165">
        <f t="shared" ca="1" si="4"/>
        <v>30.989165872259296</v>
      </c>
      <c r="L9" s="164">
        <f ca="1">+L89</f>
        <v>780183.24</v>
      </c>
      <c r="M9" s="51">
        <f ca="1">IF(D9&gt;0,L9*100/D9,0)</f>
        <v>30.989165872259296</v>
      </c>
      <c r="N9" s="51">
        <f t="shared" ca="1" si="6"/>
        <v>31.745737304687498</v>
      </c>
      <c r="O9" s="50">
        <f ca="1">+O89</f>
        <v>0</v>
      </c>
      <c r="P9" s="50">
        <f t="shared" ca="1" si="7"/>
        <v>0</v>
      </c>
      <c r="Q9" s="51">
        <f t="shared" ca="1" si="8"/>
        <v>0</v>
      </c>
      <c r="R9" s="293"/>
      <c r="S9" s="196"/>
      <c r="T9" s="349"/>
    </row>
    <row r="10" spans="1:22" ht="28.5" hidden="1" customHeight="1" x14ac:dyDescent="0.3">
      <c r="A10" s="54"/>
      <c r="B10" s="55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350"/>
      <c r="S10" s="351"/>
      <c r="T10" s="352"/>
    </row>
    <row r="11" spans="1:22" ht="28.5" hidden="1" customHeight="1" x14ac:dyDescent="0.3">
      <c r="A11" s="65"/>
      <c r="B11" s="55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350"/>
      <c r="S11" s="351"/>
      <c r="T11" s="352"/>
    </row>
    <row r="12" spans="1:22" ht="28.5" hidden="1" customHeight="1" x14ac:dyDescent="0.3">
      <c r="A12" s="54"/>
      <c r="B12" s="55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350"/>
      <c r="S12" s="351"/>
      <c r="T12" s="352"/>
    </row>
    <row r="13" spans="1:22" ht="28.5" customHeight="1" x14ac:dyDescent="0.3">
      <c r="A13" s="624" t="s">
        <v>39</v>
      </c>
      <c r="B13" s="583"/>
      <c r="C13" s="161">
        <f t="shared" ref="C13:C88" ca="1" si="14">D13+G13</f>
        <v>20000</v>
      </c>
      <c r="D13" s="161">
        <f t="shared" ref="D13:I13" ca="1" si="15">SUM(D14:D30)</f>
        <v>20000</v>
      </c>
      <c r="E13" s="161">
        <f t="shared" ca="1" si="15"/>
        <v>0</v>
      </c>
      <c r="F13" s="161">
        <f t="shared" ca="1" si="15"/>
        <v>20000</v>
      </c>
      <c r="G13" s="161">
        <f t="shared" ca="1" si="15"/>
        <v>0</v>
      </c>
      <c r="H13" s="161">
        <f t="shared" ca="1" si="15"/>
        <v>20000</v>
      </c>
      <c r="I13" s="161">
        <f t="shared" ca="1" si="15"/>
        <v>0</v>
      </c>
      <c r="J13" s="161">
        <f t="shared" ref="J13:J88" ca="1" si="16">L13+O13</f>
        <v>0</v>
      </c>
      <c r="K13" s="162">
        <f t="shared" ref="K13:K88" ca="1" si="17">IF(C13&gt;0,J13*100/C13,0)</f>
        <v>0</v>
      </c>
      <c r="L13" s="161">
        <f ca="1">SUM(L14:L30)</f>
        <v>0</v>
      </c>
      <c r="M13" s="40">
        <f t="shared" ref="M13:M88" ca="1" si="18">IF(D13&gt;0,L13*100/D13,0)</f>
        <v>0</v>
      </c>
      <c r="N13" s="40">
        <f t="shared" ref="N13:N88" ca="1" si="19">IF(H13&gt;0,L13*100/H13,0)</f>
        <v>0</v>
      </c>
      <c r="O13" s="39">
        <f ca="1">SUM(O14:O30)</f>
        <v>0</v>
      </c>
      <c r="P13" s="39">
        <f t="shared" ref="P13:P88" ca="1" si="20">IF(G13&gt;0,O13*100/G13,0)</f>
        <v>0</v>
      </c>
      <c r="Q13" s="40">
        <f t="shared" ref="Q13:Q88" ca="1" si="21">IF(I13&gt;0,O13*100/I13,0)</f>
        <v>0</v>
      </c>
      <c r="R13" s="348">
        <f t="shared" ref="R13:S13" ca="1" si="22">SUM(R14:R30)</f>
        <v>1</v>
      </c>
      <c r="S13" s="161">
        <f t="shared" ca="1" si="22"/>
        <v>0</v>
      </c>
      <c r="T13" s="40">
        <f t="shared" ref="T13:T88" ca="1" si="23">IF(R13&gt;0,S13*100/R13,0)</f>
        <v>0</v>
      </c>
    </row>
    <row r="14" spans="1:22" ht="24" customHeight="1" x14ac:dyDescent="0.3">
      <c r="A14" s="77">
        <v>1</v>
      </c>
      <c r="B14" s="78" t="s">
        <v>40</v>
      </c>
      <c r="C14" s="174">
        <f t="shared" ca="1" si="14"/>
        <v>0</v>
      </c>
      <c r="D14" s="175">
        <f t="shared" ref="D14:D30" ca="1" si="24">+E14+F14</f>
        <v>0</v>
      </c>
      <c r="E14" s="176">
        <f ca="1">IFERROR(__xludf.DUMMYFUNCTION("IMPORTRANGE(""https://docs.google.com/spreadsheets/d/1-uDff_7J0KD5mKrp0Vvzr7lt3OU09vwQwhkpOPPYv2Y/edit?usp=sharing"",""งบพรบ!EJ14"")"),0)</f>
        <v>0</v>
      </c>
      <c r="F14" s="176">
        <f ca="1">IFERROR(__xludf.DUMMYFUNCTION("IMPORTRANGE(""https://docs.google.com/spreadsheets/d/1-uDff_7J0KD5mKrp0Vvzr7lt3OU09vwQwhkpOPPYv2Y/edit?usp=sharing"",""งบพรบ!EK14"")"),0)</f>
        <v>0</v>
      </c>
      <c r="G14" s="177">
        <f ca="1">IFERROR(__xludf.DUMMYFUNCTION("IMPORTRANGE(""https://docs.google.com/spreadsheets/d/1-uDff_7J0KD5mKrp0Vvzr7lt3OU09vwQwhkpOPPYv2Y/edit?usp=sharing"",""งบพรบ!EL14"")"),0)</f>
        <v>0</v>
      </c>
      <c r="H14" s="177">
        <f ca="1">IFERROR(__xludf.DUMMYFUNCTION("IMPORTRANGE(""https://docs.google.com/spreadsheets/d/1-uDff_7J0KD5mKrp0Vvzr7lt3OU09vwQwhkpOPPYv2Y/edit?usp=sharing"",""งบพรบ!EN14"")"),0)</f>
        <v>0</v>
      </c>
      <c r="I14" s="177">
        <f ca="1">IFERROR(__xludf.DUMMYFUNCTION("IMPORTRANGE(""https://docs.google.com/spreadsheets/d/1-uDff_7J0KD5mKrp0Vvzr7lt3OU09vwQwhkpOPPYv2Y/edit?usp=sharing"",""งบพรบ!EO14"")"),0)</f>
        <v>0</v>
      </c>
      <c r="J14" s="177">
        <f t="shared" ca="1" si="16"/>
        <v>0</v>
      </c>
      <c r="K14" s="178">
        <f t="shared" ca="1" si="17"/>
        <v>0</v>
      </c>
      <c r="L14" s="177">
        <f ca="1">IFERROR(__xludf.DUMMYFUNCTION("IMPORTRANGE(""https://docs.google.com/spreadsheets/d/1-uDff_7J0KD5mKrp0Vvzr7lt3OU09vwQwhkpOPPYv2Y/edit?usp=sharing"",""งบพรบ!EP14"")"),0)</f>
        <v>0</v>
      </c>
      <c r="M14" s="87">
        <f t="shared" ca="1" si="18"/>
        <v>0</v>
      </c>
      <c r="N14" s="87">
        <f t="shared" ca="1" si="19"/>
        <v>0</v>
      </c>
      <c r="O14" s="86">
        <f ca="1">IFERROR(__xludf.DUMMYFUNCTION("IMPORTRANGE(""https://docs.google.com/spreadsheets/d/1-uDff_7J0KD5mKrp0Vvzr7lt3OU09vwQwhkpOPPYv2Y/edit?usp=sharing"",""งบพรบ!EQ14"")"),0)</f>
        <v>0</v>
      </c>
      <c r="P14" s="86">
        <f t="shared" ca="1" si="20"/>
        <v>0</v>
      </c>
      <c r="Q14" s="87">
        <f t="shared" ca="1" si="21"/>
        <v>0</v>
      </c>
      <c r="R14" s="353">
        <f ca="1">IFERROR(__xludf.DUMMYFUNCTION("IMPORTRANGE(""https://docs.google.com/spreadsheets/d/1jTcq05yEiRwXcBMLjiodW9e4biSGYWAHcDj22rKWQ3s/edit?usp=sharing"",""กำแพงเพชร!I330"")"),0)</f>
        <v>0</v>
      </c>
      <c r="S14" s="177">
        <f ca="1">IFERROR(__xludf.DUMMYFUNCTION("IMPORTRANGE(""https://docs.google.com/spreadsheets/d/1jTcq05yEiRwXcBMLjiodW9e4biSGYWAHcDj22rKWQ3s/edit?usp=sharing"",""กำแพงเพชร!J330"")"),0)</f>
        <v>0</v>
      </c>
      <c r="T14" s="354">
        <f t="shared" ca="1" si="23"/>
        <v>0</v>
      </c>
    </row>
    <row r="15" spans="1:22" ht="24" customHeight="1" x14ac:dyDescent="0.3">
      <c r="A15" s="89">
        <v>2</v>
      </c>
      <c r="B15" s="90" t="s">
        <v>41</v>
      </c>
      <c r="C15" s="174">
        <f t="shared" ca="1" si="14"/>
        <v>0</v>
      </c>
      <c r="D15" s="175">
        <f t="shared" ca="1" si="24"/>
        <v>0</v>
      </c>
      <c r="E15" s="176">
        <f ca="1">IFERROR(__xludf.DUMMYFUNCTION("IMPORTRANGE(""https://docs.google.com/spreadsheets/d/1-uDff_7J0KD5mKrp0Vvzr7lt3OU09vwQwhkpOPPYv2Y/edit?usp=sharing"",""งบพรบ!EJ15"")"),0)</f>
        <v>0</v>
      </c>
      <c r="F15" s="176">
        <f ca="1">IFERROR(__xludf.DUMMYFUNCTION("IMPORTRANGE(""https://docs.google.com/spreadsheets/d/1-uDff_7J0KD5mKrp0Vvzr7lt3OU09vwQwhkpOPPYv2Y/edit?usp=sharing"",""งบพรบ!EK15"")"),0)</f>
        <v>0</v>
      </c>
      <c r="G15" s="176">
        <f ca="1">IFERROR(__xludf.DUMMYFUNCTION("IMPORTRANGE(""https://docs.google.com/spreadsheets/d/1-uDff_7J0KD5mKrp0Vvzr7lt3OU09vwQwhkpOPPYv2Y/edit?usp=sharing"",""งบพรบ!EL15"")"),0)</f>
        <v>0</v>
      </c>
      <c r="H15" s="176">
        <f ca="1">IFERROR(__xludf.DUMMYFUNCTION("IMPORTRANGE(""https://docs.google.com/spreadsheets/d/1-uDff_7J0KD5mKrp0Vvzr7lt3OU09vwQwhkpOPPYv2Y/edit?usp=sharing"",""งบพรบ!EN15"")"),0)</f>
        <v>0</v>
      </c>
      <c r="I15" s="176">
        <f ca="1">IFERROR(__xludf.DUMMYFUNCTION("IMPORTRANGE(""https://docs.google.com/spreadsheets/d/1-uDff_7J0KD5mKrp0Vvzr7lt3OU09vwQwhkpOPPYv2Y/edit?usp=sharing"",""งบพรบ!EO15"")"),0)</f>
        <v>0</v>
      </c>
      <c r="J15" s="176">
        <f t="shared" ca="1" si="16"/>
        <v>0</v>
      </c>
      <c r="K15" s="179">
        <f t="shared" ca="1" si="17"/>
        <v>0</v>
      </c>
      <c r="L15" s="176">
        <f ca="1">IFERROR(__xludf.DUMMYFUNCTION("IMPORTRANGE(""https://docs.google.com/spreadsheets/d/1-uDff_7J0KD5mKrp0Vvzr7lt3OU09vwQwhkpOPPYv2Y/edit?usp=sharing"",""งบพรบ!EP15"")"),0)</f>
        <v>0</v>
      </c>
      <c r="M15" s="87">
        <f t="shared" ca="1" si="18"/>
        <v>0</v>
      </c>
      <c r="N15" s="87">
        <f t="shared" ca="1" si="19"/>
        <v>0</v>
      </c>
      <c r="O15" s="86">
        <f ca="1">IFERROR(__xludf.DUMMYFUNCTION("IMPORTRANGE(""https://docs.google.com/spreadsheets/d/1-uDff_7J0KD5mKrp0Vvzr7lt3OU09vwQwhkpOPPYv2Y/edit?usp=sharing"",""งบพรบ!EQ15"")"),0)</f>
        <v>0</v>
      </c>
      <c r="P15" s="86">
        <f t="shared" ca="1" si="20"/>
        <v>0</v>
      </c>
      <c r="Q15" s="87">
        <f t="shared" ca="1" si="21"/>
        <v>0</v>
      </c>
      <c r="R15" s="353">
        <f ca="1">IFERROR(__xludf.DUMMYFUNCTION("IMPORTRANGE(""https://docs.google.com/spreadsheets/d/1KS0zmDSZPk8KnTAbGN-Xk6MtX1YRZD0ldgdt20K4CRk/edit?usp=sharing"",""เชียงราย!I330"")"),0)</f>
        <v>0</v>
      </c>
      <c r="S15" s="177">
        <f ca="1">IFERROR(__xludf.DUMMYFUNCTION("IMPORTRANGE(""https://docs.google.com/spreadsheets/d/1KS0zmDSZPk8KnTAbGN-Xk6MtX1YRZD0ldgdt20K4CRk/edit?usp=sharing"",""เชียงราย!J330"")"),0)</f>
        <v>0</v>
      </c>
      <c r="T15" s="354">
        <f t="shared" ca="1" si="23"/>
        <v>0</v>
      </c>
    </row>
    <row r="16" spans="1:22" ht="24" customHeight="1" x14ac:dyDescent="0.3">
      <c r="A16" s="89">
        <v>3</v>
      </c>
      <c r="B16" s="90" t="s">
        <v>42</v>
      </c>
      <c r="C16" s="174">
        <f t="shared" ca="1" si="14"/>
        <v>0</v>
      </c>
      <c r="D16" s="175">
        <f t="shared" ca="1" si="24"/>
        <v>0</v>
      </c>
      <c r="E16" s="176">
        <f ca="1">IFERROR(__xludf.DUMMYFUNCTION("IMPORTRANGE(""https://docs.google.com/spreadsheets/d/1-uDff_7J0KD5mKrp0Vvzr7lt3OU09vwQwhkpOPPYv2Y/edit?usp=sharing"",""งบพรบ!EJ16"")"),0)</f>
        <v>0</v>
      </c>
      <c r="F16" s="176">
        <f ca="1">IFERROR(__xludf.DUMMYFUNCTION("IMPORTRANGE(""https://docs.google.com/spreadsheets/d/1-uDff_7J0KD5mKrp0Vvzr7lt3OU09vwQwhkpOPPYv2Y/edit?usp=sharing"",""งบพรบ!EK16"")"),0)</f>
        <v>0</v>
      </c>
      <c r="G16" s="176">
        <f ca="1">IFERROR(__xludf.DUMMYFUNCTION("IMPORTRANGE(""https://docs.google.com/spreadsheets/d/1-uDff_7J0KD5mKrp0Vvzr7lt3OU09vwQwhkpOPPYv2Y/edit?usp=sharing"",""งบพรบ!EL16"")"),0)</f>
        <v>0</v>
      </c>
      <c r="H16" s="176">
        <f ca="1">IFERROR(__xludf.DUMMYFUNCTION("IMPORTRANGE(""https://docs.google.com/spreadsheets/d/1-uDff_7J0KD5mKrp0Vvzr7lt3OU09vwQwhkpOPPYv2Y/edit?usp=sharing"",""งบพรบ!EN16"")"),0)</f>
        <v>0</v>
      </c>
      <c r="I16" s="176">
        <f ca="1">IFERROR(__xludf.DUMMYFUNCTION("IMPORTRANGE(""https://docs.google.com/spreadsheets/d/1-uDff_7J0KD5mKrp0Vvzr7lt3OU09vwQwhkpOPPYv2Y/edit?usp=sharing"",""งบพรบ!EO16"")"),0)</f>
        <v>0</v>
      </c>
      <c r="J16" s="176">
        <f t="shared" ca="1" si="16"/>
        <v>0</v>
      </c>
      <c r="K16" s="179">
        <f t="shared" ca="1" si="17"/>
        <v>0</v>
      </c>
      <c r="L16" s="176">
        <f ca="1">IFERROR(__xludf.DUMMYFUNCTION("IMPORTRANGE(""https://docs.google.com/spreadsheets/d/1-uDff_7J0KD5mKrp0Vvzr7lt3OU09vwQwhkpOPPYv2Y/edit?usp=sharing"",""งบพรบ!EP16"")"),0)</f>
        <v>0</v>
      </c>
      <c r="M16" s="87">
        <f t="shared" ca="1" si="18"/>
        <v>0</v>
      </c>
      <c r="N16" s="87">
        <f t="shared" ca="1" si="19"/>
        <v>0</v>
      </c>
      <c r="O16" s="86">
        <f ca="1">IFERROR(__xludf.DUMMYFUNCTION("IMPORTRANGE(""https://docs.google.com/spreadsheets/d/1-uDff_7J0KD5mKrp0Vvzr7lt3OU09vwQwhkpOPPYv2Y/edit?usp=sharing"",""งบพรบ!EQ16"")"),0)</f>
        <v>0</v>
      </c>
      <c r="P16" s="86">
        <f t="shared" ca="1" si="20"/>
        <v>0</v>
      </c>
      <c r="Q16" s="87">
        <f t="shared" ca="1" si="21"/>
        <v>0</v>
      </c>
      <c r="R16" s="353">
        <f ca="1">IFERROR(__xludf.DUMMYFUNCTION("IMPORTRANGE(""https://docs.google.com/spreadsheets/d/1rEDxBtusbi64tE0zunoIbsTVV16HeL0oJ6trHQeQ7K8/edit?usp=sharing"",""เชียงใหม่!I330"")"),0)</f>
        <v>0</v>
      </c>
      <c r="S16" s="177">
        <f ca="1">IFERROR(__xludf.DUMMYFUNCTION("IMPORTRANGE(""https://docs.google.com/spreadsheets/d/1rEDxBtusbi64tE0zunoIbsTVV16HeL0oJ6trHQeQ7K8/edit?usp=sharing"",""เชียงใหม่!J330"")"),0)</f>
        <v>0</v>
      </c>
      <c r="T16" s="354">
        <f t="shared" ca="1" si="23"/>
        <v>0</v>
      </c>
    </row>
    <row r="17" spans="1:20" ht="24" customHeight="1" x14ac:dyDescent="0.3">
      <c r="A17" s="89">
        <v>4</v>
      </c>
      <c r="B17" s="90" t="s">
        <v>43</v>
      </c>
      <c r="C17" s="174">
        <f t="shared" ca="1" si="14"/>
        <v>0</v>
      </c>
      <c r="D17" s="175">
        <f t="shared" ca="1" si="24"/>
        <v>0</v>
      </c>
      <c r="E17" s="176">
        <f ca="1">IFERROR(__xludf.DUMMYFUNCTION("IMPORTRANGE(""https://docs.google.com/spreadsheets/d/1-uDff_7J0KD5mKrp0Vvzr7lt3OU09vwQwhkpOPPYv2Y/edit?usp=sharing"",""งบพรบ!EJ17"")"),0)</f>
        <v>0</v>
      </c>
      <c r="F17" s="176">
        <f ca="1">IFERROR(__xludf.DUMMYFUNCTION("IMPORTRANGE(""https://docs.google.com/spreadsheets/d/1-uDff_7J0KD5mKrp0Vvzr7lt3OU09vwQwhkpOPPYv2Y/edit?usp=sharing"",""งบพรบ!EK17"")"),0)</f>
        <v>0</v>
      </c>
      <c r="G17" s="176">
        <f ca="1">IFERROR(__xludf.DUMMYFUNCTION("IMPORTRANGE(""https://docs.google.com/spreadsheets/d/1-uDff_7J0KD5mKrp0Vvzr7lt3OU09vwQwhkpOPPYv2Y/edit?usp=sharing"",""งบพรบ!EL17"")"),0)</f>
        <v>0</v>
      </c>
      <c r="H17" s="176">
        <f ca="1">IFERROR(__xludf.DUMMYFUNCTION("IMPORTRANGE(""https://docs.google.com/spreadsheets/d/1-uDff_7J0KD5mKrp0Vvzr7lt3OU09vwQwhkpOPPYv2Y/edit?usp=sharing"",""งบพรบ!EN17"")"),0)</f>
        <v>0</v>
      </c>
      <c r="I17" s="176">
        <f ca="1">IFERROR(__xludf.DUMMYFUNCTION("IMPORTRANGE(""https://docs.google.com/spreadsheets/d/1-uDff_7J0KD5mKrp0Vvzr7lt3OU09vwQwhkpOPPYv2Y/edit?usp=sharing"",""งบพรบ!EO17"")"),0)</f>
        <v>0</v>
      </c>
      <c r="J17" s="176">
        <f t="shared" ca="1" si="16"/>
        <v>0</v>
      </c>
      <c r="K17" s="179">
        <f t="shared" ca="1" si="17"/>
        <v>0</v>
      </c>
      <c r="L17" s="176">
        <f ca="1">IFERROR(__xludf.DUMMYFUNCTION("IMPORTRANGE(""https://docs.google.com/spreadsheets/d/1-uDff_7J0KD5mKrp0Vvzr7lt3OU09vwQwhkpOPPYv2Y/edit?usp=sharing"",""งบพรบ!EP17"")"),0)</f>
        <v>0</v>
      </c>
      <c r="M17" s="87">
        <f t="shared" ca="1" si="18"/>
        <v>0</v>
      </c>
      <c r="N17" s="87">
        <f t="shared" ca="1" si="19"/>
        <v>0</v>
      </c>
      <c r="O17" s="86">
        <f ca="1">IFERROR(__xludf.DUMMYFUNCTION("IMPORTRANGE(""https://docs.google.com/spreadsheets/d/1-uDff_7J0KD5mKrp0Vvzr7lt3OU09vwQwhkpOPPYv2Y/edit?usp=sharing"",""งบพรบ!EQ17"")"),0)</f>
        <v>0</v>
      </c>
      <c r="P17" s="86">
        <f t="shared" ca="1" si="20"/>
        <v>0</v>
      </c>
      <c r="Q17" s="87">
        <f t="shared" ca="1" si="21"/>
        <v>0</v>
      </c>
      <c r="R17" s="353">
        <f ca="1">IFERROR(__xludf.DUMMYFUNCTION("IMPORTRANGE(""https://docs.google.com/spreadsheets/d/1W6MnUbDkMi6xHnHko_XkFDO9kkuL6Wqyc-6OCDFjW9I/edit?usp=sharing"",""ตาก!I330"")"),0)</f>
        <v>0</v>
      </c>
      <c r="S17" s="177">
        <f ca="1">IFERROR(__xludf.DUMMYFUNCTION("IMPORTRANGE(""https://docs.google.com/spreadsheets/d/1W6MnUbDkMi6xHnHko_XkFDO9kkuL6Wqyc-6OCDFjW9I/edit?usp=sharing"",""ตาก!J330"")"),0)</f>
        <v>0</v>
      </c>
      <c r="T17" s="354">
        <f t="shared" ca="1" si="23"/>
        <v>0</v>
      </c>
    </row>
    <row r="18" spans="1:20" ht="24" customHeight="1" x14ac:dyDescent="0.3">
      <c r="A18" s="89">
        <v>5</v>
      </c>
      <c r="B18" s="90" t="s">
        <v>44</v>
      </c>
      <c r="C18" s="174">
        <f t="shared" ca="1" si="14"/>
        <v>0</v>
      </c>
      <c r="D18" s="175">
        <f t="shared" ca="1" si="24"/>
        <v>0</v>
      </c>
      <c r="E18" s="176">
        <f ca="1">IFERROR(__xludf.DUMMYFUNCTION("IMPORTRANGE(""https://docs.google.com/spreadsheets/d/1-uDff_7J0KD5mKrp0Vvzr7lt3OU09vwQwhkpOPPYv2Y/edit?usp=sharing"",""งบพรบ!EJ18"")"),0)</f>
        <v>0</v>
      </c>
      <c r="F18" s="176">
        <f ca="1">IFERROR(__xludf.DUMMYFUNCTION("IMPORTRANGE(""https://docs.google.com/spreadsheets/d/1-uDff_7J0KD5mKrp0Vvzr7lt3OU09vwQwhkpOPPYv2Y/edit?usp=sharing"",""งบพรบ!EK18"")"),0)</f>
        <v>0</v>
      </c>
      <c r="G18" s="176">
        <f ca="1">IFERROR(__xludf.DUMMYFUNCTION("IMPORTRANGE(""https://docs.google.com/spreadsheets/d/1-uDff_7J0KD5mKrp0Vvzr7lt3OU09vwQwhkpOPPYv2Y/edit?usp=sharing"",""งบพรบ!EL18"")"),0)</f>
        <v>0</v>
      </c>
      <c r="H18" s="176">
        <f ca="1">IFERROR(__xludf.DUMMYFUNCTION("IMPORTRANGE(""https://docs.google.com/spreadsheets/d/1-uDff_7J0KD5mKrp0Vvzr7lt3OU09vwQwhkpOPPYv2Y/edit?usp=sharing"",""งบพรบ!EN18"")"),0)</f>
        <v>0</v>
      </c>
      <c r="I18" s="176">
        <f ca="1">IFERROR(__xludf.DUMMYFUNCTION("IMPORTRANGE(""https://docs.google.com/spreadsheets/d/1-uDff_7J0KD5mKrp0Vvzr7lt3OU09vwQwhkpOPPYv2Y/edit?usp=sharing"",""งบพรบ!EO18"")"),0)</f>
        <v>0</v>
      </c>
      <c r="J18" s="176">
        <f t="shared" ca="1" si="16"/>
        <v>0</v>
      </c>
      <c r="K18" s="179">
        <f t="shared" ca="1" si="17"/>
        <v>0</v>
      </c>
      <c r="L18" s="176">
        <f ca="1">IFERROR(__xludf.DUMMYFUNCTION("IMPORTRANGE(""https://docs.google.com/spreadsheets/d/1-uDff_7J0KD5mKrp0Vvzr7lt3OU09vwQwhkpOPPYv2Y/edit?usp=sharing"",""งบพรบ!EP18"")"),0)</f>
        <v>0</v>
      </c>
      <c r="M18" s="87">
        <f t="shared" ca="1" si="18"/>
        <v>0</v>
      </c>
      <c r="N18" s="87">
        <f t="shared" ca="1" si="19"/>
        <v>0</v>
      </c>
      <c r="O18" s="86">
        <f ca="1">IFERROR(__xludf.DUMMYFUNCTION("IMPORTRANGE(""https://docs.google.com/spreadsheets/d/1-uDff_7J0KD5mKrp0Vvzr7lt3OU09vwQwhkpOPPYv2Y/edit?usp=sharing"",""งบพรบ!EQ18"")"),0)</f>
        <v>0</v>
      </c>
      <c r="P18" s="86">
        <f t="shared" ca="1" si="20"/>
        <v>0</v>
      </c>
      <c r="Q18" s="87">
        <f t="shared" ca="1" si="21"/>
        <v>0</v>
      </c>
      <c r="R18" s="353">
        <f ca="1">IFERROR(__xludf.DUMMYFUNCTION("IMPORTRANGE(""https://docs.google.com/spreadsheets/d/1IQAWArduLkta9LpYo4a_ULsyqdta6-6aDDiwpUnQT6c/edit?usp=sharing"",""นครสวรรค์!I330"")"),0)</f>
        <v>0</v>
      </c>
      <c r="S18" s="177">
        <f ca="1">IFERROR(__xludf.DUMMYFUNCTION("IMPORTRANGE(""https://docs.google.com/spreadsheets/d/1IQAWArduLkta9LpYo4a_ULsyqdta6-6aDDiwpUnQT6c/edit?usp=sharing"",""นครสวรรค์!J330"")"),0)</f>
        <v>0</v>
      </c>
      <c r="T18" s="354">
        <f t="shared" ca="1" si="23"/>
        <v>0</v>
      </c>
    </row>
    <row r="19" spans="1:20" ht="24" customHeight="1" x14ac:dyDescent="0.3">
      <c r="A19" s="89">
        <v>6</v>
      </c>
      <c r="B19" s="90" t="s">
        <v>45</v>
      </c>
      <c r="C19" s="174">
        <f t="shared" ca="1" si="14"/>
        <v>0</v>
      </c>
      <c r="D19" s="175">
        <f t="shared" ca="1" si="24"/>
        <v>0</v>
      </c>
      <c r="E19" s="176">
        <f ca="1">IFERROR(__xludf.DUMMYFUNCTION("IMPORTRANGE(""https://docs.google.com/spreadsheets/d/1-uDff_7J0KD5mKrp0Vvzr7lt3OU09vwQwhkpOPPYv2Y/edit?usp=sharing"",""งบพรบ!EJ19"")"),0)</f>
        <v>0</v>
      </c>
      <c r="F19" s="176">
        <f ca="1">IFERROR(__xludf.DUMMYFUNCTION("IMPORTRANGE(""https://docs.google.com/spreadsheets/d/1-uDff_7J0KD5mKrp0Vvzr7lt3OU09vwQwhkpOPPYv2Y/edit?usp=sharing"",""งบพรบ!EK19"")"),0)</f>
        <v>0</v>
      </c>
      <c r="G19" s="176">
        <f ca="1">IFERROR(__xludf.DUMMYFUNCTION("IMPORTRANGE(""https://docs.google.com/spreadsheets/d/1-uDff_7J0KD5mKrp0Vvzr7lt3OU09vwQwhkpOPPYv2Y/edit?usp=sharing"",""งบพรบ!EL19"")"),0)</f>
        <v>0</v>
      </c>
      <c r="H19" s="176">
        <f ca="1">IFERROR(__xludf.DUMMYFUNCTION("IMPORTRANGE(""https://docs.google.com/spreadsheets/d/1-uDff_7J0KD5mKrp0Vvzr7lt3OU09vwQwhkpOPPYv2Y/edit?usp=sharing"",""งบพรบ!EN19"")"),0)</f>
        <v>0</v>
      </c>
      <c r="I19" s="176">
        <f ca="1">IFERROR(__xludf.DUMMYFUNCTION("IMPORTRANGE(""https://docs.google.com/spreadsheets/d/1-uDff_7J0KD5mKrp0Vvzr7lt3OU09vwQwhkpOPPYv2Y/edit?usp=sharing"",""งบพรบ!EO19"")"),0)</f>
        <v>0</v>
      </c>
      <c r="J19" s="176">
        <f t="shared" ca="1" si="16"/>
        <v>0</v>
      </c>
      <c r="K19" s="179">
        <f t="shared" ca="1" si="17"/>
        <v>0</v>
      </c>
      <c r="L19" s="176">
        <f ca="1">IFERROR(__xludf.DUMMYFUNCTION("IMPORTRANGE(""https://docs.google.com/spreadsheets/d/1-uDff_7J0KD5mKrp0Vvzr7lt3OU09vwQwhkpOPPYv2Y/edit?usp=sharing"",""งบพรบ!EP19"")"),0)</f>
        <v>0</v>
      </c>
      <c r="M19" s="87">
        <f t="shared" ca="1" si="18"/>
        <v>0</v>
      </c>
      <c r="N19" s="87">
        <f t="shared" ca="1" si="19"/>
        <v>0</v>
      </c>
      <c r="O19" s="86">
        <f ca="1">IFERROR(__xludf.DUMMYFUNCTION("IMPORTRANGE(""https://docs.google.com/spreadsheets/d/1-uDff_7J0KD5mKrp0Vvzr7lt3OU09vwQwhkpOPPYv2Y/edit?usp=sharing"",""งบพรบ!EQ19"")"),0)</f>
        <v>0</v>
      </c>
      <c r="P19" s="86">
        <f t="shared" ca="1" si="20"/>
        <v>0</v>
      </c>
      <c r="Q19" s="87">
        <f t="shared" ca="1" si="21"/>
        <v>0</v>
      </c>
      <c r="R19" s="353">
        <f ca="1">IFERROR(__xludf.DUMMYFUNCTION("IMPORTRANGE(""https://docs.google.com/spreadsheets/d/10s13Sk5xrltsiR-Zkbmk5DwIaDIKO8XlbJAfqyT7Gvg/edit?usp=sharing"",""น่าน!I330"")"),0)</f>
        <v>0</v>
      </c>
      <c r="S19" s="177">
        <f ca="1">IFERROR(__xludf.DUMMYFUNCTION("IMPORTRANGE(""https://docs.google.com/spreadsheets/d/10s13Sk5xrltsiR-Zkbmk5DwIaDIKO8XlbJAfqyT7Gvg/edit?usp=sharing"",""น่าน!J330"")"),0)</f>
        <v>0</v>
      </c>
      <c r="T19" s="354">
        <f t="shared" ca="1" si="23"/>
        <v>0</v>
      </c>
    </row>
    <row r="20" spans="1:20" ht="24" customHeight="1" x14ac:dyDescent="0.3">
      <c r="A20" s="89">
        <v>7</v>
      </c>
      <c r="B20" s="90" t="s">
        <v>46</v>
      </c>
      <c r="C20" s="174">
        <f t="shared" ca="1" si="14"/>
        <v>0</v>
      </c>
      <c r="D20" s="175">
        <f t="shared" ca="1" si="24"/>
        <v>0</v>
      </c>
      <c r="E20" s="176">
        <f ca="1">IFERROR(__xludf.DUMMYFUNCTION("IMPORTRANGE(""https://docs.google.com/spreadsheets/d/1-uDff_7J0KD5mKrp0Vvzr7lt3OU09vwQwhkpOPPYv2Y/edit?usp=sharing"",""งบพรบ!EJ20"")"),0)</f>
        <v>0</v>
      </c>
      <c r="F20" s="176">
        <f ca="1">IFERROR(__xludf.DUMMYFUNCTION("IMPORTRANGE(""https://docs.google.com/spreadsheets/d/1-uDff_7J0KD5mKrp0Vvzr7lt3OU09vwQwhkpOPPYv2Y/edit?usp=sharing"",""งบพรบ!EK20"")"),0)</f>
        <v>0</v>
      </c>
      <c r="G20" s="176">
        <f ca="1">IFERROR(__xludf.DUMMYFUNCTION("IMPORTRANGE(""https://docs.google.com/spreadsheets/d/1-uDff_7J0KD5mKrp0Vvzr7lt3OU09vwQwhkpOPPYv2Y/edit?usp=sharing"",""งบพรบ!EL20"")"),0)</f>
        <v>0</v>
      </c>
      <c r="H20" s="176">
        <f ca="1">IFERROR(__xludf.DUMMYFUNCTION("IMPORTRANGE(""https://docs.google.com/spreadsheets/d/1-uDff_7J0KD5mKrp0Vvzr7lt3OU09vwQwhkpOPPYv2Y/edit?usp=sharing"",""งบพรบ!EN20"")"),0)</f>
        <v>0</v>
      </c>
      <c r="I20" s="176">
        <f ca="1">IFERROR(__xludf.DUMMYFUNCTION("IMPORTRANGE(""https://docs.google.com/spreadsheets/d/1-uDff_7J0KD5mKrp0Vvzr7lt3OU09vwQwhkpOPPYv2Y/edit?usp=sharing"",""งบพรบ!EO20"")"),0)</f>
        <v>0</v>
      </c>
      <c r="J20" s="176">
        <f t="shared" ca="1" si="16"/>
        <v>0</v>
      </c>
      <c r="K20" s="179">
        <f t="shared" ca="1" si="17"/>
        <v>0</v>
      </c>
      <c r="L20" s="176">
        <f ca="1">IFERROR(__xludf.DUMMYFUNCTION("IMPORTRANGE(""https://docs.google.com/spreadsheets/d/1-uDff_7J0KD5mKrp0Vvzr7lt3OU09vwQwhkpOPPYv2Y/edit?usp=sharing"",""งบพรบ!EP20"")"),0)</f>
        <v>0</v>
      </c>
      <c r="M20" s="87">
        <f t="shared" ca="1" si="18"/>
        <v>0</v>
      </c>
      <c r="N20" s="87">
        <f t="shared" ca="1" si="19"/>
        <v>0</v>
      </c>
      <c r="O20" s="86">
        <f ca="1">IFERROR(__xludf.DUMMYFUNCTION("IMPORTRANGE(""https://docs.google.com/spreadsheets/d/1-uDff_7J0KD5mKrp0Vvzr7lt3OU09vwQwhkpOPPYv2Y/edit?usp=sharing"",""งบพรบ!EQ20"")"),0)</f>
        <v>0</v>
      </c>
      <c r="P20" s="86">
        <f t="shared" ca="1" si="20"/>
        <v>0</v>
      </c>
      <c r="Q20" s="87">
        <f t="shared" ca="1" si="21"/>
        <v>0</v>
      </c>
      <c r="R20" s="353">
        <f ca="1">IFERROR(__xludf.DUMMYFUNCTION("IMPORTRANGE(""https://docs.google.com/spreadsheets/d/1uu4nAn4Dbi1XREnLKKotUANlKXa7yCgRcgq8HEzQYW8/edit?usp=sharing"",""พะเยา!I330"")"),0)</f>
        <v>0</v>
      </c>
      <c r="S20" s="177">
        <f ca="1">IFERROR(__xludf.DUMMYFUNCTION("IMPORTRANGE(""https://docs.google.com/spreadsheets/d/1uu4nAn4Dbi1XREnLKKotUANlKXa7yCgRcgq8HEzQYW8/edit?usp=sharing"",""พะเยา!J330"")"),0)</f>
        <v>0</v>
      </c>
      <c r="T20" s="354">
        <f t="shared" ca="1" si="23"/>
        <v>0</v>
      </c>
    </row>
    <row r="21" spans="1:20" ht="24" customHeight="1" x14ac:dyDescent="0.3">
      <c r="A21" s="89">
        <v>8</v>
      </c>
      <c r="B21" s="90" t="s">
        <v>47</v>
      </c>
      <c r="C21" s="174">
        <f t="shared" ca="1" si="14"/>
        <v>0</v>
      </c>
      <c r="D21" s="175">
        <f t="shared" ca="1" si="24"/>
        <v>0</v>
      </c>
      <c r="E21" s="176">
        <f ca="1">IFERROR(__xludf.DUMMYFUNCTION("IMPORTRANGE(""https://docs.google.com/spreadsheets/d/1-uDff_7J0KD5mKrp0Vvzr7lt3OU09vwQwhkpOPPYv2Y/edit?usp=sharing"",""งบพรบ!EJ21"")"),0)</f>
        <v>0</v>
      </c>
      <c r="F21" s="176">
        <f ca="1">IFERROR(__xludf.DUMMYFUNCTION("IMPORTRANGE(""https://docs.google.com/spreadsheets/d/1-uDff_7J0KD5mKrp0Vvzr7lt3OU09vwQwhkpOPPYv2Y/edit?usp=sharing"",""งบพรบ!EK21"")"),0)</f>
        <v>0</v>
      </c>
      <c r="G21" s="176">
        <f ca="1">IFERROR(__xludf.DUMMYFUNCTION("IMPORTRANGE(""https://docs.google.com/spreadsheets/d/1-uDff_7J0KD5mKrp0Vvzr7lt3OU09vwQwhkpOPPYv2Y/edit?usp=sharing"",""งบพรบ!EL21"")"),0)</f>
        <v>0</v>
      </c>
      <c r="H21" s="176">
        <f ca="1">IFERROR(__xludf.DUMMYFUNCTION("IMPORTRANGE(""https://docs.google.com/spreadsheets/d/1-uDff_7J0KD5mKrp0Vvzr7lt3OU09vwQwhkpOPPYv2Y/edit?usp=sharing"",""งบพรบ!EN21"")"),0)</f>
        <v>0</v>
      </c>
      <c r="I21" s="176">
        <f ca="1">IFERROR(__xludf.DUMMYFUNCTION("IMPORTRANGE(""https://docs.google.com/spreadsheets/d/1-uDff_7J0KD5mKrp0Vvzr7lt3OU09vwQwhkpOPPYv2Y/edit?usp=sharing"",""งบพรบ!EO21"")"),0)</f>
        <v>0</v>
      </c>
      <c r="J21" s="176">
        <f t="shared" ca="1" si="16"/>
        <v>0</v>
      </c>
      <c r="K21" s="179">
        <f t="shared" ca="1" si="17"/>
        <v>0</v>
      </c>
      <c r="L21" s="176">
        <f ca="1">IFERROR(__xludf.DUMMYFUNCTION("IMPORTRANGE(""https://docs.google.com/spreadsheets/d/1-uDff_7J0KD5mKrp0Vvzr7lt3OU09vwQwhkpOPPYv2Y/edit?usp=sharing"",""งบพรบ!EP21"")"),0)</f>
        <v>0</v>
      </c>
      <c r="M21" s="87">
        <f t="shared" ca="1" si="18"/>
        <v>0</v>
      </c>
      <c r="N21" s="87">
        <f t="shared" ca="1" si="19"/>
        <v>0</v>
      </c>
      <c r="O21" s="86">
        <f ca="1">IFERROR(__xludf.DUMMYFUNCTION("IMPORTRANGE(""https://docs.google.com/spreadsheets/d/1-uDff_7J0KD5mKrp0Vvzr7lt3OU09vwQwhkpOPPYv2Y/edit?usp=sharing"",""งบพรบ!EQ21"")"),0)</f>
        <v>0</v>
      </c>
      <c r="P21" s="86">
        <f t="shared" ca="1" si="20"/>
        <v>0</v>
      </c>
      <c r="Q21" s="87">
        <f t="shared" ca="1" si="21"/>
        <v>0</v>
      </c>
      <c r="R21" s="353">
        <f ca="1">IFERROR(__xludf.DUMMYFUNCTION("IMPORTRANGE(""https://docs.google.com/spreadsheets/d/1xfJKIQxVOaPDIICqsflNlLu3JacTDk1FP9RH4phX7mI/edit?usp=sharing"",""พิจิตร!I330"")"),0)</f>
        <v>0</v>
      </c>
      <c r="S21" s="177">
        <f ca="1">IFERROR(__xludf.DUMMYFUNCTION("IMPORTRANGE(""https://docs.google.com/spreadsheets/d/1xfJKIQxVOaPDIICqsflNlLu3JacTDk1FP9RH4phX7mI/edit?usp=sharing"",""พิจิตร!J330"")"),0)</f>
        <v>0</v>
      </c>
      <c r="T21" s="354">
        <f t="shared" ca="1" si="23"/>
        <v>0</v>
      </c>
    </row>
    <row r="22" spans="1:20" ht="24" customHeight="1" x14ac:dyDescent="0.3">
      <c r="A22" s="89">
        <v>9</v>
      </c>
      <c r="B22" s="90" t="s">
        <v>48</v>
      </c>
      <c r="C22" s="174">
        <f t="shared" ca="1" si="14"/>
        <v>0</v>
      </c>
      <c r="D22" s="175">
        <f t="shared" ca="1" si="24"/>
        <v>0</v>
      </c>
      <c r="E22" s="176">
        <f ca="1">IFERROR(__xludf.DUMMYFUNCTION("IMPORTRANGE(""https://docs.google.com/spreadsheets/d/1-uDff_7J0KD5mKrp0Vvzr7lt3OU09vwQwhkpOPPYv2Y/edit?usp=sharing"",""งบพรบ!EJ22"")"),0)</f>
        <v>0</v>
      </c>
      <c r="F22" s="176">
        <f ca="1">IFERROR(__xludf.DUMMYFUNCTION("IMPORTRANGE(""https://docs.google.com/spreadsheets/d/1-uDff_7J0KD5mKrp0Vvzr7lt3OU09vwQwhkpOPPYv2Y/edit?usp=sharing"",""งบพรบ!EK22"")"),0)</f>
        <v>0</v>
      </c>
      <c r="G22" s="176">
        <f ca="1">IFERROR(__xludf.DUMMYFUNCTION("IMPORTRANGE(""https://docs.google.com/spreadsheets/d/1-uDff_7J0KD5mKrp0Vvzr7lt3OU09vwQwhkpOPPYv2Y/edit?usp=sharing"",""งบพรบ!EL22"")"),0)</f>
        <v>0</v>
      </c>
      <c r="H22" s="176">
        <f ca="1">IFERROR(__xludf.DUMMYFUNCTION("IMPORTRANGE(""https://docs.google.com/spreadsheets/d/1-uDff_7J0KD5mKrp0Vvzr7lt3OU09vwQwhkpOPPYv2Y/edit?usp=sharing"",""งบพรบ!EN22"")"),0)</f>
        <v>0</v>
      </c>
      <c r="I22" s="176">
        <f ca="1">IFERROR(__xludf.DUMMYFUNCTION("IMPORTRANGE(""https://docs.google.com/spreadsheets/d/1-uDff_7J0KD5mKrp0Vvzr7lt3OU09vwQwhkpOPPYv2Y/edit?usp=sharing"",""งบพรบ!EO22"")"),0)</f>
        <v>0</v>
      </c>
      <c r="J22" s="176">
        <f t="shared" ca="1" si="16"/>
        <v>0</v>
      </c>
      <c r="K22" s="179">
        <f t="shared" ca="1" si="17"/>
        <v>0</v>
      </c>
      <c r="L22" s="176">
        <f ca="1">IFERROR(__xludf.DUMMYFUNCTION("IMPORTRANGE(""https://docs.google.com/spreadsheets/d/1-uDff_7J0KD5mKrp0Vvzr7lt3OU09vwQwhkpOPPYv2Y/edit?usp=sharing"",""งบพรบ!EP22"")"),0)</f>
        <v>0</v>
      </c>
      <c r="M22" s="87">
        <f t="shared" ca="1" si="18"/>
        <v>0</v>
      </c>
      <c r="N22" s="87">
        <f t="shared" ca="1" si="19"/>
        <v>0</v>
      </c>
      <c r="O22" s="86">
        <f ca="1">IFERROR(__xludf.DUMMYFUNCTION("IMPORTRANGE(""https://docs.google.com/spreadsheets/d/1-uDff_7J0KD5mKrp0Vvzr7lt3OU09vwQwhkpOPPYv2Y/edit?usp=sharing"",""งบพรบ!EQ22"")"),0)</f>
        <v>0</v>
      </c>
      <c r="P22" s="86">
        <f t="shared" ca="1" si="20"/>
        <v>0</v>
      </c>
      <c r="Q22" s="87">
        <f t="shared" ca="1" si="21"/>
        <v>0</v>
      </c>
      <c r="R22" s="353">
        <f ca="1">IFERROR(__xludf.DUMMYFUNCTION("IMPORTRANGE(""https://docs.google.com/spreadsheets/d/1JtRfZkJMHtEhI5RdRHxYUG4FIZHqKDpNyIuN7A1Q0_k/edit?usp=sharing"",""พิษณุโลก!I330"")"),0)</f>
        <v>0</v>
      </c>
      <c r="S22" s="177">
        <f ca="1">IFERROR(__xludf.DUMMYFUNCTION("IMPORTRANGE(""https://docs.google.com/spreadsheets/d/1JtRfZkJMHtEhI5RdRHxYUG4FIZHqKDpNyIuN7A1Q0_k/edit?usp=sharing"",""พิษณุโลก!J330"")"),0)</f>
        <v>0</v>
      </c>
      <c r="T22" s="354">
        <f t="shared" ca="1" si="23"/>
        <v>0</v>
      </c>
    </row>
    <row r="23" spans="1:20" ht="24" customHeight="1" x14ac:dyDescent="0.3">
      <c r="A23" s="89">
        <v>10</v>
      </c>
      <c r="B23" s="90" t="s">
        <v>49</v>
      </c>
      <c r="C23" s="174">
        <f t="shared" ca="1" si="14"/>
        <v>0</v>
      </c>
      <c r="D23" s="175">
        <f t="shared" ca="1" si="24"/>
        <v>0</v>
      </c>
      <c r="E23" s="176">
        <f ca="1">IFERROR(__xludf.DUMMYFUNCTION("IMPORTRANGE(""https://docs.google.com/spreadsheets/d/1-uDff_7J0KD5mKrp0Vvzr7lt3OU09vwQwhkpOPPYv2Y/edit?usp=sharing"",""งบพรบ!EJ23"")"),0)</f>
        <v>0</v>
      </c>
      <c r="F23" s="176">
        <f ca="1">IFERROR(__xludf.DUMMYFUNCTION("IMPORTRANGE(""https://docs.google.com/spreadsheets/d/1-uDff_7J0KD5mKrp0Vvzr7lt3OU09vwQwhkpOPPYv2Y/edit?usp=sharing"",""งบพรบ!EK23"")"),0)</f>
        <v>0</v>
      </c>
      <c r="G23" s="176">
        <f ca="1">IFERROR(__xludf.DUMMYFUNCTION("IMPORTRANGE(""https://docs.google.com/spreadsheets/d/1-uDff_7J0KD5mKrp0Vvzr7lt3OU09vwQwhkpOPPYv2Y/edit?usp=sharing"",""งบพรบ!EL23"")"),0)</f>
        <v>0</v>
      </c>
      <c r="H23" s="176">
        <f ca="1">IFERROR(__xludf.DUMMYFUNCTION("IMPORTRANGE(""https://docs.google.com/spreadsheets/d/1-uDff_7J0KD5mKrp0Vvzr7lt3OU09vwQwhkpOPPYv2Y/edit?usp=sharing"",""งบพรบ!EN23"")"),0)</f>
        <v>0</v>
      </c>
      <c r="I23" s="176">
        <f ca="1">IFERROR(__xludf.DUMMYFUNCTION("IMPORTRANGE(""https://docs.google.com/spreadsheets/d/1-uDff_7J0KD5mKrp0Vvzr7lt3OU09vwQwhkpOPPYv2Y/edit?usp=sharing"",""งบพรบ!EO23"")"),0)</f>
        <v>0</v>
      </c>
      <c r="J23" s="176">
        <f t="shared" ca="1" si="16"/>
        <v>0</v>
      </c>
      <c r="K23" s="179">
        <f t="shared" ca="1" si="17"/>
        <v>0</v>
      </c>
      <c r="L23" s="176">
        <f ca="1">IFERROR(__xludf.DUMMYFUNCTION("IMPORTRANGE(""https://docs.google.com/spreadsheets/d/1-uDff_7J0KD5mKrp0Vvzr7lt3OU09vwQwhkpOPPYv2Y/edit?usp=sharing"",""งบพรบ!EP23"")"),0)</f>
        <v>0</v>
      </c>
      <c r="M23" s="87">
        <f t="shared" ca="1" si="18"/>
        <v>0</v>
      </c>
      <c r="N23" s="87">
        <f t="shared" ca="1" si="19"/>
        <v>0</v>
      </c>
      <c r="O23" s="86">
        <f ca="1">IFERROR(__xludf.DUMMYFUNCTION("IMPORTRANGE(""https://docs.google.com/spreadsheets/d/1-uDff_7J0KD5mKrp0Vvzr7lt3OU09vwQwhkpOPPYv2Y/edit?usp=sharing"",""งบพรบ!EQ23"")"),0)</f>
        <v>0</v>
      </c>
      <c r="P23" s="86">
        <f t="shared" ca="1" si="20"/>
        <v>0</v>
      </c>
      <c r="Q23" s="87">
        <f t="shared" ca="1" si="21"/>
        <v>0</v>
      </c>
      <c r="R23" s="353">
        <f ca="1">IFERROR(__xludf.DUMMYFUNCTION("IMPORTRANGE(""https://docs.google.com/spreadsheets/d/1xlcVZWUNn6SuWm0c307h32SiGkd9BaeQWlAktfD3KO8/edit?usp=sharing"",""เพชรบูรณ์!I330"")"),0)</f>
        <v>0</v>
      </c>
      <c r="S23" s="177">
        <f ca="1">IFERROR(__xludf.DUMMYFUNCTION("IMPORTRANGE(""https://docs.google.com/spreadsheets/d/1xlcVZWUNn6SuWm0c307h32SiGkd9BaeQWlAktfD3KO8/edit?usp=sharing"",""เพชรบูรณ์!J330"")"),0)</f>
        <v>0</v>
      </c>
      <c r="T23" s="354">
        <f t="shared" ca="1" si="23"/>
        <v>0</v>
      </c>
    </row>
    <row r="24" spans="1:20" ht="24" customHeight="1" x14ac:dyDescent="0.3">
      <c r="A24" s="89">
        <v>11</v>
      </c>
      <c r="B24" s="90" t="s">
        <v>50</v>
      </c>
      <c r="C24" s="174">
        <f t="shared" ca="1" si="14"/>
        <v>0</v>
      </c>
      <c r="D24" s="175">
        <f t="shared" ca="1" si="24"/>
        <v>0</v>
      </c>
      <c r="E24" s="176">
        <f ca="1">IFERROR(__xludf.DUMMYFUNCTION("IMPORTRANGE(""https://docs.google.com/spreadsheets/d/1-uDff_7J0KD5mKrp0Vvzr7lt3OU09vwQwhkpOPPYv2Y/edit?usp=sharing"",""งบพรบ!EJ24"")"),0)</f>
        <v>0</v>
      </c>
      <c r="F24" s="176">
        <f ca="1">IFERROR(__xludf.DUMMYFUNCTION("IMPORTRANGE(""https://docs.google.com/spreadsheets/d/1-uDff_7J0KD5mKrp0Vvzr7lt3OU09vwQwhkpOPPYv2Y/edit?usp=sharing"",""งบพรบ!EK24"")"),0)</f>
        <v>0</v>
      </c>
      <c r="G24" s="176">
        <f ca="1">IFERROR(__xludf.DUMMYFUNCTION("IMPORTRANGE(""https://docs.google.com/spreadsheets/d/1-uDff_7J0KD5mKrp0Vvzr7lt3OU09vwQwhkpOPPYv2Y/edit?usp=sharing"",""งบพรบ!EL24"")"),0)</f>
        <v>0</v>
      </c>
      <c r="H24" s="176">
        <f ca="1">IFERROR(__xludf.DUMMYFUNCTION("IMPORTRANGE(""https://docs.google.com/spreadsheets/d/1-uDff_7J0KD5mKrp0Vvzr7lt3OU09vwQwhkpOPPYv2Y/edit?usp=sharing"",""งบพรบ!EN24"")"),0)</f>
        <v>0</v>
      </c>
      <c r="I24" s="176">
        <f ca="1">IFERROR(__xludf.DUMMYFUNCTION("IMPORTRANGE(""https://docs.google.com/spreadsheets/d/1-uDff_7J0KD5mKrp0Vvzr7lt3OU09vwQwhkpOPPYv2Y/edit?usp=sharing"",""งบพรบ!EO24"")"),0)</f>
        <v>0</v>
      </c>
      <c r="J24" s="176">
        <f t="shared" ca="1" si="16"/>
        <v>0</v>
      </c>
      <c r="K24" s="179">
        <f t="shared" ca="1" si="17"/>
        <v>0</v>
      </c>
      <c r="L24" s="176">
        <f ca="1">IFERROR(__xludf.DUMMYFUNCTION("IMPORTRANGE(""https://docs.google.com/spreadsheets/d/1-uDff_7J0KD5mKrp0Vvzr7lt3OU09vwQwhkpOPPYv2Y/edit?usp=sharing"",""งบพรบ!EP24"")"),0)</f>
        <v>0</v>
      </c>
      <c r="M24" s="87">
        <f t="shared" ca="1" si="18"/>
        <v>0</v>
      </c>
      <c r="N24" s="87">
        <f t="shared" ca="1" si="19"/>
        <v>0</v>
      </c>
      <c r="O24" s="86">
        <f ca="1">IFERROR(__xludf.DUMMYFUNCTION("IMPORTRANGE(""https://docs.google.com/spreadsheets/d/1-uDff_7J0KD5mKrp0Vvzr7lt3OU09vwQwhkpOPPYv2Y/edit?usp=sharing"",""งบพรบ!EQ24"")"),0)</f>
        <v>0</v>
      </c>
      <c r="P24" s="86">
        <f t="shared" ca="1" si="20"/>
        <v>0</v>
      </c>
      <c r="Q24" s="87">
        <f t="shared" ca="1" si="21"/>
        <v>0</v>
      </c>
      <c r="R24" s="353">
        <f ca="1">IFERROR(__xludf.DUMMYFUNCTION("IMPORTRANGE(""https://docs.google.com/spreadsheets/d/1lOVebEIsI9qjGXl6EX66luk7wiuP2tBaryw-wKvv4e0/edit?usp=sharing"",""แพร่!I330"")"),0)</f>
        <v>0</v>
      </c>
      <c r="S24" s="177">
        <f ca="1">IFERROR(__xludf.DUMMYFUNCTION("IMPORTRANGE(""https://docs.google.com/spreadsheets/d/1lOVebEIsI9qjGXl6EX66luk7wiuP2tBaryw-wKvv4e0/edit?usp=sharing"",""แพร่!J330"")"),0)</f>
        <v>0</v>
      </c>
      <c r="T24" s="354">
        <f t="shared" ca="1" si="23"/>
        <v>0</v>
      </c>
    </row>
    <row r="25" spans="1:20" ht="24" customHeight="1" x14ac:dyDescent="0.3">
      <c r="A25" s="89">
        <v>12</v>
      </c>
      <c r="B25" s="90" t="s">
        <v>51</v>
      </c>
      <c r="C25" s="174">
        <f t="shared" ca="1" si="14"/>
        <v>0</v>
      </c>
      <c r="D25" s="175">
        <f t="shared" ca="1" si="24"/>
        <v>0</v>
      </c>
      <c r="E25" s="176">
        <f ca="1">IFERROR(__xludf.DUMMYFUNCTION("IMPORTRANGE(""https://docs.google.com/spreadsheets/d/1-uDff_7J0KD5mKrp0Vvzr7lt3OU09vwQwhkpOPPYv2Y/edit?usp=sharing"",""งบพรบ!EJ25"")"),0)</f>
        <v>0</v>
      </c>
      <c r="F25" s="176">
        <f ca="1">IFERROR(__xludf.DUMMYFUNCTION("IMPORTRANGE(""https://docs.google.com/spreadsheets/d/1-uDff_7J0KD5mKrp0Vvzr7lt3OU09vwQwhkpOPPYv2Y/edit?usp=sharing"",""งบพรบ!EK25"")"),0)</f>
        <v>0</v>
      </c>
      <c r="G25" s="176">
        <f ca="1">IFERROR(__xludf.DUMMYFUNCTION("IMPORTRANGE(""https://docs.google.com/spreadsheets/d/1-uDff_7J0KD5mKrp0Vvzr7lt3OU09vwQwhkpOPPYv2Y/edit?usp=sharing"",""งบพรบ!EL25"")"),0)</f>
        <v>0</v>
      </c>
      <c r="H25" s="176">
        <f ca="1">IFERROR(__xludf.DUMMYFUNCTION("IMPORTRANGE(""https://docs.google.com/spreadsheets/d/1-uDff_7J0KD5mKrp0Vvzr7lt3OU09vwQwhkpOPPYv2Y/edit?usp=sharing"",""งบพรบ!EN25"")"),0)</f>
        <v>0</v>
      </c>
      <c r="I25" s="176">
        <f ca="1">IFERROR(__xludf.DUMMYFUNCTION("IMPORTRANGE(""https://docs.google.com/spreadsheets/d/1-uDff_7J0KD5mKrp0Vvzr7lt3OU09vwQwhkpOPPYv2Y/edit?usp=sharing"",""งบพรบ!EO25"")"),0)</f>
        <v>0</v>
      </c>
      <c r="J25" s="176">
        <f t="shared" ca="1" si="16"/>
        <v>0</v>
      </c>
      <c r="K25" s="179">
        <f t="shared" ca="1" si="17"/>
        <v>0</v>
      </c>
      <c r="L25" s="176">
        <f ca="1">IFERROR(__xludf.DUMMYFUNCTION("IMPORTRANGE(""https://docs.google.com/spreadsheets/d/1-uDff_7J0KD5mKrp0Vvzr7lt3OU09vwQwhkpOPPYv2Y/edit?usp=sharing"",""งบพรบ!EP25"")"),0)</f>
        <v>0</v>
      </c>
      <c r="M25" s="87">
        <f t="shared" ca="1" si="18"/>
        <v>0</v>
      </c>
      <c r="N25" s="87">
        <f t="shared" ca="1" si="19"/>
        <v>0</v>
      </c>
      <c r="O25" s="86">
        <f ca="1">IFERROR(__xludf.DUMMYFUNCTION("IMPORTRANGE(""https://docs.google.com/spreadsheets/d/1-uDff_7J0KD5mKrp0Vvzr7lt3OU09vwQwhkpOPPYv2Y/edit?usp=sharing"",""งบพรบ!EQ25"")"),0)</f>
        <v>0</v>
      </c>
      <c r="P25" s="86">
        <f t="shared" ca="1" si="20"/>
        <v>0</v>
      </c>
      <c r="Q25" s="87">
        <f t="shared" ca="1" si="21"/>
        <v>0</v>
      </c>
      <c r="R25" s="353">
        <f ca="1">IFERROR(__xludf.DUMMYFUNCTION("IMPORTRANGE(""https://docs.google.com/spreadsheets/d/1dQrvX0vEcN7Gu0fnZ0B5S90AeR19zth4XlExFBeExMY/edit?usp=sharing"",""แม่ฮ่องสอน!I330"")"),0)</f>
        <v>0</v>
      </c>
      <c r="S25" s="177">
        <f ca="1">IFERROR(__xludf.DUMMYFUNCTION("IMPORTRANGE(""https://docs.google.com/spreadsheets/d/1dQrvX0vEcN7Gu0fnZ0B5S90AeR19zth4XlExFBeExMY/edit?usp=sharing"",""แม่ฮ่องสอน!J330"")"),0)</f>
        <v>0</v>
      </c>
      <c r="T25" s="354">
        <f t="shared" ca="1" si="23"/>
        <v>0</v>
      </c>
    </row>
    <row r="26" spans="1:20" ht="24" customHeight="1" x14ac:dyDescent="0.3">
      <c r="A26" s="89">
        <v>13</v>
      </c>
      <c r="B26" s="90" t="s">
        <v>52</v>
      </c>
      <c r="C26" s="174">
        <f t="shared" ca="1" si="14"/>
        <v>0</v>
      </c>
      <c r="D26" s="175">
        <f t="shared" ca="1" si="24"/>
        <v>0</v>
      </c>
      <c r="E26" s="176">
        <f ca="1">IFERROR(__xludf.DUMMYFUNCTION("IMPORTRANGE(""https://docs.google.com/spreadsheets/d/1-uDff_7J0KD5mKrp0Vvzr7lt3OU09vwQwhkpOPPYv2Y/edit?usp=sharing"",""งบพรบ!EJ26"")"),0)</f>
        <v>0</v>
      </c>
      <c r="F26" s="176">
        <f ca="1">IFERROR(__xludf.DUMMYFUNCTION("IMPORTRANGE(""https://docs.google.com/spreadsheets/d/1-uDff_7J0KD5mKrp0Vvzr7lt3OU09vwQwhkpOPPYv2Y/edit?usp=sharing"",""งบพรบ!EK26"")"),0)</f>
        <v>0</v>
      </c>
      <c r="G26" s="176">
        <f ca="1">IFERROR(__xludf.DUMMYFUNCTION("IMPORTRANGE(""https://docs.google.com/spreadsheets/d/1-uDff_7J0KD5mKrp0Vvzr7lt3OU09vwQwhkpOPPYv2Y/edit?usp=sharing"",""งบพรบ!EL26"")"),0)</f>
        <v>0</v>
      </c>
      <c r="H26" s="176">
        <f ca="1">IFERROR(__xludf.DUMMYFUNCTION("IMPORTRANGE(""https://docs.google.com/spreadsheets/d/1-uDff_7J0KD5mKrp0Vvzr7lt3OU09vwQwhkpOPPYv2Y/edit?usp=sharing"",""งบพรบ!EN26"")"),0)</f>
        <v>0</v>
      </c>
      <c r="I26" s="176">
        <f ca="1">IFERROR(__xludf.DUMMYFUNCTION("IMPORTRANGE(""https://docs.google.com/spreadsheets/d/1-uDff_7J0KD5mKrp0Vvzr7lt3OU09vwQwhkpOPPYv2Y/edit?usp=sharing"",""งบพรบ!EO26"")"),0)</f>
        <v>0</v>
      </c>
      <c r="J26" s="176">
        <f t="shared" ca="1" si="16"/>
        <v>0</v>
      </c>
      <c r="K26" s="179">
        <f t="shared" ca="1" si="17"/>
        <v>0</v>
      </c>
      <c r="L26" s="176">
        <f ca="1">IFERROR(__xludf.DUMMYFUNCTION("IMPORTRANGE(""https://docs.google.com/spreadsheets/d/1-uDff_7J0KD5mKrp0Vvzr7lt3OU09vwQwhkpOPPYv2Y/edit?usp=sharing"",""งบพรบ!EP26"")"),0)</f>
        <v>0</v>
      </c>
      <c r="M26" s="87">
        <f t="shared" ca="1" si="18"/>
        <v>0</v>
      </c>
      <c r="N26" s="87">
        <f t="shared" ca="1" si="19"/>
        <v>0</v>
      </c>
      <c r="O26" s="86">
        <f ca="1">IFERROR(__xludf.DUMMYFUNCTION("IMPORTRANGE(""https://docs.google.com/spreadsheets/d/1-uDff_7J0KD5mKrp0Vvzr7lt3OU09vwQwhkpOPPYv2Y/edit?usp=sharing"",""งบพรบ!EQ26"")"),0)</f>
        <v>0</v>
      </c>
      <c r="P26" s="86">
        <f t="shared" ca="1" si="20"/>
        <v>0</v>
      </c>
      <c r="Q26" s="87">
        <f t="shared" ca="1" si="21"/>
        <v>0</v>
      </c>
      <c r="R26" s="355">
        <f ca="1">IFERROR(__xludf.DUMMYFUNCTION("IMPORTRANGE(""https://docs.google.com/spreadsheets/d/1DY4XTNNwjluuxqdfdn6qvOSlMRrZqUtmYcZR0ttFiG4/edit?usp=sharing"",""ลำปาง!I330"")"),0)</f>
        <v>0</v>
      </c>
      <c r="S26" s="177">
        <f ca="1">IFERROR(__xludf.DUMMYFUNCTION("IMPORTRANGE(""https://docs.google.com/spreadsheets/d/1DY4XTNNwjluuxqdfdn6qvOSlMRrZqUtmYcZR0ttFiG4/edit?usp=sharing"",""ลำปาง!J330"")"),0)</f>
        <v>0</v>
      </c>
      <c r="T26" s="354">
        <f t="shared" ca="1" si="23"/>
        <v>0</v>
      </c>
    </row>
    <row r="27" spans="1:20" ht="24" customHeight="1" x14ac:dyDescent="0.3">
      <c r="A27" s="89">
        <v>14</v>
      </c>
      <c r="B27" s="90" t="s">
        <v>53</v>
      </c>
      <c r="C27" s="174">
        <f t="shared" ca="1" si="14"/>
        <v>0</v>
      </c>
      <c r="D27" s="175">
        <f t="shared" ca="1" si="24"/>
        <v>0</v>
      </c>
      <c r="E27" s="176">
        <f ca="1">IFERROR(__xludf.DUMMYFUNCTION("IMPORTRANGE(""https://docs.google.com/spreadsheets/d/1-uDff_7J0KD5mKrp0Vvzr7lt3OU09vwQwhkpOPPYv2Y/edit?usp=sharing"",""งบพรบ!EJ27"")"),0)</f>
        <v>0</v>
      </c>
      <c r="F27" s="176">
        <f ca="1">IFERROR(__xludf.DUMMYFUNCTION("IMPORTRANGE(""https://docs.google.com/spreadsheets/d/1-uDff_7J0KD5mKrp0Vvzr7lt3OU09vwQwhkpOPPYv2Y/edit?usp=sharing"",""งบพรบ!EK27"")"),0)</f>
        <v>0</v>
      </c>
      <c r="G27" s="176">
        <f ca="1">IFERROR(__xludf.DUMMYFUNCTION("IMPORTRANGE(""https://docs.google.com/spreadsheets/d/1-uDff_7J0KD5mKrp0Vvzr7lt3OU09vwQwhkpOPPYv2Y/edit?usp=sharing"",""งบพรบ!EL27"")"),0)</f>
        <v>0</v>
      </c>
      <c r="H27" s="176">
        <f ca="1">IFERROR(__xludf.DUMMYFUNCTION("IMPORTRANGE(""https://docs.google.com/spreadsheets/d/1-uDff_7J0KD5mKrp0Vvzr7lt3OU09vwQwhkpOPPYv2Y/edit?usp=sharing"",""งบพรบ!EN27"")"),0)</f>
        <v>0</v>
      </c>
      <c r="I27" s="176">
        <f ca="1">IFERROR(__xludf.DUMMYFUNCTION("IMPORTRANGE(""https://docs.google.com/spreadsheets/d/1-uDff_7J0KD5mKrp0Vvzr7lt3OU09vwQwhkpOPPYv2Y/edit?usp=sharing"",""งบพรบ!EO27"")"),0)</f>
        <v>0</v>
      </c>
      <c r="J27" s="176">
        <f t="shared" ca="1" si="16"/>
        <v>0</v>
      </c>
      <c r="K27" s="179">
        <f t="shared" ca="1" si="17"/>
        <v>0</v>
      </c>
      <c r="L27" s="176">
        <f ca="1">IFERROR(__xludf.DUMMYFUNCTION("IMPORTRANGE(""https://docs.google.com/spreadsheets/d/1-uDff_7J0KD5mKrp0Vvzr7lt3OU09vwQwhkpOPPYv2Y/edit?usp=sharing"",""งบพรบ!EP27"")"),0)</f>
        <v>0</v>
      </c>
      <c r="M27" s="87">
        <f t="shared" ca="1" si="18"/>
        <v>0</v>
      </c>
      <c r="N27" s="87">
        <f t="shared" ca="1" si="19"/>
        <v>0</v>
      </c>
      <c r="O27" s="86">
        <f ca="1">IFERROR(__xludf.DUMMYFUNCTION("IMPORTRANGE(""https://docs.google.com/spreadsheets/d/1-uDff_7J0KD5mKrp0Vvzr7lt3OU09vwQwhkpOPPYv2Y/edit?usp=sharing"",""งบพรบ!EQ27"")"),0)</f>
        <v>0</v>
      </c>
      <c r="P27" s="86">
        <f t="shared" ca="1" si="20"/>
        <v>0</v>
      </c>
      <c r="Q27" s="87">
        <f t="shared" ca="1" si="21"/>
        <v>0</v>
      </c>
      <c r="R27" s="353">
        <f ca="1">IFERROR(__xludf.DUMMYFUNCTION("IMPORTRANGE(""https://docs.google.com/spreadsheets/d/1ICwG78r0OFT8biBlxnBF8r7she7gNSzOvJ958PWT09c/edit?usp=sharing"",""ลำพูน!I330"")"),0)</f>
        <v>0</v>
      </c>
      <c r="S27" s="177">
        <f ca="1">IFERROR(__xludf.DUMMYFUNCTION("IMPORTRANGE(""https://docs.google.com/spreadsheets/d/1ICwG78r0OFT8biBlxnBF8r7she7gNSzOvJ958PWT09c/edit?usp=sharing"",""ลำพูน!J330"")"),0)</f>
        <v>0</v>
      </c>
      <c r="T27" s="354">
        <f t="shared" ca="1" si="23"/>
        <v>0</v>
      </c>
    </row>
    <row r="28" spans="1:20" ht="24" customHeight="1" x14ac:dyDescent="0.3">
      <c r="A28" s="89">
        <v>15</v>
      </c>
      <c r="B28" s="90" t="s">
        <v>54</v>
      </c>
      <c r="C28" s="174">
        <f t="shared" ca="1" si="14"/>
        <v>0</v>
      </c>
      <c r="D28" s="175">
        <f t="shared" ca="1" si="24"/>
        <v>0</v>
      </c>
      <c r="E28" s="176">
        <f ca="1">IFERROR(__xludf.DUMMYFUNCTION("IMPORTRANGE(""https://docs.google.com/spreadsheets/d/1-uDff_7J0KD5mKrp0Vvzr7lt3OU09vwQwhkpOPPYv2Y/edit?usp=sharing"",""งบพรบ!EJ28"")"),0)</f>
        <v>0</v>
      </c>
      <c r="F28" s="176">
        <f ca="1">IFERROR(__xludf.DUMMYFUNCTION("IMPORTRANGE(""https://docs.google.com/spreadsheets/d/1-uDff_7J0KD5mKrp0Vvzr7lt3OU09vwQwhkpOPPYv2Y/edit?usp=sharing"",""งบพรบ!EK28"")"),0)</f>
        <v>0</v>
      </c>
      <c r="G28" s="176">
        <f ca="1">IFERROR(__xludf.DUMMYFUNCTION("IMPORTRANGE(""https://docs.google.com/spreadsheets/d/1-uDff_7J0KD5mKrp0Vvzr7lt3OU09vwQwhkpOPPYv2Y/edit?usp=sharing"",""งบพรบ!EL28"")"),0)</f>
        <v>0</v>
      </c>
      <c r="H28" s="176">
        <f ca="1">IFERROR(__xludf.DUMMYFUNCTION("IMPORTRANGE(""https://docs.google.com/spreadsheets/d/1-uDff_7J0KD5mKrp0Vvzr7lt3OU09vwQwhkpOPPYv2Y/edit?usp=sharing"",""งบพรบ!EN28"")"),0)</f>
        <v>0</v>
      </c>
      <c r="I28" s="176">
        <f ca="1">IFERROR(__xludf.DUMMYFUNCTION("IMPORTRANGE(""https://docs.google.com/spreadsheets/d/1-uDff_7J0KD5mKrp0Vvzr7lt3OU09vwQwhkpOPPYv2Y/edit?usp=sharing"",""งบพรบ!EO28"")"),0)</f>
        <v>0</v>
      </c>
      <c r="J28" s="176">
        <f t="shared" ca="1" si="16"/>
        <v>0</v>
      </c>
      <c r="K28" s="179">
        <f t="shared" ca="1" si="17"/>
        <v>0</v>
      </c>
      <c r="L28" s="176">
        <f ca="1">IFERROR(__xludf.DUMMYFUNCTION("IMPORTRANGE(""https://docs.google.com/spreadsheets/d/1-uDff_7J0KD5mKrp0Vvzr7lt3OU09vwQwhkpOPPYv2Y/edit?usp=sharing"",""งบพรบ!EP28"")"),0)</f>
        <v>0</v>
      </c>
      <c r="M28" s="87">
        <f t="shared" ca="1" si="18"/>
        <v>0</v>
      </c>
      <c r="N28" s="87">
        <f t="shared" ca="1" si="19"/>
        <v>0</v>
      </c>
      <c r="O28" s="86">
        <f ca="1">IFERROR(__xludf.DUMMYFUNCTION("IMPORTRANGE(""https://docs.google.com/spreadsheets/d/1-uDff_7J0KD5mKrp0Vvzr7lt3OU09vwQwhkpOPPYv2Y/edit?usp=sharing"",""งบพรบ!EQ28"")"),0)</f>
        <v>0</v>
      </c>
      <c r="P28" s="86">
        <f t="shared" ca="1" si="20"/>
        <v>0</v>
      </c>
      <c r="Q28" s="87">
        <f t="shared" ca="1" si="21"/>
        <v>0</v>
      </c>
      <c r="R28" s="353">
        <f ca="1">IFERROR(__xludf.DUMMYFUNCTION("IMPORTRANGE(""https://docs.google.com/spreadsheets/d/1B0f2xJpZUC6Z0xXnqKlZtEPzsf6L84eP1r1Q15seqRM/edit?usp=sharing"",""สุโขทัย!I330"")"),0)</f>
        <v>0</v>
      </c>
      <c r="S28" s="177">
        <f ca="1">IFERROR(__xludf.DUMMYFUNCTION("IMPORTRANGE(""https://docs.google.com/spreadsheets/d/1B0f2xJpZUC6Z0xXnqKlZtEPzsf6L84eP1r1Q15seqRM/edit?usp=sharing"",""สุโขทัย!J330"")"),0)</f>
        <v>0</v>
      </c>
      <c r="T28" s="354">
        <f t="shared" ca="1" si="23"/>
        <v>0</v>
      </c>
    </row>
    <row r="29" spans="1:20" ht="24" customHeight="1" x14ac:dyDescent="0.3">
      <c r="A29" s="89">
        <v>16</v>
      </c>
      <c r="B29" s="90" t="s">
        <v>55</v>
      </c>
      <c r="C29" s="174">
        <f t="shared" ca="1" si="14"/>
        <v>0</v>
      </c>
      <c r="D29" s="175">
        <f t="shared" ca="1" si="24"/>
        <v>0</v>
      </c>
      <c r="E29" s="176">
        <f ca="1">IFERROR(__xludf.DUMMYFUNCTION("IMPORTRANGE(""https://docs.google.com/spreadsheets/d/1-uDff_7J0KD5mKrp0Vvzr7lt3OU09vwQwhkpOPPYv2Y/edit?usp=sharing"",""งบพรบ!EJ29"")"),0)</f>
        <v>0</v>
      </c>
      <c r="F29" s="176">
        <f ca="1">IFERROR(__xludf.DUMMYFUNCTION("IMPORTRANGE(""https://docs.google.com/spreadsheets/d/1-uDff_7J0KD5mKrp0Vvzr7lt3OU09vwQwhkpOPPYv2Y/edit?usp=sharing"",""งบพรบ!EK29"")"),0)</f>
        <v>0</v>
      </c>
      <c r="G29" s="176">
        <f ca="1">IFERROR(__xludf.DUMMYFUNCTION("IMPORTRANGE(""https://docs.google.com/spreadsheets/d/1-uDff_7J0KD5mKrp0Vvzr7lt3OU09vwQwhkpOPPYv2Y/edit?usp=sharing"",""งบพรบ!EL29"")"),0)</f>
        <v>0</v>
      </c>
      <c r="H29" s="176">
        <f ca="1">IFERROR(__xludf.DUMMYFUNCTION("IMPORTRANGE(""https://docs.google.com/spreadsheets/d/1-uDff_7J0KD5mKrp0Vvzr7lt3OU09vwQwhkpOPPYv2Y/edit?usp=sharing"",""งบพรบ!EN29"")"),0)</f>
        <v>0</v>
      </c>
      <c r="I29" s="176">
        <f ca="1">IFERROR(__xludf.DUMMYFUNCTION("IMPORTRANGE(""https://docs.google.com/spreadsheets/d/1-uDff_7J0KD5mKrp0Vvzr7lt3OU09vwQwhkpOPPYv2Y/edit?usp=sharing"",""งบพรบ!EO29"")"),0)</f>
        <v>0</v>
      </c>
      <c r="J29" s="176">
        <f t="shared" ca="1" si="16"/>
        <v>0</v>
      </c>
      <c r="K29" s="179">
        <f t="shared" ca="1" si="17"/>
        <v>0</v>
      </c>
      <c r="L29" s="176">
        <f ca="1">IFERROR(__xludf.DUMMYFUNCTION("IMPORTRANGE(""https://docs.google.com/spreadsheets/d/1-uDff_7J0KD5mKrp0Vvzr7lt3OU09vwQwhkpOPPYv2Y/edit?usp=sharing"",""งบพรบ!EP29"")"),0)</f>
        <v>0</v>
      </c>
      <c r="M29" s="87">
        <f t="shared" ca="1" si="18"/>
        <v>0</v>
      </c>
      <c r="N29" s="87">
        <f t="shared" ca="1" si="19"/>
        <v>0</v>
      </c>
      <c r="O29" s="86">
        <f ca="1">IFERROR(__xludf.DUMMYFUNCTION("IMPORTRANGE(""https://docs.google.com/spreadsheets/d/1-uDff_7J0KD5mKrp0Vvzr7lt3OU09vwQwhkpOPPYv2Y/edit?usp=sharing"",""งบพรบ!EQ29"")"),0)</f>
        <v>0</v>
      </c>
      <c r="P29" s="86">
        <f t="shared" ca="1" si="20"/>
        <v>0</v>
      </c>
      <c r="Q29" s="87">
        <f t="shared" ca="1" si="21"/>
        <v>0</v>
      </c>
      <c r="R29" s="353">
        <f ca="1">IFERROR(__xludf.DUMMYFUNCTION("IMPORTRANGE(""https://docs.google.com/spreadsheets/d/1v0b9pFQCsKUVExMei7AgY2yQkdeNQvtOssygGsXbiKo/edit?usp=sharing"",""อุตรดิตถ์!I330"")"),0)</f>
        <v>0</v>
      </c>
      <c r="S29" s="177">
        <f ca="1">IFERROR(__xludf.DUMMYFUNCTION("IMPORTRANGE(""https://docs.google.com/spreadsheets/d/1v0b9pFQCsKUVExMei7AgY2yQkdeNQvtOssygGsXbiKo/edit?usp=sharing"",""อุตรดิตถ์!J330"")"),0)</f>
        <v>0</v>
      </c>
      <c r="T29" s="354">
        <f t="shared" ca="1" si="23"/>
        <v>0</v>
      </c>
    </row>
    <row r="30" spans="1:20" ht="24" customHeight="1" x14ac:dyDescent="0.3">
      <c r="A30" s="100">
        <v>17</v>
      </c>
      <c r="B30" s="101" t="s">
        <v>56</v>
      </c>
      <c r="C30" s="182">
        <f t="shared" ca="1" si="14"/>
        <v>20000</v>
      </c>
      <c r="D30" s="183">
        <f t="shared" ca="1" si="24"/>
        <v>20000</v>
      </c>
      <c r="E30" s="184">
        <f ca="1">IFERROR(__xludf.DUMMYFUNCTION("IMPORTRANGE(""https://docs.google.com/spreadsheets/d/1-uDff_7J0KD5mKrp0Vvzr7lt3OU09vwQwhkpOPPYv2Y/edit?usp=sharing"",""งบพรบ!EJ30"")"),0)</f>
        <v>0</v>
      </c>
      <c r="F30" s="184">
        <f ca="1">IFERROR(__xludf.DUMMYFUNCTION("IMPORTRANGE(""https://docs.google.com/spreadsheets/d/1-uDff_7J0KD5mKrp0Vvzr7lt3OU09vwQwhkpOPPYv2Y/edit?usp=sharing"",""งบพรบ!EK30"")"),20000)</f>
        <v>20000</v>
      </c>
      <c r="G30" s="184">
        <f ca="1">IFERROR(__xludf.DUMMYFUNCTION("IMPORTRANGE(""https://docs.google.com/spreadsheets/d/1-uDff_7J0KD5mKrp0Vvzr7lt3OU09vwQwhkpOPPYv2Y/edit?usp=sharing"",""งบพรบ!EL30"")"),0)</f>
        <v>0</v>
      </c>
      <c r="H30" s="184">
        <f ca="1">IFERROR(__xludf.DUMMYFUNCTION("IMPORTRANGE(""https://docs.google.com/spreadsheets/d/1-uDff_7J0KD5mKrp0Vvzr7lt3OU09vwQwhkpOPPYv2Y/edit?usp=sharing"",""งบพรบ!EN30"")"),20000)</f>
        <v>20000</v>
      </c>
      <c r="I30" s="184">
        <f ca="1">IFERROR(__xludf.DUMMYFUNCTION("IMPORTRANGE(""https://docs.google.com/spreadsheets/d/1-uDff_7J0KD5mKrp0Vvzr7lt3OU09vwQwhkpOPPYv2Y/edit?usp=sharing"",""งบพรบ!EO30"")"),0)</f>
        <v>0</v>
      </c>
      <c r="J30" s="184">
        <f t="shared" ca="1" si="16"/>
        <v>0</v>
      </c>
      <c r="K30" s="185">
        <f t="shared" ca="1" si="17"/>
        <v>0</v>
      </c>
      <c r="L30" s="184">
        <f ca="1">IFERROR(__xludf.DUMMYFUNCTION("IMPORTRANGE(""https://docs.google.com/spreadsheets/d/1-uDff_7J0KD5mKrp0Vvzr7lt3OU09vwQwhkpOPPYv2Y/edit?usp=sharing"",""งบพรบ!EP30"")"),0)</f>
        <v>0</v>
      </c>
      <c r="M30" s="109">
        <f t="shared" ca="1" si="18"/>
        <v>0</v>
      </c>
      <c r="N30" s="109">
        <f t="shared" ca="1" si="19"/>
        <v>0</v>
      </c>
      <c r="O30" s="108">
        <f ca="1">IFERROR(__xludf.DUMMYFUNCTION("IMPORTRANGE(""https://docs.google.com/spreadsheets/d/1-uDff_7J0KD5mKrp0Vvzr7lt3OU09vwQwhkpOPPYv2Y/edit?usp=sharing"",""งบพรบ!EQ30"")"),0)</f>
        <v>0</v>
      </c>
      <c r="P30" s="108">
        <f t="shared" ca="1" si="20"/>
        <v>0</v>
      </c>
      <c r="Q30" s="109">
        <f t="shared" ca="1" si="21"/>
        <v>0</v>
      </c>
      <c r="R30" s="356">
        <f ca="1">IFERROR(__xludf.DUMMYFUNCTION("IMPORTRANGE(""https://docs.google.com/spreadsheets/d/1UsNK1e-WWiCo2PvGqdNfdme4m17_Ezd3J69EeeiQPD0/edit?usp=sharing"",""อุทัยธานี!I330"")"),1)</f>
        <v>1</v>
      </c>
      <c r="S30" s="186">
        <f ca="1">IFERROR(__xludf.DUMMYFUNCTION("IMPORTRANGE(""https://docs.google.com/spreadsheets/d/1UsNK1e-WWiCo2PvGqdNfdme4m17_Ezd3J69EeeiQPD0/edit?usp=sharing"",""อุทัยธานี!J330"")"),0)</f>
        <v>0</v>
      </c>
      <c r="T30" s="357">
        <f t="shared" ca="1" si="23"/>
        <v>0</v>
      </c>
    </row>
    <row r="31" spans="1:20" ht="21" customHeight="1" x14ac:dyDescent="0.3">
      <c r="A31" s="625" t="s">
        <v>57</v>
      </c>
      <c r="B31" s="626"/>
      <c r="C31" s="161">
        <f t="shared" ca="1" si="14"/>
        <v>50000</v>
      </c>
      <c r="D31" s="161">
        <f t="shared" ref="D31:I31" ca="1" si="25">SUM(D32:D51)</f>
        <v>50000</v>
      </c>
      <c r="E31" s="161">
        <f t="shared" ca="1" si="25"/>
        <v>0</v>
      </c>
      <c r="F31" s="161">
        <f t="shared" ca="1" si="25"/>
        <v>50000</v>
      </c>
      <c r="G31" s="161">
        <f t="shared" ca="1" si="25"/>
        <v>0</v>
      </c>
      <c r="H31" s="161">
        <f t="shared" ca="1" si="25"/>
        <v>50000</v>
      </c>
      <c r="I31" s="161">
        <f t="shared" ca="1" si="25"/>
        <v>0</v>
      </c>
      <c r="J31" s="161">
        <f t="shared" ca="1" si="16"/>
        <v>4320</v>
      </c>
      <c r="K31" s="162">
        <f t="shared" ca="1" si="17"/>
        <v>8.64</v>
      </c>
      <c r="L31" s="161">
        <f ca="1">SUM(L32:L51)</f>
        <v>4320</v>
      </c>
      <c r="M31" s="40">
        <f t="shared" ca="1" si="18"/>
        <v>8.64</v>
      </c>
      <c r="N31" s="40">
        <f t="shared" ca="1" si="19"/>
        <v>8.64</v>
      </c>
      <c r="O31" s="39">
        <f ca="1">SUM(O32:O51)</f>
        <v>0</v>
      </c>
      <c r="P31" s="39">
        <f t="shared" ca="1" si="20"/>
        <v>0</v>
      </c>
      <c r="Q31" s="40">
        <f t="shared" ca="1" si="21"/>
        <v>0</v>
      </c>
      <c r="R31" s="348">
        <f t="shared" ref="R31:S31" ca="1" si="26">SUM(R32:R51)</f>
        <v>2</v>
      </c>
      <c r="S31" s="161">
        <f t="shared" ca="1" si="26"/>
        <v>0</v>
      </c>
      <c r="T31" s="40">
        <f t="shared" ca="1" si="23"/>
        <v>0</v>
      </c>
    </row>
    <row r="32" spans="1:20" ht="21" customHeight="1" x14ac:dyDescent="0.3">
      <c r="A32" s="77">
        <v>1</v>
      </c>
      <c r="B32" s="78" t="s">
        <v>58</v>
      </c>
      <c r="C32" s="174">
        <f t="shared" ca="1" si="14"/>
        <v>20000</v>
      </c>
      <c r="D32" s="175">
        <f t="shared" ref="D32:D51" ca="1" si="27">+E32+F32</f>
        <v>20000</v>
      </c>
      <c r="E32" s="176">
        <f ca="1">IFERROR(__xludf.DUMMYFUNCTION("IMPORTRANGE(""https://docs.google.com/spreadsheets/d/1-uDff_7J0KD5mKrp0Vvzr7lt3OU09vwQwhkpOPPYv2Y/edit?usp=sharing"",""งบพรบ!EJ32"")"),0)</f>
        <v>0</v>
      </c>
      <c r="F32" s="176">
        <f ca="1">IFERROR(__xludf.DUMMYFUNCTION("IMPORTRANGE(""https://docs.google.com/spreadsheets/d/1-uDff_7J0KD5mKrp0Vvzr7lt3OU09vwQwhkpOPPYv2Y/edit?usp=sharing"",""งบพรบ!EK32"")"),20000)</f>
        <v>20000</v>
      </c>
      <c r="G32" s="177">
        <f ca="1">IFERROR(__xludf.DUMMYFUNCTION("IMPORTRANGE(""https://docs.google.com/spreadsheets/d/1-uDff_7J0KD5mKrp0Vvzr7lt3OU09vwQwhkpOPPYv2Y/edit?usp=sharing"",""งบพรบ!EL32"")"),0)</f>
        <v>0</v>
      </c>
      <c r="H32" s="177">
        <f ca="1">IFERROR(__xludf.DUMMYFUNCTION("IMPORTRANGE(""https://docs.google.com/spreadsheets/d/1-uDff_7J0KD5mKrp0Vvzr7lt3OU09vwQwhkpOPPYv2Y/edit?usp=sharing"",""งบพรบ!EN32"")"),20000)</f>
        <v>20000</v>
      </c>
      <c r="I32" s="177">
        <f ca="1">IFERROR(__xludf.DUMMYFUNCTION("IMPORTRANGE(""https://docs.google.com/spreadsheets/d/1-uDff_7J0KD5mKrp0Vvzr7lt3OU09vwQwhkpOPPYv2Y/edit?usp=sharing"",""งบพรบ!EO32"")"),0)</f>
        <v>0</v>
      </c>
      <c r="J32" s="177">
        <f t="shared" ca="1" si="16"/>
        <v>2300</v>
      </c>
      <c r="K32" s="178">
        <f t="shared" ca="1" si="17"/>
        <v>11.5</v>
      </c>
      <c r="L32" s="177">
        <f ca="1">IFERROR(__xludf.DUMMYFUNCTION("IMPORTRANGE(""https://docs.google.com/spreadsheets/d/1-uDff_7J0KD5mKrp0Vvzr7lt3OU09vwQwhkpOPPYv2Y/edit?usp=sharing"",""งบพรบ!EP32"")"),2300)</f>
        <v>2300</v>
      </c>
      <c r="M32" s="87">
        <f t="shared" ca="1" si="18"/>
        <v>11.5</v>
      </c>
      <c r="N32" s="87">
        <f t="shared" ca="1" si="19"/>
        <v>11.5</v>
      </c>
      <c r="O32" s="86">
        <f ca="1">IFERROR(__xludf.DUMMYFUNCTION("IMPORTRANGE(""https://docs.google.com/spreadsheets/d/1-uDff_7J0KD5mKrp0Vvzr7lt3OU09vwQwhkpOPPYv2Y/edit?usp=sharing"",""งบพรบ!EQ32"")"),0)</f>
        <v>0</v>
      </c>
      <c r="P32" s="86">
        <f t="shared" ca="1" si="20"/>
        <v>0</v>
      </c>
      <c r="Q32" s="87">
        <f t="shared" ca="1" si="21"/>
        <v>0</v>
      </c>
      <c r="R32" s="353">
        <f ca="1">IFERROR(__xludf.DUMMYFUNCTION("IMPORTRANGE(""https://docs.google.com/spreadsheets/d/1yhBcrRPreicbMKl9Bu_Snb2-OcQAF62RKfhTLhJ2eAA/edit?usp=sharing"",""กาฬสินธุ์!I330"")"),1)</f>
        <v>1</v>
      </c>
      <c r="S32" s="177">
        <f ca="1">IFERROR(__xludf.DUMMYFUNCTION("IMPORTRANGE(""https://docs.google.com/spreadsheets/d/1yhBcrRPreicbMKl9Bu_Snb2-OcQAF62RKfhTLhJ2eAA/edit?usp=sharing"",""กาฬสินธุ์!J330"")"),0)</f>
        <v>0</v>
      </c>
      <c r="T32" s="354">
        <f t="shared" ca="1" si="23"/>
        <v>0</v>
      </c>
    </row>
    <row r="33" spans="1:20" ht="21" customHeight="1" x14ac:dyDescent="0.3">
      <c r="A33" s="89">
        <v>2</v>
      </c>
      <c r="B33" s="90" t="s">
        <v>59</v>
      </c>
      <c r="C33" s="174">
        <f t="shared" ca="1" si="14"/>
        <v>0</v>
      </c>
      <c r="D33" s="175">
        <f t="shared" ca="1" si="27"/>
        <v>0</v>
      </c>
      <c r="E33" s="176">
        <f ca="1">IFERROR(__xludf.DUMMYFUNCTION("IMPORTRANGE(""https://docs.google.com/spreadsheets/d/1-uDff_7J0KD5mKrp0Vvzr7lt3OU09vwQwhkpOPPYv2Y/edit?usp=sharing"",""งบพรบ!EJ33"")"),0)</f>
        <v>0</v>
      </c>
      <c r="F33" s="176">
        <f ca="1">IFERROR(__xludf.DUMMYFUNCTION("IMPORTRANGE(""https://docs.google.com/spreadsheets/d/1-uDff_7J0KD5mKrp0Vvzr7lt3OU09vwQwhkpOPPYv2Y/edit?usp=sharing"",""งบพรบ!EK33"")"),0)</f>
        <v>0</v>
      </c>
      <c r="G33" s="176">
        <f ca="1">IFERROR(__xludf.DUMMYFUNCTION("IMPORTRANGE(""https://docs.google.com/spreadsheets/d/1-uDff_7J0KD5mKrp0Vvzr7lt3OU09vwQwhkpOPPYv2Y/edit?usp=sharing"",""งบพรบ!EL33"")"),0)</f>
        <v>0</v>
      </c>
      <c r="H33" s="176">
        <f ca="1">IFERROR(__xludf.DUMMYFUNCTION("IMPORTRANGE(""https://docs.google.com/spreadsheets/d/1-uDff_7J0KD5mKrp0Vvzr7lt3OU09vwQwhkpOPPYv2Y/edit?usp=sharing"",""งบพรบ!EN33"")"),0)</f>
        <v>0</v>
      </c>
      <c r="I33" s="176">
        <f ca="1">IFERROR(__xludf.DUMMYFUNCTION("IMPORTRANGE(""https://docs.google.com/spreadsheets/d/1-uDff_7J0KD5mKrp0Vvzr7lt3OU09vwQwhkpOPPYv2Y/edit?usp=sharing"",""งบพรบ!EO33"")"),0)</f>
        <v>0</v>
      </c>
      <c r="J33" s="176">
        <f t="shared" ca="1" si="16"/>
        <v>0</v>
      </c>
      <c r="K33" s="179">
        <f t="shared" ca="1" si="17"/>
        <v>0</v>
      </c>
      <c r="L33" s="176">
        <f ca="1">IFERROR(__xludf.DUMMYFUNCTION("IMPORTRANGE(""https://docs.google.com/spreadsheets/d/1-uDff_7J0KD5mKrp0Vvzr7lt3OU09vwQwhkpOPPYv2Y/edit?usp=sharing"",""งบพรบ!EP33"")"),0)</f>
        <v>0</v>
      </c>
      <c r="M33" s="87">
        <f t="shared" ca="1" si="18"/>
        <v>0</v>
      </c>
      <c r="N33" s="87">
        <f t="shared" ca="1" si="19"/>
        <v>0</v>
      </c>
      <c r="O33" s="86">
        <f ca="1">IFERROR(__xludf.DUMMYFUNCTION("IMPORTRANGE(""https://docs.google.com/spreadsheets/d/1-uDff_7J0KD5mKrp0Vvzr7lt3OU09vwQwhkpOPPYv2Y/edit?usp=sharing"",""งบพรบ!EQ33"")"),0)</f>
        <v>0</v>
      </c>
      <c r="P33" s="86">
        <f t="shared" ca="1" si="20"/>
        <v>0</v>
      </c>
      <c r="Q33" s="87">
        <f t="shared" ca="1" si="21"/>
        <v>0</v>
      </c>
      <c r="R33" s="355">
        <f ca="1">IFERROR(__xludf.DUMMYFUNCTION("IMPORTRANGE(""https://docs.google.com/spreadsheets/d/1aHkj4IaQMThhwWwevcOymEh837vdxeC_PycurhTbGFA/edit?usp=sharing"",""ขอนแก่น!I330"")"),0)</f>
        <v>0</v>
      </c>
      <c r="S33" s="177">
        <f ca="1">IFERROR(__xludf.DUMMYFUNCTION("IMPORTRANGE(""https://docs.google.com/spreadsheets/d/1aHkj4IaQMThhwWwevcOymEh837vdxeC_PycurhTbGFA/edit?usp=sharing"",""ขอนแก่น!J330"")"),0)</f>
        <v>0</v>
      </c>
      <c r="T33" s="354">
        <f t="shared" ca="1" si="23"/>
        <v>0</v>
      </c>
    </row>
    <row r="34" spans="1:20" ht="21" customHeight="1" x14ac:dyDescent="0.3">
      <c r="A34" s="89">
        <v>3</v>
      </c>
      <c r="B34" s="90" t="s">
        <v>60</v>
      </c>
      <c r="C34" s="174">
        <f t="shared" ca="1" si="14"/>
        <v>0</v>
      </c>
      <c r="D34" s="175">
        <f t="shared" ca="1" si="27"/>
        <v>0</v>
      </c>
      <c r="E34" s="176">
        <f ca="1">IFERROR(__xludf.DUMMYFUNCTION("IMPORTRANGE(""https://docs.google.com/spreadsheets/d/1-uDff_7J0KD5mKrp0Vvzr7lt3OU09vwQwhkpOPPYv2Y/edit?usp=sharing"",""งบพรบ!EJ34"")"),0)</f>
        <v>0</v>
      </c>
      <c r="F34" s="176">
        <f ca="1">IFERROR(__xludf.DUMMYFUNCTION("IMPORTRANGE(""https://docs.google.com/spreadsheets/d/1-uDff_7J0KD5mKrp0Vvzr7lt3OU09vwQwhkpOPPYv2Y/edit?usp=sharing"",""งบพรบ!EK34"")"),0)</f>
        <v>0</v>
      </c>
      <c r="G34" s="176">
        <f ca="1">IFERROR(__xludf.DUMMYFUNCTION("IMPORTRANGE(""https://docs.google.com/spreadsheets/d/1-uDff_7J0KD5mKrp0Vvzr7lt3OU09vwQwhkpOPPYv2Y/edit?usp=sharing"",""งบพรบ!EL34"")"),0)</f>
        <v>0</v>
      </c>
      <c r="H34" s="176">
        <f ca="1">IFERROR(__xludf.DUMMYFUNCTION("IMPORTRANGE(""https://docs.google.com/spreadsheets/d/1-uDff_7J0KD5mKrp0Vvzr7lt3OU09vwQwhkpOPPYv2Y/edit?usp=sharing"",""งบพรบ!EN34"")"),0)</f>
        <v>0</v>
      </c>
      <c r="I34" s="176">
        <f ca="1">IFERROR(__xludf.DUMMYFUNCTION("IMPORTRANGE(""https://docs.google.com/spreadsheets/d/1-uDff_7J0KD5mKrp0Vvzr7lt3OU09vwQwhkpOPPYv2Y/edit?usp=sharing"",""งบพรบ!EO34"")"),0)</f>
        <v>0</v>
      </c>
      <c r="J34" s="176">
        <f t="shared" ca="1" si="16"/>
        <v>0</v>
      </c>
      <c r="K34" s="179">
        <f t="shared" ca="1" si="17"/>
        <v>0</v>
      </c>
      <c r="L34" s="176">
        <f ca="1">IFERROR(__xludf.DUMMYFUNCTION("IMPORTRANGE(""https://docs.google.com/spreadsheets/d/1-uDff_7J0KD5mKrp0Vvzr7lt3OU09vwQwhkpOPPYv2Y/edit?usp=sharing"",""งบพรบ!EP34"")"),0)</f>
        <v>0</v>
      </c>
      <c r="M34" s="87">
        <f t="shared" ca="1" si="18"/>
        <v>0</v>
      </c>
      <c r="N34" s="87">
        <f t="shared" ca="1" si="19"/>
        <v>0</v>
      </c>
      <c r="O34" s="86">
        <f ca="1">IFERROR(__xludf.DUMMYFUNCTION("IMPORTRANGE(""https://docs.google.com/spreadsheets/d/1-uDff_7J0KD5mKrp0Vvzr7lt3OU09vwQwhkpOPPYv2Y/edit?usp=sharing"",""งบพรบ!EQ34"")"),0)</f>
        <v>0</v>
      </c>
      <c r="P34" s="86">
        <f t="shared" ca="1" si="20"/>
        <v>0</v>
      </c>
      <c r="Q34" s="87">
        <f t="shared" ca="1" si="21"/>
        <v>0</v>
      </c>
      <c r="R34" s="353">
        <f ca="1">IFERROR(__xludf.DUMMYFUNCTION("IMPORTRANGE(""https://docs.google.com/spreadsheets/d/1FvTu2DsIWUjP6WCWra38Bkj_oOl_sOMf14r5Fg5srxU/edit?usp=sharing"",""ชัยภูมิ!I330"")"),0)</f>
        <v>0</v>
      </c>
      <c r="S34" s="177">
        <f ca="1">IFERROR(__xludf.DUMMYFUNCTION("IMPORTRANGE(""https://docs.google.com/spreadsheets/d/1FvTu2DsIWUjP6WCWra38Bkj_oOl_sOMf14r5Fg5srxU/edit?usp=sharing"",""ชัยภูมิ!J330"")"),0)</f>
        <v>0</v>
      </c>
      <c r="T34" s="354">
        <f t="shared" ca="1" si="23"/>
        <v>0</v>
      </c>
    </row>
    <row r="35" spans="1:20" ht="21" customHeight="1" x14ac:dyDescent="0.3">
      <c r="A35" s="89">
        <v>4</v>
      </c>
      <c r="B35" s="90" t="s">
        <v>61</v>
      </c>
      <c r="C35" s="174">
        <f t="shared" ca="1" si="14"/>
        <v>0</v>
      </c>
      <c r="D35" s="175">
        <f t="shared" ca="1" si="27"/>
        <v>0</v>
      </c>
      <c r="E35" s="176">
        <f ca="1">IFERROR(__xludf.DUMMYFUNCTION("IMPORTRANGE(""https://docs.google.com/spreadsheets/d/1-uDff_7J0KD5mKrp0Vvzr7lt3OU09vwQwhkpOPPYv2Y/edit?usp=sharing"",""งบพรบ!EJ35"")"),0)</f>
        <v>0</v>
      </c>
      <c r="F35" s="176">
        <f ca="1">IFERROR(__xludf.DUMMYFUNCTION("IMPORTRANGE(""https://docs.google.com/spreadsheets/d/1-uDff_7J0KD5mKrp0Vvzr7lt3OU09vwQwhkpOPPYv2Y/edit?usp=sharing"",""งบพรบ!EK35"")"),0)</f>
        <v>0</v>
      </c>
      <c r="G35" s="176">
        <f ca="1">IFERROR(__xludf.DUMMYFUNCTION("IMPORTRANGE(""https://docs.google.com/spreadsheets/d/1-uDff_7J0KD5mKrp0Vvzr7lt3OU09vwQwhkpOPPYv2Y/edit?usp=sharing"",""งบพรบ!EL35"")"),0)</f>
        <v>0</v>
      </c>
      <c r="H35" s="176">
        <f ca="1">IFERROR(__xludf.DUMMYFUNCTION("IMPORTRANGE(""https://docs.google.com/spreadsheets/d/1-uDff_7J0KD5mKrp0Vvzr7lt3OU09vwQwhkpOPPYv2Y/edit?usp=sharing"",""งบพรบ!EN35"")"),0)</f>
        <v>0</v>
      </c>
      <c r="I35" s="176">
        <f ca="1">IFERROR(__xludf.DUMMYFUNCTION("IMPORTRANGE(""https://docs.google.com/spreadsheets/d/1-uDff_7J0KD5mKrp0Vvzr7lt3OU09vwQwhkpOPPYv2Y/edit?usp=sharing"",""งบพรบ!EO35"")"),0)</f>
        <v>0</v>
      </c>
      <c r="J35" s="176">
        <f t="shared" ca="1" si="16"/>
        <v>0</v>
      </c>
      <c r="K35" s="179">
        <f t="shared" ca="1" si="17"/>
        <v>0</v>
      </c>
      <c r="L35" s="176">
        <f ca="1">IFERROR(__xludf.DUMMYFUNCTION("IMPORTRANGE(""https://docs.google.com/spreadsheets/d/1-uDff_7J0KD5mKrp0Vvzr7lt3OU09vwQwhkpOPPYv2Y/edit?usp=sharing"",""งบพรบ!EP35"")"),0)</f>
        <v>0</v>
      </c>
      <c r="M35" s="87">
        <f t="shared" ca="1" si="18"/>
        <v>0</v>
      </c>
      <c r="N35" s="87">
        <f t="shared" ca="1" si="19"/>
        <v>0</v>
      </c>
      <c r="O35" s="86">
        <f ca="1">IFERROR(__xludf.DUMMYFUNCTION("IMPORTRANGE(""https://docs.google.com/spreadsheets/d/1-uDff_7J0KD5mKrp0Vvzr7lt3OU09vwQwhkpOPPYv2Y/edit?usp=sharing"",""งบพรบ!EQ35"")"),0)</f>
        <v>0</v>
      </c>
      <c r="P35" s="86">
        <f t="shared" ca="1" si="20"/>
        <v>0</v>
      </c>
      <c r="Q35" s="87">
        <f t="shared" ca="1" si="21"/>
        <v>0</v>
      </c>
      <c r="R35" s="353">
        <f ca="1">IFERROR(__xludf.DUMMYFUNCTION("IMPORTRANGE(""https://docs.google.com/spreadsheets/d/1XVB7oCJ3pr-vBUdflwPQ8Z2LlzhnCvZaaYjAfP-647E/edit?usp=sharing"",""นครพนม!I330"")"),0)</f>
        <v>0</v>
      </c>
      <c r="S35" s="177">
        <f ca="1">IFERROR(__xludf.DUMMYFUNCTION("IMPORTRANGE(""https://docs.google.com/spreadsheets/d/1XVB7oCJ3pr-vBUdflwPQ8Z2LlzhnCvZaaYjAfP-647E/edit?usp=sharing"",""นครพนม!J330"")"),0)</f>
        <v>0</v>
      </c>
      <c r="T35" s="354">
        <f t="shared" ca="1" si="23"/>
        <v>0</v>
      </c>
    </row>
    <row r="36" spans="1:20" ht="21" customHeight="1" x14ac:dyDescent="0.3">
      <c r="A36" s="89">
        <v>5</v>
      </c>
      <c r="B36" s="90" t="s">
        <v>62</v>
      </c>
      <c r="C36" s="174">
        <f t="shared" ca="1" si="14"/>
        <v>30000</v>
      </c>
      <c r="D36" s="175">
        <f t="shared" ca="1" si="27"/>
        <v>30000</v>
      </c>
      <c r="E36" s="176">
        <f ca="1">IFERROR(__xludf.DUMMYFUNCTION("IMPORTRANGE(""https://docs.google.com/spreadsheets/d/1-uDff_7J0KD5mKrp0Vvzr7lt3OU09vwQwhkpOPPYv2Y/edit?usp=sharing"",""งบพรบ!EJ36"")"),0)</f>
        <v>0</v>
      </c>
      <c r="F36" s="176">
        <f ca="1">IFERROR(__xludf.DUMMYFUNCTION("IMPORTRANGE(""https://docs.google.com/spreadsheets/d/1-uDff_7J0KD5mKrp0Vvzr7lt3OU09vwQwhkpOPPYv2Y/edit?usp=sharing"",""งบพรบ!EK36"")"),30000)</f>
        <v>30000</v>
      </c>
      <c r="G36" s="176">
        <f ca="1">IFERROR(__xludf.DUMMYFUNCTION("IMPORTRANGE(""https://docs.google.com/spreadsheets/d/1-uDff_7J0KD5mKrp0Vvzr7lt3OU09vwQwhkpOPPYv2Y/edit?usp=sharing"",""งบพรบ!EL36"")"),0)</f>
        <v>0</v>
      </c>
      <c r="H36" s="176">
        <f ca="1">IFERROR(__xludf.DUMMYFUNCTION("IMPORTRANGE(""https://docs.google.com/spreadsheets/d/1-uDff_7J0KD5mKrp0Vvzr7lt3OU09vwQwhkpOPPYv2Y/edit?usp=sharing"",""งบพรบ!EN36"")"),30000)</f>
        <v>30000</v>
      </c>
      <c r="I36" s="176">
        <f ca="1">IFERROR(__xludf.DUMMYFUNCTION("IMPORTRANGE(""https://docs.google.com/spreadsheets/d/1-uDff_7J0KD5mKrp0Vvzr7lt3OU09vwQwhkpOPPYv2Y/edit?usp=sharing"",""งบพรบ!EO36"")"),0)</f>
        <v>0</v>
      </c>
      <c r="J36" s="176">
        <f t="shared" ca="1" si="16"/>
        <v>2020</v>
      </c>
      <c r="K36" s="179">
        <f t="shared" ca="1" si="17"/>
        <v>6.7333333333333334</v>
      </c>
      <c r="L36" s="176">
        <f ca="1">IFERROR(__xludf.DUMMYFUNCTION("IMPORTRANGE(""https://docs.google.com/spreadsheets/d/1-uDff_7J0KD5mKrp0Vvzr7lt3OU09vwQwhkpOPPYv2Y/edit?usp=sharing"",""งบพรบ!EP36"")"),2020)</f>
        <v>2020</v>
      </c>
      <c r="M36" s="87">
        <f t="shared" ca="1" si="18"/>
        <v>6.7333333333333334</v>
      </c>
      <c r="N36" s="87">
        <f t="shared" ca="1" si="19"/>
        <v>6.7333333333333334</v>
      </c>
      <c r="O36" s="86">
        <f ca="1">IFERROR(__xludf.DUMMYFUNCTION("IMPORTRANGE(""https://docs.google.com/spreadsheets/d/1-uDff_7J0KD5mKrp0Vvzr7lt3OU09vwQwhkpOPPYv2Y/edit?usp=sharing"",""งบพรบ!EQ36"")"),0)</f>
        <v>0</v>
      </c>
      <c r="P36" s="86">
        <f t="shared" ca="1" si="20"/>
        <v>0</v>
      </c>
      <c r="Q36" s="87">
        <f t="shared" ca="1" si="21"/>
        <v>0</v>
      </c>
      <c r="R36" s="353">
        <f ca="1">IFERROR(__xludf.DUMMYFUNCTION("IMPORTRANGE(""https://docs.google.com/spreadsheets/d/1Mnpb-8PYAgn85W6KOTD40hc_Xc55CaLfHoGAbrZ8tls/edit?usp=sharing"",""นครราชสีมา!I330"")"),1)</f>
        <v>1</v>
      </c>
      <c r="S36" s="177">
        <f ca="1">IFERROR(__xludf.DUMMYFUNCTION("IMPORTRANGE(""https://docs.google.com/spreadsheets/d/1Mnpb-8PYAgn85W6KOTD40hc_Xc55CaLfHoGAbrZ8tls/edit?usp=sharing"",""นครราชสีมา!J330"")"),0)</f>
        <v>0</v>
      </c>
      <c r="T36" s="354">
        <f t="shared" ca="1" si="23"/>
        <v>0</v>
      </c>
    </row>
    <row r="37" spans="1:20" ht="21" customHeight="1" x14ac:dyDescent="0.3">
      <c r="A37" s="89">
        <v>6</v>
      </c>
      <c r="B37" s="90" t="s">
        <v>63</v>
      </c>
      <c r="C37" s="174">
        <f t="shared" ca="1" si="14"/>
        <v>0</v>
      </c>
      <c r="D37" s="175">
        <f t="shared" ca="1" si="27"/>
        <v>0</v>
      </c>
      <c r="E37" s="176">
        <f ca="1">IFERROR(__xludf.DUMMYFUNCTION("IMPORTRANGE(""https://docs.google.com/spreadsheets/d/1-uDff_7J0KD5mKrp0Vvzr7lt3OU09vwQwhkpOPPYv2Y/edit?usp=sharing"",""งบพรบ!EJ37"")"),0)</f>
        <v>0</v>
      </c>
      <c r="F37" s="176">
        <f ca="1">IFERROR(__xludf.DUMMYFUNCTION("IMPORTRANGE(""https://docs.google.com/spreadsheets/d/1-uDff_7J0KD5mKrp0Vvzr7lt3OU09vwQwhkpOPPYv2Y/edit?usp=sharing"",""งบพรบ!EK37"")"),0)</f>
        <v>0</v>
      </c>
      <c r="G37" s="176">
        <f ca="1">IFERROR(__xludf.DUMMYFUNCTION("IMPORTRANGE(""https://docs.google.com/spreadsheets/d/1-uDff_7J0KD5mKrp0Vvzr7lt3OU09vwQwhkpOPPYv2Y/edit?usp=sharing"",""งบพรบ!EL37"")"),0)</f>
        <v>0</v>
      </c>
      <c r="H37" s="176">
        <f ca="1">IFERROR(__xludf.DUMMYFUNCTION("IMPORTRANGE(""https://docs.google.com/spreadsheets/d/1-uDff_7J0KD5mKrp0Vvzr7lt3OU09vwQwhkpOPPYv2Y/edit?usp=sharing"",""งบพรบ!EN37"")"),0)</f>
        <v>0</v>
      </c>
      <c r="I37" s="176">
        <f ca="1">IFERROR(__xludf.DUMMYFUNCTION("IMPORTRANGE(""https://docs.google.com/spreadsheets/d/1-uDff_7J0KD5mKrp0Vvzr7lt3OU09vwQwhkpOPPYv2Y/edit?usp=sharing"",""งบพรบ!EO37"")"),0)</f>
        <v>0</v>
      </c>
      <c r="J37" s="176">
        <f t="shared" ca="1" si="16"/>
        <v>0</v>
      </c>
      <c r="K37" s="179">
        <f t="shared" ca="1" si="17"/>
        <v>0</v>
      </c>
      <c r="L37" s="176">
        <f ca="1">IFERROR(__xludf.DUMMYFUNCTION("IMPORTRANGE(""https://docs.google.com/spreadsheets/d/1-uDff_7J0KD5mKrp0Vvzr7lt3OU09vwQwhkpOPPYv2Y/edit?usp=sharing"",""งบพรบ!EP37"")"),0)</f>
        <v>0</v>
      </c>
      <c r="M37" s="87">
        <f t="shared" ca="1" si="18"/>
        <v>0</v>
      </c>
      <c r="N37" s="87">
        <f t="shared" ca="1" si="19"/>
        <v>0</v>
      </c>
      <c r="O37" s="86">
        <f ca="1">IFERROR(__xludf.DUMMYFUNCTION("IMPORTRANGE(""https://docs.google.com/spreadsheets/d/1-uDff_7J0KD5mKrp0Vvzr7lt3OU09vwQwhkpOPPYv2Y/edit?usp=sharing"",""งบพรบ!EQ37"")"),0)</f>
        <v>0</v>
      </c>
      <c r="P37" s="86">
        <f t="shared" ca="1" si="20"/>
        <v>0</v>
      </c>
      <c r="Q37" s="87">
        <f t="shared" ca="1" si="21"/>
        <v>0</v>
      </c>
      <c r="R37" s="353">
        <f ca="1">IFERROR(__xludf.DUMMYFUNCTION("IMPORTRANGE(""https://docs.google.com/spreadsheets/d/1xoDLGBv9CYbyosIhki0kTq6IpYNj-gpjxfobnaDiut0/edit?usp=sharing"",""บึงกาฬ!I330"")"),0)</f>
        <v>0</v>
      </c>
      <c r="S37" s="177">
        <f ca="1">IFERROR(__xludf.DUMMYFUNCTION("IMPORTRANGE(""https://docs.google.com/spreadsheets/d/1xoDLGBv9CYbyosIhki0kTq6IpYNj-gpjxfobnaDiut0/edit?usp=sharing"",""บึงกาฬ!J330"")"),0)</f>
        <v>0</v>
      </c>
      <c r="T37" s="354">
        <f t="shared" ca="1" si="23"/>
        <v>0</v>
      </c>
    </row>
    <row r="38" spans="1:20" ht="21" customHeight="1" x14ac:dyDescent="0.3">
      <c r="A38" s="89">
        <v>7</v>
      </c>
      <c r="B38" s="90" t="s">
        <v>64</v>
      </c>
      <c r="C38" s="174">
        <f t="shared" ca="1" si="14"/>
        <v>0</v>
      </c>
      <c r="D38" s="175">
        <f t="shared" ca="1" si="27"/>
        <v>0</v>
      </c>
      <c r="E38" s="176">
        <f ca="1">IFERROR(__xludf.DUMMYFUNCTION("IMPORTRANGE(""https://docs.google.com/spreadsheets/d/1-uDff_7J0KD5mKrp0Vvzr7lt3OU09vwQwhkpOPPYv2Y/edit?usp=sharing"",""งบพรบ!EJ38"")"),0)</f>
        <v>0</v>
      </c>
      <c r="F38" s="176">
        <f ca="1">IFERROR(__xludf.DUMMYFUNCTION("IMPORTRANGE(""https://docs.google.com/spreadsheets/d/1-uDff_7J0KD5mKrp0Vvzr7lt3OU09vwQwhkpOPPYv2Y/edit?usp=sharing"",""งบพรบ!EK38"")"),0)</f>
        <v>0</v>
      </c>
      <c r="G38" s="176">
        <f ca="1">IFERROR(__xludf.DUMMYFUNCTION("IMPORTRANGE(""https://docs.google.com/spreadsheets/d/1-uDff_7J0KD5mKrp0Vvzr7lt3OU09vwQwhkpOPPYv2Y/edit?usp=sharing"",""งบพรบ!EL38"")"),0)</f>
        <v>0</v>
      </c>
      <c r="H38" s="176">
        <f ca="1">IFERROR(__xludf.DUMMYFUNCTION("IMPORTRANGE(""https://docs.google.com/spreadsheets/d/1-uDff_7J0KD5mKrp0Vvzr7lt3OU09vwQwhkpOPPYv2Y/edit?usp=sharing"",""งบพรบ!EN38"")"),0)</f>
        <v>0</v>
      </c>
      <c r="I38" s="176">
        <f ca="1">IFERROR(__xludf.DUMMYFUNCTION("IMPORTRANGE(""https://docs.google.com/spreadsheets/d/1-uDff_7J0KD5mKrp0Vvzr7lt3OU09vwQwhkpOPPYv2Y/edit?usp=sharing"",""งบพรบ!EO38"")"),0)</f>
        <v>0</v>
      </c>
      <c r="J38" s="176">
        <f t="shared" ca="1" si="16"/>
        <v>0</v>
      </c>
      <c r="K38" s="179">
        <f t="shared" ca="1" si="17"/>
        <v>0</v>
      </c>
      <c r="L38" s="176">
        <f ca="1">IFERROR(__xludf.DUMMYFUNCTION("IMPORTRANGE(""https://docs.google.com/spreadsheets/d/1-uDff_7J0KD5mKrp0Vvzr7lt3OU09vwQwhkpOPPYv2Y/edit?usp=sharing"",""งบพรบ!EP38"")"),0)</f>
        <v>0</v>
      </c>
      <c r="M38" s="87">
        <f t="shared" ca="1" si="18"/>
        <v>0</v>
      </c>
      <c r="N38" s="87">
        <f t="shared" ca="1" si="19"/>
        <v>0</v>
      </c>
      <c r="O38" s="86">
        <f ca="1">IFERROR(__xludf.DUMMYFUNCTION("IMPORTRANGE(""https://docs.google.com/spreadsheets/d/1-uDff_7J0KD5mKrp0Vvzr7lt3OU09vwQwhkpOPPYv2Y/edit?usp=sharing"",""งบพรบ!EQ38"")"),0)</f>
        <v>0</v>
      </c>
      <c r="P38" s="86">
        <f t="shared" ca="1" si="20"/>
        <v>0</v>
      </c>
      <c r="Q38" s="87">
        <f t="shared" ca="1" si="21"/>
        <v>0</v>
      </c>
      <c r="R38" s="353">
        <f ca="1">IFERROR(__xludf.DUMMYFUNCTION("IMPORTRANGE(""https://docs.google.com/spreadsheets/d/1MMPq-JyI6DSgQETxuSiXkesP-P7JHuemnE6QJIa-Nlw/edit?usp=sharing"",""บุรีรัมย์!I330"")"),0)</f>
        <v>0</v>
      </c>
      <c r="S38" s="177">
        <f ca="1">IFERROR(__xludf.DUMMYFUNCTION("IMPORTRANGE(""https://docs.google.com/spreadsheets/d/1MMPq-JyI6DSgQETxuSiXkesP-P7JHuemnE6QJIa-Nlw/edit?usp=sharing"",""บุรีรัมย์!J330"")"),0)</f>
        <v>0</v>
      </c>
      <c r="T38" s="354">
        <f t="shared" ca="1" si="23"/>
        <v>0</v>
      </c>
    </row>
    <row r="39" spans="1:20" ht="21" customHeight="1" x14ac:dyDescent="0.3">
      <c r="A39" s="89">
        <v>8</v>
      </c>
      <c r="B39" s="90" t="s">
        <v>65</v>
      </c>
      <c r="C39" s="174">
        <f t="shared" ca="1" si="14"/>
        <v>0</v>
      </c>
      <c r="D39" s="175">
        <f t="shared" ca="1" si="27"/>
        <v>0</v>
      </c>
      <c r="E39" s="176">
        <f ca="1">IFERROR(__xludf.DUMMYFUNCTION("IMPORTRANGE(""https://docs.google.com/spreadsheets/d/1-uDff_7J0KD5mKrp0Vvzr7lt3OU09vwQwhkpOPPYv2Y/edit?usp=sharing"",""งบพรบ!EJ39"")"),0)</f>
        <v>0</v>
      </c>
      <c r="F39" s="176">
        <f ca="1">IFERROR(__xludf.DUMMYFUNCTION("IMPORTRANGE(""https://docs.google.com/spreadsheets/d/1-uDff_7J0KD5mKrp0Vvzr7lt3OU09vwQwhkpOPPYv2Y/edit?usp=sharing"",""งบพรบ!EK39"")"),0)</f>
        <v>0</v>
      </c>
      <c r="G39" s="176">
        <f ca="1">IFERROR(__xludf.DUMMYFUNCTION("IMPORTRANGE(""https://docs.google.com/spreadsheets/d/1-uDff_7J0KD5mKrp0Vvzr7lt3OU09vwQwhkpOPPYv2Y/edit?usp=sharing"",""งบพรบ!EL39"")"),0)</f>
        <v>0</v>
      </c>
      <c r="H39" s="176">
        <f ca="1">IFERROR(__xludf.DUMMYFUNCTION("IMPORTRANGE(""https://docs.google.com/spreadsheets/d/1-uDff_7J0KD5mKrp0Vvzr7lt3OU09vwQwhkpOPPYv2Y/edit?usp=sharing"",""งบพรบ!EN39"")"),0)</f>
        <v>0</v>
      </c>
      <c r="I39" s="176">
        <f ca="1">IFERROR(__xludf.DUMMYFUNCTION("IMPORTRANGE(""https://docs.google.com/spreadsheets/d/1-uDff_7J0KD5mKrp0Vvzr7lt3OU09vwQwhkpOPPYv2Y/edit?usp=sharing"",""งบพรบ!EO39"")"),0)</f>
        <v>0</v>
      </c>
      <c r="J39" s="176">
        <f t="shared" ca="1" si="16"/>
        <v>0</v>
      </c>
      <c r="K39" s="179">
        <f t="shared" ca="1" si="17"/>
        <v>0</v>
      </c>
      <c r="L39" s="176">
        <f ca="1">IFERROR(__xludf.DUMMYFUNCTION("IMPORTRANGE(""https://docs.google.com/spreadsheets/d/1-uDff_7J0KD5mKrp0Vvzr7lt3OU09vwQwhkpOPPYv2Y/edit?usp=sharing"",""งบพรบ!EP39"")"),0)</f>
        <v>0</v>
      </c>
      <c r="M39" s="87">
        <f t="shared" ca="1" si="18"/>
        <v>0</v>
      </c>
      <c r="N39" s="87">
        <f t="shared" ca="1" si="19"/>
        <v>0</v>
      </c>
      <c r="O39" s="86">
        <f ca="1">IFERROR(__xludf.DUMMYFUNCTION("IMPORTRANGE(""https://docs.google.com/spreadsheets/d/1-uDff_7J0KD5mKrp0Vvzr7lt3OU09vwQwhkpOPPYv2Y/edit?usp=sharing"",""งบพรบ!EQ39"")"),0)</f>
        <v>0</v>
      </c>
      <c r="P39" s="86">
        <f t="shared" ca="1" si="20"/>
        <v>0</v>
      </c>
      <c r="Q39" s="87">
        <f t="shared" ca="1" si="21"/>
        <v>0</v>
      </c>
      <c r="R39" s="353">
        <f ca="1">IFERROR(__xludf.DUMMYFUNCTION("IMPORTRANGE(""https://docs.google.com/spreadsheets/d/1l6IZ8xUPgMrESzcTYwhA1k_tPjeQjJPTqlm8Gd9eU5g/edit?usp=sharing"",""มหาสารคาม!I330"")"),0)</f>
        <v>0</v>
      </c>
      <c r="S39" s="177">
        <f ca="1">IFERROR(__xludf.DUMMYFUNCTION("IMPORTRANGE(""https://docs.google.com/spreadsheets/d/1l6IZ8xUPgMrESzcTYwhA1k_tPjeQjJPTqlm8Gd9eU5g/edit?usp=sharing"",""มหาสารคาม!J330"")"),0)</f>
        <v>0</v>
      </c>
      <c r="T39" s="354">
        <f t="shared" ca="1" si="23"/>
        <v>0</v>
      </c>
    </row>
    <row r="40" spans="1:20" ht="21" customHeight="1" x14ac:dyDescent="0.3">
      <c r="A40" s="89">
        <v>9</v>
      </c>
      <c r="B40" s="90" t="s">
        <v>66</v>
      </c>
      <c r="C40" s="174">
        <f t="shared" ca="1" si="14"/>
        <v>0</v>
      </c>
      <c r="D40" s="175">
        <f t="shared" ca="1" si="27"/>
        <v>0</v>
      </c>
      <c r="E40" s="176">
        <f ca="1">IFERROR(__xludf.DUMMYFUNCTION("IMPORTRANGE(""https://docs.google.com/spreadsheets/d/1-uDff_7J0KD5mKrp0Vvzr7lt3OU09vwQwhkpOPPYv2Y/edit?usp=sharing"",""งบพรบ!EJ40"")"),0)</f>
        <v>0</v>
      </c>
      <c r="F40" s="176">
        <f ca="1">IFERROR(__xludf.DUMMYFUNCTION("IMPORTRANGE(""https://docs.google.com/spreadsheets/d/1-uDff_7J0KD5mKrp0Vvzr7lt3OU09vwQwhkpOPPYv2Y/edit?usp=sharing"",""งบพรบ!EK40"")"),0)</f>
        <v>0</v>
      </c>
      <c r="G40" s="176">
        <f ca="1">IFERROR(__xludf.DUMMYFUNCTION("IMPORTRANGE(""https://docs.google.com/spreadsheets/d/1-uDff_7J0KD5mKrp0Vvzr7lt3OU09vwQwhkpOPPYv2Y/edit?usp=sharing"",""งบพรบ!EL40"")"),0)</f>
        <v>0</v>
      </c>
      <c r="H40" s="176">
        <f ca="1">IFERROR(__xludf.DUMMYFUNCTION("IMPORTRANGE(""https://docs.google.com/spreadsheets/d/1-uDff_7J0KD5mKrp0Vvzr7lt3OU09vwQwhkpOPPYv2Y/edit?usp=sharing"",""งบพรบ!EN40"")"),0)</f>
        <v>0</v>
      </c>
      <c r="I40" s="176">
        <f ca="1">IFERROR(__xludf.DUMMYFUNCTION("IMPORTRANGE(""https://docs.google.com/spreadsheets/d/1-uDff_7J0KD5mKrp0Vvzr7lt3OU09vwQwhkpOPPYv2Y/edit?usp=sharing"",""งบพรบ!EO40"")"),0)</f>
        <v>0</v>
      </c>
      <c r="J40" s="176">
        <f t="shared" ca="1" si="16"/>
        <v>0</v>
      </c>
      <c r="K40" s="179">
        <f t="shared" ca="1" si="17"/>
        <v>0</v>
      </c>
      <c r="L40" s="176">
        <f ca="1">IFERROR(__xludf.DUMMYFUNCTION("IMPORTRANGE(""https://docs.google.com/spreadsheets/d/1-uDff_7J0KD5mKrp0Vvzr7lt3OU09vwQwhkpOPPYv2Y/edit?usp=sharing"",""งบพรบ!EP40"")"),0)</f>
        <v>0</v>
      </c>
      <c r="M40" s="87">
        <f t="shared" ca="1" si="18"/>
        <v>0</v>
      </c>
      <c r="N40" s="87">
        <f t="shared" ca="1" si="19"/>
        <v>0</v>
      </c>
      <c r="O40" s="86">
        <f ca="1">IFERROR(__xludf.DUMMYFUNCTION("IMPORTRANGE(""https://docs.google.com/spreadsheets/d/1-uDff_7J0KD5mKrp0Vvzr7lt3OU09vwQwhkpOPPYv2Y/edit?usp=sharing"",""งบพรบ!EQ40"")"),0)</f>
        <v>0</v>
      </c>
      <c r="P40" s="86">
        <f t="shared" ca="1" si="20"/>
        <v>0</v>
      </c>
      <c r="Q40" s="87">
        <f t="shared" ca="1" si="21"/>
        <v>0</v>
      </c>
      <c r="R40" s="355">
        <f ca="1">IFERROR(__xludf.DUMMYFUNCTION("IMPORTRANGE(""https://docs.google.com/spreadsheets/d/1uB74YLqNjWX6FObjekfB2NtSYigTQyR2rq9u4Ub2Sq4/edit?usp=sharing"",""มุกดาหาร!I330"")"),0)</f>
        <v>0</v>
      </c>
      <c r="S40" s="177">
        <f ca="1">IFERROR(__xludf.DUMMYFUNCTION("IMPORTRANGE(""https://docs.google.com/spreadsheets/d/1uB74YLqNjWX6FObjekfB2NtSYigTQyR2rq9u4Ub2Sq4/edit?usp=sharing"",""มุกดาหาร!J330"")"),0)</f>
        <v>0</v>
      </c>
      <c r="T40" s="354">
        <f t="shared" ca="1" si="23"/>
        <v>0</v>
      </c>
    </row>
    <row r="41" spans="1:20" ht="21" customHeight="1" x14ac:dyDescent="0.3">
      <c r="A41" s="89">
        <v>10</v>
      </c>
      <c r="B41" s="90" t="s">
        <v>67</v>
      </c>
      <c r="C41" s="174">
        <f t="shared" ca="1" si="14"/>
        <v>0</v>
      </c>
      <c r="D41" s="175">
        <f t="shared" ca="1" si="27"/>
        <v>0</v>
      </c>
      <c r="E41" s="176">
        <f ca="1">IFERROR(__xludf.DUMMYFUNCTION("IMPORTRANGE(""https://docs.google.com/spreadsheets/d/1-uDff_7J0KD5mKrp0Vvzr7lt3OU09vwQwhkpOPPYv2Y/edit?usp=sharing"",""งบพรบ!EJ41"")"),0)</f>
        <v>0</v>
      </c>
      <c r="F41" s="176">
        <f ca="1">IFERROR(__xludf.DUMMYFUNCTION("IMPORTRANGE(""https://docs.google.com/spreadsheets/d/1-uDff_7J0KD5mKrp0Vvzr7lt3OU09vwQwhkpOPPYv2Y/edit?usp=sharing"",""งบพรบ!EK41"")"),0)</f>
        <v>0</v>
      </c>
      <c r="G41" s="176">
        <f ca="1">IFERROR(__xludf.DUMMYFUNCTION("IMPORTRANGE(""https://docs.google.com/spreadsheets/d/1-uDff_7J0KD5mKrp0Vvzr7lt3OU09vwQwhkpOPPYv2Y/edit?usp=sharing"",""งบพรบ!EL41"")"),0)</f>
        <v>0</v>
      </c>
      <c r="H41" s="176">
        <f ca="1">IFERROR(__xludf.DUMMYFUNCTION("IMPORTRANGE(""https://docs.google.com/spreadsheets/d/1-uDff_7J0KD5mKrp0Vvzr7lt3OU09vwQwhkpOPPYv2Y/edit?usp=sharing"",""งบพรบ!EN41"")"),0)</f>
        <v>0</v>
      </c>
      <c r="I41" s="176">
        <f ca="1">IFERROR(__xludf.DUMMYFUNCTION("IMPORTRANGE(""https://docs.google.com/spreadsheets/d/1-uDff_7J0KD5mKrp0Vvzr7lt3OU09vwQwhkpOPPYv2Y/edit?usp=sharing"",""งบพรบ!EO41"")"),0)</f>
        <v>0</v>
      </c>
      <c r="J41" s="176">
        <f t="shared" ca="1" si="16"/>
        <v>0</v>
      </c>
      <c r="K41" s="179">
        <f t="shared" ca="1" si="17"/>
        <v>0</v>
      </c>
      <c r="L41" s="176">
        <f ca="1">IFERROR(__xludf.DUMMYFUNCTION("IMPORTRANGE(""https://docs.google.com/spreadsheets/d/1-uDff_7J0KD5mKrp0Vvzr7lt3OU09vwQwhkpOPPYv2Y/edit?usp=sharing"",""งบพรบ!EP41"")"),0)</f>
        <v>0</v>
      </c>
      <c r="M41" s="87">
        <f t="shared" ca="1" si="18"/>
        <v>0</v>
      </c>
      <c r="N41" s="87">
        <f t="shared" ca="1" si="19"/>
        <v>0</v>
      </c>
      <c r="O41" s="86">
        <f ca="1">IFERROR(__xludf.DUMMYFUNCTION("IMPORTRANGE(""https://docs.google.com/spreadsheets/d/1-uDff_7J0KD5mKrp0Vvzr7lt3OU09vwQwhkpOPPYv2Y/edit?usp=sharing"",""งบพรบ!EQ41"")"),0)</f>
        <v>0</v>
      </c>
      <c r="P41" s="86">
        <f t="shared" ca="1" si="20"/>
        <v>0</v>
      </c>
      <c r="Q41" s="87">
        <f t="shared" ca="1" si="21"/>
        <v>0</v>
      </c>
      <c r="R41" s="355">
        <f ca="1">IFERROR(__xludf.DUMMYFUNCTION("IMPORTRANGE(""https://docs.google.com/spreadsheets/d/1NexK3geCPxCTO1fzNF8dPec7yZyUx3OaWkFBC9HsQOo/edit?usp=sharing"",""ยโสธร!I330"")"),0)</f>
        <v>0</v>
      </c>
      <c r="S41" s="177">
        <f ca="1">IFERROR(__xludf.DUMMYFUNCTION("IMPORTRANGE(""https://docs.google.com/spreadsheets/d/1NexK3geCPxCTO1fzNF8dPec7yZyUx3OaWkFBC9HsQOo/edit?usp=sharing"",""ยโสธร!J330"")"),0)</f>
        <v>0</v>
      </c>
      <c r="T41" s="354">
        <f t="shared" ca="1" si="23"/>
        <v>0</v>
      </c>
    </row>
    <row r="42" spans="1:20" ht="21" customHeight="1" x14ac:dyDescent="0.3">
      <c r="A42" s="89">
        <v>11</v>
      </c>
      <c r="B42" s="90" t="s">
        <v>68</v>
      </c>
      <c r="C42" s="174">
        <f t="shared" ca="1" si="14"/>
        <v>0</v>
      </c>
      <c r="D42" s="175">
        <f t="shared" ca="1" si="27"/>
        <v>0</v>
      </c>
      <c r="E42" s="176">
        <f ca="1">IFERROR(__xludf.DUMMYFUNCTION("IMPORTRANGE(""https://docs.google.com/spreadsheets/d/1-uDff_7J0KD5mKrp0Vvzr7lt3OU09vwQwhkpOPPYv2Y/edit?usp=sharing"",""งบพรบ!EJ42"")"),0)</f>
        <v>0</v>
      </c>
      <c r="F42" s="176">
        <f ca="1">IFERROR(__xludf.DUMMYFUNCTION("IMPORTRANGE(""https://docs.google.com/spreadsheets/d/1-uDff_7J0KD5mKrp0Vvzr7lt3OU09vwQwhkpOPPYv2Y/edit?usp=sharing"",""งบพรบ!EK42"")"),0)</f>
        <v>0</v>
      </c>
      <c r="G42" s="176">
        <f ca="1">IFERROR(__xludf.DUMMYFUNCTION("IMPORTRANGE(""https://docs.google.com/spreadsheets/d/1-uDff_7J0KD5mKrp0Vvzr7lt3OU09vwQwhkpOPPYv2Y/edit?usp=sharing"",""งบพรบ!EL42"")"),0)</f>
        <v>0</v>
      </c>
      <c r="H42" s="176">
        <f ca="1">IFERROR(__xludf.DUMMYFUNCTION("IMPORTRANGE(""https://docs.google.com/spreadsheets/d/1-uDff_7J0KD5mKrp0Vvzr7lt3OU09vwQwhkpOPPYv2Y/edit?usp=sharing"",""งบพรบ!EN42"")"),0)</f>
        <v>0</v>
      </c>
      <c r="I42" s="176">
        <f ca="1">IFERROR(__xludf.DUMMYFUNCTION("IMPORTRANGE(""https://docs.google.com/spreadsheets/d/1-uDff_7J0KD5mKrp0Vvzr7lt3OU09vwQwhkpOPPYv2Y/edit?usp=sharing"",""งบพรบ!EO42"")"),0)</f>
        <v>0</v>
      </c>
      <c r="J42" s="176">
        <f t="shared" ca="1" si="16"/>
        <v>0</v>
      </c>
      <c r="K42" s="179">
        <f t="shared" ca="1" si="17"/>
        <v>0</v>
      </c>
      <c r="L42" s="176">
        <f ca="1">IFERROR(__xludf.DUMMYFUNCTION("IMPORTRANGE(""https://docs.google.com/spreadsheets/d/1-uDff_7J0KD5mKrp0Vvzr7lt3OU09vwQwhkpOPPYv2Y/edit?usp=sharing"",""งบพรบ!EP42"")"),0)</f>
        <v>0</v>
      </c>
      <c r="M42" s="87">
        <f t="shared" ca="1" si="18"/>
        <v>0</v>
      </c>
      <c r="N42" s="87">
        <f t="shared" ca="1" si="19"/>
        <v>0</v>
      </c>
      <c r="O42" s="86">
        <f ca="1">IFERROR(__xludf.DUMMYFUNCTION("IMPORTRANGE(""https://docs.google.com/spreadsheets/d/1-uDff_7J0KD5mKrp0Vvzr7lt3OU09vwQwhkpOPPYv2Y/edit?usp=sharing"",""งบพรบ!EQ42"")"),0)</f>
        <v>0</v>
      </c>
      <c r="P42" s="86">
        <f t="shared" ca="1" si="20"/>
        <v>0</v>
      </c>
      <c r="Q42" s="87">
        <f t="shared" ca="1" si="21"/>
        <v>0</v>
      </c>
      <c r="R42" s="353">
        <f ca="1">IFERROR(__xludf.DUMMYFUNCTION("IMPORTRANGE(""https://docs.google.com/spreadsheets/d/1v_cJrbBlyqmnHPReHk44g9NrMRdENNlSy_E_c5M9fIg/edit?usp=sharing"",""ร้อยเอ็ด!I330"")"),0)</f>
        <v>0</v>
      </c>
      <c r="S42" s="177">
        <f ca="1">IFERROR(__xludf.DUMMYFUNCTION("IMPORTRANGE(""https://docs.google.com/spreadsheets/d/1v_cJrbBlyqmnHPReHk44g9NrMRdENNlSy_E_c5M9fIg/edit?usp=sharing"",""ร้อยเอ็ด!J330"")"),0)</f>
        <v>0</v>
      </c>
      <c r="T42" s="354">
        <f t="shared" ca="1" si="23"/>
        <v>0</v>
      </c>
    </row>
    <row r="43" spans="1:20" ht="21" customHeight="1" x14ac:dyDescent="0.3">
      <c r="A43" s="89">
        <v>12</v>
      </c>
      <c r="B43" s="90" t="s">
        <v>69</v>
      </c>
      <c r="C43" s="174">
        <f t="shared" ca="1" si="14"/>
        <v>0</v>
      </c>
      <c r="D43" s="175">
        <f t="shared" ca="1" si="27"/>
        <v>0</v>
      </c>
      <c r="E43" s="176">
        <f ca="1">IFERROR(__xludf.DUMMYFUNCTION("IMPORTRANGE(""https://docs.google.com/spreadsheets/d/1-uDff_7J0KD5mKrp0Vvzr7lt3OU09vwQwhkpOPPYv2Y/edit?usp=sharing"",""งบพรบ!EJ43"")"),0)</f>
        <v>0</v>
      </c>
      <c r="F43" s="176">
        <f ca="1">IFERROR(__xludf.DUMMYFUNCTION("IMPORTRANGE(""https://docs.google.com/spreadsheets/d/1-uDff_7J0KD5mKrp0Vvzr7lt3OU09vwQwhkpOPPYv2Y/edit?usp=sharing"",""งบพรบ!EK43"")"),0)</f>
        <v>0</v>
      </c>
      <c r="G43" s="176">
        <f ca="1">IFERROR(__xludf.DUMMYFUNCTION("IMPORTRANGE(""https://docs.google.com/spreadsheets/d/1-uDff_7J0KD5mKrp0Vvzr7lt3OU09vwQwhkpOPPYv2Y/edit?usp=sharing"",""งบพรบ!EL43"")"),0)</f>
        <v>0</v>
      </c>
      <c r="H43" s="176">
        <f ca="1">IFERROR(__xludf.DUMMYFUNCTION("IMPORTRANGE(""https://docs.google.com/spreadsheets/d/1-uDff_7J0KD5mKrp0Vvzr7lt3OU09vwQwhkpOPPYv2Y/edit?usp=sharing"",""งบพรบ!EN43"")"),0)</f>
        <v>0</v>
      </c>
      <c r="I43" s="176">
        <f ca="1">IFERROR(__xludf.DUMMYFUNCTION("IMPORTRANGE(""https://docs.google.com/spreadsheets/d/1-uDff_7J0KD5mKrp0Vvzr7lt3OU09vwQwhkpOPPYv2Y/edit?usp=sharing"",""งบพรบ!EO43"")"),0)</f>
        <v>0</v>
      </c>
      <c r="J43" s="176">
        <f t="shared" ca="1" si="16"/>
        <v>0</v>
      </c>
      <c r="K43" s="179">
        <f t="shared" ca="1" si="17"/>
        <v>0</v>
      </c>
      <c r="L43" s="176">
        <f ca="1">IFERROR(__xludf.DUMMYFUNCTION("IMPORTRANGE(""https://docs.google.com/spreadsheets/d/1-uDff_7J0KD5mKrp0Vvzr7lt3OU09vwQwhkpOPPYv2Y/edit?usp=sharing"",""งบพรบ!EP43"")"),0)</f>
        <v>0</v>
      </c>
      <c r="M43" s="87">
        <f t="shared" ca="1" si="18"/>
        <v>0</v>
      </c>
      <c r="N43" s="87">
        <f t="shared" ca="1" si="19"/>
        <v>0</v>
      </c>
      <c r="O43" s="86">
        <f ca="1">IFERROR(__xludf.DUMMYFUNCTION("IMPORTRANGE(""https://docs.google.com/spreadsheets/d/1-uDff_7J0KD5mKrp0Vvzr7lt3OU09vwQwhkpOPPYv2Y/edit?usp=sharing"",""งบพรบ!EQ43"")"),0)</f>
        <v>0</v>
      </c>
      <c r="P43" s="86">
        <f t="shared" ca="1" si="20"/>
        <v>0</v>
      </c>
      <c r="Q43" s="87">
        <f t="shared" ca="1" si="21"/>
        <v>0</v>
      </c>
      <c r="R43" s="353">
        <f ca="1">IFERROR(__xludf.DUMMYFUNCTION("IMPORTRANGE(""https://docs.google.com/spreadsheets/d/1Ul4RCpCX66NxYADU1QpwAPjOmBzW64SsT11s1wzXw_c/edit?usp=sharing"",""เลย!I330"")"),0)</f>
        <v>0</v>
      </c>
      <c r="S43" s="177">
        <f ca="1">IFERROR(__xludf.DUMMYFUNCTION("IMPORTRANGE(""https://docs.google.com/spreadsheets/d/1Ul4RCpCX66NxYADU1QpwAPjOmBzW64SsT11s1wzXw_c/edit?usp=sharing"",""เลย!J330"")"),0)</f>
        <v>0</v>
      </c>
      <c r="T43" s="354">
        <f t="shared" ca="1" si="23"/>
        <v>0</v>
      </c>
    </row>
    <row r="44" spans="1:20" ht="21" customHeight="1" x14ac:dyDescent="0.3">
      <c r="A44" s="89">
        <v>13</v>
      </c>
      <c r="B44" s="90" t="s">
        <v>70</v>
      </c>
      <c r="C44" s="174">
        <f t="shared" ca="1" si="14"/>
        <v>0</v>
      </c>
      <c r="D44" s="175">
        <f t="shared" ca="1" si="27"/>
        <v>0</v>
      </c>
      <c r="E44" s="176">
        <f ca="1">IFERROR(__xludf.DUMMYFUNCTION("IMPORTRANGE(""https://docs.google.com/spreadsheets/d/1-uDff_7J0KD5mKrp0Vvzr7lt3OU09vwQwhkpOPPYv2Y/edit?usp=sharing"",""งบพรบ!EJ44"")"),0)</f>
        <v>0</v>
      </c>
      <c r="F44" s="176">
        <f ca="1">IFERROR(__xludf.DUMMYFUNCTION("IMPORTRANGE(""https://docs.google.com/spreadsheets/d/1-uDff_7J0KD5mKrp0Vvzr7lt3OU09vwQwhkpOPPYv2Y/edit?usp=sharing"",""งบพรบ!EK44"")"),0)</f>
        <v>0</v>
      </c>
      <c r="G44" s="176">
        <f ca="1">IFERROR(__xludf.DUMMYFUNCTION("IMPORTRANGE(""https://docs.google.com/spreadsheets/d/1-uDff_7J0KD5mKrp0Vvzr7lt3OU09vwQwhkpOPPYv2Y/edit?usp=sharing"",""งบพรบ!EL44"")"),0)</f>
        <v>0</v>
      </c>
      <c r="H44" s="176">
        <f ca="1">IFERROR(__xludf.DUMMYFUNCTION("IMPORTRANGE(""https://docs.google.com/spreadsheets/d/1-uDff_7J0KD5mKrp0Vvzr7lt3OU09vwQwhkpOPPYv2Y/edit?usp=sharing"",""งบพรบ!EN44"")"),0)</f>
        <v>0</v>
      </c>
      <c r="I44" s="176">
        <f ca="1">IFERROR(__xludf.DUMMYFUNCTION("IMPORTRANGE(""https://docs.google.com/spreadsheets/d/1-uDff_7J0KD5mKrp0Vvzr7lt3OU09vwQwhkpOPPYv2Y/edit?usp=sharing"",""งบพรบ!EO44"")"),0)</f>
        <v>0</v>
      </c>
      <c r="J44" s="176">
        <f t="shared" ca="1" si="16"/>
        <v>0</v>
      </c>
      <c r="K44" s="179">
        <f t="shared" ca="1" si="17"/>
        <v>0</v>
      </c>
      <c r="L44" s="176">
        <f ca="1">IFERROR(__xludf.DUMMYFUNCTION("IMPORTRANGE(""https://docs.google.com/spreadsheets/d/1-uDff_7J0KD5mKrp0Vvzr7lt3OU09vwQwhkpOPPYv2Y/edit?usp=sharing"",""งบพรบ!EP44"")"),0)</f>
        <v>0</v>
      </c>
      <c r="M44" s="87">
        <f t="shared" ca="1" si="18"/>
        <v>0</v>
      </c>
      <c r="N44" s="87">
        <f t="shared" ca="1" si="19"/>
        <v>0</v>
      </c>
      <c r="O44" s="86">
        <f ca="1">IFERROR(__xludf.DUMMYFUNCTION("IMPORTRANGE(""https://docs.google.com/spreadsheets/d/1-uDff_7J0KD5mKrp0Vvzr7lt3OU09vwQwhkpOPPYv2Y/edit?usp=sharing"",""งบพรบ!EQ44"")"),0)</f>
        <v>0</v>
      </c>
      <c r="P44" s="86">
        <f t="shared" ca="1" si="20"/>
        <v>0</v>
      </c>
      <c r="Q44" s="87">
        <f t="shared" ca="1" si="21"/>
        <v>0</v>
      </c>
      <c r="R44" s="355">
        <f ca="1">IFERROR(__xludf.DUMMYFUNCTION("IMPORTRANGE(""https://docs.google.com/spreadsheets/d/1bRrNKwbHDVktQG10isr5vbWRtt5spIZPpkOSWgbT5ug/edit?usp=sharing"",""ศรีสะเกษ!I330"")"),0)</f>
        <v>0</v>
      </c>
      <c r="S44" s="177">
        <f ca="1">IFERROR(__xludf.DUMMYFUNCTION("IMPORTRANGE(""https://docs.google.com/spreadsheets/d/1bRrNKwbHDVktQG10isr5vbWRtt5spIZPpkOSWgbT5ug/edit?usp=sharing"",""ศรีสะเกษ!J330"")"),0)</f>
        <v>0</v>
      </c>
      <c r="T44" s="354">
        <f t="shared" ca="1" si="23"/>
        <v>0</v>
      </c>
    </row>
    <row r="45" spans="1:20" ht="21" customHeight="1" x14ac:dyDescent="0.3">
      <c r="A45" s="89">
        <v>14</v>
      </c>
      <c r="B45" s="90" t="s">
        <v>71</v>
      </c>
      <c r="C45" s="174">
        <f t="shared" ca="1" si="14"/>
        <v>0</v>
      </c>
      <c r="D45" s="175">
        <f t="shared" ca="1" si="27"/>
        <v>0</v>
      </c>
      <c r="E45" s="176">
        <f ca="1">IFERROR(__xludf.DUMMYFUNCTION("IMPORTRANGE(""https://docs.google.com/spreadsheets/d/1-uDff_7J0KD5mKrp0Vvzr7lt3OU09vwQwhkpOPPYv2Y/edit?usp=sharing"",""งบพรบ!EJ45"")"),0)</f>
        <v>0</v>
      </c>
      <c r="F45" s="176">
        <f ca="1">IFERROR(__xludf.DUMMYFUNCTION("IMPORTRANGE(""https://docs.google.com/spreadsheets/d/1-uDff_7J0KD5mKrp0Vvzr7lt3OU09vwQwhkpOPPYv2Y/edit?usp=sharing"",""งบพรบ!EK45"")"),0)</f>
        <v>0</v>
      </c>
      <c r="G45" s="176">
        <f ca="1">IFERROR(__xludf.DUMMYFUNCTION("IMPORTRANGE(""https://docs.google.com/spreadsheets/d/1-uDff_7J0KD5mKrp0Vvzr7lt3OU09vwQwhkpOPPYv2Y/edit?usp=sharing"",""งบพรบ!EL45"")"),0)</f>
        <v>0</v>
      </c>
      <c r="H45" s="176">
        <f ca="1">IFERROR(__xludf.DUMMYFUNCTION("IMPORTRANGE(""https://docs.google.com/spreadsheets/d/1-uDff_7J0KD5mKrp0Vvzr7lt3OU09vwQwhkpOPPYv2Y/edit?usp=sharing"",""งบพรบ!EN45"")"),0)</f>
        <v>0</v>
      </c>
      <c r="I45" s="176">
        <f ca="1">IFERROR(__xludf.DUMMYFUNCTION("IMPORTRANGE(""https://docs.google.com/spreadsheets/d/1-uDff_7J0KD5mKrp0Vvzr7lt3OU09vwQwhkpOPPYv2Y/edit?usp=sharing"",""งบพรบ!EO45"")"),0)</f>
        <v>0</v>
      </c>
      <c r="J45" s="176">
        <f t="shared" ca="1" si="16"/>
        <v>0</v>
      </c>
      <c r="K45" s="179">
        <f t="shared" ca="1" si="17"/>
        <v>0</v>
      </c>
      <c r="L45" s="176">
        <f ca="1">IFERROR(__xludf.DUMMYFUNCTION("IMPORTRANGE(""https://docs.google.com/spreadsheets/d/1-uDff_7J0KD5mKrp0Vvzr7lt3OU09vwQwhkpOPPYv2Y/edit?usp=sharing"",""งบพรบ!EP45"")"),0)</f>
        <v>0</v>
      </c>
      <c r="M45" s="87">
        <f t="shared" ca="1" si="18"/>
        <v>0</v>
      </c>
      <c r="N45" s="87">
        <f t="shared" ca="1" si="19"/>
        <v>0</v>
      </c>
      <c r="O45" s="86">
        <f ca="1">IFERROR(__xludf.DUMMYFUNCTION("IMPORTRANGE(""https://docs.google.com/spreadsheets/d/1-uDff_7J0KD5mKrp0Vvzr7lt3OU09vwQwhkpOPPYv2Y/edit?usp=sharing"",""งบพรบ!EQ45"")"),0)</f>
        <v>0</v>
      </c>
      <c r="P45" s="86">
        <f t="shared" ca="1" si="20"/>
        <v>0</v>
      </c>
      <c r="Q45" s="87">
        <f t="shared" ca="1" si="21"/>
        <v>0</v>
      </c>
      <c r="R45" s="353">
        <f ca="1">IFERROR(__xludf.DUMMYFUNCTION("IMPORTRANGE(""https://docs.google.com/spreadsheets/d/17P34_Ow5kFBfdQD0qspb2UuPX5zpi6WMrQzslghyvrI/edit?usp=sharing"",""สกลนคร!I330"")"),0)</f>
        <v>0</v>
      </c>
      <c r="S45" s="177">
        <f ca="1">IFERROR(__xludf.DUMMYFUNCTION("IMPORTRANGE(""https://docs.google.com/spreadsheets/d/17P34_Ow5kFBfdQD0qspb2UuPX5zpi6WMrQzslghyvrI/edit?usp=sharing"",""สกลนคร!J330"")"),0)</f>
        <v>0</v>
      </c>
      <c r="T45" s="354">
        <f t="shared" ca="1" si="23"/>
        <v>0</v>
      </c>
    </row>
    <row r="46" spans="1:20" ht="21" customHeight="1" x14ac:dyDescent="0.3">
      <c r="A46" s="89">
        <v>15</v>
      </c>
      <c r="B46" s="90" t="s">
        <v>72</v>
      </c>
      <c r="C46" s="174">
        <f t="shared" ca="1" si="14"/>
        <v>0</v>
      </c>
      <c r="D46" s="175">
        <f t="shared" ca="1" si="27"/>
        <v>0</v>
      </c>
      <c r="E46" s="176">
        <f ca="1">IFERROR(__xludf.DUMMYFUNCTION("IMPORTRANGE(""https://docs.google.com/spreadsheets/d/1-uDff_7J0KD5mKrp0Vvzr7lt3OU09vwQwhkpOPPYv2Y/edit?usp=sharing"",""งบพรบ!EJ46"")"),0)</f>
        <v>0</v>
      </c>
      <c r="F46" s="176">
        <f ca="1">IFERROR(__xludf.DUMMYFUNCTION("IMPORTRANGE(""https://docs.google.com/spreadsheets/d/1-uDff_7J0KD5mKrp0Vvzr7lt3OU09vwQwhkpOPPYv2Y/edit?usp=sharing"",""งบพรบ!EK46"")"),0)</f>
        <v>0</v>
      </c>
      <c r="G46" s="176">
        <f ca="1">IFERROR(__xludf.DUMMYFUNCTION("IMPORTRANGE(""https://docs.google.com/spreadsheets/d/1-uDff_7J0KD5mKrp0Vvzr7lt3OU09vwQwhkpOPPYv2Y/edit?usp=sharing"",""งบพรบ!EL46"")"),0)</f>
        <v>0</v>
      </c>
      <c r="H46" s="176">
        <f ca="1">IFERROR(__xludf.DUMMYFUNCTION("IMPORTRANGE(""https://docs.google.com/spreadsheets/d/1-uDff_7J0KD5mKrp0Vvzr7lt3OU09vwQwhkpOPPYv2Y/edit?usp=sharing"",""งบพรบ!EN46"")"),0)</f>
        <v>0</v>
      </c>
      <c r="I46" s="176">
        <f ca="1">IFERROR(__xludf.DUMMYFUNCTION("IMPORTRANGE(""https://docs.google.com/spreadsheets/d/1-uDff_7J0KD5mKrp0Vvzr7lt3OU09vwQwhkpOPPYv2Y/edit?usp=sharing"",""งบพรบ!EO46"")"),0)</f>
        <v>0</v>
      </c>
      <c r="J46" s="176">
        <f t="shared" ca="1" si="16"/>
        <v>0</v>
      </c>
      <c r="K46" s="179">
        <f t="shared" ca="1" si="17"/>
        <v>0</v>
      </c>
      <c r="L46" s="176">
        <f ca="1">IFERROR(__xludf.DUMMYFUNCTION("IMPORTRANGE(""https://docs.google.com/spreadsheets/d/1-uDff_7J0KD5mKrp0Vvzr7lt3OU09vwQwhkpOPPYv2Y/edit?usp=sharing"",""งบพรบ!EP46"")"),0)</f>
        <v>0</v>
      </c>
      <c r="M46" s="87">
        <f t="shared" ca="1" si="18"/>
        <v>0</v>
      </c>
      <c r="N46" s="87">
        <f t="shared" ca="1" si="19"/>
        <v>0</v>
      </c>
      <c r="O46" s="86">
        <f ca="1">IFERROR(__xludf.DUMMYFUNCTION("IMPORTRANGE(""https://docs.google.com/spreadsheets/d/1-uDff_7J0KD5mKrp0Vvzr7lt3OU09vwQwhkpOPPYv2Y/edit?usp=sharing"",""งบพรบ!EQ46"")"),0)</f>
        <v>0</v>
      </c>
      <c r="P46" s="86">
        <f t="shared" ca="1" si="20"/>
        <v>0</v>
      </c>
      <c r="Q46" s="87">
        <f t="shared" ca="1" si="21"/>
        <v>0</v>
      </c>
      <c r="R46" s="353">
        <f ca="1">IFERROR(__xludf.DUMMYFUNCTION("IMPORTRANGE(""https://docs.google.com/spreadsheets/d/1yswqbM3-AEpThF3ZSUa1AcmHnmRTF1vlJ1CZGcJ8YuU/edit?usp=sharing"",""สุรินทร์!I330"")"),0)</f>
        <v>0</v>
      </c>
      <c r="S46" s="177">
        <f ca="1">IFERROR(__xludf.DUMMYFUNCTION("IMPORTRANGE(""https://docs.google.com/spreadsheets/d/1yswqbM3-AEpThF3ZSUa1AcmHnmRTF1vlJ1CZGcJ8YuU/edit?usp=sharing"",""สุรินทร์!J330"")"),0)</f>
        <v>0</v>
      </c>
      <c r="T46" s="354">
        <f t="shared" ca="1" si="23"/>
        <v>0</v>
      </c>
    </row>
    <row r="47" spans="1:20" ht="21" customHeight="1" x14ac:dyDescent="0.3">
      <c r="A47" s="89">
        <v>16</v>
      </c>
      <c r="B47" s="90" t="s">
        <v>73</v>
      </c>
      <c r="C47" s="174">
        <f t="shared" ca="1" si="14"/>
        <v>0</v>
      </c>
      <c r="D47" s="175">
        <f t="shared" ca="1" si="27"/>
        <v>0</v>
      </c>
      <c r="E47" s="176">
        <f ca="1">IFERROR(__xludf.DUMMYFUNCTION("IMPORTRANGE(""https://docs.google.com/spreadsheets/d/1-uDff_7J0KD5mKrp0Vvzr7lt3OU09vwQwhkpOPPYv2Y/edit?usp=sharing"",""งบพรบ!EJ47"")"),0)</f>
        <v>0</v>
      </c>
      <c r="F47" s="176">
        <f ca="1">IFERROR(__xludf.DUMMYFUNCTION("IMPORTRANGE(""https://docs.google.com/spreadsheets/d/1-uDff_7J0KD5mKrp0Vvzr7lt3OU09vwQwhkpOPPYv2Y/edit?usp=sharing"",""งบพรบ!EK47"")"),0)</f>
        <v>0</v>
      </c>
      <c r="G47" s="176">
        <f ca="1">IFERROR(__xludf.DUMMYFUNCTION("IMPORTRANGE(""https://docs.google.com/spreadsheets/d/1-uDff_7J0KD5mKrp0Vvzr7lt3OU09vwQwhkpOPPYv2Y/edit?usp=sharing"",""งบพรบ!EL47"")"),0)</f>
        <v>0</v>
      </c>
      <c r="H47" s="176">
        <f ca="1">IFERROR(__xludf.DUMMYFUNCTION("IMPORTRANGE(""https://docs.google.com/spreadsheets/d/1-uDff_7J0KD5mKrp0Vvzr7lt3OU09vwQwhkpOPPYv2Y/edit?usp=sharing"",""งบพรบ!EN47"")"),0)</f>
        <v>0</v>
      </c>
      <c r="I47" s="176">
        <f ca="1">IFERROR(__xludf.DUMMYFUNCTION("IMPORTRANGE(""https://docs.google.com/spreadsheets/d/1-uDff_7J0KD5mKrp0Vvzr7lt3OU09vwQwhkpOPPYv2Y/edit?usp=sharing"",""งบพรบ!EO47"")"),0)</f>
        <v>0</v>
      </c>
      <c r="J47" s="176">
        <f t="shared" ca="1" si="16"/>
        <v>0</v>
      </c>
      <c r="K47" s="179">
        <f t="shared" ca="1" si="17"/>
        <v>0</v>
      </c>
      <c r="L47" s="176">
        <f ca="1">IFERROR(__xludf.DUMMYFUNCTION("IMPORTRANGE(""https://docs.google.com/spreadsheets/d/1-uDff_7J0KD5mKrp0Vvzr7lt3OU09vwQwhkpOPPYv2Y/edit?usp=sharing"",""งบพรบ!EP47"")"),0)</f>
        <v>0</v>
      </c>
      <c r="M47" s="87">
        <f t="shared" ca="1" si="18"/>
        <v>0</v>
      </c>
      <c r="N47" s="87">
        <f t="shared" ca="1" si="19"/>
        <v>0</v>
      </c>
      <c r="O47" s="86">
        <f ca="1">IFERROR(__xludf.DUMMYFUNCTION("IMPORTRANGE(""https://docs.google.com/spreadsheets/d/1-uDff_7J0KD5mKrp0Vvzr7lt3OU09vwQwhkpOPPYv2Y/edit?usp=sharing"",""งบพรบ!EQ47"")"),0)</f>
        <v>0</v>
      </c>
      <c r="P47" s="86">
        <f t="shared" ca="1" si="20"/>
        <v>0</v>
      </c>
      <c r="Q47" s="87">
        <f t="shared" ca="1" si="21"/>
        <v>0</v>
      </c>
      <c r="R47" s="353">
        <f ca="1">IFERROR(__xludf.DUMMYFUNCTION("IMPORTRANGE(""https://docs.google.com/spreadsheets/d/13JHU_EFbsQOUQ0JSQ3dWy1VTRosIWcDq6Nc99z2qzdc/edit?usp=sharing"",""หนองคาย!I330"")"),0)</f>
        <v>0</v>
      </c>
      <c r="S47" s="177">
        <f ca="1">IFERROR(__xludf.DUMMYFUNCTION("IMPORTRANGE(""https://docs.google.com/spreadsheets/d/13JHU_EFbsQOUQ0JSQ3dWy1VTRosIWcDq6Nc99z2qzdc/edit?usp=sharing"",""หนองคาย!J330"")"),0)</f>
        <v>0</v>
      </c>
      <c r="T47" s="354">
        <f t="shared" ca="1" si="23"/>
        <v>0</v>
      </c>
    </row>
    <row r="48" spans="1:20" ht="21" customHeight="1" x14ac:dyDescent="0.3">
      <c r="A48" s="89">
        <v>17</v>
      </c>
      <c r="B48" s="90" t="s">
        <v>74</v>
      </c>
      <c r="C48" s="174">
        <f t="shared" ca="1" si="14"/>
        <v>0</v>
      </c>
      <c r="D48" s="175">
        <f t="shared" ca="1" si="27"/>
        <v>0</v>
      </c>
      <c r="E48" s="176">
        <f ca="1">IFERROR(__xludf.DUMMYFUNCTION("IMPORTRANGE(""https://docs.google.com/spreadsheets/d/1-uDff_7J0KD5mKrp0Vvzr7lt3OU09vwQwhkpOPPYv2Y/edit?usp=sharing"",""งบพรบ!EJ48"")"),0)</f>
        <v>0</v>
      </c>
      <c r="F48" s="176">
        <f ca="1">IFERROR(__xludf.DUMMYFUNCTION("IMPORTRANGE(""https://docs.google.com/spreadsheets/d/1-uDff_7J0KD5mKrp0Vvzr7lt3OU09vwQwhkpOPPYv2Y/edit?usp=sharing"",""งบพรบ!EK48"")"),0)</f>
        <v>0</v>
      </c>
      <c r="G48" s="176">
        <f ca="1">IFERROR(__xludf.DUMMYFUNCTION("IMPORTRANGE(""https://docs.google.com/spreadsheets/d/1-uDff_7J0KD5mKrp0Vvzr7lt3OU09vwQwhkpOPPYv2Y/edit?usp=sharing"",""งบพรบ!EL48"")"),0)</f>
        <v>0</v>
      </c>
      <c r="H48" s="176">
        <f ca="1">IFERROR(__xludf.DUMMYFUNCTION("IMPORTRANGE(""https://docs.google.com/spreadsheets/d/1-uDff_7J0KD5mKrp0Vvzr7lt3OU09vwQwhkpOPPYv2Y/edit?usp=sharing"",""งบพรบ!EN48"")"),0)</f>
        <v>0</v>
      </c>
      <c r="I48" s="176">
        <f ca="1">IFERROR(__xludf.DUMMYFUNCTION("IMPORTRANGE(""https://docs.google.com/spreadsheets/d/1-uDff_7J0KD5mKrp0Vvzr7lt3OU09vwQwhkpOPPYv2Y/edit?usp=sharing"",""งบพรบ!EO48"")"),0)</f>
        <v>0</v>
      </c>
      <c r="J48" s="176">
        <f t="shared" ca="1" si="16"/>
        <v>0</v>
      </c>
      <c r="K48" s="179">
        <f t="shared" ca="1" si="17"/>
        <v>0</v>
      </c>
      <c r="L48" s="176">
        <f ca="1">IFERROR(__xludf.DUMMYFUNCTION("IMPORTRANGE(""https://docs.google.com/spreadsheets/d/1-uDff_7J0KD5mKrp0Vvzr7lt3OU09vwQwhkpOPPYv2Y/edit?usp=sharing"",""งบพรบ!EP48"")"),0)</f>
        <v>0</v>
      </c>
      <c r="M48" s="87">
        <f t="shared" ca="1" si="18"/>
        <v>0</v>
      </c>
      <c r="N48" s="87">
        <f t="shared" ca="1" si="19"/>
        <v>0</v>
      </c>
      <c r="O48" s="86">
        <f ca="1">IFERROR(__xludf.DUMMYFUNCTION("IMPORTRANGE(""https://docs.google.com/spreadsheets/d/1-uDff_7J0KD5mKrp0Vvzr7lt3OU09vwQwhkpOPPYv2Y/edit?usp=sharing"",""งบพรบ!EQ48"")"),0)</f>
        <v>0</v>
      </c>
      <c r="P48" s="86">
        <f t="shared" ca="1" si="20"/>
        <v>0</v>
      </c>
      <c r="Q48" s="87">
        <f t="shared" ca="1" si="21"/>
        <v>0</v>
      </c>
      <c r="R48" s="353">
        <f ca="1">IFERROR(__xludf.DUMMYFUNCTION("IMPORTRANGE(""https://docs.google.com/spreadsheets/d/1Hx73zIEgVdDZZaYSTc46Dqv64atFhpr3GelxLbaIN8A/edit?usp=sharing"",""หนองบัวลำภู!I330"")"),0)</f>
        <v>0</v>
      </c>
      <c r="S48" s="177">
        <f ca="1">IFERROR(__xludf.DUMMYFUNCTION("IMPORTRANGE(""https://docs.google.com/spreadsheets/d/1Hx73zIEgVdDZZaYSTc46Dqv64atFhpr3GelxLbaIN8A/edit?usp=sharing"",""หนองบัวลำภู!J330"")"),0)</f>
        <v>0</v>
      </c>
      <c r="T48" s="354">
        <f t="shared" ca="1" si="23"/>
        <v>0</v>
      </c>
    </row>
    <row r="49" spans="1:20" ht="21" customHeight="1" x14ac:dyDescent="0.3">
      <c r="A49" s="89">
        <v>18</v>
      </c>
      <c r="B49" s="90" t="s">
        <v>75</v>
      </c>
      <c r="C49" s="174">
        <f t="shared" ca="1" si="14"/>
        <v>0</v>
      </c>
      <c r="D49" s="175">
        <f t="shared" ca="1" si="27"/>
        <v>0</v>
      </c>
      <c r="E49" s="176">
        <f ca="1">IFERROR(__xludf.DUMMYFUNCTION("IMPORTRANGE(""https://docs.google.com/spreadsheets/d/1-uDff_7J0KD5mKrp0Vvzr7lt3OU09vwQwhkpOPPYv2Y/edit?usp=sharing"",""งบพรบ!EJ49"")"),0)</f>
        <v>0</v>
      </c>
      <c r="F49" s="176">
        <f ca="1">IFERROR(__xludf.DUMMYFUNCTION("IMPORTRANGE(""https://docs.google.com/spreadsheets/d/1-uDff_7J0KD5mKrp0Vvzr7lt3OU09vwQwhkpOPPYv2Y/edit?usp=sharing"",""งบพรบ!EK49"")"),0)</f>
        <v>0</v>
      </c>
      <c r="G49" s="176">
        <f ca="1">IFERROR(__xludf.DUMMYFUNCTION("IMPORTRANGE(""https://docs.google.com/spreadsheets/d/1-uDff_7J0KD5mKrp0Vvzr7lt3OU09vwQwhkpOPPYv2Y/edit?usp=sharing"",""งบพรบ!EL49"")"),0)</f>
        <v>0</v>
      </c>
      <c r="H49" s="176">
        <f ca="1">IFERROR(__xludf.DUMMYFUNCTION("IMPORTRANGE(""https://docs.google.com/spreadsheets/d/1-uDff_7J0KD5mKrp0Vvzr7lt3OU09vwQwhkpOPPYv2Y/edit?usp=sharing"",""งบพรบ!EN49"")"),0)</f>
        <v>0</v>
      </c>
      <c r="I49" s="176">
        <f ca="1">IFERROR(__xludf.DUMMYFUNCTION("IMPORTRANGE(""https://docs.google.com/spreadsheets/d/1-uDff_7J0KD5mKrp0Vvzr7lt3OU09vwQwhkpOPPYv2Y/edit?usp=sharing"",""งบพรบ!EO49"")"),0)</f>
        <v>0</v>
      </c>
      <c r="J49" s="176">
        <f t="shared" ca="1" si="16"/>
        <v>0</v>
      </c>
      <c r="K49" s="179">
        <f t="shared" ca="1" si="17"/>
        <v>0</v>
      </c>
      <c r="L49" s="176">
        <f ca="1">IFERROR(__xludf.DUMMYFUNCTION("IMPORTRANGE(""https://docs.google.com/spreadsheets/d/1-uDff_7J0KD5mKrp0Vvzr7lt3OU09vwQwhkpOPPYv2Y/edit?usp=sharing"",""งบพรบ!EP49"")"),0)</f>
        <v>0</v>
      </c>
      <c r="M49" s="87">
        <f t="shared" ca="1" si="18"/>
        <v>0</v>
      </c>
      <c r="N49" s="87">
        <f t="shared" ca="1" si="19"/>
        <v>0</v>
      </c>
      <c r="O49" s="86">
        <f ca="1">IFERROR(__xludf.DUMMYFUNCTION("IMPORTRANGE(""https://docs.google.com/spreadsheets/d/1-uDff_7J0KD5mKrp0Vvzr7lt3OU09vwQwhkpOPPYv2Y/edit?usp=sharing"",""งบพรบ!EQ49"")"),0)</f>
        <v>0</v>
      </c>
      <c r="P49" s="86">
        <f t="shared" ca="1" si="20"/>
        <v>0</v>
      </c>
      <c r="Q49" s="87">
        <f t="shared" ca="1" si="21"/>
        <v>0</v>
      </c>
      <c r="R49" s="353">
        <f ca="1">IFERROR(__xludf.DUMMYFUNCTION("IMPORTRANGE(""https://docs.google.com/spreadsheets/d/1lFxr3ctmjFN90yc-xV6jrQ9Ty8BKYVBWnAZ15wcNIJc/edit?usp=sharing"",""อำนาจเจริญ!I330"")"),0)</f>
        <v>0</v>
      </c>
      <c r="S49" s="177">
        <f ca="1">IFERROR(__xludf.DUMMYFUNCTION("IMPORTRANGE(""https://docs.google.com/spreadsheets/d/1lFxr3ctmjFN90yc-xV6jrQ9Ty8BKYVBWnAZ15wcNIJc/edit?usp=sharing"",""อำนาจเจริญ!J330"")"),0)</f>
        <v>0</v>
      </c>
      <c r="T49" s="354">
        <f t="shared" ca="1" si="23"/>
        <v>0</v>
      </c>
    </row>
    <row r="50" spans="1:20" ht="21" customHeight="1" x14ac:dyDescent="0.3">
      <c r="A50" s="89">
        <v>19</v>
      </c>
      <c r="B50" s="90" t="s">
        <v>76</v>
      </c>
      <c r="C50" s="174">
        <f t="shared" ca="1" si="14"/>
        <v>0</v>
      </c>
      <c r="D50" s="175">
        <f t="shared" ca="1" si="27"/>
        <v>0</v>
      </c>
      <c r="E50" s="176">
        <f ca="1">IFERROR(__xludf.DUMMYFUNCTION("IMPORTRANGE(""https://docs.google.com/spreadsheets/d/1-uDff_7J0KD5mKrp0Vvzr7lt3OU09vwQwhkpOPPYv2Y/edit?usp=sharing"",""งบพรบ!EJ50"")"),0)</f>
        <v>0</v>
      </c>
      <c r="F50" s="176">
        <f ca="1">IFERROR(__xludf.DUMMYFUNCTION("IMPORTRANGE(""https://docs.google.com/spreadsheets/d/1-uDff_7J0KD5mKrp0Vvzr7lt3OU09vwQwhkpOPPYv2Y/edit?usp=sharing"",""งบพรบ!EK50"")"),0)</f>
        <v>0</v>
      </c>
      <c r="G50" s="176">
        <f ca="1">IFERROR(__xludf.DUMMYFUNCTION("IMPORTRANGE(""https://docs.google.com/spreadsheets/d/1-uDff_7J0KD5mKrp0Vvzr7lt3OU09vwQwhkpOPPYv2Y/edit?usp=sharing"",""งบพรบ!EL50"")"),0)</f>
        <v>0</v>
      </c>
      <c r="H50" s="176">
        <f ca="1">IFERROR(__xludf.DUMMYFUNCTION("IMPORTRANGE(""https://docs.google.com/spreadsheets/d/1-uDff_7J0KD5mKrp0Vvzr7lt3OU09vwQwhkpOPPYv2Y/edit?usp=sharing"",""งบพรบ!EN50"")"),0)</f>
        <v>0</v>
      </c>
      <c r="I50" s="176">
        <f ca="1">IFERROR(__xludf.DUMMYFUNCTION("IMPORTRANGE(""https://docs.google.com/spreadsheets/d/1-uDff_7J0KD5mKrp0Vvzr7lt3OU09vwQwhkpOPPYv2Y/edit?usp=sharing"",""งบพรบ!EO50"")"),0)</f>
        <v>0</v>
      </c>
      <c r="J50" s="176">
        <f t="shared" ca="1" si="16"/>
        <v>0</v>
      </c>
      <c r="K50" s="179">
        <f t="shared" ca="1" si="17"/>
        <v>0</v>
      </c>
      <c r="L50" s="176">
        <f ca="1">IFERROR(__xludf.DUMMYFUNCTION("IMPORTRANGE(""https://docs.google.com/spreadsheets/d/1-uDff_7J0KD5mKrp0Vvzr7lt3OU09vwQwhkpOPPYv2Y/edit?usp=sharing"",""งบพรบ!EP50"")"),0)</f>
        <v>0</v>
      </c>
      <c r="M50" s="87">
        <f t="shared" ca="1" si="18"/>
        <v>0</v>
      </c>
      <c r="N50" s="87">
        <f t="shared" ca="1" si="19"/>
        <v>0</v>
      </c>
      <c r="O50" s="86">
        <f ca="1">IFERROR(__xludf.DUMMYFUNCTION("IMPORTRANGE(""https://docs.google.com/spreadsheets/d/1-uDff_7J0KD5mKrp0Vvzr7lt3OU09vwQwhkpOPPYv2Y/edit?usp=sharing"",""งบพรบ!EQ50"")"),0)</f>
        <v>0</v>
      </c>
      <c r="P50" s="86">
        <f t="shared" ca="1" si="20"/>
        <v>0</v>
      </c>
      <c r="Q50" s="87">
        <f t="shared" ca="1" si="21"/>
        <v>0</v>
      </c>
      <c r="R50" s="353">
        <f ca="1">IFERROR(__xludf.DUMMYFUNCTION("IMPORTRANGE(""https://docs.google.com/spreadsheets/d/1gF7RJpRnL-1oyjyeWxs5SFWEH7y8ahOZsQlyp2A2e-A/edit?usp=sharing"",""อุดรธานี!I330"")"),0)</f>
        <v>0</v>
      </c>
      <c r="S50" s="177">
        <f ca="1">IFERROR(__xludf.DUMMYFUNCTION("IMPORTRANGE(""https://docs.google.com/spreadsheets/d/1gF7RJpRnL-1oyjyeWxs5SFWEH7y8ahOZsQlyp2A2e-A/edit?usp=sharing"",""อุดรธานี!J330"")"),0)</f>
        <v>0</v>
      </c>
      <c r="T50" s="354">
        <f t="shared" ca="1" si="23"/>
        <v>0</v>
      </c>
    </row>
    <row r="51" spans="1:20" ht="21" customHeight="1" x14ac:dyDescent="0.3">
      <c r="A51" s="100">
        <v>20</v>
      </c>
      <c r="B51" s="101" t="s">
        <v>77</v>
      </c>
      <c r="C51" s="189">
        <f t="shared" ca="1" si="14"/>
        <v>0</v>
      </c>
      <c r="D51" s="190">
        <f t="shared" ca="1" si="27"/>
        <v>0</v>
      </c>
      <c r="E51" s="191">
        <f ca="1">IFERROR(__xludf.DUMMYFUNCTION("IMPORTRANGE(""https://docs.google.com/spreadsheets/d/1-uDff_7J0KD5mKrp0Vvzr7lt3OU09vwQwhkpOPPYv2Y/edit?usp=sharing"",""งบพรบ!EJ51"")"),0)</f>
        <v>0</v>
      </c>
      <c r="F51" s="191">
        <f ca="1">IFERROR(__xludf.DUMMYFUNCTION("IMPORTRANGE(""https://docs.google.com/spreadsheets/d/1-uDff_7J0KD5mKrp0Vvzr7lt3OU09vwQwhkpOPPYv2Y/edit?usp=sharing"",""งบพรบ!EK51"")"),0)</f>
        <v>0</v>
      </c>
      <c r="G51" s="191">
        <f ca="1">IFERROR(__xludf.DUMMYFUNCTION("IMPORTRANGE(""https://docs.google.com/spreadsheets/d/1-uDff_7J0KD5mKrp0Vvzr7lt3OU09vwQwhkpOPPYv2Y/edit?usp=sharing"",""งบพรบ!EL51"")"),0)</f>
        <v>0</v>
      </c>
      <c r="H51" s="191">
        <f ca="1">IFERROR(__xludf.DUMMYFUNCTION("IMPORTRANGE(""https://docs.google.com/spreadsheets/d/1-uDff_7J0KD5mKrp0Vvzr7lt3OU09vwQwhkpOPPYv2Y/edit?usp=sharing"",""งบพรบ!EN51"")"),0)</f>
        <v>0</v>
      </c>
      <c r="I51" s="191">
        <f ca="1">IFERROR(__xludf.DUMMYFUNCTION("IMPORTRANGE(""https://docs.google.com/spreadsheets/d/1-uDff_7J0KD5mKrp0Vvzr7lt3OU09vwQwhkpOPPYv2Y/edit?usp=sharing"",""งบพรบ!EO51"")"),0)</f>
        <v>0</v>
      </c>
      <c r="J51" s="191">
        <f t="shared" ca="1" si="16"/>
        <v>0</v>
      </c>
      <c r="K51" s="192">
        <f t="shared" ca="1" si="17"/>
        <v>0</v>
      </c>
      <c r="L51" s="191">
        <f ca="1">IFERROR(__xludf.DUMMYFUNCTION("IMPORTRANGE(""https://docs.google.com/spreadsheets/d/1-uDff_7J0KD5mKrp0Vvzr7lt3OU09vwQwhkpOPPYv2Y/edit?usp=sharing"",""งบพรบ!EP51"")"),0)</f>
        <v>0</v>
      </c>
      <c r="M51" s="118">
        <f t="shared" ca="1" si="18"/>
        <v>0</v>
      </c>
      <c r="N51" s="118">
        <f t="shared" ca="1" si="19"/>
        <v>0</v>
      </c>
      <c r="O51" s="117">
        <f ca="1">IFERROR(__xludf.DUMMYFUNCTION("IMPORTRANGE(""https://docs.google.com/spreadsheets/d/1-uDff_7J0KD5mKrp0Vvzr7lt3OU09vwQwhkpOPPYv2Y/edit?usp=sharing"",""งบพรบ!EQ51"")"),0)</f>
        <v>0</v>
      </c>
      <c r="P51" s="117">
        <f t="shared" ca="1" si="20"/>
        <v>0</v>
      </c>
      <c r="Q51" s="118">
        <f t="shared" ca="1" si="21"/>
        <v>0</v>
      </c>
      <c r="R51" s="356">
        <f ca="1">IFERROR(__xludf.DUMMYFUNCTION("IMPORTRANGE(""https://docs.google.com/spreadsheets/d/1kfLP0j3INXRa8bTDpcEmoWewMBV61jlFlfzczfjWIgc/edit?usp=sharing"",""อุบลราชธานี!I330"")"),0)</f>
        <v>0</v>
      </c>
      <c r="S51" s="186">
        <f ca="1">IFERROR(__xludf.DUMMYFUNCTION("IMPORTRANGE(""https://docs.google.com/spreadsheets/d/1kfLP0j3INXRa8bTDpcEmoWewMBV61jlFlfzczfjWIgc/edit?usp=sharing"",""อุบลราชธานี!J330"")"),0)</f>
        <v>0</v>
      </c>
      <c r="T51" s="357">
        <f t="shared" ca="1" si="23"/>
        <v>0</v>
      </c>
    </row>
    <row r="52" spans="1:20" ht="21" customHeight="1" x14ac:dyDescent="0.3">
      <c r="A52" s="650" t="s">
        <v>78</v>
      </c>
      <c r="B52" s="583"/>
      <c r="C52" s="194">
        <f t="shared" ca="1" si="14"/>
        <v>90000</v>
      </c>
      <c r="D52" s="194">
        <f t="shared" ref="D52:I52" ca="1" si="28">SUM(D53:D73)</f>
        <v>90000</v>
      </c>
      <c r="E52" s="194">
        <f t="shared" ca="1" si="28"/>
        <v>0</v>
      </c>
      <c r="F52" s="194">
        <f t="shared" ca="1" si="28"/>
        <v>90000</v>
      </c>
      <c r="G52" s="194">
        <f t="shared" ca="1" si="28"/>
        <v>0</v>
      </c>
      <c r="H52" s="194">
        <f t="shared" ca="1" si="28"/>
        <v>90000</v>
      </c>
      <c r="I52" s="194">
        <f t="shared" ca="1" si="28"/>
        <v>0</v>
      </c>
      <c r="J52" s="194">
        <f t="shared" ca="1" si="16"/>
        <v>24717</v>
      </c>
      <c r="K52" s="195">
        <f t="shared" ca="1" si="17"/>
        <v>27.463333333333335</v>
      </c>
      <c r="L52" s="194">
        <f ca="1">SUM(L53:L73)</f>
        <v>24717</v>
      </c>
      <c r="M52" s="120">
        <f t="shared" ca="1" si="18"/>
        <v>27.463333333333335</v>
      </c>
      <c r="N52" s="120">
        <f t="shared" ca="1" si="19"/>
        <v>27.463333333333335</v>
      </c>
      <c r="O52" s="119">
        <f ca="1">SUM(O53:O73)</f>
        <v>0</v>
      </c>
      <c r="P52" s="119">
        <f t="shared" ca="1" si="20"/>
        <v>0</v>
      </c>
      <c r="Q52" s="120">
        <f t="shared" ca="1" si="21"/>
        <v>0</v>
      </c>
      <c r="R52" s="348">
        <f t="shared" ref="R52:S52" ca="1" si="29">SUM(R53:R73)</f>
        <v>3</v>
      </c>
      <c r="S52" s="161">
        <f t="shared" ca="1" si="29"/>
        <v>2</v>
      </c>
      <c r="T52" s="40">
        <f t="shared" ca="1" si="23"/>
        <v>66.666666666666671</v>
      </c>
    </row>
    <row r="53" spans="1:20" ht="21" customHeight="1" x14ac:dyDescent="0.3">
      <c r="A53" s="77">
        <v>1</v>
      </c>
      <c r="B53" s="78" t="s">
        <v>79</v>
      </c>
      <c r="C53" s="174">
        <f t="shared" ca="1" si="14"/>
        <v>20000</v>
      </c>
      <c r="D53" s="175">
        <f t="shared" ref="D53:D73" ca="1" si="30">+E53+F53</f>
        <v>20000</v>
      </c>
      <c r="E53" s="176">
        <f ca="1">IFERROR(__xludf.DUMMYFUNCTION("IMPORTRANGE(""https://docs.google.com/spreadsheets/d/1-uDff_7J0KD5mKrp0Vvzr7lt3OU09vwQwhkpOPPYv2Y/edit?usp=sharing"",""งบพรบ!EJ53"")"),0)</f>
        <v>0</v>
      </c>
      <c r="F53" s="176">
        <f ca="1">IFERROR(__xludf.DUMMYFUNCTION("IMPORTRANGE(""https://docs.google.com/spreadsheets/d/1-uDff_7J0KD5mKrp0Vvzr7lt3OU09vwQwhkpOPPYv2Y/edit?usp=sharing"",""งบพรบ!EK53"")"),20000)</f>
        <v>20000</v>
      </c>
      <c r="G53" s="177">
        <f ca="1">IFERROR(__xludf.DUMMYFUNCTION("IMPORTRANGE(""https://docs.google.com/spreadsheets/d/1-uDff_7J0KD5mKrp0Vvzr7lt3OU09vwQwhkpOPPYv2Y/edit?usp=sharing"",""งบพรบ!EL53"")"),0)</f>
        <v>0</v>
      </c>
      <c r="H53" s="177">
        <f ca="1">IFERROR(__xludf.DUMMYFUNCTION("IMPORTRANGE(""https://docs.google.com/spreadsheets/d/1-uDff_7J0KD5mKrp0Vvzr7lt3OU09vwQwhkpOPPYv2Y/edit?usp=sharing"",""งบพรบ!EN53"")"),20000)</f>
        <v>20000</v>
      </c>
      <c r="I53" s="177">
        <f ca="1">IFERROR(__xludf.DUMMYFUNCTION("IMPORTRANGE(""https://docs.google.com/spreadsheets/d/1-uDff_7J0KD5mKrp0Vvzr7lt3OU09vwQwhkpOPPYv2Y/edit?usp=sharing"",""งบพรบ!EO53"")"),0)</f>
        <v>0</v>
      </c>
      <c r="J53" s="177">
        <f t="shared" ca="1" si="16"/>
        <v>14067</v>
      </c>
      <c r="K53" s="178">
        <f t="shared" ca="1" si="17"/>
        <v>70.334999999999994</v>
      </c>
      <c r="L53" s="177">
        <f ca="1">IFERROR(__xludf.DUMMYFUNCTION("IMPORTRANGE(""https://docs.google.com/spreadsheets/d/1-uDff_7J0KD5mKrp0Vvzr7lt3OU09vwQwhkpOPPYv2Y/edit?usp=sharing"",""งบพรบ!EP53"")"),14067)</f>
        <v>14067</v>
      </c>
      <c r="M53" s="87">
        <f t="shared" ca="1" si="18"/>
        <v>70.334999999999994</v>
      </c>
      <c r="N53" s="87">
        <f t="shared" ca="1" si="19"/>
        <v>70.334999999999994</v>
      </c>
      <c r="O53" s="86">
        <f ca="1">IFERROR(__xludf.DUMMYFUNCTION("IMPORTRANGE(""https://docs.google.com/spreadsheets/d/1-uDff_7J0KD5mKrp0Vvzr7lt3OU09vwQwhkpOPPYv2Y/edit?usp=sharing"",""งบพรบ!EQ53"")"),0)</f>
        <v>0</v>
      </c>
      <c r="P53" s="86">
        <f t="shared" ca="1" si="20"/>
        <v>0</v>
      </c>
      <c r="Q53" s="87">
        <f t="shared" ca="1" si="21"/>
        <v>0</v>
      </c>
      <c r="R53" s="353">
        <f ca="1">IFERROR(__xludf.DUMMYFUNCTION("IMPORTRANGE(""https://docs.google.com/spreadsheets/d/13wPX838HrBrQMCywv1BsuMkt4PEKTChp52zj44s2izQ/edit?usp=sharing"",""กาญจนบุรี!I330"")"),1)</f>
        <v>1</v>
      </c>
      <c r="S53" s="177">
        <f ca="1">IFERROR(__xludf.DUMMYFUNCTION("IMPORTRANGE(""https://docs.google.com/spreadsheets/d/13wPX838HrBrQMCywv1BsuMkt4PEKTChp52zj44s2izQ/edit?usp=sharing"",""กาญจนบุรี!J330"")"),1)</f>
        <v>1</v>
      </c>
      <c r="T53" s="354">
        <f t="shared" ca="1" si="23"/>
        <v>100</v>
      </c>
    </row>
    <row r="54" spans="1:20" ht="21" customHeight="1" x14ac:dyDescent="0.3">
      <c r="A54" s="89">
        <v>2</v>
      </c>
      <c r="B54" s="90" t="s">
        <v>80</v>
      </c>
      <c r="C54" s="174">
        <f t="shared" ca="1" si="14"/>
        <v>0</v>
      </c>
      <c r="D54" s="175">
        <f t="shared" ca="1" si="30"/>
        <v>0</v>
      </c>
      <c r="E54" s="176">
        <f ca="1">IFERROR(__xludf.DUMMYFUNCTION("IMPORTRANGE(""https://docs.google.com/spreadsheets/d/1-uDff_7J0KD5mKrp0Vvzr7lt3OU09vwQwhkpOPPYv2Y/edit?usp=sharing"",""งบพรบ!EJ54"")"),0)</f>
        <v>0</v>
      </c>
      <c r="F54" s="176">
        <f ca="1">IFERROR(__xludf.DUMMYFUNCTION("IMPORTRANGE(""https://docs.google.com/spreadsheets/d/1-uDff_7J0KD5mKrp0Vvzr7lt3OU09vwQwhkpOPPYv2Y/edit?usp=sharing"",""งบพรบ!EK54"")"),0)</f>
        <v>0</v>
      </c>
      <c r="G54" s="176">
        <f ca="1">IFERROR(__xludf.DUMMYFUNCTION("IMPORTRANGE(""https://docs.google.com/spreadsheets/d/1-uDff_7J0KD5mKrp0Vvzr7lt3OU09vwQwhkpOPPYv2Y/edit?usp=sharing"",""งบพรบ!EL54"")"),0)</f>
        <v>0</v>
      </c>
      <c r="H54" s="176">
        <f ca="1">IFERROR(__xludf.DUMMYFUNCTION("IMPORTRANGE(""https://docs.google.com/spreadsheets/d/1-uDff_7J0KD5mKrp0Vvzr7lt3OU09vwQwhkpOPPYv2Y/edit?usp=sharing"",""งบพรบ!EN54"")"),0)</f>
        <v>0</v>
      </c>
      <c r="I54" s="176">
        <f ca="1">IFERROR(__xludf.DUMMYFUNCTION("IMPORTRANGE(""https://docs.google.com/spreadsheets/d/1-uDff_7J0KD5mKrp0Vvzr7lt3OU09vwQwhkpOPPYv2Y/edit?usp=sharing"",""งบพรบ!EO54"")"),0)</f>
        <v>0</v>
      </c>
      <c r="J54" s="176">
        <f t="shared" ca="1" si="16"/>
        <v>0</v>
      </c>
      <c r="K54" s="179">
        <f t="shared" ca="1" si="17"/>
        <v>0</v>
      </c>
      <c r="L54" s="176">
        <f ca="1">IFERROR(__xludf.DUMMYFUNCTION("IMPORTRANGE(""https://docs.google.com/spreadsheets/d/1-uDff_7J0KD5mKrp0Vvzr7lt3OU09vwQwhkpOPPYv2Y/edit?usp=sharing"",""งบพรบ!EP54"")"),0)</f>
        <v>0</v>
      </c>
      <c r="M54" s="87">
        <f t="shared" ca="1" si="18"/>
        <v>0</v>
      </c>
      <c r="N54" s="87">
        <f t="shared" ca="1" si="19"/>
        <v>0</v>
      </c>
      <c r="O54" s="86">
        <f ca="1">IFERROR(__xludf.DUMMYFUNCTION("IMPORTRANGE(""https://docs.google.com/spreadsheets/d/1-uDff_7J0KD5mKrp0Vvzr7lt3OU09vwQwhkpOPPYv2Y/edit?usp=sharing"",""งบพรบ!EQ54"")"),0)</f>
        <v>0</v>
      </c>
      <c r="P54" s="86">
        <f t="shared" ca="1" si="20"/>
        <v>0</v>
      </c>
      <c r="Q54" s="87">
        <f t="shared" ca="1" si="21"/>
        <v>0</v>
      </c>
      <c r="R54" s="353">
        <f ca="1">IFERROR(__xludf.DUMMYFUNCTION("IMPORTRANGE(""https://docs.google.com/spreadsheets/d/1ddFKvqj1W1NEiWytbGlB1zMx_ykJDVtmfEQ-6-lIUBA/edit?usp=sharing"",""จันทบุรี!I330"")"),0)</f>
        <v>0</v>
      </c>
      <c r="S54" s="177">
        <f ca="1">IFERROR(__xludf.DUMMYFUNCTION("IMPORTRANGE(""https://docs.google.com/spreadsheets/d/1ddFKvqj1W1NEiWytbGlB1zMx_ykJDVtmfEQ-6-lIUBA/edit?usp=sharing"",""จันทบุรี!J330"")"),0)</f>
        <v>0</v>
      </c>
      <c r="T54" s="354">
        <f t="shared" ca="1" si="23"/>
        <v>0</v>
      </c>
    </row>
    <row r="55" spans="1:20" ht="21" customHeight="1" x14ac:dyDescent="0.3">
      <c r="A55" s="89">
        <v>3</v>
      </c>
      <c r="B55" s="90" t="s">
        <v>81</v>
      </c>
      <c r="C55" s="174">
        <f t="shared" ca="1" si="14"/>
        <v>0</v>
      </c>
      <c r="D55" s="175">
        <f t="shared" ca="1" si="30"/>
        <v>0</v>
      </c>
      <c r="E55" s="176">
        <f ca="1">IFERROR(__xludf.DUMMYFUNCTION("IMPORTRANGE(""https://docs.google.com/spreadsheets/d/1-uDff_7J0KD5mKrp0Vvzr7lt3OU09vwQwhkpOPPYv2Y/edit?usp=sharing"",""งบพรบ!EJ55"")"),0)</f>
        <v>0</v>
      </c>
      <c r="F55" s="176">
        <f ca="1">IFERROR(__xludf.DUMMYFUNCTION("IMPORTRANGE(""https://docs.google.com/spreadsheets/d/1-uDff_7J0KD5mKrp0Vvzr7lt3OU09vwQwhkpOPPYv2Y/edit?usp=sharing"",""งบพรบ!EK55"")"),0)</f>
        <v>0</v>
      </c>
      <c r="G55" s="176">
        <f ca="1">IFERROR(__xludf.DUMMYFUNCTION("IMPORTRANGE(""https://docs.google.com/spreadsheets/d/1-uDff_7J0KD5mKrp0Vvzr7lt3OU09vwQwhkpOPPYv2Y/edit?usp=sharing"",""งบพรบ!EL55"")"),0)</f>
        <v>0</v>
      </c>
      <c r="H55" s="176">
        <f ca="1">IFERROR(__xludf.DUMMYFUNCTION("IMPORTRANGE(""https://docs.google.com/spreadsheets/d/1-uDff_7J0KD5mKrp0Vvzr7lt3OU09vwQwhkpOPPYv2Y/edit?usp=sharing"",""งบพรบ!EN55"")"),0)</f>
        <v>0</v>
      </c>
      <c r="I55" s="176">
        <f ca="1">IFERROR(__xludf.DUMMYFUNCTION("IMPORTRANGE(""https://docs.google.com/spreadsheets/d/1-uDff_7J0KD5mKrp0Vvzr7lt3OU09vwQwhkpOPPYv2Y/edit?usp=sharing"",""งบพรบ!EO55"")"),0)</f>
        <v>0</v>
      </c>
      <c r="J55" s="176">
        <f t="shared" ca="1" si="16"/>
        <v>0</v>
      </c>
      <c r="K55" s="179">
        <f t="shared" ca="1" si="17"/>
        <v>0</v>
      </c>
      <c r="L55" s="176">
        <f ca="1">IFERROR(__xludf.DUMMYFUNCTION("IMPORTRANGE(""https://docs.google.com/spreadsheets/d/1-uDff_7J0KD5mKrp0Vvzr7lt3OU09vwQwhkpOPPYv2Y/edit?usp=sharing"",""งบพรบ!EP55"")"),0)</f>
        <v>0</v>
      </c>
      <c r="M55" s="87">
        <f t="shared" ca="1" si="18"/>
        <v>0</v>
      </c>
      <c r="N55" s="87">
        <f t="shared" ca="1" si="19"/>
        <v>0</v>
      </c>
      <c r="O55" s="86">
        <f ca="1">IFERROR(__xludf.DUMMYFUNCTION("IMPORTRANGE(""https://docs.google.com/spreadsheets/d/1-uDff_7J0KD5mKrp0Vvzr7lt3OU09vwQwhkpOPPYv2Y/edit?usp=sharing"",""งบพรบ!EQ55"")"),0)</f>
        <v>0</v>
      </c>
      <c r="P55" s="86">
        <f t="shared" ca="1" si="20"/>
        <v>0</v>
      </c>
      <c r="Q55" s="87">
        <f t="shared" ca="1" si="21"/>
        <v>0</v>
      </c>
      <c r="R55" s="353">
        <f ca="1">IFERROR(__xludf.DUMMYFUNCTION("IMPORTRANGE(""https://docs.google.com/spreadsheets/d/1T1PQvRODqOBZk8BRht_U031fIS1beLA0Ub2CEytj2q0/edit?usp=sharing"",""ฉะเชิงเทรา!I330"")"),0)</f>
        <v>0</v>
      </c>
      <c r="S55" s="177">
        <f ca="1">IFERROR(__xludf.DUMMYFUNCTION("IMPORTRANGE(""https://docs.google.com/spreadsheets/d/1T1PQvRODqOBZk8BRht_U031fIS1beLA0Ub2CEytj2q0/edit?usp=sharing"",""ฉะเชิงเทรา!J330"")"),0)</f>
        <v>0</v>
      </c>
      <c r="T55" s="354">
        <f t="shared" ca="1" si="23"/>
        <v>0</v>
      </c>
    </row>
    <row r="56" spans="1:20" ht="21" customHeight="1" x14ac:dyDescent="0.3">
      <c r="A56" s="89">
        <v>4</v>
      </c>
      <c r="B56" s="90" t="s">
        <v>82</v>
      </c>
      <c r="C56" s="174">
        <f t="shared" ca="1" si="14"/>
        <v>30000</v>
      </c>
      <c r="D56" s="175">
        <f t="shared" ca="1" si="30"/>
        <v>30000</v>
      </c>
      <c r="E56" s="176">
        <f ca="1">IFERROR(__xludf.DUMMYFUNCTION("IMPORTRANGE(""https://docs.google.com/spreadsheets/d/1-uDff_7J0KD5mKrp0Vvzr7lt3OU09vwQwhkpOPPYv2Y/edit?usp=sharing"",""งบพรบ!EJ56"")"),0)</f>
        <v>0</v>
      </c>
      <c r="F56" s="176">
        <f ca="1">IFERROR(__xludf.DUMMYFUNCTION("IMPORTRANGE(""https://docs.google.com/spreadsheets/d/1-uDff_7J0KD5mKrp0Vvzr7lt3OU09vwQwhkpOPPYv2Y/edit?usp=sharing"",""งบพรบ!EK56"")"),30000)</f>
        <v>30000</v>
      </c>
      <c r="G56" s="176">
        <f ca="1">IFERROR(__xludf.DUMMYFUNCTION("IMPORTRANGE(""https://docs.google.com/spreadsheets/d/1-uDff_7J0KD5mKrp0Vvzr7lt3OU09vwQwhkpOPPYv2Y/edit?usp=sharing"",""งบพรบ!EL56"")"),0)</f>
        <v>0</v>
      </c>
      <c r="H56" s="176">
        <f ca="1">IFERROR(__xludf.DUMMYFUNCTION("IMPORTRANGE(""https://docs.google.com/spreadsheets/d/1-uDff_7J0KD5mKrp0Vvzr7lt3OU09vwQwhkpOPPYv2Y/edit?usp=sharing"",""งบพรบ!EN56"")"),30000)</f>
        <v>30000</v>
      </c>
      <c r="I56" s="176">
        <f ca="1">IFERROR(__xludf.DUMMYFUNCTION("IMPORTRANGE(""https://docs.google.com/spreadsheets/d/1-uDff_7J0KD5mKrp0Vvzr7lt3OU09vwQwhkpOPPYv2Y/edit?usp=sharing"",""งบพรบ!EO56"")"),0)</f>
        <v>0</v>
      </c>
      <c r="J56" s="176">
        <f t="shared" ca="1" si="16"/>
        <v>6850</v>
      </c>
      <c r="K56" s="179">
        <f t="shared" ca="1" si="17"/>
        <v>22.833333333333332</v>
      </c>
      <c r="L56" s="176">
        <f ca="1">IFERROR(__xludf.DUMMYFUNCTION("IMPORTRANGE(""https://docs.google.com/spreadsheets/d/1-uDff_7J0KD5mKrp0Vvzr7lt3OU09vwQwhkpOPPYv2Y/edit?usp=sharing"",""งบพรบ!EP56"")"),6850)</f>
        <v>6850</v>
      </c>
      <c r="M56" s="87">
        <f t="shared" ca="1" si="18"/>
        <v>22.833333333333332</v>
      </c>
      <c r="N56" s="87">
        <f t="shared" ca="1" si="19"/>
        <v>22.833333333333332</v>
      </c>
      <c r="O56" s="86">
        <f ca="1">IFERROR(__xludf.DUMMYFUNCTION("IMPORTRANGE(""https://docs.google.com/spreadsheets/d/1-uDff_7J0KD5mKrp0Vvzr7lt3OU09vwQwhkpOPPYv2Y/edit?usp=sharing"",""งบพรบ!EQ56"")"),0)</f>
        <v>0</v>
      </c>
      <c r="P56" s="86">
        <f t="shared" ca="1" si="20"/>
        <v>0</v>
      </c>
      <c r="Q56" s="87">
        <f t="shared" ca="1" si="21"/>
        <v>0</v>
      </c>
      <c r="R56" s="353">
        <f ca="1">IFERROR(__xludf.DUMMYFUNCTION("IMPORTRANGE(""https://docs.google.com/spreadsheets/d/11tr1B-Bhyr79v2bkwVh5h_fR-PStkgjlZtkrZpYurG0/edit?usp=sharing"",""ชลบุรี!I330"")"),1)</f>
        <v>1</v>
      </c>
      <c r="S56" s="177">
        <f ca="1">IFERROR(__xludf.DUMMYFUNCTION("IMPORTRANGE(""https://docs.google.com/spreadsheets/d/11tr1B-Bhyr79v2bkwVh5h_fR-PStkgjlZtkrZpYurG0/edit?usp=sharing"",""ชลบุรี!J330"")"),0)</f>
        <v>0</v>
      </c>
      <c r="T56" s="354">
        <f t="shared" ca="1" si="23"/>
        <v>0</v>
      </c>
    </row>
    <row r="57" spans="1:20" ht="21" customHeight="1" x14ac:dyDescent="0.3">
      <c r="A57" s="89">
        <v>5</v>
      </c>
      <c r="B57" s="90" t="s">
        <v>83</v>
      </c>
      <c r="C57" s="174">
        <f t="shared" ca="1" si="14"/>
        <v>0</v>
      </c>
      <c r="D57" s="175">
        <f t="shared" ca="1" si="30"/>
        <v>0</v>
      </c>
      <c r="E57" s="176">
        <f ca="1">IFERROR(__xludf.DUMMYFUNCTION("IMPORTRANGE(""https://docs.google.com/spreadsheets/d/1-uDff_7J0KD5mKrp0Vvzr7lt3OU09vwQwhkpOPPYv2Y/edit?usp=sharing"",""งบพรบ!EJ57"")"),0)</f>
        <v>0</v>
      </c>
      <c r="F57" s="176">
        <f ca="1">IFERROR(__xludf.DUMMYFUNCTION("IMPORTRANGE(""https://docs.google.com/spreadsheets/d/1-uDff_7J0KD5mKrp0Vvzr7lt3OU09vwQwhkpOPPYv2Y/edit?usp=sharing"",""งบพรบ!EK57"")"),0)</f>
        <v>0</v>
      </c>
      <c r="G57" s="176">
        <f ca="1">IFERROR(__xludf.DUMMYFUNCTION("IMPORTRANGE(""https://docs.google.com/spreadsheets/d/1-uDff_7J0KD5mKrp0Vvzr7lt3OU09vwQwhkpOPPYv2Y/edit?usp=sharing"",""งบพรบ!EL57"")"),0)</f>
        <v>0</v>
      </c>
      <c r="H57" s="176">
        <f ca="1">IFERROR(__xludf.DUMMYFUNCTION("IMPORTRANGE(""https://docs.google.com/spreadsheets/d/1-uDff_7J0KD5mKrp0Vvzr7lt3OU09vwQwhkpOPPYv2Y/edit?usp=sharing"",""งบพรบ!EN57"")"),0)</f>
        <v>0</v>
      </c>
      <c r="I57" s="176">
        <f ca="1">IFERROR(__xludf.DUMMYFUNCTION("IMPORTRANGE(""https://docs.google.com/spreadsheets/d/1-uDff_7J0KD5mKrp0Vvzr7lt3OU09vwQwhkpOPPYv2Y/edit?usp=sharing"",""งบพรบ!EO57"")"),0)</f>
        <v>0</v>
      </c>
      <c r="J57" s="176">
        <f t="shared" ca="1" si="16"/>
        <v>0</v>
      </c>
      <c r="K57" s="179">
        <f t="shared" ca="1" si="17"/>
        <v>0</v>
      </c>
      <c r="L57" s="176">
        <f ca="1">IFERROR(__xludf.DUMMYFUNCTION("IMPORTRANGE(""https://docs.google.com/spreadsheets/d/1-uDff_7J0KD5mKrp0Vvzr7lt3OU09vwQwhkpOPPYv2Y/edit?usp=sharing"",""งบพรบ!EP57"")"),0)</f>
        <v>0</v>
      </c>
      <c r="M57" s="87">
        <f t="shared" ca="1" si="18"/>
        <v>0</v>
      </c>
      <c r="N57" s="87">
        <f t="shared" ca="1" si="19"/>
        <v>0</v>
      </c>
      <c r="O57" s="86">
        <f ca="1">IFERROR(__xludf.DUMMYFUNCTION("IMPORTRANGE(""https://docs.google.com/spreadsheets/d/1-uDff_7J0KD5mKrp0Vvzr7lt3OU09vwQwhkpOPPYv2Y/edit?usp=sharing"",""งบพรบ!EQ57"")"),0)</f>
        <v>0</v>
      </c>
      <c r="P57" s="86">
        <f t="shared" ca="1" si="20"/>
        <v>0</v>
      </c>
      <c r="Q57" s="87">
        <f t="shared" ca="1" si="21"/>
        <v>0</v>
      </c>
      <c r="R57" s="353">
        <f ca="1">IFERROR(__xludf.DUMMYFUNCTION("IMPORTRANGE(""https://docs.google.com/spreadsheets/d/1hh-FVnSX0vozXhGluamEcS54Dw9_zqW0N7qJUWgJ0Sw/edit?usp=sharing"",""ชัยนาท!I330"")"),0)</f>
        <v>0</v>
      </c>
      <c r="S57" s="177">
        <f ca="1">IFERROR(__xludf.DUMMYFUNCTION("IMPORTRANGE(""https://docs.google.com/spreadsheets/d/1hh-FVnSX0vozXhGluamEcS54Dw9_zqW0N7qJUWgJ0Sw/edit?usp=sharing"",""ชัยนาท!J330"")"),0)</f>
        <v>0</v>
      </c>
      <c r="T57" s="354">
        <f t="shared" ca="1" si="23"/>
        <v>0</v>
      </c>
    </row>
    <row r="58" spans="1:20" ht="21" customHeight="1" x14ac:dyDescent="0.3">
      <c r="A58" s="89">
        <v>6</v>
      </c>
      <c r="B58" s="90" t="s">
        <v>84</v>
      </c>
      <c r="C58" s="174">
        <f t="shared" ca="1" si="14"/>
        <v>0</v>
      </c>
      <c r="D58" s="175">
        <f t="shared" ca="1" si="30"/>
        <v>0</v>
      </c>
      <c r="E58" s="176">
        <f ca="1">IFERROR(__xludf.DUMMYFUNCTION("IMPORTRANGE(""https://docs.google.com/spreadsheets/d/1-uDff_7J0KD5mKrp0Vvzr7lt3OU09vwQwhkpOPPYv2Y/edit?usp=sharing"",""งบพรบ!EJ58"")"),0)</f>
        <v>0</v>
      </c>
      <c r="F58" s="176">
        <f ca="1">IFERROR(__xludf.DUMMYFUNCTION("IMPORTRANGE(""https://docs.google.com/spreadsheets/d/1-uDff_7J0KD5mKrp0Vvzr7lt3OU09vwQwhkpOPPYv2Y/edit?usp=sharing"",""งบพรบ!EK58"")"),0)</f>
        <v>0</v>
      </c>
      <c r="G58" s="176">
        <f ca="1">IFERROR(__xludf.DUMMYFUNCTION("IMPORTRANGE(""https://docs.google.com/spreadsheets/d/1-uDff_7J0KD5mKrp0Vvzr7lt3OU09vwQwhkpOPPYv2Y/edit?usp=sharing"",""งบพรบ!EL58"")"),0)</f>
        <v>0</v>
      </c>
      <c r="H58" s="176">
        <f ca="1">IFERROR(__xludf.DUMMYFUNCTION("IMPORTRANGE(""https://docs.google.com/spreadsheets/d/1-uDff_7J0KD5mKrp0Vvzr7lt3OU09vwQwhkpOPPYv2Y/edit?usp=sharing"",""งบพรบ!EN58"")"),0)</f>
        <v>0</v>
      </c>
      <c r="I58" s="176">
        <f ca="1">IFERROR(__xludf.DUMMYFUNCTION("IMPORTRANGE(""https://docs.google.com/spreadsheets/d/1-uDff_7J0KD5mKrp0Vvzr7lt3OU09vwQwhkpOPPYv2Y/edit?usp=sharing"",""งบพรบ!EO58"")"),0)</f>
        <v>0</v>
      </c>
      <c r="J58" s="176">
        <f t="shared" ca="1" si="16"/>
        <v>0</v>
      </c>
      <c r="K58" s="179">
        <f t="shared" ca="1" si="17"/>
        <v>0</v>
      </c>
      <c r="L58" s="176">
        <f ca="1">IFERROR(__xludf.DUMMYFUNCTION("IMPORTRANGE(""https://docs.google.com/spreadsheets/d/1-uDff_7J0KD5mKrp0Vvzr7lt3OU09vwQwhkpOPPYv2Y/edit?usp=sharing"",""งบพรบ!EP58"")"),0)</f>
        <v>0</v>
      </c>
      <c r="M58" s="87">
        <f t="shared" ca="1" si="18"/>
        <v>0</v>
      </c>
      <c r="N58" s="87">
        <f t="shared" ca="1" si="19"/>
        <v>0</v>
      </c>
      <c r="O58" s="86">
        <f ca="1">IFERROR(__xludf.DUMMYFUNCTION("IMPORTRANGE(""https://docs.google.com/spreadsheets/d/1-uDff_7J0KD5mKrp0Vvzr7lt3OU09vwQwhkpOPPYv2Y/edit?usp=sharing"",""งบพรบ!EQ58"")"),0)</f>
        <v>0</v>
      </c>
      <c r="P58" s="86">
        <f t="shared" ca="1" si="20"/>
        <v>0</v>
      </c>
      <c r="Q58" s="87">
        <f t="shared" ca="1" si="21"/>
        <v>0</v>
      </c>
      <c r="R58" s="353">
        <f ca="1">IFERROR(__xludf.DUMMYFUNCTION("IMPORTRANGE(""https://docs.google.com/spreadsheets/d/1jkqa6GXxSacMcY1eN8AHjMNJ_7dDXMJVRLDlaFSOdPM/edit?usp=sharing"",""ตราด!I330"")"),0)</f>
        <v>0</v>
      </c>
      <c r="S58" s="177">
        <f ca="1">IFERROR(__xludf.DUMMYFUNCTION("IMPORTRANGE(""https://docs.google.com/spreadsheets/d/1jkqa6GXxSacMcY1eN8AHjMNJ_7dDXMJVRLDlaFSOdPM/edit?usp=sharing"",""ตราด!J330"")"),0)</f>
        <v>0</v>
      </c>
      <c r="T58" s="354">
        <f t="shared" ca="1" si="23"/>
        <v>0</v>
      </c>
    </row>
    <row r="59" spans="1:20" ht="21" customHeight="1" x14ac:dyDescent="0.3">
      <c r="A59" s="89">
        <v>7</v>
      </c>
      <c r="B59" s="90" t="s">
        <v>85</v>
      </c>
      <c r="C59" s="174">
        <f t="shared" ca="1" si="14"/>
        <v>0</v>
      </c>
      <c r="D59" s="175">
        <f t="shared" ca="1" si="30"/>
        <v>0</v>
      </c>
      <c r="E59" s="176">
        <f ca="1">IFERROR(__xludf.DUMMYFUNCTION("IMPORTRANGE(""https://docs.google.com/spreadsheets/d/1-uDff_7J0KD5mKrp0Vvzr7lt3OU09vwQwhkpOPPYv2Y/edit?usp=sharing"",""งบพรบ!EJ59"")"),0)</f>
        <v>0</v>
      </c>
      <c r="F59" s="176">
        <f ca="1">IFERROR(__xludf.DUMMYFUNCTION("IMPORTRANGE(""https://docs.google.com/spreadsheets/d/1-uDff_7J0KD5mKrp0Vvzr7lt3OU09vwQwhkpOPPYv2Y/edit?usp=sharing"",""งบพรบ!EK59"")"),0)</f>
        <v>0</v>
      </c>
      <c r="G59" s="176">
        <f ca="1">IFERROR(__xludf.DUMMYFUNCTION("IMPORTRANGE(""https://docs.google.com/spreadsheets/d/1-uDff_7J0KD5mKrp0Vvzr7lt3OU09vwQwhkpOPPYv2Y/edit?usp=sharing"",""งบพรบ!EL59"")"),0)</f>
        <v>0</v>
      </c>
      <c r="H59" s="176">
        <f ca="1">IFERROR(__xludf.DUMMYFUNCTION("IMPORTRANGE(""https://docs.google.com/spreadsheets/d/1-uDff_7J0KD5mKrp0Vvzr7lt3OU09vwQwhkpOPPYv2Y/edit?usp=sharing"",""งบพรบ!EN59"")"),0)</f>
        <v>0</v>
      </c>
      <c r="I59" s="176">
        <f ca="1">IFERROR(__xludf.DUMMYFUNCTION("IMPORTRANGE(""https://docs.google.com/spreadsheets/d/1-uDff_7J0KD5mKrp0Vvzr7lt3OU09vwQwhkpOPPYv2Y/edit?usp=sharing"",""งบพรบ!EO59"")"),0)</f>
        <v>0</v>
      </c>
      <c r="J59" s="176">
        <f t="shared" ca="1" si="16"/>
        <v>0</v>
      </c>
      <c r="K59" s="179">
        <f t="shared" ca="1" si="17"/>
        <v>0</v>
      </c>
      <c r="L59" s="176">
        <f ca="1">IFERROR(__xludf.DUMMYFUNCTION("IMPORTRANGE(""https://docs.google.com/spreadsheets/d/1-uDff_7J0KD5mKrp0Vvzr7lt3OU09vwQwhkpOPPYv2Y/edit?usp=sharing"",""งบพรบ!EP59"")"),0)</f>
        <v>0</v>
      </c>
      <c r="M59" s="87">
        <f t="shared" ca="1" si="18"/>
        <v>0</v>
      </c>
      <c r="N59" s="87">
        <f t="shared" ca="1" si="19"/>
        <v>0</v>
      </c>
      <c r="O59" s="86">
        <f ca="1">IFERROR(__xludf.DUMMYFUNCTION("IMPORTRANGE(""https://docs.google.com/spreadsheets/d/1-uDff_7J0KD5mKrp0Vvzr7lt3OU09vwQwhkpOPPYv2Y/edit?usp=sharing"",""งบพรบ!EQ59"")"),0)</f>
        <v>0</v>
      </c>
      <c r="P59" s="86">
        <f t="shared" ca="1" si="20"/>
        <v>0</v>
      </c>
      <c r="Q59" s="87">
        <f t="shared" ca="1" si="21"/>
        <v>0</v>
      </c>
      <c r="R59" s="353">
        <f ca="1">IFERROR(__xludf.DUMMYFUNCTION("IMPORTRANGE(""https://docs.google.com/spreadsheets/d/18hSgUJ3VwClqi_qtULmmW3cLr0oe3OKaSYoKzdpTsYQ/edit?usp=sharing"",""นครนายก!I330"")"),0)</f>
        <v>0</v>
      </c>
      <c r="S59" s="177">
        <f ca="1">IFERROR(__xludf.DUMMYFUNCTION("IMPORTRANGE(""https://docs.google.com/spreadsheets/d/18hSgUJ3VwClqi_qtULmmW3cLr0oe3OKaSYoKzdpTsYQ/edit?usp=sharing"",""นครนายก!J330"")"),0)</f>
        <v>0</v>
      </c>
      <c r="T59" s="354">
        <f t="shared" ca="1" si="23"/>
        <v>0</v>
      </c>
    </row>
    <row r="60" spans="1:20" ht="21" customHeight="1" x14ac:dyDescent="0.3">
      <c r="A60" s="89">
        <v>8</v>
      </c>
      <c r="B60" s="90" t="s">
        <v>86</v>
      </c>
      <c r="C60" s="174">
        <f t="shared" ca="1" si="14"/>
        <v>0</v>
      </c>
      <c r="D60" s="175">
        <f t="shared" ca="1" si="30"/>
        <v>0</v>
      </c>
      <c r="E60" s="176">
        <f ca="1">IFERROR(__xludf.DUMMYFUNCTION("IMPORTRANGE(""https://docs.google.com/spreadsheets/d/1-uDff_7J0KD5mKrp0Vvzr7lt3OU09vwQwhkpOPPYv2Y/edit?usp=sharing"",""งบพรบ!EJ60"")"),0)</f>
        <v>0</v>
      </c>
      <c r="F60" s="176">
        <f ca="1">IFERROR(__xludf.DUMMYFUNCTION("IMPORTRANGE(""https://docs.google.com/spreadsheets/d/1-uDff_7J0KD5mKrp0Vvzr7lt3OU09vwQwhkpOPPYv2Y/edit?usp=sharing"",""งบพรบ!EK60"")"),0)</f>
        <v>0</v>
      </c>
      <c r="G60" s="176">
        <f ca="1">IFERROR(__xludf.DUMMYFUNCTION("IMPORTRANGE(""https://docs.google.com/spreadsheets/d/1-uDff_7J0KD5mKrp0Vvzr7lt3OU09vwQwhkpOPPYv2Y/edit?usp=sharing"",""งบพรบ!EL60"")"),0)</f>
        <v>0</v>
      </c>
      <c r="H60" s="176">
        <f ca="1">IFERROR(__xludf.DUMMYFUNCTION("IMPORTRANGE(""https://docs.google.com/spreadsheets/d/1-uDff_7J0KD5mKrp0Vvzr7lt3OU09vwQwhkpOPPYv2Y/edit?usp=sharing"",""งบพรบ!EN60"")"),0)</f>
        <v>0</v>
      </c>
      <c r="I60" s="176">
        <f ca="1">IFERROR(__xludf.DUMMYFUNCTION("IMPORTRANGE(""https://docs.google.com/spreadsheets/d/1-uDff_7J0KD5mKrp0Vvzr7lt3OU09vwQwhkpOPPYv2Y/edit?usp=sharing"",""งบพรบ!EO60"")"),0)</f>
        <v>0</v>
      </c>
      <c r="J60" s="176">
        <f t="shared" ca="1" si="16"/>
        <v>0</v>
      </c>
      <c r="K60" s="179">
        <f t="shared" ca="1" si="17"/>
        <v>0</v>
      </c>
      <c r="L60" s="176">
        <f ca="1">IFERROR(__xludf.DUMMYFUNCTION("IMPORTRANGE(""https://docs.google.com/spreadsheets/d/1-uDff_7J0KD5mKrp0Vvzr7lt3OU09vwQwhkpOPPYv2Y/edit?usp=sharing"",""งบพรบ!EP60"")"),0)</f>
        <v>0</v>
      </c>
      <c r="M60" s="87">
        <f t="shared" ca="1" si="18"/>
        <v>0</v>
      </c>
      <c r="N60" s="87">
        <f t="shared" ca="1" si="19"/>
        <v>0</v>
      </c>
      <c r="O60" s="86">
        <f ca="1">IFERROR(__xludf.DUMMYFUNCTION("IMPORTRANGE(""https://docs.google.com/spreadsheets/d/1-uDff_7J0KD5mKrp0Vvzr7lt3OU09vwQwhkpOPPYv2Y/edit?usp=sharing"",""งบพรบ!EQ60"")"),0)</f>
        <v>0</v>
      </c>
      <c r="P60" s="86">
        <f t="shared" ca="1" si="20"/>
        <v>0</v>
      </c>
      <c r="Q60" s="87">
        <f t="shared" ca="1" si="21"/>
        <v>0</v>
      </c>
      <c r="R60" s="353">
        <f ca="1">IFERROR(__xludf.DUMMYFUNCTION("IMPORTRANGE(""https://docs.google.com/spreadsheets/d/1YTZo6WM2dQ6Ix6FSdnL5P7uVnVKu40sxZu975tgG10E/edit?usp=sharing"",""นครปฐม!I330"")"),0)</f>
        <v>0</v>
      </c>
      <c r="S60" s="177">
        <f ca="1">IFERROR(__xludf.DUMMYFUNCTION("IMPORTRANGE(""https://docs.google.com/spreadsheets/d/1YTZo6WM2dQ6Ix6FSdnL5P7uVnVKu40sxZu975tgG10E/edit?usp=sharing"",""นครปฐม!J330"")"),0)</f>
        <v>0</v>
      </c>
      <c r="T60" s="354">
        <f t="shared" ca="1" si="23"/>
        <v>0</v>
      </c>
    </row>
    <row r="61" spans="1:20" ht="21" customHeight="1" x14ac:dyDescent="0.3">
      <c r="A61" s="89">
        <v>9</v>
      </c>
      <c r="B61" s="90" t="s">
        <v>87</v>
      </c>
      <c r="C61" s="174">
        <f t="shared" ca="1" si="14"/>
        <v>0</v>
      </c>
      <c r="D61" s="175">
        <f t="shared" ca="1" si="30"/>
        <v>0</v>
      </c>
      <c r="E61" s="176">
        <f ca="1">IFERROR(__xludf.DUMMYFUNCTION("IMPORTRANGE(""https://docs.google.com/spreadsheets/d/1-uDff_7J0KD5mKrp0Vvzr7lt3OU09vwQwhkpOPPYv2Y/edit?usp=sharing"",""งบพรบ!EJ61"")"),0)</f>
        <v>0</v>
      </c>
      <c r="F61" s="176">
        <f ca="1">IFERROR(__xludf.DUMMYFUNCTION("IMPORTRANGE(""https://docs.google.com/spreadsheets/d/1-uDff_7J0KD5mKrp0Vvzr7lt3OU09vwQwhkpOPPYv2Y/edit?usp=sharing"",""งบพรบ!EK61"")"),0)</f>
        <v>0</v>
      </c>
      <c r="G61" s="176">
        <f ca="1">IFERROR(__xludf.DUMMYFUNCTION("IMPORTRANGE(""https://docs.google.com/spreadsheets/d/1-uDff_7J0KD5mKrp0Vvzr7lt3OU09vwQwhkpOPPYv2Y/edit?usp=sharing"",""งบพรบ!EL61"")"),0)</f>
        <v>0</v>
      </c>
      <c r="H61" s="176">
        <f ca="1">IFERROR(__xludf.DUMMYFUNCTION("IMPORTRANGE(""https://docs.google.com/spreadsheets/d/1-uDff_7J0KD5mKrp0Vvzr7lt3OU09vwQwhkpOPPYv2Y/edit?usp=sharing"",""งบพรบ!EN61"")"),0)</f>
        <v>0</v>
      </c>
      <c r="I61" s="176">
        <f ca="1">IFERROR(__xludf.DUMMYFUNCTION("IMPORTRANGE(""https://docs.google.com/spreadsheets/d/1-uDff_7J0KD5mKrp0Vvzr7lt3OU09vwQwhkpOPPYv2Y/edit?usp=sharing"",""งบพรบ!EO61"")"),0)</f>
        <v>0</v>
      </c>
      <c r="J61" s="176">
        <f t="shared" ca="1" si="16"/>
        <v>0</v>
      </c>
      <c r="K61" s="179">
        <f t="shared" ca="1" si="17"/>
        <v>0</v>
      </c>
      <c r="L61" s="176">
        <f ca="1">IFERROR(__xludf.DUMMYFUNCTION("IMPORTRANGE(""https://docs.google.com/spreadsheets/d/1-uDff_7J0KD5mKrp0Vvzr7lt3OU09vwQwhkpOPPYv2Y/edit?usp=sharing"",""งบพรบ!EP61"")"),0)</f>
        <v>0</v>
      </c>
      <c r="M61" s="87">
        <f t="shared" ca="1" si="18"/>
        <v>0</v>
      </c>
      <c r="N61" s="87">
        <f t="shared" ca="1" si="19"/>
        <v>0</v>
      </c>
      <c r="O61" s="86">
        <f ca="1">IFERROR(__xludf.DUMMYFUNCTION("IMPORTRANGE(""https://docs.google.com/spreadsheets/d/1-uDff_7J0KD5mKrp0Vvzr7lt3OU09vwQwhkpOPPYv2Y/edit?usp=sharing"",""งบพรบ!EQ61"")"),0)</f>
        <v>0</v>
      </c>
      <c r="P61" s="86">
        <f t="shared" ca="1" si="20"/>
        <v>0</v>
      </c>
      <c r="Q61" s="87">
        <f t="shared" ca="1" si="21"/>
        <v>0</v>
      </c>
      <c r="R61" s="353">
        <f ca="1">IFERROR(__xludf.DUMMYFUNCTION("IMPORTRANGE(""https://docs.google.com/spreadsheets/d/1OYoGg4WDg5RIzwGeB10padOxJF9E_Vljuvvct_M7RDo/edit?usp=sharing"",""ปทุมธานี!I330"")"),0)</f>
        <v>0</v>
      </c>
      <c r="S61" s="177">
        <f ca="1">IFERROR(__xludf.DUMMYFUNCTION("IMPORTRANGE(""https://docs.google.com/spreadsheets/d/1OYoGg4WDg5RIzwGeB10padOxJF9E_Vljuvvct_M7RDo/edit?usp=sharing"",""ปทุมธานี!J330"")"),0)</f>
        <v>0</v>
      </c>
      <c r="T61" s="354">
        <f t="shared" ca="1" si="23"/>
        <v>0</v>
      </c>
    </row>
    <row r="62" spans="1:20" ht="21" customHeight="1" x14ac:dyDescent="0.3">
      <c r="A62" s="89">
        <v>10</v>
      </c>
      <c r="B62" s="90" t="s">
        <v>88</v>
      </c>
      <c r="C62" s="174">
        <f t="shared" ca="1" si="14"/>
        <v>0</v>
      </c>
      <c r="D62" s="175">
        <f t="shared" ca="1" si="30"/>
        <v>0</v>
      </c>
      <c r="E62" s="176">
        <f ca="1">IFERROR(__xludf.DUMMYFUNCTION("IMPORTRANGE(""https://docs.google.com/spreadsheets/d/1-uDff_7J0KD5mKrp0Vvzr7lt3OU09vwQwhkpOPPYv2Y/edit?usp=sharing"",""งบพรบ!EJ62"")"),0)</f>
        <v>0</v>
      </c>
      <c r="F62" s="176">
        <f ca="1">IFERROR(__xludf.DUMMYFUNCTION("IMPORTRANGE(""https://docs.google.com/spreadsheets/d/1-uDff_7J0KD5mKrp0Vvzr7lt3OU09vwQwhkpOPPYv2Y/edit?usp=sharing"",""งบพรบ!EK62"")"),0)</f>
        <v>0</v>
      </c>
      <c r="G62" s="176">
        <f ca="1">IFERROR(__xludf.DUMMYFUNCTION("IMPORTRANGE(""https://docs.google.com/spreadsheets/d/1-uDff_7J0KD5mKrp0Vvzr7lt3OU09vwQwhkpOPPYv2Y/edit?usp=sharing"",""งบพรบ!EL62"")"),0)</f>
        <v>0</v>
      </c>
      <c r="H62" s="176">
        <f ca="1">IFERROR(__xludf.DUMMYFUNCTION("IMPORTRANGE(""https://docs.google.com/spreadsheets/d/1-uDff_7J0KD5mKrp0Vvzr7lt3OU09vwQwhkpOPPYv2Y/edit?usp=sharing"",""งบพรบ!EN62"")"),0)</f>
        <v>0</v>
      </c>
      <c r="I62" s="176">
        <f ca="1">IFERROR(__xludf.DUMMYFUNCTION("IMPORTRANGE(""https://docs.google.com/spreadsheets/d/1-uDff_7J0KD5mKrp0Vvzr7lt3OU09vwQwhkpOPPYv2Y/edit?usp=sharing"",""งบพรบ!EO62"")"),0)</f>
        <v>0</v>
      </c>
      <c r="J62" s="176">
        <f t="shared" ca="1" si="16"/>
        <v>0</v>
      </c>
      <c r="K62" s="179">
        <f t="shared" ca="1" si="17"/>
        <v>0</v>
      </c>
      <c r="L62" s="176">
        <f ca="1">IFERROR(__xludf.DUMMYFUNCTION("IMPORTRANGE(""https://docs.google.com/spreadsheets/d/1-uDff_7J0KD5mKrp0Vvzr7lt3OU09vwQwhkpOPPYv2Y/edit?usp=sharing"",""งบพรบ!EP62"")"),0)</f>
        <v>0</v>
      </c>
      <c r="M62" s="87">
        <f t="shared" ca="1" si="18"/>
        <v>0</v>
      </c>
      <c r="N62" s="87">
        <f t="shared" ca="1" si="19"/>
        <v>0</v>
      </c>
      <c r="O62" s="86">
        <f ca="1">IFERROR(__xludf.DUMMYFUNCTION("IMPORTRANGE(""https://docs.google.com/spreadsheets/d/1-uDff_7J0KD5mKrp0Vvzr7lt3OU09vwQwhkpOPPYv2Y/edit?usp=sharing"",""งบพรบ!EQ62"")"),0)</f>
        <v>0</v>
      </c>
      <c r="P62" s="86">
        <f t="shared" ca="1" si="20"/>
        <v>0</v>
      </c>
      <c r="Q62" s="87">
        <f t="shared" ca="1" si="21"/>
        <v>0</v>
      </c>
      <c r="R62" s="353">
        <f ca="1">IFERROR(__xludf.DUMMYFUNCTION("IMPORTRANGE(""https://docs.google.com/spreadsheets/d/1GbCIE4D4wk9FUozzqk7SxfDMxDVBwVmI5zcaVUSzKAc/edit?usp=sharing"",""ประจวบคีรีขันธ์!I330"")"),0)</f>
        <v>0</v>
      </c>
      <c r="S62" s="177">
        <f ca="1">IFERROR(__xludf.DUMMYFUNCTION("IMPORTRANGE(""https://docs.google.com/spreadsheets/d/1GbCIE4D4wk9FUozzqk7SxfDMxDVBwVmI5zcaVUSzKAc/edit?usp=sharing"",""ประจวบคีรีขันธ์!J330"")"),0)</f>
        <v>0</v>
      </c>
      <c r="T62" s="354">
        <f t="shared" ca="1" si="23"/>
        <v>0</v>
      </c>
    </row>
    <row r="63" spans="1:20" ht="21" customHeight="1" x14ac:dyDescent="0.3">
      <c r="A63" s="89">
        <v>11</v>
      </c>
      <c r="B63" s="90" t="s">
        <v>89</v>
      </c>
      <c r="C63" s="174">
        <f t="shared" ca="1" si="14"/>
        <v>0</v>
      </c>
      <c r="D63" s="175">
        <f t="shared" ca="1" si="30"/>
        <v>0</v>
      </c>
      <c r="E63" s="176">
        <f ca="1">IFERROR(__xludf.DUMMYFUNCTION("IMPORTRANGE(""https://docs.google.com/spreadsheets/d/1-uDff_7J0KD5mKrp0Vvzr7lt3OU09vwQwhkpOPPYv2Y/edit?usp=sharing"",""งบพรบ!EJ63"")"),0)</f>
        <v>0</v>
      </c>
      <c r="F63" s="176">
        <f ca="1">IFERROR(__xludf.DUMMYFUNCTION("IMPORTRANGE(""https://docs.google.com/spreadsheets/d/1-uDff_7J0KD5mKrp0Vvzr7lt3OU09vwQwhkpOPPYv2Y/edit?usp=sharing"",""งบพรบ!EK63"")"),0)</f>
        <v>0</v>
      </c>
      <c r="G63" s="176">
        <f ca="1">IFERROR(__xludf.DUMMYFUNCTION("IMPORTRANGE(""https://docs.google.com/spreadsheets/d/1-uDff_7J0KD5mKrp0Vvzr7lt3OU09vwQwhkpOPPYv2Y/edit?usp=sharing"",""งบพรบ!EL63"")"),0)</f>
        <v>0</v>
      </c>
      <c r="H63" s="176">
        <f ca="1">IFERROR(__xludf.DUMMYFUNCTION("IMPORTRANGE(""https://docs.google.com/spreadsheets/d/1-uDff_7J0KD5mKrp0Vvzr7lt3OU09vwQwhkpOPPYv2Y/edit?usp=sharing"",""งบพรบ!EN63"")"),0)</f>
        <v>0</v>
      </c>
      <c r="I63" s="176">
        <f ca="1">IFERROR(__xludf.DUMMYFUNCTION("IMPORTRANGE(""https://docs.google.com/spreadsheets/d/1-uDff_7J0KD5mKrp0Vvzr7lt3OU09vwQwhkpOPPYv2Y/edit?usp=sharing"",""งบพรบ!EO63"")"),0)</f>
        <v>0</v>
      </c>
      <c r="J63" s="176">
        <f t="shared" ca="1" si="16"/>
        <v>0</v>
      </c>
      <c r="K63" s="179">
        <f t="shared" ca="1" si="17"/>
        <v>0</v>
      </c>
      <c r="L63" s="176">
        <f ca="1">IFERROR(__xludf.DUMMYFUNCTION("IMPORTRANGE(""https://docs.google.com/spreadsheets/d/1-uDff_7J0KD5mKrp0Vvzr7lt3OU09vwQwhkpOPPYv2Y/edit?usp=sharing"",""งบพรบ!EP63"")"),0)</f>
        <v>0</v>
      </c>
      <c r="M63" s="87">
        <f t="shared" ca="1" si="18"/>
        <v>0</v>
      </c>
      <c r="N63" s="87">
        <f t="shared" ca="1" si="19"/>
        <v>0</v>
      </c>
      <c r="O63" s="86">
        <f ca="1">IFERROR(__xludf.DUMMYFUNCTION("IMPORTRANGE(""https://docs.google.com/spreadsheets/d/1-uDff_7J0KD5mKrp0Vvzr7lt3OU09vwQwhkpOPPYv2Y/edit?usp=sharing"",""งบพรบ!EQ63"")"),0)</f>
        <v>0</v>
      </c>
      <c r="P63" s="86">
        <f t="shared" ca="1" si="20"/>
        <v>0</v>
      </c>
      <c r="Q63" s="87">
        <f t="shared" ca="1" si="21"/>
        <v>0</v>
      </c>
      <c r="R63" s="353">
        <f ca="1">IFERROR(__xludf.DUMMYFUNCTION("IMPORTRANGE(""https://docs.google.com/spreadsheets/d/1vVf6wykvW_lAyu7Yo9L4hUTqHqIeP_qcVuxCtosJEbg/edit?usp=sharing"",""ปราจีนบุรี!I330"")"),0)</f>
        <v>0</v>
      </c>
      <c r="S63" s="177">
        <f ca="1">IFERROR(__xludf.DUMMYFUNCTION("IMPORTRANGE(""https://docs.google.com/spreadsheets/d/1vVf6wykvW_lAyu7Yo9L4hUTqHqIeP_qcVuxCtosJEbg/edit?usp=sharing"",""ปราจีนบุรี!J330"")"),0)</f>
        <v>0</v>
      </c>
      <c r="T63" s="354">
        <f t="shared" ca="1" si="23"/>
        <v>0</v>
      </c>
    </row>
    <row r="64" spans="1:20" ht="21" customHeight="1" x14ac:dyDescent="0.3">
      <c r="A64" s="89">
        <v>12</v>
      </c>
      <c r="B64" s="90" t="s">
        <v>90</v>
      </c>
      <c r="C64" s="174">
        <f t="shared" ca="1" si="14"/>
        <v>0</v>
      </c>
      <c r="D64" s="175">
        <f t="shared" ca="1" si="30"/>
        <v>0</v>
      </c>
      <c r="E64" s="176">
        <f ca="1">IFERROR(__xludf.DUMMYFUNCTION("IMPORTRANGE(""https://docs.google.com/spreadsheets/d/1-uDff_7J0KD5mKrp0Vvzr7lt3OU09vwQwhkpOPPYv2Y/edit?usp=sharing"",""งบพรบ!EJ64"")"),0)</f>
        <v>0</v>
      </c>
      <c r="F64" s="176">
        <f ca="1">IFERROR(__xludf.DUMMYFUNCTION("IMPORTRANGE(""https://docs.google.com/spreadsheets/d/1-uDff_7J0KD5mKrp0Vvzr7lt3OU09vwQwhkpOPPYv2Y/edit?usp=sharing"",""งบพรบ!EK64"")"),0)</f>
        <v>0</v>
      </c>
      <c r="G64" s="176">
        <f ca="1">IFERROR(__xludf.DUMMYFUNCTION("IMPORTRANGE(""https://docs.google.com/spreadsheets/d/1-uDff_7J0KD5mKrp0Vvzr7lt3OU09vwQwhkpOPPYv2Y/edit?usp=sharing"",""งบพรบ!EL64"")"),0)</f>
        <v>0</v>
      </c>
      <c r="H64" s="176">
        <f ca="1">IFERROR(__xludf.DUMMYFUNCTION("IMPORTRANGE(""https://docs.google.com/spreadsheets/d/1-uDff_7J0KD5mKrp0Vvzr7lt3OU09vwQwhkpOPPYv2Y/edit?usp=sharing"",""งบพรบ!EN64"")"),0)</f>
        <v>0</v>
      </c>
      <c r="I64" s="176">
        <f ca="1">IFERROR(__xludf.DUMMYFUNCTION("IMPORTRANGE(""https://docs.google.com/spreadsheets/d/1-uDff_7J0KD5mKrp0Vvzr7lt3OU09vwQwhkpOPPYv2Y/edit?usp=sharing"",""งบพรบ!EO64"")"),0)</f>
        <v>0</v>
      </c>
      <c r="J64" s="176">
        <f t="shared" ca="1" si="16"/>
        <v>0</v>
      </c>
      <c r="K64" s="179">
        <f t="shared" ca="1" si="17"/>
        <v>0</v>
      </c>
      <c r="L64" s="176">
        <f ca="1">IFERROR(__xludf.DUMMYFUNCTION("IMPORTRANGE(""https://docs.google.com/spreadsheets/d/1-uDff_7J0KD5mKrp0Vvzr7lt3OU09vwQwhkpOPPYv2Y/edit?usp=sharing"",""งบพรบ!EP64"")"),0)</f>
        <v>0</v>
      </c>
      <c r="M64" s="87">
        <f t="shared" ca="1" si="18"/>
        <v>0</v>
      </c>
      <c r="N64" s="87">
        <f t="shared" ca="1" si="19"/>
        <v>0</v>
      </c>
      <c r="O64" s="86">
        <f ca="1">IFERROR(__xludf.DUMMYFUNCTION("IMPORTRANGE(""https://docs.google.com/spreadsheets/d/1-uDff_7J0KD5mKrp0Vvzr7lt3OU09vwQwhkpOPPYv2Y/edit?usp=sharing"",""งบพรบ!EQ64"")"),0)</f>
        <v>0</v>
      </c>
      <c r="P64" s="86">
        <f t="shared" ca="1" si="20"/>
        <v>0</v>
      </c>
      <c r="Q64" s="87">
        <f t="shared" ca="1" si="21"/>
        <v>0</v>
      </c>
      <c r="R64" s="353">
        <f ca="1">IFERROR(__xludf.DUMMYFUNCTION("IMPORTRANGE(""https://docs.google.com/spreadsheets/d/1BIDqLLg5jk3v59G8NlR8rk5xfQDKne0sAvZHSj7TI6I/edit?usp=sharing"",""พระนครศรีอยุธยา!I330"")"),0)</f>
        <v>0</v>
      </c>
      <c r="S64" s="177">
        <f ca="1">IFERROR(__xludf.DUMMYFUNCTION("IMPORTRANGE(""https://docs.google.com/spreadsheets/d/1BIDqLLg5jk3v59G8NlR8rk5xfQDKne0sAvZHSj7TI6I/edit?usp=sharing"",""พระนครศรีอยุธยา!J330"")"),0)</f>
        <v>0</v>
      </c>
      <c r="T64" s="354">
        <f t="shared" ca="1" si="23"/>
        <v>0</v>
      </c>
    </row>
    <row r="65" spans="1:20" ht="21" customHeight="1" x14ac:dyDescent="0.3">
      <c r="A65" s="89">
        <v>13</v>
      </c>
      <c r="B65" s="90" t="s">
        <v>91</v>
      </c>
      <c r="C65" s="174">
        <f t="shared" ca="1" si="14"/>
        <v>0</v>
      </c>
      <c r="D65" s="175">
        <f t="shared" ca="1" si="30"/>
        <v>0</v>
      </c>
      <c r="E65" s="176">
        <f ca="1">IFERROR(__xludf.DUMMYFUNCTION("IMPORTRANGE(""https://docs.google.com/spreadsheets/d/1-uDff_7J0KD5mKrp0Vvzr7lt3OU09vwQwhkpOPPYv2Y/edit?usp=sharing"",""งบพรบ!EJ65"")"),0)</f>
        <v>0</v>
      </c>
      <c r="F65" s="176">
        <f ca="1">IFERROR(__xludf.DUMMYFUNCTION("IMPORTRANGE(""https://docs.google.com/spreadsheets/d/1-uDff_7J0KD5mKrp0Vvzr7lt3OU09vwQwhkpOPPYv2Y/edit?usp=sharing"",""งบพรบ!EK65"")"),0)</f>
        <v>0</v>
      </c>
      <c r="G65" s="176">
        <f ca="1">IFERROR(__xludf.DUMMYFUNCTION("IMPORTRANGE(""https://docs.google.com/spreadsheets/d/1-uDff_7J0KD5mKrp0Vvzr7lt3OU09vwQwhkpOPPYv2Y/edit?usp=sharing"",""งบพรบ!EL65"")"),0)</f>
        <v>0</v>
      </c>
      <c r="H65" s="176">
        <f ca="1">IFERROR(__xludf.DUMMYFUNCTION("IMPORTRANGE(""https://docs.google.com/spreadsheets/d/1-uDff_7J0KD5mKrp0Vvzr7lt3OU09vwQwhkpOPPYv2Y/edit?usp=sharing"",""งบพรบ!EN65"")"),0)</f>
        <v>0</v>
      </c>
      <c r="I65" s="176">
        <f ca="1">IFERROR(__xludf.DUMMYFUNCTION("IMPORTRANGE(""https://docs.google.com/spreadsheets/d/1-uDff_7J0KD5mKrp0Vvzr7lt3OU09vwQwhkpOPPYv2Y/edit?usp=sharing"",""งบพรบ!EO65"")"),0)</f>
        <v>0</v>
      </c>
      <c r="J65" s="176">
        <f t="shared" ca="1" si="16"/>
        <v>0</v>
      </c>
      <c r="K65" s="179">
        <f t="shared" ca="1" si="17"/>
        <v>0</v>
      </c>
      <c r="L65" s="176">
        <f ca="1">IFERROR(__xludf.DUMMYFUNCTION("IMPORTRANGE(""https://docs.google.com/spreadsheets/d/1-uDff_7J0KD5mKrp0Vvzr7lt3OU09vwQwhkpOPPYv2Y/edit?usp=sharing"",""งบพรบ!EP65"")"),0)</f>
        <v>0</v>
      </c>
      <c r="M65" s="87">
        <f t="shared" ca="1" si="18"/>
        <v>0</v>
      </c>
      <c r="N65" s="87">
        <f t="shared" ca="1" si="19"/>
        <v>0</v>
      </c>
      <c r="O65" s="86">
        <f ca="1">IFERROR(__xludf.DUMMYFUNCTION("IMPORTRANGE(""https://docs.google.com/spreadsheets/d/1-uDff_7J0KD5mKrp0Vvzr7lt3OU09vwQwhkpOPPYv2Y/edit?usp=sharing"",""งบพรบ!EQ65"")"),0)</f>
        <v>0</v>
      </c>
      <c r="P65" s="86">
        <f t="shared" ca="1" si="20"/>
        <v>0</v>
      </c>
      <c r="Q65" s="87">
        <f t="shared" ca="1" si="21"/>
        <v>0</v>
      </c>
      <c r="R65" s="353">
        <f ca="1">IFERROR(__xludf.DUMMYFUNCTION("IMPORTRANGE(""https://docs.google.com/spreadsheets/d/1YXvxf8Yu6_rV4hTBrwMqAcAnv6DfhUxh5emyM3CJp_w/edit?usp=sharing"",""เพชรบุรี!I330"")"),0)</f>
        <v>0</v>
      </c>
      <c r="S65" s="177">
        <f ca="1">IFERROR(__xludf.DUMMYFUNCTION("IMPORTRANGE(""https://docs.google.com/spreadsheets/d/1YXvxf8Yu6_rV4hTBrwMqAcAnv6DfhUxh5emyM3CJp_w/edit?usp=sharing"",""เพชรบุรี!J330"")"),0)</f>
        <v>0</v>
      </c>
      <c r="T65" s="354">
        <f t="shared" ca="1" si="23"/>
        <v>0</v>
      </c>
    </row>
    <row r="66" spans="1:20" ht="21" customHeight="1" x14ac:dyDescent="0.3">
      <c r="A66" s="89">
        <v>14</v>
      </c>
      <c r="B66" s="90" t="s">
        <v>92</v>
      </c>
      <c r="C66" s="174">
        <f t="shared" ca="1" si="14"/>
        <v>0</v>
      </c>
      <c r="D66" s="175">
        <f t="shared" ca="1" si="30"/>
        <v>0</v>
      </c>
      <c r="E66" s="176">
        <f ca="1">IFERROR(__xludf.DUMMYFUNCTION("IMPORTRANGE(""https://docs.google.com/spreadsheets/d/1-uDff_7J0KD5mKrp0Vvzr7lt3OU09vwQwhkpOPPYv2Y/edit?usp=sharing"",""งบพรบ!EJ66"")"),0)</f>
        <v>0</v>
      </c>
      <c r="F66" s="176">
        <f ca="1">IFERROR(__xludf.DUMMYFUNCTION("IMPORTRANGE(""https://docs.google.com/spreadsheets/d/1-uDff_7J0KD5mKrp0Vvzr7lt3OU09vwQwhkpOPPYv2Y/edit?usp=sharing"",""งบพรบ!EK66"")"),0)</f>
        <v>0</v>
      </c>
      <c r="G66" s="176">
        <f ca="1">IFERROR(__xludf.DUMMYFUNCTION("IMPORTRANGE(""https://docs.google.com/spreadsheets/d/1-uDff_7J0KD5mKrp0Vvzr7lt3OU09vwQwhkpOPPYv2Y/edit?usp=sharing"",""งบพรบ!EL66"")"),0)</f>
        <v>0</v>
      </c>
      <c r="H66" s="176">
        <f ca="1">IFERROR(__xludf.DUMMYFUNCTION("IMPORTRANGE(""https://docs.google.com/spreadsheets/d/1-uDff_7J0KD5mKrp0Vvzr7lt3OU09vwQwhkpOPPYv2Y/edit?usp=sharing"",""งบพรบ!EN66"")"),0)</f>
        <v>0</v>
      </c>
      <c r="I66" s="176">
        <f ca="1">IFERROR(__xludf.DUMMYFUNCTION("IMPORTRANGE(""https://docs.google.com/spreadsheets/d/1-uDff_7J0KD5mKrp0Vvzr7lt3OU09vwQwhkpOPPYv2Y/edit?usp=sharing"",""งบพรบ!EO66"")"),0)</f>
        <v>0</v>
      </c>
      <c r="J66" s="176">
        <f t="shared" ca="1" si="16"/>
        <v>0</v>
      </c>
      <c r="K66" s="179">
        <f t="shared" ca="1" si="17"/>
        <v>0</v>
      </c>
      <c r="L66" s="176">
        <f ca="1">IFERROR(__xludf.DUMMYFUNCTION("IMPORTRANGE(""https://docs.google.com/spreadsheets/d/1-uDff_7J0KD5mKrp0Vvzr7lt3OU09vwQwhkpOPPYv2Y/edit?usp=sharing"",""งบพรบ!EP66"")"),0)</f>
        <v>0</v>
      </c>
      <c r="M66" s="87">
        <f t="shared" ca="1" si="18"/>
        <v>0</v>
      </c>
      <c r="N66" s="87">
        <f t="shared" ca="1" si="19"/>
        <v>0</v>
      </c>
      <c r="O66" s="86">
        <f ca="1">IFERROR(__xludf.DUMMYFUNCTION("IMPORTRANGE(""https://docs.google.com/spreadsheets/d/1-uDff_7J0KD5mKrp0Vvzr7lt3OU09vwQwhkpOPPYv2Y/edit?usp=sharing"",""งบพรบ!EQ66"")"),0)</f>
        <v>0</v>
      </c>
      <c r="P66" s="86">
        <f t="shared" ca="1" si="20"/>
        <v>0</v>
      </c>
      <c r="Q66" s="87">
        <f t="shared" ca="1" si="21"/>
        <v>0</v>
      </c>
      <c r="R66" s="353">
        <f ca="1">IFERROR(__xludf.DUMMYFUNCTION("IMPORTRANGE(""https://docs.google.com/spreadsheets/d/19KBlQQs7uwvsao6t2n-KvW3Ax8J8uRRfZPq1zPbXgKc/edit?usp=sharing"",""ระยอง!I330"")"),0)</f>
        <v>0</v>
      </c>
      <c r="S66" s="177">
        <f ca="1">IFERROR(__xludf.DUMMYFUNCTION("IMPORTRANGE(""https://docs.google.com/spreadsheets/d/19KBlQQs7uwvsao6t2n-KvW3Ax8J8uRRfZPq1zPbXgKc/edit?usp=sharing"",""ระยอง!J330"")"),0)</f>
        <v>0</v>
      </c>
      <c r="T66" s="354">
        <f t="shared" ca="1" si="23"/>
        <v>0</v>
      </c>
    </row>
    <row r="67" spans="1:20" ht="21" customHeight="1" x14ac:dyDescent="0.3">
      <c r="A67" s="89">
        <v>15</v>
      </c>
      <c r="B67" s="90" t="s">
        <v>93</v>
      </c>
      <c r="C67" s="174">
        <f t="shared" ca="1" si="14"/>
        <v>0</v>
      </c>
      <c r="D67" s="175">
        <f t="shared" ca="1" si="30"/>
        <v>0</v>
      </c>
      <c r="E67" s="176">
        <f ca="1">IFERROR(__xludf.DUMMYFUNCTION("IMPORTRANGE(""https://docs.google.com/spreadsheets/d/1-uDff_7J0KD5mKrp0Vvzr7lt3OU09vwQwhkpOPPYv2Y/edit?usp=sharing"",""งบพรบ!EJ67"")"),0)</f>
        <v>0</v>
      </c>
      <c r="F67" s="176">
        <f ca="1">IFERROR(__xludf.DUMMYFUNCTION("IMPORTRANGE(""https://docs.google.com/spreadsheets/d/1-uDff_7J0KD5mKrp0Vvzr7lt3OU09vwQwhkpOPPYv2Y/edit?usp=sharing"",""งบพรบ!EK67"")"),0)</f>
        <v>0</v>
      </c>
      <c r="G67" s="176">
        <f ca="1">IFERROR(__xludf.DUMMYFUNCTION("IMPORTRANGE(""https://docs.google.com/spreadsheets/d/1-uDff_7J0KD5mKrp0Vvzr7lt3OU09vwQwhkpOPPYv2Y/edit?usp=sharing"",""งบพรบ!EL67"")"),0)</f>
        <v>0</v>
      </c>
      <c r="H67" s="176">
        <f ca="1">IFERROR(__xludf.DUMMYFUNCTION("IMPORTRANGE(""https://docs.google.com/spreadsheets/d/1-uDff_7J0KD5mKrp0Vvzr7lt3OU09vwQwhkpOPPYv2Y/edit?usp=sharing"",""งบพรบ!EN67"")"),0)</f>
        <v>0</v>
      </c>
      <c r="I67" s="176">
        <f ca="1">IFERROR(__xludf.DUMMYFUNCTION("IMPORTRANGE(""https://docs.google.com/spreadsheets/d/1-uDff_7J0KD5mKrp0Vvzr7lt3OU09vwQwhkpOPPYv2Y/edit?usp=sharing"",""งบพรบ!EO67"")"),0)</f>
        <v>0</v>
      </c>
      <c r="J67" s="176">
        <f t="shared" ca="1" si="16"/>
        <v>0</v>
      </c>
      <c r="K67" s="179">
        <f t="shared" ca="1" si="17"/>
        <v>0</v>
      </c>
      <c r="L67" s="176">
        <f ca="1">IFERROR(__xludf.DUMMYFUNCTION("IMPORTRANGE(""https://docs.google.com/spreadsheets/d/1-uDff_7J0KD5mKrp0Vvzr7lt3OU09vwQwhkpOPPYv2Y/edit?usp=sharing"",""งบพรบ!EP67"")"),0)</f>
        <v>0</v>
      </c>
      <c r="M67" s="87">
        <f t="shared" ca="1" si="18"/>
        <v>0</v>
      </c>
      <c r="N67" s="87">
        <f t="shared" ca="1" si="19"/>
        <v>0</v>
      </c>
      <c r="O67" s="86">
        <f ca="1">IFERROR(__xludf.DUMMYFUNCTION("IMPORTRANGE(""https://docs.google.com/spreadsheets/d/1-uDff_7J0KD5mKrp0Vvzr7lt3OU09vwQwhkpOPPYv2Y/edit?usp=sharing"",""งบพรบ!EQ67"")"),0)</f>
        <v>0</v>
      </c>
      <c r="P67" s="86">
        <f t="shared" ca="1" si="20"/>
        <v>0</v>
      </c>
      <c r="Q67" s="87">
        <f t="shared" ca="1" si="21"/>
        <v>0</v>
      </c>
      <c r="R67" s="355">
        <f ca="1">IFERROR(__xludf.DUMMYFUNCTION("IMPORTRANGE(""https://docs.google.com/spreadsheets/d/1jQ6P4QcrGM89YfqcC_PxOHGCMq5ezhucwJd8ci-NHng/edit?usp=sharing"",""ราชบุรี!I330"")"),0)</f>
        <v>0</v>
      </c>
      <c r="S67" s="177">
        <f ca="1">IFERROR(__xludf.DUMMYFUNCTION("IMPORTRANGE(""https://docs.google.com/spreadsheets/d/1jQ6P4QcrGM89YfqcC_PxOHGCMq5ezhucwJd8ci-NHng/edit?usp=sharing"",""ราชบุรี!J330"")"),0)</f>
        <v>0</v>
      </c>
      <c r="T67" s="354">
        <f t="shared" ca="1" si="23"/>
        <v>0</v>
      </c>
    </row>
    <row r="68" spans="1:20" ht="24" customHeight="1" x14ac:dyDescent="0.3">
      <c r="A68" s="89">
        <v>16</v>
      </c>
      <c r="B68" s="90" t="s">
        <v>94</v>
      </c>
      <c r="C68" s="174">
        <f t="shared" ca="1" si="14"/>
        <v>0</v>
      </c>
      <c r="D68" s="175">
        <f t="shared" ca="1" si="30"/>
        <v>0</v>
      </c>
      <c r="E68" s="176">
        <f ca="1">IFERROR(__xludf.DUMMYFUNCTION("IMPORTRANGE(""https://docs.google.com/spreadsheets/d/1-uDff_7J0KD5mKrp0Vvzr7lt3OU09vwQwhkpOPPYv2Y/edit?usp=sharing"",""งบพรบ!EJ68"")"),0)</f>
        <v>0</v>
      </c>
      <c r="F68" s="176">
        <f ca="1">IFERROR(__xludf.DUMMYFUNCTION("IMPORTRANGE(""https://docs.google.com/spreadsheets/d/1-uDff_7J0KD5mKrp0Vvzr7lt3OU09vwQwhkpOPPYv2Y/edit?usp=sharing"",""งบพรบ!EK68"")"),0)</f>
        <v>0</v>
      </c>
      <c r="G68" s="176">
        <f ca="1">IFERROR(__xludf.DUMMYFUNCTION("IMPORTRANGE(""https://docs.google.com/spreadsheets/d/1-uDff_7J0KD5mKrp0Vvzr7lt3OU09vwQwhkpOPPYv2Y/edit?usp=sharing"",""งบพรบ!EL68"")"),0)</f>
        <v>0</v>
      </c>
      <c r="H68" s="176">
        <f ca="1">IFERROR(__xludf.DUMMYFUNCTION("IMPORTRANGE(""https://docs.google.com/spreadsheets/d/1-uDff_7J0KD5mKrp0Vvzr7lt3OU09vwQwhkpOPPYv2Y/edit?usp=sharing"",""งบพรบ!EN68"")"),0)</f>
        <v>0</v>
      </c>
      <c r="I68" s="176">
        <f ca="1">IFERROR(__xludf.DUMMYFUNCTION("IMPORTRANGE(""https://docs.google.com/spreadsheets/d/1-uDff_7J0KD5mKrp0Vvzr7lt3OU09vwQwhkpOPPYv2Y/edit?usp=sharing"",""งบพรบ!EO68"")"),0)</f>
        <v>0</v>
      </c>
      <c r="J68" s="176">
        <f t="shared" ca="1" si="16"/>
        <v>0</v>
      </c>
      <c r="K68" s="179">
        <f t="shared" ca="1" si="17"/>
        <v>0</v>
      </c>
      <c r="L68" s="176">
        <f ca="1">IFERROR(__xludf.DUMMYFUNCTION("IMPORTRANGE(""https://docs.google.com/spreadsheets/d/1-uDff_7J0KD5mKrp0Vvzr7lt3OU09vwQwhkpOPPYv2Y/edit?usp=sharing"",""งบพรบ!EP68"")"),0)</f>
        <v>0</v>
      </c>
      <c r="M68" s="87">
        <f t="shared" ca="1" si="18"/>
        <v>0</v>
      </c>
      <c r="N68" s="87">
        <f t="shared" ca="1" si="19"/>
        <v>0</v>
      </c>
      <c r="O68" s="86">
        <f ca="1">IFERROR(__xludf.DUMMYFUNCTION("IMPORTRANGE(""https://docs.google.com/spreadsheets/d/1-uDff_7J0KD5mKrp0Vvzr7lt3OU09vwQwhkpOPPYv2Y/edit?usp=sharing"",""งบพรบ!EQ68"")"),0)</f>
        <v>0</v>
      </c>
      <c r="P68" s="86">
        <f t="shared" ca="1" si="20"/>
        <v>0</v>
      </c>
      <c r="Q68" s="87">
        <f t="shared" ca="1" si="21"/>
        <v>0</v>
      </c>
      <c r="R68" s="353">
        <f ca="1">IFERROR(__xludf.DUMMYFUNCTION("IMPORTRANGE(""https://docs.google.com/spreadsheets/d/1lufeA2cfFqM-elVq2hznhDzC6Pr7wkJ9ZG_sYNGCMCU/edit?usp=sharing"",""ลพบุรี!I330"")"),0)</f>
        <v>0</v>
      </c>
      <c r="S68" s="177">
        <f ca="1">IFERROR(__xludf.DUMMYFUNCTION("IMPORTRANGE(""https://docs.google.com/spreadsheets/d/1lufeA2cfFqM-elVq2hznhDzC6Pr7wkJ9ZG_sYNGCMCU/edit?usp=sharing"",""ลพบุรี!J330"")"),0)</f>
        <v>0</v>
      </c>
      <c r="T68" s="354">
        <f t="shared" ca="1" si="23"/>
        <v>0</v>
      </c>
    </row>
    <row r="69" spans="1:20" ht="21" customHeight="1" x14ac:dyDescent="0.3">
      <c r="A69" s="89">
        <v>17</v>
      </c>
      <c r="B69" s="90" t="s">
        <v>95</v>
      </c>
      <c r="C69" s="174">
        <f t="shared" ca="1" si="14"/>
        <v>40000</v>
      </c>
      <c r="D69" s="175">
        <f t="shared" ca="1" si="30"/>
        <v>40000</v>
      </c>
      <c r="E69" s="176">
        <f ca="1">IFERROR(__xludf.DUMMYFUNCTION("IMPORTRANGE(""https://docs.google.com/spreadsheets/d/1-uDff_7J0KD5mKrp0Vvzr7lt3OU09vwQwhkpOPPYv2Y/edit?usp=sharing"",""งบพรบ!EJ69"")"),0)</f>
        <v>0</v>
      </c>
      <c r="F69" s="176">
        <f ca="1">IFERROR(__xludf.DUMMYFUNCTION("IMPORTRANGE(""https://docs.google.com/spreadsheets/d/1-uDff_7J0KD5mKrp0Vvzr7lt3OU09vwQwhkpOPPYv2Y/edit?usp=sharing"",""งบพรบ!EK69"")"),40000)</f>
        <v>40000</v>
      </c>
      <c r="G69" s="176">
        <f ca="1">IFERROR(__xludf.DUMMYFUNCTION("IMPORTRANGE(""https://docs.google.com/spreadsheets/d/1-uDff_7J0KD5mKrp0Vvzr7lt3OU09vwQwhkpOPPYv2Y/edit?usp=sharing"",""งบพรบ!EL69"")"),0)</f>
        <v>0</v>
      </c>
      <c r="H69" s="176">
        <f ca="1">IFERROR(__xludf.DUMMYFUNCTION("IMPORTRANGE(""https://docs.google.com/spreadsheets/d/1-uDff_7J0KD5mKrp0Vvzr7lt3OU09vwQwhkpOPPYv2Y/edit?usp=sharing"",""งบพรบ!EN69"")"),40000)</f>
        <v>40000</v>
      </c>
      <c r="I69" s="176">
        <f ca="1">IFERROR(__xludf.DUMMYFUNCTION("IMPORTRANGE(""https://docs.google.com/spreadsheets/d/1-uDff_7J0KD5mKrp0Vvzr7lt3OU09vwQwhkpOPPYv2Y/edit?usp=sharing"",""งบพรบ!EO69"")"),0)</f>
        <v>0</v>
      </c>
      <c r="J69" s="176">
        <f t="shared" ca="1" si="16"/>
        <v>3800</v>
      </c>
      <c r="K69" s="179">
        <f t="shared" ca="1" si="17"/>
        <v>9.5</v>
      </c>
      <c r="L69" s="176">
        <f ca="1">IFERROR(__xludf.DUMMYFUNCTION("IMPORTRANGE(""https://docs.google.com/spreadsheets/d/1-uDff_7J0KD5mKrp0Vvzr7lt3OU09vwQwhkpOPPYv2Y/edit?usp=sharing"",""งบพรบ!EP69"")"),3800)</f>
        <v>3800</v>
      </c>
      <c r="M69" s="87">
        <f t="shared" ca="1" si="18"/>
        <v>9.5</v>
      </c>
      <c r="N69" s="87">
        <f t="shared" ca="1" si="19"/>
        <v>9.5</v>
      </c>
      <c r="O69" s="86">
        <f ca="1">IFERROR(__xludf.DUMMYFUNCTION("IMPORTRANGE(""https://docs.google.com/spreadsheets/d/1-uDff_7J0KD5mKrp0Vvzr7lt3OU09vwQwhkpOPPYv2Y/edit?usp=sharing"",""งบพรบ!EQ69"")"),0)</f>
        <v>0</v>
      </c>
      <c r="P69" s="86">
        <f t="shared" ca="1" si="20"/>
        <v>0</v>
      </c>
      <c r="Q69" s="87">
        <f t="shared" ca="1" si="21"/>
        <v>0</v>
      </c>
      <c r="R69" s="353">
        <f ca="1">IFERROR(__xludf.DUMMYFUNCTION("IMPORTRANGE(""https://docs.google.com/spreadsheets/d/10oOiF7loTyfsTkbd4MpaIm0HQ9SwB7IYHdIUvt-U1Uc/edit?usp=sharing"",""สระแก้ว!I330"")"),1)</f>
        <v>1</v>
      </c>
      <c r="S69" s="177">
        <f ca="1">IFERROR(__xludf.DUMMYFUNCTION("IMPORTRANGE(""https://docs.google.com/spreadsheets/d/10oOiF7loTyfsTkbd4MpaIm0HQ9SwB7IYHdIUvt-U1Uc/edit?usp=sharing"",""สระแก้ว!J330"")"),1)</f>
        <v>1</v>
      </c>
      <c r="T69" s="354">
        <f t="shared" ca="1" si="23"/>
        <v>100</v>
      </c>
    </row>
    <row r="70" spans="1:20" ht="21" customHeight="1" x14ac:dyDescent="0.3">
      <c r="A70" s="89">
        <v>18</v>
      </c>
      <c r="B70" s="90" t="s">
        <v>96</v>
      </c>
      <c r="C70" s="174">
        <f t="shared" ca="1" si="14"/>
        <v>0</v>
      </c>
      <c r="D70" s="175">
        <f t="shared" ca="1" si="30"/>
        <v>0</v>
      </c>
      <c r="E70" s="176">
        <f ca="1">IFERROR(__xludf.DUMMYFUNCTION("IMPORTRANGE(""https://docs.google.com/spreadsheets/d/1-uDff_7J0KD5mKrp0Vvzr7lt3OU09vwQwhkpOPPYv2Y/edit?usp=sharing"",""งบพรบ!EJ70"")"),0)</f>
        <v>0</v>
      </c>
      <c r="F70" s="176">
        <f ca="1">IFERROR(__xludf.DUMMYFUNCTION("IMPORTRANGE(""https://docs.google.com/spreadsheets/d/1-uDff_7J0KD5mKrp0Vvzr7lt3OU09vwQwhkpOPPYv2Y/edit?usp=sharing"",""งบพรบ!EK70"")"),0)</f>
        <v>0</v>
      </c>
      <c r="G70" s="176">
        <f ca="1">IFERROR(__xludf.DUMMYFUNCTION("IMPORTRANGE(""https://docs.google.com/spreadsheets/d/1-uDff_7J0KD5mKrp0Vvzr7lt3OU09vwQwhkpOPPYv2Y/edit?usp=sharing"",""งบพรบ!EL70"")"),0)</f>
        <v>0</v>
      </c>
      <c r="H70" s="176">
        <f ca="1">IFERROR(__xludf.DUMMYFUNCTION("IMPORTRANGE(""https://docs.google.com/spreadsheets/d/1-uDff_7J0KD5mKrp0Vvzr7lt3OU09vwQwhkpOPPYv2Y/edit?usp=sharing"",""งบพรบ!EN70"")"),0)</f>
        <v>0</v>
      </c>
      <c r="I70" s="176">
        <f ca="1">IFERROR(__xludf.DUMMYFUNCTION("IMPORTRANGE(""https://docs.google.com/spreadsheets/d/1-uDff_7J0KD5mKrp0Vvzr7lt3OU09vwQwhkpOPPYv2Y/edit?usp=sharing"",""งบพรบ!EO70"")"),0)</f>
        <v>0</v>
      </c>
      <c r="J70" s="176">
        <f t="shared" ca="1" si="16"/>
        <v>0</v>
      </c>
      <c r="K70" s="179">
        <f t="shared" ca="1" si="17"/>
        <v>0</v>
      </c>
      <c r="L70" s="176">
        <f ca="1">IFERROR(__xludf.DUMMYFUNCTION("IMPORTRANGE(""https://docs.google.com/spreadsheets/d/1-uDff_7J0KD5mKrp0Vvzr7lt3OU09vwQwhkpOPPYv2Y/edit?usp=sharing"",""งบพรบ!EP70"")"),0)</f>
        <v>0</v>
      </c>
      <c r="M70" s="87">
        <f t="shared" ca="1" si="18"/>
        <v>0</v>
      </c>
      <c r="N70" s="87">
        <f t="shared" ca="1" si="19"/>
        <v>0</v>
      </c>
      <c r="O70" s="86">
        <f ca="1">IFERROR(__xludf.DUMMYFUNCTION("IMPORTRANGE(""https://docs.google.com/spreadsheets/d/1-uDff_7J0KD5mKrp0Vvzr7lt3OU09vwQwhkpOPPYv2Y/edit?usp=sharing"",""งบพรบ!EQ70"")"),0)</f>
        <v>0</v>
      </c>
      <c r="P70" s="86">
        <f t="shared" ca="1" si="20"/>
        <v>0</v>
      </c>
      <c r="Q70" s="87">
        <f t="shared" ca="1" si="21"/>
        <v>0</v>
      </c>
      <c r="R70" s="353">
        <f ca="1">IFERROR(__xludf.DUMMYFUNCTION("IMPORTRANGE(""https://docs.google.com/spreadsheets/d/1xmPlrr1QbdSIKvl1dWUl9K4PjAfSL9oeMr_37QVzcxc/edit?usp=sharing"",""สระบุรี!I330"")"),0)</f>
        <v>0</v>
      </c>
      <c r="S70" s="177">
        <f ca="1">IFERROR(__xludf.DUMMYFUNCTION("IMPORTRANGE(""https://docs.google.com/spreadsheets/d/1xmPlrr1QbdSIKvl1dWUl9K4PjAfSL9oeMr_37QVzcxc/edit?usp=sharing"",""สระบุรี!J330"")"),0)</f>
        <v>0</v>
      </c>
      <c r="T70" s="354">
        <f t="shared" ca="1" si="23"/>
        <v>0</v>
      </c>
    </row>
    <row r="71" spans="1:20" ht="21" customHeight="1" x14ac:dyDescent="0.3">
      <c r="A71" s="89">
        <v>19</v>
      </c>
      <c r="B71" s="90" t="s">
        <v>97</v>
      </c>
      <c r="C71" s="174">
        <f t="shared" ca="1" si="14"/>
        <v>0</v>
      </c>
      <c r="D71" s="175">
        <f t="shared" ca="1" si="30"/>
        <v>0</v>
      </c>
      <c r="E71" s="176">
        <f ca="1">IFERROR(__xludf.DUMMYFUNCTION("IMPORTRANGE(""https://docs.google.com/spreadsheets/d/1-uDff_7J0KD5mKrp0Vvzr7lt3OU09vwQwhkpOPPYv2Y/edit?usp=sharing"",""งบพรบ!EJ71"")"),0)</f>
        <v>0</v>
      </c>
      <c r="F71" s="176">
        <f ca="1">IFERROR(__xludf.DUMMYFUNCTION("IMPORTRANGE(""https://docs.google.com/spreadsheets/d/1-uDff_7J0KD5mKrp0Vvzr7lt3OU09vwQwhkpOPPYv2Y/edit?usp=sharing"",""งบพรบ!EK71"")"),0)</f>
        <v>0</v>
      </c>
      <c r="G71" s="176">
        <f ca="1">IFERROR(__xludf.DUMMYFUNCTION("IMPORTRANGE(""https://docs.google.com/spreadsheets/d/1-uDff_7J0KD5mKrp0Vvzr7lt3OU09vwQwhkpOPPYv2Y/edit?usp=sharing"",""งบพรบ!EL71"")"),0)</f>
        <v>0</v>
      </c>
      <c r="H71" s="176">
        <f ca="1">IFERROR(__xludf.DUMMYFUNCTION("IMPORTRANGE(""https://docs.google.com/spreadsheets/d/1-uDff_7J0KD5mKrp0Vvzr7lt3OU09vwQwhkpOPPYv2Y/edit?usp=sharing"",""งบพรบ!EN71"")"),0)</f>
        <v>0</v>
      </c>
      <c r="I71" s="176">
        <f ca="1">IFERROR(__xludf.DUMMYFUNCTION("IMPORTRANGE(""https://docs.google.com/spreadsheets/d/1-uDff_7J0KD5mKrp0Vvzr7lt3OU09vwQwhkpOPPYv2Y/edit?usp=sharing"",""งบพรบ!EO71"")"),0)</f>
        <v>0</v>
      </c>
      <c r="J71" s="176">
        <f t="shared" ca="1" si="16"/>
        <v>0</v>
      </c>
      <c r="K71" s="179">
        <f t="shared" ca="1" si="17"/>
        <v>0</v>
      </c>
      <c r="L71" s="176">
        <f ca="1">IFERROR(__xludf.DUMMYFUNCTION("IMPORTRANGE(""https://docs.google.com/spreadsheets/d/1-uDff_7J0KD5mKrp0Vvzr7lt3OU09vwQwhkpOPPYv2Y/edit?usp=sharing"",""งบพรบ!EP71"")"),0)</f>
        <v>0</v>
      </c>
      <c r="M71" s="87">
        <f t="shared" ca="1" si="18"/>
        <v>0</v>
      </c>
      <c r="N71" s="87">
        <f t="shared" ca="1" si="19"/>
        <v>0</v>
      </c>
      <c r="O71" s="86">
        <f ca="1">IFERROR(__xludf.DUMMYFUNCTION("IMPORTRANGE(""https://docs.google.com/spreadsheets/d/1-uDff_7J0KD5mKrp0Vvzr7lt3OU09vwQwhkpOPPYv2Y/edit?usp=sharing"",""งบพรบ!EQ71"")"),0)</f>
        <v>0</v>
      </c>
      <c r="P71" s="86">
        <f t="shared" ca="1" si="20"/>
        <v>0</v>
      </c>
      <c r="Q71" s="87">
        <f t="shared" ca="1" si="21"/>
        <v>0</v>
      </c>
      <c r="R71" s="353">
        <f ca="1">IFERROR(__xludf.DUMMYFUNCTION("IMPORTRANGE(""https://docs.google.com/spreadsheets/d/1j51vR6CYVGhABJpv6tkstgok82RLpXieLzW1yOY5rHw/edit?usp=sharing"",""สิงห์บุรี!I330"")"),0)</f>
        <v>0</v>
      </c>
      <c r="S71" s="177">
        <f ca="1">IFERROR(__xludf.DUMMYFUNCTION("IMPORTRANGE(""https://docs.google.com/spreadsheets/d/1j51vR6CYVGhABJpv6tkstgok82RLpXieLzW1yOY5rHw/edit?usp=sharing"",""สิงห์บุรี!J330"")"),0)</f>
        <v>0</v>
      </c>
      <c r="T71" s="354">
        <f t="shared" ca="1" si="23"/>
        <v>0</v>
      </c>
    </row>
    <row r="72" spans="1:20" ht="21" customHeight="1" x14ac:dyDescent="0.3">
      <c r="A72" s="89">
        <v>20</v>
      </c>
      <c r="B72" s="90" t="s">
        <v>98</v>
      </c>
      <c r="C72" s="174">
        <f t="shared" ca="1" si="14"/>
        <v>0</v>
      </c>
      <c r="D72" s="175">
        <f t="shared" ca="1" si="30"/>
        <v>0</v>
      </c>
      <c r="E72" s="176">
        <f ca="1">IFERROR(__xludf.DUMMYFUNCTION("IMPORTRANGE(""https://docs.google.com/spreadsheets/d/1-uDff_7J0KD5mKrp0Vvzr7lt3OU09vwQwhkpOPPYv2Y/edit?usp=sharing"",""งบพรบ!EJ72"")"),0)</f>
        <v>0</v>
      </c>
      <c r="F72" s="176">
        <f ca="1">IFERROR(__xludf.DUMMYFUNCTION("IMPORTRANGE(""https://docs.google.com/spreadsheets/d/1-uDff_7J0KD5mKrp0Vvzr7lt3OU09vwQwhkpOPPYv2Y/edit?usp=sharing"",""งบพรบ!EK72"")"),0)</f>
        <v>0</v>
      </c>
      <c r="G72" s="176">
        <f ca="1">IFERROR(__xludf.DUMMYFUNCTION("IMPORTRANGE(""https://docs.google.com/spreadsheets/d/1-uDff_7J0KD5mKrp0Vvzr7lt3OU09vwQwhkpOPPYv2Y/edit?usp=sharing"",""งบพรบ!EL72"")"),0)</f>
        <v>0</v>
      </c>
      <c r="H72" s="176">
        <f ca="1">IFERROR(__xludf.DUMMYFUNCTION("IMPORTRANGE(""https://docs.google.com/spreadsheets/d/1-uDff_7J0KD5mKrp0Vvzr7lt3OU09vwQwhkpOPPYv2Y/edit?usp=sharing"",""งบพรบ!EN72"")"),0)</f>
        <v>0</v>
      </c>
      <c r="I72" s="176">
        <f ca="1">IFERROR(__xludf.DUMMYFUNCTION("IMPORTRANGE(""https://docs.google.com/spreadsheets/d/1-uDff_7J0KD5mKrp0Vvzr7lt3OU09vwQwhkpOPPYv2Y/edit?usp=sharing"",""งบพรบ!EO72"")"),0)</f>
        <v>0</v>
      </c>
      <c r="J72" s="176">
        <f t="shared" ca="1" si="16"/>
        <v>0</v>
      </c>
      <c r="K72" s="179">
        <f t="shared" ca="1" si="17"/>
        <v>0</v>
      </c>
      <c r="L72" s="176">
        <f ca="1">IFERROR(__xludf.DUMMYFUNCTION("IMPORTRANGE(""https://docs.google.com/spreadsheets/d/1-uDff_7J0KD5mKrp0Vvzr7lt3OU09vwQwhkpOPPYv2Y/edit?usp=sharing"",""งบพรบ!EP72"")"),0)</f>
        <v>0</v>
      </c>
      <c r="M72" s="87">
        <f t="shared" ca="1" si="18"/>
        <v>0</v>
      </c>
      <c r="N72" s="87">
        <f t="shared" ca="1" si="19"/>
        <v>0</v>
      </c>
      <c r="O72" s="86">
        <f ca="1">IFERROR(__xludf.DUMMYFUNCTION("IMPORTRANGE(""https://docs.google.com/spreadsheets/d/1-uDff_7J0KD5mKrp0Vvzr7lt3OU09vwQwhkpOPPYv2Y/edit?usp=sharing"",""งบพรบ!EQ72"")"),0)</f>
        <v>0</v>
      </c>
      <c r="P72" s="86">
        <f t="shared" ca="1" si="20"/>
        <v>0</v>
      </c>
      <c r="Q72" s="87">
        <f t="shared" ca="1" si="21"/>
        <v>0</v>
      </c>
      <c r="R72" s="353">
        <f ca="1">IFERROR(__xludf.DUMMYFUNCTION("IMPORTRANGE(""https://docs.google.com/spreadsheets/d/1H1EalTWKUSzO4Z1-1CwzoDUaVffgrThEBe2sl74kKG0/edit?usp=sharing"",""สุพรรณบุรี!I330"")"),0)</f>
        <v>0</v>
      </c>
      <c r="S72" s="177">
        <f ca="1">IFERROR(__xludf.DUMMYFUNCTION("IMPORTRANGE(""https://docs.google.com/spreadsheets/d/1H1EalTWKUSzO4Z1-1CwzoDUaVffgrThEBe2sl74kKG0/edit?usp=sharing"",""สุพรรณบุรี!J330"")"),0)</f>
        <v>0</v>
      </c>
      <c r="T72" s="354">
        <f t="shared" ca="1" si="23"/>
        <v>0</v>
      </c>
    </row>
    <row r="73" spans="1:20" ht="21" customHeight="1" x14ac:dyDescent="0.3">
      <c r="A73" s="100">
        <v>21</v>
      </c>
      <c r="B73" s="101" t="s">
        <v>99</v>
      </c>
      <c r="C73" s="182">
        <f t="shared" ca="1" si="14"/>
        <v>0</v>
      </c>
      <c r="D73" s="183">
        <f t="shared" ca="1" si="30"/>
        <v>0</v>
      </c>
      <c r="E73" s="184">
        <f ca="1">IFERROR(__xludf.DUMMYFUNCTION("IMPORTRANGE(""https://docs.google.com/spreadsheets/d/1-uDff_7J0KD5mKrp0Vvzr7lt3OU09vwQwhkpOPPYv2Y/edit?usp=sharing"",""งบพรบ!EJ73"")"),0)</f>
        <v>0</v>
      </c>
      <c r="F73" s="184">
        <f ca="1">IFERROR(__xludf.DUMMYFUNCTION("IMPORTRANGE(""https://docs.google.com/spreadsheets/d/1-uDff_7J0KD5mKrp0Vvzr7lt3OU09vwQwhkpOPPYv2Y/edit?usp=sharing"",""งบพรบ!EK73"")"),0)</f>
        <v>0</v>
      </c>
      <c r="G73" s="184">
        <f ca="1">IFERROR(__xludf.DUMMYFUNCTION("IMPORTRANGE(""https://docs.google.com/spreadsheets/d/1-uDff_7J0KD5mKrp0Vvzr7lt3OU09vwQwhkpOPPYv2Y/edit?usp=sharing"",""งบพรบ!EL73"")"),0)</f>
        <v>0</v>
      </c>
      <c r="H73" s="184">
        <f ca="1">IFERROR(__xludf.DUMMYFUNCTION("IMPORTRANGE(""https://docs.google.com/spreadsheets/d/1-uDff_7J0KD5mKrp0Vvzr7lt3OU09vwQwhkpOPPYv2Y/edit?usp=sharing"",""งบพรบ!EN73"")"),0)</f>
        <v>0</v>
      </c>
      <c r="I73" s="184">
        <f ca="1">IFERROR(__xludf.DUMMYFUNCTION("IMPORTRANGE(""https://docs.google.com/spreadsheets/d/1-uDff_7J0KD5mKrp0Vvzr7lt3OU09vwQwhkpOPPYv2Y/edit?usp=sharing"",""งบพรบ!EO73"")"),0)</f>
        <v>0</v>
      </c>
      <c r="J73" s="184">
        <f t="shared" ca="1" si="16"/>
        <v>0</v>
      </c>
      <c r="K73" s="185">
        <f t="shared" ca="1" si="17"/>
        <v>0</v>
      </c>
      <c r="L73" s="184">
        <f ca="1">IFERROR(__xludf.DUMMYFUNCTION("IMPORTRANGE(""https://docs.google.com/spreadsheets/d/1-uDff_7J0KD5mKrp0Vvzr7lt3OU09vwQwhkpOPPYv2Y/edit?usp=sharing"",""งบพรบ!EP73"")"),0)</f>
        <v>0</v>
      </c>
      <c r="M73" s="109">
        <f t="shared" ca="1" si="18"/>
        <v>0</v>
      </c>
      <c r="N73" s="109">
        <f t="shared" ca="1" si="19"/>
        <v>0</v>
      </c>
      <c r="O73" s="108">
        <f ca="1">IFERROR(__xludf.DUMMYFUNCTION("IMPORTRANGE(""https://docs.google.com/spreadsheets/d/1-uDff_7J0KD5mKrp0Vvzr7lt3OU09vwQwhkpOPPYv2Y/edit?usp=sharing"",""งบพรบ!EQ73"")"),0)</f>
        <v>0</v>
      </c>
      <c r="P73" s="108">
        <f t="shared" ca="1" si="20"/>
        <v>0</v>
      </c>
      <c r="Q73" s="109">
        <f t="shared" ca="1" si="21"/>
        <v>0</v>
      </c>
      <c r="R73" s="356">
        <f ca="1">IFERROR(__xludf.DUMMYFUNCTION("IMPORTRANGE(""https://docs.google.com/spreadsheets/d/1BmIruG_sIrJLYao_Pdr7zVArWsfoBt2692TMi6x_854/edit?usp=sharing"",""อ่างทอง!I330"")"),0)</f>
        <v>0</v>
      </c>
      <c r="S73" s="186">
        <f ca="1">IFERROR(__xludf.DUMMYFUNCTION("IMPORTRANGE(""https://docs.google.com/spreadsheets/d/1BmIruG_sIrJLYao_Pdr7zVArWsfoBt2692TMi6x_854/edit?usp=sharing"",""อ่างทอง!J330"")"),0)</f>
        <v>0</v>
      </c>
      <c r="T73" s="357">
        <f t="shared" ca="1" si="23"/>
        <v>0</v>
      </c>
    </row>
    <row r="74" spans="1:20" ht="21" customHeight="1" x14ac:dyDescent="0.3">
      <c r="A74" s="624" t="s">
        <v>100</v>
      </c>
      <c r="B74" s="604"/>
      <c r="C74" s="161">
        <f t="shared" ca="1" si="14"/>
        <v>90000</v>
      </c>
      <c r="D74" s="161">
        <f t="shared" ref="D74:I74" ca="1" si="31">SUM(D75:D88)</f>
        <v>90000</v>
      </c>
      <c r="E74" s="161">
        <f t="shared" ca="1" si="31"/>
        <v>0</v>
      </c>
      <c r="F74" s="161">
        <f t="shared" ca="1" si="31"/>
        <v>90000</v>
      </c>
      <c r="G74" s="161">
        <f t="shared" ca="1" si="31"/>
        <v>0</v>
      </c>
      <c r="H74" s="161">
        <f t="shared" ca="1" si="31"/>
        <v>150000</v>
      </c>
      <c r="I74" s="161">
        <f t="shared" ca="1" si="31"/>
        <v>0</v>
      </c>
      <c r="J74" s="161">
        <f t="shared" ca="1" si="16"/>
        <v>99154.1</v>
      </c>
      <c r="K74" s="162">
        <f t="shared" ca="1" si="17"/>
        <v>110.17122222222223</v>
      </c>
      <c r="L74" s="161">
        <f ca="1">SUM(L75:L88)</f>
        <v>99154.1</v>
      </c>
      <c r="M74" s="40">
        <f t="shared" ca="1" si="18"/>
        <v>110.17122222222223</v>
      </c>
      <c r="N74" s="40">
        <f t="shared" ca="1" si="19"/>
        <v>66.102733333333333</v>
      </c>
      <c r="O74" s="39">
        <f ca="1">SUM(O75:O88)</f>
        <v>0</v>
      </c>
      <c r="P74" s="39">
        <f t="shared" ca="1" si="20"/>
        <v>0</v>
      </c>
      <c r="Q74" s="40">
        <f t="shared" ca="1" si="21"/>
        <v>0</v>
      </c>
      <c r="R74" s="348">
        <f t="shared" ref="R74:S74" ca="1" si="32">SUM(R75:R88)</f>
        <v>4</v>
      </c>
      <c r="S74" s="161">
        <f t="shared" ca="1" si="32"/>
        <v>1</v>
      </c>
      <c r="T74" s="40">
        <f t="shared" ca="1" si="23"/>
        <v>25</v>
      </c>
    </row>
    <row r="75" spans="1:20" ht="21" customHeight="1" x14ac:dyDescent="0.3">
      <c r="A75" s="77">
        <v>1</v>
      </c>
      <c r="B75" s="78" t="s">
        <v>101</v>
      </c>
      <c r="C75" s="174">
        <f t="shared" ca="1" si="14"/>
        <v>30000</v>
      </c>
      <c r="D75" s="175">
        <f t="shared" ref="D75:D88" ca="1" si="33">+E75+F75</f>
        <v>30000</v>
      </c>
      <c r="E75" s="176">
        <f ca="1">IFERROR(__xludf.DUMMYFUNCTION("IMPORTRANGE(""https://docs.google.com/spreadsheets/d/1-uDff_7J0KD5mKrp0Vvzr7lt3OU09vwQwhkpOPPYv2Y/edit?usp=sharing"",""งบพรบ!EJ75"")"),0)</f>
        <v>0</v>
      </c>
      <c r="F75" s="176">
        <f ca="1">IFERROR(__xludf.DUMMYFUNCTION("IMPORTRANGE(""https://docs.google.com/spreadsheets/d/1-uDff_7J0KD5mKrp0Vvzr7lt3OU09vwQwhkpOPPYv2Y/edit?usp=sharing"",""งบพรบ!EK75"")"),30000)</f>
        <v>30000</v>
      </c>
      <c r="G75" s="176">
        <f ca="1">IFERROR(__xludf.DUMMYFUNCTION("IMPORTRANGE(""https://docs.google.com/spreadsheets/d/1-uDff_7J0KD5mKrp0Vvzr7lt3OU09vwQwhkpOPPYv2Y/edit?usp=sharing"",""งบพรบ!EL75"")"),0)</f>
        <v>0</v>
      </c>
      <c r="H75" s="176">
        <f ca="1">IFERROR(__xludf.DUMMYFUNCTION("IMPORTRANGE(""https://docs.google.com/spreadsheets/d/1-uDff_7J0KD5mKrp0Vvzr7lt3OU09vwQwhkpOPPYv2Y/edit?usp=sharing"",""งบพรบ!EN75"")"),90000)</f>
        <v>90000</v>
      </c>
      <c r="I75" s="176">
        <f ca="1">IFERROR(__xludf.DUMMYFUNCTION("IMPORTRANGE(""https://docs.google.com/spreadsheets/d/1-uDff_7J0KD5mKrp0Vvzr7lt3OU09vwQwhkpOPPYv2Y/edit?usp=sharing"",""งบพรบ!EO75"")"),0)</f>
        <v>0</v>
      </c>
      <c r="J75" s="176">
        <f t="shared" ca="1" si="16"/>
        <v>84380</v>
      </c>
      <c r="K75" s="179">
        <f t="shared" ca="1" si="17"/>
        <v>281.26666666666665</v>
      </c>
      <c r="L75" s="176">
        <f ca="1">IFERROR(__xludf.DUMMYFUNCTION("IMPORTRANGE(""https://docs.google.com/spreadsheets/d/1-uDff_7J0KD5mKrp0Vvzr7lt3OU09vwQwhkpOPPYv2Y/edit?usp=sharing"",""งบพรบ!EP75"")"),84380)</f>
        <v>84380</v>
      </c>
      <c r="M75" s="87">
        <f t="shared" ca="1" si="18"/>
        <v>281.26666666666665</v>
      </c>
      <c r="N75" s="87">
        <f t="shared" ca="1" si="19"/>
        <v>93.75555555555556</v>
      </c>
      <c r="O75" s="86">
        <f ca="1">IFERROR(__xludf.DUMMYFUNCTION("IMPORTRANGE(""https://docs.google.com/spreadsheets/d/1-uDff_7J0KD5mKrp0Vvzr7lt3OU09vwQwhkpOPPYv2Y/edit?usp=sharing"",""งบพรบ!EQ75"")"),0)</f>
        <v>0</v>
      </c>
      <c r="P75" s="86">
        <f t="shared" ca="1" si="20"/>
        <v>0</v>
      </c>
      <c r="Q75" s="87">
        <f t="shared" ca="1" si="21"/>
        <v>0</v>
      </c>
      <c r="R75" s="353">
        <f ca="1">IFERROR(__xludf.DUMMYFUNCTION("IMPORTRANGE(""https://docs.google.com/spreadsheets/d/1kKUcYdkIfrgTSj8iHHHB2MD2FAtwyyocFgqGQn6ADyI/edit?usp=sharing"",""กระบี่!I330"")"),1)</f>
        <v>1</v>
      </c>
      <c r="S75" s="177">
        <f ca="1">IFERROR(__xludf.DUMMYFUNCTION("IMPORTRANGE(""https://docs.google.com/spreadsheets/d/1kKUcYdkIfrgTSj8iHHHB2MD2FAtwyyocFgqGQn6ADyI/edit?usp=sharing"",""กระบี่!J330"")"),0)</f>
        <v>0</v>
      </c>
      <c r="T75" s="354">
        <f t="shared" ca="1" si="23"/>
        <v>0</v>
      </c>
    </row>
    <row r="76" spans="1:20" ht="21" customHeight="1" x14ac:dyDescent="0.3">
      <c r="A76" s="89">
        <v>2</v>
      </c>
      <c r="B76" s="90" t="s">
        <v>102</v>
      </c>
      <c r="C76" s="174">
        <f t="shared" ca="1" si="14"/>
        <v>20000</v>
      </c>
      <c r="D76" s="175">
        <f t="shared" ca="1" si="33"/>
        <v>20000</v>
      </c>
      <c r="E76" s="176">
        <f ca="1">IFERROR(__xludf.DUMMYFUNCTION("IMPORTRANGE(""https://docs.google.com/spreadsheets/d/1-uDff_7J0KD5mKrp0Vvzr7lt3OU09vwQwhkpOPPYv2Y/edit?usp=sharing"",""งบพรบ!EJ76"")"),0)</f>
        <v>0</v>
      </c>
      <c r="F76" s="176">
        <f ca="1">IFERROR(__xludf.DUMMYFUNCTION("IMPORTRANGE(""https://docs.google.com/spreadsheets/d/1-uDff_7J0KD5mKrp0Vvzr7lt3OU09vwQwhkpOPPYv2Y/edit?usp=sharing"",""งบพรบ!EK76"")"),20000)</f>
        <v>20000</v>
      </c>
      <c r="G76" s="176">
        <f ca="1">IFERROR(__xludf.DUMMYFUNCTION("IMPORTRANGE(""https://docs.google.com/spreadsheets/d/1-uDff_7J0KD5mKrp0Vvzr7lt3OU09vwQwhkpOPPYv2Y/edit?usp=sharing"",""งบพรบ!EL76"")"),0)</f>
        <v>0</v>
      </c>
      <c r="H76" s="176">
        <f ca="1">IFERROR(__xludf.DUMMYFUNCTION("IMPORTRANGE(""https://docs.google.com/spreadsheets/d/1-uDff_7J0KD5mKrp0Vvzr7lt3OU09vwQwhkpOPPYv2Y/edit?usp=sharing"",""งบพรบ!EN76"")"),20000)</f>
        <v>20000</v>
      </c>
      <c r="I76" s="176">
        <f ca="1">IFERROR(__xludf.DUMMYFUNCTION("IMPORTRANGE(""https://docs.google.com/spreadsheets/d/1-uDff_7J0KD5mKrp0Vvzr7lt3OU09vwQwhkpOPPYv2Y/edit?usp=sharing"",""งบพรบ!EO76"")"),0)</f>
        <v>0</v>
      </c>
      <c r="J76" s="176">
        <f t="shared" ca="1" si="16"/>
        <v>12214.1</v>
      </c>
      <c r="K76" s="179">
        <f t="shared" ca="1" si="17"/>
        <v>61.070500000000003</v>
      </c>
      <c r="L76" s="176">
        <f ca="1">IFERROR(__xludf.DUMMYFUNCTION("IMPORTRANGE(""https://docs.google.com/spreadsheets/d/1-uDff_7J0KD5mKrp0Vvzr7lt3OU09vwQwhkpOPPYv2Y/edit?usp=sharing"",""งบพรบ!EP76"")"),12214.1)</f>
        <v>12214.1</v>
      </c>
      <c r="M76" s="87">
        <f t="shared" ca="1" si="18"/>
        <v>61.070500000000003</v>
      </c>
      <c r="N76" s="87">
        <f t="shared" ca="1" si="19"/>
        <v>61.070500000000003</v>
      </c>
      <c r="O76" s="86">
        <f ca="1">IFERROR(__xludf.DUMMYFUNCTION("IMPORTRANGE(""https://docs.google.com/spreadsheets/d/1-uDff_7J0KD5mKrp0Vvzr7lt3OU09vwQwhkpOPPYv2Y/edit?usp=sharing"",""งบพรบ!EQ76"")"),0)</f>
        <v>0</v>
      </c>
      <c r="P76" s="86">
        <f t="shared" ca="1" si="20"/>
        <v>0</v>
      </c>
      <c r="Q76" s="87">
        <f t="shared" ca="1" si="21"/>
        <v>0</v>
      </c>
      <c r="R76" s="353">
        <f ca="1">IFERROR(__xludf.DUMMYFUNCTION("IMPORTRANGE(""https://docs.google.com/spreadsheets/d/1GwtLaSlNZkLk7iDqcyZz22giiy40b_usZZBXYciEN1U/edit?usp=sharing"",""ชุมพร!I330"")"),1)</f>
        <v>1</v>
      </c>
      <c r="S76" s="177">
        <f ca="1">IFERROR(__xludf.DUMMYFUNCTION("IMPORTRANGE(""https://docs.google.com/spreadsheets/d/1GwtLaSlNZkLk7iDqcyZz22giiy40b_usZZBXYciEN1U/edit?usp=sharing"",""ชุมพร!J330"")"),0)</f>
        <v>0</v>
      </c>
      <c r="T76" s="354">
        <f t="shared" ca="1" si="23"/>
        <v>0</v>
      </c>
    </row>
    <row r="77" spans="1:20" ht="21" customHeight="1" x14ac:dyDescent="0.3">
      <c r="A77" s="89">
        <v>3</v>
      </c>
      <c r="B77" s="90" t="s">
        <v>103</v>
      </c>
      <c r="C77" s="174">
        <f t="shared" ca="1" si="14"/>
        <v>0</v>
      </c>
      <c r="D77" s="175">
        <f t="shared" ca="1" si="33"/>
        <v>0</v>
      </c>
      <c r="E77" s="176">
        <f ca="1">IFERROR(__xludf.DUMMYFUNCTION("IMPORTRANGE(""https://docs.google.com/spreadsheets/d/1-uDff_7J0KD5mKrp0Vvzr7lt3OU09vwQwhkpOPPYv2Y/edit?usp=sharing"",""งบพรบ!EJ77"")"),0)</f>
        <v>0</v>
      </c>
      <c r="F77" s="176">
        <f ca="1">IFERROR(__xludf.DUMMYFUNCTION("IMPORTRANGE(""https://docs.google.com/spreadsheets/d/1-uDff_7J0KD5mKrp0Vvzr7lt3OU09vwQwhkpOPPYv2Y/edit?usp=sharing"",""งบพรบ!EK77"")"),0)</f>
        <v>0</v>
      </c>
      <c r="G77" s="176">
        <f ca="1">IFERROR(__xludf.DUMMYFUNCTION("IMPORTRANGE(""https://docs.google.com/spreadsheets/d/1-uDff_7J0KD5mKrp0Vvzr7lt3OU09vwQwhkpOPPYv2Y/edit?usp=sharing"",""งบพรบ!EL77"")"),0)</f>
        <v>0</v>
      </c>
      <c r="H77" s="176">
        <f ca="1">IFERROR(__xludf.DUMMYFUNCTION("IMPORTRANGE(""https://docs.google.com/spreadsheets/d/1-uDff_7J0KD5mKrp0Vvzr7lt3OU09vwQwhkpOPPYv2Y/edit?usp=sharing"",""งบพรบ!EN77"")"),0)</f>
        <v>0</v>
      </c>
      <c r="I77" s="176">
        <f ca="1">IFERROR(__xludf.DUMMYFUNCTION("IMPORTRANGE(""https://docs.google.com/spreadsheets/d/1-uDff_7J0KD5mKrp0Vvzr7lt3OU09vwQwhkpOPPYv2Y/edit?usp=sharing"",""งบพรบ!EO77"")"),0)</f>
        <v>0</v>
      </c>
      <c r="J77" s="176">
        <f t="shared" ca="1" si="16"/>
        <v>0</v>
      </c>
      <c r="K77" s="179">
        <f t="shared" ca="1" si="17"/>
        <v>0</v>
      </c>
      <c r="L77" s="176">
        <f ca="1">IFERROR(__xludf.DUMMYFUNCTION("IMPORTRANGE(""https://docs.google.com/spreadsheets/d/1-uDff_7J0KD5mKrp0Vvzr7lt3OU09vwQwhkpOPPYv2Y/edit?usp=sharing"",""งบพรบ!EP77"")"),0)</f>
        <v>0</v>
      </c>
      <c r="M77" s="87">
        <f t="shared" ca="1" si="18"/>
        <v>0</v>
      </c>
      <c r="N77" s="87">
        <f t="shared" ca="1" si="19"/>
        <v>0</v>
      </c>
      <c r="O77" s="86">
        <f ca="1">IFERROR(__xludf.DUMMYFUNCTION("IMPORTRANGE(""https://docs.google.com/spreadsheets/d/1-uDff_7J0KD5mKrp0Vvzr7lt3OU09vwQwhkpOPPYv2Y/edit?usp=sharing"",""งบพรบ!EQ77"")"),0)</f>
        <v>0</v>
      </c>
      <c r="P77" s="86">
        <f t="shared" ca="1" si="20"/>
        <v>0</v>
      </c>
      <c r="Q77" s="87">
        <f t="shared" ca="1" si="21"/>
        <v>0</v>
      </c>
      <c r="R77" s="353">
        <f ca="1">IFERROR(__xludf.DUMMYFUNCTION("IMPORTRANGE(""https://docs.google.com/spreadsheets/d/16pAz3pOhQEZBhvFNMa5KGgZS6iKWpsKX0pg6tQmwFpo/edit?usp=sharing"",""ตรัง!I330"")"),0)</f>
        <v>0</v>
      </c>
      <c r="S77" s="177">
        <f ca="1">IFERROR(__xludf.DUMMYFUNCTION("IMPORTRANGE(""https://docs.google.com/spreadsheets/d/16pAz3pOhQEZBhvFNMa5KGgZS6iKWpsKX0pg6tQmwFpo/edit?usp=sharing"",""ตรัง!J330"")"),0)</f>
        <v>0</v>
      </c>
      <c r="T77" s="354">
        <f t="shared" ca="1" si="23"/>
        <v>0</v>
      </c>
    </row>
    <row r="78" spans="1:20" ht="21" customHeight="1" x14ac:dyDescent="0.3">
      <c r="A78" s="89">
        <v>4</v>
      </c>
      <c r="B78" s="90" t="s">
        <v>104</v>
      </c>
      <c r="C78" s="174">
        <f t="shared" ca="1" si="14"/>
        <v>0</v>
      </c>
      <c r="D78" s="175">
        <f t="shared" ca="1" si="33"/>
        <v>0</v>
      </c>
      <c r="E78" s="176">
        <f ca="1">IFERROR(__xludf.DUMMYFUNCTION("IMPORTRANGE(""https://docs.google.com/spreadsheets/d/1-uDff_7J0KD5mKrp0Vvzr7lt3OU09vwQwhkpOPPYv2Y/edit?usp=sharing"",""งบพรบ!EJ78"")"),0)</f>
        <v>0</v>
      </c>
      <c r="F78" s="176">
        <f ca="1">IFERROR(__xludf.DUMMYFUNCTION("IMPORTRANGE(""https://docs.google.com/spreadsheets/d/1-uDff_7J0KD5mKrp0Vvzr7lt3OU09vwQwhkpOPPYv2Y/edit?usp=sharing"",""งบพรบ!EK78"")"),0)</f>
        <v>0</v>
      </c>
      <c r="G78" s="176">
        <f ca="1">IFERROR(__xludf.DUMMYFUNCTION("IMPORTRANGE(""https://docs.google.com/spreadsheets/d/1-uDff_7J0KD5mKrp0Vvzr7lt3OU09vwQwhkpOPPYv2Y/edit?usp=sharing"",""งบพรบ!EL78"")"),0)</f>
        <v>0</v>
      </c>
      <c r="H78" s="176">
        <f ca="1">IFERROR(__xludf.DUMMYFUNCTION("IMPORTRANGE(""https://docs.google.com/spreadsheets/d/1-uDff_7J0KD5mKrp0Vvzr7lt3OU09vwQwhkpOPPYv2Y/edit?usp=sharing"",""งบพรบ!EN78"")"),0)</f>
        <v>0</v>
      </c>
      <c r="I78" s="176">
        <f ca="1">IFERROR(__xludf.DUMMYFUNCTION("IMPORTRANGE(""https://docs.google.com/spreadsheets/d/1-uDff_7J0KD5mKrp0Vvzr7lt3OU09vwQwhkpOPPYv2Y/edit?usp=sharing"",""งบพรบ!EO78"")"),0)</f>
        <v>0</v>
      </c>
      <c r="J78" s="176">
        <f t="shared" ca="1" si="16"/>
        <v>0</v>
      </c>
      <c r="K78" s="179">
        <f t="shared" ca="1" si="17"/>
        <v>0</v>
      </c>
      <c r="L78" s="176">
        <f ca="1">IFERROR(__xludf.DUMMYFUNCTION("IMPORTRANGE(""https://docs.google.com/spreadsheets/d/1-uDff_7J0KD5mKrp0Vvzr7lt3OU09vwQwhkpOPPYv2Y/edit?usp=sharing"",""งบพรบ!EP78"")"),0)</f>
        <v>0</v>
      </c>
      <c r="M78" s="87">
        <f t="shared" ca="1" si="18"/>
        <v>0</v>
      </c>
      <c r="N78" s="87">
        <f t="shared" ca="1" si="19"/>
        <v>0</v>
      </c>
      <c r="O78" s="86">
        <f ca="1">IFERROR(__xludf.DUMMYFUNCTION("IMPORTRANGE(""https://docs.google.com/spreadsheets/d/1-uDff_7J0KD5mKrp0Vvzr7lt3OU09vwQwhkpOPPYv2Y/edit?usp=sharing"",""งบพรบ!EQ78"")"),0)</f>
        <v>0</v>
      </c>
      <c r="P78" s="86">
        <f t="shared" ca="1" si="20"/>
        <v>0</v>
      </c>
      <c r="Q78" s="87">
        <f t="shared" ca="1" si="21"/>
        <v>0</v>
      </c>
      <c r="R78" s="353">
        <f ca="1">IFERROR(__xludf.DUMMYFUNCTION("IMPORTRANGE(""https://docs.google.com/spreadsheets/d/1Dj4jcHCTV9JXKCaMoheSXS52JE63kDKyG7bPXnFogHk/edit?usp=sharing"",""นครศรีธรรมราช!I330"")"),0)</f>
        <v>0</v>
      </c>
      <c r="S78" s="177">
        <f ca="1">IFERROR(__xludf.DUMMYFUNCTION("IMPORTRANGE(""https://docs.google.com/spreadsheets/d/1Dj4jcHCTV9JXKCaMoheSXS52JE63kDKyG7bPXnFogHk/edit?usp=sharing"",""นครศรีธรรมราช!J330"")"),0)</f>
        <v>0</v>
      </c>
      <c r="T78" s="354">
        <f t="shared" ca="1" si="23"/>
        <v>0</v>
      </c>
    </row>
    <row r="79" spans="1:20" ht="21" customHeight="1" x14ac:dyDescent="0.3">
      <c r="A79" s="89">
        <v>5</v>
      </c>
      <c r="B79" s="90" t="s">
        <v>105</v>
      </c>
      <c r="C79" s="174">
        <f t="shared" ca="1" si="14"/>
        <v>0</v>
      </c>
      <c r="D79" s="175">
        <f t="shared" ca="1" si="33"/>
        <v>0</v>
      </c>
      <c r="E79" s="176">
        <f ca="1">IFERROR(__xludf.DUMMYFUNCTION("IMPORTRANGE(""https://docs.google.com/spreadsheets/d/1-uDff_7J0KD5mKrp0Vvzr7lt3OU09vwQwhkpOPPYv2Y/edit?usp=sharing"",""งบพรบ!EJ79"")"),0)</f>
        <v>0</v>
      </c>
      <c r="F79" s="176">
        <f ca="1">IFERROR(__xludf.DUMMYFUNCTION("IMPORTRANGE(""https://docs.google.com/spreadsheets/d/1-uDff_7J0KD5mKrp0Vvzr7lt3OU09vwQwhkpOPPYv2Y/edit?usp=sharing"",""งบพรบ!EK79"")"),0)</f>
        <v>0</v>
      </c>
      <c r="G79" s="176">
        <f ca="1">IFERROR(__xludf.DUMMYFUNCTION("IMPORTRANGE(""https://docs.google.com/spreadsheets/d/1-uDff_7J0KD5mKrp0Vvzr7lt3OU09vwQwhkpOPPYv2Y/edit?usp=sharing"",""งบพรบ!EL79"")"),0)</f>
        <v>0</v>
      </c>
      <c r="H79" s="176">
        <f ca="1">IFERROR(__xludf.DUMMYFUNCTION("IMPORTRANGE(""https://docs.google.com/spreadsheets/d/1-uDff_7J0KD5mKrp0Vvzr7lt3OU09vwQwhkpOPPYv2Y/edit?usp=sharing"",""งบพรบ!EN79"")"),0)</f>
        <v>0</v>
      </c>
      <c r="I79" s="176">
        <f ca="1">IFERROR(__xludf.DUMMYFUNCTION("IMPORTRANGE(""https://docs.google.com/spreadsheets/d/1-uDff_7J0KD5mKrp0Vvzr7lt3OU09vwQwhkpOPPYv2Y/edit?usp=sharing"",""งบพรบ!EO79"")"),0)</f>
        <v>0</v>
      </c>
      <c r="J79" s="176">
        <f t="shared" ca="1" si="16"/>
        <v>0</v>
      </c>
      <c r="K79" s="179">
        <f t="shared" ca="1" si="17"/>
        <v>0</v>
      </c>
      <c r="L79" s="176">
        <f ca="1">IFERROR(__xludf.DUMMYFUNCTION("IMPORTRANGE(""https://docs.google.com/spreadsheets/d/1-uDff_7J0KD5mKrp0Vvzr7lt3OU09vwQwhkpOPPYv2Y/edit?usp=sharing"",""งบพรบ!EP79"")"),0)</f>
        <v>0</v>
      </c>
      <c r="M79" s="87">
        <f t="shared" ca="1" si="18"/>
        <v>0</v>
      </c>
      <c r="N79" s="87">
        <f t="shared" ca="1" si="19"/>
        <v>0</v>
      </c>
      <c r="O79" s="86">
        <f ca="1">IFERROR(__xludf.DUMMYFUNCTION("IMPORTRANGE(""https://docs.google.com/spreadsheets/d/1-uDff_7J0KD5mKrp0Vvzr7lt3OU09vwQwhkpOPPYv2Y/edit?usp=sharing"",""งบพรบ!EQ79"")"),0)</f>
        <v>0</v>
      </c>
      <c r="P79" s="86">
        <f t="shared" ca="1" si="20"/>
        <v>0</v>
      </c>
      <c r="Q79" s="87">
        <f t="shared" ca="1" si="21"/>
        <v>0</v>
      </c>
      <c r="R79" s="353">
        <f ca="1">IFERROR(__xludf.DUMMYFUNCTION("IMPORTRANGE(""https://docs.google.com/spreadsheets/d/1iodCdmuK2GR3jzUwk8tpccY2JHQQA-87DLOtJP-ooyU/edit?usp=sharing"",""นราธิวาส!I330"")"),0)</f>
        <v>0</v>
      </c>
      <c r="S79" s="177">
        <f ca="1">IFERROR(__xludf.DUMMYFUNCTION("IMPORTRANGE(""https://docs.google.com/spreadsheets/d/1iodCdmuK2GR3jzUwk8tpccY2JHQQA-87DLOtJP-ooyU/edit?usp=sharing"",""นราธิวาส!J330"")"),0)</f>
        <v>0</v>
      </c>
      <c r="T79" s="354">
        <f t="shared" ca="1" si="23"/>
        <v>0</v>
      </c>
    </row>
    <row r="80" spans="1:20" ht="21" customHeight="1" x14ac:dyDescent="0.3">
      <c r="A80" s="89">
        <v>6</v>
      </c>
      <c r="B80" s="90" t="s">
        <v>106</v>
      </c>
      <c r="C80" s="174">
        <f t="shared" ca="1" si="14"/>
        <v>0</v>
      </c>
      <c r="D80" s="175">
        <f t="shared" ca="1" si="33"/>
        <v>0</v>
      </c>
      <c r="E80" s="176">
        <f ca="1">IFERROR(__xludf.DUMMYFUNCTION("IMPORTRANGE(""https://docs.google.com/spreadsheets/d/1-uDff_7J0KD5mKrp0Vvzr7lt3OU09vwQwhkpOPPYv2Y/edit?usp=sharing"",""งบพรบ!EJ80"")"),0)</f>
        <v>0</v>
      </c>
      <c r="F80" s="176">
        <f ca="1">IFERROR(__xludf.DUMMYFUNCTION("IMPORTRANGE(""https://docs.google.com/spreadsheets/d/1-uDff_7J0KD5mKrp0Vvzr7lt3OU09vwQwhkpOPPYv2Y/edit?usp=sharing"",""งบพรบ!EK80"")"),0)</f>
        <v>0</v>
      </c>
      <c r="G80" s="176">
        <f ca="1">IFERROR(__xludf.DUMMYFUNCTION("IMPORTRANGE(""https://docs.google.com/spreadsheets/d/1-uDff_7J0KD5mKrp0Vvzr7lt3OU09vwQwhkpOPPYv2Y/edit?usp=sharing"",""งบพรบ!EL80"")"),0)</f>
        <v>0</v>
      </c>
      <c r="H80" s="176">
        <f ca="1">IFERROR(__xludf.DUMMYFUNCTION("IMPORTRANGE(""https://docs.google.com/spreadsheets/d/1-uDff_7J0KD5mKrp0Vvzr7lt3OU09vwQwhkpOPPYv2Y/edit?usp=sharing"",""งบพรบ!EN80"")"),0)</f>
        <v>0</v>
      </c>
      <c r="I80" s="176">
        <f ca="1">IFERROR(__xludf.DUMMYFUNCTION("IMPORTRANGE(""https://docs.google.com/spreadsheets/d/1-uDff_7J0KD5mKrp0Vvzr7lt3OU09vwQwhkpOPPYv2Y/edit?usp=sharing"",""งบพรบ!EO80"")"),0)</f>
        <v>0</v>
      </c>
      <c r="J80" s="176">
        <f t="shared" ca="1" si="16"/>
        <v>0</v>
      </c>
      <c r="K80" s="179">
        <f t="shared" ca="1" si="17"/>
        <v>0</v>
      </c>
      <c r="L80" s="176">
        <f ca="1">IFERROR(__xludf.DUMMYFUNCTION("IMPORTRANGE(""https://docs.google.com/spreadsheets/d/1-uDff_7J0KD5mKrp0Vvzr7lt3OU09vwQwhkpOPPYv2Y/edit?usp=sharing"",""งบพรบ!EP80"")"),0)</f>
        <v>0</v>
      </c>
      <c r="M80" s="87">
        <f t="shared" ca="1" si="18"/>
        <v>0</v>
      </c>
      <c r="N80" s="87">
        <f t="shared" ca="1" si="19"/>
        <v>0</v>
      </c>
      <c r="O80" s="86">
        <f ca="1">IFERROR(__xludf.DUMMYFUNCTION("IMPORTRANGE(""https://docs.google.com/spreadsheets/d/1-uDff_7J0KD5mKrp0Vvzr7lt3OU09vwQwhkpOPPYv2Y/edit?usp=sharing"",""งบพรบ!EQ80"")"),0)</f>
        <v>0</v>
      </c>
      <c r="P80" s="86">
        <f t="shared" ca="1" si="20"/>
        <v>0</v>
      </c>
      <c r="Q80" s="87">
        <f t="shared" ca="1" si="21"/>
        <v>0</v>
      </c>
      <c r="R80" s="355">
        <f ca="1">IFERROR(__xludf.DUMMYFUNCTION("IMPORTRANGE(""https://docs.google.com/spreadsheets/d/1SDNX3JhDdYRuIOsj0Wh2M-Qa_eaXl0NbWmhAOTbfQAs/edit?usp=sharing"",""ปัตตานี!I330"")"),0)</f>
        <v>0</v>
      </c>
      <c r="S80" s="177">
        <f ca="1">IFERROR(__xludf.DUMMYFUNCTION("IMPORTRANGE(""https://docs.google.com/spreadsheets/d/1SDNX3JhDdYRuIOsj0Wh2M-Qa_eaXl0NbWmhAOTbfQAs/edit?usp=sharing"",""ปัตตานี!J330"")"),0)</f>
        <v>0</v>
      </c>
      <c r="T80" s="354">
        <f t="shared" ca="1" si="23"/>
        <v>0</v>
      </c>
    </row>
    <row r="81" spans="1:20" ht="21" customHeight="1" x14ac:dyDescent="0.3">
      <c r="A81" s="89">
        <v>7</v>
      </c>
      <c r="B81" s="90" t="s">
        <v>107</v>
      </c>
      <c r="C81" s="174">
        <f t="shared" ca="1" si="14"/>
        <v>0</v>
      </c>
      <c r="D81" s="175">
        <f t="shared" ca="1" si="33"/>
        <v>0</v>
      </c>
      <c r="E81" s="176">
        <f ca="1">IFERROR(__xludf.DUMMYFUNCTION("IMPORTRANGE(""https://docs.google.com/spreadsheets/d/1-uDff_7J0KD5mKrp0Vvzr7lt3OU09vwQwhkpOPPYv2Y/edit?usp=sharing"",""งบพรบ!EJ81"")"),0)</f>
        <v>0</v>
      </c>
      <c r="F81" s="176">
        <f ca="1">IFERROR(__xludf.DUMMYFUNCTION("IMPORTRANGE(""https://docs.google.com/spreadsheets/d/1-uDff_7J0KD5mKrp0Vvzr7lt3OU09vwQwhkpOPPYv2Y/edit?usp=sharing"",""งบพรบ!EK81"")"),0)</f>
        <v>0</v>
      </c>
      <c r="G81" s="176">
        <f ca="1">IFERROR(__xludf.DUMMYFUNCTION("IMPORTRANGE(""https://docs.google.com/spreadsheets/d/1-uDff_7J0KD5mKrp0Vvzr7lt3OU09vwQwhkpOPPYv2Y/edit?usp=sharing"",""งบพรบ!EL81"")"),0)</f>
        <v>0</v>
      </c>
      <c r="H81" s="176">
        <f ca="1">IFERROR(__xludf.DUMMYFUNCTION("IMPORTRANGE(""https://docs.google.com/spreadsheets/d/1-uDff_7J0KD5mKrp0Vvzr7lt3OU09vwQwhkpOPPYv2Y/edit?usp=sharing"",""งบพรบ!EN81"")"),0)</f>
        <v>0</v>
      </c>
      <c r="I81" s="176">
        <f ca="1">IFERROR(__xludf.DUMMYFUNCTION("IMPORTRANGE(""https://docs.google.com/spreadsheets/d/1-uDff_7J0KD5mKrp0Vvzr7lt3OU09vwQwhkpOPPYv2Y/edit?usp=sharing"",""งบพรบ!EO81"")"),0)</f>
        <v>0</v>
      </c>
      <c r="J81" s="176">
        <f t="shared" ca="1" si="16"/>
        <v>0</v>
      </c>
      <c r="K81" s="179">
        <f t="shared" ca="1" si="17"/>
        <v>0</v>
      </c>
      <c r="L81" s="176">
        <f ca="1">IFERROR(__xludf.DUMMYFUNCTION("IMPORTRANGE(""https://docs.google.com/spreadsheets/d/1-uDff_7J0KD5mKrp0Vvzr7lt3OU09vwQwhkpOPPYv2Y/edit?usp=sharing"",""งบพรบ!EP81"")"),0)</f>
        <v>0</v>
      </c>
      <c r="M81" s="87">
        <f t="shared" ca="1" si="18"/>
        <v>0</v>
      </c>
      <c r="N81" s="87">
        <f t="shared" ca="1" si="19"/>
        <v>0</v>
      </c>
      <c r="O81" s="86">
        <f ca="1">IFERROR(__xludf.DUMMYFUNCTION("IMPORTRANGE(""https://docs.google.com/spreadsheets/d/1-uDff_7J0KD5mKrp0Vvzr7lt3OU09vwQwhkpOPPYv2Y/edit?usp=sharing"",""งบพรบ!EQ81"")"),0)</f>
        <v>0</v>
      </c>
      <c r="P81" s="86">
        <f t="shared" ca="1" si="20"/>
        <v>0</v>
      </c>
      <c r="Q81" s="87">
        <f t="shared" ca="1" si="21"/>
        <v>0</v>
      </c>
      <c r="R81" s="353">
        <f ca="1">IFERROR(__xludf.DUMMYFUNCTION("IMPORTRANGE(""https://docs.google.com/spreadsheets/d/16JDLGguT8s5DsGCND1KcwHP_AWR_zDMTqLHPLJUKhaU/edit?usp=sharing"",""พังงา!I330"")"),0)</f>
        <v>0</v>
      </c>
      <c r="S81" s="177">
        <f ca="1">IFERROR(__xludf.DUMMYFUNCTION("IMPORTRANGE(""https://docs.google.com/spreadsheets/d/16JDLGguT8s5DsGCND1KcwHP_AWR_zDMTqLHPLJUKhaU/edit?usp=sharing"",""พังงา!J330"")"),0)</f>
        <v>0</v>
      </c>
      <c r="T81" s="354">
        <f t="shared" ca="1" si="23"/>
        <v>0</v>
      </c>
    </row>
    <row r="82" spans="1:20" ht="21" customHeight="1" x14ac:dyDescent="0.3">
      <c r="A82" s="89">
        <v>8</v>
      </c>
      <c r="B82" s="90" t="s">
        <v>108</v>
      </c>
      <c r="C82" s="174">
        <f t="shared" ca="1" si="14"/>
        <v>0</v>
      </c>
      <c r="D82" s="175">
        <f t="shared" ca="1" si="33"/>
        <v>0</v>
      </c>
      <c r="E82" s="176">
        <f ca="1">IFERROR(__xludf.DUMMYFUNCTION("IMPORTRANGE(""https://docs.google.com/spreadsheets/d/1-uDff_7J0KD5mKrp0Vvzr7lt3OU09vwQwhkpOPPYv2Y/edit?usp=sharing"",""งบพรบ!EJ82"")"),0)</f>
        <v>0</v>
      </c>
      <c r="F82" s="176">
        <f ca="1">IFERROR(__xludf.DUMMYFUNCTION("IMPORTRANGE(""https://docs.google.com/spreadsheets/d/1-uDff_7J0KD5mKrp0Vvzr7lt3OU09vwQwhkpOPPYv2Y/edit?usp=sharing"",""งบพรบ!EK82"")"),0)</f>
        <v>0</v>
      </c>
      <c r="G82" s="176">
        <f ca="1">IFERROR(__xludf.DUMMYFUNCTION("IMPORTRANGE(""https://docs.google.com/spreadsheets/d/1-uDff_7J0KD5mKrp0Vvzr7lt3OU09vwQwhkpOPPYv2Y/edit?usp=sharing"",""งบพรบ!EL82"")"),0)</f>
        <v>0</v>
      </c>
      <c r="H82" s="176">
        <f ca="1">IFERROR(__xludf.DUMMYFUNCTION("IMPORTRANGE(""https://docs.google.com/spreadsheets/d/1-uDff_7J0KD5mKrp0Vvzr7lt3OU09vwQwhkpOPPYv2Y/edit?usp=sharing"",""งบพรบ!EN82"")"),0)</f>
        <v>0</v>
      </c>
      <c r="I82" s="176">
        <f ca="1">IFERROR(__xludf.DUMMYFUNCTION("IMPORTRANGE(""https://docs.google.com/spreadsheets/d/1-uDff_7J0KD5mKrp0Vvzr7lt3OU09vwQwhkpOPPYv2Y/edit?usp=sharing"",""งบพรบ!EO82"")"),0)</f>
        <v>0</v>
      </c>
      <c r="J82" s="176">
        <f t="shared" ca="1" si="16"/>
        <v>0</v>
      </c>
      <c r="K82" s="179">
        <f t="shared" ca="1" si="17"/>
        <v>0</v>
      </c>
      <c r="L82" s="176">
        <f ca="1">IFERROR(__xludf.DUMMYFUNCTION("IMPORTRANGE(""https://docs.google.com/spreadsheets/d/1-uDff_7J0KD5mKrp0Vvzr7lt3OU09vwQwhkpOPPYv2Y/edit?usp=sharing"",""งบพรบ!EP82"")"),0)</f>
        <v>0</v>
      </c>
      <c r="M82" s="87">
        <f t="shared" ca="1" si="18"/>
        <v>0</v>
      </c>
      <c r="N82" s="87">
        <f t="shared" ca="1" si="19"/>
        <v>0</v>
      </c>
      <c r="O82" s="86">
        <f ca="1">IFERROR(__xludf.DUMMYFUNCTION("IMPORTRANGE(""https://docs.google.com/spreadsheets/d/1-uDff_7J0KD5mKrp0Vvzr7lt3OU09vwQwhkpOPPYv2Y/edit?usp=sharing"",""งบพรบ!EQ82"")"),0)</f>
        <v>0</v>
      </c>
      <c r="P82" s="86">
        <f t="shared" ca="1" si="20"/>
        <v>0</v>
      </c>
      <c r="Q82" s="87">
        <f t="shared" ca="1" si="21"/>
        <v>0</v>
      </c>
      <c r="R82" s="353">
        <f ca="1">IFERROR(__xludf.DUMMYFUNCTION("IMPORTRANGE(""https://docs.google.com/spreadsheets/d/17ht0gPKzzT3PObBL1XJkeRmntBXI7wGjpLV7QorqlTk/edit?usp=sharing"",""พัทลุง!I330"")"),0)</f>
        <v>0</v>
      </c>
      <c r="S82" s="177">
        <f ca="1">IFERROR(__xludf.DUMMYFUNCTION("IMPORTRANGE(""https://docs.google.com/spreadsheets/d/17ht0gPKzzT3PObBL1XJkeRmntBXI7wGjpLV7QorqlTk/edit?usp=sharing"",""พัทลุง!J330"")"),0)</f>
        <v>0</v>
      </c>
      <c r="T82" s="354">
        <f t="shared" ca="1" si="23"/>
        <v>0</v>
      </c>
    </row>
    <row r="83" spans="1:20" ht="21" customHeight="1" x14ac:dyDescent="0.3">
      <c r="A83" s="89">
        <v>9</v>
      </c>
      <c r="B83" s="90" t="s">
        <v>109</v>
      </c>
      <c r="C83" s="174">
        <f t="shared" ca="1" si="14"/>
        <v>0</v>
      </c>
      <c r="D83" s="175">
        <f t="shared" ca="1" si="33"/>
        <v>0</v>
      </c>
      <c r="E83" s="176">
        <f ca="1">IFERROR(__xludf.DUMMYFUNCTION("IMPORTRANGE(""https://docs.google.com/spreadsheets/d/1-uDff_7J0KD5mKrp0Vvzr7lt3OU09vwQwhkpOPPYv2Y/edit?usp=sharing"",""งบพรบ!EJ83"")"),0)</f>
        <v>0</v>
      </c>
      <c r="F83" s="176">
        <f ca="1">IFERROR(__xludf.DUMMYFUNCTION("IMPORTRANGE(""https://docs.google.com/spreadsheets/d/1-uDff_7J0KD5mKrp0Vvzr7lt3OU09vwQwhkpOPPYv2Y/edit?usp=sharing"",""งบพรบ!EK83"")"),0)</f>
        <v>0</v>
      </c>
      <c r="G83" s="176">
        <f ca="1">IFERROR(__xludf.DUMMYFUNCTION("IMPORTRANGE(""https://docs.google.com/spreadsheets/d/1-uDff_7J0KD5mKrp0Vvzr7lt3OU09vwQwhkpOPPYv2Y/edit?usp=sharing"",""งบพรบ!EL83"")"),0)</f>
        <v>0</v>
      </c>
      <c r="H83" s="176">
        <f ca="1">IFERROR(__xludf.DUMMYFUNCTION("IMPORTRANGE(""https://docs.google.com/spreadsheets/d/1-uDff_7J0KD5mKrp0Vvzr7lt3OU09vwQwhkpOPPYv2Y/edit?usp=sharing"",""งบพรบ!EN83"")"),0)</f>
        <v>0</v>
      </c>
      <c r="I83" s="176">
        <f ca="1">IFERROR(__xludf.DUMMYFUNCTION("IMPORTRANGE(""https://docs.google.com/spreadsheets/d/1-uDff_7J0KD5mKrp0Vvzr7lt3OU09vwQwhkpOPPYv2Y/edit?usp=sharing"",""งบพรบ!EO83"")"),0)</f>
        <v>0</v>
      </c>
      <c r="J83" s="176">
        <f t="shared" ca="1" si="16"/>
        <v>0</v>
      </c>
      <c r="K83" s="179">
        <f t="shared" ca="1" si="17"/>
        <v>0</v>
      </c>
      <c r="L83" s="176">
        <f ca="1">IFERROR(__xludf.DUMMYFUNCTION("IMPORTRANGE(""https://docs.google.com/spreadsheets/d/1-uDff_7J0KD5mKrp0Vvzr7lt3OU09vwQwhkpOPPYv2Y/edit?usp=sharing"",""งบพรบ!EP83"")"),0)</f>
        <v>0</v>
      </c>
      <c r="M83" s="87">
        <f t="shared" ca="1" si="18"/>
        <v>0</v>
      </c>
      <c r="N83" s="87">
        <f t="shared" ca="1" si="19"/>
        <v>0</v>
      </c>
      <c r="O83" s="86">
        <f ca="1">IFERROR(__xludf.DUMMYFUNCTION("IMPORTRANGE(""https://docs.google.com/spreadsheets/d/1-uDff_7J0KD5mKrp0Vvzr7lt3OU09vwQwhkpOPPYv2Y/edit?usp=sharing"",""งบพรบ!EQ83"")"),0)</f>
        <v>0</v>
      </c>
      <c r="P83" s="86">
        <f t="shared" ca="1" si="20"/>
        <v>0</v>
      </c>
      <c r="Q83" s="87">
        <f t="shared" ca="1" si="21"/>
        <v>0</v>
      </c>
      <c r="R83" s="353">
        <f ca="1">IFERROR(__xludf.DUMMYFUNCTION("IMPORTRANGE(""https://docs.google.com/spreadsheets/d/1rd4qoM1q_hsgaolqNGfrim9gbsoLxQsda4-vOz5x_BM/edit?usp=sharing"",""ภูเก็ต!I330"")"),0)</f>
        <v>0</v>
      </c>
      <c r="S83" s="177">
        <f ca="1">IFERROR(__xludf.DUMMYFUNCTION("IMPORTRANGE(""https://docs.google.com/spreadsheets/d/1rd4qoM1q_hsgaolqNGfrim9gbsoLxQsda4-vOz5x_BM/edit?usp=sharing"",""ภูเก็ต!J330"")"),0)</f>
        <v>0</v>
      </c>
      <c r="T83" s="354">
        <f t="shared" ca="1" si="23"/>
        <v>0</v>
      </c>
    </row>
    <row r="84" spans="1:20" ht="21" customHeight="1" x14ac:dyDescent="0.3">
      <c r="A84" s="89">
        <v>10</v>
      </c>
      <c r="B84" s="90" t="s">
        <v>110</v>
      </c>
      <c r="C84" s="174">
        <f t="shared" ca="1" si="14"/>
        <v>0</v>
      </c>
      <c r="D84" s="175">
        <f t="shared" ca="1" si="33"/>
        <v>0</v>
      </c>
      <c r="E84" s="176">
        <f ca="1">IFERROR(__xludf.DUMMYFUNCTION("IMPORTRANGE(""https://docs.google.com/spreadsheets/d/1-uDff_7J0KD5mKrp0Vvzr7lt3OU09vwQwhkpOPPYv2Y/edit?usp=sharing"",""งบพรบ!EJ84"")"),0)</f>
        <v>0</v>
      </c>
      <c r="F84" s="176">
        <f ca="1">IFERROR(__xludf.DUMMYFUNCTION("IMPORTRANGE(""https://docs.google.com/spreadsheets/d/1-uDff_7J0KD5mKrp0Vvzr7lt3OU09vwQwhkpOPPYv2Y/edit?usp=sharing"",""งบพรบ!EK84"")"),0)</f>
        <v>0</v>
      </c>
      <c r="G84" s="176">
        <f ca="1">IFERROR(__xludf.DUMMYFUNCTION("IMPORTRANGE(""https://docs.google.com/spreadsheets/d/1-uDff_7J0KD5mKrp0Vvzr7lt3OU09vwQwhkpOPPYv2Y/edit?usp=sharing"",""งบพรบ!EL84"")"),0)</f>
        <v>0</v>
      </c>
      <c r="H84" s="176">
        <f ca="1">IFERROR(__xludf.DUMMYFUNCTION("IMPORTRANGE(""https://docs.google.com/spreadsheets/d/1-uDff_7J0KD5mKrp0Vvzr7lt3OU09vwQwhkpOPPYv2Y/edit?usp=sharing"",""งบพรบ!EN84"")"),0)</f>
        <v>0</v>
      </c>
      <c r="I84" s="176">
        <f ca="1">IFERROR(__xludf.DUMMYFUNCTION("IMPORTRANGE(""https://docs.google.com/spreadsheets/d/1-uDff_7J0KD5mKrp0Vvzr7lt3OU09vwQwhkpOPPYv2Y/edit?usp=sharing"",""งบพรบ!EO84"")"),0)</f>
        <v>0</v>
      </c>
      <c r="J84" s="176">
        <f t="shared" ca="1" si="16"/>
        <v>0</v>
      </c>
      <c r="K84" s="179">
        <f t="shared" ca="1" si="17"/>
        <v>0</v>
      </c>
      <c r="L84" s="176">
        <f ca="1">IFERROR(__xludf.DUMMYFUNCTION("IMPORTRANGE(""https://docs.google.com/spreadsheets/d/1-uDff_7J0KD5mKrp0Vvzr7lt3OU09vwQwhkpOPPYv2Y/edit?usp=sharing"",""งบพรบ!EP84"")"),0)</f>
        <v>0</v>
      </c>
      <c r="M84" s="87">
        <f t="shared" ca="1" si="18"/>
        <v>0</v>
      </c>
      <c r="N84" s="87">
        <f t="shared" ca="1" si="19"/>
        <v>0</v>
      </c>
      <c r="O84" s="86">
        <f ca="1">IFERROR(__xludf.DUMMYFUNCTION("IMPORTRANGE(""https://docs.google.com/spreadsheets/d/1-uDff_7J0KD5mKrp0Vvzr7lt3OU09vwQwhkpOPPYv2Y/edit?usp=sharing"",""งบพรบ!EQ84"")"),0)</f>
        <v>0</v>
      </c>
      <c r="P84" s="86">
        <f t="shared" ca="1" si="20"/>
        <v>0</v>
      </c>
      <c r="Q84" s="87">
        <f t="shared" ca="1" si="21"/>
        <v>0</v>
      </c>
      <c r="R84" s="353">
        <f ca="1">IFERROR(__xludf.DUMMYFUNCTION("IMPORTRANGE(""https://docs.google.com/spreadsheets/d/1woKwKjgoLssDvPcPeVyezB5izizAn4X1JDrys69n6xI/edit?usp=sharing"",""ยะลา!I330"")"),0)</f>
        <v>0</v>
      </c>
      <c r="S84" s="177">
        <f ca="1">IFERROR(__xludf.DUMMYFUNCTION("IMPORTRANGE(""https://docs.google.com/spreadsheets/d/1woKwKjgoLssDvPcPeVyezB5izizAn4X1JDrys69n6xI/edit?usp=sharing"",""ยะลา!J330"")"),0)</f>
        <v>0</v>
      </c>
      <c r="T84" s="354">
        <f t="shared" ca="1" si="23"/>
        <v>0</v>
      </c>
    </row>
    <row r="85" spans="1:20" ht="21" customHeight="1" x14ac:dyDescent="0.3">
      <c r="A85" s="89">
        <v>11</v>
      </c>
      <c r="B85" s="90" t="s">
        <v>111</v>
      </c>
      <c r="C85" s="174">
        <f t="shared" ca="1" si="14"/>
        <v>0</v>
      </c>
      <c r="D85" s="175">
        <f t="shared" ca="1" si="33"/>
        <v>0</v>
      </c>
      <c r="E85" s="176">
        <f ca="1">IFERROR(__xludf.DUMMYFUNCTION("IMPORTRANGE(""https://docs.google.com/spreadsheets/d/1-uDff_7J0KD5mKrp0Vvzr7lt3OU09vwQwhkpOPPYv2Y/edit?usp=sharing"",""งบพรบ!EJ85"")"),0)</f>
        <v>0</v>
      </c>
      <c r="F85" s="176">
        <f ca="1">IFERROR(__xludf.DUMMYFUNCTION("IMPORTRANGE(""https://docs.google.com/spreadsheets/d/1-uDff_7J0KD5mKrp0Vvzr7lt3OU09vwQwhkpOPPYv2Y/edit?usp=sharing"",""งบพรบ!EK85"")"),0)</f>
        <v>0</v>
      </c>
      <c r="G85" s="176">
        <f ca="1">IFERROR(__xludf.DUMMYFUNCTION("IMPORTRANGE(""https://docs.google.com/spreadsheets/d/1-uDff_7J0KD5mKrp0Vvzr7lt3OU09vwQwhkpOPPYv2Y/edit?usp=sharing"",""งบพรบ!EL85"")"),0)</f>
        <v>0</v>
      </c>
      <c r="H85" s="176">
        <f ca="1">IFERROR(__xludf.DUMMYFUNCTION("IMPORTRANGE(""https://docs.google.com/spreadsheets/d/1-uDff_7J0KD5mKrp0Vvzr7lt3OU09vwQwhkpOPPYv2Y/edit?usp=sharing"",""งบพรบ!EN85"")"),0)</f>
        <v>0</v>
      </c>
      <c r="I85" s="176">
        <f ca="1">IFERROR(__xludf.DUMMYFUNCTION("IMPORTRANGE(""https://docs.google.com/spreadsheets/d/1-uDff_7J0KD5mKrp0Vvzr7lt3OU09vwQwhkpOPPYv2Y/edit?usp=sharing"",""งบพรบ!EO85"")"),0)</f>
        <v>0</v>
      </c>
      <c r="J85" s="176">
        <f t="shared" ca="1" si="16"/>
        <v>0</v>
      </c>
      <c r="K85" s="179">
        <f t="shared" ca="1" si="17"/>
        <v>0</v>
      </c>
      <c r="L85" s="176">
        <f ca="1">IFERROR(__xludf.DUMMYFUNCTION("IMPORTRANGE(""https://docs.google.com/spreadsheets/d/1-uDff_7J0KD5mKrp0Vvzr7lt3OU09vwQwhkpOPPYv2Y/edit?usp=sharing"",""งบพรบ!EP85"")"),0)</f>
        <v>0</v>
      </c>
      <c r="M85" s="87">
        <f t="shared" ca="1" si="18"/>
        <v>0</v>
      </c>
      <c r="N85" s="87">
        <f t="shared" ca="1" si="19"/>
        <v>0</v>
      </c>
      <c r="O85" s="86">
        <f ca="1">IFERROR(__xludf.DUMMYFUNCTION("IMPORTRANGE(""https://docs.google.com/spreadsheets/d/1-uDff_7J0KD5mKrp0Vvzr7lt3OU09vwQwhkpOPPYv2Y/edit?usp=sharing"",""งบพรบ!EQ85"")"),0)</f>
        <v>0</v>
      </c>
      <c r="P85" s="86">
        <f t="shared" ca="1" si="20"/>
        <v>0</v>
      </c>
      <c r="Q85" s="87">
        <f t="shared" ca="1" si="21"/>
        <v>0</v>
      </c>
      <c r="R85" s="353">
        <f ca="1">IFERROR(__xludf.DUMMYFUNCTION("IMPORTRANGE(""https://docs.google.com/spreadsheets/d/1qfrKjzMhm2HJfxQ-qVlJlJQ25Hne1d0khsySbZyGtPA/edit?usp=sharing"",""ระนอง!I330"")"),0)</f>
        <v>0</v>
      </c>
      <c r="S85" s="177">
        <f ca="1">IFERROR(__xludf.DUMMYFUNCTION("IMPORTRANGE(""https://docs.google.com/spreadsheets/d/1qfrKjzMhm2HJfxQ-qVlJlJQ25Hne1d0khsySbZyGtPA/edit?usp=sharing"",""ระนอง!J330"")"),0)</f>
        <v>0</v>
      </c>
      <c r="T85" s="354">
        <f t="shared" ca="1" si="23"/>
        <v>0</v>
      </c>
    </row>
    <row r="86" spans="1:20" ht="24" customHeight="1" x14ac:dyDescent="0.3">
      <c r="A86" s="89">
        <v>12</v>
      </c>
      <c r="B86" s="90" t="s">
        <v>112</v>
      </c>
      <c r="C86" s="174">
        <f t="shared" ca="1" si="14"/>
        <v>20000</v>
      </c>
      <c r="D86" s="175">
        <f t="shared" ca="1" si="33"/>
        <v>20000</v>
      </c>
      <c r="E86" s="176">
        <f ca="1">IFERROR(__xludf.DUMMYFUNCTION("IMPORTRANGE(""https://docs.google.com/spreadsheets/d/1-uDff_7J0KD5mKrp0Vvzr7lt3OU09vwQwhkpOPPYv2Y/edit?usp=sharing"",""งบพรบ!EJ86"")"),0)</f>
        <v>0</v>
      </c>
      <c r="F86" s="176">
        <f ca="1">IFERROR(__xludf.DUMMYFUNCTION("IMPORTRANGE(""https://docs.google.com/spreadsheets/d/1-uDff_7J0KD5mKrp0Vvzr7lt3OU09vwQwhkpOPPYv2Y/edit?usp=sharing"",""งบพรบ!EK86"")"),20000)</f>
        <v>20000</v>
      </c>
      <c r="G86" s="176">
        <f ca="1">IFERROR(__xludf.DUMMYFUNCTION("IMPORTRANGE(""https://docs.google.com/spreadsheets/d/1-uDff_7J0KD5mKrp0Vvzr7lt3OU09vwQwhkpOPPYv2Y/edit?usp=sharing"",""งบพรบ!EL86"")"),0)</f>
        <v>0</v>
      </c>
      <c r="H86" s="176">
        <f ca="1">IFERROR(__xludf.DUMMYFUNCTION("IMPORTRANGE(""https://docs.google.com/spreadsheets/d/1-uDff_7J0KD5mKrp0Vvzr7lt3OU09vwQwhkpOPPYv2Y/edit?usp=sharing"",""งบพรบ!EN86"")"),20000)</f>
        <v>20000</v>
      </c>
      <c r="I86" s="176">
        <f ca="1">IFERROR(__xludf.DUMMYFUNCTION("IMPORTRANGE(""https://docs.google.com/spreadsheets/d/1-uDff_7J0KD5mKrp0Vvzr7lt3OU09vwQwhkpOPPYv2Y/edit?usp=sharing"",""งบพรบ!EO86"")"),0)</f>
        <v>0</v>
      </c>
      <c r="J86" s="176">
        <f t="shared" ca="1" si="16"/>
        <v>1240</v>
      </c>
      <c r="K86" s="179">
        <f t="shared" ca="1" si="17"/>
        <v>6.2</v>
      </c>
      <c r="L86" s="176">
        <f ca="1">IFERROR(__xludf.DUMMYFUNCTION("IMPORTRANGE(""https://docs.google.com/spreadsheets/d/1-uDff_7J0KD5mKrp0Vvzr7lt3OU09vwQwhkpOPPYv2Y/edit?usp=sharing"",""งบพรบ!EP86"")"),1240)</f>
        <v>1240</v>
      </c>
      <c r="M86" s="87">
        <f t="shared" ca="1" si="18"/>
        <v>6.2</v>
      </c>
      <c r="N86" s="87">
        <f t="shared" ca="1" si="19"/>
        <v>6.2</v>
      </c>
      <c r="O86" s="86">
        <f ca="1">IFERROR(__xludf.DUMMYFUNCTION("IMPORTRANGE(""https://docs.google.com/spreadsheets/d/1-uDff_7J0KD5mKrp0Vvzr7lt3OU09vwQwhkpOPPYv2Y/edit?usp=sharing"",""งบพรบ!EQ86"")"),0)</f>
        <v>0</v>
      </c>
      <c r="P86" s="86">
        <f t="shared" ca="1" si="20"/>
        <v>0</v>
      </c>
      <c r="Q86" s="87">
        <f t="shared" ca="1" si="21"/>
        <v>0</v>
      </c>
      <c r="R86" s="353">
        <f ca="1">IFERROR(__xludf.DUMMYFUNCTION("IMPORTRANGE(""https://docs.google.com/spreadsheets/d/1IbSCnFOKpZsnFogBHJnL_isstZVaOMnFiIN0fGTPZZw/edit?usp=sharing"",""สงขลา!I330"")"),1)</f>
        <v>1</v>
      </c>
      <c r="S86" s="177">
        <f ca="1">IFERROR(__xludf.DUMMYFUNCTION("IMPORTRANGE(""https://docs.google.com/spreadsheets/d/1IbSCnFOKpZsnFogBHJnL_isstZVaOMnFiIN0fGTPZZw/edit?usp=sharing"",""สงขลา!J330"")"),0)</f>
        <v>0</v>
      </c>
      <c r="T86" s="354">
        <f t="shared" ca="1" si="23"/>
        <v>0</v>
      </c>
    </row>
    <row r="87" spans="1:20" ht="24" customHeight="1" x14ac:dyDescent="0.3">
      <c r="A87" s="89">
        <v>13</v>
      </c>
      <c r="B87" s="90" t="s">
        <v>113</v>
      </c>
      <c r="C87" s="174">
        <f t="shared" ca="1" si="14"/>
        <v>0</v>
      </c>
      <c r="D87" s="175">
        <f t="shared" ca="1" si="33"/>
        <v>0</v>
      </c>
      <c r="E87" s="176">
        <f ca="1">IFERROR(__xludf.DUMMYFUNCTION("IMPORTRANGE(""https://docs.google.com/spreadsheets/d/1-uDff_7J0KD5mKrp0Vvzr7lt3OU09vwQwhkpOPPYv2Y/edit?usp=sharing"",""งบพรบ!EJ87"")"),0)</f>
        <v>0</v>
      </c>
      <c r="F87" s="176">
        <f ca="1">IFERROR(__xludf.DUMMYFUNCTION("IMPORTRANGE(""https://docs.google.com/spreadsheets/d/1-uDff_7J0KD5mKrp0Vvzr7lt3OU09vwQwhkpOPPYv2Y/edit?usp=sharing"",""งบพรบ!EK87"")"),0)</f>
        <v>0</v>
      </c>
      <c r="G87" s="176">
        <f ca="1">IFERROR(__xludf.DUMMYFUNCTION("IMPORTRANGE(""https://docs.google.com/spreadsheets/d/1-uDff_7J0KD5mKrp0Vvzr7lt3OU09vwQwhkpOPPYv2Y/edit?usp=sharing"",""งบพรบ!EL87"")"),0)</f>
        <v>0</v>
      </c>
      <c r="H87" s="176">
        <f ca="1">IFERROR(__xludf.DUMMYFUNCTION("IMPORTRANGE(""https://docs.google.com/spreadsheets/d/1-uDff_7J0KD5mKrp0Vvzr7lt3OU09vwQwhkpOPPYv2Y/edit?usp=sharing"",""งบพรบ!EN87"")"),0)</f>
        <v>0</v>
      </c>
      <c r="I87" s="176">
        <f ca="1">IFERROR(__xludf.DUMMYFUNCTION("IMPORTRANGE(""https://docs.google.com/spreadsheets/d/1-uDff_7J0KD5mKrp0Vvzr7lt3OU09vwQwhkpOPPYv2Y/edit?usp=sharing"",""งบพรบ!EO87"")"),0)</f>
        <v>0</v>
      </c>
      <c r="J87" s="176">
        <f t="shared" ca="1" si="16"/>
        <v>0</v>
      </c>
      <c r="K87" s="179">
        <f t="shared" ca="1" si="17"/>
        <v>0</v>
      </c>
      <c r="L87" s="176">
        <f ca="1">IFERROR(__xludf.DUMMYFUNCTION("IMPORTRANGE(""https://docs.google.com/spreadsheets/d/1-uDff_7J0KD5mKrp0Vvzr7lt3OU09vwQwhkpOPPYv2Y/edit?usp=sharing"",""งบพรบ!EP87"")"),0)</f>
        <v>0</v>
      </c>
      <c r="M87" s="87">
        <f t="shared" ca="1" si="18"/>
        <v>0</v>
      </c>
      <c r="N87" s="87">
        <f t="shared" ca="1" si="19"/>
        <v>0</v>
      </c>
      <c r="O87" s="86">
        <f ca="1">IFERROR(__xludf.DUMMYFUNCTION("IMPORTRANGE(""https://docs.google.com/spreadsheets/d/1-uDff_7J0KD5mKrp0Vvzr7lt3OU09vwQwhkpOPPYv2Y/edit?usp=sharing"",""งบพรบ!EQ87"")"),0)</f>
        <v>0</v>
      </c>
      <c r="P87" s="86">
        <f t="shared" ca="1" si="20"/>
        <v>0</v>
      </c>
      <c r="Q87" s="87">
        <f t="shared" ca="1" si="21"/>
        <v>0</v>
      </c>
      <c r="R87" s="353">
        <f ca="1">IFERROR(__xludf.DUMMYFUNCTION("IMPORTRANGE(""https://docs.google.com/spreadsheets/d/1q9nWasZJ-K8bFGvbE9n0qSRuKGA4Toe3Y89cKCiVtCU/edit?usp=sharing"",""สตูล!I330"")"),0)</f>
        <v>0</v>
      </c>
      <c r="S87" s="177">
        <f ca="1">IFERROR(__xludf.DUMMYFUNCTION("IMPORTRANGE(""https://docs.google.com/spreadsheets/d/1q9nWasZJ-K8bFGvbE9n0qSRuKGA4Toe3Y89cKCiVtCU/edit?usp=sharing"",""สตูล!J330"")"),0)</f>
        <v>0</v>
      </c>
      <c r="T87" s="354">
        <f t="shared" ca="1" si="23"/>
        <v>0</v>
      </c>
    </row>
    <row r="88" spans="1:20" ht="24" customHeight="1" x14ac:dyDescent="0.3">
      <c r="A88" s="100">
        <v>14</v>
      </c>
      <c r="B88" s="101" t="s">
        <v>114</v>
      </c>
      <c r="C88" s="182">
        <f t="shared" ca="1" si="14"/>
        <v>20000</v>
      </c>
      <c r="D88" s="183">
        <f t="shared" ca="1" si="33"/>
        <v>20000</v>
      </c>
      <c r="E88" s="184">
        <f ca="1">IFERROR(__xludf.DUMMYFUNCTION("IMPORTRANGE(""https://docs.google.com/spreadsheets/d/1-uDff_7J0KD5mKrp0Vvzr7lt3OU09vwQwhkpOPPYv2Y/edit?usp=sharing"",""งบพรบ!EJ88"")"),0)</f>
        <v>0</v>
      </c>
      <c r="F88" s="184">
        <f ca="1">IFERROR(__xludf.DUMMYFUNCTION("IMPORTRANGE(""https://docs.google.com/spreadsheets/d/1-uDff_7J0KD5mKrp0Vvzr7lt3OU09vwQwhkpOPPYv2Y/edit?usp=sharing"",""งบพรบ!EK88"")"),20000)</f>
        <v>20000</v>
      </c>
      <c r="G88" s="184">
        <f ca="1">IFERROR(__xludf.DUMMYFUNCTION("IMPORTRANGE(""https://docs.google.com/spreadsheets/d/1-uDff_7J0KD5mKrp0Vvzr7lt3OU09vwQwhkpOPPYv2Y/edit?usp=sharing"",""งบพรบ!EL88"")"),0)</f>
        <v>0</v>
      </c>
      <c r="H88" s="184">
        <f ca="1">IFERROR(__xludf.DUMMYFUNCTION("IMPORTRANGE(""https://docs.google.com/spreadsheets/d/1-uDff_7J0KD5mKrp0Vvzr7lt3OU09vwQwhkpOPPYv2Y/edit?usp=sharing"",""งบพรบ!EN88"")"),20000)</f>
        <v>20000</v>
      </c>
      <c r="I88" s="184">
        <f ca="1">IFERROR(__xludf.DUMMYFUNCTION("IMPORTRANGE(""https://docs.google.com/spreadsheets/d/1-uDff_7J0KD5mKrp0Vvzr7lt3OU09vwQwhkpOPPYv2Y/edit?usp=sharing"",""งบพรบ!EO88"")"),0)</f>
        <v>0</v>
      </c>
      <c r="J88" s="184">
        <f t="shared" ca="1" si="16"/>
        <v>1320</v>
      </c>
      <c r="K88" s="185">
        <f t="shared" ca="1" si="17"/>
        <v>6.6</v>
      </c>
      <c r="L88" s="184">
        <f ca="1">IFERROR(__xludf.DUMMYFUNCTION("IMPORTRANGE(""https://docs.google.com/spreadsheets/d/1-uDff_7J0KD5mKrp0Vvzr7lt3OU09vwQwhkpOPPYv2Y/edit?usp=sharing"",""งบพรบ!EP88"")"),1320)</f>
        <v>1320</v>
      </c>
      <c r="M88" s="109">
        <f t="shared" ca="1" si="18"/>
        <v>6.6</v>
      </c>
      <c r="N88" s="109">
        <f t="shared" ca="1" si="19"/>
        <v>6.6</v>
      </c>
      <c r="O88" s="108">
        <f ca="1">IFERROR(__xludf.DUMMYFUNCTION("IMPORTRANGE(""https://docs.google.com/spreadsheets/d/1-uDff_7J0KD5mKrp0Vvzr7lt3OU09vwQwhkpOPPYv2Y/edit?usp=sharing"",""งบพรบ!EQ88"")"),0)</f>
        <v>0</v>
      </c>
      <c r="P88" s="108">
        <f t="shared" ca="1" si="20"/>
        <v>0</v>
      </c>
      <c r="Q88" s="109">
        <f t="shared" ca="1" si="21"/>
        <v>0</v>
      </c>
      <c r="R88" s="356">
        <f ca="1">IFERROR(__xludf.DUMMYFUNCTION("IMPORTRANGE(""https://docs.google.com/spreadsheets/d/18T20gbkS_WBjdscyTOV05cvq_JqvqQ17C81mpxf7Ncs/edit?usp=sharing"",""สุราษฎร์ธานี!I330"")"),1)</f>
        <v>1</v>
      </c>
      <c r="S88" s="186">
        <f ca="1">IFERROR(__xludf.DUMMYFUNCTION("IMPORTRANGE(""https://docs.google.com/spreadsheets/d/18T20gbkS_WBjdscyTOV05cvq_JqvqQ17C81mpxf7Ncs/edit?usp=sharing"",""สุราษฎร์ธานี!J330"")"),1)</f>
        <v>1</v>
      </c>
      <c r="T88" s="357">
        <f t="shared" ca="1" si="23"/>
        <v>100</v>
      </c>
    </row>
    <row r="89" spans="1:20" ht="21" hidden="1" customHeight="1" x14ac:dyDescent="0.3">
      <c r="A89" s="632" t="s">
        <v>115</v>
      </c>
      <c r="B89" s="633"/>
      <c r="C89" s="46">
        <f t="shared" ref="C89:Q89" ca="1" si="34">SUM(C90:C106)</f>
        <v>2517600</v>
      </c>
      <c r="D89" s="45">
        <f t="shared" ca="1" si="34"/>
        <v>2517600</v>
      </c>
      <c r="E89" s="45">
        <f t="shared" ca="1" si="34"/>
        <v>1245400</v>
      </c>
      <c r="F89" s="45">
        <f t="shared" ca="1" si="34"/>
        <v>1272200</v>
      </c>
      <c r="G89" s="45">
        <f t="shared" ca="1" si="34"/>
        <v>0</v>
      </c>
      <c r="H89" s="45">
        <f t="shared" ca="1" si="34"/>
        <v>2457600</v>
      </c>
      <c r="I89" s="45">
        <f t="shared" ca="1" si="34"/>
        <v>0</v>
      </c>
      <c r="J89" s="45">
        <f t="shared" ca="1" si="34"/>
        <v>780183.24</v>
      </c>
      <c r="K89" s="47">
        <f t="shared" ca="1" si="34"/>
        <v>139.95282575538283</v>
      </c>
      <c r="L89" s="45">
        <f t="shared" ca="1" si="34"/>
        <v>780183.24</v>
      </c>
      <c r="M89" s="47">
        <f t="shared" ca="1" si="34"/>
        <v>139.95282575538283</v>
      </c>
      <c r="N89" s="47">
        <f t="shared" ca="1" si="34"/>
        <v>143.26421555869643</v>
      </c>
      <c r="O89" s="45">
        <f t="shared" ca="1" si="34"/>
        <v>0</v>
      </c>
      <c r="P89" s="45">
        <f t="shared" ca="1" si="34"/>
        <v>0</v>
      </c>
      <c r="Q89" s="45">
        <f t="shared" ca="1" si="34"/>
        <v>0</v>
      </c>
      <c r="R89" s="45"/>
      <c r="S89" s="45"/>
      <c r="T89" s="48"/>
    </row>
    <row r="90" spans="1:20" ht="24" hidden="1" customHeight="1" x14ac:dyDescent="0.3">
      <c r="A90" s="197"/>
      <c r="B90" s="125" t="s">
        <v>116</v>
      </c>
      <c r="C90" s="198">
        <f t="shared" ref="C90:C106" ca="1" si="35">D90+G90</f>
        <v>0</v>
      </c>
      <c r="D90" s="199">
        <f t="shared" ref="D90:D106" ca="1" si="36">+E90+F90</f>
        <v>0</v>
      </c>
      <c r="E90" s="81">
        <f ca="1">IFERROR(__xludf.DUMMYFUNCTION("IMPORTRANGE(""https://docs.google.com/spreadsheets/d/1-uDff_7J0KD5mKrp0Vvzr7lt3OU09vwQwhkpOPPYv2Y/edit?usp=sharing"",""งบพรบ!EJ90"")"),0)</f>
        <v>0</v>
      </c>
      <c r="F90" s="81">
        <f ca="1">IFERROR(__xludf.DUMMYFUNCTION("IMPORTRANGE(""https://docs.google.com/spreadsheets/d/1-uDff_7J0KD5mKrp0Vvzr7lt3OU09vwQwhkpOPPYv2Y/edit?usp=sharing"",""งบพรบ!EK90"")"),0)</f>
        <v>0</v>
      </c>
      <c r="G90" s="81">
        <f ca="1">IFERROR(__xludf.DUMMYFUNCTION("IMPORTRANGE(""https://docs.google.com/spreadsheets/d/1-uDff_7J0KD5mKrp0Vvzr7lt3OU09vwQwhkpOPPYv2Y/edit?usp=sharing"",""งบพรบ!EL90"")"),0)</f>
        <v>0</v>
      </c>
      <c r="H90" s="81">
        <f ca="1">IFERROR(__xludf.DUMMYFUNCTION("IMPORTRANGE(""https://docs.google.com/spreadsheets/d/1-uDff_7J0KD5mKrp0Vvzr7lt3OU09vwQwhkpOPPYv2Y/edit?usp=sharing"",""งบพรบ!EN90"")"),0)</f>
        <v>0</v>
      </c>
      <c r="I90" s="81">
        <f ca="1">IFERROR(__xludf.DUMMYFUNCTION("IMPORTRANGE(""https://docs.google.com/spreadsheets/d/1-uDff_7J0KD5mKrp0Vvzr7lt3OU09vwQwhkpOPPYv2Y/edit?usp=sharing"",""งบพรบ!EO90"")"),0)</f>
        <v>0</v>
      </c>
      <c r="J90" s="81">
        <f t="shared" ref="J90:J106" ca="1" si="37">L90+O90</f>
        <v>0</v>
      </c>
      <c r="K90" s="126">
        <f t="shared" ref="K90:K106" ca="1" si="38">IF(C90&gt;0,J90*100/C90,0)</f>
        <v>0</v>
      </c>
      <c r="L90" s="81">
        <f ca="1">IFERROR(__xludf.DUMMYFUNCTION("IMPORTRANGE(""https://docs.google.com/spreadsheets/d/1-uDff_7J0KD5mKrp0Vvzr7lt3OU09vwQwhkpOPPYv2Y/edit?usp=sharing"",""งบพรบ!EP90"")"),0)</f>
        <v>0</v>
      </c>
      <c r="M90" s="84">
        <f t="shared" ref="M90:M106" ca="1" si="39">IF(D90&gt;0,L90*100/D90,0)</f>
        <v>0</v>
      </c>
      <c r="N90" s="84">
        <f t="shared" ref="N90:N106" ca="1" si="40">IF(H90&gt;0,L90*100/H90,0)</f>
        <v>0</v>
      </c>
      <c r="O90" s="85">
        <f ca="1">IFERROR(__xludf.DUMMYFUNCTION("IMPORTRANGE(""https://docs.google.com/spreadsheets/d/1-uDff_7J0KD5mKrp0Vvzr7lt3OU09vwQwhkpOPPYv2Y/edit?usp=sharing"",""งบพรบ!EQ90"")"),0)</f>
        <v>0</v>
      </c>
      <c r="P90" s="85">
        <f t="shared" ref="P90:P106" ca="1" si="41">IF(G90&gt;0,O90*100/G90,0)</f>
        <v>0</v>
      </c>
      <c r="Q90" s="84">
        <f t="shared" ref="Q90:Q106" ca="1" si="42">IF(I90&gt;0,O90*100/I90,0)</f>
        <v>0</v>
      </c>
      <c r="R90" s="81"/>
      <c r="S90" s="81"/>
      <c r="T90" s="84"/>
    </row>
    <row r="91" spans="1:20" ht="24" hidden="1" customHeight="1" x14ac:dyDescent="0.3">
      <c r="A91" s="201"/>
      <c r="B91" s="129" t="s">
        <v>117</v>
      </c>
      <c r="C91" s="202">
        <f t="shared" ca="1" si="35"/>
        <v>0</v>
      </c>
      <c r="D91" s="203">
        <f t="shared" ca="1" si="36"/>
        <v>0</v>
      </c>
      <c r="E91" s="93">
        <f ca="1">IFERROR(__xludf.DUMMYFUNCTION("IMPORTRANGE(""https://docs.google.com/spreadsheets/d/1-uDff_7J0KD5mKrp0Vvzr7lt3OU09vwQwhkpOPPYv2Y/edit?usp=sharing"",""งบพรบ!EJ91"")"),0)</f>
        <v>0</v>
      </c>
      <c r="F91" s="93">
        <f ca="1">IFERROR(__xludf.DUMMYFUNCTION("IMPORTRANGE(""https://docs.google.com/spreadsheets/d/1-uDff_7J0KD5mKrp0Vvzr7lt3OU09vwQwhkpOPPYv2Y/edit?usp=sharing"",""งบพรบ!EK91"")"),0)</f>
        <v>0</v>
      </c>
      <c r="G91" s="93">
        <f ca="1">IFERROR(__xludf.DUMMYFUNCTION("IMPORTRANGE(""https://docs.google.com/spreadsheets/d/1-uDff_7J0KD5mKrp0Vvzr7lt3OU09vwQwhkpOPPYv2Y/edit?usp=sharing"",""งบพรบ!EL91"")"),0)</f>
        <v>0</v>
      </c>
      <c r="H91" s="93">
        <f ca="1">IFERROR(__xludf.DUMMYFUNCTION("IMPORTRANGE(""https://docs.google.com/spreadsheets/d/1-uDff_7J0KD5mKrp0Vvzr7lt3OU09vwQwhkpOPPYv2Y/edit?usp=sharing"",""งบพรบ!EN91"")"),0)</f>
        <v>0</v>
      </c>
      <c r="I91" s="93">
        <f ca="1">IFERROR(__xludf.DUMMYFUNCTION("IMPORTRANGE(""https://docs.google.com/spreadsheets/d/1-uDff_7J0KD5mKrp0Vvzr7lt3OU09vwQwhkpOPPYv2Y/edit?usp=sharing"",""งบพรบ!EO91"")"),0)</f>
        <v>0</v>
      </c>
      <c r="J91" s="93">
        <f t="shared" ca="1" si="37"/>
        <v>0</v>
      </c>
      <c r="K91" s="94">
        <f t="shared" ca="1" si="38"/>
        <v>0</v>
      </c>
      <c r="L91" s="93">
        <f ca="1">IFERROR(__xludf.DUMMYFUNCTION("IMPORTRANGE(""https://docs.google.com/spreadsheets/d/1-uDff_7J0KD5mKrp0Vvzr7lt3OU09vwQwhkpOPPYv2Y/edit?usp=sharing"",""งบพรบ!EP91"")"),0)</f>
        <v>0</v>
      </c>
      <c r="M91" s="95">
        <f t="shared" ca="1" si="39"/>
        <v>0</v>
      </c>
      <c r="N91" s="95">
        <f t="shared" ca="1" si="40"/>
        <v>0</v>
      </c>
      <c r="O91" s="96">
        <f ca="1">IFERROR(__xludf.DUMMYFUNCTION("IMPORTRANGE(""https://docs.google.com/spreadsheets/d/1-uDff_7J0KD5mKrp0Vvzr7lt3OU09vwQwhkpOPPYv2Y/edit?usp=sharing"",""งบพรบ!EQ91"")"),0)</f>
        <v>0</v>
      </c>
      <c r="P91" s="96">
        <f t="shared" ca="1" si="41"/>
        <v>0</v>
      </c>
      <c r="Q91" s="95">
        <f t="shared" ca="1" si="42"/>
        <v>0</v>
      </c>
      <c r="R91" s="93"/>
      <c r="S91" s="93"/>
      <c r="T91" s="95"/>
    </row>
    <row r="92" spans="1:20" ht="24" hidden="1" customHeight="1" x14ac:dyDescent="0.3">
      <c r="A92" s="201"/>
      <c r="B92" s="129" t="s">
        <v>118</v>
      </c>
      <c r="C92" s="202">
        <f t="shared" ca="1" si="35"/>
        <v>0</v>
      </c>
      <c r="D92" s="203">
        <f t="shared" ca="1" si="36"/>
        <v>0</v>
      </c>
      <c r="E92" s="93">
        <f ca="1">IFERROR(__xludf.DUMMYFUNCTION("IMPORTRANGE(""https://docs.google.com/spreadsheets/d/1-uDff_7J0KD5mKrp0Vvzr7lt3OU09vwQwhkpOPPYv2Y/edit?usp=sharing"",""งบพรบ!EJ92"")"),0)</f>
        <v>0</v>
      </c>
      <c r="F92" s="93">
        <f ca="1">IFERROR(__xludf.DUMMYFUNCTION("IMPORTRANGE(""https://docs.google.com/spreadsheets/d/1-uDff_7J0KD5mKrp0Vvzr7lt3OU09vwQwhkpOPPYv2Y/edit?usp=sharing"",""งบพรบ!EK92"")"),0)</f>
        <v>0</v>
      </c>
      <c r="G92" s="93">
        <f ca="1">IFERROR(__xludf.DUMMYFUNCTION("IMPORTRANGE(""https://docs.google.com/spreadsheets/d/1-uDff_7J0KD5mKrp0Vvzr7lt3OU09vwQwhkpOPPYv2Y/edit?usp=sharing"",""งบพรบ!EL92"")"),0)</f>
        <v>0</v>
      </c>
      <c r="H92" s="93">
        <f ca="1">IFERROR(__xludf.DUMMYFUNCTION("IMPORTRANGE(""https://docs.google.com/spreadsheets/d/1-uDff_7J0KD5mKrp0Vvzr7lt3OU09vwQwhkpOPPYv2Y/edit?usp=sharing"",""งบพรบ!EN92"")"),0)</f>
        <v>0</v>
      </c>
      <c r="I92" s="93">
        <f ca="1">IFERROR(__xludf.DUMMYFUNCTION("IMPORTRANGE(""https://docs.google.com/spreadsheets/d/1-uDff_7J0KD5mKrp0Vvzr7lt3OU09vwQwhkpOPPYv2Y/edit?usp=sharing"",""งบพรบ!EO92"")"),0)</f>
        <v>0</v>
      </c>
      <c r="J92" s="93">
        <f t="shared" ca="1" si="37"/>
        <v>0</v>
      </c>
      <c r="K92" s="94">
        <f t="shared" ca="1" si="38"/>
        <v>0</v>
      </c>
      <c r="L92" s="93">
        <f ca="1">IFERROR(__xludf.DUMMYFUNCTION("IMPORTRANGE(""https://docs.google.com/spreadsheets/d/1-uDff_7J0KD5mKrp0Vvzr7lt3OU09vwQwhkpOPPYv2Y/edit?usp=sharing"",""งบพรบ!EP92"")"),0)</f>
        <v>0</v>
      </c>
      <c r="M92" s="95">
        <f t="shared" ca="1" si="39"/>
        <v>0</v>
      </c>
      <c r="N92" s="95">
        <f t="shared" ca="1" si="40"/>
        <v>0</v>
      </c>
      <c r="O92" s="96">
        <f ca="1">IFERROR(__xludf.DUMMYFUNCTION("IMPORTRANGE(""https://docs.google.com/spreadsheets/d/1-uDff_7J0KD5mKrp0Vvzr7lt3OU09vwQwhkpOPPYv2Y/edit?usp=sharing"",""งบพรบ!EQ92"")"),0)</f>
        <v>0</v>
      </c>
      <c r="P92" s="96">
        <f t="shared" ca="1" si="41"/>
        <v>0</v>
      </c>
      <c r="Q92" s="95">
        <f t="shared" ca="1" si="42"/>
        <v>0</v>
      </c>
      <c r="R92" s="93"/>
      <c r="S92" s="93"/>
      <c r="T92" s="95"/>
    </row>
    <row r="93" spans="1:20" ht="24" hidden="1" customHeight="1" x14ac:dyDescent="0.3">
      <c r="A93" s="201"/>
      <c r="B93" s="129" t="s">
        <v>119</v>
      </c>
      <c r="C93" s="202">
        <f t="shared" ca="1" si="35"/>
        <v>0</v>
      </c>
      <c r="D93" s="203">
        <f t="shared" ca="1" si="36"/>
        <v>0</v>
      </c>
      <c r="E93" s="93">
        <f ca="1">IFERROR(__xludf.DUMMYFUNCTION("IMPORTRANGE(""https://docs.google.com/spreadsheets/d/1-uDff_7J0KD5mKrp0Vvzr7lt3OU09vwQwhkpOPPYv2Y/edit?usp=sharing"",""งบพรบ!EJ93"")"),0)</f>
        <v>0</v>
      </c>
      <c r="F93" s="93">
        <f ca="1">IFERROR(__xludf.DUMMYFUNCTION("IMPORTRANGE(""https://docs.google.com/spreadsheets/d/1-uDff_7J0KD5mKrp0Vvzr7lt3OU09vwQwhkpOPPYv2Y/edit?usp=sharing"",""งบพรบ!EK93"")"),0)</f>
        <v>0</v>
      </c>
      <c r="G93" s="93">
        <f ca="1">IFERROR(__xludf.DUMMYFUNCTION("IMPORTRANGE(""https://docs.google.com/spreadsheets/d/1-uDff_7J0KD5mKrp0Vvzr7lt3OU09vwQwhkpOPPYv2Y/edit?usp=sharing"",""งบพรบ!EL93"")"),0)</f>
        <v>0</v>
      </c>
      <c r="H93" s="93">
        <f ca="1">IFERROR(__xludf.DUMMYFUNCTION("IMPORTRANGE(""https://docs.google.com/spreadsheets/d/1-uDff_7J0KD5mKrp0Vvzr7lt3OU09vwQwhkpOPPYv2Y/edit?usp=sharing"",""งบพรบ!EN93"")"),0)</f>
        <v>0</v>
      </c>
      <c r="I93" s="93">
        <f ca="1">IFERROR(__xludf.DUMMYFUNCTION("IMPORTRANGE(""https://docs.google.com/spreadsheets/d/1-uDff_7J0KD5mKrp0Vvzr7lt3OU09vwQwhkpOPPYv2Y/edit?usp=sharing"",""งบพรบ!EO93"")"),0)</f>
        <v>0</v>
      </c>
      <c r="J93" s="93">
        <f t="shared" ca="1" si="37"/>
        <v>0</v>
      </c>
      <c r="K93" s="94">
        <f t="shared" ca="1" si="38"/>
        <v>0</v>
      </c>
      <c r="L93" s="93">
        <f ca="1">IFERROR(__xludf.DUMMYFUNCTION("IMPORTRANGE(""https://docs.google.com/spreadsheets/d/1-uDff_7J0KD5mKrp0Vvzr7lt3OU09vwQwhkpOPPYv2Y/edit?usp=sharing"",""งบพรบ!EP93"")"),0)</f>
        <v>0</v>
      </c>
      <c r="M93" s="95">
        <f t="shared" ca="1" si="39"/>
        <v>0</v>
      </c>
      <c r="N93" s="95">
        <f t="shared" ca="1" si="40"/>
        <v>0</v>
      </c>
      <c r="O93" s="96">
        <f ca="1">IFERROR(__xludf.DUMMYFUNCTION("IMPORTRANGE(""https://docs.google.com/spreadsheets/d/1-uDff_7J0KD5mKrp0Vvzr7lt3OU09vwQwhkpOPPYv2Y/edit?usp=sharing"",""งบพรบ!EQ93"")"),0)</f>
        <v>0</v>
      </c>
      <c r="P93" s="96">
        <f t="shared" ca="1" si="41"/>
        <v>0</v>
      </c>
      <c r="Q93" s="95">
        <f t="shared" ca="1" si="42"/>
        <v>0</v>
      </c>
      <c r="R93" s="93"/>
      <c r="S93" s="93"/>
      <c r="T93" s="95"/>
    </row>
    <row r="94" spans="1:20" ht="24" hidden="1" customHeight="1" x14ac:dyDescent="0.3">
      <c r="A94" s="201"/>
      <c r="B94" s="129" t="s">
        <v>120</v>
      </c>
      <c r="C94" s="202">
        <f t="shared" ca="1" si="35"/>
        <v>0</v>
      </c>
      <c r="D94" s="203">
        <f t="shared" ca="1" si="36"/>
        <v>0</v>
      </c>
      <c r="E94" s="93">
        <f ca="1">IFERROR(__xludf.DUMMYFUNCTION("IMPORTRANGE(""https://docs.google.com/spreadsheets/d/1-uDff_7J0KD5mKrp0Vvzr7lt3OU09vwQwhkpOPPYv2Y/edit?usp=sharing"",""งบพรบ!EJ94"")"),0)</f>
        <v>0</v>
      </c>
      <c r="F94" s="93">
        <f ca="1">IFERROR(__xludf.DUMMYFUNCTION("IMPORTRANGE(""https://docs.google.com/spreadsheets/d/1-uDff_7J0KD5mKrp0Vvzr7lt3OU09vwQwhkpOPPYv2Y/edit?usp=sharing"",""งบพรบ!EK94"")"),0)</f>
        <v>0</v>
      </c>
      <c r="G94" s="93">
        <f ca="1">IFERROR(__xludf.DUMMYFUNCTION("IMPORTRANGE(""https://docs.google.com/spreadsheets/d/1-uDff_7J0KD5mKrp0Vvzr7lt3OU09vwQwhkpOPPYv2Y/edit?usp=sharing"",""งบพรบ!EL94"")"),0)</f>
        <v>0</v>
      </c>
      <c r="H94" s="93">
        <f ca="1">IFERROR(__xludf.DUMMYFUNCTION("IMPORTRANGE(""https://docs.google.com/spreadsheets/d/1-uDff_7J0KD5mKrp0Vvzr7lt3OU09vwQwhkpOPPYv2Y/edit?usp=sharing"",""งบพรบ!EN94"")"),0)</f>
        <v>0</v>
      </c>
      <c r="I94" s="93">
        <f ca="1">IFERROR(__xludf.DUMMYFUNCTION("IMPORTRANGE(""https://docs.google.com/spreadsheets/d/1-uDff_7J0KD5mKrp0Vvzr7lt3OU09vwQwhkpOPPYv2Y/edit?usp=sharing"",""งบพรบ!EO94"")"),0)</f>
        <v>0</v>
      </c>
      <c r="J94" s="93">
        <f t="shared" ca="1" si="37"/>
        <v>0</v>
      </c>
      <c r="K94" s="94">
        <f t="shared" ca="1" si="38"/>
        <v>0</v>
      </c>
      <c r="L94" s="93">
        <f ca="1">IFERROR(__xludf.DUMMYFUNCTION("IMPORTRANGE(""https://docs.google.com/spreadsheets/d/1-uDff_7J0KD5mKrp0Vvzr7lt3OU09vwQwhkpOPPYv2Y/edit?usp=sharing"",""งบพรบ!EP94"")"),0)</f>
        <v>0</v>
      </c>
      <c r="M94" s="95">
        <f t="shared" ca="1" si="39"/>
        <v>0</v>
      </c>
      <c r="N94" s="95">
        <f t="shared" ca="1" si="40"/>
        <v>0</v>
      </c>
      <c r="O94" s="96">
        <f ca="1">IFERROR(__xludf.DUMMYFUNCTION("IMPORTRANGE(""https://docs.google.com/spreadsheets/d/1-uDff_7J0KD5mKrp0Vvzr7lt3OU09vwQwhkpOPPYv2Y/edit?usp=sharing"",""งบพรบ!EQ94"")"),0)</f>
        <v>0</v>
      </c>
      <c r="P94" s="96">
        <f t="shared" ca="1" si="41"/>
        <v>0</v>
      </c>
      <c r="Q94" s="95">
        <f t="shared" ca="1" si="42"/>
        <v>0</v>
      </c>
      <c r="R94" s="93"/>
      <c r="S94" s="93"/>
      <c r="T94" s="95"/>
    </row>
    <row r="95" spans="1:20" ht="24" hidden="1" customHeight="1" x14ac:dyDescent="0.3">
      <c r="A95" s="201"/>
      <c r="B95" s="129" t="s">
        <v>121</v>
      </c>
      <c r="C95" s="202">
        <f t="shared" ca="1" si="35"/>
        <v>1272200</v>
      </c>
      <c r="D95" s="203">
        <f t="shared" ca="1" si="36"/>
        <v>1272200</v>
      </c>
      <c r="E95" s="93">
        <f ca="1">IFERROR(__xludf.DUMMYFUNCTION("IMPORTRANGE(""https://docs.google.com/spreadsheets/d/1-uDff_7J0KD5mKrp0Vvzr7lt3OU09vwQwhkpOPPYv2Y/edit?usp=sharing"",""งบพรบ!EJ95"")"),0)</f>
        <v>0</v>
      </c>
      <c r="F95" s="93">
        <f ca="1">IFERROR(__xludf.DUMMYFUNCTION("IMPORTRANGE(""https://docs.google.com/spreadsheets/d/1-uDff_7J0KD5mKrp0Vvzr7lt3OU09vwQwhkpOPPYv2Y/edit?usp=sharing"",""งบพรบ!EK95"")"),1272200)</f>
        <v>1272200</v>
      </c>
      <c r="G95" s="93">
        <f ca="1">IFERROR(__xludf.DUMMYFUNCTION("IMPORTRANGE(""https://docs.google.com/spreadsheets/d/1-uDff_7J0KD5mKrp0Vvzr7lt3OU09vwQwhkpOPPYv2Y/edit?usp=sharing"",""งบพรบ!EL95"")"),0)</f>
        <v>0</v>
      </c>
      <c r="H95" s="93">
        <f ca="1">IFERROR(__xludf.DUMMYFUNCTION("IMPORTRANGE(""https://docs.google.com/spreadsheets/d/1-uDff_7J0KD5mKrp0Vvzr7lt3OU09vwQwhkpOPPYv2Y/edit?usp=sharing"",""งบพรบ!EN95"")"),1220200)</f>
        <v>1220200</v>
      </c>
      <c r="I95" s="93">
        <f ca="1">IFERROR(__xludf.DUMMYFUNCTION("IMPORTRANGE(""https://docs.google.com/spreadsheets/d/1-uDff_7J0KD5mKrp0Vvzr7lt3OU09vwQwhkpOPPYv2Y/edit?usp=sharing"",""งบพรบ!EO95"")"),0)</f>
        <v>0</v>
      </c>
      <c r="J95" s="93">
        <f t="shared" ca="1" si="37"/>
        <v>7580.95</v>
      </c>
      <c r="K95" s="94">
        <f t="shared" ca="1" si="38"/>
        <v>0.59589294136142112</v>
      </c>
      <c r="L95" s="93">
        <f ca="1">IFERROR(__xludf.DUMMYFUNCTION("IMPORTRANGE(""https://docs.google.com/spreadsheets/d/1-uDff_7J0KD5mKrp0Vvzr7lt3OU09vwQwhkpOPPYv2Y/edit?usp=sharing"",""งบพรบ!EP95"")"),7580.95)</f>
        <v>7580.95</v>
      </c>
      <c r="M95" s="95">
        <f t="shared" ca="1" si="39"/>
        <v>0.59589294136142112</v>
      </c>
      <c r="N95" s="95">
        <f t="shared" ca="1" si="40"/>
        <v>0.6212874938534666</v>
      </c>
      <c r="O95" s="96">
        <f ca="1">IFERROR(__xludf.DUMMYFUNCTION("IMPORTRANGE(""https://docs.google.com/spreadsheets/d/1-uDff_7J0KD5mKrp0Vvzr7lt3OU09vwQwhkpOPPYv2Y/edit?usp=sharing"",""งบพรบ!EQ95"")"),0)</f>
        <v>0</v>
      </c>
      <c r="P95" s="96">
        <f t="shared" ca="1" si="41"/>
        <v>0</v>
      </c>
      <c r="Q95" s="95">
        <f t="shared" ca="1" si="42"/>
        <v>0</v>
      </c>
      <c r="R95" s="93"/>
      <c r="S95" s="93"/>
      <c r="T95" s="95"/>
    </row>
    <row r="96" spans="1:20" ht="24" hidden="1" customHeight="1" x14ac:dyDescent="0.3">
      <c r="A96" s="201"/>
      <c r="B96" s="129" t="s">
        <v>122</v>
      </c>
      <c r="C96" s="202">
        <f t="shared" ca="1" si="35"/>
        <v>0</v>
      </c>
      <c r="D96" s="203">
        <f t="shared" ca="1" si="36"/>
        <v>0</v>
      </c>
      <c r="E96" s="93">
        <f ca="1">IFERROR(__xludf.DUMMYFUNCTION("IMPORTRANGE(""https://docs.google.com/spreadsheets/d/1-uDff_7J0KD5mKrp0Vvzr7lt3OU09vwQwhkpOPPYv2Y/edit?usp=sharing"",""งบพรบ!EJ96"")"),0)</f>
        <v>0</v>
      </c>
      <c r="F96" s="93">
        <f ca="1">IFERROR(__xludf.DUMMYFUNCTION("IMPORTRANGE(""https://docs.google.com/spreadsheets/d/1-uDff_7J0KD5mKrp0Vvzr7lt3OU09vwQwhkpOPPYv2Y/edit?usp=sharing"",""งบพรบ!EK96"")"),0)</f>
        <v>0</v>
      </c>
      <c r="G96" s="93">
        <f ca="1">IFERROR(__xludf.DUMMYFUNCTION("IMPORTRANGE(""https://docs.google.com/spreadsheets/d/1-uDff_7J0KD5mKrp0Vvzr7lt3OU09vwQwhkpOPPYv2Y/edit?usp=sharing"",""งบพรบ!EL96"")"),0)</f>
        <v>0</v>
      </c>
      <c r="H96" s="93">
        <f ca="1">IFERROR(__xludf.DUMMYFUNCTION("IMPORTRANGE(""https://docs.google.com/spreadsheets/d/1-uDff_7J0KD5mKrp0Vvzr7lt3OU09vwQwhkpOPPYv2Y/edit?usp=sharing"",""งบพรบ!EN96"")"),0)</f>
        <v>0</v>
      </c>
      <c r="I96" s="93">
        <f ca="1">IFERROR(__xludf.DUMMYFUNCTION("IMPORTRANGE(""https://docs.google.com/spreadsheets/d/1-uDff_7J0KD5mKrp0Vvzr7lt3OU09vwQwhkpOPPYv2Y/edit?usp=sharing"",""งบพรบ!EO96"")"),0)</f>
        <v>0</v>
      </c>
      <c r="J96" s="93">
        <f t="shared" ca="1" si="37"/>
        <v>0</v>
      </c>
      <c r="K96" s="94">
        <f t="shared" ca="1" si="38"/>
        <v>0</v>
      </c>
      <c r="L96" s="93">
        <f ca="1">IFERROR(__xludf.DUMMYFUNCTION("IMPORTRANGE(""https://docs.google.com/spreadsheets/d/1-uDff_7J0KD5mKrp0Vvzr7lt3OU09vwQwhkpOPPYv2Y/edit?usp=sharing"",""งบพรบ!EP96"")"),0)</f>
        <v>0</v>
      </c>
      <c r="M96" s="95">
        <f t="shared" ca="1" si="39"/>
        <v>0</v>
      </c>
      <c r="N96" s="95">
        <f t="shared" ca="1" si="40"/>
        <v>0</v>
      </c>
      <c r="O96" s="96">
        <f ca="1">IFERROR(__xludf.DUMMYFUNCTION("IMPORTRANGE(""https://docs.google.com/spreadsheets/d/1-uDff_7J0KD5mKrp0Vvzr7lt3OU09vwQwhkpOPPYv2Y/edit?usp=sharing"",""งบพรบ!EQ96"")"),0)</f>
        <v>0</v>
      </c>
      <c r="P96" s="96">
        <f t="shared" ca="1" si="41"/>
        <v>0</v>
      </c>
      <c r="Q96" s="95">
        <f t="shared" ca="1" si="42"/>
        <v>0</v>
      </c>
      <c r="R96" s="93"/>
      <c r="S96" s="93"/>
      <c r="T96" s="95"/>
    </row>
    <row r="97" spans="1:20" ht="24" hidden="1" customHeight="1" x14ac:dyDescent="0.3">
      <c r="A97" s="201"/>
      <c r="B97" s="129" t="s">
        <v>123</v>
      </c>
      <c r="C97" s="202">
        <f t="shared" ca="1" si="35"/>
        <v>0</v>
      </c>
      <c r="D97" s="203">
        <f t="shared" ca="1" si="36"/>
        <v>0</v>
      </c>
      <c r="E97" s="93">
        <f ca="1">IFERROR(__xludf.DUMMYFUNCTION("IMPORTRANGE(""https://docs.google.com/spreadsheets/d/1-uDff_7J0KD5mKrp0Vvzr7lt3OU09vwQwhkpOPPYv2Y/edit?usp=sharing"",""งบพรบ!EJ97"")"),0)</f>
        <v>0</v>
      </c>
      <c r="F97" s="93">
        <f ca="1">IFERROR(__xludf.DUMMYFUNCTION("IMPORTRANGE(""https://docs.google.com/spreadsheets/d/1-uDff_7J0KD5mKrp0Vvzr7lt3OU09vwQwhkpOPPYv2Y/edit?usp=sharing"",""งบพรบ!EK97"")"),0)</f>
        <v>0</v>
      </c>
      <c r="G97" s="93">
        <f ca="1">IFERROR(__xludf.DUMMYFUNCTION("IMPORTRANGE(""https://docs.google.com/spreadsheets/d/1-uDff_7J0KD5mKrp0Vvzr7lt3OU09vwQwhkpOPPYv2Y/edit?usp=sharing"",""งบพรบ!EL97"")"),0)</f>
        <v>0</v>
      </c>
      <c r="H97" s="93">
        <f ca="1">IFERROR(__xludf.DUMMYFUNCTION("IMPORTRANGE(""https://docs.google.com/spreadsheets/d/1-uDff_7J0KD5mKrp0Vvzr7lt3OU09vwQwhkpOPPYv2Y/edit?usp=sharing"",""งบพรบ!EN97"")"),0)</f>
        <v>0</v>
      </c>
      <c r="I97" s="93">
        <f ca="1">IFERROR(__xludf.DUMMYFUNCTION("IMPORTRANGE(""https://docs.google.com/spreadsheets/d/1-uDff_7J0KD5mKrp0Vvzr7lt3OU09vwQwhkpOPPYv2Y/edit?usp=sharing"",""งบพรบ!EO97"")"),0)</f>
        <v>0</v>
      </c>
      <c r="J97" s="93">
        <f t="shared" ca="1" si="37"/>
        <v>0</v>
      </c>
      <c r="K97" s="94">
        <f t="shared" ca="1" si="38"/>
        <v>0</v>
      </c>
      <c r="L97" s="93">
        <f ca="1">IFERROR(__xludf.DUMMYFUNCTION("IMPORTRANGE(""https://docs.google.com/spreadsheets/d/1-uDff_7J0KD5mKrp0Vvzr7lt3OU09vwQwhkpOPPYv2Y/edit?usp=sharing"",""งบพรบ!EP97"")"),0)</f>
        <v>0</v>
      </c>
      <c r="M97" s="95">
        <f t="shared" ca="1" si="39"/>
        <v>0</v>
      </c>
      <c r="N97" s="95">
        <f t="shared" ca="1" si="40"/>
        <v>0</v>
      </c>
      <c r="O97" s="96">
        <f ca="1">IFERROR(__xludf.DUMMYFUNCTION("IMPORTRANGE(""https://docs.google.com/spreadsheets/d/1-uDff_7J0KD5mKrp0Vvzr7lt3OU09vwQwhkpOPPYv2Y/edit?usp=sharing"",""งบพรบ!EQ97"")"),0)</f>
        <v>0</v>
      </c>
      <c r="P97" s="96">
        <f t="shared" ca="1" si="41"/>
        <v>0</v>
      </c>
      <c r="Q97" s="95">
        <f t="shared" ca="1" si="42"/>
        <v>0</v>
      </c>
      <c r="R97" s="93"/>
      <c r="S97" s="93"/>
      <c r="T97" s="95"/>
    </row>
    <row r="98" spans="1:20" ht="24" hidden="1" customHeight="1" x14ac:dyDescent="0.3">
      <c r="A98" s="201"/>
      <c r="B98" s="129" t="s">
        <v>124</v>
      </c>
      <c r="C98" s="202">
        <f t="shared" ca="1" si="35"/>
        <v>1040000</v>
      </c>
      <c r="D98" s="203">
        <f t="shared" ca="1" si="36"/>
        <v>1040000</v>
      </c>
      <c r="E98" s="93">
        <f ca="1">IFERROR(__xludf.DUMMYFUNCTION("IMPORTRANGE(""https://docs.google.com/spreadsheets/d/1-uDff_7J0KD5mKrp0Vvzr7lt3OU09vwQwhkpOPPYv2Y/edit?usp=sharing"",""งบพรบ!EJ98"")"),1040000)</f>
        <v>1040000</v>
      </c>
      <c r="F98" s="93">
        <f ca="1">IFERROR(__xludf.DUMMYFUNCTION("IMPORTRANGE(""https://docs.google.com/spreadsheets/d/1-uDff_7J0KD5mKrp0Vvzr7lt3OU09vwQwhkpOPPYv2Y/edit?usp=sharing"",""งบพรบ!EK98"")"),0)</f>
        <v>0</v>
      </c>
      <c r="G98" s="93">
        <f ca="1">IFERROR(__xludf.DUMMYFUNCTION("IMPORTRANGE(""https://docs.google.com/spreadsheets/d/1-uDff_7J0KD5mKrp0Vvzr7lt3OU09vwQwhkpOPPYv2Y/edit?usp=sharing"",""งบพรบ!EL98"")"),0)</f>
        <v>0</v>
      </c>
      <c r="H98" s="93">
        <f ca="1">IFERROR(__xludf.DUMMYFUNCTION("IMPORTRANGE(""https://docs.google.com/spreadsheets/d/1-uDff_7J0KD5mKrp0Vvzr7lt3OU09vwQwhkpOPPYv2Y/edit?usp=sharing"",""งบพรบ!EN98"")"),1040000)</f>
        <v>1040000</v>
      </c>
      <c r="I98" s="93">
        <f ca="1">IFERROR(__xludf.DUMMYFUNCTION("IMPORTRANGE(""https://docs.google.com/spreadsheets/d/1-uDff_7J0KD5mKrp0Vvzr7lt3OU09vwQwhkpOPPYv2Y/edit?usp=sharing"",""งบพรบ!EO98"")"),0)</f>
        <v>0</v>
      </c>
      <c r="J98" s="93">
        <f t="shared" ca="1" si="37"/>
        <v>606060</v>
      </c>
      <c r="K98" s="94">
        <f t="shared" ca="1" si="38"/>
        <v>58.274999999999999</v>
      </c>
      <c r="L98" s="93">
        <f ca="1">IFERROR(__xludf.DUMMYFUNCTION("IMPORTRANGE(""https://docs.google.com/spreadsheets/d/1-uDff_7J0KD5mKrp0Vvzr7lt3OU09vwQwhkpOPPYv2Y/edit?usp=sharing"",""งบพรบ!EP98"")"),606060)</f>
        <v>606060</v>
      </c>
      <c r="M98" s="95">
        <f t="shared" ca="1" si="39"/>
        <v>58.274999999999999</v>
      </c>
      <c r="N98" s="95">
        <f t="shared" ca="1" si="40"/>
        <v>58.274999999999999</v>
      </c>
      <c r="O98" s="96">
        <f ca="1">IFERROR(__xludf.DUMMYFUNCTION("IMPORTRANGE(""https://docs.google.com/spreadsheets/d/1-uDff_7J0KD5mKrp0Vvzr7lt3OU09vwQwhkpOPPYv2Y/edit?usp=sharing"",""งบพรบ!EQ98"")"),0)</f>
        <v>0</v>
      </c>
      <c r="P98" s="96">
        <f t="shared" ca="1" si="41"/>
        <v>0</v>
      </c>
      <c r="Q98" s="95">
        <f t="shared" ca="1" si="42"/>
        <v>0</v>
      </c>
      <c r="R98" s="93"/>
      <c r="S98" s="93"/>
      <c r="T98" s="95"/>
    </row>
    <row r="99" spans="1:20" ht="24" hidden="1" customHeight="1" x14ac:dyDescent="0.3">
      <c r="A99" s="201"/>
      <c r="B99" s="129" t="s">
        <v>125</v>
      </c>
      <c r="C99" s="202">
        <f t="shared" ca="1" si="35"/>
        <v>0</v>
      </c>
      <c r="D99" s="203">
        <f t="shared" ca="1" si="36"/>
        <v>0</v>
      </c>
      <c r="E99" s="93">
        <f ca="1">IFERROR(__xludf.DUMMYFUNCTION("IMPORTRANGE(""https://docs.google.com/spreadsheets/d/1-uDff_7J0KD5mKrp0Vvzr7lt3OU09vwQwhkpOPPYv2Y/edit?usp=sharing"",""งบพรบ!EJ99"")"),0)</f>
        <v>0</v>
      </c>
      <c r="F99" s="93">
        <f ca="1">IFERROR(__xludf.DUMMYFUNCTION("IMPORTRANGE(""https://docs.google.com/spreadsheets/d/1-uDff_7J0KD5mKrp0Vvzr7lt3OU09vwQwhkpOPPYv2Y/edit?usp=sharing"",""งบพรบ!EK99"")"),0)</f>
        <v>0</v>
      </c>
      <c r="G99" s="93">
        <f ca="1">IFERROR(__xludf.DUMMYFUNCTION("IMPORTRANGE(""https://docs.google.com/spreadsheets/d/1-uDff_7J0KD5mKrp0Vvzr7lt3OU09vwQwhkpOPPYv2Y/edit?usp=sharing"",""งบพรบ!EL99"")"),0)</f>
        <v>0</v>
      </c>
      <c r="H99" s="93">
        <f ca="1">IFERROR(__xludf.DUMMYFUNCTION("IMPORTRANGE(""https://docs.google.com/spreadsheets/d/1-uDff_7J0KD5mKrp0Vvzr7lt3OU09vwQwhkpOPPYv2Y/edit?usp=sharing"",""งบพรบ!EN99"")"),0)</f>
        <v>0</v>
      </c>
      <c r="I99" s="93">
        <f ca="1">IFERROR(__xludf.DUMMYFUNCTION("IMPORTRANGE(""https://docs.google.com/spreadsheets/d/1-uDff_7J0KD5mKrp0Vvzr7lt3OU09vwQwhkpOPPYv2Y/edit?usp=sharing"",""งบพรบ!EO99"")"),0)</f>
        <v>0</v>
      </c>
      <c r="J99" s="93">
        <f t="shared" ca="1" si="37"/>
        <v>0</v>
      </c>
      <c r="K99" s="94">
        <f t="shared" ca="1" si="38"/>
        <v>0</v>
      </c>
      <c r="L99" s="93">
        <f ca="1">IFERROR(__xludf.DUMMYFUNCTION("IMPORTRANGE(""https://docs.google.com/spreadsheets/d/1-uDff_7J0KD5mKrp0Vvzr7lt3OU09vwQwhkpOPPYv2Y/edit?usp=sharing"",""งบพรบ!EP99"")"),0)</f>
        <v>0</v>
      </c>
      <c r="M99" s="95">
        <f t="shared" ca="1" si="39"/>
        <v>0</v>
      </c>
      <c r="N99" s="95">
        <f t="shared" ca="1" si="40"/>
        <v>0</v>
      </c>
      <c r="O99" s="96">
        <f ca="1">IFERROR(__xludf.DUMMYFUNCTION("IMPORTRANGE(""https://docs.google.com/spreadsheets/d/1-uDff_7J0KD5mKrp0Vvzr7lt3OU09vwQwhkpOPPYv2Y/edit?usp=sharing"",""งบพรบ!EQ99"")"),0)</f>
        <v>0</v>
      </c>
      <c r="P99" s="96">
        <f t="shared" ca="1" si="41"/>
        <v>0</v>
      </c>
      <c r="Q99" s="95">
        <f t="shared" ca="1" si="42"/>
        <v>0</v>
      </c>
      <c r="R99" s="93"/>
      <c r="S99" s="93"/>
      <c r="T99" s="95"/>
    </row>
    <row r="100" spans="1:20" ht="24" hidden="1" customHeight="1" x14ac:dyDescent="0.3">
      <c r="A100" s="201"/>
      <c r="B100" s="129" t="s">
        <v>126</v>
      </c>
      <c r="C100" s="202">
        <f t="shared" ca="1" si="35"/>
        <v>0</v>
      </c>
      <c r="D100" s="203">
        <f t="shared" ca="1" si="36"/>
        <v>0</v>
      </c>
      <c r="E100" s="93">
        <f ca="1">IFERROR(__xludf.DUMMYFUNCTION("IMPORTRANGE(""https://docs.google.com/spreadsheets/d/1-uDff_7J0KD5mKrp0Vvzr7lt3OU09vwQwhkpOPPYv2Y/edit?usp=sharing"",""งบพรบ!EJ100"")"),0)</f>
        <v>0</v>
      </c>
      <c r="F100" s="93">
        <f ca="1">IFERROR(__xludf.DUMMYFUNCTION("IMPORTRANGE(""https://docs.google.com/spreadsheets/d/1-uDff_7J0KD5mKrp0Vvzr7lt3OU09vwQwhkpOPPYv2Y/edit?usp=sharing"",""งบพรบ!EK100"")"),0)</f>
        <v>0</v>
      </c>
      <c r="G100" s="93">
        <f ca="1">IFERROR(__xludf.DUMMYFUNCTION("IMPORTRANGE(""https://docs.google.com/spreadsheets/d/1-uDff_7J0KD5mKrp0Vvzr7lt3OU09vwQwhkpOPPYv2Y/edit?usp=sharing"",""งบพรบ!EL100"")"),0)</f>
        <v>0</v>
      </c>
      <c r="H100" s="93">
        <f ca="1">IFERROR(__xludf.DUMMYFUNCTION("IMPORTRANGE(""https://docs.google.com/spreadsheets/d/1-uDff_7J0KD5mKrp0Vvzr7lt3OU09vwQwhkpOPPYv2Y/edit?usp=sharing"",""งบพรบ!EN100"")"),0)</f>
        <v>0</v>
      </c>
      <c r="I100" s="93">
        <f ca="1">IFERROR(__xludf.DUMMYFUNCTION("IMPORTRANGE(""https://docs.google.com/spreadsheets/d/1-uDff_7J0KD5mKrp0Vvzr7lt3OU09vwQwhkpOPPYv2Y/edit?usp=sharing"",""งบพรบ!EO100"")"),0)</f>
        <v>0</v>
      </c>
      <c r="J100" s="93">
        <f t="shared" ca="1" si="37"/>
        <v>0</v>
      </c>
      <c r="K100" s="94">
        <f t="shared" ca="1" si="38"/>
        <v>0</v>
      </c>
      <c r="L100" s="93">
        <f ca="1">IFERROR(__xludf.DUMMYFUNCTION("IMPORTRANGE(""https://docs.google.com/spreadsheets/d/1-uDff_7J0KD5mKrp0Vvzr7lt3OU09vwQwhkpOPPYv2Y/edit?usp=sharing"",""งบพรบ!EP100"")"),0)</f>
        <v>0</v>
      </c>
      <c r="M100" s="95">
        <f t="shared" ca="1" si="39"/>
        <v>0</v>
      </c>
      <c r="N100" s="95">
        <f t="shared" ca="1" si="40"/>
        <v>0</v>
      </c>
      <c r="O100" s="96">
        <f ca="1">IFERROR(__xludf.DUMMYFUNCTION("IMPORTRANGE(""https://docs.google.com/spreadsheets/d/1-uDff_7J0KD5mKrp0Vvzr7lt3OU09vwQwhkpOPPYv2Y/edit?usp=sharing"",""งบพรบ!EQ100"")"),0)</f>
        <v>0</v>
      </c>
      <c r="P100" s="96">
        <f t="shared" ca="1" si="41"/>
        <v>0</v>
      </c>
      <c r="Q100" s="95">
        <f t="shared" ca="1" si="42"/>
        <v>0</v>
      </c>
      <c r="R100" s="93"/>
      <c r="S100" s="93"/>
      <c r="T100" s="95"/>
    </row>
    <row r="101" spans="1:20" ht="24" hidden="1" customHeight="1" x14ac:dyDescent="0.3">
      <c r="A101" s="201"/>
      <c r="B101" s="129" t="s">
        <v>127</v>
      </c>
      <c r="C101" s="202">
        <f t="shared" ca="1" si="35"/>
        <v>0</v>
      </c>
      <c r="D101" s="203">
        <f t="shared" ca="1" si="36"/>
        <v>0</v>
      </c>
      <c r="E101" s="93">
        <f ca="1">IFERROR(__xludf.DUMMYFUNCTION("IMPORTRANGE(""https://docs.google.com/spreadsheets/d/1-uDff_7J0KD5mKrp0Vvzr7lt3OU09vwQwhkpOPPYv2Y/edit?usp=sharing"",""งบพรบ!EJ101"")"),0)</f>
        <v>0</v>
      </c>
      <c r="F101" s="93">
        <f ca="1">IFERROR(__xludf.DUMMYFUNCTION("IMPORTRANGE(""https://docs.google.com/spreadsheets/d/1-uDff_7J0KD5mKrp0Vvzr7lt3OU09vwQwhkpOPPYv2Y/edit?usp=sharing"",""งบพรบ!EK101"")"),0)</f>
        <v>0</v>
      </c>
      <c r="G101" s="93">
        <f ca="1">IFERROR(__xludf.DUMMYFUNCTION("IMPORTRANGE(""https://docs.google.com/spreadsheets/d/1-uDff_7J0KD5mKrp0Vvzr7lt3OU09vwQwhkpOPPYv2Y/edit?usp=sharing"",""งบพรบ!EL101"")"),0)</f>
        <v>0</v>
      </c>
      <c r="H101" s="93">
        <f ca="1">IFERROR(__xludf.DUMMYFUNCTION("IMPORTRANGE(""https://docs.google.com/spreadsheets/d/1-uDff_7J0KD5mKrp0Vvzr7lt3OU09vwQwhkpOPPYv2Y/edit?usp=sharing"",""งบพรบ!EN101"")"),0)</f>
        <v>0</v>
      </c>
      <c r="I101" s="93">
        <f ca="1">IFERROR(__xludf.DUMMYFUNCTION("IMPORTRANGE(""https://docs.google.com/spreadsheets/d/1-uDff_7J0KD5mKrp0Vvzr7lt3OU09vwQwhkpOPPYv2Y/edit?usp=sharing"",""งบพรบ!EO101"")"),0)</f>
        <v>0</v>
      </c>
      <c r="J101" s="93">
        <f t="shared" ca="1" si="37"/>
        <v>0</v>
      </c>
      <c r="K101" s="94">
        <f t="shared" ca="1" si="38"/>
        <v>0</v>
      </c>
      <c r="L101" s="93">
        <f ca="1">IFERROR(__xludf.DUMMYFUNCTION("IMPORTRANGE(""https://docs.google.com/spreadsheets/d/1-uDff_7J0KD5mKrp0Vvzr7lt3OU09vwQwhkpOPPYv2Y/edit?usp=sharing"",""งบพรบ!EP101"")"),0)</f>
        <v>0</v>
      </c>
      <c r="M101" s="95">
        <f t="shared" ca="1" si="39"/>
        <v>0</v>
      </c>
      <c r="N101" s="95">
        <f t="shared" ca="1" si="40"/>
        <v>0</v>
      </c>
      <c r="O101" s="96">
        <f ca="1">IFERROR(__xludf.DUMMYFUNCTION("IMPORTRANGE(""https://docs.google.com/spreadsheets/d/1-uDff_7J0KD5mKrp0Vvzr7lt3OU09vwQwhkpOPPYv2Y/edit?usp=sharing"",""งบพรบ!EQ101"")"),0)</f>
        <v>0</v>
      </c>
      <c r="P101" s="96">
        <f t="shared" ca="1" si="41"/>
        <v>0</v>
      </c>
      <c r="Q101" s="95">
        <f t="shared" ca="1" si="42"/>
        <v>0</v>
      </c>
      <c r="R101" s="93"/>
      <c r="S101" s="93"/>
      <c r="T101" s="95"/>
    </row>
    <row r="102" spans="1:20" ht="24" hidden="1" customHeight="1" x14ac:dyDescent="0.3">
      <c r="A102" s="201"/>
      <c r="B102" s="129" t="s">
        <v>128</v>
      </c>
      <c r="C102" s="202">
        <f t="shared" ca="1" si="35"/>
        <v>0</v>
      </c>
      <c r="D102" s="203">
        <f t="shared" ca="1" si="36"/>
        <v>0</v>
      </c>
      <c r="E102" s="93">
        <f ca="1">IFERROR(__xludf.DUMMYFUNCTION("IMPORTRANGE(""https://docs.google.com/spreadsheets/d/1-uDff_7J0KD5mKrp0Vvzr7lt3OU09vwQwhkpOPPYv2Y/edit?usp=sharing"",""งบพรบ!EJ102"")"),0)</f>
        <v>0</v>
      </c>
      <c r="F102" s="93">
        <f ca="1">IFERROR(__xludf.DUMMYFUNCTION("IMPORTRANGE(""https://docs.google.com/spreadsheets/d/1-uDff_7J0KD5mKrp0Vvzr7lt3OU09vwQwhkpOPPYv2Y/edit?usp=sharing"",""งบพรบ!EK102"")"),0)</f>
        <v>0</v>
      </c>
      <c r="G102" s="93">
        <f ca="1">IFERROR(__xludf.DUMMYFUNCTION("IMPORTRANGE(""https://docs.google.com/spreadsheets/d/1-uDff_7J0KD5mKrp0Vvzr7lt3OU09vwQwhkpOPPYv2Y/edit?usp=sharing"",""งบพรบ!EL102"")"),0)</f>
        <v>0</v>
      </c>
      <c r="H102" s="93">
        <f ca="1">IFERROR(__xludf.DUMMYFUNCTION("IMPORTRANGE(""https://docs.google.com/spreadsheets/d/1-uDff_7J0KD5mKrp0Vvzr7lt3OU09vwQwhkpOPPYv2Y/edit?usp=sharing"",""งบพรบ!EN102"")"),0)</f>
        <v>0</v>
      </c>
      <c r="I102" s="93">
        <f ca="1">IFERROR(__xludf.DUMMYFUNCTION("IMPORTRANGE(""https://docs.google.com/spreadsheets/d/1-uDff_7J0KD5mKrp0Vvzr7lt3OU09vwQwhkpOPPYv2Y/edit?usp=sharing"",""งบพรบ!EO102"")"),0)</f>
        <v>0</v>
      </c>
      <c r="J102" s="93">
        <f t="shared" ca="1" si="37"/>
        <v>0</v>
      </c>
      <c r="K102" s="94">
        <f t="shared" ca="1" si="38"/>
        <v>0</v>
      </c>
      <c r="L102" s="93">
        <f ca="1">IFERROR(__xludf.DUMMYFUNCTION("IMPORTRANGE(""https://docs.google.com/spreadsheets/d/1-uDff_7J0KD5mKrp0Vvzr7lt3OU09vwQwhkpOPPYv2Y/edit?usp=sharing"",""งบพรบ!EP102"")"),0)</f>
        <v>0</v>
      </c>
      <c r="M102" s="95">
        <f t="shared" ca="1" si="39"/>
        <v>0</v>
      </c>
      <c r="N102" s="95">
        <f t="shared" ca="1" si="40"/>
        <v>0</v>
      </c>
      <c r="O102" s="96">
        <f ca="1">IFERROR(__xludf.DUMMYFUNCTION("IMPORTRANGE(""https://docs.google.com/spreadsheets/d/1-uDff_7J0KD5mKrp0Vvzr7lt3OU09vwQwhkpOPPYv2Y/edit?usp=sharing"",""งบพรบ!EQ102"")"),0)</f>
        <v>0</v>
      </c>
      <c r="P102" s="96">
        <f t="shared" ca="1" si="41"/>
        <v>0</v>
      </c>
      <c r="Q102" s="95">
        <f t="shared" ca="1" si="42"/>
        <v>0</v>
      </c>
      <c r="R102" s="93"/>
      <c r="S102" s="93"/>
      <c r="T102" s="95"/>
    </row>
    <row r="103" spans="1:20" ht="24" hidden="1" customHeight="1" x14ac:dyDescent="0.3">
      <c r="A103" s="201"/>
      <c r="B103" s="129" t="s">
        <v>129</v>
      </c>
      <c r="C103" s="202">
        <f t="shared" ca="1" si="35"/>
        <v>0</v>
      </c>
      <c r="D103" s="203">
        <f t="shared" ca="1" si="36"/>
        <v>0</v>
      </c>
      <c r="E103" s="93">
        <f ca="1">IFERROR(__xludf.DUMMYFUNCTION("IMPORTRANGE(""https://docs.google.com/spreadsheets/d/1-uDff_7J0KD5mKrp0Vvzr7lt3OU09vwQwhkpOPPYv2Y/edit?usp=sharing"",""งบพรบ!EJ103"")"),0)</f>
        <v>0</v>
      </c>
      <c r="F103" s="93">
        <f ca="1">IFERROR(__xludf.DUMMYFUNCTION("IMPORTRANGE(""https://docs.google.com/spreadsheets/d/1-uDff_7J0KD5mKrp0Vvzr7lt3OU09vwQwhkpOPPYv2Y/edit?usp=sharing"",""งบพรบ!EK103"")"),0)</f>
        <v>0</v>
      </c>
      <c r="G103" s="93">
        <f ca="1">IFERROR(__xludf.DUMMYFUNCTION("IMPORTRANGE(""https://docs.google.com/spreadsheets/d/1-uDff_7J0KD5mKrp0Vvzr7lt3OU09vwQwhkpOPPYv2Y/edit?usp=sharing"",""งบพรบ!EL103"")"),0)</f>
        <v>0</v>
      </c>
      <c r="H103" s="93">
        <f ca="1">IFERROR(__xludf.DUMMYFUNCTION("IMPORTRANGE(""https://docs.google.com/spreadsheets/d/1-uDff_7J0KD5mKrp0Vvzr7lt3OU09vwQwhkpOPPYv2Y/edit?usp=sharing"",""งบพรบ!EN103"")"),0)</f>
        <v>0</v>
      </c>
      <c r="I103" s="93">
        <f ca="1">IFERROR(__xludf.DUMMYFUNCTION("IMPORTRANGE(""https://docs.google.com/spreadsheets/d/1-uDff_7J0KD5mKrp0Vvzr7lt3OU09vwQwhkpOPPYv2Y/edit?usp=sharing"",""งบพรบ!EO103"")"),0)</f>
        <v>0</v>
      </c>
      <c r="J103" s="93">
        <f t="shared" ca="1" si="37"/>
        <v>0</v>
      </c>
      <c r="K103" s="94">
        <f t="shared" ca="1" si="38"/>
        <v>0</v>
      </c>
      <c r="L103" s="93">
        <f ca="1">IFERROR(__xludf.DUMMYFUNCTION("IMPORTRANGE(""https://docs.google.com/spreadsheets/d/1-uDff_7J0KD5mKrp0Vvzr7lt3OU09vwQwhkpOPPYv2Y/edit?usp=sharing"",""งบพรบ!EP103"")"),0)</f>
        <v>0</v>
      </c>
      <c r="M103" s="95">
        <f t="shared" ca="1" si="39"/>
        <v>0</v>
      </c>
      <c r="N103" s="95">
        <f t="shared" ca="1" si="40"/>
        <v>0</v>
      </c>
      <c r="O103" s="96">
        <f ca="1">IFERROR(__xludf.DUMMYFUNCTION("IMPORTRANGE(""https://docs.google.com/spreadsheets/d/1-uDff_7J0KD5mKrp0Vvzr7lt3OU09vwQwhkpOPPYv2Y/edit?usp=sharing"",""งบพรบ!EQ103"")"),0)</f>
        <v>0</v>
      </c>
      <c r="P103" s="96">
        <f t="shared" ca="1" si="41"/>
        <v>0</v>
      </c>
      <c r="Q103" s="95">
        <f t="shared" ca="1" si="42"/>
        <v>0</v>
      </c>
      <c r="R103" s="249"/>
      <c r="S103" s="249"/>
      <c r="T103" s="132"/>
    </row>
    <row r="104" spans="1:20" ht="21" hidden="1" customHeight="1" x14ac:dyDescent="0.3">
      <c r="A104" s="201"/>
      <c r="B104" s="129" t="s">
        <v>130</v>
      </c>
      <c r="C104" s="202">
        <f t="shared" ca="1" si="35"/>
        <v>205400</v>
      </c>
      <c r="D104" s="203">
        <f t="shared" ca="1" si="36"/>
        <v>205400</v>
      </c>
      <c r="E104" s="93">
        <f ca="1">IFERROR(__xludf.DUMMYFUNCTION("IMPORTRANGE(""https://docs.google.com/spreadsheets/d/1-uDff_7J0KD5mKrp0Vvzr7lt3OU09vwQwhkpOPPYv2Y/edit?usp=sharing"",""งบพรบ!EJ104"")"),205400)</f>
        <v>205400</v>
      </c>
      <c r="F104" s="93">
        <f ca="1">IFERROR(__xludf.DUMMYFUNCTION("IMPORTRANGE(""https://docs.google.com/spreadsheets/d/1-uDff_7J0KD5mKrp0Vvzr7lt3OU09vwQwhkpOPPYv2Y/edit?usp=sharing"",""งบพรบ!EK104"")"),0)</f>
        <v>0</v>
      </c>
      <c r="G104" s="93">
        <f ca="1">IFERROR(__xludf.DUMMYFUNCTION("IMPORTRANGE(""https://docs.google.com/spreadsheets/d/1-uDff_7J0KD5mKrp0Vvzr7lt3OU09vwQwhkpOPPYv2Y/edit?usp=sharing"",""งบพรบ!EL104"")"),0)</f>
        <v>0</v>
      </c>
      <c r="H104" s="93">
        <f ca="1">IFERROR(__xludf.DUMMYFUNCTION("IMPORTRANGE(""https://docs.google.com/spreadsheets/d/1-uDff_7J0KD5mKrp0Vvzr7lt3OU09vwQwhkpOPPYv2Y/edit?usp=sharing"",""งบพรบ!EN104"")"),197400)</f>
        <v>197400</v>
      </c>
      <c r="I104" s="93">
        <f ca="1">IFERROR(__xludf.DUMMYFUNCTION("IMPORTRANGE(""https://docs.google.com/spreadsheets/d/1-uDff_7J0KD5mKrp0Vvzr7lt3OU09vwQwhkpOPPYv2Y/edit?usp=sharing"",""งบพรบ!EO104"")"),0)</f>
        <v>0</v>
      </c>
      <c r="J104" s="93">
        <f t="shared" ca="1" si="37"/>
        <v>166542.29</v>
      </c>
      <c r="K104" s="94">
        <f t="shared" ca="1" si="38"/>
        <v>81.081932814021428</v>
      </c>
      <c r="L104" s="93">
        <f ca="1">IFERROR(__xludf.DUMMYFUNCTION("IMPORTRANGE(""https://docs.google.com/spreadsheets/d/1-uDff_7J0KD5mKrp0Vvzr7lt3OU09vwQwhkpOPPYv2Y/edit?usp=sharing"",""งบพรบ!EP104"")"),166542.29)</f>
        <v>166542.29</v>
      </c>
      <c r="M104" s="95">
        <f t="shared" ca="1" si="39"/>
        <v>81.081932814021428</v>
      </c>
      <c r="N104" s="95">
        <f t="shared" ca="1" si="40"/>
        <v>84.367928064842957</v>
      </c>
      <c r="O104" s="96">
        <f ca="1">IFERROR(__xludf.DUMMYFUNCTION("IMPORTRANGE(""https://docs.google.com/spreadsheets/d/1-uDff_7J0KD5mKrp0Vvzr7lt3OU09vwQwhkpOPPYv2Y/edit?usp=sharing"",""งบพรบ!EQ104"")"),0)</f>
        <v>0</v>
      </c>
      <c r="P104" s="96">
        <f t="shared" ca="1" si="41"/>
        <v>0</v>
      </c>
      <c r="Q104" s="95">
        <f t="shared" ca="1" si="42"/>
        <v>0</v>
      </c>
      <c r="R104" s="364"/>
      <c r="S104" s="364"/>
      <c r="T104" s="364"/>
    </row>
    <row r="105" spans="1:20" ht="24" hidden="1" customHeight="1" x14ac:dyDescent="0.3">
      <c r="A105" s="201"/>
      <c r="B105" s="133" t="s">
        <v>131</v>
      </c>
      <c r="C105" s="202">
        <f t="shared" ca="1" si="35"/>
        <v>0</v>
      </c>
      <c r="D105" s="203">
        <f t="shared" ca="1" si="36"/>
        <v>0</v>
      </c>
      <c r="E105" s="93">
        <f ca="1">IFERROR(__xludf.DUMMYFUNCTION("IMPORTRANGE(""https://docs.google.com/spreadsheets/d/1-uDff_7J0KD5mKrp0Vvzr7lt3OU09vwQwhkpOPPYv2Y/edit?usp=sharing"",""งบพรบ!EJ105"")"),0)</f>
        <v>0</v>
      </c>
      <c r="F105" s="93">
        <f ca="1">IFERROR(__xludf.DUMMYFUNCTION("IMPORTRANGE(""https://docs.google.com/spreadsheets/d/1-uDff_7J0KD5mKrp0Vvzr7lt3OU09vwQwhkpOPPYv2Y/edit?usp=sharing"",""งบพรบ!EK105"")"),0)</f>
        <v>0</v>
      </c>
      <c r="G105" s="93">
        <f ca="1">IFERROR(__xludf.DUMMYFUNCTION("IMPORTRANGE(""https://docs.google.com/spreadsheets/d/1-uDff_7J0KD5mKrp0Vvzr7lt3OU09vwQwhkpOPPYv2Y/edit?usp=sharing"",""งบพรบ!EL105"")"),0)</f>
        <v>0</v>
      </c>
      <c r="H105" s="93">
        <f ca="1">IFERROR(__xludf.DUMMYFUNCTION("IMPORTRANGE(""https://docs.google.com/spreadsheets/d/1-uDff_7J0KD5mKrp0Vvzr7lt3OU09vwQwhkpOPPYv2Y/edit?usp=sharing"",""งบพรบ!EN105"")"),0)</f>
        <v>0</v>
      </c>
      <c r="I105" s="93">
        <f ca="1">IFERROR(__xludf.DUMMYFUNCTION("IMPORTRANGE(""https://docs.google.com/spreadsheets/d/1-uDff_7J0KD5mKrp0Vvzr7lt3OU09vwQwhkpOPPYv2Y/edit?usp=sharing"",""งบพรบ!EO105"")"),0)</f>
        <v>0</v>
      </c>
      <c r="J105" s="93">
        <f t="shared" ca="1" si="37"/>
        <v>0</v>
      </c>
      <c r="K105" s="94">
        <f t="shared" ca="1" si="38"/>
        <v>0</v>
      </c>
      <c r="L105" s="93">
        <f ca="1">IFERROR(__xludf.DUMMYFUNCTION("IMPORTRANGE(""https://docs.google.com/spreadsheets/d/1-uDff_7J0KD5mKrp0Vvzr7lt3OU09vwQwhkpOPPYv2Y/edit?usp=sharing"",""งบพรบ!EP105"")"),0)</f>
        <v>0</v>
      </c>
      <c r="M105" s="95">
        <f t="shared" ca="1" si="39"/>
        <v>0</v>
      </c>
      <c r="N105" s="95">
        <f t="shared" ca="1" si="40"/>
        <v>0</v>
      </c>
      <c r="O105" s="96">
        <f ca="1">IFERROR(__xludf.DUMMYFUNCTION("IMPORTRANGE(""https://docs.google.com/spreadsheets/d/1-uDff_7J0KD5mKrp0Vvzr7lt3OU09vwQwhkpOPPYv2Y/edit?usp=sharing"",""งบพรบ!EQ105"")"),0)</f>
        <v>0</v>
      </c>
      <c r="P105" s="96">
        <f t="shared" ca="1" si="41"/>
        <v>0</v>
      </c>
      <c r="Q105" s="95">
        <f t="shared" ca="1" si="42"/>
        <v>0</v>
      </c>
      <c r="R105" s="122"/>
      <c r="S105" s="122"/>
      <c r="T105" s="122"/>
    </row>
    <row r="106" spans="1:20" ht="24" hidden="1" customHeight="1" x14ac:dyDescent="0.3">
      <c r="A106" s="205"/>
      <c r="B106" s="137" t="s">
        <v>132</v>
      </c>
      <c r="C106" s="206">
        <f t="shared" ca="1" si="35"/>
        <v>0</v>
      </c>
      <c r="D106" s="207">
        <f t="shared" ca="1" si="36"/>
        <v>0</v>
      </c>
      <c r="E106" s="104">
        <f ca="1">IFERROR(__xludf.DUMMYFUNCTION("IMPORTRANGE(""https://docs.google.com/spreadsheets/d/1-uDff_7J0KD5mKrp0Vvzr7lt3OU09vwQwhkpOPPYv2Y/edit?usp=sharing"",""งบพรบ!EJ106"")"),0)</f>
        <v>0</v>
      </c>
      <c r="F106" s="104">
        <f ca="1">IFERROR(__xludf.DUMMYFUNCTION("IMPORTRANGE(""https://docs.google.com/spreadsheets/d/1-uDff_7J0KD5mKrp0Vvzr7lt3OU09vwQwhkpOPPYv2Y/edit?usp=sharing"",""งบพรบ!EK106"")"),0)</f>
        <v>0</v>
      </c>
      <c r="G106" s="104">
        <f ca="1">IFERROR(__xludf.DUMMYFUNCTION("IMPORTRANGE(""https://docs.google.com/spreadsheets/d/1-uDff_7J0KD5mKrp0Vvzr7lt3OU09vwQwhkpOPPYv2Y/edit?usp=sharing"",""งบพรบ!EL106"")"),0)</f>
        <v>0</v>
      </c>
      <c r="H106" s="104">
        <f ca="1">IFERROR(__xludf.DUMMYFUNCTION("IMPORTRANGE(""https://docs.google.com/spreadsheets/d/1-uDff_7J0KD5mKrp0Vvzr7lt3OU09vwQwhkpOPPYv2Y/edit?usp=sharing"",""งบพรบ!EN106"")"),0)</f>
        <v>0</v>
      </c>
      <c r="I106" s="104">
        <f ca="1">IFERROR(__xludf.DUMMYFUNCTION("IMPORTRANGE(""https://docs.google.com/spreadsheets/d/1-uDff_7J0KD5mKrp0Vvzr7lt3OU09vwQwhkpOPPYv2Y/edit?usp=sharing"",""งบพรบ!EO106"")"),0)</f>
        <v>0</v>
      </c>
      <c r="J106" s="104">
        <f t="shared" ca="1" si="37"/>
        <v>0</v>
      </c>
      <c r="K106" s="105">
        <f t="shared" ca="1" si="38"/>
        <v>0</v>
      </c>
      <c r="L106" s="104">
        <f ca="1">IFERROR(__xludf.DUMMYFUNCTION("IMPORTRANGE(""https://docs.google.com/spreadsheets/d/1-uDff_7J0KD5mKrp0Vvzr7lt3OU09vwQwhkpOPPYv2Y/edit?usp=sharing"",""งบพรบ!EP106"")"),0)</f>
        <v>0</v>
      </c>
      <c r="M106" s="106">
        <f t="shared" ca="1" si="39"/>
        <v>0</v>
      </c>
      <c r="N106" s="106">
        <f t="shared" ca="1" si="40"/>
        <v>0</v>
      </c>
      <c r="O106" s="107">
        <f ca="1">IFERROR(__xludf.DUMMYFUNCTION("IMPORTRANGE(""https://docs.google.com/spreadsheets/d/1-uDff_7J0KD5mKrp0Vvzr7lt3OU09vwQwhkpOPPYv2Y/edit?usp=sharing"",""งบพรบ!EQ106"")"),0)</f>
        <v>0</v>
      </c>
      <c r="P106" s="107">
        <f t="shared" ca="1" si="41"/>
        <v>0</v>
      </c>
      <c r="Q106" s="106">
        <f t="shared" ca="1" si="42"/>
        <v>0</v>
      </c>
      <c r="R106" s="104"/>
      <c r="S106" s="104"/>
      <c r="T106" s="104"/>
    </row>
  </sheetData>
  <mergeCells count="22">
    <mergeCell ref="H4:I4"/>
    <mergeCell ref="J5:K5"/>
    <mergeCell ref="L5:N5"/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A52:B52"/>
    <mergeCell ref="A74:B74"/>
    <mergeCell ref="A89:B89"/>
    <mergeCell ref="E5:E6"/>
    <mergeCell ref="F5:F6"/>
    <mergeCell ref="C5:C6"/>
    <mergeCell ref="D5:D6"/>
    <mergeCell ref="A7:B7"/>
    <mergeCell ref="A13:B13"/>
    <mergeCell ref="A31:B31"/>
  </mergeCells>
  <printOptions horizontalCentered="1"/>
  <pageMargins left="0.23622047244094491" right="0.23622047244094491" top="0.55118110236220474" bottom="0.55118110236220474" header="0" footer="0"/>
  <pageSetup paperSize="9" scale="48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FF00"/>
    <outlinePr summaryBelow="0" summaryRight="0"/>
  </sheetPr>
  <dimension ref="A1:AB106"/>
  <sheetViews>
    <sheetView view="pageBreakPreview" zoomScale="60" zoomScaleNormal="40" workbookViewId="0">
      <pane xSplit="2" ySplit="7" topLeftCell="G8" activePane="bottomRight" state="frozen"/>
      <selection activeCell="A13" sqref="A13:B13"/>
      <selection pane="topRight" activeCell="A13" sqref="A13:B13"/>
      <selection pane="bottomLeft" activeCell="A13" sqref="A13:B13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18.7109375" bestFit="1" customWidth="1"/>
    <col min="4" max="4" width="18" bestFit="1" customWidth="1"/>
    <col min="5" max="5" width="16.85546875" bestFit="1" customWidth="1"/>
    <col min="6" max="6" width="16.5703125" bestFit="1" customWidth="1"/>
    <col min="7" max="7" width="13.42578125" bestFit="1" customWidth="1"/>
    <col min="8" max="8" width="20.140625" bestFit="1" customWidth="1"/>
    <col min="9" max="9" width="13.7109375" bestFit="1" customWidth="1"/>
    <col min="10" max="10" width="16.5703125" bestFit="1" customWidth="1"/>
    <col min="11" max="11" width="12.28515625" bestFit="1" customWidth="1"/>
    <col min="12" max="12" width="16.5703125" bestFit="1" customWidth="1"/>
    <col min="13" max="13" width="12.5703125" bestFit="1" customWidth="1"/>
    <col min="14" max="14" width="10.85546875" bestFit="1" customWidth="1"/>
    <col min="15" max="15" width="8.42578125" bestFit="1" customWidth="1"/>
    <col min="16" max="16" width="10.85546875" customWidth="1"/>
    <col min="17" max="17" width="10.42578125" bestFit="1" customWidth="1"/>
    <col min="18" max="18" width="18.140625" customWidth="1"/>
    <col min="19" max="19" width="16.42578125" customWidth="1"/>
    <col min="20" max="20" width="14.140625" customWidth="1"/>
    <col min="21" max="21" width="15.85546875" customWidth="1"/>
    <col min="22" max="22" width="16.140625" customWidth="1"/>
    <col min="23" max="23" width="17.5703125" customWidth="1"/>
    <col min="24" max="25" width="20.140625" customWidth="1"/>
    <col min="26" max="26" width="23.28515625" customWidth="1"/>
    <col min="27" max="27" width="25.85546875" customWidth="1"/>
    <col min="28" max="28" width="27.85546875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8" ht="24" customHeight="1" x14ac:dyDescent="0.2">
      <c r="A2" s="616" t="s">
        <v>1</v>
      </c>
      <c r="B2" s="617"/>
      <c r="C2" s="600" t="s">
        <v>201</v>
      </c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2"/>
    </row>
    <row r="3" spans="1:28" ht="46.5" customHeight="1" x14ac:dyDescent="0.2">
      <c r="A3" s="618"/>
      <c r="B3" s="619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652" t="s">
        <v>202</v>
      </c>
      <c r="S3" s="585"/>
      <c r="T3" s="585"/>
      <c r="U3" s="585"/>
      <c r="V3" s="585"/>
      <c r="W3" s="585"/>
      <c r="X3" s="585"/>
      <c r="Y3" s="585"/>
      <c r="Z3" s="607"/>
      <c r="AA3" s="672" t="s">
        <v>203</v>
      </c>
      <c r="AB3" s="607"/>
    </row>
    <row r="4" spans="1:28" ht="55.5" customHeight="1" x14ac:dyDescent="0.2">
      <c r="A4" s="618"/>
      <c r="B4" s="619"/>
      <c r="C4" s="609" t="s">
        <v>7</v>
      </c>
      <c r="D4" s="598"/>
      <c r="E4" s="598"/>
      <c r="F4" s="598"/>
      <c r="G4" s="583"/>
      <c r="H4" s="612" t="s">
        <v>8</v>
      </c>
      <c r="I4" s="583"/>
      <c r="J4" s="613" t="s">
        <v>9</v>
      </c>
      <c r="K4" s="598"/>
      <c r="L4" s="598"/>
      <c r="M4" s="598"/>
      <c r="N4" s="598"/>
      <c r="O4" s="598"/>
      <c r="P4" s="598"/>
      <c r="Q4" s="583"/>
      <c r="R4" s="605" t="s">
        <v>204</v>
      </c>
      <c r="S4" s="598"/>
      <c r="T4" s="583"/>
      <c r="U4" s="605" t="s">
        <v>205</v>
      </c>
      <c r="V4" s="755"/>
      <c r="W4" s="598"/>
      <c r="X4" s="583"/>
      <c r="Y4" s="671" t="s">
        <v>206</v>
      </c>
      <c r="Z4" s="674" t="s">
        <v>207</v>
      </c>
      <c r="AA4" s="673" t="s">
        <v>208</v>
      </c>
      <c r="AB4" s="673" t="s">
        <v>209</v>
      </c>
    </row>
    <row r="5" spans="1:28" ht="24" customHeight="1" x14ac:dyDescent="0.3">
      <c r="A5" s="618"/>
      <c r="B5" s="619"/>
      <c r="C5" s="726" t="s">
        <v>19</v>
      </c>
      <c r="D5" s="727" t="s">
        <v>20</v>
      </c>
      <c r="E5" s="728" t="s">
        <v>21</v>
      </c>
      <c r="F5" s="729" t="s">
        <v>22</v>
      </c>
      <c r="G5" s="730" t="s">
        <v>23</v>
      </c>
      <c r="H5" s="6" t="s">
        <v>24</v>
      </c>
      <c r="I5" s="6" t="s">
        <v>25</v>
      </c>
      <c r="J5" s="589" t="s">
        <v>26</v>
      </c>
      <c r="K5" s="590"/>
      <c r="L5" s="591" t="s">
        <v>24</v>
      </c>
      <c r="M5" s="592"/>
      <c r="N5" s="593"/>
      <c r="O5" s="611" t="s">
        <v>25</v>
      </c>
      <c r="P5" s="592"/>
      <c r="Q5" s="593"/>
      <c r="R5" s="224" t="s">
        <v>27</v>
      </c>
      <c r="S5" s="597" t="s">
        <v>28</v>
      </c>
      <c r="T5" s="583"/>
      <c r="U5" s="224" t="s">
        <v>27</v>
      </c>
      <c r="V5" s="756" t="s">
        <v>28</v>
      </c>
      <c r="W5" s="583"/>
      <c r="X5" s="368" t="s">
        <v>210</v>
      </c>
      <c r="Y5" s="593"/>
      <c r="Z5" s="593"/>
      <c r="AA5" s="593"/>
      <c r="AB5" s="593"/>
    </row>
    <row r="6" spans="1:28" ht="46.5" customHeight="1" x14ac:dyDescent="0.2">
      <c r="A6" s="620"/>
      <c r="B6" s="621"/>
      <c r="C6" s="731"/>
      <c r="D6" s="732"/>
      <c r="E6" s="732"/>
      <c r="F6" s="732"/>
      <c r="G6" s="732"/>
      <c r="H6" s="6"/>
      <c r="I6" s="6"/>
      <c r="J6" s="739" t="s">
        <v>29</v>
      </c>
      <c r="K6" s="740" t="s">
        <v>30</v>
      </c>
      <c r="L6" s="739" t="s">
        <v>29</v>
      </c>
      <c r="M6" s="741" t="s">
        <v>31</v>
      </c>
      <c r="N6" s="742" t="s">
        <v>32</v>
      </c>
      <c r="O6" s="743" t="s">
        <v>29</v>
      </c>
      <c r="P6" s="741" t="s">
        <v>31</v>
      </c>
      <c r="Q6" s="742" t="s">
        <v>32</v>
      </c>
      <c r="R6" s="9" t="s">
        <v>34</v>
      </c>
      <c r="S6" s="12" t="s">
        <v>34</v>
      </c>
      <c r="T6" s="11" t="s">
        <v>30</v>
      </c>
      <c r="U6" s="13" t="s">
        <v>211</v>
      </c>
      <c r="V6" s="227" t="s">
        <v>211</v>
      </c>
      <c r="W6" s="11" t="s">
        <v>30</v>
      </c>
      <c r="X6" s="227" t="s">
        <v>34</v>
      </c>
      <c r="Y6" s="227" t="s">
        <v>34</v>
      </c>
      <c r="Z6" s="227" t="s">
        <v>34</v>
      </c>
      <c r="AA6" s="227" t="s">
        <v>34</v>
      </c>
      <c r="AB6" s="227" t="s">
        <v>34</v>
      </c>
    </row>
    <row r="7" spans="1:28" ht="24" customHeight="1" x14ac:dyDescent="0.3">
      <c r="A7" s="651" t="s">
        <v>289</v>
      </c>
      <c r="B7" s="629"/>
      <c r="C7" s="150">
        <f t="shared" ref="C7:C9" ca="1" si="0">D7+G7</f>
        <v>11006800</v>
      </c>
      <c r="D7" s="151">
        <f t="shared" ref="D7:E7" ca="1" si="1">D8+D9+D12</f>
        <v>11006800</v>
      </c>
      <c r="E7" s="152">
        <f t="shared" ca="1" si="1"/>
        <v>2738800</v>
      </c>
      <c r="F7" s="153">
        <f ca="1">F8+F9</f>
        <v>8268000</v>
      </c>
      <c r="G7" s="154">
        <f t="shared" ref="G7:I7" ca="1" si="2">G8+G9+G12</f>
        <v>0</v>
      </c>
      <c r="H7" s="228">
        <f t="shared" ca="1" si="2"/>
        <v>11006800</v>
      </c>
      <c r="I7" s="228">
        <f t="shared" ca="1" si="2"/>
        <v>0</v>
      </c>
      <c r="J7" s="156">
        <f t="shared" ref="J7:J9" ca="1" si="3">L7+O7</f>
        <v>4759534.9799999995</v>
      </c>
      <c r="K7" s="157">
        <f t="shared" ref="K7:K9" ca="1" si="4">IF(C7&gt;0,J7*100/C7,0)</f>
        <v>43.241768543082451</v>
      </c>
      <c r="L7" s="156">
        <f ca="1">L8+L9+L12</f>
        <v>4759534.9799999995</v>
      </c>
      <c r="M7" s="27">
        <f t="shared" ref="M7:M8" ca="1" si="5">IF(D7&gt;0,L7*100/D7,0)</f>
        <v>43.241768543082451</v>
      </c>
      <c r="N7" s="27">
        <f t="shared" ref="N7:N9" ca="1" si="6">IF(H7&gt;0,L7*100/H7,0)</f>
        <v>43.241768543082451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343">
        <f t="shared" ref="R7:S7" ca="1" si="9">R8</f>
        <v>120000</v>
      </c>
      <c r="S7" s="344">
        <f t="shared" ca="1" si="9"/>
        <v>107761</v>
      </c>
      <c r="T7" s="345">
        <f t="shared" ref="T7:T8" ca="1" si="10">IF(R7&gt;0,S7*100/R7,0)</f>
        <v>89.80083333333333</v>
      </c>
      <c r="U7" s="343">
        <f t="shared" ref="U7:V7" ca="1" si="11">U8</f>
        <v>264</v>
      </c>
      <c r="V7" s="344">
        <f t="shared" ca="1" si="11"/>
        <v>192</v>
      </c>
      <c r="W7" s="345">
        <f t="shared" ref="W7:W8" ca="1" si="12">IF(U7&gt;0,V7*100/U7,0)</f>
        <v>72.727272727272734</v>
      </c>
      <c r="X7" s="344">
        <f t="shared" ref="X7:AB7" ca="1" si="13">X8</f>
        <v>4071</v>
      </c>
      <c r="Y7" s="344">
        <f t="shared" ca="1" si="13"/>
        <v>2585</v>
      </c>
      <c r="Z7" s="344">
        <f t="shared" ca="1" si="13"/>
        <v>527</v>
      </c>
      <c r="AA7" s="344">
        <f t="shared" ca="1" si="13"/>
        <v>92642</v>
      </c>
      <c r="AB7" s="344">
        <f t="shared" ca="1" si="13"/>
        <v>162638</v>
      </c>
    </row>
    <row r="8" spans="1:28" ht="28.5" customHeight="1" x14ac:dyDescent="0.3">
      <c r="A8" s="31" t="s">
        <v>37</v>
      </c>
      <c r="B8" s="32"/>
      <c r="C8" s="161">
        <f t="shared" ca="1" si="0"/>
        <v>10069400</v>
      </c>
      <c r="D8" s="161">
        <f t="shared" ref="D8:I8" ca="1" si="14">+D13+D31+D52+D74</f>
        <v>10069400</v>
      </c>
      <c r="E8" s="161">
        <f t="shared" ca="1" si="14"/>
        <v>2311400</v>
      </c>
      <c r="F8" s="161">
        <f t="shared" ca="1" si="14"/>
        <v>7758000</v>
      </c>
      <c r="G8" s="161">
        <f t="shared" ca="1" si="14"/>
        <v>0</v>
      </c>
      <c r="H8" s="161">
        <f t="shared" ca="1" si="14"/>
        <v>10455575</v>
      </c>
      <c r="I8" s="161">
        <f t="shared" ca="1" si="14"/>
        <v>0</v>
      </c>
      <c r="J8" s="161">
        <f t="shared" ca="1" si="3"/>
        <v>4496261.84</v>
      </c>
      <c r="K8" s="162">
        <f t="shared" ca="1" si="4"/>
        <v>44.652728464456672</v>
      </c>
      <c r="L8" s="161">
        <f ca="1">+L13+L31+L52+L74</f>
        <v>4496261.84</v>
      </c>
      <c r="M8" s="40">
        <f t="shared" ca="1" si="5"/>
        <v>44.652728464456672</v>
      </c>
      <c r="N8" s="40">
        <f t="shared" ca="1" si="6"/>
        <v>43.003487039211137</v>
      </c>
      <c r="O8" s="39">
        <f ca="1">+O13+O31+O52+O74</f>
        <v>0</v>
      </c>
      <c r="P8" s="39">
        <f t="shared" ca="1" si="7"/>
        <v>0</v>
      </c>
      <c r="Q8" s="40">
        <f t="shared" ca="1" si="8"/>
        <v>0</v>
      </c>
      <c r="R8" s="348">
        <f t="shared" ref="R8:S8" ca="1" si="15">+R13+R31+R52+R74</f>
        <v>120000</v>
      </c>
      <c r="S8" s="161">
        <f t="shared" ca="1" si="15"/>
        <v>107761</v>
      </c>
      <c r="T8" s="40">
        <f t="shared" ca="1" si="10"/>
        <v>89.80083333333333</v>
      </c>
      <c r="U8" s="348">
        <f t="shared" ref="U8:V8" ca="1" si="16">+U13+U31+U52+U74</f>
        <v>264</v>
      </c>
      <c r="V8" s="161">
        <f t="shared" ca="1" si="16"/>
        <v>192</v>
      </c>
      <c r="W8" s="40">
        <f t="shared" ca="1" si="12"/>
        <v>72.727272727272734</v>
      </c>
      <c r="X8" s="161">
        <f t="shared" ref="X8:AB8" ca="1" si="17">+X13+X31+X52+X74</f>
        <v>4071</v>
      </c>
      <c r="Y8" s="161">
        <f t="shared" ca="1" si="17"/>
        <v>2585</v>
      </c>
      <c r="Z8" s="161">
        <f t="shared" ca="1" si="17"/>
        <v>527</v>
      </c>
      <c r="AA8" s="161">
        <f t="shared" ca="1" si="17"/>
        <v>92642</v>
      </c>
      <c r="AB8" s="161">
        <f t="shared" ca="1" si="17"/>
        <v>162638</v>
      </c>
    </row>
    <row r="9" spans="1:28" ht="28.5" customHeight="1" x14ac:dyDescent="0.3">
      <c r="A9" s="43" t="s">
        <v>38</v>
      </c>
      <c r="B9" s="44"/>
      <c r="C9" s="164">
        <f t="shared" ca="1" si="0"/>
        <v>937400</v>
      </c>
      <c r="D9" s="164">
        <f t="shared" ref="D9:I9" ca="1" si="18">+D89</f>
        <v>937400</v>
      </c>
      <c r="E9" s="164">
        <f t="shared" ca="1" si="18"/>
        <v>427400</v>
      </c>
      <c r="F9" s="164">
        <f t="shared" ca="1" si="18"/>
        <v>510000</v>
      </c>
      <c r="G9" s="164">
        <f t="shared" ca="1" si="18"/>
        <v>0</v>
      </c>
      <c r="H9" s="164">
        <f t="shared" ca="1" si="18"/>
        <v>551225</v>
      </c>
      <c r="I9" s="164">
        <f t="shared" ca="1" si="18"/>
        <v>0</v>
      </c>
      <c r="J9" s="164">
        <f t="shared" ca="1" si="3"/>
        <v>263273.14</v>
      </c>
      <c r="K9" s="165">
        <f t="shared" ca="1" si="4"/>
        <v>28.085464049498611</v>
      </c>
      <c r="L9" s="164">
        <f ca="1">+L89</f>
        <v>263273.14</v>
      </c>
      <c r="M9" s="51">
        <f ca="1">IF(D9&gt;0,L9*100/D9,0)</f>
        <v>28.085464049498611</v>
      </c>
      <c r="N9" s="51">
        <f t="shared" ca="1" si="6"/>
        <v>47.761465826114566</v>
      </c>
      <c r="O9" s="50">
        <f ca="1">+O89</f>
        <v>0</v>
      </c>
      <c r="P9" s="50">
        <f t="shared" ca="1" si="7"/>
        <v>0</v>
      </c>
      <c r="Q9" s="51">
        <f t="shared" ca="1" si="8"/>
        <v>0</v>
      </c>
      <c r="R9" s="293"/>
      <c r="S9" s="196"/>
      <c r="T9" s="349"/>
      <c r="U9" s="293"/>
      <c r="V9" s="196"/>
      <c r="W9" s="349"/>
      <c r="X9" s="196"/>
      <c r="Y9" s="196"/>
      <c r="Z9" s="196"/>
      <c r="AA9" s="196"/>
      <c r="AB9" s="196"/>
    </row>
    <row r="10" spans="1:28" ht="28.5" hidden="1" customHeight="1" x14ac:dyDescent="0.3">
      <c r="A10" s="54"/>
      <c r="B10" s="55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350"/>
      <c r="S10" s="351"/>
      <c r="T10" s="352"/>
      <c r="U10" s="350"/>
      <c r="V10" s="351"/>
      <c r="W10" s="352"/>
      <c r="X10" s="351"/>
      <c r="Y10" s="351"/>
      <c r="Z10" s="351"/>
      <c r="AA10" s="351"/>
      <c r="AB10" s="351"/>
    </row>
    <row r="11" spans="1:28" ht="28.5" hidden="1" customHeight="1" x14ac:dyDescent="0.3">
      <c r="A11" s="65"/>
      <c r="B11" s="55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350"/>
      <c r="S11" s="351"/>
      <c r="T11" s="352"/>
      <c r="U11" s="350"/>
      <c r="V11" s="351"/>
      <c r="W11" s="352"/>
      <c r="X11" s="351"/>
      <c r="Y11" s="351"/>
      <c r="Z11" s="351"/>
      <c r="AA11" s="351"/>
      <c r="AB11" s="351"/>
    </row>
    <row r="12" spans="1:28" ht="28.5" hidden="1" customHeight="1" x14ac:dyDescent="0.3">
      <c r="A12" s="54"/>
      <c r="B12" s="55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350"/>
      <c r="S12" s="351"/>
      <c r="T12" s="352"/>
      <c r="U12" s="350"/>
      <c r="V12" s="351"/>
      <c r="W12" s="352"/>
      <c r="X12" s="351"/>
      <c r="Y12" s="351"/>
      <c r="Z12" s="351"/>
      <c r="AA12" s="351"/>
      <c r="AB12" s="351"/>
    </row>
    <row r="13" spans="1:28" ht="28.5" customHeight="1" x14ac:dyDescent="0.3">
      <c r="A13" s="624" t="s">
        <v>39</v>
      </c>
      <c r="B13" s="583"/>
      <c r="C13" s="161">
        <f t="shared" ref="C13:C88" ca="1" si="19">D13+G13</f>
        <v>1861000</v>
      </c>
      <c r="D13" s="161">
        <f t="shared" ref="D13:I13" ca="1" si="20">SUM(D14:D30)</f>
        <v>1861000</v>
      </c>
      <c r="E13" s="161">
        <f t="shared" ca="1" si="20"/>
        <v>0</v>
      </c>
      <c r="F13" s="161">
        <f t="shared" ca="1" si="20"/>
        <v>1861000</v>
      </c>
      <c r="G13" s="161">
        <f t="shared" ca="1" si="20"/>
        <v>0</v>
      </c>
      <c r="H13" s="161">
        <f t="shared" ca="1" si="20"/>
        <v>1946000</v>
      </c>
      <c r="I13" s="161">
        <f t="shared" ca="1" si="20"/>
        <v>0</v>
      </c>
      <c r="J13" s="161">
        <f t="shared" ref="J13:J88" ca="1" si="21">L13+O13</f>
        <v>952071.66999999993</v>
      </c>
      <c r="K13" s="162">
        <f t="shared" ref="K13:K88" ca="1" si="22">IF(C13&gt;0,J13*100/C13,0)</f>
        <v>51.159144008597529</v>
      </c>
      <c r="L13" s="161">
        <f ca="1">SUM(L14:L30)</f>
        <v>952071.66999999993</v>
      </c>
      <c r="M13" s="40">
        <f t="shared" ref="M13:M88" ca="1" si="23">IF(D13&gt;0,L13*100/D13,0)</f>
        <v>51.159144008597529</v>
      </c>
      <c r="N13" s="40">
        <f t="shared" ref="N13:N88" ca="1" si="24">IF(H13&gt;0,L13*100/H13,0)</f>
        <v>48.924546248715316</v>
      </c>
      <c r="O13" s="39">
        <f ca="1">SUM(O14:O30)</f>
        <v>0</v>
      </c>
      <c r="P13" s="39">
        <f t="shared" ref="P13:P88" ca="1" si="25">IF(G13&gt;0,O13*100/G13,0)</f>
        <v>0</v>
      </c>
      <c r="Q13" s="40">
        <f t="shared" ref="Q13:Q88" ca="1" si="26">IF(I13&gt;0,O13*100/I13,0)</f>
        <v>0</v>
      </c>
      <c r="R13" s="348">
        <f t="shared" ref="R13:S13" ca="1" si="27">SUM(R14:R30)</f>
        <v>31240</v>
      </c>
      <c r="S13" s="161">
        <f t="shared" ca="1" si="27"/>
        <v>25676</v>
      </c>
      <c r="T13" s="40">
        <f t="shared" ref="T13:T88" ca="1" si="28">IF(R13&gt;0,S13*100/R13,0)</f>
        <v>82.189500640204869</v>
      </c>
      <c r="U13" s="348">
        <f t="shared" ref="U13:V13" ca="1" si="29">SUM(U14:U30)</f>
        <v>73</v>
      </c>
      <c r="V13" s="161">
        <f t="shared" ca="1" si="29"/>
        <v>36</v>
      </c>
      <c r="W13" s="40">
        <f t="shared" ref="W13:W88" ca="1" si="30">IF(U13&gt;0,V13*100/U13,0)</f>
        <v>49.315068493150683</v>
      </c>
      <c r="X13" s="161">
        <f t="shared" ref="X13:AB13" ca="1" si="31">SUM(X14:X30)</f>
        <v>1000</v>
      </c>
      <c r="Y13" s="161">
        <f t="shared" ca="1" si="31"/>
        <v>253</v>
      </c>
      <c r="Z13" s="161">
        <f t="shared" ca="1" si="31"/>
        <v>70</v>
      </c>
      <c r="AA13" s="161">
        <f t="shared" ca="1" si="31"/>
        <v>30495</v>
      </c>
      <c r="AB13" s="161">
        <f t="shared" ca="1" si="31"/>
        <v>36846</v>
      </c>
    </row>
    <row r="14" spans="1:28" ht="24" customHeight="1" x14ac:dyDescent="0.3">
      <c r="A14" s="77">
        <v>1</v>
      </c>
      <c r="B14" s="78" t="s">
        <v>40</v>
      </c>
      <c r="C14" s="174">
        <f t="shared" ca="1" si="19"/>
        <v>116000</v>
      </c>
      <c r="D14" s="175">
        <f t="shared" ref="D14:D30" ca="1" si="32">+E14+F14</f>
        <v>116000</v>
      </c>
      <c r="E14" s="176">
        <f ca="1">IFERROR(__xludf.DUMMYFUNCTION("IMPORTRANGE(""https://docs.google.com/spreadsheets/d/1-uDff_7J0KD5mKrp0Vvzr7lt3OU09vwQwhkpOPPYv2Y/edit?usp=sharing"",""งบพรบ!ET14"")"),0)</f>
        <v>0</v>
      </c>
      <c r="F14" s="176">
        <f ca="1">IFERROR(__xludf.DUMMYFUNCTION("IMPORTRANGE(""https://docs.google.com/spreadsheets/d/1-uDff_7J0KD5mKrp0Vvzr7lt3OU09vwQwhkpOPPYv2Y/edit?usp=sharing"",""งบพรบ!EU14"")"),116000)</f>
        <v>116000</v>
      </c>
      <c r="G14" s="177">
        <f ca="1">IFERROR(__xludf.DUMMYFUNCTION("IMPORTRANGE(""https://docs.google.com/spreadsheets/d/1-uDff_7J0KD5mKrp0Vvzr7lt3OU09vwQwhkpOPPYv2Y/edit?usp=sharing"",""งบพรบ!EV14"")"),0)</f>
        <v>0</v>
      </c>
      <c r="H14" s="177">
        <f ca="1">IFERROR(__xludf.DUMMYFUNCTION("IMPORTRANGE(""https://docs.google.com/spreadsheets/d/1-uDff_7J0KD5mKrp0Vvzr7lt3OU09vwQwhkpOPPYv2Y/edit?usp=sharing"",""งบพรบ!EX14"")"),121000)</f>
        <v>121000</v>
      </c>
      <c r="I14" s="177">
        <f ca="1">IFERROR(__xludf.DUMMYFUNCTION("IMPORTRANGE(""https://docs.google.com/spreadsheets/d/1-uDff_7J0KD5mKrp0Vvzr7lt3OU09vwQwhkpOPPYv2Y/edit?usp=sharing"",""งบพรบ!EY14"")"),0)</f>
        <v>0</v>
      </c>
      <c r="J14" s="177">
        <f t="shared" ca="1" si="21"/>
        <v>50030</v>
      </c>
      <c r="K14" s="178">
        <f t="shared" ca="1" si="22"/>
        <v>43.129310344827587</v>
      </c>
      <c r="L14" s="177">
        <f ca="1">IFERROR(__xludf.DUMMYFUNCTION("IMPORTRANGE(""https://docs.google.com/spreadsheets/d/1-uDff_7J0KD5mKrp0Vvzr7lt3OU09vwQwhkpOPPYv2Y/edit?usp=sharing"",""งบพรบ!EZ14"")"),50030)</f>
        <v>50030</v>
      </c>
      <c r="M14" s="87">
        <f t="shared" ca="1" si="23"/>
        <v>43.129310344827587</v>
      </c>
      <c r="N14" s="87">
        <f t="shared" ca="1" si="24"/>
        <v>41.347107438016529</v>
      </c>
      <c r="O14" s="86">
        <f ca="1">IFERROR(__xludf.DUMMYFUNCTION("IMPORTRANGE(""https://docs.google.com/spreadsheets/d/1-uDff_7J0KD5mKrp0Vvzr7lt3OU09vwQwhkpOPPYv2Y/edit?usp=sharing"",""งบพรบ!FA14"")"),0)</f>
        <v>0</v>
      </c>
      <c r="P14" s="86">
        <f t="shared" ca="1" si="25"/>
        <v>0</v>
      </c>
      <c r="Q14" s="87">
        <f t="shared" ca="1" si="26"/>
        <v>0</v>
      </c>
      <c r="R14" s="353">
        <f ca="1">IFERROR(__xludf.DUMMYFUNCTION("IMPORTRANGE(""https://docs.google.com/spreadsheets/d/1jTcq05yEiRwXcBMLjiodW9e4biSGYWAHcDj22rKWQ3s/edit?usp=sharing"",""กำแพงเพชร!I344"")"),5000)</f>
        <v>5000</v>
      </c>
      <c r="S14" s="177">
        <f ca="1">IFERROR(__xludf.DUMMYFUNCTION("IMPORTRANGE(""https://docs.google.com/spreadsheets/d/1jTcq05yEiRwXcBMLjiodW9e4biSGYWAHcDj22rKWQ3s/edit?usp=sharing"",""กำแพงเพชร!J344"")"),3076)</f>
        <v>3076</v>
      </c>
      <c r="T14" s="354">
        <f t="shared" ca="1" si="28"/>
        <v>61.52</v>
      </c>
      <c r="U14" s="353">
        <f ca="1">IFERROR(__xludf.DUMMYFUNCTION("IMPORTRANGE(""https://docs.google.com/spreadsheets/d/1jTcq05yEiRwXcBMLjiodW9e4biSGYWAHcDj22rKWQ3s/edit?usp=sharing"",""กำแพงเพชร!I346"")"),5)</f>
        <v>5</v>
      </c>
      <c r="V14" s="177">
        <f ca="1">IFERROR(__xludf.DUMMYFUNCTION("IMPORTRANGE(""https://docs.google.com/spreadsheets/d/1jTcq05yEiRwXcBMLjiodW9e4biSGYWAHcDj22rKWQ3s/edit?usp=sharing"",""กำแพงเพชร!J346"")"),4)</f>
        <v>4</v>
      </c>
      <c r="W14" s="354">
        <f t="shared" ca="1" si="30"/>
        <v>80</v>
      </c>
      <c r="X14" s="177">
        <f ca="1">IFERROR(__xludf.DUMMYFUNCTION("IMPORTRANGE(""https://docs.google.com/spreadsheets/d/1jTcq05yEiRwXcBMLjiodW9e4biSGYWAHcDj22rKWQ3s/edit?usp=sharing"",""กำแพงเพชร!J347"")"),0)</f>
        <v>0</v>
      </c>
      <c r="Y14" s="177">
        <f ca="1">IFERROR(__xludf.DUMMYFUNCTION("IMPORTRANGE(""https://docs.google.com/spreadsheets/d/1jTcq05yEiRwXcBMLjiodW9e4biSGYWAHcDj22rKWQ3s/edit?usp=sharing"",""กำแพงเพชร!J348"")"),4)</f>
        <v>4</v>
      </c>
      <c r="Z14" s="177">
        <f ca="1">IFERROR(__xludf.DUMMYFUNCTION("IMPORTRANGE(""https://docs.google.com/spreadsheets/d/1jTcq05yEiRwXcBMLjiodW9e4biSGYWAHcDj22rKWQ3s/edit?usp=sharing"",""กำแพงเพชร!J349"")"),0)</f>
        <v>0</v>
      </c>
      <c r="AA14" s="177">
        <f ca="1">IFERROR(__xludf.DUMMYFUNCTION("IMPORTRANGE(""https://docs.google.com/spreadsheets/d/1jTcq05yEiRwXcBMLjiodW9e4biSGYWAHcDj22rKWQ3s/edit?usp=sharing"",""กำแพงเพชร!J352"")"),4556)</f>
        <v>4556</v>
      </c>
      <c r="AB14" s="177">
        <f ca="1">IFERROR(__xludf.DUMMYFUNCTION("IMPORTRANGE(""https://docs.google.com/spreadsheets/d/1jTcq05yEiRwXcBMLjiodW9e4biSGYWAHcDj22rKWQ3s/edit?usp=sharing"",""กำแพงเพชร!J353"")"),864)</f>
        <v>864</v>
      </c>
    </row>
    <row r="15" spans="1:28" ht="24" customHeight="1" x14ac:dyDescent="0.3">
      <c r="A15" s="89">
        <v>2</v>
      </c>
      <c r="B15" s="90" t="s">
        <v>41</v>
      </c>
      <c r="C15" s="174">
        <f t="shared" ca="1" si="19"/>
        <v>116000</v>
      </c>
      <c r="D15" s="175">
        <f t="shared" ca="1" si="32"/>
        <v>116000</v>
      </c>
      <c r="E15" s="176">
        <f ca="1">IFERROR(__xludf.DUMMYFUNCTION("IMPORTRANGE(""https://docs.google.com/spreadsheets/d/1-uDff_7J0KD5mKrp0Vvzr7lt3OU09vwQwhkpOPPYv2Y/edit?usp=sharing"",""งบพรบ!ET15"")"),0)</f>
        <v>0</v>
      </c>
      <c r="F15" s="176">
        <f ca="1">IFERROR(__xludf.DUMMYFUNCTION("IMPORTRANGE(""https://docs.google.com/spreadsheets/d/1-uDff_7J0KD5mKrp0Vvzr7lt3OU09vwQwhkpOPPYv2Y/edit?usp=sharing"",""งบพรบ!EU15"")"),116000)</f>
        <v>116000</v>
      </c>
      <c r="G15" s="176">
        <f ca="1">IFERROR(__xludf.DUMMYFUNCTION("IMPORTRANGE(""https://docs.google.com/spreadsheets/d/1-uDff_7J0KD5mKrp0Vvzr7lt3OU09vwQwhkpOPPYv2Y/edit?usp=sharing"",""งบพรบ!EV15"")"),0)</f>
        <v>0</v>
      </c>
      <c r="H15" s="176">
        <f ca="1">IFERROR(__xludf.DUMMYFUNCTION("IMPORTRANGE(""https://docs.google.com/spreadsheets/d/1-uDff_7J0KD5mKrp0Vvzr7lt3OU09vwQwhkpOPPYv2Y/edit?usp=sharing"",""งบพรบ!EX15"")"),121000)</f>
        <v>121000</v>
      </c>
      <c r="I15" s="176">
        <f ca="1">IFERROR(__xludf.DUMMYFUNCTION("IMPORTRANGE(""https://docs.google.com/spreadsheets/d/1-uDff_7J0KD5mKrp0Vvzr7lt3OU09vwQwhkpOPPYv2Y/edit?usp=sharing"",""งบพรบ!EY15"")"),0)</f>
        <v>0</v>
      </c>
      <c r="J15" s="176">
        <f t="shared" ca="1" si="21"/>
        <v>89700</v>
      </c>
      <c r="K15" s="179">
        <f t="shared" ca="1" si="22"/>
        <v>77.327586206896555</v>
      </c>
      <c r="L15" s="176">
        <f ca="1">IFERROR(__xludf.DUMMYFUNCTION("IMPORTRANGE(""https://docs.google.com/spreadsheets/d/1-uDff_7J0KD5mKrp0Vvzr7lt3OU09vwQwhkpOPPYv2Y/edit?usp=sharing"",""งบพรบ!EZ15"")"),89700)</f>
        <v>89700</v>
      </c>
      <c r="M15" s="87">
        <f t="shared" ca="1" si="23"/>
        <v>77.327586206896555</v>
      </c>
      <c r="N15" s="87">
        <f t="shared" ca="1" si="24"/>
        <v>74.132231404958674</v>
      </c>
      <c r="O15" s="86">
        <f ca="1">IFERROR(__xludf.DUMMYFUNCTION("IMPORTRANGE(""https://docs.google.com/spreadsheets/d/1-uDff_7J0KD5mKrp0Vvzr7lt3OU09vwQwhkpOPPYv2Y/edit?usp=sharing"",""งบพรบ!FA15"")"),0)</f>
        <v>0</v>
      </c>
      <c r="P15" s="86">
        <f t="shared" ca="1" si="25"/>
        <v>0</v>
      </c>
      <c r="Q15" s="87">
        <f t="shared" ca="1" si="26"/>
        <v>0</v>
      </c>
      <c r="R15" s="353">
        <f ca="1">IFERROR(__xludf.DUMMYFUNCTION("IMPORTRANGE(""https://docs.google.com/spreadsheets/d/1KS0zmDSZPk8KnTAbGN-Xk6MtX1YRZD0ldgdt20K4CRk/edit?usp=sharing"",""เชียงราย!I344"")"),4000)</f>
        <v>4000</v>
      </c>
      <c r="S15" s="177">
        <f ca="1">IFERROR(__xludf.DUMMYFUNCTION("IMPORTRANGE(""https://docs.google.com/spreadsheets/d/1KS0zmDSZPk8KnTAbGN-Xk6MtX1YRZD0ldgdt20K4CRk/edit?usp=sharing"",""เชียงราย!J344"")"),2561)</f>
        <v>2561</v>
      </c>
      <c r="T15" s="354">
        <f t="shared" ca="1" si="28"/>
        <v>64.025000000000006</v>
      </c>
      <c r="U15" s="353">
        <f ca="1">IFERROR(__xludf.DUMMYFUNCTION("IMPORTRANGE(""https://docs.google.com/spreadsheets/d/1KS0zmDSZPk8KnTAbGN-Xk6MtX1YRZD0ldgdt20K4CRk/edit?usp=sharing"",""เชียงราย!I346"")"),5)</f>
        <v>5</v>
      </c>
      <c r="V15" s="177">
        <f ca="1">IFERROR(__xludf.DUMMYFUNCTION("IMPORTRANGE(""https://docs.google.com/spreadsheets/d/1KS0zmDSZPk8KnTAbGN-Xk6MtX1YRZD0ldgdt20K4CRk/edit?usp=sharing"",""เชียงราย!J346"")"),0)</f>
        <v>0</v>
      </c>
      <c r="W15" s="354">
        <f t="shared" ca="1" si="30"/>
        <v>0</v>
      </c>
      <c r="X15" s="177">
        <f ca="1">IFERROR(__xludf.DUMMYFUNCTION("IMPORTRANGE(""https://docs.google.com/spreadsheets/d/1KS0zmDSZPk8KnTAbGN-Xk6MtX1YRZD0ldgdt20K4CRk/edit?usp=sharing"",""เชียงราย!J347"")"),4)</f>
        <v>4</v>
      </c>
      <c r="Y15" s="177">
        <f ca="1">IFERROR(__xludf.DUMMYFUNCTION("IMPORTRANGE(""https://docs.google.com/spreadsheets/d/1KS0zmDSZPk8KnTAbGN-Xk6MtX1YRZD0ldgdt20K4CRk/edit?usp=sharing"",""เชียงราย!J348"")"),9)</f>
        <v>9</v>
      </c>
      <c r="Z15" s="177">
        <f ca="1">IFERROR(__xludf.DUMMYFUNCTION("IMPORTRANGE(""https://docs.google.com/spreadsheets/d/1KS0zmDSZPk8KnTAbGN-Xk6MtX1YRZD0ldgdt20K4CRk/edit?usp=sharing"",""เชียงราย!J349"")"),0)</f>
        <v>0</v>
      </c>
      <c r="AA15" s="177">
        <f ca="1">IFERROR(__xludf.DUMMYFUNCTION("IMPORTRANGE(""https://docs.google.com/spreadsheets/d/1KS0zmDSZPk8KnTAbGN-Xk6MtX1YRZD0ldgdt20K4CRk/edit?usp=sharing"",""เชียงราย!J352"")"),8357)</f>
        <v>8357</v>
      </c>
      <c r="AB15" s="177">
        <f ca="1">IFERROR(__xludf.DUMMYFUNCTION("IMPORTRANGE(""https://docs.google.com/spreadsheets/d/1KS0zmDSZPk8KnTAbGN-Xk6MtX1YRZD0ldgdt20K4CRk/edit?usp=sharing"",""เชียงราย!J353"")"),1552)</f>
        <v>1552</v>
      </c>
    </row>
    <row r="16" spans="1:28" ht="24" customHeight="1" x14ac:dyDescent="0.3">
      <c r="A16" s="89">
        <v>3</v>
      </c>
      <c r="B16" s="90" t="s">
        <v>42</v>
      </c>
      <c r="C16" s="174">
        <f t="shared" ca="1" si="19"/>
        <v>103000</v>
      </c>
      <c r="D16" s="175">
        <f t="shared" ca="1" si="32"/>
        <v>103000</v>
      </c>
      <c r="E16" s="176">
        <f ca="1">IFERROR(__xludf.DUMMYFUNCTION("IMPORTRANGE(""https://docs.google.com/spreadsheets/d/1-uDff_7J0KD5mKrp0Vvzr7lt3OU09vwQwhkpOPPYv2Y/edit?usp=sharing"",""งบพรบ!ET16"")"),0)</f>
        <v>0</v>
      </c>
      <c r="F16" s="176">
        <f ca="1">IFERROR(__xludf.DUMMYFUNCTION("IMPORTRANGE(""https://docs.google.com/spreadsheets/d/1-uDff_7J0KD5mKrp0Vvzr7lt3OU09vwQwhkpOPPYv2Y/edit?usp=sharing"",""งบพรบ!EU16"")"),103000)</f>
        <v>103000</v>
      </c>
      <c r="G16" s="176">
        <f ca="1">IFERROR(__xludf.DUMMYFUNCTION("IMPORTRANGE(""https://docs.google.com/spreadsheets/d/1-uDff_7J0KD5mKrp0Vvzr7lt3OU09vwQwhkpOPPYv2Y/edit?usp=sharing"",""งบพรบ!EV16"")"),0)</f>
        <v>0</v>
      </c>
      <c r="H16" s="176">
        <f ca="1">IFERROR(__xludf.DUMMYFUNCTION("IMPORTRANGE(""https://docs.google.com/spreadsheets/d/1-uDff_7J0KD5mKrp0Vvzr7lt3OU09vwQwhkpOPPYv2Y/edit?usp=sharing"",""งบพรบ!EX16"")"),108000)</f>
        <v>108000</v>
      </c>
      <c r="I16" s="176">
        <f ca="1">IFERROR(__xludf.DUMMYFUNCTION("IMPORTRANGE(""https://docs.google.com/spreadsheets/d/1-uDff_7J0KD5mKrp0Vvzr7lt3OU09vwQwhkpOPPYv2Y/edit?usp=sharing"",""งบพรบ!EY16"")"),0)</f>
        <v>0</v>
      </c>
      <c r="J16" s="176">
        <f t="shared" ca="1" si="21"/>
        <v>71897</v>
      </c>
      <c r="K16" s="179">
        <f t="shared" ca="1" si="22"/>
        <v>69.802912621359226</v>
      </c>
      <c r="L16" s="176">
        <f ca="1">IFERROR(__xludf.DUMMYFUNCTION("IMPORTRANGE(""https://docs.google.com/spreadsheets/d/1-uDff_7J0KD5mKrp0Vvzr7lt3OU09vwQwhkpOPPYv2Y/edit?usp=sharing"",""งบพรบ!EZ16"")"),71897)</f>
        <v>71897</v>
      </c>
      <c r="M16" s="87">
        <f t="shared" ca="1" si="23"/>
        <v>69.802912621359226</v>
      </c>
      <c r="N16" s="87">
        <f t="shared" ca="1" si="24"/>
        <v>66.571296296296296</v>
      </c>
      <c r="O16" s="86">
        <f ca="1">IFERROR(__xludf.DUMMYFUNCTION("IMPORTRANGE(""https://docs.google.com/spreadsheets/d/1-uDff_7J0KD5mKrp0Vvzr7lt3OU09vwQwhkpOPPYv2Y/edit?usp=sharing"",""งบพรบ!FA16"")"),0)</f>
        <v>0</v>
      </c>
      <c r="P16" s="86">
        <f t="shared" ca="1" si="25"/>
        <v>0</v>
      </c>
      <c r="Q16" s="87">
        <f t="shared" ca="1" si="26"/>
        <v>0</v>
      </c>
      <c r="R16" s="353">
        <f ca="1">IFERROR(__xludf.DUMMYFUNCTION("IMPORTRANGE(""https://docs.google.com/spreadsheets/d/1rEDxBtusbi64tE0zunoIbsTVV16HeL0oJ6trHQeQ7K8/edit?usp=sharing"",""เชียงใหม่!I344"")"),600)</f>
        <v>600</v>
      </c>
      <c r="S16" s="177">
        <f ca="1">IFERROR(__xludf.DUMMYFUNCTION("IMPORTRANGE(""https://docs.google.com/spreadsheets/d/1rEDxBtusbi64tE0zunoIbsTVV16HeL0oJ6trHQeQ7K8/edit?usp=sharing"",""เชียงใหม่!J344"")"),903)</f>
        <v>903</v>
      </c>
      <c r="T16" s="354">
        <f t="shared" ca="1" si="28"/>
        <v>150.5</v>
      </c>
      <c r="U16" s="353">
        <f ca="1">IFERROR(__xludf.DUMMYFUNCTION("IMPORTRANGE(""https://docs.google.com/spreadsheets/d/1rEDxBtusbi64tE0zunoIbsTVV16HeL0oJ6trHQeQ7K8/edit?usp=sharing"",""เชียงใหม่!I346"")"),3)</f>
        <v>3</v>
      </c>
      <c r="V16" s="177">
        <f ca="1">IFERROR(__xludf.DUMMYFUNCTION("IMPORTRANGE(""https://docs.google.com/spreadsheets/d/1rEDxBtusbi64tE0zunoIbsTVV16HeL0oJ6trHQeQ7K8/edit?usp=sharing"",""เชียงใหม่!J346"")"),3)</f>
        <v>3</v>
      </c>
      <c r="W16" s="354">
        <f t="shared" ca="1" si="30"/>
        <v>100</v>
      </c>
      <c r="X16" s="177">
        <f ca="1">IFERROR(__xludf.DUMMYFUNCTION("IMPORTRANGE(""https://docs.google.com/spreadsheets/d/1rEDxBtusbi64tE0zunoIbsTVV16HeL0oJ6trHQeQ7K8/edit?usp=sharing"",""เชียงใหม่!J347"")"),62)</f>
        <v>62</v>
      </c>
      <c r="Y16" s="177">
        <f ca="1">IFERROR(__xludf.DUMMYFUNCTION("IMPORTRANGE(""https://docs.google.com/spreadsheets/d/1rEDxBtusbi64tE0zunoIbsTVV16HeL0oJ6trHQeQ7K8/edit?usp=sharing"",""เชียงใหม่!J348"")"),119)</f>
        <v>119</v>
      </c>
      <c r="Z16" s="177">
        <f ca="1">IFERROR(__xludf.DUMMYFUNCTION("IMPORTRANGE(""https://docs.google.com/spreadsheets/d/1rEDxBtusbi64tE0zunoIbsTVV16HeL0oJ6trHQeQ7K8/edit?usp=sharing"",""เชียงใหม่!J349"")"),0)</f>
        <v>0</v>
      </c>
      <c r="AA16" s="177">
        <f ca="1">IFERROR(__xludf.DUMMYFUNCTION("IMPORTRANGE(""https://docs.google.com/spreadsheets/d/1rEDxBtusbi64tE0zunoIbsTVV16HeL0oJ6trHQeQ7K8/edit?usp=sharing"",""เชียงใหม่!J352"")"),584)</f>
        <v>584</v>
      </c>
      <c r="AB16" s="177">
        <f ca="1">IFERROR(__xludf.DUMMYFUNCTION("IMPORTRANGE(""https://docs.google.com/spreadsheets/d/1rEDxBtusbi64tE0zunoIbsTVV16HeL0oJ6trHQeQ7K8/edit?usp=sharing"",""เชียงใหม่!J353"")"),2898)</f>
        <v>2898</v>
      </c>
    </row>
    <row r="17" spans="1:28" ht="24" customHeight="1" x14ac:dyDescent="0.3">
      <c r="A17" s="89">
        <v>4</v>
      </c>
      <c r="B17" s="90" t="s">
        <v>43</v>
      </c>
      <c r="C17" s="174">
        <f t="shared" ca="1" si="19"/>
        <v>105000</v>
      </c>
      <c r="D17" s="175">
        <f t="shared" ca="1" si="32"/>
        <v>105000</v>
      </c>
      <c r="E17" s="176">
        <f ca="1">IFERROR(__xludf.DUMMYFUNCTION("IMPORTRANGE(""https://docs.google.com/spreadsheets/d/1-uDff_7J0KD5mKrp0Vvzr7lt3OU09vwQwhkpOPPYv2Y/edit?usp=sharing"",""งบพรบ!ET17"")"),0)</f>
        <v>0</v>
      </c>
      <c r="F17" s="176">
        <f ca="1">IFERROR(__xludf.DUMMYFUNCTION("IMPORTRANGE(""https://docs.google.com/spreadsheets/d/1-uDff_7J0KD5mKrp0Vvzr7lt3OU09vwQwhkpOPPYv2Y/edit?usp=sharing"",""งบพรบ!EU17"")"),105000)</f>
        <v>105000</v>
      </c>
      <c r="G17" s="176">
        <f ca="1">IFERROR(__xludf.DUMMYFUNCTION("IMPORTRANGE(""https://docs.google.com/spreadsheets/d/1-uDff_7J0KD5mKrp0Vvzr7lt3OU09vwQwhkpOPPYv2Y/edit?usp=sharing"",""งบพรบ!EV17"")"),0)</f>
        <v>0</v>
      </c>
      <c r="H17" s="176">
        <f ca="1">IFERROR(__xludf.DUMMYFUNCTION("IMPORTRANGE(""https://docs.google.com/spreadsheets/d/1-uDff_7J0KD5mKrp0Vvzr7lt3OU09vwQwhkpOPPYv2Y/edit?usp=sharing"",""งบพรบ!EX17"")"),110000)</f>
        <v>110000</v>
      </c>
      <c r="I17" s="176">
        <f ca="1">IFERROR(__xludf.DUMMYFUNCTION("IMPORTRANGE(""https://docs.google.com/spreadsheets/d/1-uDff_7J0KD5mKrp0Vvzr7lt3OU09vwQwhkpOPPYv2Y/edit?usp=sharing"",""งบพรบ!EY17"")"),0)</f>
        <v>0</v>
      </c>
      <c r="J17" s="176">
        <f t="shared" ca="1" si="21"/>
        <v>48570</v>
      </c>
      <c r="K17" s="179">
        <f t="shared" ca="1" si="22"/>
        <v>46.25714285714286</v>
      </c>
      <c r="L17" s="176">
        <f ca="1">IFERROR(__xludf.DUMMYFUNCTION("IMPORTRANGE(""https://docs.google.com/spreadsheets/d/1-uDff_7J0KD5mKrp0Vvzr7lt3OU09vwQwhkpOPPYv2Y/edit?usp=sharing"",""งบพรบ!EZ17"")"),48570)</f>
        <v>48570</v>
      </c>
      <c r="M17" s="87">
        <f t="shared" ca="1" si="23"/>
        <v>46.25714285714286</v>
      </c>
      <c r="N17" s="87">
        <f t="shared" ca="1" si="24"/>
        <v>44.154545454545456</v>
      </c>
      <c r="O17" s="86">
        <f ca="1">IFERROR(__xludf.DUMMYFUNCTION("IMPORTRANGE(""https://docs.google.com/spreadsheets/d/1-uDff_7J0KD5mKrp0Vvzr7lt3OU09vwQwhkpOPPYv2Y/edit?usp=sharing"",""งบพรบ!FA17"")"),0)</f>
        <v>0</v>
      </c>
      <c r="P17" s="86">
        <f t="shared" ca="1" si="25"/>
        <v>0</v>
      </c>
      <c r="Q17" s="87">
        <f t="shared" ca="1" si="26"/>
        <v>0</v>
      </c>
      <c r="R17" s="353">
        <f ca="1">IFERROR(__xludf.DUMMYFUNCTION("IMPORTRANGE(""https://docs.google.com/spreadsheets/d/1W6MnUbDkMi6xHnHko_XkFDO9kkuL6Wqyc-6OCDFjW9I/edit?usp=sharing"",""ตาก!I344"")"),600)</f>
        <v>600</v>
      </c>
      <c r="S17" s="177">
        <f ca="1">IFERROR(__xludf.DUMMYFUNCTION("IMPORTRANGE(""https://docs.google.com/spreadsheets/d/1W6MnUbDkMi6xHnHko_XkFDO9kkuL6Wqyc-6OCDFjW9I/edit?usp=sharing"",""ตาก!J344"")"),179)</f>
        <v>179</v>
      </c>
      <c r="T17" s="354">
        <f t="shared" ca="1" si="28"/>
        <v>29.833333333333332</v>
      </c>
      <c r="U17" s="353">
        <f ca="1">IFERROR(__xludf.DUMMYFUNCTION("IMPORTRANGE(""https://docs.google.com/spreadsheets/d/1W6MnUbDkMi6xHnHko_XkFDO9kkuL6Wqyc-6OCDFjW9I/edit?usp=sharing"",""ตาก!I346"")"),4)</f>
        <v>4</v>
      </c>
      <c r="V17" s="177">
        <f ca="1">IFERROR(__xludf.DUMMYFUNCTION("IMPORTRANGE(""https://docs.google.com/spreadsheets/d/1W6MnUbDkMi6xHnHko_XkFDO9kkuL6Wqyc-6OCDFjW9I/edit?usp=sharing"",""ตาก!J346"")"),6)</f>
        <v>6</v>
      </c>
      <c r="W17" s="354">
        <f t="shared" ca="1" si="30"/>
        <v>150</v>
      </c>
      <c r="X17" s="177">
        <f ca="1">IFERROR(__xludf.DUMMYFUNCTION("IMPORTRANGE(""https://docs.google.com/spreadsheets/d/1W6MnUbDkMi6xHnHko_XkFDO9kkuL6Wqyc-6OCDFjW9I/edit?usp=sharing"",""ตาก!J347"")"),153)</f>
        <v>153</v>
      </c>
      <c r="Y17" s="177">
        <f ca="1">IFERROR(__xludf.DUMMYFUNCTION("IMPORTRANGE(""https://docs.google.com/spreadsheets/d/1W6MnUbDkMi6xHnHko_XkFDO9kkuL6Wqyc-6OCDFjW9I/edit?usp=sharing"",""ตาก!J348"")"),1)</f>
        <v>1</v>
      </c>
      <c r="Z17" s="177">
        <f ca="1">IFERROR(__xludf.DUMMYFUNCTION("IMPORTRANGE(""https://docs.google.com/spreadsheets/d/1W6MnUbDkMi6xHnHko_XkFDO9kkuL6Wqyc-6OCDFjW9I/edit?usp=sharing"",""ตาก!J349"")"),0)</f>
        <v>0</v>
      </c>
      <c r="AA17" s="177">
        <f ca="1">IFERROR(__xludf.DUMMYFUNCTION("IMPORTRANGE(""https://docs.google.com/spreadsheets/d/1W6MnUbDkMi6xHnHko_XkFDO9kkuL6Wqyc-6OCDFjW9I/edit?usp=sharing"",""ตาก!J352"")"),399)</f>
        <v>399</v>
      </c>
      <c r="AB17" s="177">
        <f ca="1">IFERROR(__xludf.DUMMYFUNCTION("IMPORTRANGE(""https://docs.google.com/spreadsheets/d/1W6MnUbDkMi6xHnHko_XkFDO9kkuL6Wqyc-6OCDFjW9I/edit?usp=sharing"",""ตาก!J353"")"),1950)</f>
        <v>1950</v>
      </c>
    </row>
    <row r="18" spans="1:28" ht="24" customHeight="1" x14ac:dyDescent="0.3">
      <c r="A18" s="89">
        <v>5</v>
      </c>
      <c r="B18" s="90" t="s">
        <v>44</v>
      </c>
      <c r="C18" s="174">
        <f t="shared" ca="1" si="19"/>
        <v>113000</v>
      </c>
      <c r="D18" s="175">
        <f t="shared" ca="1" si="32"/>
        <v>113000</v>
      </c>
      <c r="E18" s="176">
        <f ca="1">IFERROR(__xludf.DUMMYFUNCTION("IMPORTRANGE(""https://docs.google.com/spreadsheets/d/1-uDff_7J0KD5mKrp0Vvzr7lt3OU09vwQwhkpOPPYv2Y/edit?usp=sharing"",""งบพรบ!ET18"")"),0)</f>
        <v>0</v>
      </c>
      <c r="F18" s="176">
        <f ca="1">IFERROR(__xludf.DUMMYFUNCTION("IMPORTRANGE(""https://docs.google.com/spreadsheets/d/1-uDff_7J0KD5mKrp0Vvzr7lt3OU09vwQwhkpOPPYv2Y/edit?usp=sharing"",""งบพรบ!EU18"")"),113000)</f>
        <v>113000</v>
      </c>
      <c r="G18" s="176">
        <f ca="1">IFERROR(__xludf.DUMMYFUNCTION("IMPORTRANGE(""https://docs.google.com/spreadsheets/d/1-uDff_7J0KD5mKrp0Vvzr7lt3OU09vwQwhkpOPPYv2Y/edit?usp=sharing"",""งบพรบ!EV18"")"),0)</f>
        <v>0</v>
      </c>
      <c r="H18" s="176">
        <f ca="1">IFERROR(__xludf.DUMMYFUNCTION("IMPORTRANGE(""https://docs.google.com/spreadsheets/d/1-uDff_7J0KD5mKrp0Vvzr7lt3OU09vwQwhkpOPPYv2Y/edit?usp=sharing"",""งบพรบ!EX18"")"),118000)</f>
        <v>118000</v>
      </c>
      <c r="I18" s="176">
        <f ca="1">IFERROR(__xludf.DUMMYFUNCTION("IMPORTRANGE(""https://docs.google.com/spreadsheets/d/1-uDff_7J0KD5mKrp0Vvzr7lt3OU09vwQwhkpOPPYv2Y/edit?usp=sharing"",""งบพรบ!EY18"")"),0)</f>
        <v>0</v>
      </c>
      <c r="J18" s="176">
        <f t="shared" ca="1" si="21"/>
        <v>45994</v>
      </c>
      <c r="K18" s="179">
        <f t="shared" ca="1" si="22"/>
        <v>40.702654867256641</v>
      </c>
      <c r="L18" s="176">
        <f ca="1">IFERROR(__xludf.DUMMYFUNCTION("IMPORTRANGE(""https://docs.google.com/spreadsheets/d/1-uDff_7J0KD5mKrp0Vvzr7lt3OU09vwQwhkpOPPYv2Y/edit?usp=sharing"",""งบพรบ!EZ18"")"),45994)</f>
        <v>45994</v>
      </c>
      <c r="M18" s="87">
        <f t="shared" ca="1" si="23"/>
        <v>40.702654867256641</v>
      </c>
      <c r="N18" s="87">
        <f t="shared" ca="1" si="24"/>
        <v>38.977966101694918</v>
      </c>
      <c r="O18" s="86">
        <f ca="1">IFERROR(__xludf.DUMMYFUNCTION("IMPORTRANGE(""https://docs.google.com/spreadsheets/d/1-uDff_7J0KD5mKrp0Vvzr7lt3OU09vwQwhkpOPPYv2Y/edit?usp=sharing"",""งบพรบ!FA18"")"),0)</f>
        <v>0</v>
      </c>
      <c r="P18" s="86">
        <f t="shared" ca="1" si="25"/>
        <v>0</v>
      </c>
      <c r="Q18" s="87">
        <f t="shared" ca="1" si="26"/>
        <v>0</v>
      </c>
      <c r="R18" s="353">
        <f ca="1">IFERROR(__xludf.DUMMYFUNCTION("IMPORTRANGE(""https://docs.google.com/spreadsheets/d/1IQAWArduLkta9LpYo4a_ULsyqdta6-6aDDiwpUnQT6c/edit?usp=sharing"",""นครสวรรค์!I344"")"),2340)</f>
        <v>2340</v>
      </c>
      <c r="S18" s="177">
        <f ca="1">IFERROR(__xludf.DUMMYFUNCTION("IMPORTRANGE(""https://docs.google.com/spreadsheets/d/1IQAWArduLkta9LpYo4a_ULsyqdta6-6aDDiwpUnQT6c/edit?usp=sharing"",""นครสวรรค์!J344"")"),1020)</f>
        <v>1020</v>
      </c>
      <c r="T18" s="354">
        <f t="shared" ca="1" si="28"/>
        <v>43.589743589743591</v>
      </c>
      <c r="U18" s="353">
        <f ca="1">IFERROR(__xludf.DUMMYFUNCTION("IMPORTRANGE(""https://docs.google.com/spreadsheets/d/1IQAWArduLkta9LpYo4a_ULsyqdta6-6aDDiwpUnQT6c/edit?usp=sharing"",""นครสวรรค์!I346"")"),5)</f>
        <v>5</v>
      </c>
      <c r="V18" s="177">
        <f ca="1">IFERROR(__xludf.DUMMYFUNCTION("IMPORTRANGE(""https://docs.google.com/spreadsheets/d/1IQAWArduLkta9LpYo4a_ULsyqdta6-6aDDiwpUnQT6c/edit?usp=sharing"",""นครสวรรค์!J346"")"),1)</f>
        <v>1</v>
      </c>
      <c r="W18" s="354">
        <f t="shared" ca="1" si="30"/>
        <v>20</v>
      </c>
      <c r="X18" s="177">
        <f ca="1">IFERROR(__xludf.DUMMYFUNCTION("IMPORTRANGE(""https://docs.google.com/spreadsheets/d/1IQAWArduLkta9LpYo4a_ULsyqdta6-6aDDiwpUnQT6c/edit?usp=sharing"",""นครสวรรค์!J347"")"),0)</f>
        <v>0</v>
      </c>
      <c r="Y18" s="177">
        <f ca="1">IFERROR(__xludf.DUMMYFUNCTION("IMPORTRANGE(""https://docs.google.com/spreadsheets/d/1IQAWArduLkta9LpYo4a_ULsyqdta6-6aDDiwpUnQT6c/edit?usp=sharing"",""นครสวรรค์!J348"")"),1)</f>
        <v>1</v>
      </c>
      <c r="Z18" s="177">
        <f ca="1">IFERROR(__xludf.DUMMYFUNCTION("IMPORTRANGE(""https://docs.google.com/spreadsheets/d/1IQAWArduLkta9LpYo4a_ULsyqdta6-6aDDiwpUnQT6c/edit?usp=sharing"",""นครสวรรค์!J349"")"),0)</f>
        <v>0</v>
      </c>
      <c r="AA18" s="177">
        <f ca="1">IFERROR(__xludf.DUMMYFUNCTION("IMPORTRANGE(""https://docs.google.com/spreadsheets/d/1IQAWArduLkta9LpYo4a_ULsyqdta6-6aDDiwpUnQT6c/edit?usp=sharing"",""นครสวรรค์!J352"")"),1119)</f>
        <v>1119</v>
      </c>
      <c r="AB18" s="177">
        <f ca="1">IFERROR(__xludf.DUMMYFUNCTION("IMPORTRANGE(""https://docs.google.com/spreadsheets/d/1IQAWArduLkta9LpYo4a_ULsyqdta6-6aDDiwpUnQT6c/edit?usp=sharing"",""นครสวรรค์!J353"")"),990)</f>
        <v>990</v>
      </c>
    </row>
    <row r="19" spans="1:28" ht="24" customHeight="1" x14ac:dyDescent="0.3">
      <c r="A19" s="89">
        <v>6</v>
      </c>
      <c r="B19" s="90" t="s">
        <v>45</v>
      </c>
      <c r="C19" s="174">
        <f t="shared" ca="1" si="19"/>
        <v>110000</v>
      </c>
      <c r="D19" s="175">
        <f t="shared" ca="1" si="32"/>
        <v>110000</v>
      </c>
      <c r="E19" s="176">
        <f ca="1">IFERROR(__xludf.DUMMYFUNCTION("IMPORTRANGE(""https://docs.google.com/spreadsheets/d/1-uDff_7J0KD5mKrp0Vvzr7lt3OU09vwQwhkpOPPYv2Y/edit?usp=sharing"",""งบพรบ!ET19"")"),0)</f>
        <v>0</v>
      </c>
      <c r="F19" s="176">
        <f ca="1">IFERROR(__xludf.DUMMYFUNCTION("IMPORTRANGE(""https://docs.google.com/spreadsheets/d/1-uDff_7J0KD5mKrp0Vvzr7lt3OU09vwQwhkpOPPYv2Y/edit?usp=sharing"",""งบพรบ!EU19"")"),110000)</f>
        <v>110000</v>
      </c>
      <c r="G19" s="176">
        <f ca="1">IFERROR(__xludf.DUMMYFUNCTION("IMPORTRANGE(""https://docs.google.com/spreadsheets/d/1-uDff_7J0KD5mKrp0Vvzr7lt3OU09vwQwhkpOPPYv2Y/edit?usp=sharing"",""งบพรบ!EV19"")"),0)</f>
        <v>0</v>
      </c>
      <c r="H19" s="176">
        <f ca="1">IFERROR(__xludf.DUMMYFUNCTION("IMPORTRANGE(""https://docs.google.com/spreadsheets/d/1-uDff_7J0KD5mKrp0Vvzr7lt3OU09vwQwhkpOPPYv2Y/edit?usp=sharing"",""งบพรบ!EX19"")"),115000)</f>
        <v>115000</v>
      </c>
      <c r="I19" s="176">
        <f ca="1">IFERROR(__xludf.DUMMYFUNCTION("IMPORTRANGE(""https://docs.google.com/spreadsheets/d/1-uDff_7J0KD5mKrp0Vvzr7lt3OU09vwQwhkpOPPYv2Y/edit?usp=sharing"",""งบพรบ!EY19"")"),0)</f>
        <v>0</v>
      </c>
      <c r="J19" s="176">
        <f t="shared" ca="1" si="21"/>
        <v>42600</v>
      </c>
      <c r="K19" s="179">
        <f t="shared" ca="1" si="22"/>
        <v>38.727272727272727</v>
      </c>
      <c r="L19" s="176">
        <f ca="1">IFERROR(__xludf.DUMMYFUNCTION("IMPORTRANGE(""https://docs.google.com/spreadsheets/d/1-uDff_7J0KD5mKrp0Vvzr7lt3OU09vwQwhkpOPPYv2Y/edit?usp=sharing"",""งบพรบ!EZ19"")"),42600)</f>
        <v>42600</v>
      </c>
      <c r="M19" s="87">
        <f t="shared" ca="1" si="23"/>
        <v>38.727272727272727</v>
      </c>
      <c r="N19" s="87">
        <f t="shared" ca="1" si="24"/>
        <v>37.043478260869563</v>
      </c>
      <c r="O19" s="86">
        <f ca="1">IFERROR(__xludf.DUMMYFUNCTION("IMPORTRANGE(""https://docs.google.com/spreadsheets/d/1-uDff_7J0KD5mKrp0Vvzr7lt3OU09vwQwhkpOPPYv2Y/edit?usp=sharing"",""งบพรบ!FA19"")"),0)</f>
        <v>0</v>
      </c>
      <c r="P19" s="86">
        <f t="shared" ca="1" si="25"/>
        <v>0</v>
      </c>
      <c r="Q19" s="87">
        <f t="shared" ca="1" si="26"/>
        <v>0</v>
      </c>
      <c r="R19" s="353">
        <f ca="1">IFERROR(__xludf.DUMMYFUNCTION("IMPORTRANGE(""https://docs.google.com/spreadsheets/d/10s13Sk5xrltsiR-Zkbmk5DwIaDIKO8XlbJAfqyT7Gvg/edit?usp=sharing"",""น่าน!I344"")"),1060)</f>
        <v>1060</v>
      </c>
      <c r="S19" s="177">
        <f ca="1">IFERROR(__xludf.DUMMYFUNCTION("IMPORTRANGE(""https://docs.google.com/spreadsheets/d/10s13Sk5xrltsiR-Zkbmk5DwIaDIKO8XlbJAfqyT7Gvg/edit?usp=sharing"",""น่าน!J344"")"),760)</f>
        <v>760</v>
      </c>
      <c r="T19" s="354">
        <f t="shared" ca="1" si="28"/>
        <v>71.698113207547166</v>
      </c>
      <c r="U19" s="353">
        <f ca="1">IFERROR(__xludf.DUMMYFUNCTION("IMPORTRANGE(""https://docs.google.com/spreadsheets/d/10s13Sk5xrltsiR-Zkbmk5DwIaDIKO8XlbJAfqyT7Gvg/edit?usp=sharing"",""น่าน!I346"")"),5)</f>
        <v>5</v>
      </c>
      <c r="V19" s="177">
        <f ca="1">IFERROR(__xludf.DUMMYFUNCTION("IMPORTRANGE(""https://docs.google.com/spreadsheets/d/10s13Sk5xrltsiR-Zkbmk5DwIaDIKO8XlbJAfqyT7Gvg/edit?usp=sharing"",""น่าน!J346"")"),0)</f>
        <v>0</v>
      </c>
      <c r="W19" s="354">
        <f t="shared" ca="1" si="30"/>
        <v>0</v>
      </c>
      <c r="X19" s="177">
        <f ca="1">IFERROR(__xludf.DUMMYFUNCTION("IMPORTRANGE(""https://docs.google.com/spreadsheets/d/10s13Sk5xrltsiR-Zkbmk5DwIaDIKO8XlbJAfqyT7Gvg/edit?usp=sharing"",""น่าน!J347"")"),0)</f>
        <v>0</v>
      </c>
      <c r="Y19" s="177">
        <f ca="1">IFERROR(__xludf.DUMMYFUNCTION("IMPORTRANGE(""https://docs.google.com/spreadsheets/d/10s13Sk5xrltsiR-Zkbmk5DwIaDIKO8XlbJAfqyT7Gvg/edit?usp=sharing"",""น่าน!J348"")"),0)</f>
        <v>0</v>
      </c>
      <c r="Z19" s="177">
        <f ca="1">IFERROR(__xludf.DUMMYFUNCTION("IMPORTRANGE(""https://docs.google.com/spreadsheets/d/10s13Sk5xrltsiR-Zkbmk5DwIaDIKO8XlbJAfqyT7Gvg/edit?usp=sharing"",""น่าน!J349"")"),0)</f>
        <v>0</v>
      </c>
      <c r="AA19" s="177">
        <f ca="1">IFERROR(__xludf.DUMMYFUNCTION("IMPORTRANGE(""https://docs.google.com/spreadsheets/d/10s13Sk5xrltsiR-Zkbmk5DwIaDIKO8XlbJAfqyT7Gvg/edit?usp=sharing"",""น่าน!J352"")"),785)</f>
        <v>785</v>
      </c>
      <c r="AB19" s="177">
        <f ca="1">IFERROR(__xludf.DUMMYFUNCTION("IMPORTRANGE(""https://docs.google.com/spreadsheets/d/10s13Sk5xrltsiR-Zkbmk5DwIaDIKO8XlbJAfqyT7Gvg/edit?usp=sharing"",""น่าน!J353"")"),2261)</f>
        <v>2261</v>
      </c>
    </row>
    <row r="20" spans="1:28" ht="24" customHeight="1" x14ac:dyDescent="0.3">
      <c r="A20" s="89">
        <v>7</v>
      </c>
      <c r="B20" s="90" t="s">
        <v>46</v>
      </c>
      <c r="C20" s="174">
        <f t="shared" ca="1" si="19"/>
        <v>106000</v>
      </c>
      <c r="D20" s="175">
        <f t="shared" ca="1" si="32"/>
        <v>106000</v>
      </c>
      <c r="E20" s="176">
        <f ca="1">IFERROR(__xludf.DUMMYFUNCTION("IMPORTRANGE(""https://docs.google.com/spreadsheets/d/1-uDff_7J0KD5mKrp0Vvzr7lt3OU09vwQwhkpOPPYv2Y/edit?usp=sharing"",""งบพรบ!ET20"")"),0)</f>
        <v>0</v>
      </c>
      <c r="F20" s="176">
        <f ca="1">IFERROR(__xludf.DUMMYFUNCTION("IMPORTRANGE(""https://docs.google.com/spreadsheets/d/1-uDff_7J0KD5mKrp0Vvzr7lt3OU09vwQwhkpOPPYv2Y/edit?usp=sharing"",""งบพรบ!EU20"")"),106000)</f>
        <v>106000</v>
      </c>
      <c r="G20" s="176">
        <f ca="1">IFERROR(__xludf.DUMMYFUNCTION("IMPORTRANGE(""https://docs.google.com/spreadsheets/d/1-uDff_7J0KD5mKrp0Vvzr7lt3OU09vwQwhkpOPPYv2Y/edit?usp=sharing"",""งบพรบ!EV20"")"),0)</f>
        <v>0</v>
      </c>
      <c r="H20" s="176">
        <f ca="1">IFERROR(__xludf.DUMMYFUNCTION("IMPORTRANGE(""https://docs.google.com/spreadsheets/d/1-uDff_7J0KD5mKrp0Vvzr7lt3OU09vwQwhkpOPPYv2Y/edit?usp=sharing"",""งบพรบ!EX20"")"),111000)</f>
        <v>111000</v>
      </c>
      <c r="I20" s="176">
        <f ca="1">IFERROR(__xludf.DUMMYFUNCTION("IMPORTRANGE(""https://docs.google.com/spreadsheets/d/1-uDff_7J0KD5mKrp0Vvzr7lt3OU09vwQwhkpOPPYv2Y/edit?usp=sharing"",""งบพรบ!EY20"")"),0)</f>
        <v>0</v>
      </c>
      <c r="J20" s="176">
        <f t="shared" ca="1" si="21"/>
        <v>46902</v>
      </c>
      <c r="K20" s="179">
        <f t="shared" ca="1" si="22"/>
        <v>44.247169811320752</v>
      </c>
      <c r="L20" s="176">
        <f ca="1">IFERROR(__xludf.DUMMYFUNCTION("IMPORTRANGE(""https://docs.google.com/spreadsheets/d/1-uDff_7J0KD5mKrp0Vvzr7lt3OU09vwQwhkpOPPYv2Y/edit?usp=sharing"",""งบพรบ!EZ20"")"),46902)</f>
        <v>46902</v>
      </c>
      <c r="M20" s="87">
        <f t="shared" ca="1" si="23"/>
        <v>44.247169811320752</v>
      </c>
      <c r="N20" s="87">
        <f t="shared" ca="1" si="24"/>
        <v>42.254054054054052</v>
      </c>
      <c r="O20" s="86">
        <f ca="1">IFERROR(__xludf.DUMMYFUNCTION("IMPORTRANGE(""https://docs.google.com/spreadsheets/d/1-uDff_7J0KD5mKrp0Vvzr7lt3OU09vwQwhkpOPPYv2Y/edit?usp=sharing"",""งบพรบ!FA20"")"),0)</f>
        <v>0</v>
      </c>
      <c r="P20" s="86">
        <f t="shared" ca="1" si="25"/>
        <v>0</v>
      </c>
      <c r="Q20" s="87">
        <f t="shared" ca="1" si="26"/>
        <v>0</v>
      </c>
      <c r="R20" s="353">
        <f ca="1">IFERROR(__xludf.DUMMYFUNCTION("IMPORTRANGE(""https://docs.google.com/spreadsheets/d/1uu4nAn4Dbi1XREnLKKotUANlKXa7yCgRcgq8HEzQYW8/edit?usp=sharing"",""พะเยา!I344"")"),1060)</f>
        <v>1060</v>
      </c>
      <c r="S20" s="177">
        <f ca="1">IFERROR(__xludf.DUMMYFUNCTION("IMPORTRANGE(""https://docs.google.com/spreadsheets/d/1uu4nAn4Dbi1XREnLKKotUANlKXa7yCgRcgq8HEzQYW8/edit?usp=sharing"",""พะเยา!J344"")"),1443)</f>
        <v>1443</v>
      </c>
      <c r="T20" s="354">
        <f t="shared" ca="1" si="28"/>
        <v>136.1320754716981</v>
      </c>
      <c r="U20" s="353">
        <f ca="1">IFERROR(__xludf.DUMMYFUNCTION("IMPORTRANGE(""https://docs.google.com/spreadsheets/d/1uu4nAn4Dbi1XREnLKKotUANlKXa7yCgRcgq8HEzQYW8/edit?usp=sharing"",""พะเยา!I346"")"),3)</f>
        <v>3</v>
      </c>
      <c r="V20" s="177">
        <f ca="1">IFERROR(__xludf.DUMMYFUNCTION("IMPORTRANGE(""https://docs.google.com/spreadsheets/d/1uu4nAn4Dbi1XREnLKKotUANlKXa7yCgRcgq8HEzQYW8/edit?usp=sharing"",""พะเยา!J346"")"),1)</f>
        <v>1</v>
      </c>
      <c r="W20" s="354">
        <f t="shared" ca="1" si="30"/>
        <v>33.333333333333336</v>
      </c>
      <c r="X20" s="177">
        <f ca="1">IFERROR(__xludf.DUMMYFUNCTION("IMPORTRANGE(""https://docs.google.com/spreadsheets/d/1uu4nAn4Dbi1XREnLKKotUANlKXa7yCgRcgq8HEzQYW8/edit?usp=sharing"",""พะเยา!J347"")"),0)</f>
        <v>0</v>
      </c>
      <c r="Y20" s="177">
        <f ca="1">IFERROR(__xludf.DUMMYFUNCTION("IMPORTRANGE(""https://docs.google.com/spreadsheets/d/1uu4nAn4Dbi1XREnLKKotUANlKXa7yCgRcgq8HEzQYW8/edit?usp=sharing"",""พะเยา!J348"")"),2)</f>
        <v>2</v>
      </c>
      <c r="Z20" s="177">
        <f ca="1">IFERROR(__xludf.DUMMYFUNCTION("IMPORTRANGE(""https://docs.google.com/spreadsheets/d/1uu4nAn4Dbi1XREnLKKotUANlKXa7yCgRcgq8HEzQYW8/edit?usp=sharing"",""พะเยา!J349"")"),0)</f>
        <v>0</v>
      </c>
      <c r="AA20" s="177">
        <f ca="1">IFERROR(__xludf.DUMMYFUNCTION("IMPORTRANGE(""https://docs.google.com/spreadsheets/d/1uu4nAn4Dbi1XREnLKKotUANlKXa7yCgRcgq8HEzQYW8/edit?usp=sharing"",""พะเยา!J352"")"),4449)</f>
        <v>4449</v>
      </c>
      <c r="AB20" s="177">
        <f ca="1">IFERROR(__xludf.DUMMYFUNCTION("IMPORTRANGE(""https://docs.google.com/spreadsheets/d/1uu4nAn4Dbi1XREnLKKotUANlKXa7yCgRcgq8HEzQYW8/edit?usp=sharing"",""พะเยา!J353"")"),6045)</f>
        <v>6045</v>
      </c>
    </row>
    <row r="21" spans="1:28" ht="24" customHeight="1" x14ac:dyDescent="0.3">
      <c r="A21" s="89">
        <v>8</v>
      </c>
      <c r="B21" s="90" t="s">
        <v>47</v>
      </c>
      <c r="C21" s="174">
        <f t="shared" ca="1" si="19"/>
        <v>103000</v>
      </c>
      <c r="D21" s="175">
        <f t="shared" ca="1" si="32"/>
        <v>103000</v>
      </c>
      <c r="E21" s="176">
        <f ca="1">IFERROR(__xludf.DUMMYFUNCTION("IMPORTRANGE(""https://docs.google.com/spreadsheets/d/1-uDff_7J0KD5mKrp0Vvzr7lt3OU09vwQwhkpOPPYv2Y/edit?usp=sharing"",""งบพรบ!ET21"")"),0)</f>
        <v>0</v>
      </c>
      <c r="F21" s="176">
        <f ca="1">IFERROR(__xludf.DUMMYFUNCTION("IMPORTRANGE(""https://docs.google.com/spreadsheets/d/1-uDff_7J0KD5mKrp0Vvzr7lt3OU09vwQwhkpOPPYv2Y/edit?usp=sharing"",""งบพรบ!EU21"")"),103000)</f>
        <v>103000</v>
      </c>
      <c r="G21" s="176">
        <f ca="1">IFERROR(__xludf.DUMMYFUNCTION("IMPORTRANGE(""https://docs.google.com/spreadsheets/d/1-uDff_7J0KD5mKrp0Vvzr7lt3OU09vwQwhkpOPPYv2Y/edit?usp=sharing"",""งบพรบ!EV21"")"),0)</f>
        <v>0</v>
      </c>
      <c r="H21" s="176">
        <f ca="1">IFERROR(__xludf.DUMMYFUNCTION("IMPORTRANGE(""https://docs.google.com/spreadsheets/d/1-uDff_7J0KD5mKrp0Vvzr7lt3OU09vwQwhkpOPPYv2Y/edit?usp=sharing"",""งบพรบ!EX21"")"),108000)</f>
        <v>108000</v>
      </c>
      <c r="I21" s="176">
        <f ca="1">IFERROR(__xludf.DUMMYFUNCTION("IMPORTRANGE(""https://docs.google.com/spreadsheets/d/1-uDff_7J0KD5mKrp0Vvzr7lt3OU09vwQwhkpOPPYv2Y/edit?usp=sharing"",""งบพรบ!EY21"")"),0)</f>
        <v>0</v>
      </c>
      <c r="J21" s="176">
        <f t="shared" ca="1" si="21"/>
        <v>52106.67</v>
      </c>
      <c r="K21" s="179">
        <f t="shared" ca="1" si="22"/>
        <v>50.588999999999999</v>
      </c>
      <c r="L21" s="176">
        <f ca="1">IFERROR(__xludf.DUMMYFUNCTION("IMPORTRANGE(""https://docs.google.com/spreadsheets/d/1-uDff_7J0KD5mKrp0Vvzr7lt3OU09vwQwhkpOPPYv2Y/edit?usp=sharing"",""งบพรบ!EZ21"")"),52106.67)</f>
        <v>52106.67</v>
      </c>
      <c r="M21" s="87">
        <f t="shared" ca="1" si="23"/>
        <v>50.588999999999999</v>
      </c>
      <c r="N21" s="87">
        <f t="shared" ca="1" si="24"/>
        <v>48.246916666666664</v>
      </c>
      <c r="O21" s="86">
        <f ca="1">IFERROR(__xludf.DUMMYFUNCTION("IMPORTRANGE(""https://docs.google.com/spreadsheets/d/1-uDff_7J0KD5mKrp0Vvzr7lt3OU09vwQwhkpOPPYv2Y/edit?usp=sharing"",""งบพรบ!FA21"")"),0)</f>
        <v>0</v>
      </c>
      <c r="P21" s="86">
        <f t="shared" ca="1" si="25"/>
        <v>0</v>
      </c>
      <c r="Q21" s="87">
        <f t="shared" ca="1" si="26"/>
        <v>0</v>
      </c>
      <c r="R21" s="353">
        <f ca="1">IFERROR(__xludf.DUMMYFUNCTION("IMPORTRANGE(""https://docs.google.com/spreadsheets/d/1xfJKIQxVOaPDIICqsflNlLu3JacTDk1FP9RH4phX7mI/edit?usp=sharing"",""พิจิตร!I344"")"),660)</f>
        <v>660</v>
      </c>
      <c r="S21" s="177">
        <f ca="1">IFERROR(__xludf.DUMMYFUNCTION("IMPORTRANGE(""https://docs.google.com/spreadsheets/d/1xfJKIQxVOaPDIICqsflNlLu3JacTDk1FP9RH4phX7mI/edit?usp=sharing"",""พิจิตร!J344"")"),152)</f>
        <v>152</v>
      </c>
      <c r="T21" s="354">
        <f t="shared" ca="1" si="28"/>
        <v>23.030303030303031</v>
      </c>
      <c r="U21" s="353">
        <f ca="1">IFERROR(__xludf.DUMMYFUNCTION("IMPORTRANGE(""https://docs.google.com/spreadsheets/d/1xfJKIQxVOaPDIICqsflNlLu3JacTDk1FP9RH4phX7mI/edit?usp=sharing"",""พิจิตร!I346"")"),3)</f>
        <v>3</v>
      </c>
      <c r="V21" s="177">
        <f ca="1">IFERROR(__xludf.DUMMYFUNCTION("IMPORTRANGE(""https://docs.google.com/spreadsheets/d/1xfJKIQxVOaPDIICqsflNlLu3JacTDk1FP9RH4phX7mI/edit?usp=sharing"",""พิจิตร!J346"")"),0)</f>
        <v>0</v>
      </c>
      <c r="W21" s="354">
        <f t="shared" ca="1" si="30"/>
        <v>0</v>
      </c>
      <c r="X21" s="177">
        <f ca="1">IFERROR(__xludf.DUMMYFUNCTION("IMPORTRANGE(""https://docs.google.com/spreadsheets/d/1xfJKIQxVOaPDIICqsflNlLu3JacTDk1FP9RH4phX7mI/edit?usp=sharing"",""พิจิตร!J347"")"),73)</f>
        <v>73</v>
      </c>
      <c r="Y21" s="177">
        <f ca="1">IFERROR(__xludf.DUMMYFUNCTION("IMPORTRANGE(""https://docs.google.com/spreadsheets/d/1xfJKIQxVOaPDIICqsflNlLu3JacTDk1FP9RH4phX7mI/edit?usp=sharing"",""พิจิตร!J348"")"),1)</f>
        <v>1</v>
      </c>
      <c r="Z21" s="177">
        <f ca="1">IFERROR(__xludf.DUMMYFUNCTION("IMPORTRANGE(""https://docs.google.com/spreadsheets/d/1xfJKIQxVOaPDIICqsflNlLu3JacTDk1FP9RH4phX7mI/edit?usp=sharing"",""พิจิตร!J349"")"),0)</f>
        <v>0</v>
      </c>
      <c r="AA21" s="177">
        <f ca="1">IFERROR(__xludf.DUMMYFUNCTION("IMPORTRANGE(""https://docs.google.com/spreadsheets/d/1xfJKIQxVOaPDIICqsflNlLu3JacTDk1FP9RH4phX7mI/edit?usp=sharing"",""พิจิตร!J352"")"),134)</f>
        <v>134</v>
      </c>
      <c r="AB21" s="177">
        <f ca="1">IFERROR(__xludf.DUMMYFUNCTION("IMPORTRANGE(""https://docs.google.com/spreadsheets/d/1xfJKIQxVOaPDIICqsflNlLu3JacTDk1FP9RH4phX7mI/edit?usp=sharing"",""พิจิตร!J353"")"),692)</f>
        <v>692</v>
      </c>
    </row>
    <row r="22" spans="1:28" ht="24" customHeight="1" x14ac:dyDescent="0.3">
      <c r="A22" s="89">
        <v>9</v>
      </c>
      <c r="B22" s="90" t="s">
        <v>48</v>
      </c>
      <c r="C22" s="174">
        <f t="shared" ca="1" si="19"/>
        <v>110000</v>
      </c>
      <c r="D22" s="175">
        <f t="shared" ca="1" si="32"/>
        <v>110000</v>
      </c>
      <c r="E22" s="176">
        <f ca="1">IFERROR(__xludf.DUMMYFUNCTION("IMPORTRANGE(""https://docs.google.com/spreadsheets/d/1-uDff_7J0KD5mKrp0Vvzr7lt3OU09vwQwhkpOPPYv2Y/edit?usp=sharing"",""งบพรบ!ET22"")"),0)</f>
        <v>0</v>
      </c>
      <c r="F22" s="176">
        <f ca="1">IFERROR(__xludf.DUMMYFUNCTION("IMPORTRANGE(""https://docs.google.com/spreadsheets/d/1-uDff_7J0KD5mKrp0Vvzr7lt3OU09vwQwhkpOPPYv2Y/edit?usp=sharing"",""งบพรบ!EU22"")"),110000)</f>
        <v>110000</v>
      </c>
      <c r="G22" s="176">
        <f ca="1">IFERROR(__xludf.DUMMYFUNCTION("IMPORTRANGE(""https://docs.google.com/spreadsheets/d/1-uDff_7J0KD5mKrp0Vvzr7lt3OU09vwQwhkpOPPYv2Y/edit?usp=sharing"",""งบพรบ!EV22"")"),0)</f>
        <v>0</v>
      </c>
      <c r="H22" s="176">
        <f ca="1">IFERROR(__xludf.DUMMYFUNCTION("IMPORTRANGE(""https://docs.google.com/spreadsheets/d/1-uDff_7J0KD5mKrp0Vvzr7lt3OU09vwQwhkpOPPYv2Y/edit?usp=sharing"",""งบพรบ!EX22"")"),115000)</f>
        <v>115000</v>
      </c>
      <c r="I22" s="176">
        <f ca="1">IFERROR(__xludf.DUMMYFUNCTION("IMPORTRANGE(""https://docs.google.com/spreadsheets/d/1-uDff_7J0KD5mKrp0Vvzr7lt3OU09vwQwhkpOPPYv2Y/edit?usp=sharing"",""งบพรบ!EY22"")"),0)</f>
        <v>0</v>
      </c>
      <c r="J22" s="176">
        <f t="shared" ca="1" si="21"/>
        <v>34585</v>
      </c>
      <c r="K22" s="179">
        <f t="shared" ca="1" si="22"/>
        <v>31.440909090909091</v>
      </c>
      <c r="L22" s="176">
        <f ca="1">IFERROR(__xludf.DUMMYFUNCTION("IMPORTRANGE(""https://docs.google.com/spreadsheets/d/1-uDff_7J0KD5mKrp0Vvzr7lt3OU09vwQwhkpOPPYv2Y/edit?usp=sharing"",""งบพรบ!EZ22"")"),34585)</f>
        <v>34585</v>
      </c>
      <c r="M22" s="87">
        <f t="shared" ca="1" si="23"/>
        <v>31.440909090909091</v>
      </c>
      <c r="N22" s="87">
        <f t="shared" ca="1" si="24"/>
        <v>30.07391304347826</v>
      </c>
      <c r="O22" s="86">
        <f ca="1">IFERROR(__xludf.DUMMYFUNCTION("IMPORTRANGE(""https://docs.google.com/spreadsheets/d/1-uDff_7J0KD5mKrp0Vvzr7lt3OU09vwQwhkpOPPYv2Y/edit?usp=sharing"",""งบพรบ!FA22"")"),0)</f>
        <v>0</v>
      </c>
      <c r="P22" s="86">
        <f t="shared" ca="1" si="25"/>
        <v>0</v>
      </c>
      <c r="Q22" s="87">
        <f t="shared" ca="1" si="26"/>
        <v>0</v>
      </c>
      <c r="R22" s="353">
        <f ca="1">IFERROR(__xludf.DUMMYFUNCTION("IMPORTRANGE(""https://docs.google.com/spreadsheets/d/1JtRfZkJMHtEhI5RdRHxYUG4FIZHqKDpNyIuN7A1Q0_k/edit?usp=sharing"",""พิษณุโลก!I344"")"),1060)</f>
        <v>1060</v>
      </c>
      <c r="S22" s="177">
        <f ca="1">IFERROR(__xludf.DUMMYFUNCTION("IMPORTRANGE(""https://docs.google.com/spreadsheets/d/1JtRfZkJMHtEhI5RdRHxYUG4FIZHqKDpNyIuN7A1Q0_k/edit?usp=sharing"",""พิษณุโลก!J344"")"),817)</f>
        <v>817</v>
      </c>
      <c r="T22" s="354">
        <f t="shared" ca="1" si="28"/>
        <v>77.075471698113205</v>
      </c>
      <c r="U22" s="353">
        <f ca="1">IFERROR(__xludf.DUMMYFUNCTION("IMPORTRANGE(""https://docs.google.com/spreadsheets/d/1JtRfZkJMHtEhI5RdRHxYUG4FIZHqKDpNyIuN7A1Q0_k/edit?usp=sharing"",""พิษณุโลก!I346"")"),5)</f>
        <v>5</v>
      </c>
      <c r="V22" s="177">
        <f ca="1">IFERROR(__xludf.DUMMYFUNCTION("IMPORTRANGE(""https://docs.google.com/spreadsheets/d/1JtRfZkJMHtEhI5RdRHxYUG4FIZHqKDpNyIuN7A1Q0_k/edit?usp=sharing"",""พิษณุโลก!J346"")"),4)</f>
        <v>4</v>
      </c>
      <c r="W22" s="354">
        <f t="shared" ca="1" si="30"/>
        <v>80</v>
      </c>
      <c r="X22" s="177">
        <f ca="1">IFERROR(__xludf.DUMMYFUNCTION("IMPORTRANGE(""https://docs.google.com/spreadsheets/d/1JtRfZkJMHtEhI5RdRHxYUG4FIZHqKDpNyIuN7A1Q0_k/edit?usp=sharing"",""พิษณุโลก!J347"")"),69)</f>
        <v>69</v>
      </c>
      <c r="Y22" s="177">
        <f ca="1">IFERROR(__xludf.DUMMYFUNCTION("IMPORTRANGE(""https://docs.google.com/spreadsheets/d/1JtRfZkJMHtEhI5RdRHxYUG4FIZHqKDpNyIuN7A1Q0_k/edit?usp=sharing"",""พิษณุโลก!J348"")"),2)</f>
        <v>2</v>
      </c>
      <c r="Z22" s="177">
        <f ca="1">IFERROR(__xludf.DUMMYFUNCTION("IMPORTRANGE(""https://docs.google.com/spreadsheets/d/1JtRfZkJMHtEhI5RdRHxYUG4FIZHqKDpNyIuN7A1Q0_k/edit?usp=sharing"",""พิษณุโลก!J349"")"),2)</f>
        <v>2</v>
      </c>
      <c r="AA22" s="177">
        <f ca="1">IFERROR(__xludf.DUMMYFUNCTION("IMPORTRANGE(""https://docs.google.com/spreadsheets/d/1JtRfZkJMHtEhI5RdRHxYUG4FIZHqKDpNyIuN7A1Q0_k/edit?usp=sharing"",""พิษณุโลก!J352"")"),1390)</f>
        <v>1390</v>
      </c>
      <c r="AB22" s="177">
        <f ca="1">IFERROR(__xludf.DUMMYFUNCTION("IMPORTRANGE(""https://docs.google.com/spreadsheets/d/1JtRfZkJMHtEhI5RdRHxYUG4FIZHqKDpNyIuN7A1Q0_k/edit?usp=sharing"",""พิษณุโลก!J353"")"),1056)</f>
        <v>1056</v>
      </c>
    </row>
    <row r="23" spans="1:28" ht="24" customHeight="1" x14ac:dyDescent="0.3">
      <c r="A23" s="89">
        <v>10</v>
      </c>
      <c r="B23" s="90" t="s">
        <v>49</v>
      </c>
      <c r="C23" s="174">
        <f t="shared" ca="1" si="19"/>
        <v>116000</v>
      </c>
      <c r="D23" s="175">
        <f t="shared" ca="1" si="32"/>
        <v>116000</v>
      </c>
      <c r="E23" s="176">
        <f ca="1">IFERROR(__xludf.DUMMYFUNCTION("IMPORTRANGE(""https://docs.google.com/spreadsheets/d/1-uDff_7J0KD5mKrp0Vvzr7lt3OU09vwQwhkpOPPYv2Y/edit?usp=sharing"",""งบพรบ!ET23"")"),0)</f>
        <v>0</v>
      </c>
      <c r="F23" s="176">
        <f ca="1">IFERROR(__xludf.DUMMYFUNCTION("IMPORTRANGE(""https://docs.google.com/spreadsheets/d/1-uDff_7J0KD5mKrp0Vvzr7lt3OU09vwQwhkpOPPYv2Y/edit?usp=sharing"",""งบพรบ!EU23"")"),116000)</f>
        <v>116000</v>
      </c>
      <c r="G23" s="176">
        <f ca="1">IFERROR(__xludf.DUMMYFUNCTION("IMPORTRANGE(""https://docs.google.com/spreadsheets/d/1-uDff_7J0KD5mKrp0Vvzr7lt3OU09vwQwhkpOPPYv2Y/edit?usp=sharing"",""งบพรบ!EV23"")"),0)</f>
        <v>0</v>
      </c>
      <c r="H23" s="176">
        <f ca="1">IFERROR(__xludf.DUMMYFUNCTION("IMPORTRANGE(""https://docs.google.com/spreadsheets/d/1-uDff_7J0KD5mKrp0Vvzr7lt3OU09vwQwhkpOPPYv2Y/edit?usp=sharing"",""งบพรบ!EX23"")"),121000)</f>
        <v>121000</v>
      </c>
      <c r="I23" s="176">
        <f ca="1">IFERROR(__xludf.DUMMYFUNCTION("IMPORTRANGE(""https://docs.google.com/spreadsheets/d/1-uDff_7J0KD5mKrp0Vvzr7lt3OU09vwQwhkpOPPYv2Y/edit?usp=sharing"",""งบพรบ!EY23"")"),0)</f>
        <v>0</v>
      </c>
      <c r="J23" s="176">
        <f t="shared" ca="1" si="21"/>
        <v>117491</v>
      </c>
      <c r="K23" s="179">
        <f t="shared" ca="1" si="22"/>
        <v>101.2853448275862</v>
      </c>
      <c r="L23" s="176">
        <f ca="1">IFERROR(__xludf.DUMMYFUNCTION("IMPORTRANGE(""https://docs.google.com/spreadsheets/d/1-uDff_7J0KD5mKrp0Vvzr7lt3OU09vwQwhkpOPPYv2Y/edit?usp=sharing"",""งบพรบ!EZ23"")"),117491)</f>
        <v>117491</v>
      </c>
      <c r="M23" s="87">
        <f t="shared" ca="1" si="23"/>
        <v>101.2853448275862</v>
      </c>
      <c r="N23" s="87">
        <f t="shared" ca="1" si="24"/>
        <v>97.1</v>
      </c>
      <c r="O23" s="86">
        <f ca="1">IFERROR(__xludf.DUMMYFUNCTION("IMPORTRANGE(""https://docs.google.com/spreadsheets/d/1-uDff_7J0KD5mKrp0Vvzr7lt3OU09vwQwhkpOPPYv2Y/edit?usp=sharing"",""งบพรบ!FA23"")"),0)</f>
        <v>0</v>
      </c>
      <c r="P23" s="86">
        <f t="shared" ca="1" si="25"/>
        <v>0</v>
      </c>
      <c r="Q23" s="87">
        <f t="shared" ca="1" si="26"/>
        <v>0</v>
      </c>
      <c r="R23" s="353">
        <f ca="1">IFERROR(__xludf.DUMMYFUNCTION("IMPORTRANGE(""https://docs.google.com/spreadsheets/d/1xlcVZWUNn6SuWm0c307h32SiGkd9BaeQWlAktfD3KO8/edit?usp=sharing"",""เพชรบูรณ์!I344"")"),5060)</f>
        <v>5060</v>
      </c>
      <c r="S23" s="177">
        <f ca="1">IFERROR(__xludf.DUMMYFUNCTION("IMPORTRANGE(""https://docs.google.com/spreadsheets/d/1xlcVZWUNn6SuWm0c307h32SiGkd9BaeQWlAktfD3KO8/edit?usp=sharing"",""เพชรบูรณ์!J344"")"),8785)</f>
        <v>8785</v>
      </c>
      <c r="T23" s="354">
        <f t="shared" ca="1" si="28"/>
        <v>173.61660079051384</v>
      </c>
      <c r="U23" s="353">
        <f ca="1">IFERROR(__xludf.DUMMYFUNCTION("IMPORTRANGE(""https://docs.google.com/spreadsheets/d/1xlcVZWUNn6SuWm0c307h32SiGkd9BaeQWlAktfD3KO8/edit?usp=sharing"",""เพชรบูรณ์!I346"")"),5)</f>
        <v>5</v>
      </c>
      <c r="V23" s="177">
        <f ca="1">IFERROR(__xludf.DUMMYFUNCTION("IMPORTRANGE(""https://docs.google.com/spreadsheets/d/1xlcVZWUNn6SuWm0c307h32SiGkd9BaeQWlAktfD3KO8/edit?usp=sharing"",""เพชรบูรณ์!J346"")"),4)</f>
        <v>4</v>
      </c>
      <c r="W23" s="354">
        <f t="shared" ca="1" si="30"/>
        <v>80</v>
      </c>
      <c r="X23" s="177">
        <f ca="1">IFERROR(__xludf.DUMMYFUNCTION("IMPORTRANGE(""https://docs.google.com/spreadsheets/d/1xlcVZWUNn6SuWm0c307h32SiGkd9BaeQWlAktfD3KO8/edit?usp=sharing"",""เพชรบูรณ์!J347"")"),303)</f>
        <v>303</v>
      </c>
      <c r="Y23" s="177">
        <f ca="1">IFERROR(__xludf.DUMMYFUNCTION("IMPORTRANGE(""https://docs.google.com/spreadsheets/d/1xlcVZWUNn6SuWm0c307h32SiGkd9BaeQWlAktfD3KO8/edit?usp=sharing"",""เพชรบูรณ์!J348"")"),0)</f>
        <v>0</v>
      </c>
      <c r="Z23" s="177">
        <f ca="1">IFERROR(__xludf.DUMMYFUNCTION("IMPORTRANGE(""https://docs.google.com/spreadsheets/d/1xlcVZWUNn6SuWm0c307h32SiGkd9BaeQWlAktfD3KO8/edit?usp=sharing"",""เพชรบูรณ์!J349"")"),68)</f>
        <v>68</v>
      </c>
      <c r="AA23" s="177">
        <f ca="1">IFERROR(__xludf.DUMMYFUNCTION("IMPORTRANGE(""https://docs.google.com/spreadsheets/d/1xlcVZWUNn6SuWm0c307h32SiGkd9BaeQWlAktfD3KO8/edit?usp=sharing"",""เพชรบูรณ์!J352"")"),2773)</f>
        <v>2773</v>
      </c>
      <c r="AB23" s="177">
        <f ca="1">IFERROR(__xludf.DUMMYFUNCTION("IMPORTRANGE(""https://docs.google.com/spreadsheets/d/1xlcVZWUNn6SuWm0c307h32SiGkd9BaeQWlAktfD3KO8/edit?usp=sharing"",""เพชรบูรณ์!J353"")"),3177)</f>
        <v>3177</v>
      </c>
    </row>
    <row r="24" spans="1:28" ht="24" customHeight="1" x14ac:dyDescent="0.3">
      <c r="A24" s="89">
        <v>11</v>
      </c>
      <c r="B24" s="90" t="s">
        <v>50</v>
      </c>
      <c r="C24" s="174">
        <f t="shared" ca="1" si="19"/>
        <v>108000</v>
      </c>
      <c r="D24" s="175">
        <f t="shared" ca="1" si="32"/>
        <v>108000</v>
      </c>
      <c r="E24" s="176">
        <f ca="1">IFERROR(__xludf.DUMMYFUNCTION("IMPORTRANGE(""https://docs.google.com/spreadsheets/d/1-uDff_7J0KD5mKrp0Vvzr7lt3OU09vwQwhkpOPPYv2Y/edit?usp=sharing"",""งบพรบ!ET24"")"),0)</f>
        <v>0</v>
      </c>
      <c r="F24" s="176">
        <f ca="1">IFERROR(__xludf.DUMMYFUNCTION("IMPORTRANGE(""https://docs.google.com/spreadsheets/d/1-uDff_7J0KD5mKrp0Vvzr7lt3OU09vwQwhkpOPPYv2Y/edit?usp=sharing"",""งบพรบ!EU24"")"),108000)</f>
        <v>108000</v>
      </c>
      <c r="G24" s="176">
        <f ca="1">IFERROR(__xludf.DUMMYFUNCTION("IMPORTRANGE(""https://docs.google.com/spreadsheets/d/1-uDff_7J0KD5mKrp0Vvzr7lt3OU09vwQwhkpOPPYv2Y/edit?usp=sharing"",""งบพรบ!EV24"")"),0)</f>
        <v>0</v>
      </c>
      <c r="H24" s="176">
        <f ca="1">IFERROR(__xludf.DUMMYFUNCTION("IMPORTRANGE(""https://docs.google.com/spreadsheets/d/1-uDff_7J0KD5mKrp0Vvzr7lt3OU09vwQwhkpOPPYv2Y/edit?usp=sharing"",""งบพรบ!EX24"")"),113000)</f>
        <v>113000</v>
      </c>
      <c r="I24" s="176">
        <f ca="1">IFERROR(__xludf.DUMMYFUNCTION("IMPORTRANGE(""https://docs.google.com/spreadsheets/d/1-uDff_7J0KD5mKrp0Vvzr7lt3OU09vwQwhkpOPPYv2Y/edit?usp=sharing"",""งบพรบ!EY24"")"),0)</f>
        <v>0</v>
      </c>
      <c r="J24" s="176">
        <f t="shared" ca="1" si="21"/>
        <v>44406</v>
      </c>
      <c r="K24" s="179">
        <f t="shared" ca="1" si="22"/>
        <v>41.116666666666667</v>
      </c>
      <c r="L24" s="176">
        <f ca="1">IFERROR(__xludf.DUMMYFUNCTION("IMPORTRANGE(""https://docs.google.com/spreadsheets/d/1-uDff_7J0KD5mKrp0Vvzr7lt3OU09vwQwhkpOPPYv2Y/edit?usp=sharing"",""งบพรบ!EZ24"")"),44406)</f>
        <v>44406</v>
      </c>
      <c r="M24" s="87">
        <f t="shared" ca="1" si="23"/>
        <v>41.116666666666667</v>
      </c>
      <c r="N24" s="87">
        <f t="shared" ca="1" si="24"/>
        <v>39.297345132743359</v>
      </c>
      <c r="O24" s="86">
        <f ca="1">IFERROR(__xludf.DUMMYFUNCTION("IMPORTRANGE(""https://docs.google.com/spreadsheets/d/1-uDff_7J0KD5mKrp0Vvzr7lt3OU09vwQwhkpOPPYv2Y/edit?usp=sharing"",""งบพรบ!FA24"")"),0)</f>
        <v>0</v>
      </c>
      <c r="P24" s="86">
        <f t="shared" ca="1" si="25"/>
        <v>0</v>
      </c>
      <c r="Q24" s="87">
        <f t="shared" ca="1" si="26"/>
        <v>0</v>
      </c>
      <c r="R24" s="353">
        <f ca="1">IFERROR(__xludf.DUMMYFUNCTION("IMPORTRANGE(""https://docs.google.com/spreadsheets/d/1lOVebEIsI9qjGXl6EX66luk7wiuP2tBaryw-wKvv4e0/edit?usp=sharing"",""แพร่!I344"")"),1140)</f>
        <v>1140</v>
      </c>
      <c r="S24" s="177">
        <f ca="1">IFERROR(__xludf.DUMMYFUNCTION("IMPORTRANGE(""https://docs.google.com/spreadsheets/d/1lOVebEIsI9qjGXl6EX66luk7wiuP2tBaryw-wKvv4e0/edit?usp=sharing"",""แพร่!J344"")"),628)</f>
        <v>628</v>
      </c>
      <c r="T24" s="354">
        <f t="shared" ca="1" si="28"/>
        <v>55.087719298245617</v>
      </c>
      <c r="U24" s="353">
        <f ca="1">IFERROR(__xludf.DUMMYFUNCTION("IMPORTRANGE(""https://docs.google.com/spreadsheets/d/1lOVebEIsI9qjGXl6EX66luk7wiuP2tBaryw-wKvv4e0/edit?usp=sharing"",""แพร่!I346"")"),4)</f>
        <v>4</v>
      </c>
      <c r="V24" s="177">
        <f ca="1">IFERROR(__xludf.DUMMYFUNCTION("IMPORTRANGE(""https://docs.google.com/spreadsheets/d/1lOVebEIsI9qjGXl6EX66luk7wiuP2tBaryw-wKvv4e0/edit?usp=sharing"",""แพร่!J346"")"),1)</f>
        <v>1</v>
      </c>
      <c r="W24" s="354">
        <f t="shared" ca="1" si="30"/>
        <v>25</v>
      </c>
      <c r="X24" s="177">
        <f ca="1">IFERROR(__xludf.DUMMYFUNCTION("IMPORTRANGE(""https://docs.google.com/spreadsheets/d/1lOVebEIsI9qjGXl6EX66luk7wiuP2tBaryw-wKvv4e0/edit?usp=sharing"",""แพร่!J347"")"),0)</f>
        <v>0</v>
      </c>
      <c r="Y24" s="177">
        <f ca="1">IFERROR(__xludf.DUMMYFUNCTION("IMPORTRANGE(""https://docs.google.com/spreadsheets/d/1lOVebEIsI9qjGXl6EX66luk7wiuP2tBaryw-wKvv4e0/edit?usp=sharing"",""แพร่!J348"")"),17)</f>
        <v>17</v>
      </c>
      <c r="Z24" s="177">
        <f ca="1">IFERROR(__xludf.DUMMYFUNCTION("IMPORTRANGE(""https://docs.google.com/spreadsheets/d/1lOVebEIsI9qjGXl6EX66luk7wiuP2tBaryw-wKvv4e0/edit?usp=sharing"",""แพร่!J349"")"),0)</f>
        <v>0</v>
      </c>
      <c r="AA24" s="177">
        <f ca="1">IFERROR(__xludf.DUMMYFUNCTION("IMPORTRANGE(""https://docs.google.com/spreadsheets/d/1lOVebEIsI9qjGXl6EX66luk7wiuP2tBaryw-wKvv4e0/edit?usp=sharing"",""แพร่!J352"")"),1283)</f>
        <v>1283</v>
      </c>
      <c r="AB24" s="177">
        <f ca="1">IFERROR(__xludf.DUMMYFUNCTION("IMPORTRANGE(""https://docs.google.com/spreadsheets/d/1lOVebEIsI9qjGXl6EX66luk7wiuP2tBaryw-wKvv4e0/edit?usp=sharing"",""แพร่!J353"")"),2343)</f>
        <v>2343</v>
      </c>
    </row>
    <row r="25" spans="1:28" ht="24" customHeight="1" x14ac:dyDescent="0.3">
      <c r="A25" s="89">
        <v>12</v>
      </c>
      <c r="B25" s="90" t="s">
        <v>51</v>
      </c>
      <c r="C25" s="174">
        <f t="shared" ca="1" si="19"/>
        <v>105000</v>
      </c>
      <c r="D25" s="175">
        <f t="shared" ca="1" si="32"/>
        <v>105000</v>
      </c>
      <c r="E25" s="176">
        <f ca="1">IFERROR(__xludf.DUMMYFUNCTION("IMPORTRANGE(""https://docs.google.com/spreadsheets/d/1-uDff_7J0KD5mKrp0Vvzr7lt3OU09vwQwhkpOPPYv2Y/edit?usp=sharing"",""งบพรบ!ET25"")"),0)</f>
        <v>0</v>
      </c>
      <c r="F25" s="176">
        <f ca="1">IFERROR(__xludf.DUMMYFUNCTION("IMPORTRANGE(""https://docs.google.com/spreadsheets/d/1-uDff_7J0KD5mKrp0Vvzr7lt3OU09vwQwhkpOPPYv2Y/edit?usp=sharing"",""งบพรบ!EU25"")"),105000)</f>
        <v>105000</v>
      </c>
      <c r="G25" s="176">
        <f ca="1">IFERROR(__xludf.DUMMYFUNCTION("IMPORTRANGE(""https://docs.google.com/spreadsheets/d/1-uDff_7J0KD5mKrp0Vvzr7lt3OU09vwQwhkpOPPYv2Y/edit?usp=sharing"",""งบพรบ!EV25"")"),0)</f>
        <v>0</v>
      </c>
      <c r="H25" s="176">
        <f ca="1">IFERROR(__xludf.DUMMYFUNCTION("IMPORTRANGE(""https://docs.google.com/spreadsheets/d/1-uDff_7J0KD5mKrp0Vvzr7lt3OU09vwQwhkpOPPYv2Y/edit?usp=sharing"",""งบพรบ!EX25"")"),110000)</f>
        <v>110000</v>
      </c>
      <c r="I25" s="176">
        <f ca="1">IFERROR(__xludf.DUMMYFUNCTION("IMPORTRANGE(""https://docs.google.com/spreadsheets/d/1-uDff_7J0KD5mKrp0Vvzr7lt3OU09vwQwhkpOPPYv2Y/edit?usp=sharing"",""งบพรบ!EY25"")"),0)</f>
        <v>0</v>
      </c>
      <c r="J25" s="176">
        <f t="shared" ca="1" si="21"/>
        <v>53195</v>
      </c>
      <c r="K25" s="179">
        <f t="shared" ca="1" si="22"/>
        <v>50.661904761904765</v>
      </c>
      <c r="L25" s="176">
        <f ca="1">IFERROR(__xludf.DUMMYFUNCTION("IMPORTRANGE(""https://docs.google.com/spreadsheets/d/1-uDff_7J0KD5mKrp0Vvzr7lt3OU09vwQwhkpOPPYv2Y/edit?usp=sharing"",""งบพรบ!EZ25"")"),53195)</f>
        <v>53195</v>
      </c>
      <c r="M25" s="87">
        <f t="shared" ca="1" si="23"/>
        <v>50.661904761904765</v>
      </c>
      <c r="N25" s="87">
        <f t="shared" ca="1" si="24"/>
        <v>48.359090909090909</v>
      </c>
      <c r="O25" s="86">
        <f ca="1">IFERROR(__xludf.DUMMYFUNCTION("IMPORTRANGE(""https://docs.google.com/spreadsheets/d/1-uDff_7J0KD5mKrp0Vvzr7lt3OU09vwQwhkpOPPYv2Y/edit?usp=sharing"",""งบพรบ!FA25"")"),0)</f>
        <v>0</v>
      </c>
      <c r="P25" s="86">
        <f t="shared" ca="1" si="25"/>
        <v>0</v>
      </c>
      <c r="Q25" s="87">
        <f t="shared" ca="1" si="26"/>
        <v>0</v>
      </c>
      <c r="R25" s="353">
        <f ca="1">IFERROR(__xludf.DUMMYFUNCTION("IMPORTRANGE(""https://docs.google.com/spreadsheets/d/1dQrvX0vEcN7Gu0fnZ0B5S90AeR19zth4XlExFBeExMY/edit?usp=sharing"",""แม่ฮ่องสอน!I344"")"),260)</f>
        <v>260</v>
      </c>
      <c r="S25" s="177">
        <f ca="1">IFERROR(__xludf.DUMMYFUNCTION("IMPORTRANGE(""https://docs.google.com/spreadsheets/d/1dQrvX0vEcN7Gu0fnZ0B5S90AeR19zth4XlExFBeExMY/edit?usp=sharing"",""แม่ฮ่องสอน!J344"")"),30)</f>
        <v>30</v>
      </c>
      <c r="T25" s="354">
        <f t="shared" ca="1" si="28"/>
        <v>11.538461538461538</v>
      </c>
      <c r="U25" s="353">
        <f ca="1">IFERROR(__xludf.DUMMYFUNCTION("IMPORTRANGE(""https://docs.google.com/spreadsheets/d/1dQrvX0vEcN7Gu0fnZ0B5S90AeR19zth4XlExFBeExMY/edit?usp=sharing"",""แม่ฮ่องสอน!I346"")"),4)</f>
        <v>4</v>
      </c>
      <c r="V25" s="177">
        <f ca="1">IFERROR(__xludf.DUMMYFUNCTION("IMPORTRANGE(""https://docs.google.com/spreadsheets/d/1dQrvX0vEcN7Gu0fnZ0B5S90AeR19zth4XlExFBeExMY/edit?usp=sharing"",""แม่ฮ่องสอน!J346"")"),2)</f>
        <v>2</v>
      </c>
      <c r="W25" s="354">
        <f t="shared" ca="1" si="30"/>
        <v>50</v>
      </c>
      <c r="X25" s="177">
        <f ca="1">IFERROR(__xludf.DUMMYFUNCTION("IMPORTRANGE(""https://docs.google.com/spreadsheets/d/1dQrvX0vEcN7Gu0fnZ0B5S90AeR19zth4XlExFBeExMY/edit?usp=sharing"",""แม่ฮ่องสอน!J347"")"),1)</f>
        <v>1</v>
      </c>
      <c r="Y25" s="177">
        <f ca="1">IFERROR(__xludf.DUMMYFUNCTION("IMPORTRANGE(""https://docs.google.com/spreadsheets/d/1dQrvX0vEcN7Gu0fnZ0B5S90AeR19zth4XlExFBeExMY/edit?usp=sharing"",""แม่ฮ่องสอน!J348"")"),2)</f>
        <v>2</v>
      </c>
      <c r="Z25" s="177">
        <f ca="1">IFERROR(__xludf.DUMMYFUNCTION("IMPORTRANGE(""https://docs.google.com/spreadsheets/d/1dQrvX0vEcN7Gu0fnZ0B5S90AeR19zth4XlExFBeExMY/edit?usp=sharing"",""แม่ฮ่องสอน!J349"")"),0)</f>
        <v>0</v>
      </c>
      <c r="AA25" s="177">
        <f ca="1">IFERROR(__xludf.DUMMYFUNCTION("IMPORTRANGE(""https://docs.google.com/spreadsheets/d/1dQrvX0vEcN7Gu0fnZ0B5S90AeR19zth4XlExFBeExMY/edit?usp=sharing"",""แม่ฮ่องสอน!J352"")"),7)</f>
        <v>7</v>
      </c>
      <c r="AB25" s="177">
        <f ca="1">IFERROR(__xludf.DUMMYFUNCTION("IMPORTRANGE(""https://docs.google.com/spreadsheets/d/1dQrvX0vEcN7Gu0fnZ0B5S90AeR19zth4XlExFBeExMY/edit?usp=sharing"",""แม่ฮ่องสอน!J353"")"),727)</f>
        <v>727</v>
      </c>
    </row>
    <row r="26" spans="1:28" ht="24" customHeight="1" x14ac:dyDescent="0.3">
      <c r="A26" s="89">
        <v>13</v>
      </c>
      <c r="B26" s="90" t="s">
        <v>52</v>
      </c>
      <c r="C26" s="174">
        <f t="shared" ca="1" si="19"/>
        <v>110000</v>
      </c>
      <c r="D26" s="175">
        <f t="shared" ca="1" si="32"/>
        <v>110000</v>
      </c>
      <c r="E26" s="176">
        <f ca="1">IFERROR(__xludf.DUMMYFUNCTION("IMPORTRANGE(""https://docs.google.com/spreadsheets/d/1-uDff_7J0KD5mKrp0Vvzr7lt3OU09vwQwhkpOPPYv2Y/edit?usp=sharing"",""งบพรบ!ET26"")"),0)</f>
        <v>0</v>
      </c>
      <c r="F26" s="176">
        <f ca="1">IFERROR(__xludf.DUMMYFUNCTION("IMPORTRANGE(""https://docs.google.com/spreadsheets/d/1-uDff_7J0KD5mKrp0Vvzr7lt3OU09vwQwhkpOPPYv2Y/edit?usp=sharing"",""งบพรบ!EU26"")"),110000)</f>
        <v>110000</v>
      </c>
      <c r="G26" s="176">
        <f ca="1">IFERROR(__xludf.DUMMYFUNCTION("IMPORTRANGE(""https://docs.google.com/spreadsheets/d/1-uDff_7J0KD5mKrp0Vvzr7lt3OU09vwQwhkpOPPYv2Y/edit?usp=sharing"",""งบพรบ!EV26"")"),0)</f>
        <v>0</v>
      </c>
      <c r="H26" s="176">
        <f ca="1">IFERROR(__xludf.DUMMYFUNCTION("IMPORTRANGE(""https://docs.google.com/spreadsheets/d/1-uDff_7J0KD5mKrp0Vvzr7lt3OU09vwQwhkpOPPYv2Y/edit?usp=sharing"",""งบพรบ!EX26"")"),115000)</f>
        <v>115000</v>
      </c>
      <c r="I26" s="176">
        <f ca="1">IFERROR(__xludf.DUMMYFUNCTION("IMPORTRANGE(""https://docs.google.com/spreadsheets/d/1-uDff_7J0KD5mKrp0Vvzr7lt3OU09vwQwhkpOPPYv2Y/edit?usp=sharing"",""งบพรบ!EY26"")"),0)</f>
        <v>0</v>
      </c>
      <c r="J26" s="176">
        <f t="shared" ca="1" si="21"/>
        <v>57310</v>
      </c>
      <c r="K26" s="179">
        <f t="shared" ca="1" si="22"/>
        <v>52.1</v>
      </c>
      <c r="L26" s="176">
        <f ca="1">IFERROR(__xludf.DUMMYFUNCTION("IMPORTRANGE(""https://docs.google.com/spreadsheets/d/1-uDff_7J0KD5mKrp0Vvzr7lt3OU09vwQwhkpOPPYv2Y/edit?usp=sharing"",""งบพรบ!EZ26"")"),57310)</f>
        <v>57310</v>
      </c>
      <c r="M26" s="87">
        <f t="shared" ca="1" si="23"/>
        <v>52.1</v>
      </c>
      <c r="N26" s="87">
        <f t="shared" ca="1" si="24"/>
        <v>49.834782608695654</v>
      </c>
      <c r="O26" s="86">
        <f ca="1">IFERROR(__xludf.DUMMYFUNCTION("IMPORTRANGE(""https://docs.google.com/spreadsheets/d/1-uDff_7J0KD5mKrp0Vvzr7lt3OU09vwQwhkpOPPYv2Y/edit?usp=sharing"",""งบพรบ!FA26"")"),0)</f>
        <v>0</v>
      </c>
      <c r="P26" s="86">
        <f t="shared" ca="1" si="25"/>
        <v>0</v>
      </c>
      <c r="Q26" s="87">
        <f t="shared" ca="1" si="26"/>
        <v>0</v>
      </c>
      <c r="R26" s="355">
        <f ca="1">IFERROR(__xludf.DUMMYFUNCTION("IMPORTRANGE(""https://docs.google.com/spreadsheets/d/1DY4XTNNwjluuxqdfdn6qvOSlMRrZqUtmYcZR0ttFiG4/edit?usp=sharing"",""ลำปาง!I344"")"),1340)</f>
        <v>1340</v>
      </c>
      <c r="S26" s="177">
        <f ca="1">IFERROR(__xludf.DUMMYFUNCTION("IMPORTRANGE(""https://docs.google.com/spreadsheets/d/1DY4XTNNwjluuxqdfdn6qvOSlMRrZqUtmYcZR0ttFiG4/edit?usp=sharing"",""ลำปาง!J344"")"),2500)</f>
        <v>2500</v>
      </c>
      <c r="T26" s="354">
        <f t="shared" ca="1" si="28"/>
        <v>186.56716417910448</v>
      </c>
      <c r="U26" s="355">
        <f ca="1">IFERROR(__xludf.DUMMYFUNCTION("IMPORTRANGE(""https://docs.google.com/spreadsheets/d/1DY4XTNNwjluuxqdfdn6qvOSlMRrZqUtmYcZR0ttFiG4/edit?usp=sharing"",""ลำปาง!I346"")"),5)</f>
        <v>5</v>
      </c>
      <c r="V26" s="177">
        <f ca="1">IFERROR(__xludf.DUMMYFUNCTION("IMPORTRANGE(""https://docs.google.com/spreadsheets/d/1DY4XTNNwjluuxqdfdn6qvOSlMRrZqUtmYcZR0ttFiG4/edit?usp=sharing"",""ลำปาง!J346"")"),2)</f>
        <v>2</v>
      </c>
      <c r="W26" s="354">
        <f t="shared" ca="1" si="30"/>
        <v>40</v>
      </c>
      <c r="X26" s="177">
        <f ca="1">IFERROR(__xludf.DUMMYFUNCTION("IMPORTRANGE(""https://docs.google.com/spreadsheets/d/1DY4XTNNwjluuxqdfdn6qvOSlMRrZqUtmYcZR0ttFiG4/edit?usp=sharing"",""ลำปาง!J347"")"),104)</f>
        <v>104</v>
      </c>
      <c r="Y26" s="177">
        <f ca="1">IFERROR(__xludf.DUMMYFUNCTION("IMPORTRANGE(""https://docs.google.com/spreadsheets/d/1DY4XTNNwjluuxqdfdn6qvOSlMRrZqUtmYcZR0ttFiG4/edit?usp=sharing"",""ลำปาง!J348"")"),3)</f>
        <v>3</v>
      </c>
      <c r="Z26" s="177">
        <f ca="1">IFERROR(__xludf.DUMMYFUNCTION("IMPORTRANGE(""https://docs.google.com/spreadsheets/d/1DY4XTNNwjluuxqdfdn6qvOSlMRrZqUtmYcZR0ttFiG4/edit?usp=sharing"",""ลำปาง!J349"")"),0)</f>
        <v>0</v>
      </c>
      <c r="AA26" s="177">
        <f ca="1">IFERROR(__xludf.DUMMYFUNCTION("IMPORTRANGE(""https://docs.google.com/spreadsheets/d/1DY4XTNNwjluuxqdfdn6qvOSlMRrZqUtmYcZR0ttFiG4/edit?usp=sharing"",""ลำปาง!J352"")"),1635)</f>
        <v>1635</v>
      </c>
      <c r="AB26" s="177">
        <f ca="1">IFERROR(__xludf.DUMMYFUNCTION("IMPORTRANGE(""https://docs.google.com/spreadsheets/d/1DY4XTNNwjluuxqdfdn6qvOSlMRrZqUtmYcZR0ttFiG4/edit?usp=sharing"",""ลำปาง!J353"")"),3245)</f>
        <v>3245</v>
      </c>
    </row>
    <row r="27" spans="1:28" ht="24" customHeight="1" x14ac:dyDescent="0.3">
      <c r="A27" s="89">
        <v>14</v>
      </c>
      <c r="B27" s="90" t="s">
        <v>53</v>
      </c>
      <c r="C27" s="174">
        <f t="shared" ca="1" si="19"/>
        <v>105000</v>
      </c>
      <c r="D27" s="175">
        <f t="shared" ca="1" si="32"/>
        <v>105000</v>
      </c>
      <c r="E27" s="176">
        <f ca="1">IFERROR(__xludf.DUMMYFUNCTION("IMPORTRANGE(""https://docs.google.com/spreadsheets/d/1-uDff_7J0KD5mKrp0Vvzr7lt3OU09vwQwhkpOPPYv2Y/edit?usp=sharing"",""งบพรบ!ET27"")"),0)</f>
        <v>0</v>
      </c>
      <c r="F27" s="176">
        <f ca="1">IFERROR(__xludf.DUMMYFUNCTION("IMPORTRANGE(""https://docs.google.com/spreadsheets/d/1-uDff_7J0KD5mKrp0Vvzr7lt3OU09vwQwhkpOPPYv2Y/edit?usp=sharing"",""งบพรบ!EU27"")"),105000)</f>
        <v>105000</v>
      </c>
      <c r="G27" s="176">
        <f ca="1">IFERROR(__xludf.DUMMYFUNCTION("IMPORTRANGE(""https://docs.google.com/spreadsheets/d/1-uDff_7J0KD5mKrp0Vvzr7lt3OU09vwQwhkpOPPYv2Y/edit?usp=sharing"",""งบพรบ!EV27"")"),0)</f>
        <v>0</v>
      </c>
      <c r="H27" s="176">
        <f ca="1">IFERROR(__xludf.DUMMYFUNCTION("IMPORTRANGE(""https://docs.google.com/spreadsheets/d/1-uDff_7J0KD5mKrp0Vvzr7lt3OU09vwQwhkpOPPYv2Y/edit?usp=sharing"",""งบพรบ!EX27"")"),110000)</f>
        <v>110000</v>
      </c>
      <c r="I27" s="176">
        <f ca="1">IFERROR(__xludf.DUMMYFUNCTION("IMPORTRANGE(""https://docs.google.com/spreadsheets/d/1-uDff_7J0KD5mKrp0Vvzr7lt3OU09vwQwhkpOPPYv2Y/edit?usp=sharing"",""งบพรบ!EY27"")"),0)</f>
        <v>0</v>
      </c>
      <c r="J27" s="176">
        <f t="shared" ca="1" si="21"/>
        <v>54590</v>
      </c>
      <c r="K27" s="179">
        <f t="shared" ca="1" si="22"/>
        <v>51.990476190476187</v>
      </c>
      <c r="L27" s="176">
        <f ca="1">IFERROR(__xludf.DUMMYFUNCTION("IMPORTRANGE(""https://docs.google.com/spreadsheets/d/1-uDff_7J0KD5mKrp0Vvzr7lt3OU09vwQwhkpOPPYv2Y/edit?usp=sharing"",""งบพรบ!EZ27"")"),54590)</f>
        <v>54590</v>
      </c>
      <c r="M27" s="87">
        <f t="shared" ca="1" si="23"/>
        <v>51.990476190476187</v>
      </c>
      <c r="N27" s="87">
        <f t="shared" ca="1" si="24"/>
        <v>49.627272727272725</v>
      </c>
      <c r="O27" s="86">
        <f ca="1">IFERROR(__xludf.DUMMYFUNCTION("IMPORTRANGE(""https://docs.google.com/spreadsheets/d/1-uDff_7J0KD5mKrp0Vvzr7lt3OU09vwQwhkpOPPYv2Y/edit?usp=sharing"",""งบพรบ!FA27"")"),0)</f>
        <v>0</v>
      </c>
      <c r="P27" s="86">
        <f t="shared" ca="1" si="25"/>
        <v>0</v>
      </c>
      <c r="Q27" s="87">
        <f t="shared" ca="1" si="26"/>
        <v>0</v>
      </c>
      <c r="R27" s="353">
        <f ca="1">IFERROR(__xludf.DUMMYFUNCTION("IMPORTRANGE(""https://docs.google.com/spreadsheets/d/1ICwG78r0OFT8biBlxnBF8r7she7gNSzOvJ958PWT09c/edit?usp=sharing"",""ลำพูน!I344"")"),460)</f>
        <v>460</v>
      </c>
      <c r="S27" s="177">
        <f ca="1">IFERROR(__xludf.DUMMYFUNCTION("IMPORTRANGE(""https://docs.google.com/spreadsheets/d/1ICwG78r0OFT8biBlxnBF8r7she7gNSzOvJ958PWT09c/edit?usp=sharing"",""ลำพูน!J344"")"),141)</f>
        <v>141</v>
      </c>
      <c r="T27" s="354">
        <f t="shared" ca="1" si="28"/>
        <v>30.652173913043477</v>
      </c>
      <c r="U27" s="353">
        <f ca="1">IFERROR(__xludf.DUMMYFUNCTION("IMPORTRANGE(""https://docs.google.com/spreadsheets/d/1ICwG78r0OFT8biBlxnBF8r7she7gNSzOvJ958PWT09c/edit?usp=sharing"",""ลำพูน!I346"")"),4)</f>
        <v>4</v>
      </c>
      <c r="V27" s="177">
        <f ca="1">IFERROR(__xludf.DUMMYFUNCTION("IMPORTRANGE(""https://docs.google.com/spreadsheets/d/1ICwG78r0OFT8biBlxnBF8r7she7gNSzOvJ958PWT09c/edit?usp=sharing"",""ลำพูน!J346"")"),0)</f>
        <v>0</v>
      </c>
      <c r="W27" s="354">
        <f t="shared" ca="1" si="30"/>
        <v>0</v>
      </c>
      <c r="X27" s="177">
        <f ca="1">IFERROR(__xludf.DUMMYFUNCTION("IMPORTRANGE(""https://docs.google.com/spreadsheets/d/1ICwG78r0OFT8biBlxnBF8r7she7gNSzOvJ958PWT09c/edit?usp=sharing"",""ลำพูน!J347"")"),0)</f>
        <v>0</v>
      </c>
      <c r="Y27" s="177">
        <f ca="1">IFERROR(__xludf.DUMMYFUNCTION("IMPORTRANGE(""https://docs.google.com/spreadsheets/d/1ICwG78r0OFT8biBlxnBF8r7she7gNSzOvJ958PWT09c/edit?usp=sharing"",""ลำพูน!J348"")"),88)</f>
        <v>88</v>
      </c>
      <c r="Z27" s="177">
        <f ca="1">IFERROR(__xludf.DUMMYFUNCTION("IMPORTRANGE(""https://docs.google.com/spreadsheets/d/1ICwG78r0OFT8biBlxnBF8r7she7gNSzOvJ958PWT09c/edit?usp=sharing"",""ลำพูน!J349"")"),0)</f>
        <v>0</v>
      </c>
      <c r="AA27" s="177">
        <f ca="1">IFERROR(__xludf.DUMMYFUNCTION("IMPORTRANGE(""https://docs.google.com/spreadsheets/d/1ICwG78r0OFT8biBlxnBF8r7she7gNSzOvJ958PWT09c/edit?usp=sharing"",""ลำพูน!J352"")"),4)</f>
        <v>4</v>
      </c>
      <c r="AB27" s="177">
        <f ca="1">IFERROR(__xludf.DUMMYFUNCTION("IMPORTRANGE(""https://docs.google.com/spreadsheets/d/1ICwG78r0OFT8biBlxnBF8r7she7gNSzOvJ958PWT09c/edit?usp=sharing"",""ลำพูน!J353"")"),3288)</f>
        <v>3288</v>
      </c>
    </row>
    <row r="28" spans="1:28" ht="24" customHeight="1" x14ac:dyDescent="0.3">
      <c r="A28" s="89">
        <v>15</v>
      </c>
      <c r="B28" s="90" t="s">
        <v>54</v>
      </c>
      <c r="C28" s="174">
        <f t="shared" ca="1" si="19"/>
        <v>116000</v>
      </c>
      <c r="D28" s="175">
        <f t="shared" ca="1" si="32"/>
        <v>116000</v>
      </c>
      <c r="E28" s="176">
        <f ca="1">IFERROR(__xludf.DUMMYFUNCTION("IMPORTRANGE(""https://docs.google.com/spreadsheets/d/1-uDff_7J0KD5mKrp0Vvzr7lt3OU09vwQwhkpOPPYv2Y/edit?usp=sharing"",""งบพรบ!ET28"")"),0)</f>
        <v>0</v>
      </c>
      <c r="F28" s="176">
        <f ca="1">IFERROR(__xludf.DUMMYFUNCTION("IMPORTRANGE(""https://docs.google.com/spreadsheets/d/1-uDff_7J0KD5mKrp0Vvzr7lt3OU09vwQwhkpOPPYv2Y/edit?usp=sharing"",""งบพรบ!EU28"")"),116000)</f>
        <v>116000</v>
      </c>
      <c r="G28" s="176">
        <f ca="1">IFERROR(__xludf.DUMMYFUNCTION("IMPORTRANGE(""https://docs.google.com/spreadsheets/d/1-uDff_7J0KD5mKrp0Vvzr7lt3OU09vwQwhkpOPPYv2Y/edit?usp=sharing"",""งบพรบ!EV28"")"),0)</f>
        <v>0</v>
      </c>
      <c r="H28" s="176">
        <f ca="1">IFERROR(__xludf.DUMMYFUNCTION("IMPORTRANGE(""https://docs.google.com/spreadsheets/d/1-uDff_7J0KD5mKrp0Vvzr7lt3OU09vwQwhkpOPPYv2Y/edit?usp=sharing"",""งบพรบ!EX28"")"),121000)</f>
        <v>121000</v>
      </c>
      <c r="I28" s="176">
        <f ca="1">IFERROR(__xludf.DUMMYFUNCTION("IMPORTRANGE(""https://docs.google.com/spreadsheets/d/1-uDff_7J0KD5mKrp0Vvzr7lt3OU09vwQwhkpOPPYv2Y/edit?usp=sharing"",""งบพรบ!EY28"")"),0)</f>
        <v>0</v>
      </c>
      <c r="J28" s="176">
        <f t="shared" ca="1" si="21"/>
        <v>45470</v>
      </c>
      <c r="K28" s="179">
        <f t="shared" ca="1" si="22"/>
        <v>39.198275862068968</v>
      </c>
      <c r="L28" s="176">
        <f ca="1">IFERROR(__xludf.DUMMYFUNCTION("IMPORTRANGE(""https://docs.google.com/spreadsheets/d/1-uDff_7J0KD5mKrp0Vvzr7lt3OU09vwQwhkpOPPYv2Y/edit?usp=sharing"",""งบพรบ!EZ28"")"),45470)</f>
        <v>45470</v>
      </c>
      <c r="M28" s="87">
        <f t="shared" ca="1" si="23"/>
        <v>39.198275862068968</v>
      </c>
      <c r="N28" s="87">
        <f t="shared" ca="1" si="24"/>
        <v>37.578512396694215</v>
      </c>
      <c r="O28" s="86">
        <f ca="1">IFERROR(__xludf.DUMMYFUNCTION("IMPORTRANGE(""https://docs.google.com/spreadsheets/d/1-uDff_7J0KD5mKrp0Vvzr7lt3OU09vwQwhkpOPPYv2Y/edit?usp=sharing"",""งบพรบ!FA28"")"),0)</f>
        <v>0</v>
      </c>
      <c r="P28" s="86">
        <f t="shared" ca="1" si="25"/>
        <v>0</v>
      </c>
      <c r="Q28" s="87">
        <f t="shared" ca="1" si="26"/>
        <v>0</v>
      </c>
      <c r="R28" s="353">
        <f ca="1">IFERROR(__xludf.DUMMYFUNCTION("IMPORTRANGE(""https://docs.google.com/spreadsheets/d/1B0f2xJpZUC6Z0xXnqKlZtEPzsf6L84eP1r1Q15seqRM/edit?usp=sharing"",""สุโขทัย!I344"")"),3740)</f>
        <v>3740</v>
      </c>
      <c r="S28" s="177">
        <f ca="1">IFERROR(__xludf.DUMMYFUNCTION("IMPORTRANGE(""https://docs.google.com/spreadsheets/d/1B0f2xJpZUC6Z0xXnqKlZtEPzsf6L84eP1r1Q15seqRM/edit?usp=sharing"",""สุโขทัย!J344"")"),1025)</f>
        <v>1025</v>
      </c>
      <c r="T28" s="354">
        <f t="shared" ca="1" si="28"/>
        <v>27.406417112299465</v>
      </c>
      <c r="U28" s="353">
        <f ca="1">IFERROR(__xludf.DUMMYFUNCTION("IMPORTRANGE(""https://docs.google.com/spreadsheets/d/1B0f2xJpZUC6Z0xXnqKlZtEPzsf6L84eP1r1Q15seqRM/edit?usp=sharing"",""สุโขทัย!I346"")"),5)</f>
        <v>5</v>
      </c>
      <c r="V28" s="177">
        <f ca="1">IFERROR(__xludf.DUMMYFUNCTION("IMPORTRANGE(""https://docs.google.com/spreadsheets/d/1B0f2xJpZUC6Z0xXnqKlZtEPzsf6L84eP1r1Q15seqRM/edit?usp=sharing"",""สุโขทัย!J346"")"),3)</f>
        <v>3</v>
      </c>
      <c r="W28" s="354">
        <f t="shared" ca="1" si="30"/>
        <v>60</v>
      </c>
      <c r="X28" s="177">
        <f ca="1">IFERROR(__xludf.DUMMYFUNCTION("IMPORTRANGE(""https://docs.google.com/spreadsheets/d/1B0f2xJpZUC6Z0xXnqKlZtEPzsf6L84eP1r1Q15seqRM/edit?usp=sharing"",""สุโขทัย!J347"")"),161)</f>
        <v>161</v>
      </c>
      <c r="Y28" s="177">
        <f ca="1">IFERROR(__xludf.DUMMYFUNCTION("IMPORTRANGE(""https://docs.google.com/spreadsheets/d/1B0f2xJpZUC6Z0xXnqKlZtEPzsf6L84eP1r1Q15seqRM/edit?usp=sharing"",""สุโขทัย!J348"")"),4)</f>
        <v>4</v>
      </c>
      <c r="Z28" s="177">
        <f ca="1">IFERROR(__xludf.DUMMYFUNCTION("IMPORTRANGE(""https://docs.google.com/spreadsheets/d/1B0f2xJpZUC6Z0xXnqKlZtEPzsf6L84eP1r1Q15seqRM/edit?usp=sharing"",""สุโขทัย!J349"")"),0)</f>
        <v>0</v>
      </c>
      <c r="AA28" s="177">
        <f ca="1">IFERROR(__xludf.DUMMYFUNCTION("IMPORTRANGE(""https://docs.google.com/spreadsheets/d/1B0f2xJpZUC6Z0xXnqKlZtEPzsf6L84eP1r1Q15seqRM/edit?usp=sharing"",""สุโขทัย!J352"")"),1090)</f>
        <v>1090</v>
      </c>
      <c r="AB28" s="177">
        <f ca="1">IFERROR(__xludf.DUMMYFUNCTION("IMPORTRANGE(""https://docs.google.com/spreadsheets/d/1B0f2xJpZUC6Z0xXnqKlZtEPzsf6L84eP1r1Q15seqRM/edit?usp=sharing"",""สุโขทัย!J353"")"),3539)</f>
        <v>3539</v>
      </c>
    </row>
    <row r="29" spans="1:28" ht="24" customHeight="1" x14ac:dyDescent="0.3">
      <c r="A29" s="89">
        <v>16</v>
      </c>
      <c r="B29" s="90" t="s">
        <v>55</v>
      </c>
      <c r="C29" s="174">
        <f t="shared" ca="1" si="19"/>
        <v>111000</v>
      </c>
      <c r="D29" s="175">
        <f t="shared" ca="1" si="32"/>
        <v>111000</v>
      </c>
      <c r="E29" s="176">
        <f ca="1">IFERROR(__xludf.DUMMYFUNCTION("IMPORTRANGE(""https://docs.google.com/spreadsheets/d/1-uDff_7J0KD5mKrp0Vvzr7lt3OU09vwQwhkpOPPYv2Y/edit?usp=sharing"",""งบพรบ!ET29"")"),0)</f>
        <v>0</v>
      </c>
      <c r="F29" s="176">
        <f ca="1">IFERROR(__xludf.DUMMYFUNCTION("IMPORTRANGE(""https://docs.google.com/spreadsheets/d/1-uDff_7J0KD5mKrp0Vvzr7lt3OU09vwQwhkpOPPYv2Y/edit?usp=sharing"",""งบพรบ!EU29"")"),111000)</f>
        <v>111000</v>
      </c>
      <c r="G29" s="176">
        <f ca="1">IFERROR(__xludf.DUMMYFUNCTION("IMPORTRANGE(""https://docs.google.com/spreadsheets/d/1-uDff_7J0KD5mKrp0Vvzr7lt3OU09vwQwhkpOPPYv2Y/edit?usp=sharing"",""งบพรบ!EV29"")"),0)</f>
        <v>0</v>
      </c>
      <c r="H29" s="176">
        <f ca="1">IFERROR(__xludf.DUMMYFUNCTION("IMPORTRANGE(""https://docs.google.com/spreadsheets/d/1-uDff_7J0KD5mKrp0Vvzr7lt3OU09vwQwhkpOPPYv2Y/edit?usp=sharing"",""งบพรบ!EX29"")"),116000)</f>
        <v>116000</v>
      </c>
      <c r="I29" s="176">
        <f ca="1">IFERROR(__xludf.DUMMYFUNCTION("IMPORTRANGE(""https://docs.google.com/spreadsheets/d/1-uDff_7J0KD5mKrp0Vvzr7lt3OU09vwQwhkpOPPYv2Y/edit?usp=sharing"",""งบพรบ!EY29"")"),0)</f>
        <v>0</v>
      </c>
      <c r="J29" s="176">
        <f t="shared" ca="1" si="21"/>
        <v>50645</v>
      </c>
      <c r="K29" s="179">
        <f t="shared" ca="1" si="22"/>
        <v>45.626126126126124</v>
      </c>
      <c r="L29" s="176">
        <f ca="1">IFERROR(__xludf.DUMMYFUNCTION("IMPORTRANGE(""https://docs.google.com/spreadsheets/d/1-uDff_7J0KD5mKrp0Vvzr7lt3OU09vwQwhkpOPPYv2Y/edit?usp=sharing"",""งบพรบ!EZ29"")"),50645)</f>
        <v>50645</v>
      </c>
      <c r="M29" s="87">
        <f t="shared" ca="1" si="23"/>
        <v>45.626126126126124</v>
      </c>
      <c r="N29" s="87">
        <f t="shared" ca="1" si="24"/>
        <v>43.65948275862069</v>
      </c>
      <c r="O29" s="86">
        <f ca="1">IFERROR(__xludf.DUMMYFUNCTION("IMPORTRANGE(""https://docs.google.com/spreadsheets/d/1-uDff_7J0KD5mKrp0Vvzr7lt3OU09vwQwhkpOPPYv2Y/edit?usp=sharing"",""งบพรบ!FA29"")"),0)</f>
        <v>0</v>
      </c>
      <c r="P29" s="86">
        <f t="shared" ca="1" si="25"/>
        <v>0</v>
      </c>
      <c r="Q29" s="87">
        <f t="shared" ca="1" si="26"/>
        <v>0</v>
      </c>
      <c r="R29" s="353">
        <f ca="1">IFERROR(__xludf.DUMMYFUNCTION("IMPORTRANGE(""https://docs.google.com/spreadsheets/d/1v0b9pFQCsKUVExMei7AgY2yQkdeNQvtOssygGsXbiKo/edit?usp=sharing"",""อุตรดิตถ์!I344"")"),1200)</f>
        <v>1200</v>
      </c>
      <c r="S29" s="177">
        <f ca="1">IFERROR(__xludf.DUMMYFUNCTION("IMPORTRANGE(""https://docs.google.com/spreadsheets/d/1v0b9pFQCsKUVExMei7AgY2yQkdeNQvtOssygGsXbiKo/edit?usp=sharing"",""อุตรดิตถ์!J344"")"),738)</f>
        <v>738</v>
      </c>
      <c r="T29" s="354">
        <f t="shared" ca="1" si="28"/>
        <v>61.5</v>
      </c>
      <c r="U29" s="353">
        <f ca="1">IFERROR(__xludf.DUMMYFUNCTION("IMPORTRANGE(""https://docs.google.com/spreadsheets/d/1v0b9pFQCsKUVExMei7AgY2yQkdeNQvtOssygGsXbiKo/edit?usp=sharing"",""อุตรดิตถ์!I346"")"),4)</f>
        <v>4</v>
      </c>
      <c r="V29" s="177">
        <f ca="1">IFERROR(__xludf.DUMMYFUNCTION("IMPORTRANGE(""https://docs.google.com/spreadsheets/d/1v0b9pFQCsKUVExMei7AgY2yQkdeNQvtOssygGsXbiKo/edit?usp=sharing"",""อุตรดิตถ์!J346"")"),4)</f>
        <v>4</v>
      </c>
      <c r="W29" s="354">
        <f t="shared" ca="1" si="30"/>
        <v>100</v>
      </c>
      <c r="X29" s="177">
        <f ca="1">IFERROR(__xludf.DUMMYFUNCTION("IMPORTRANGE(""https://docs.google.com/spreadsheets/d/1v0b9pFQCsKUVExMei7AgY2yQkdeNQvtOssygGsXbiKo/edit?usp=sharing"",""อุตรดิตถ์!J347"")"),52)</f>
        <v>52</v>
      </c>
      <c r="Y29" s="177">
        <f ca="1">IFERROR(__xludf.DUMMYFUNCTION("IMPORTRANGE(""https://docs.google.com/spreadsheets/d/1v0b9pFQCsKUVExMei7AgY2yQkdeNQvtOssygGsXbiKo/edit?usp=sharing"",""อุตรดิตถ์!J348"")"),0)</f>
        <v>0</v>
      </c>
      <c r="Z29" s="177">
        <f ca="1">IFERROR(__xludf.DUMMYFUNCTION("IMPORTRANGE(""https://docs.google.com/spreadsheets/d/1v0b9pFQCsKUVExMei7AgY2yQkdeNQvtOssygGsXbiKo/edit?usp=sharing"",""อุตรดิตถ์!J349"")"),0)</f>
        <v>0</v>
      </c>
      <c r="AA29" s="177">
        <f ca="1">IFERROR(__xludf.DUMMYFUNCTION("IMPORTRANGE(""https://docs.google.com/spreadsheets/d/1v0b9pFQCsKUVExMei7AgY2yQkdeNQvtOssygGsXbiKo/edit?usp=sharing"",""อุตรดิตถ์!J352"")"),766)</f>
        <v>766</v>
      </c>
      <c r="AB29" s="177">
        <f ca="1">IFERROR(__xludf.DUMMYFUNCTION("IMPORTRANGE(""https://docs.google.com/spreadsheets/d/1v0b9pFQCsKUVExMei7AgY2yQkdeNQvtOssygGsXbiKo/edit?usp=sharing"",""อุตรดิตถ์!J353"")"),1943)</f>
        <v>1943</v>
      </c>
    </row>
    <row r="30" spans="1:28" ht="24" customHeight="1" x14ac:dyDescent="0.3">
      <c r="A30" s="100">
        <v>17</v>
      </c>
      <c r="B30" s="101" t="s">
        <v>56</v>
      </c>
      <c r="C30" s="182">
        <f t="shared" ca="1" si="19"/>
        <v>108000</v>
      </c>
      <c r="D30" s="183">
        <f t="shared" ca="1" si="32"/>
        <v>108000</v>
      </c>
      <c r="E30" s="184">
        <f ca="1">IFERROR(__xludf.DUMMYFUNCTION("IMPORTRANGE(""https://docs.google.com/spreadsheets/d/1-uDff_7J0KD5mKrp0Vvzr7lt3OU09vwQwhkpOPPYv2Y/edit?usp=sharing"",""งบพรบ!ET30"")"),0)</f>
        <v>0</v>
      </c>
      <c r="F30" s="184">
        <f ca="1">IFERROR(__xludf.DUMMYFUNCTION("IMPORTRANGE(""https://docs.google.com/spreadsheets/d/1-uDff_7J0KD5mKrp0Vvzr7lt3OU09vwQwhkpOPPYv2Y/edit?usp=sharing"",""งบพรบ!EU30"")"),108000)</f>
        <v>108000</v>
      </c>
      <c r="G30" s="184">
        <f ca="1">IFERROR(__xludf.DUMMYFUNCTION("IMPORTRANGE(""https://docs.google.com/spreadsheets/d/1-uDff_7J0KD5mKrp0Vvzr7lt3OU09vwQwhkpOPPYv2Y/edit?usp=sharing"",""งบพรบ!EV30"")"),0)</f>
        <v>0</v>
      </c>
      <c r="H30" s="184">
        <f ca="1">IFERROR(__xludf.DUMMYFUNCTION("IMPORTRANGE(""https://docs.google.com/spreadsheets/d/1-uDff_7J0KD5mKrp0Vvzr7lt3OU09vwQwhkpOPPYv2Y/edit?usp=sharing"",""งบพรบ!EX30"")"),113000)</f>
        <v>113000</v>
      </c>
      <c r="I30" s="184">
        <f ca="1">IFERROR(__xludf.DUMMYFUNCTION("IMPORTRANGE(""https://docs.google.com/spreadsheets/d/1-uDff_7J0KD5mKrp0Vvzr7lt3OU09vwQwhkpOPPYv2Y/edit?usp=sharing"",""งบพรบ!EY30"")"),0)</f>
        <v>0</v>
      </c>
      <c r="J30" s="184">
        <f t="shared" ca="1" si="21"/>
        <v>46580</v>
      </c>
      <c r="K30" s="185">
        <f t="shared" ca="1" si="22"/>
        <v>43.129629629629626</v>
      </c>
      <c r="L30" s="184">
        <f ca="1">IFERROR(__xludf.DUMMYFUNCTION("IMPORTRANGE(""https://docs.google.com/spreadsheets/d/1-uDff_7J0KD5mKrp0Vvzr7lt3OU09vwQwhkpOPPYv2Y/edit?usp=sharing"",""งบพรบ!EZ30"")"),46580)</f>
        <v>46580</v>
      </c>
      <c r="M30" s="109">
        <f t="shared" ca="1" si="23"/>
        <v>43.129629629629626</v>
      </c>
      <c r="N30" s="109">
        <f t="shared" ca="1" si="24"/>
        <v>41.221238938053098</v>
      </c>
      <c r="O30" s="108">
        <f ca="1">IFERROR(__xludf.DUMMYFUNCTION("IMPORTRANGE(""https://docs.google.com/spreadsheets/d/1-uDff_7J0KD5mKrp0Vvzr7lt3OU09vwQwhkpOPPYv2Y/edit?usp=sharing"",""งบพรบ!FA30"")"),0)</f>
        <v>0</v>
      </c>
      <c r="P30" s="108">
        <f t="shared" ca="1" si="25"/>
        <v>0</v>
      </c>
      <c r="Q30" s="109">
        <f t="shared" ca="1" si="26"/>
        <v>0</v>
      </c>
      <c r="R30" s="356">
        <f ca="1">IFERROR(__xludf.DUMMYFUNCTION("IMPORTRANGE(""https://docs.google.com/spreadsheets/d/1UsNK1e-WWiCo2PvGqdNfdme4m17_Ezd3J69EeeiQPD0/edit?usp=sharing"",""อุทัยธานี!I344"")"),1660)</f>
        <v>1660</v>
      </c>
      <c r="S30" s="186">
        <f ca="1">IFERROR(__xludf.DUMMYFUNCTION("IMPORTRANGE(""https://docs.google.com/spreadsheets/d/1UsNK1e-WWiCo2PvGqdNfdme4m17_Ezd3J69EeeiQPD0/edit?usp=sharing"",""อุทัยธานี!J344"")"),918)</f>
        <v>918</v>
      </c>
      <c r="T30" s="357">
        <f t="shared" ca="1" si="28"/>
        <v>55.30120481927711</v>
      </c>
      <c r="U30" s="356">
        <f ca="1">IFERROR(__xludf.DUMMYFUNCTION("IMPORTRANGE(""https://docs.google.com/spreadsheets/d/1UsNK1e-WWiCo2PvGqdNfdme4m17_Ezd3J69EeeiQPD0/edit?usp=sharing"",""อุทัยธานี!I346"")"),4)</f>
        <v>4</v>
      </c>
      <c r="V30" s="186">
        <f ca="1">IFERROR(__xludf.DUMMYFUNCTION("IMPORTRANGE(""https://docs.google.com/spreadsheets/d/1UsNK1e-WWiCo2PvGqdNfdme4m17_Ezd3J69EeeiQPD0/edit?usp=sharing"",""อุทัยธานี!J346"")"),1)</f>
        <v>1</v>
      </c>
      <c r="W30" s="357">
        <f t="shared" ca="1" si="30"/>
        <v>25</v>
      </c>
      <c r="X30" s="186">
        <f ca="1">IFERROR(__xludf.DUMMYFUNCTION("IMPORTRANGE(""https://docs.google.com/spreadsheets/d/1UsNK1e-WWiCo2PvGqdNfdme4m17_Ezd3J69EeeiQPD0/edit?usp=sharing"",""อุทัยธานี!J347"")"),18)</f>
        <v>18</v>
      </c>
      <c r="Y30" s="186">
        <f ca="1">IFERROR(__xludf.DUMMYFUNCTION("IMPORTRANGE(""https://docs.google.com/spreadsheets/d/1UsNK1e-WWiCo2PvGqdNfdme4m17_Ezd3J69EeeiQPD0/edit?usp=sharing"",""อุทัยธานี!J348"")"),0)</f>
        <v>0</v>
      </c>
      <c r="Z30" s="186">
        <f ca="1">IFERROR(__xludf.DUMMYFUNCTION("IMPORTRANGE(""https://docs.google.com/spreadsheets/d/1UsNK1e-WWiCo2PvGqdNfdme4m17_Ezd3J69EeeiQPD0/edit?usp=sharing"",""อุทัยธานี!J349"")"),0)</f>
        <v>0</v>
      </c>
      <c r="AA30" s="186">
        <f ca="1">IFERROR(__xludf.DUMMYFUNCTION("IMPORTRANGE(""https://docs.google.com/spreadsheets/d/1UsNK1e-WWiCo2PvGqdNfdme4m17_Ezd3J69EeeiQPD0/edit?usp=sharing"",""อุทัยธานี!J352"")"),1164)</f>
        <v>1164</v>
      </c>
      <c r="AB30" s="186">
        <f ca="1">IFERROR(__xludf.DUMMYFUNCTION("IMPORTRANGE(""https://docs.google.com/spreadsheets/d/1UsNK1e-WWiCo2PvGqdNfdme4m17_Ezd3J69EeeiQPD0/edit?usp=sharing"",""อุทัยธานี!J353"")"),276)</f>
        <v>276</v>
      </c>
    </row>
    <row r="31" spans="1:28" ht="21" customHeight="1" x14ac:dyDescent="0.3">
      <c r="A31" s="625" t="s">
        <v>57</v>
      </c>
      <c r="B31" s="626"/>
      <c r="C31" s="161">
        <f t="shared" ca="1" si="19"/>
        <v>2440700</v>
      </c>
      <c r="D31" s="161">
        <f t="shared" ref="D31:I31" ca="1" si="33">SUM(D32:D51)</f>
        <v>2440700</v>
      </c>
      <c r="E31" s="161">
        <f t="shared" ca="1" si="33"/>
        <v>168700</v>
      </c>
      <c r="F31" s="161">
        <f t="shared" ca="1" si="33"/>
        <v>2272000</v>
      </c>
      <c r="G31" s="161">
        <f t="shared" ca="1" si="33"/>
        <v>0</v>
      </c>
      <c r="H31" s="161">
        <f t="shared" ca="1" si="33"/>
        <v>2540700</v>
      </c>
      <c r="I31" s="161">
        <f t="shared" ca="1" si="33"/>
        <v>0</v>
      </c>
      <c r="J31" s="161">
        <f t="shared" ca="1" si="21"/>
        <v>978525</v>
      </c>
      <c r="K31" s="162">
        <f t="shared" ca="1" si="22"/>
        <v>40.091981808497565</v>
      </c>
      <c r="L31" s="161">
        <f ca="1">SUM(L32:L51)</f>
        <v>978525</v>
      </c>
      <c r="M31" s="40">
        <f t="shared" ca="1" si="23"/>
        <v>40.091981808497565</v>
      </c>
      <c r="N31" s="40">
        <f t="shared" ca="1" si="24"/>
        <v>38.513992206872125</v>
      </c>
      <c r="O31" s="39">
        <f ca="1">SUM(O32:O51)</f>
        <v>0</v>
      </c>
      <c r="P31" s="39">
        <f t="shared" ca="1" si="25"/>
        <v>0</v>
      </c>
      <c r="Q31" s="40">
        <f t="shared" ca="1" si="26"/>
        <v>0</v>
      </c>
      <c r="R31" s="348">
        <f t="shared" ref="R31:S31" ca="1" si="34">SUM(R32:R51)</f>
        <v>57200</v>
      </c>
      <c r="S31" s="161">
        <f t="shared" ca="1" si="34"/>
        <v>48004</v>
      </c>
      <c r="T31" s="40">
        <f t="shared" ca="1" si="28"/>
        <v>83.92307692307692</v>
      </c>
      <c r="U31" s="348">
        <f t="shared" ref="U31:V31" ca="1" si="35">SUM(U32:U51)</f>
        <v>106</v>
      </c>
      <c r="V31" s="161">
        <f t="shared" ca="1" si="35"/>
        <v>65</v>
      </c>
      <c r="W31" s="40">
        <f t="shared" ca="1" si="30"/>
        <v>61.320754716981135</v>
      </c>
      <c r="X31" s="161">
        <f t="shared" ref="X31:AB31" ca="1" si="36">SUM(X32:X51)</f>
        <v>1378</v>
      </c>
      <c r="Y31" s="161">
        <f t="shared" ca="1" si="36"/>
        <v>726</v>
      </c>
      <c r="Z31" s="161">
        <f t="shared" ca="1" si="36"/>
        <v>364</v>
      </c>
      <c r="AA31" s="161">
        <f t="shared" ca="1" si="36"/>
        <v>42426</v>
      </c>
      <c r="AB31" s="161">
        <f t="shared" ca="1" si="36"/>
        <v>70851</v>
      </c>
    </row>
    <row r="32" spans="1:28" ht="21" customHeight="1" x14ac:dyDescent="0.3">
      <c r="A32" s="77">
        <v>1</v>
      </c>
      <c r="B32" s="78" t="s">
        <v>58</v>
      </c>
      <c r="C32" s="174">
        <f t="shared" ca="1" si="19"/>
        <v>110000</v>
      </c>
      <c r="D32" s="175">
        <f t="shared" ref="D32:D51" ca="1" si="37">+E32+F32</f>
        <v>110000</v>
      </c>
      <c r="E32" s="176">
        <f ca="1">IFERROR(__xludf.DUMMYFUNCTION("IMPORTRANGE(""https://docs.google.com/spreadsheets/d/1-uDff_7J0KD5mKrp0Vvzr7lt3OU09vwQwhkpOPPYv2Y/edit?usp=sharing"",""งบพรบ!ET32"")"),0)</f>
        <v>0</v>
      </c>
      <c r="F32" s="176">
        <f ca="1">IFERROR(__xludf.DUMMYFUNCTION("IMPORTRANGE(""https://docs.google.com/spreadsheets/d/1-uDff_7J0KD5mKrp0Vvzr7lt3OU09vwQwhkpOPPYv2Y/edit?usp=sharing"",""งบพรบ!EU32"")"),110000)</f>
        <v>110000</v>
      </c>
      <c r="G32" s="177">
        <f ca="1">IFERROR(__xludf.DUMMYFUNCTION("IMPORTRANGE(""https://docs.google.com/spreadsheets/d/1-uDff_7J0KD5mKrp0Vvzr7lt3OU09vwQwhkpOPPYv2Y/edit?usp=sharing"",""งบพรบ!EV32"")"),0)</f>
        <v>0</v>
      </c>
      <c r="H32" s="177">
        <f ca="1">IFERROR(__xludf.DUMMYFUNCTION("IMPORTRANGE(""https://docs.google.com/spreadsheets/d/1-uDff_7J0KD5mKrp0Vvzr7lt3OU09vwQwhkpOPPYv2Y/edit?usp=sharing"",""งบพรบ!EX32"")"),115000)</f>
        <v>115000</v>
      </c>
      <c r="I32" s="177">
        <f ca="1">IFERROR(__xludf.DUMMYFUNCTION("IMPORTRANGE(""https://docs.google.com/spreadsheets/d/1-uDff_7J0KD5mKrp0Vvzr7lt3OU09vwQwhkpOPPYv2Y/edit?usp=sharing"",""งบพรบ!EY32"")"),0)</f>
        <v>0</v>
      </c>
      <c r="J32" s="177">
        <f t="shared" ca="1" si="21"/>
        <v>46400</v>
      </c>
      <c r="K32" s="178">
        <f t="shared" ca="1" si="22"/>
        <v>42.18181818181818</v>
      </c>
      <c r="L32" s="177">
        <f ca="1">IFERROR(__xludf.DUMMYFUNCTION("IMPORTRANGE(""https://docs.google.com/spreadsheets/d/1-uDff_7J0KD5mKrp0Vvzr7lt3OU09vwQwhkpOPPYv2Y/edit?usp=sharing"",""งบพรบ!EZ32"")"),46400)</f>
        <v>46400</v>
      </c>
      <c r="M32" s="87">
        <f t="shared" ca="1" si="23"/>
        <v>42.18181818181818</v>
      </c>
      <c r="N32" s="87">
        <f t="shared" ca="1" si="24"/>
        <v>40.347826086956523</v>
      </c>
      <c r="O32" s="86">
        <f ca="1">IFERROR(__xludf.DUMMYFUNCTION("IMPORTRANGE(""https://docs.google.com/spreadsheets/d/1-uDff_7J0KD5mKrp0Vvzr7lt3OU09vwQwhkpOPPYv2Y/edit?usp=sharing"",""งบพรบ!FA32"")"),0)</f>
        <v>0</v>
      </c>
      <c r="P32" s="86">
        <f t="shared" ca="1" si="25"/>
        <v>0</v>
      </c>
      <c r="Q32" s="87">
        <f t="shared" ca="1" si="26"/>
        <v>0</v>
      </c>
      <c r="R32" s="353">
        <f ca="1">IFERROR(__xludf.DUMMYFUNCTION("IMPORTRANGE(""https://docs.google.com/spreadsheets/d/1yhBcrRPreicbMKl9Bu_Snb2-OcQAF62RKfhTLhJ2eAA/edit?usp=sharing"",""กาฬสินธุ์!I344"")"),1200)</f>
        <v>1200</v>
      </c>
      <c r="S32" s="177">
        <f ca="1">IFERROR(__xludf.DUMMYFUNCTION("IMPORTRANGE(""https://docs.google.com/spreadsheets/d/1yhBcrRPreicbMKl9Bu_Snb2-OcQAF62RKfhTLhJ2eAA/edit?usp=sharing"",""กาฬสินธุ์!J344"")"),417)</f>
        <v>417</v>
      </c>
      <c r="T32" s="354">
        <f t="shared" ca="1" si="28"/>
        <v>34.75</v>
      </c>
      <c r="U32" s="353">
        <f ca="1">IFERROR(__xludf.DUMMYFUNCTION("IMPORTRANGE(""https://docs.google.com/spreadsheets/d/1yhBcrRPreicbMKl9Bu_Snb2-OcQAF62RKfhTLhJ2eAA/edit?usp=sharing"",""กาฬสินธุ์!I346"")"),5)</f>
        <v>5</v>
      </c>
      <c r="V32" s="177">
        <f ca="1">IFERROR(__xludf.DUMMYFUNCTION("IMPORTRANGE(""https://docs.google.com/spreadsheets/d/1yhBcrRPreicbMKl9Bu_Snb2-OcQAF62RKfhTLhJ2eAA/edit?usp=sharing"",""กาฬสินธุ์!J346"")"),2)</f>
        <v>2</v>
      </c>
      <c r="W32" s="354">
        <f t="shared" ca="1" si="30"/>
        <v>40</v>
      </c>
      <c r="X32" s="177">
        <f ca="1">IFERROR(__xludf.DUMMYFUNCTION("IMPORTRANGE(""https://docs.google.com/spreadsheets/d/1yhBcrRPreicbMKl9Bu_Snb2-OcQAF62RKfhTLhJ2eAA/edit?usp=sharing"",""กาฬสินธุ์!J347"")"),0)</f>
        <v>0</v>
      </c>
      <c r="Y32" s="177">
        <f ca="1">IFERROR(__xludf.DUMMYFUNCTION("IMPORTRANGE(""https://docs.google.com/spreadsheets/d/1yhBcrRPreicbMKl9Bu_Snb2-OcQAF62RKfhTLhJ2eAA/edit?usp=sharing"",""กาฬสินธุ์!J348"")"),0)</f>
        <v>0</v>
      </c>
      <c r="Z32" s="177">
        <f ca="1">IFERROR(__xludf.DUMMYFUNCTION("IMPORTRANGE(""https://docs.google.com/spreadsheets/d/1yhBcrRPreicbMKl9Bu_Snb2-OcQAF62RKfhTLhJ2eAA/edit?usp=sharing"",""กาฬสินธุ์!J349"")"),0)</f>
        <v>0</v>
      </c>
      <c r="AA32" s="177">
        <f ca="1">IFERROR(__xludf.DUMMYFUNCTION("IMPORTRANGE(""https://docs.google.com/spreadsheets/d/1yhBcrRPreicbMKl9Bu_Snb2-OcQAF62RKfhTLhJ2eAA/edit?usp=sharing"",""กาฬสินธุ์!J352"")"),1478)</f>
        <v>1478</v>
      </c>
      <c r="AB32" s="177">
        <f ca="1">IFERROR(__xludf.DUMMYFUNCTION("IMPORTRANGE(""https://docs.google.com/spreadsheets/d/1yhBcrRPreicbMKl9Bu_Snb2-OcQAF62RKfhTLhJ2eAA/edit?usp=sharing"",""กาฬสินธุ์!J353"")"),301)</f>
        <v>301</v>
      </c>
    </row>
    <row r="33" spans="1:28" ht="21" customHeight="1" x14ac:dyDescent="0.3">
      <c r="A33" s="89">
        <v>2</v>
      </c>
      <c r="B33" s="90" t="s">
        <v>59</v>
      </c>
      <c r="C33" s="174">
        <f t="shared" ca="1" si="19"/>
        <v>117000</v>
      </c>
      <c r="D33" s="175">
        <f t="shared" ca="1" si="37"/>
        <v>117000</v>
      </c>
      <c r="E33" s="176">
        <f ca="1">IFERROR(__xludf.DUMMYFUNCTION("IMPORTRANGE(""https://docs.google.com/spreadsheets/d/1-uDff_7J0KD5mKrp0Vvzr7lt3OU09vwQwhkpOPPYv2Y/edit?usp=sharing"",""งบพรบ!ET33"")"),0)</f>
        <v>0</v>
      </c>
      <c r="F33" s="176">
        <f ca="1">IFERROR(__xludf.DUMMYFUNCTION("IMPORTRANGE(""https://docs.google.com/spreadsheets/d/1-uDff_7J0KD5mKrp0Vvzr7lt3OU09vwQwhkpOPPYv2Y/edit?usp=sharing"",""งบพรบ!EU33"")"),117000)</f>
        <v>117000</v>
      </c>
      <c r="G33" s="176">
        <f ca="1">IFERROR(__xludf.DUMMYFUNCTION("IMPORTRANGE(""https://docs.google.com/spreadsheets/d/1-uDff_7J0KD5mKrp0Vvzr7lt3OU09vwQwhkpOPPYv2Y/edit?usp=sharing"",""งบพรบ!EV33"")"),0)</f>
        <v>0</v>
      </c>
      <c r="H33" s="176">
        <f ca="1">IFERROR(__xludf.DUMMYFUNCTION("IMPORTRANGE(""https://docs.google.com/spreadsheets/d/1-uDff_7J0KD5mKrp0Vvzr7lt3OU09vwQwhkpOPPYv2Y/edit?usp=sharing"",""งบพรบ!EX33"")"),122000)</f>
        <v>122000</v>
      </c>
      <c r="I33" s="176">
        <f ca="1">IFERROR(__xludf.DUMMYFUNCTION("IMPORTRANGE(""https://docs.google.com/spreadsheets/d/1-uDff_7J0KD5mKrp0Vvzr7lt3OU09vwQwhkpOPPYv2Y/edit?usp=sharing"",""งบพรบ!EY33"")"),0)</f>
        <v>0</v>
      </c>
      <c r="J33" s="176">
        <f t="shared" ca="1" si="21"/>
        <v>40771</v>
      </c>
      <c r="K33" s="179">
        <f t="shared" ca="1" si="22"/>
        <v>34.847008547008549</v>
      </c>
      <c r="L33" s="176">
        <f ca="1">IFERROR(__xludf.DUMMYFUNCTION("IMPORTRANGE(""https://docs.google.com/spreadsheets/d/1-uDff_7J0KD5mKrp0Vvzr7lt3OU09vwQwhkpOPPYv2Y/edit?usp=sharing"",""งบพรบ!EZ33"")"),40771)</f>
        <v>40771</v>
      </c>
      <c r="M33" s="87">
        <f t="shared" ca="1" si="23"/>
        <v>34.847008547008549</v>
      </c>
      <c r="N33" s="87">
        <f t="shared" ca="1" si="24"/>
        <v>33.418852459016392</v>
      </c>
      <c r="O33" s="86">
        <f ca="1">IFERROR(__xludf.DUMMYFUNCTION("IMPORTRANGE(""https://docs.google.com/spreadsheets/d/1-uDff_7J0KD5mKrp0Vvzr7lt3OU09vwQwhkpOPPYv2Y/edit?usp=sharing"",""งบพรบ!FA33"")"),0)</f>
        <v>0</v>
      </c>
      <c r="P33" s="86">
        <f t="shared" ca="1" si="25"/>
        <v>0</v>
      </c>
      <c r="Q33" s="87">
        <f t="shared" ca="1" si="26"/>
        <v>0</v>
      </c>
      <c r="R33" s="355">
        <f ca="1">IFERROR(__xludf.DUMMYFUNCTION("IMPORTRANGE(""https://docs.google.com/spreadsheets/d/1aHkj4IaQMThhwWwevcOymEh837vdxeC_PycurhTbGFA/edit?usp=sharing"",""ขอนแก่น!I344"")"),2860)</f>
        <v>2860</v>
      </c>
      <c r="S33" s="177">
        <f ca="1">IFERROR(__xludf.DUMMYFUNCTION("IMPORTRANGE(""https://docs.google.com/spreadsheets/d/1aHkj4IaQMThhwWwevcOymEh837vdxeC_PycurhTbGFA/edit?usp=sharing"",""ขอนแก่น!J344"")"),2443)</f>
        <v>2443</v>
      </c>
      <c r="T33" s="354">
        <f t="shared" ca="1" si="28"/>
        <v>85.419580419580413</v>
      </c>
      <c r="U33" s="355">
        <f ca="1">IFERROR(__xludf.DUMMYFUNCTION("IMPORTRANGE(""https://docs.google.com/spreadsheets/d/1aHkj4IaQMThhwWwevcOymEh837vdxeC_PycurhTbGFA/edit?usp=sharing"",""ขอนแก่น!I346"")"),7)</f>
        <v>7</v>
      </c>
      <c r="V33" s="177">
        <f ca="1">IFERROR(__xludf.DUMMYFUNCTION("IMPORTRANGE(""https://docs.google.com/spreadsheets/d/1aHkj4IaQMThhwWwevcOymEh837vdxeC_PycurhTbGFA/edit?usp=sharing"",""ขอนแก่น!J346"")"),4)</f>
        <v>4</v>
      </c>
      <c r="W33" s="354">
        <f t="shared" ca="1" si="30"/>
        <v>57.142857142857146</v>
      </c>
      <c r="X33" s="177">
        <f ca="1">IFERROR(__xludf.DUMMYFUNCTION("IMPORTRANGE(""https://docs.google.com/spreadsheets/d/1aHkj4IaQMThhwWwevcOymEh837vdxeC_PycurhTbGFA/edit?usp=sharing"",""ขอนแก่น!J347"")"),21)</f>
        <v>21</v>
      </c>
      <c r="Y33" s="177">
        <f ca="1">IFERROR(__xludf.DUMMYFUNCTION("IMPORTRANGE(""https://docs.google.com/spreadsheets/d/1aHkj4IaQMThhwWwevcOymEh837vdxeC_PycurhTbGFA/edit?usp=sharing"",""ขอนแก่น!J348"")"),520)</f>
        <v>520</v>
      </c>
      <c r="Z33" s="177">
        <f ca="1">IFERROR(__xludf.DUMMYFUNCTION("IMPORTRANGE(""https://docs.google.com/spreadsheets/d/1aHkj4IaQMThhwWwevcOymEh837vdxeC_PycurhTbGFA/edit?usp=sharing"",""ขอนแก่น!J349"")"),0)</f>
        <v>0</v>
      </c>
      <c r="AA33" s="177">
        <f ca="1">IFERROR(__xludf.DUMMYFUNCTION("IMPORTRANGE(""https://docs.google.com/spreadsheets/d/1aHkj4IaQMThhwWwevcOymEh837vdxeC_PycurhTbGFA/edit?usp=sharing"",""ขอนแก่น!J352"")"),2132)</f>
        <v>2132</v>
      </c>
      <c r="AB33" s="177">
        <f ca="1">IFERROR(__xludf.DUMMYFUNCTION("IMPORTRANGE(""https://docs.google.com/spreadsheets/d/1aHkj4IaQMThhwWwevcOymEh837vdxeC_PycurhTbGFA/edit?usp=sharing"",""ขอนแก่น!J353"")"),4182)</f>
        <v>4182</v>
      </c>
    </row>
    <row r="34" spans="1:28" ht="21" customHeight="1" x14ac:dyDescent="0.3">
      <c r="A34" s="89">
        <v>3</v>
      </c>
      <c r="B34" s="90" t="s">
        <v>60</v>
      </c>
      <c r="C34" s="174">
        <f t="shared" ca="1" si="19"/>
        <v>117000</v>
      </c>
      <c r="D34" s="175">
        <f t="shared" ca="1" si="37"/>
        <v>117000</v>
      </c>
      <c r="E34" s="176">
        <f ca="1">IFERROR(__xludf.DUMMYFUNCTION("IMPORTRANGE(""https://docs.google.com/spreadsheets/d/1-uDff_7J0KD5mKrp0Vvzr7lt3OU09vwQwhkpOPPYv2Y/edit?usp=sharing"",""งบพรบ!ET34"")"),0)</f>
        <v>0</v>
      </c>
      <c r="F34" s="176">
        <f ca="1">IFERROR(__xludf.DUMMYFUNCTION("IMPORTRANGE(""https://docs.google.com/spreadsheets/d/1-uDff_7J0KD5mKrp0Vvzr7lt3OU09vwQwhkpOPPYv2Y/edit?usp=sharing"",""งบพรบ!EU34"")"),117000)</f>
        <v>117000</v>
      </c>
      <c r="G34" s="176">
        <f ca="1">IFERROR(__xludf.DUMMYFUNCTION("IMPORTRANGE(""https://docs.google.com/spreadsheets/d/1-uDff_7J0KD5mKrp0Vvzr7lt3OU09vwQwhkpOPPYv2Y/edit?usp=sharing"",""งบพรบ!EV34"")"),0)</f>
        <v>0</v>
      </c>
      <c r="H34" s="176">
        <f ca="1">IFERROR(__xludf.DUMMYFUNCTION("IMPORTRANGE(""https://docs.google.com/spreadsheets/d/1-uDff_7J0KD5mKrp0Vvzr7lt3OU09vwQwhkpOPPYv2Y/edit?usp=sharing"",""งบพรบ!EX34"")"),122000)</f>
        <v>122000</v>
      </c>
      <c r="I34" s="176">
        <f ca="1">IFERROR(__xludf.DUMMYFUNCTION("IMPORTRANGE(""https://docs.google.com/spreadsheets/d/1-uDff_7J0KD5mKrp0Vvzr7lt3OU09vwQwhkpOPPYv2Y/edit?usp=sharing"",""งบพรบ!EY34"")"),0)</f>
        <v>0</v>
      </c>
      <c r="J34" s="176">
        <f t="shared" ca="1" si="21"/>
        <v>39860</v>
      </c>
      <c r="K34" s="179">
        <f t="shared" ca="1" si="22"/>
        <v>34.068376068376068</v>
      </c>
      <c r="L34" s="176">
        <f ca="1">IFERROR(__xludf.DUMMYFUNCTION("IMPORTRANGE(""https://docs.google.com/spreadsheets/d/1-uDff_7J0KD5mKrp0Vvzr7lt3OU09vwQwhkpOPPYv2Y/edit?usp=sharing"",""งบพรบ!EZ34"")"),39860)</f>
        <v>39860</v>
      </c>
      <c r="M34" s="87">
        <f t="shared" ca="1" si="23"/>
        <v>34.068376068376068</v>
      </c>
      <c r="N34" s="87">
        <f t="shared" ca="1" si="24"/>
        <v>32.672131147540981</v>
      </c>
      <c r="O34" s="86">
        <f ca="1">IFERROR(__xludf.DUMMYFUNCTION("IMPORTRANGE(""https://docs.google.com/spreadsheets/d/1-uDff_7J0KD5mKrp0Vvzr7lt3OU09vwQwhkpOPPYv2Y/edit?usp=sharing"",""งบพรบ!FA34"")"),0)</f>
        <v>0</v>
      </c>
      <c r="P34" s="86">
        <f t="shared" ca="1" si="25"/>
        <v>0</v>
      </c>
      <c r="Q34" s="87">
        <f t="shared" ca="1" si="26"/>
        <v>0</v>
      </c>
      <c r="R34" s="353">
        <f ca="1">IFERROR(__xludf.DUMMYFUNCTION("IMPORTRANGE(""https://docs.google.com/spreadsheets/d/1FvTu2DsIWUjP6WCWra38Bkj_oOl_sOMf14r5Fg5srxU/edit?usp=sharing"",""ชัยภูมิ!I344"")"),2260)</f>
        <v>2260</v>
      </c>
      <c r="S34" s="177">
        <f ca="1">IFERROR(__xludf.DUMMYFUNCTION("IMPORTRANGE(""https://docs.google.com/spreadsheets/d/1FvTu2DsIWUjP6WCWra38Bkj_oOl_sOMf14r5Fg5srxU/edit?usp=sharing"",""ชัยภูมิ!J344"")"),3599)</f>
        <v>3599</v>
      </c>
      <c r="T34" s="354">
        <f t="shared" ca="1" si="28"/>
        <v>159.24778761061947</v>
      </c>
      <c r="U34" s="353">
        <f ca="1">IFERROR(__xludf.DUMMYFUNCTION("IMPORTRANGE(""https://docs.google.com/spreadsheets/d/1FvTu2DsIWUjP6WCWra38Bkj_oOl_sOMf14r5Fg5srxU/edit?usp=sharing"",""ชัยภูมิ!I346"")"),7)</f>
        <v>7</v>
      </c>
      <c r="V34" s="177">
        <f ca="1">IFERROR(__xludf.DUMMYFUNCTION("IMPORTRANGE(""https://docs.google.com/spreadsheets/d/1FvTu2DsIWUjP6WCWra38Bkj_oOl_sOMf14r5Fg5srxU/edit?usp=sharing"",""ชัยภูมิ!J346"")"),5)</f>
        <v>5</v>
      </c>
      <c r="W34" s="354">
        <f t="shared" ca="1" si="30"/>
        <v>71.428571428571431</v>
      </c>
      <c r="X34" s="177">
        <f ca="1">IFERROR(__xludf.DUMMYFUNCTION("IMPORTRANGE(""https://docs.google.com/spreadsheets/d/1FvTu2DsIWUjP6WCWra38Bkj_oOl_sOMf14r5Fg5srxU/edit?usp=sharing"",""ชัยภูมิ!J347"")"),89)</f>
        <v>89</v>
      </c>
      <c r="Y34" s="177">
        <f ca="1">IFERROR(__xludf.DUMMYFUNCTION("IMPORTRANGE(""https://docs.google.com/spreadsheets/d/1FvTu2DsIWUjP6WCWra38Bkj_oOl_sOMf14r5Fg5srxU/edit?usp=sharing"",""ชัยภูมิ!J348"")"),0)</f>
        <v>0</v>
      </c>
      <c r="Z34" s="177">
        <f ca="1">IFERROR(__xludf.DUMMYFUNCTION("IMPORTRANGE(""https://docs.google.com/spreadsheets/d/1FvTu2DsIWUjP6WCWra38Bkj_oOl_sOMf14r5Fg5srxU/edit?usp=sharing"",""ชัยภูมิ!J349"")"),0)</f>
        <v>0</v>
      </c>
      <c r="AA34" s="177">
        <f ca="1">IFERROR(__xludf.DUMMYFUNCTION("IMPORTRANGE(""https://docs.google.com/spreadsheets/d/1FvTu2DsIWUjP6WCWra38Bkj_oOl_sOMf14r5Fg5srxU/edit?usp=sharing"",""ชัยภูมิ!J352"")"),1498)</f>
        <v>1498</v>
      </c>
      <c r="AB34" s="177">
        <f ca="1">IFERROR(__xludf.DUMMYFUNCTION("IMPORTRANGE(""https://docs.google.com/spreadsheets/d/1FvTu2DsIWUjP6WCWra38Bkj_oOl_sOMf14r5Fg5srxU/edit?usp=sharing"",""ชัยภูมิ!J353"")"),8553)</f>
        <v>8553</v>
      </c>
    </row>
    <row r="35" spans="1:28" ht="21" customHeight="1" x14ac:dyDescent="0.3">
      <c r="A35" s="89">
        <v>4</v>
      </c>
      <c r="B35" s="90" t="s">
        <v>61</v>
      </c>
      <c r="C35" s="174">
        <f t="shared" ca="1" si="19"/>
        <v>108000</v>
      </c>
      <c r="D35" s="175">
        <f t="shared" ca="1" si="37"/>
        <v>108000</v>
      </c>
      <c r="E35" s="176">
        <f ca="1">IFERROR(__xludf.DUMMYFUNCTION("IMPORTRANGE(""https://docs.google.com/spreadsheets/d/1-uDff_7J0KD5mKrp0Vvzr7lt3OU09vwQwhkpOPPYv2Y/edit?usp=sharing"",""งบพรบ!ET35"")"),0)</f>
        <v>0</v>
      </c>
      <c r="F35" s="176">
        <f ca="1">IFERROR(__xludf.DUMMYFUNCTION("IMPORTRANGE(""https://docs.google.com/spreadsheets/d/1-uDff_7J0KD5mKrp0Vvzr7lt3OU09vwQwhkpOPPYv2Y/edit?usp=sharing"",""งบพรบ!EU35"")"),108000)</f>
        <v>108000</v>
      </c>
      <c r="G35" s="176">
        <f ca="1">IFERROR(__xludf.DUMMYFUNCTION("IMPORTRANGE(""https://docs.google.com/spreadsheets/d/1-uDff_7J0KD5mKrp0Vvzr7lt3OU09vwQwhkpOPPYv2Y/edit?usp=sharing"",""งบพรบ!EV35"")"),0)</f>
        <v>0</v>
      </c>
      <c r="H35" s="176">
        <f ca="1">IFERROR(__xludf.DUMMYFUNCTION("IMPORTRANGE(""https://docs.google.com/spreadsheets/d/1-uDff_7J0KD5mKrp0Vvzr7lt3OU09vwQwhkpOPPYv2Y/edit?usp=sharing"",""งบพรบ!EX35"")"),113000)</f>
        <v>113000</v>
      </c>
      <c r="I35" s="176">
        <f ca="1">IFERROR(__xludf.DUMMYFUNCTION("IMPORTRANGE(""https://docs.google.com/spreadsheets/d/1-uDff_7J0KD5mKrp0Vvzr7lt3OU09vwQwhkpOPPYv2Y/edit?usp=sharing"",""งบพรบ!EY35"")"),0)</f>
        <v>0</v>
      </c>
      <c r="J35" s="176">
        <f t="shared" ca="1" si="21"/>
        <v>21406</v>
      </c>
      <c r="K35" s="179">
        <f t="shared" ca="1" si="22"/>
        <v>19.82037037037037</v>
      </c>
      <c r="L35" s="176">
        <f ca="1">IFERROR(__xludf.DUMMYFUNCTION("IMPORTRANGE(""https://docs.google.com/spreadsheets/d/1-uDff_7J0KD5mKrp0Vvzr7lt3OU09vwQwhkpOPPYv2Y/edit?usp=sharing"",""งบพรบ!EZ35"")"),21406)</f>
        <v>21406</v>
      </c>
      <c r="M35" s="87">
        <f t="shared" ca="1" si="23"/>
        <v>19.82037037037037</v>
      </c>
      <c r="N35" s="87">
        <f t="shared" ca="1" si="24"/>
        <v>18.943362831858408</v>
      </c>
      <c r="O35" s="86">
        <f ca="1">IFERROR(__xludf.DUMMYFUNCTION("IMPORTRANGE(""https://docs.google.com/spreadsheets/d/1-uDff_7J0KD5mKrp0Vvzr7lt3OU09vwQwhkpOPPYv2Y/edit?usp=sharing"",""งบพรบ!FA35"")"),0)</f>
        <v>0</v>
      </c>
      <c r="P35" s="86">
        <f t="shared" ca="1" si="25"/>
        <v>0</v>
      </c>
      <c r="Q35" s="87">
        <f t="shared" ca="1" si="26"/>
        <v>0</v>
      </c>
      <c r="R35" s="353">
        <f ca="1">IFERROR(__xludf.DUMMYFUNCTION("IMPORTRANGE(""https://docs.google.com/spreadsheets/d/1XVB7oCJ3pr-vBUdflwPQ8Z2LlzhnCvZaaYjAfP-647E/edit?usp=sharing"",""นครพนม!I344"")"),860)</f>
        <v>860</v>
      </c>
      <c r="S35" s="177">
        <f ca="1">IFERROR(__xludf.DUMMYFUNCTION("IMPORTRANGE(""https://docs.google.com/spreadsheets/d/1XVB7oCJ3pr-vBUdflwPQ8Z2LlzhnCvZaaYjAfP-647E/edit?usp=sharing"",""นครพนม!J344"")"),344)</f>
        <v>344</v>
      </c>
      <c r="T35" s="354">
        <f t="shared" ca="1" si="28"/>
        <v>40</v>
      </c>
      <c r="U35" s="353">
        <f ca="1">IFERROR(__xludf.DUMMYFUNCTION("IMPORTRANGE(""https://docs.google.com/spreadsheets/d/1XVB7oCJ3pr-vBUdflwPQ8Z2LlzhnCvZaaYjAfP-647E/edit?usp=sharing"",""นครพนม!I346"")"),4)</f>
        <v>4</v>
      </c>
      <c r="V35" s="177">
        <f ca="1">IFERROR(__xludf.DUMMYFUNCTION("IMPORTRANGE(""https://docs.google.com/spreadsheets/d/1XVB7oCJ3pr-vBUdflwPQ8Z2LlzhnCvZaaYjAfP-647E/edit?usp=sharing"",""นครพนม!J346"")"),5)</f>
        <v>5</v>
      </c>
      <c r="W35" s="354">
        <f t="shared" ca="1" si="30"/>
        <v>125</v>
      </c>
      <c r="X35" s="177">
        <f ca="1">IFERROR(__xludf.DUMMYFUNCTION("IMPORTRANGE(""https://docs.google.com/spreadsheets/d/1XVB7oCJ3pr-vBUdflwPQ8Z2LlzhnCvZaaYjAfP-647E/edit?usp=sharing"",""นครพนม!J347"")"),0)</f>
        <v>0</v>
      </c>
      <c r="Y35" s="177">
        <f ca="1">IFERROR(__xludf.DUMMYFUNCTION("IMPORTRANGE(""https://docs.google.com/spreadsheets/d/1XVB7oCJ3pr-vBUdflwPQ8Z2LlzhnCvZaaYjAfP-647E/edit?usp=sharing"",""นครพนม!J348"")"),0)</f>
        <v>0</v>
      </c>
      <c r="Z35" s="177">
        <f ca="1">IFERROR(__xludf.DUMMYFUNCTION("IMPORTRANGE(""https://docs.google.com/spreadsheets/d/1XVB7oCJ3pr-vBUdflwPQ8Z2LlzhnCvZaaYjAfP-647E/edit?usp=sharing"",""นครพนม!J349"")"),0)</f>
        <v>0</v>
      </c>
      <c r="AA35" s="177">
        <f ca="1">IFERROR(__xludf.DUMMYFUNCTION("IMPORTRANGE(""https://docs.google.com/spreadsheets/d/1XVB7oCJ3pr-vBUdflwPQ8Z2LlzhnCvZaaYjAfP-647E/edit?usp=sharing"",""นครพนม!J352"")"),260)</f>
        <v>260</v>
      </c>
      <c r="AB35" s="177">
        <f ca="1">IFERROR(__xludf.DUMMYFUNCTION("IMPORTRANGE(""https://docs.google.com/spreadsheets/d/1XVB7oCJ3pr-vBUdflwPQ8Z2LlzhnCvZaaYjAfP-647E/edit?usp=sharing"",""นครพนม!J353"")"),2426)</f>
        <v>2426</v>
      </c>
    </row>
    <row r="36" spans="1:28" ht="21" customHeight="1" x14ac:dyDescent="0.3">
      <c r="A36" s="89">
        <v>5</v>
      </c>
      <c r="B36" s="90" t="s">
        <v>62</v>
      </c>
      <c r="C36" s="174">
        <f t="shared" ca="1" si="19"/>
        <v>126000</v>
      </c>
      <c r="D36" s="175">
        <f t="shared" ca="1" si="37"/>
        <v>126000</v>
      </c>
      <c r="E36" s="176">
        <f ca="1">IFERROR(__xludf.DUMMYFUNCTION("IMPORTRANGE(""https://docs.google.com/spreadsheets/d/1-uDff_7J0KD5mKrp0Vvzr7lt3OU09vwQwhkpOPPYv2Y/edit?usp=sharing"",""งบพรบ!ET36"")"),0)</f>
        <v>0</v>
      </c>
      <c r="F36" s="176">
        <f ca="1">IFERROR(__xludf.DUMMYFUNCTION("IMPORTRANGE(""https://docs.google.com/spreadsheets/d/1-uDff_7J0KD5mKrp0Vvzr7lt3OU09vwQwhkpOPPYv2Y/edit?usp=sharing"",""งบพรบ!EU36"")"),126000)</f>
        <v>126000</v>
      </c>
      <c r="G36" s="176">
        <f ca="1">IFERROR(__xludf.DUMMYFUNCTION("IMPORTRANGE(""https://docs.google.com/spreadsheets/d/1-uDff_7J0KD5mKrp0Vvzr7lt3OU09vwQwhkpOPPYv2Y/edit?usp=sharing"",""งบพรบ!EV36"")"),0)</f>
        <v>0</v>
      </c>
      <c r="H36" s="176">
        <f ca="1">IFERROR(__xludf.DUMMYFUNCTION("IMPORTRANGE(""https://docs.google.com/spreadsheets/d/1-uDff_7J0KD5mKrp0Vvzr7lt3OU09vwQwhkpOPPYv2Y/edit?usp=sharing"",""งบพรบ!EX36"")"),131000)</f>
        <v>131000</v>
      </c>
      <c r="I36" s="176">
        <f ca="1">IFERROR(__xludf.DUMMYFUNCTION("IMPORTRANGE(""https://docs.google.com/spreadsheets/d/1-uDff_7J0KD5mKrp0Vvzr7lt3OU09vwQwhkpOPPYv2Y/edit?usp=sharing"",""งบพรบ!EY36"")"),0)</f>
        <v>0</v>
      </c>
      <c r="J36" s="176">
        <f t="shared" ca="1" si="21"/>
        <v>56500</v>
      </c>
      <c r="K36" s="179">
        <f t="shared" ca="1" si="22"/>
        <v>44.841269841269842</v>
      </c>
      <c r="L36" s="176">
        <f ca="1">IFERROR(__xludf.DUMMYFUNCTION("IMPORTRANGE(""https://docs.google.com/spreadsheets/d/1-uDff_7J0KD5mKrp0Vvzr7lt3OU09vwQwhkpOPPYv2Y/edit?usp=sharing"",""งบพรบ!EZ36"")"),56500)</f>
        <v>56500</v>
      </c>
      <c r="M36" s="87">
        <f t="shared" ca="1" si="23"/>
        <v>44.841269841269842</v>
      </c>
      <c r="N36" s="87">
        <f t="shared" ca="1" si="24"/>
        <v>43.12977099236641</v>
      </c>
      <c r="O36" s="86">
        <f ca="1">IFERROR(__xludf.DUMMYFUNCTION("IMPORTRANGE(""https://docs.google.com/spreadsheets/d/1-uDff_7J0KD5mKrp0Vvzr7lt3OU09vwQwhkpOPPYv2Y/edit?usp=sharing"",""งบพรบ!FA36"")"),0)</f>
        <v>0</v>
      </c>
      <c r="P36" s="86">
        <f t="shared" ca="1" si="25"/>
        <v>0</v>
      </c>
      <c r="Q36" s="87">
        <f t="shared" ca="1" si="26"/>
        <v>0</v>
      </c>
      <c r="R36" s="353">
        <f ca="1">IFERROR(__xludf.DUMMYFUNCTION("IMPORTRANGE(""https://docs.google.com/spreadsheets/d/1Mnpb-8PYAgn85W6KOTD40hc_Xc55CaLfHoGAbrZ8tls/edit?usp=sharing"",""นครราชสีมา!I344"")"),5740)</f>
        <v>5740</v>
      </c>
      <c r="S36" s="177">
        <f ca="1">IFERROR(__xludf.DUMMYFUNCTION("IMPORTRANGE(""https://docs.google.com/spreadsheets/d/1Mnpb-8PYAgn85W6KOTD40hc_Xc55CaLfHoGAbrZ8tls/edit?usp=sharing"",""นครราชสีมา!J344"")"),2837)</f>
        <v>2837</v>
      </c>
      <c r="T36" s="354">
        <f t="shared" ca="1" si="28"/>
        <v>49.42508710801394</v>
      </c>
      <c r="U36" s="353">
        <f ca="1">IFERROR(__xludf.DUMMYFUNCTION("IMPORTRANGE(""https://docs.google.com/spreadsheets/d/1Mnpb-8PYAgn85W6KOTD40hc_Xc55CaLfHoGAbrZ8tls/edit?usp=sharing"",""นครราชสีมา!I346"")"),10)</f>
        <v>10</v>
      </c>
      <c r="V36" s="177">
        <f ca="1">IFERROR(__xludf.DUMMYFUNCTION("IMPORTRANGE(""https://docs.google.com/spreadsheets/d/1Mnpb-8PYAgn85W6KOTD40hc_Xc55CaLfHoGAbrZ8tls/edit?usp=sharing"",""นครราชสีมา!J346"")"),0)</f>
        <v>0</v>
      </c>
      <c r="W36" s="354">
        <f t="shared" ca="1" si="30"/>
        <v>0</v>
      </c>
      <c r="X36" s="177">
        <f ca="1">IFERROR(__xludf.DUMMYFUNCTION("IMPORTRANGE(""https://docs.google.com/spreadsheets/d/1Mnpb-8PYAgn85W6KOTD40hc_Xc55CaLfHoGAbrZ8tls/edit?usp=sharing"",""นครราชสีมา!J347"")"),328)</f>
        <v>328</v>
      </c>
      <c r="Y36" s="177">
        <f ca="1">IFERROR(__xludf.DUMMYFUNCTION("IMPORTRANGE(""https://docs.google.com/spreadsheets/d/1Mnpb-8PYAgn85W6KOTD40hc_Xc55CaLfHoGAbrZ8tls/edit?usp=sharing"",""นครราชสีมา!J348"")"),3)</f>
        <v>3</v>
      </c>
      <c r="Z36" s="177">
        <f ca="1">IFERROR(__xludf.DUMMYFUNCTION("IMPORTRANGE(""https://docs.google.com/spreadsheets/d/1Mnpb-8PYAgn85W6KOTD40hc_Xc55CaLfHoGAbrZ8tls/edit?usp=sharing"",""นครราชสีมา!J349"")"),0)</f>
        <v>0</v>
      </c>
      <c r="AA36" s="177">
        <f ca="1">IFERROR(__xludf.DUMMYFUNCTION("IMPORTRANGE(""https://docs.google.com/spreadsheets/d/1Mnpb-8PYAgn85W6KOTD40hc_Xc55CaLfHoGAbrZ8tls/edit?usp=sharing"",""นครราชสีมา!J352"")"),5294)</f>
        <v>5294</v>
      </c>
      <c r="AB36" s="177">
        <f ca="1">IFERROR(__xludf.DUMMYFUNCTION("IMPORTRANGE(""https://docs.google.com/spreadsheets/d/1Mnpb-8PYAgn85W6KOTD40hc_Xc55CaLfHoGAbrZ8tls/edit?usp=sharing"",""นครราชสีมา!J353"")"),1514)</f>
        <v>1514</v>
      </c>
    </row>
    <row r="37" spans="1:28" ht="21" customHeight="1" x14ac:dyDescent="0.3">
      <c r="A37" s="89">
        <v>6</v>
      </c>
      <c r="B37" s="90" t="s">
        <v>63</v>
      </c>
      <c r="C37" s="174">
        <f t="shared" ca="1" si="19"/>
        <v>113000</v>
      </c>
      <c r="D37" s="175">
        <f t="shared" ca="1" si="37"/>
        <v>113000</v>
      </c>
      <c r="E37" s="176">
        <f ca="1">IFERROR(__xludf.DUMMYFUNCTION("IMPORTRANGE(""https://docs.google.com/spreadsheets/d/1-uDff_7J0KD5mKrp0Vvzr7lt3OU09vwQwhkpOPPYv2Y/edit?usp=sharing"",""งบพรบ!ET37"")"),0)</f>
        <v>0</v>
      </c>
      <c r="F37" s="176">
        <f ca="1">IFERROR(__xludf.DUMMYFUNCTION("IMPORTRANGE(""https://docs.google.com/spreadsheets/d/1-uDff_7J0KD5mKrp0Vvzr7lt3OU09vwQwhkpOPPYv2Y/edit?usp=sharing"",""งบพรบ!EU37"")"),113000)</f>
        <v>113000</v>
      </c>
      <c r="G37" s="176">
        <f ca="1">IFERROR(__xludf.DUMMYFUNCTION("IMPORTRANGE(""https://docs.google.com/spreadsheets/d/1-uDff_7J0KD5mKrp0Vvzr7lt3OU09vwQwhkpOPPYv2Y/edit?usp=sharing"",""งบพรบ!EV37"")"),0)</f>
        <v>0</v>
      </c>
      <c r="H37" s="176">
        <f ca="1">IFERROR(__xludf.DUMMYFUNCTION("IMPORTRANGE(""https://docs.google.com/spreadsheets/d/1-uDff_7J0KD5mKrp0Vvzr7lt3OU09vwQwhkpOPPYv2Y/edit?usp=sharing"",""งบพรบ!EX37"")"),118000)</f>
        <v>118000</v>
      </c>
      <c r="I37" s="176">
        <f ca="1">IFERROR(__xludf.DUMMYFUNCTION("IMPORTRANGE(""https://docs.google.com/spreadsheets/d/1-uDff_7J0KD5mKrp0Vvzr7lt3OU09vwQwhkpOPPYv2Y/edit?usp=sharing"",""งบพรบ!EY37"")"),0)</f>
        <v>0</v>
      </c>
      <c r="J37" s="176">
        <f t="shared" ca="1" si="21"/>
        <v>54740</v>
      </c>
      <c r="K37" s="179">
        <f t="shared" ca="1" si="22"/>
        <v>48.442477876106196</v>
      </c>
      <c r="L37" s="176">
        <f ca="1">IFERROR(__xludf.DUMMYFUNCTION("IMPORTRANGE(""https://docs.google.com/spreadsheets/d/1-uDff_7J0KD5mKrp0Vvzr7lt3OU09vwQwhkpOPPYv2Y/edit?usp=sharing"",""งบพรบ!EZ37"")"),54740)</f>
        <v>54740</v>
      </c>
      <c r="M37" s="87">
        <f t="shared" ca="1" si="23"/>
        <v>48.442477876106196</v>
      </c>
      <c r="N37" s="87">
        <f t="shared" ca="1" si="24"/>
        <v>46.389830508474574</v>
      </c>
      <c r="O37" s="86">
        <f ca="1">IFERROR(__xludf.DUMMYFUNCTION("IMPORTRANGE(""https://docs.google.com/spreadsheets/d/1-uDff_7J0KD5mKrp0Vvzr7lt3OU09vwQwhkpOPPYv2Y/edit?usp=sharing"",""งบพรบ!FA37"")"),0)</f>
        <v>0</v>
      </c>
      <c r="P37" s="86">
        <f t="shared" ca="1" si="25"/>
        <v>0</v>
      </c>
      <c r="Q37" s="87">
        <f t="shared" ca="1" si="26"/>
        <v>0</v>
      </c>
      <c r="R37" s="353">
        <f ca="1">IFERROR(__xludf.DUMMYFUNCTION("IMPORTRANGE(""https://docs.google.com/spreadsheets/d/1xoDLGBv9CYbyosIhki0kTq6IpYNj-gpjxfobnaDiut0/edit?usp=sharing"",""บึงกาฬ!I344"")"),2400)</f>
        <v>2400</v>
      </c>
      <c r="S37" s="177">
        <f ca="1">IFERROR(__xludf.DUMMYFUNCTION("IMPORTRANGE(""https://docs.google.com/spreadsheets/d/1xoDLGBv9CYbyosIhki0kTq6IpYNj-gpjxfobnaDiut0/edit?usp=sharing"",""บึงกาฬ!J344"")"),1097)</f>
        <v>1097</v>
      </c>
      <c r="T37" s="354">
        <f t="shared" ca="1" si="28"/>
        <v>45.708333333333336</v>
      </c>
      <c r="U37" s="353">
        <f ca="1">IFERROR(__xludf.DUMMYFUNCTION("IMPORTRANGE(""https://docs.google.com/spreadsheets/d/1xoDLGBv9CYbyosIhki0kTq6IpYNj-gpjxfobnaDiut0/edit?usp=sharing"",""บึงกาฬ!I346"")"),5)</f>
        <v>5</v>
      </c>
      <c r="V37" s="177">
        <f ca="1">IFERROR(__xludf.DUMMYFUNCTION("IMPORTRANGE(""https://docs.google.com/spreadsheets/d/1xoDLGBv9CYbyosIhki0kTq6IpYNj-gpjxfobnaDiut0/edit?usp=sharing"",""บึงกาฬ!J346"")"),2)</f>
        <v>2</v>
      </c>
      <c r="W37" s="354">
        <f t="shared" ca="1" si="30"/>
        <v>40</v>
      </c>
      <c r="X37" s="177">
        <f ca="1">IFERROR(__xludf.DUMMYFUNCTION("IMPORTRANGE(""https://docs.google.com/spreadsheets/d/1xoDLGBv9CYbyosIhki0kTq6IpYNj-gpjxfobnaDiut0/edit?usp=sharing"",""บึงกาฬ!J347"")"),1)</f>
        <v>1</v>
      </c>
      <c r="Y37" s="177">
        <f ca="1">IFERROR(__xludf.DUMMYFUNCTION("IMPORTRANGE(""https://docs.google.com/spreadsheets/d/1xoDLGBv9CYbyosIhki0kTq6IpYNj-gpjxfobnaDiut0/edit?usp=sharing"",""บึงกาฬ!J348"")"),0)</f>
        <v>0</v>
      </c>
      <c r="Z37" s="177">
        <f ca="1">IFERROR(__xludf.DUMMYFUNCTION("IMPORTRANGE(""https://docs.google.com/spreadsheets/d/1xoDLGBv9CYbyosIhki0kTq6IpYNj-gpjxfobnaDiut0/edit?usp=sharing"",""บึงกาฬ!J349"")"),0)</f>
        <v>0</v>
      </c>
      <c r="AA37" s="177">
        <f ca="1">IFERROR(__xludf.DUMMYFUNCTION("IMPORTRANGE(""https://docs.google.com/spreadsheets/d/1xoDLGBv9CYbyosIhki0kTq6IpYNj-gpjxfobnaDiut0/edit?usp=sharing"",""บึงกาฬ!J352"")"),1393)</f>
        <v>1393</v>
      </c>
      <c r="AB37" s="177">
        <f ca="1">IFERROR(__xludf.DUMMYFUNCTION("IMPORTRANGE(""https://docs.google.com/spreadsheets/d/1xoDLGBv9CYbyosIhki0kTq6IpYNj-gpjxfobnaDiut0/edit?usp=sharing"",""บึงกาฬ!J353"")"),2118)</f>
        <v>2118</v>
      </c>
    </row>
    <row r="38" spans="1:28" ht="21" customHeight="1" x14ac:dyDescent="0.3">
      <c r="A38" s="89">
        <v>7</v>
      </c>
      <c r="B38" s="90" t="s">
        <v>64</v>
      </c>
      <c r="C38" s="174">
        <f t="shared" ca="1" si="19"/>
        <v>180500</v>
      </c>
      <c r="D38" s="175">
        <f t="shared" ca="1" si="37"/>
        <v>180500</v>
      </c>
      <c r="E38" s="176">
        <f ca="1">IFERROR(__xludf.DUMMYFUNCTION("IMPORTRANGE(""https://docs.google.com/spreadsheets/d/1-uDff_7J0KD5mKrp0Vvzr7lt3OU09vwQwhkpOPPYv2Y/edit?usp=sharing"",""งบพรบ!ET38"")"),66500)</f>
        <v>66500</v>
      </c>
      <c r="F38" s="176">
        <f ca="1">IFERROR(__xludf.DUMMYFUNCTION("IMPORTRANGE(""https://docs.google.com/spreadsheets/d/1-uDff_7J0KD5mKrp0Vvzr7lt3OU09vwQwhkpOPPYv2Y/edit?usp=sharing"",""งบพรบ!EU38"")"),114000)</f>
        <v>114000</v>
      </c>
      <c r="G38" s="176">
        <f ca="1">IFERROR(__xludf.DUMMYFUNCTION("IMPORTRANGE(""https://docs.google.com/spreadsheets/d/1-uDff_7J0KD5mKrp0Vvzr7lt3OU09vwQwhkpOPPYv2Y/edit?usp=sharing"",""งบพรบ!EV38"")"),0)</f>
        <v>0</v>
      </c>
      <c r="H38" s="176">
        <f ca="1">IFERROR(__xludf.DUMMYFUNCTION("IMPORTRANGE(""https://docs.google.com/spreadsheets/d/1-uDff_7J0KD5mKrp0Vvzr7lt3OU09vwQwhkpOPPYv2Y/edit?usp=sharing"",""งบพรบ!EX38"")"),185500)</f>
        <v>185500</v>
      </c>
      <c r="I38" s="176">
        <f ca="1">IFERROR(__xludf.DUMMYFUNCTION("IMPORTRANGE(""https://docs.google.com/spreadsheets/d/1-uDff_7J0KD5mKrp0Vvzr7lt3OU09vwQwhkpOPPYv2Y/edit?usp=sharing"",""งบพรบ!EY38"")"),0)</f>
        <v>0</v>
      </c>
      <c r="J38" s="176">
        <f t="shared" ca="1" si="21"/>
        <v>72385</v>
      </c>
      <c r="K38" s="179">
        <f t="shared" ca="1" si="22"/>
        <v>40.102493074792243</v>
      </c>
      <c r="L38" s="176">
        <f ca="1">IFERROR(__xludf.DUMMYFUNCTION("IMPORTRANGE(""https://docs.google.com/spreadsheets/d/1-uDff_7J0KD5mKrp0Vvzr7lt3OU09vwQwhkpOPPYv2Y/edit?usp=sharing"",""งบพรบ!EZ38"")"),72385)</f>
        <v>72385</v>
      </c>
      <c r="M38" s="87">
        <f t="shared" ca="1" si="23"/>
        <v>40.102493074792243</v>
      </c>
      <c r="N38" s="87">
        <f t="shared" ca="1" si="24"/>
        <v>39.021563342318061</v>
      </c>
      <c r="O38" s="86">
        <f ca="1">IFERROR(__xludf.DUMMYFUNCTION("IMPORTRANGE(""https://docs.google.com/spreadsheets/d/1-uDff_7J0KD5mKrp0Vvzr7lt3OU09vwQwhkpOPPYv2Y/edit?usp=sharing"",""งบพรบ!FA38"")"),0)</f>
        <v>0</v>
      </c>
      <c r="P38" s="86">
        <f t="shared" ca="1" si="25"/>
        <v>0</v>
      </c>
      <c r="Q38" s="87">
        <f t="shared" ca="1" si="26"/>
        <v>0</v>
      </c>
      <c r="R38" s="353">
        <f ca="1">IFERROR(__xludf.DUMMYFUNCTION("IMPORTRANGE(""https://docs.google.com/spreadsheets/d/1MMPq-JyI6DSgQETxuSiXkesP-P7JHuemnE6QJIa-Nlw/edit?usp=sharing"",""บุรีรัมย์!I344"")"),4200)</f>
        <v>4200</v>
      </c>
      <c r="S38" s="177">
        <f ca="1">IFERROR(__xludf.DUMMYFUNCTION("IMPORTRANGE(""https://docs.google.com/spreadsheets/d/1MMPq-JyI6DSgQETxuSiXkesP-P7JHuemnE6QJIa-Nlw/edit?usp=sharing"",""บุรีรัมย์!J344"")"),3643)</f>
        <v>3643</v>
      </c>
      <c r="T38" s="354">
        <f t="shared" ca="1" si="28"/>
        <v>86.738095238095241</v>
      </c>
      <c r="U38" s="353">
        <f ca="1">IFERROR(__xludf.DUMMYFUNCTION("IMPORTRANGE(""https://docs.google.com/spreadsheets/d/1MMPq-JyI6DSgQETxuSiXkesP-P7JHuemnE6QJIa-Nlw/edit?usp=sharing"",""บุรีรัมย์!I346"")"),4)</f>
        <v>4</v>
      </c>
      <c r="V38" s="177">
        <f ca="1">IFERROR(__xludf.DUMMYFUNCTION("IMPORTRANGE(""https://docs.google.com/spreadsheets/d/1MMPq-JyI6DSgQETxuSiXkesP-P7JHuemnE6QJIa-Nlw/edit?usp=sharing"",""บุรีรัมย์!J346"")"),6)</f>
        <v>6</v>
      </c>
      <c r="W38" s="354">
        <f t="shared" ca="1" si="30"/>
        <v>150</v>
      </c>
      <c r="X38" s="177">
        <f ca="1">IFERROR(__xludf.DUMMYFUNCTION("IMPORTRANGE(""https://docs.google.com/spreadsheets/d/1MMPq-JyI6DSgQETxuSiXkesP-P7JHuemnE6QJIa-Nlw/edit?usp=sharing"",""บุรีรัมย์!J347"")"),0)</f>
        <v>0</v>
      </c>
      <c r="Y38" s="177">
        <f ca="1">IFERROR(__xludf.DUMMYFUNCTION("IMPORTRANGE(""https://docs.google.com/spreadsheets/d/1MMPq-JyI6DSgQETxuSiXkesP-P7JHuemnE6QJIa-Nlw/edit?usp=sharing"",""บุรีรัมย์!J348"")"),0)</f>
        <v>0</v>
      </c>
      <c r="Z38" s="177">
        <f ca="1">IFERROR(__xludf.DUMMYFUNCTION("IMPORTRANGE(""https://docs.google.com/spreadsheets/d/1MMPq-JyI6DSgQETxuSiXkesP-P7JHuemnE6QJIa-Nlw/edit?usp=sharing"",""บุรีรัมย์!J349"")"),0)</f>
        <v>0</v>
      </c>
      <c r="AA38" s="177">
        <f ca="1">IFERROR(__xludf.DUMMYFUNCTION("IMPORTRANGE(""https://docs.google.com/spreadsheets/d/1MMPq-JyI6DSgQETxuSiXkesP-P7JHuemnE6QJIa-Nlw/edit?usp=sharing"",""บุรีรัมย์!J352"")"),11911)</f>
        <v>11911</v>
      </c>
      <c r="AB38" s="177">
        <f ca="1">IFERROR(__xludf.DUMMYFUNCTION("IMPORTRANGE(""https://docs.google.com/spreadsheets/d/1MMPq-JyI6DSgQETxuSiXkesP-P7JHuemnE6QJIa-Nlw/edit?usp=sharing"",""บุรีรัมย์!J353"")"),2885)</f>
        <v>2885</v>
      </c>
    </row>
    <row r="39" spans="1:28" ht="21" customHeight="1" x14ac:dyDescent="0.3">
      <c r="A39" s="89">
        <v>8</v>
      </c>
      <c r="B39" s="90" t="s">
        <v>65</v>
      </c>
      <c r="C39" s="174">
        <f t="shared" ca="1" si="19"/>
        <v>103000</v>
      </c>
      <c r="D39" s="175">
        <f t="shared" ca="1" si="37"/>
        <v>103000</v>
      </c>
      <c r="E39" s="176">
        <f ca="1">IFERROR(__xludf.DUMMYFUNCTION("IMPORTRANGE(""https://docs.google.com/spreadsheets/d/1-uDff_7J0KD5mKrp0Vvzr7lt3OU09vwQwhkpOPPYv2Y/edit?usp=sharing"",""งบพรบ!ET39"")"),0)</f>
        <v>0</v>
      </c>
      <c r="F39" s="176">
        <f ca="1">IFERROR(__xludf.DUMMYFUNCTION("IMPORTRANGE(""https://docs.google.com/spreadsheets/d/1-uDff_7J0KD5mKrp0Vvzr7lt3OU09vwQwhkpOPPYv2Y/edit?usp=sharing"",""งบพรบ!EU39"")"),103000)</f>
        <v>103000</v>
      </c>
      <c r="G39" s="176">
        <f ca="1">IFERROR(__xludf.DUMMYFUNCTION("IMPORTRANGE(""https://docs.google.com/spreadsheets/d/1-uDff_7J0KD5mKrp0Vvzr7lt3OU09vwQwhkpOPPYv2Y/edit?usp=sharing"",""งบพรบ!EV39"")"),0)</f>
        <v>0</v>
      </c>
      <c r="H39" s="176">
        <f ca="1">IFERROR(__xludf.DUMMYFUNCTION("IMPORTRANGE(""https://docs.google.com/spreadsheets/d/1-uDff_7J0KD5mKrp0Vvzr7lt3OU09vwQwhkpOPPYv2Y/edit?usp=sharing"",""งบพรบ!EX39"")"),108000)</f>
        <v>108000</v>
      </c>
      <c r="I39" s="176">
        <f ca="1">IFERROR(__xludf.DUMMYFUNCTION("IMPORTRANGE(""https://docs.google.com/spreadsheets/d/1-uDff_7J0KD5mKrp0Vvzr7lt3OU09vwQwhkpOPPYv2Y/edit?usp=sharing"",""งบพรบ!EY39"")"),0)</f>
        <v>0</v>
      </c>
      <c r="J39" s="176">
        <f t="shared" ca="1" si="21"/>
        <v>55160</v>
      </c>
      <c r="K39" s="179">
        <f t="shared" ca="1" si="22"/>
        <v>53.553398058252426</v>
      </c>
      <c r="L39" s="176">
        <f ca="1">IFERROR(__xludf.DUMMYFUNCTION("IMPORTRANGE(""https://docs.google.com/spreadsheets/d/1-uDff_7J0KD5mKrp0Vvzr7lt3OU09vwQwhkpOPPYv2Y/edit?usp=sharing"",""งบพรบ!EZ39"")"),55160)</f>
        <v>55160</v>
      </c>
      <c r="M39" s="87">
        <f t="shared" ca="1" si="23"/>
        <v>53.553398058252426</v>
      </c>
      <c r="N39" s="87">
        <f t="shared" ca="1" si="24"/>
        <v>51.074074074074076</v>
      </c>
      <c r="O39" s="86">
        <f ca="1">IFERROR(__xludf.DUMMYFUNCTION("IMPORTRANGE(""https://docs.google.com/spreadsheets/d/1-uDff_7J0KD5mKrp0Vvzr7lt3OU09vwQwhkpOPPYv2Y/edit?usp=sharing"",""งบพรบ!FA39"")"),0)</f>
        <v>0</v>
      </c>
      <c r="P39" s="86">
        <f t="shared" ca="1" si="25"/>
        <v>0</v>
      </c>
      <c r="Q39" s="87">
        <f t="shared" ca="1" si="26"/>
        <v>0</v>
      </c>
      <c r="R39" s="353">
        <f ca="1">IFERROR(__xludf.DUMMYFUNCTION("IMPORTRANGE(""https://docs.google.com/spreadsheets/d/1l6IZ8xUPgMrESzcTYwhA1k_tPjeQjJPTqlm8Gd9eU5g/edit?usp=sharing"",""มหาสารคาม!I344"")"),660)</f>
        <v>660</v>
      </c>
      <c r="S39" s="177">
        <f ca="1">IFERROR(__xludf.DUMMYFUNCTION("IMPORTRANGE(""https://docs.google.com/spreadsheets/d/1l6IZ8xUPgMrESzcTYwhA1k_tPjeQjJPTqlm8Gd9eU5g/edit?usp=sharing"",""มหาสารคาม!J344"")"),462)</f>
        <v>462</v>
      </c>
      <c r="T39" s="354">
        <f t="shared" ca="1" si="28"/>
        <v>70</v>
      </c>
      <c r="U39" s="353">
        <f ca="1">IFERROR(__xludf.DUMMYFUNCTION("IMPORTRANGE(""https://docs.google.com/spreadsheets/d/1l6IZ8xUPgMrESzcTYwhA1k_tPjeQjJPTqlm8Gd9eU5g/edit?usp=sharing"",""มหาสารคาม!I346"")"),3)</f>
        <v>3</v>
      </c>
      <c r="V39" s="177">
        <f ca="1">IFERROR(__xludf.DUMMYFUNCTION("IMPORTRANGE(""https://docs.google.com/spreadsheets/d/1l6IZ8xUPgMrESzcTYwhA1k_tPjeQjJPTqlm8Gd9eU5g/edit?usp=sharing"",""มหาสารคาม!J346"")"),6)</f>
        <v>6</v>
      </c>
      <c r="W39" s="354">
        <f t="shared" ca="1" si="30"/>
        <v>200</v>
      </c>
      <c r="X39" s="177">
        <f ca="1">IFERROR(__xludf.DUMMYFUNCTION("IMPORTRANGE(""https://docs.google.com/spreadsheets/d/1l6IZ8xUPgMrESzcTYwhA1k_tPjeQjJPTqlm8Gd9eU5g/edit?usp=sharing"",""มหาสารคาม!J347"")"),0)</f>
        <v>0</v>
      </c>
      <c r="Y39" s="177">
        <f ca="1">IFERROR(__xludf.DUMMYFUNCTION("IMPORTRANGE(""https://docs.google.com/spreadsheets/d/1l6IZ8xUPgMrESzcTYwhA1k_tPjeQjJPTqlm8Gd9eU5g/edit?usp=sharing"",""มหาสารคาม!J348"")"),0)</f>
        <v>0</v>
      </c>
      <c r="Z39" s="177">
        <f ca="1">IFERROR(__xludf.DUMMYFUNCTION("IMPORTRANGE(""https://docs.google.com/spreadsheets/d/1l6IZ8xUPgMrESzcTYwhA1k_tPjeQjJPTqlm8Gd9eU5g/edit?usp=sharing"",""มหาสารคาม!J349"")"),0)</f>
        <v>0</v>
      </c>
      <c r="AA39" s="177">
        <f ca="1">IFERROR(__xludf.DUMMYFUNCTION("IMPORTRANGE(""https://docs.google.com/spreadsheets/d/1l6IZ8xUPgMrESzcTYwhA1k_tPjeQjJPTqlm8Gd9eU5g/edit?usp=sharing"",""มหาสารคาม!J352"")"),378)</f>
        <v>378</v>
      </c>
      <c r="AB39" s="177">
        <f ca="1">IFERROR(__xludf.DUMMYFUNCTION("IMPORTRANGE(""https://docs.google.com/spreadsheets/d/1l6IZ8xUPgMrESzcTYwhA1k_tPjeQjJPTqlm8Gd9eU5g/edit?usp=sharing"",""มหาสารคาม!J353"")"),6011)</f>
        <v>6011</v>
      </c>
    </row>
    <row r="40" spans="1:28" ht="21" customHeight="1" x14ac:dyDescent="0.3">
      <c r="A40" s="89">
        <v>9</v>
      </c>
      <c r="B40" s="90" t="s">
        <v>66</v>
      </c>
      <c r="C40" s="174">
        <f t="shared" ca="1" si="19"/>
        <v>108000</v>
      </c>
      <c r="D40" s="175">
        <f t="shared" ca="1" si="37"/>
        <v>108000</v>
      </c>
      <c r="E40" s="176">
        <f ca="1">IFERROR(__xludf.DUMMYFUNCTION("IMPORTRANGE(""https://docs.google.com/spreadsheets/d/1-uDff_7J0KD5mKrp0Vvzr7lt3OU09vwQwhkpOPPYv2Y/edit?usp=sharing"",""งบพรบ!ET40"")"),0)</f>
        <v>0</v>
      </c>
      <c r="F40" s="176">
        <f ca="1">IFERROR(__xludf.DUMMYFUNCTION("IMPORTRANGE(""https://docs.google.com/spreadsheets/d/1-uDff_7J0KD5mKrp0Vvzr7lt3OU09vwQwhkpOPPYv2Y/edit?usp=sharing"",""งบพรบ!EU40"")"),108000)</f>
        <v>108000</v>
      </c>
      <c r="G40" s="176">
        <f ca="1">IFERROR(__xludf.DUMMYFUNCTION("IMPORTRANGE(""https://docs.google.com/spreadsheets/d/1-uDff_7J0KD5mKrp0Vvzr7lt3OU09vwQwhkpOPPYv2Y/edit?usp=sharing"",""งบพรบ!EV40"")"),0)</f>
        <v>0</v>
      </c>
      <c r="H40" s="176">
        <f ca="1">IFERROR(__xludf.DUMMYFUNCTION("IMPORTRANGE(""https://docs.google.com/spreadsheets/d/1-uDff_7J0KD5mKrp0Vvzr7lt3OU09vwQwhkpOPPYv2Y/edit?usp=sharing"",""งบพรบ!EX40"")"),113000)</f>
        <v>113000</v>
      </c>
      <c r="I40" s="176">
        <f ca="1">IFERROR(__xludf.DUMMYFUNCTION("IMPORTRANGE(""https://docs.google.com/spreadsheets/d/1-uDff_7J0KD5mKrp0Vvzr7lt3OU09vwQwhkpOPPYv2Y/edit?usp=sharing"",""งบพรบ!EY40"")"),0)</f>
        <v>0</v>
      </c>
      <c r="J40" s="176">
        <f t="shared" ca="1" si="21"/>
        <v>18080</v>
      </c>
      <c r="K40" s="179">
        <f t="shared" ca="1" si="22"/>
        <v>16.74074074074074</v>
      </c>
      <c r="L40" s="176">
        <f ca="1">IFERROR(__xludf.DUMMYFUNCTION("IMPORTRANGE(""https://docs.google.com/spreadsheets/d/1-uDff_7J0KD5mKrp0Vvzr7lt3OU09vwQwhkpOPPYv2Y/edit?usp=sharing"",""งบพรบ!EZ40"")"),18080)</f>
        <v>18080</v>
      </c>
      <c r="M40" s="87">
        <f t="shared" ca="1" si="23"/>
        <v>16.74074074074074</v>
      </c>
      <c r="N40" s="87">
        <f t="shared" ca="1" si="24"/>
        <v>16</v>
      </c>
      <c r="O40" s="86">
        <f ca="1">IFERROR(__xludf.DUMMYFUNCTION("IMPORTRANGE(""https://docs.google.com/spreadsheets/d/1-uDff_7J0KD5mKrp0Vvzr7lt3OU09vwQwhkpOPPYv2Y/edit?usp=sharing"",""งบพรบ!FA40"")"),0)</f>
        <v>0</v>
      </c>
      <c r="P40" s="86">
        <f t="shared" ca="1" si="25"/>
        <v>0</v>
      </c>
      <c r="Q40" s="87">
        <f t="shared" ca="1" si="26"/>
        <v>0</v>
      </c>
      <c r="R40" s="355">
        <f ca="1">IFERROR(__xludf.DUMMYFUNCTION("IMPORTRANGE(""https://docs.google.com/spreadsheets/d/1uB74YLqNjWX6FObjekfB2NtSYigTQyR2rq9u4Ub2Sq4/edit?usp=sharing"",""มุกดาหาร!I344"")"),1540)</f>
        <v>1540</v>
      </c>
      <c r="S40" s="177">
        <f ca="1">IFERROR(__xludf.DUMMYFUNCTION("IMPORTRANGE(""https://docs.google.com/spreadsheets/d/1uB74YLqNjWX6FObjekfB2NtSYigTQyR2rq9u4Ub2Sq4/edit?usp=sharing"",""มุกดาหาร!J344"")"),116)</f>
        <v>116</v>
      </c>
      <c r="T40" s="354">
        <f t="shared" ca="1" si="28"/>
        <v>7.5324675324675328</v>
      </c>
      <c r="U40" s="355">
        <f ca="1">IFERROR(__xludf.DUMMYFUNCTION("IMPORTRANGE(""https://docs.google.com/spreadsheets/d/1uB74YLqNjWX6FObjekfB2NtSYigTQyR2rq9u4Ub2Sq4/edit?usp=sharing"",""มุกดาหาร!I346"")"),4)</f>
        <v>4</v>
      </c>
      <c r="V40" s="177">
        <f ca="1">IFERROR(__xludf.DUMMYFUNCTION("IMPORTRANGE(""https://docs.google.com/spreadsheets/d/1uB74YLqNjWX6FObjekfB2NtSYigTQyR2rq9u4Ub2Sq4/edit?usp=sharing"",""มุกดาหาร!J346"")"),2)</f>
        <v>2</v>
      </c>
      <c r="W40" s="354">
        <f t="shared" ca="1" si="30"/>
        <v>50</v>
      </c>
      <c r="X40" s="177">
        <f ca="1">IFERROR(__xludf.DUMMYFUNCTION("IMPORTRANGE(""https://docs.google.com/spreadsheets/d/1uB74YLqNjWX6FObjekfB2NtSYigTQyR2rq9u4Ub2Sq4/edit?usp=sharing"",""มุกดาหาร!J347"")"),0)</f>
        <v>0</v>
      </c>
      <c r="Y40" s="177">
        <f ca="1">IFERROR(__xludf.DUMMYFUNCTION("IMPORTRANGE(""https://docs.google.com/spreadsheets/d/1uB74YLqNjWX6FObjekfB2NtSYigTQyR2rq9u4Ub2Sq4/edit?usp=sharing"",""มุกดาหาร!J348"")"),7)</f>
        <v>7</v>
      </c>
      <c r="Z40" s="177">
        <f ca="1">IFERROR(__xludf.DUMMYFUNCTION("IMPORTRANGE(""https://docs.google.com/spreadsheets/d/1uB74YLqNjWX6FObjekfB2NtSYigTQyR2rq9u4Ub2Sq4/edit?usp=sharing"",""มุกดาหาร!J349"")"),0)</f>
        <v>0</v>
      </c>
      <c r="AA40" s="177">
        <f ca="1">IFERROR(__xludf.DUMMYFUNCTION("IMPORTRANGE(""https://docs.google.com/spreadsheets/d/1uB74YLqNjWX6FObjekfB2NtSYigTQyR2rq9u4Ub2Sq4/edit?usp=sharing"",""มุกดาหาร!J352"")"),112)</f>
        <v>112</v>
      </c>
      <c r="AB40" s="177">
        <f ca="1">IFERROR(__xludf.DUMMYFUNCTION("IMPORTRANGE(""https://docs.google.com/spreadsheets/d/1uB74YLqNjWX6FObjekfB2NtSYigTQyR2rq9u4Ub2Sq4/edit?usp=sharing"",""มุกดาหาร!J353"")"),4149)</f>
        <v>4149</v>
      </c>
    </row>
    <row r="41" spans="1:28" ht="21" customHeight="1" x14ac:dyDescent="0.3">
      <c r="A41" s="89">
        <v>10</v>
      </c>
      <c r="B41" s="90" t="s">
        <v>67</v>
      </c>
      <c r="C41" s="174">
        <f t="shared" ca="1" si="19"/>
        <v>215200</v>
      </c>
      <c r="D41" s="175">
        <f t="shared" ca="1" si="37"/>
        <v>215200</v>
      </c>
      <c r="E41" s="176">
        <f ca="1">IFERROR(__xludf.DUMMYFUNCTION("IMPORTRANGE(""https://docs.google.com/spreadsheets/d/1-uDff_7J0KD5mKrp0Vvzr7lt3OU09vwQwhkpOPPYv2Y/edit?usp=sharing"",""งบพรบ!ET41"")"),102200)</f>
        <v>102200</v>
      </c>
      <c r="F41" s="176">
        <f ca="1">IFERROR(__xludf.DUMMYFUNCTION("IMPORTRANGE(""https://docs.google.com/spreadsheets/d/1-uDff_7J0KD5mKrp0Vvzr7lt3OU09vwQwhkpOPPYv2Y/edit?usp=sharing"",""งบพรบ!EU41"")"),113000)</f>
        <v>113000</v>
      </c>
      <c r="G41" s="176">
        <f ca="1">IFERROR(__xludf.DUMMYFUNCTION("IMPORTRANGE(""https://docs.google.com/spreadsheets/d/1-uDff_7J0KD5mKrp0Vvzr7lt3OU09vwQwhkpOPPYv2Y/edit?usp=sharing"",""งบพรบ!EV41"")"),0)</f>
        <v>0</v>
      </c>
      <c r="H41" s="176">
        <f ca="1">IFERROR(__xludf.DUMMYFUNCTION("IMPORTRANGE(""https://docs.google.com/spreadsheets/d/1-uDff_7J0KD5mKrp0Vvzr7lt3OU09vwQwhkpOPPYv2Y/edit?usp=sharing"",""งบพรบ!EX41"")"),220200)</f>
        <v>220200</v>
      </c>
      <c r="I41" s="176">
        <f ca="1">IFERROR(__xludf.DUMMYFUNCTION("IMPORTRANGE(""https://docs.google.com/spreadsheets/d/1-uDff_7J0KD5mKrp0Vvzr7lt3OU09vwQwhkpOPPYv2Y/edit?usp=sharing"",""งบพรบ!EY41"")"),0)</f>
        <v>0</v>
      </c>
      <c r="J41" s="176">
        <f t="shared" ca="1" si="21"/>
        <v>84458</v>
      </c>
      <c r="K41" s="179">
        <f t="shared" ca="1" si="22"/>
        <v>39.246282527881043</v>
      </c>
      <c r="L41" s="176">
        <f ca="1">IFERROR(__xludf.DUMMYFUNCTION("IMPORTRANGE(""https://docs.google.com/spreadsheets/d/1-uDff_7J0KD5mKrp0Vvzr7lt3OU09vwQwhkpOPPYv2Y/edit?usp=sharing"",""งบพรบ!EZ41"")"),84458)</f>
        <v>84458</v>
      </c>
      <c r="M41" s="87">
        <f t="shared" ca="1" si="23"/>
        <v>39.246282527881043</v>
      </c>
      <c r="N41" s="87">
        <f t="shared" ca="1" si="24"/>
        <v>38.355131698455949</v>
      </c>
      <c r="O41" s="86">
        <f ca="1">IFERROR(__xludf.DUMMYFUNCTION("IMPORTRANGE(""https://docs.google.com/spreadsheets/d/1-uDff_7J0KD5mKrp0Vvzr7lt3OU09vwQwhkpOPPYv2Y/edit?usp=sharing"",""งบพรบ!FA41"")"),0)</f>
        <v>0</v>
      </c>
      <c r="P41" s="86">
        <f t="shared" ca="1" si="25"/>
        <v>0</v>
      </c>
      <c r="Q41" s="87">
        <f t="shared" ca="1" si="26"/>
        <v>0</v>
      </c>
      <c r="R41" s="355">
        <f ca="1">IFERROR(__xludf.DUMMYFUNCTION("IMPORTRANGE(""https://docs.google.com/spreadsheets/d/1NexK3geCPxCTO1fzNF8dPec7yZyUx3OaWkFBC9HsQOo/edit?usp=sharing"",""ยโสธร!I344"")"),2140)</f>
        <v>2140</v>
      </c>
      <c r="S41" s="177">
        <f ca="1">IFERROR(__xludf.DUMMYFUNCTION("IMPORTRANGE(""https://docs.google.com/spreadsheets/d/1NexK3geCPxCTO1fzNF8dPec7yZyUx3OaWkFBC9HsQOo/edit?usp=sharing"",""ยโสธร!J344"")"),1364)</f>
        <v>1364</v>
      </c>
      <c r="T41" s="354">
        <f t="shared" ca="1" si="28"/>
        <v>63.738317757009348</v>
      </c>
      <c r="U41" s="355">
        <f ca="1">IFERROR(__xludf.DUMMYFUNCTION("IMPORTRANGE(""https://docs.google.com/spreadsheets/d/1NexK3geCPxCTO1fzNF8dPec7yZyUx3OaWkFBC9HsQOo/edit?usp=sharing"",""ยโสธร!I346"")"),5)</f>
        <v>5</v>
      </c>
      <c r="V41" s="177">
        <f ca="1">IFERROR(__xludf.DUMMYFUNCTION("IMPORTRANGE(""https://docs.google.com/spreadsheets/d/1NexK3geCPxCTO1fzNF8dPec7yZyUx3OaWkFBC9HsQOo/edit?usp=sharing"",""ยโสธร!J346"")"),10)</f>
        <v>10</v>
      </c>
      <c r="W41" s="354">
        <f t="shared" ca="1" si="30"/>
        <v>200</v>
      </c>
      <c r="X41" s="177">
        <f ca="1">IFERROR(__xludf.DUMMYFUNCTION("IMPORTRANGE(""https://docs.google.com/spreadsheets/d/1NexK3geCPxCTO1fzNF8dPec7yZyUx3OaWkFBC9HsQOo/edit?usp=sharing"",""ยโสธร!J347"")"),116)</f>
        <v>116</v>
      </c>
      <c r="Y41" s="177">
        <f ca="1">IFERROR(__xludf.DUMMYFUNCTION("IMPORTRANGE(""https://docs.google.com/spreadsheets/d/1NexK3geCPxCTO1fzNF8dPec7yZyUx3OaWkFBC9HsQOo/edit?usp=sharing"",""ยโสธร!J348"")"),2)</f>
        <v>2</v>
      </c>
      <c r="Z41" s="177">
        <f ca="1">IFERROR(__xludf.DUMMYFUNCTION("IMPORTRANGE(""https://docs.google.com/spreadsheets/d/1NexK3geCPxCTO1fzNF8dPec7yZyUx3OaWkFBC9HsQOo/edit?usp=sharing"",""ยโสธร!J349"")"),0)</f>
        <v>0</v>
      </c>
      <c r="AA41" s="177">
        <f ca="1">IFERROR(__xludf.DUMMYFUNCTION("IMPORTRANGE(""https://docs.google.com/spreadsheets/d/1NexK3geCPxCTO1fzNF8dPec7yZyUx3OaWkFBC9HsQOo/edit?usp=sharing"",""ยโสธร!J352"")"),1429)</f>
        <v>1429</v>
      </c>
      <c r="AB41" s="177">
        <f ca="1">IFERROR(__xludf.DUMMYFUNCTION("IMPORTRANGE(""https://docs.google.com/spreadsheets/d/1NexK3geCPxCTO1fzNF8dPec7yZyUx3OaWkFBC9HsQOo/edit?usp=sharing"",""ยโสธร!J353"")"),1183)</f>
        <v>1183</v>
      </c>
    </row>
    <row r="42" spans="1:28" ht="21" customHeight="1" x14ac:dyDescent="0.3">
      <c r="A42" s="89">
        <v>11</v>
      </c>
      <c r="B42" s="90" t="s">
        <v>68</v>
      </c>
      <c r="C42" s="174">
        <f t="shared" ca="1" si="19"/>
        <v>116000</v>
      </c>
      <c r="D42" s="175">
        <f t="shared" ca="1" si="37"/>
        <v>116000</v>
      </c>
      <c r="E42" s="176">
        <f ca="1">IFERROR(__xludf.DUMMYFUNCTION("IMPORTRANGE(""https://docs.google.com/spreadsheets/d/1-uDff_7J0KD5mKrp0Vvzr7lt3OU09vwQwhkpOPPYv2Y/edit?usp=sharing"",""งบพรบ!ET42"")"),0)</f>
        <v>0</v>
      </c>
      <c r="F42" s="176">
        <f ca="1">IFERROR(__xludf.DUMMYFUNCTION("IMPORTRANGE(""https://docs.google.com/spreadsheets/d/1-uDff_7J0KD5mKrp0Vvzr7lt3OU09vwQwhkpOPPYv2Y/edit?usp=sharing"",""งบพรบ!EU42"")"),116000)</f>
        <v>116000</v>
      </c>
      <c r="G42" s="176">
        <f ca="1">IFERROR(__xludf.DUMMYFUNCTION("IMPORTRANGE(""https://docs.google.com/spreadsheets/d/1-uDff_7J0KD5mKrp0Vvzr7lt3OU09vwQwhkpOPPYv2Y/edit?usp=sharing"",""งบพรบ!EV42"")"),0)</f>
        <v>0</v>
      </c>
      <c r="H42" s="176">
        <f ca="1">IFERROR(__xludf.DUMMYFUNCTION("IMPORTRANGE(""https://docs.google.com/spreadsheets/d/1-uDff_7J0KD5mKrp0Vvzr7lt3OU09vwQwhkpOPPYv2Y/edit?usp=sharing"",""งบพรบ!EX42"")"),121000)</f>
        <v>121000</v>
      </c>
      <c r="I42" s="176">
        <f ca="1">IFERROR(__xludf.DUMMYFUNCTION("IMPORTRANGE(""https://docs.google.com/spreadsheets/d/1-uDff_7J0KD5mKrp0Vvzr7lt3OU09vwQwhkpOPPYv2Y/edit?usp=sharing"",""งบพรบ!EY42"")"),0)</f>
        <v>0</v>
      </c>
      <c r="J42" s="176">
        <f t="shared" ca="1" si="21"/>
        <v>27700</v>
      </c>
      <c r="K42" s="179">
        <f t="shared" ca="1" si="22"/>
        <v>23.879310344827587</v>
      </c>
      <c r="L42" s="176">
        <f ca="1">IFERROR(__xludf.DUMMYFUNCTION("IMPORTRANGE(""https://docs.google.com/spreadsheets/d/1-uDff_7J0KD5mKrp0Vvzr7lt3OU09vwQwhkpOPPYv2Y/edit?usp=sharing"",""งบพรบ!EZ42"")"),27700)</f>
        <v>27700</v>
      </c>
      <c r="M42" s="87">
        <f t="shared" ca="1" si="23"/>
        <v>23.879310344827587</v>
      </c>
      <c r="N42" s="87">
        <f t="shared" ca="1" si="24"/>
        <v>22.892561983471076</v>
      </c>
      <c r="O42" s="86">
        <f ca="1">IFERROR(__xludf.DUMMYFUNCTION("IMPORTRANGE(""https://docs.google.com/spreadsheets/d/1-uDff_7J0KD5mKrp0Vvzr7lt3OU09vwQwhkpOPPYv2Y/edit?usp=sharing"",""งบพรบ!FA42"")"),0)</f>
        <v>0</v>
      </c>
      <c r="P42" s="86">
        <f t="shared" ca="1" si="25"/>
        <v>0</v>
      </c>
      <c r="Q42" s="87">
        <f t="shared" ca="1" si="26"/>
        <v>0</v>
      </c>
      <c r="R42" s="353">
        <f ca="1">IFERROR(__xludf.DUMMYFUNCTION("IMPORTRANGE(""https://docs.google.com/spreadsheets/d/1v_cJrbBlyqmnHPReHk44g9NrMRdENNlSy_E_c5M9fIg/edit?usp=sharing"",""ร้อยเอ็ด!I344"")"),3740)</f>
        <v>3740</v>
      </c>
      <c r="S42" s="177">
        <f ca="1">IFERROR(__xludf.DUMMYFUNCTION("IMPORTRANGE(""https://docs.google.com/spreadsheets/d/1v_cJrbBlyqmnHPReHk44g9NrMRdENNlSy_E_c5M9fIg/edit?usp=sharing"",""ร้อยเอ็ด!J344"")"),654)</f>
        <v>654</v>
      </c>
      <c r="T42" s="354">
        <f t="shared" ca="1" si="28"/>
        <v>17.486631016042782</v>
      </c>
      <c r="U42" s="353">
        <f ca="1">IFERROR(__xludf.DUMMYFUNCTION("IMPORTRANGE(""https://docs.google.com/spreadsheets/d/1v_cJrbBlyqmnHPReHk44g9NrMRdENNlSy_E_c5M9fIg/edit?usp=sharing"",""ร้อยเอ็ด!I346"")"),5)</f>
        <v>5</v>
      </c>
      <c r="V42" s="177">
        <f ca="1">IFERROR(__xludf.DUMMYFUNCTION("IMPORTRANGE(""https://docs.google.com/spreadsheets/d/1v_cJrbBlyqmnHPReHk44g9NrMRdENNlSy_E_c5M9fIg/edit?usp=sharing"",""ร้อยเอ็ด!J346"")"),2)</f>
        <v>2</v>
      </c>
      <c r="W42" s="354">
        <f t="shared" ca="1" si="30"/>
        <v>40</v>
      </c>
      <c r="X42" s="177">
        <f ca="1">IFERROR(__xludf.DUMMYFUNCTION("IMPORTRANGE(""https://docs.google.com/spreadsheets/d/1v_cJrbBlyqmnHPReHk44g9NrMRdENNlSy_E_c5M9fIg/edit?usp=sharing"",""ร้อยเอ็ด!J347"")"),0)</f>
        <v>0</v>
      </c>
      <c r="Y42" s="177">
        <f ca="1">IFERROR(__xludf.DUMMYFUNCTION("IMPORTRANGE(""https://docs.google.com/spreadsheets/d/1v_cJrbBlyqmnHPReHk44g9NrMRdENNlSy_E_c5M9fIg/edit?usp=sharing"",""ร้อยเอ็ด!J348"")"),0)</f>
        <v>0</v>
      </c>
      <c r="Z42" s="177">
        <f ca="1">IFERROR(__xludf.DUMMYFUNCTION("IMPORTRANGE(""https://docs.google.com/spreadsheets/d/1v_cJrbBlyqmnHPReHk44g9NrMRdENNlSy_E_c5M9fIg/edit?usp=sharing"",""ร้อยเอ็ด!J349"")"),0)</f>
        <v>0</v>
      </c>
      <c r="AA42" s="177">
        <f ca="1">IFERROR(__xludf.DUMMYFUNCTION("IMPORTRANGE(""https://docs.google.com/spreadsheets/d/1v_cJrbBlyqmnHPReHk44g9NrMRdENNlSy_E_c5M9fIg/edit?usp=sharing"",""ร้อยเอ็ด!J352"")"),3976)</f>
        <v>3976</v>
      </c>
      <c r="AB42" s="177">
        <f ca="1">IFERROR(__xludf.DUMMYFUNCTION("IMPORTRANGE(""https://docs.google.com/spreadsheets/d/1v_cJrbBlyqmnHPReHk44g9NrMRdENNlSy_E_c5M9fIg/edit?usp=sharing"",""ร้อยเอ็ด!J353"")"),1293)</f>
        <v>1293</v>
      </c>
    </row>
    <row r="43" spans="1:28" ht="21" customHeight="1" x14ac:dyDescent="0.3">
      <c r="A43" s="89">
        <v>12</v>
      </c>
      <c r="B43" s="90" t="s">
        <v>69</v>
      </c>
      <c r="C43" s="174">
        <f t="shared" ca="1" si="19"/>
        <v>113000</v>
      </c>
      <c r="D43" s="175">
        <f t="shared" ca="1" si="37"/>
        <v>113000</v>
      </c>
      <c r="E43" s="176">
        <f ca="1">IFERROR(__xludf.DUMMYFUNCTION("IMPORTRANGE(""https://docs.google.com/spreadsheets/d/1-uDff_7J0KD5mKrp0Vvzr7lt3OU09vwQwhkpOPPYv2Y/edit?usp=sharing"",""งบพรบ!ET43"")"),0)</f>
        <v>0</v>
      </c>
      <c r="F43" s="176">
        <f ca="1">IFERROR(__xludf.DUMMYFUNCTION("IMPORTRANGE(""https://docs.google.com/spreadsheets/d/1-uDff_7J0KD5mKrp0Vvzr7lt3OU09vwQwhkpOPPYv2Y/edit?usp=sharing"",""งบพรบ!EU43"")"),113000)</f>
        <v>113000</v>
      </c>
      <c r="G43" s="176">
        <f ca="1">IFERROR(__xludf.DUMMYFUNCTION("IMPORTRANGE(""https://docs.google.com/spreadsheets/d/1-uDff_7J0KD5mKrp0Vvzr7lt3OU09vwQwhkpOPPYv2Y/edit?usp=sharing"",""งบพรบ!EV43"")"),0)</f>
        <v>0</v>
      </c>
      <c r="H43" s="176">
        <f ca="1">IFERROR(__xludf.DUMMYFUNCTION("IMPORTRANGE(""https://docs.google.com/spreadsheets/d/1-uDff_7J0KD5mKrp0Vvzr7lt3OU09vwQwhkpOPPYv2Y/edit?usp=sharing"",""งบพรบ!EX43"")"),118000)</f>
        <v>118000</v>
      </c>
      <c r="I43" s="176">
        <f ca="1">IFERROR(__xludf.DUMMYFUNCTION("IMPORTRANGE(""https://docs.google.com/spreadsheets/d/1-uDff_7J0KD5mKrp0Vvzr7lt3OU09vwQwhkpOPPYv2Y/edit?usp=sharing"",""งบพรบ!EY43"")"),0)</f>
        <v>0</v>
      </c>
      <c r="J43" s="176">
        <f t="shared" ca="1" si="21"/>
        <v>52750</v>
      </c>
      <c r="K43" s="179">
        <f t="shared" ca="1" si="22"/>
        <v>46.681415929203538</v>
      </c>
      <c r="L43" s="176">
        <f ca="1">IFERROR(__xludf.DUMMYFUNCTION("IMPORTRANGE(""https://docs.google.com/spreadsheets/d/1-uDff_7J0KD5mKrp0Vvzr7lt3OU09vwQwhkpOPPYv2Y/edit?usp=sharing"",""งบพรบ!EZ43"")"),52750)</f>
        <v>52750</v>
      </c>
      <c r="M43" s="87">
        <f t="shared" ca="1" si="23"/>
        <v>46.681415929203538</v>
      </c>
      <c r="N43" s="87">
        <f t="shared" ca="1" si="24"/>
        <v>44.703389830508478</v>
      </c>
      <c r="O43" s="86">
        <f ca="1">IFERROR(__xludf.DUMMYFUNCTION("IMPORTRANGE(""https://docs.google.com/spreadsheets/d/1-uDff_7J0KD5mKrp0Vvzr7lt3OU09vwQwhkpOPPYv2Y/edit?usp=sharing"",""งบพรบ!FA43"")"),0)</f>
        <v>0</v>
      </c>
      <c r="P43" s="86">
        <f t="shared" ca="1" si="25"/>
        <v>0</v>
      </c>
      <c r="Q43" s="87">
        <f t="shared" ca="1" si="26"/>
        <v>0</v>
      </c>
      <c r="R43" s="353">
        <f ca="1">IFERROR(__xludf.DUMMYFUNCTION("IMPORTRANGE(""https://docs.google.com/spreadsheets/d/1Ul4RCpCX66NxYADU1QpwAPjOmBzW64SsT11s1wzXw_c/edit?usp=sharing"",""เลย!I344"")"),2540)</f>
        <v>2540</v>
      </c>
      <c r="S43" s="177">
        <f ca="1">IFERROR(__xludf.DUMMYFUNCTION("IMPORTRANGE(""https://docs.google.com/spreadsheets/d/1Ul4RCpCX66NxYADU1QpwAPjOmBzW64SsT11s1wzXw_c/edit?usp=sharing"",""เลย!J344"")"),2935)</f>
        <v>2935</v>
      </c>
      <c r="T43" s="354">
        <f t="shared" ca="1" si="28"/>
        <v>115.55118110236221</v>
      </c>
      <c r="U43" s="353">
        <f ca="1">IFERROR(__xludf.DUMMYFUNCTION("IMPORTRANGE(""https://docs.google.com/spreadsheets/d/1Ul4RCpCX66NxYADU1QpwAPjOmBzW64SsT11s1wzXw_c/edit?usp=sharing"",""เลย!I346"")"),5)</f>
        <v>5</v>
      </c>
      <c r="V43" s="177">
        <f ca="1">IFERROR(__xludf.DUMMYFUNCTION("IMPORTRANGE(""https://docs.google.com/spreadsheets/d/1Ul4RCpCX66NxYADU1QpwAPjOmBzW64SsT11s1wzXw_c/edit?usp=sharing"",""เลย!J346"")"),3)</f>
        <v>3</v>
      </c>
      <c r="W43" s="354">
        <f t="shared" ca="1" si="30"/>
        <v>60</v>
      </c>
      <c r="X43" s="177">
        <f ca="1">IFERROR(__xludf.DUMMYFUNCTION("IMPORTRANGE(""https://docs.google.com/spreadsheets/d/1Ul4RCpCX66NxYADU1QpwAPjOmBzW64SsT11s1wzXw_c/edit?usp=sharing"",""เลย!J347"")"),120)</f>
        <v>120</v>
      </c>
      <c r="Y43" s="177">
        <f ca="1">IFERROR(__xludf.DUMMYFUNCTION("IMPORTRANGE(""https://docs.google.com/spreadsheets/d/1Ul4RCpCX66NxYADU1QpwAPjOmBzW64SsT11s1wzXw_c/edit?usp=sharing"",""เลย!J348"")"),42)</f>
        <v>42</v>
      </c>
      <c r="Z43" s="177">
        <f ca="1">IFERROR(__xludf.DUMMYFUNCTION("IMPORTRANGE(""https://docs.google.com/spreadsheets/d/1Ul4RCpCX66NxYADU1QpwAPjOmBzW64SsT11s1wzXw_c/edit?usp=sharing"",""เลย!J349"")"),0)</f>
        <v>0</v>
      </c>
      <c r="AA43" s="177">
        <f ca="1">IFERROR(__xludf.DUMMYFUNCTION("IMPORTRANGE(""https://docs.google.com/spreadsheets/d/1Ul4RCpCX66NxYADU1QpwAPjOmBzW64SsT11s1wzXw_c/edit?usp=sharing"",""เลย!J352"")"),2031)</f>
        <v>2031</v>
      </c>
      <c r="AB43" s="177">
        <f ca="1">IFERROR(__xludf.DUMMYFUNCTION("IMPORTRANGE(""https://docs.google.com/spreadsheets/d/1Ul4RCpCX66NxYADU1QpwAPjOmBzW64SsT11s1wzXw_c/edit?usp=sharing"",""เลย!J353"")"),7957)</f>
        <v>7957</v>
      </c>
    </row>
    <row r="44" spans="1:28" ht="21" customHeight="1" x14ac:dyDescent="0.3">
      <c r="A44" s="89">
        <v>13</v>
      </c>
      <c r="B44" s="90" t="s">
        <v>70</v>
      </c>
      <c r="C44" s="174">
        <f t="shared" ca="1" si="19"/>
        <v>118000</v>
      </c>
      <c r="D44" s="175">
        <f t="shared" ca="1" si="37"/>
        <v>118000</v>
      </c>
      <c r="E44" s="176">
        <f ca="1">IFERROR(__xludf.DUMMYFUNCTION("IMPORTRANGE(""https://docs.google.com/spreadsheets/d/1-uDff_7J0KD5mKrp0Vvzr7lt3OU09vwQwhkpOPPYv2Y/edit?usp=sharing"",""งบพรบ!ET44"")"),0)</f>
        <v>0</v>
      </c>
      <c r="F44" s="176">
        <f ca="1">IFERROR(__xludf.DUMMYFUNCTION("IMPORTRANGE(""https://docs.google.com/spreadsheets/d/1-uDff_7J0KD5mKrp0Vvzr7lt3OU09vwQwhkpOPPYv2Y/edit?usp=sharing"",""งบพรบ!EU44"")"),118000)</f>
        <v>118000</v>
      </c>
      <c r="G44" s="176">
        <f ca="1">IFERROR(__xludf.DUMMYFUNCTION("IMPORTRANGE(""https://docs.google.com/spreadsheets/d/1-uDff_7J0KD5mKrp0Vvzr7lt3OU09vwQwhkpOPPYv2Y/edit?usp=sharing"",""งบพรบ!EV44"")"),0)</f>
        <v>0</v>
      </c>
      <c r="H44" s="176">
        <f ca="1">IFERROR(__xludf.DUMMYFUNCTION("IMPORTRANGE(""https://docs.google.com/spreadsheets/d/1-uDff_7J0KD5mKrp0Vvzr7lt3OU09vwQwhkpOPPYv2Y/edit?usp=sharing"",""งบพรบ!EX44"")"),123000)</f>
        <v>123000</v>
      </c>
      <c r="I44" s="176">
        <f ca="1">IFERROR(__xludf.DUMMYFUNCTION("IMPORTRANGE(""https://docs.google.com/spreadsheets/d/1-uDff_7J0KD5mKrp0Vvzr7lt3OU09vwQwhkpOPPYv2Y/edit?usp=sharing"",""งบพรบ!EY44"")"),0)</f>
        <v>0</v>
      </c>
      <c r="J44" s="176">
        <f t="shared" ca="1" si="21"/>
        <v>70360</v>
      </c>
      <c r="K44" s="179">
        <f t="shared" ca="1" si="22"/>
        <v>59.627118644067799</v>
      </c>
      <c r="L44" s="176">
        <f ca="1">IFERROR(__xludf.DUMMYFUNCTION("IMPORTRANGE(""https://docs.google.com/spreadsheets/d/1-uDff_7J0KD5mKrp0Vvzr7lt3OU09vwQwhkpOPPYv2Y/edit?usp=sharing"",""งบพรบ!EZ44"")"),70360)</f>
        <v>70360</v>
      </c>
      <c r="M44" s="87">
        <f t="shared" ca="1" si="23"/>
        <v>59.627118644067799</v>
      </c>
      <c r="N44" s="87">
        <f t="shared" ca="1" si="24"/>
        <v>57.203252032520325</v>
      </c>
      <c r="O44" s="86">
        <f ca="1">IFERROR(__xludf.DUMMYFUNCTION("IMPORTRANGE(""https://docs.google.com/spreadsheets/d/1-uDff_7J0KD5mKrp0Vvzr7lt3OU09vwQwhkpOPPYv2Y/edit?usp=sharing"",""งบพรบ!FA44"")"),0)</f>
        <v>0</v>
      </c>
      <c r="P44" s="86">
        <f t="shared" ca="1" si="25"/>
        <v>0</v>
      </c>
      <c r="Q44" s="87">
        <f t="shared" ca="1" si="26"/>
        <v>0</v>
      </c>
      <c r="R44" s="355">
        <f ca="1">IFERROR(__xludf.DUMMYFUNCTION("IMPORTRANGE(""https://docs.google.com/spreadsheets/d/1bRrNKwbHDVktQG10isr5vbWRtt5spIZPpkOSWgbT5ug/edit?usp=sharing"",""ศรีสะเกษ!I344"")"),4460)</f>
        <v>4460</v>
      </c>
      <c r="S44" s="177">
        <f ca="1">IFERROR(__xludf.DUMMYFUNCTION("IMPORTRANGE(""https://docs.google.com/spreadsheets/d/1bRrNKwbHDVktQG10isr5vbWRtt5spIZPpkOSWgbT5ug/edit?usp=sharing"",""ศรีสะเกษ!J344"")"),39)</f>
        <v>39</v>
      </c>
      <c r="T44" s="354">
        <f t="shared" ca="1" si="28"/>
        <v>0.87443946188340804</v>
      </c>
      <c r="U44" s="355">
        <f ca="1">IFERROR(__xludf.DUMMYFUNCTION("IMPORTRANGE(""https://docs.google.com/spreadsheets/d/1bRrNKwbHDVktQG10isr5vbWRtt5spIZPpkOSWgbT5ug/edit?usp=sharing"",""ศรีสะเกษ!I346"")"),6)</f>
        <v>6</v>
      </c>
      <c r="V44" s="177">
        <f ca="1">IFERROR(__xludf.DUMMYFUNCTION("IMPORTRANGE(""https://docs.google.com/spreadsheets/d/1bRrNKwbHDVktQG10isr5vbWRtt5spIZPpkOSWgbT5ug/edit?usp=sharing"",""ศรีสะเกษ!J346"")"),0)</f>
        <v>0</v>
      </c>
      <c r="W44" s="354">
        <f t="shared" ca="1" si="30"/>
        <v>0</v>
      </c>
      <c r="X44" s="177">
        <f ca="1">IFERROR(__xludf.DUMMYFUNCTION("IMPORTRANGE(""https://docs.google.com/spreadsheets/d/1bRrNKwbHDVktQG10isr5vbWRtt5spIZPpkOSWgbT5ug/edit?usp=sharing"",""ศรีสะเกษ!J347"")"),0)</f>
        <v>0</v>
      </c>
      <c r="Y44" s="177">
        <f ca="1">IFERROR(__xludf.DUMMYFUNCTION("IMPORTRANGE(""https://docs.google.com/spreadsheets/d/1bRrNKwbHDVktQG10isr5vbWRtt5spIZPpkOSWgbT5ug/edit?usp=sharing"",""ศรีสะเกษ!J348"")"),1)</f>
        <v>1</v>
      </c>
      <c r="Z44" s="177">
        <f ca="1">IFERROR(__xludf.DUMMYFUNCTION("IMPORTRANGE(""https://docs.google.com/spreadsheets/d/1bRrNKwbHDVktQG10isr5vbWRtt5spIZPpkOSWgbT5ug/edit?usp=sharing"",""ศรีสะเกษ!J349"")"),103)</f>
        <v>103</v>
      </c>
      <c r="AA44" s="177">
        <f ca="1">IFERROR(__xludf.DUMMYFUNCTION("IMPORTRANGE(""https://docs.google.com/spreadsheets/d/1bRrNKwbHDVktQG10isr5vbWRtt5spIZPpkOSWgbT5ug/edit?usp=sharing"",""ศรีสะเกษ!J352"")"),2246)</f>
        <v>2246</v>
      </c>
      <c r="AB44" s="177">
        <f ca="1">IFERROR(__xludf.DUMMYFUNCTION("IMPORTRANGE(""https://docs.google.com/spreadsheets/d/1bRrNKwbHDVktQG10isr5vbWRtt5spIZPpkOSWgbT5ug/edit?usp=sharing"",""ศรีสะเกษ!J353"")"),1365)</f>
        <v>1365</v>
      </c>
    </row>
    <row r="45" spans="1:28" ht="21" customHeight="1" x14ac:dyDescent="0.3">
      <c r="A45" s="89">
        <v>14</v>
      </c>
      <c r="B45" s="90" t="s">
        <v>71</v>
      </c>
      <c r="C45" s="174">
        <f t="shared" ca="1" si="19"/>
        <v>112000</v>
      </c>
      <c r="D45" s="175">
        <f t="shared" ca="1" si="37"/>
        <v>112000</v>
      </c>
      <c r="E45" s="176">
        <f ca="1">IFERROR(__xludf.DUMMYFUNCTION("IMPORTRANGE(""https://docs.google.com/spreadsheets/d/1-uDff_7J0KD5mKrp0Vvzr7lt3OU09vwQwhkpOPPYv2Y/edit?usp=sharing"",""งบพรบ!ET45"")"),0)</f>
        <v>0</v>
      </c>
      <c r="F45" s="176">
        <f ca="1">IFERROR(__xludf.DUMMYFUNCTION("IMPORTRANGE(""https://docs.google.com/spreadsheets/d/1-uDff_7J0KD5mKrp0Vvzr7lt3OU09vwQwhkpOPPYv2Y/edit?usp=sharing"",""งบพรบ!EU45"")"),112000)</f>
        <v>112000</v>
      </c>
      <c r="G45" s="176">
        <f ca="1">IFERROR(__xludf.DUMMYFUNCTION("IMPORTRANGE(""https://docs.google.com/spreadsheets/d/1-uDff_7J0KD5mKrp0Vvzr7lt3OU09vwQwhkpOPPYv2Y/edit?usp=sharing"",""งบพรบ!EV45"")"),0)</f>
        <v>0</v>
      </c>
      <c r="H45" s="176">
        <f ca="1">IFERROR(__xludf.DUMMYFUNCTION("IMPORTRANGE(""https://docs.google.com/spreadsheets/d/1-uDff_7J0KD5mKrp0Vvzr7lt3OU09vwQwhkpOPPYv2Y/edit?usp=sharing"",""งบพรบ!EX45"")"),117000)</f>
        <v>117000</v>
      </c>
      <c r="I45" s="176">
        <f ca="1">IFERROR(__xludf.DUMMYFUNCTION("IMPORTRANGE(""https://docs.google.com/spreadsheets/d/1-uDff_7J0KD5mKrp0Vvzr7lt3OU09vwQwhkpOPPYv2Y/edit?usp=sharing"",""งบพรบ!EY45"")"),0)</f>
        <v>0</v>
      </c>
      <c r="J45" s="176">
        <f t="shared" ca="1" si="21"/>
        <v>11820</v>
      </c>
      <c r="K45" s="179">
        <f t="shared" ca="1" si="22"/>
        <v>10.553571428571429</v>
      </c>
      <c r="L45" s="176">
        <f ca="1">IFERROR(__xludf.DUMMYFUNCTION("IMPORTRANGE(""https://docs.google.com/spreadsheets/d/1-uDff_7J0KD5mKrp0Vvzr7lt3OU09vwQwhkpOPPYv2Y/edit?usp=sharing"",""งบพรบ!EZ45"")"),11820)</f>
        <v>11820</v>
      </c>
      <c r="M45" s="87">
        <f t="shared" ca="1" si="23"/>
        <v>10.553571428571429</v>
      </c>
      <c r="N45" s="87">
        <f t="shared" ca="1" si="24"/>
        <v>10.102564102564102</v>
      </c>
      <c r="O45" s="86">
        <f ca="1">IFERROR(__xludf.DUMMYFUNCTION("IMPORTRANGE(""https://docs.google.com/spreadsheets/d/1-uDff_7J0KD5mKrp0Vvzr7lt3OU09vwQwhkpOPPYv2Y/edit?usp=sharing"",""งบพรบ!FA45"")"),0)</f>
        <v>0</v>
      </c>
      <c r="P45" s="86">
        <f t="shared" ca="1" si="25"/>
        <v>0</v>
      </c>
      <c r="Q45" s="87">
        <f t="shared" ca="1" si="26"/>
        <v>0</v>
      </c>
      <c r="R45" s="353">
        <f ca="1">IFERROR(__xludf.DUMMYFUNCTION("IMPORTRANGE(""https://docs.google.com/spreadsheets/d/17P34_Ow5kFBfdQD0qspb2UuPX5zpi6WMrQzslghyvrI/edit?usp=sharing"",""สกลนคร!I344"")"),2000)</f>
        <v>2000</v>
      </c>
      <c r="S45" s="177">
        <f ca="1">IFERROR(__xludf.DUMMYFUNCTION("IMPORTRANGE(""https://docs.google.com/spreadsheets/d/17P34_Ow5kFBfdQD0qspb2UuPX5zpi6WMrQzslghyvrI/edit?usp=sharing"",""สกลนคร!J344"")"),3371)</f>
        <v>3371</v>
      </c>
      <c r="T45" s="354">
        <f t="shared" ca="1" si="28"/>
        <v>168.55</v>
      </c>
      <c r="U45" s="353">
        <f ca="1">IFERROR(__xludf.DUMMYFUNCTION("IMPORTRANGE(""https://docs.google.com/spreadsheets/d/17P34_Ow5kFBfdQD0qspb2UuPX5zpi6WMrQzslghyvrI/edit?usp=sharing"",""สกลนคร!I346"")"),6)</f>
        <v>6</v>
      </c>
      <c r="V45" s="177">
        <f ca="1">IFERROR(__xludf.DUMMYFUNCTION("IMPORTRANGE(""https://docs.google.com/spreadsheets/d/17P34_Ow5kFBfdQD0qspb2UuPX5zpi6WMrQzslghyvrI/edit?usp=sharing"",""สกลนคร!J346"")"),2)</f>
        <v>2</v>
      </c>
      <c r="W45" s="354">
        <f t="shared" ca="1" si="30"/>
        <v>33.333333333333336</v>
      </c>
      <c r="X45" s="177">
        <f ca="1">IFERROR(__xludf.DUMMYFUNCTION("IMPORTRANGE(""https://docs.google.com/spreadsheets/d/17P34_Ow5kFBfdQD0qspb2UuPX5zpi6WMrQzslghyvrI/edit?usp=sharing"",""สกลนคร!J347"")"),336)</f>
        <v>336</v>
      </c>
      <c r="Y45" s="177">
        <f ca="1">IFERROR(__xludf.DUMMYFUNCTION("IMPORTRANGE(""https://docs.google.com/spreadsheets/d/17P34_Ow5kFBfdQD0qspb2UuPX5zpi6WMrQzslghyvrI/edit?usp=sharing"",""สกลนคร!J348"")"),0)</f>
        <v>0</v>
      </c>
      <c r="Z45" s="177">
        <f ca="1">IFERROR(__xludf.DUMMYFUNCTION("IMPORTRANGE(""https://docs.google.com/spreadsheets/d/17P34_Ow5kFBfdQD0qspb2UuPX5zpi6WMrQzslghyvrI/edit?usp=sharing"",""สกลนคร!J349"")"),0)</f>
        <v>0</v>
      </c>
      <c r="AA45" s="177">
        <f ca="1">IFERROR(__xludf.DUMMYFUNCTION("IMPORTRANGE(""https://docs.google.com/spreadsheets/d/17P34_Ow5kFBfdQD0qspb2UuPX5zpi6WMrQzslghyvrI/edit?usp=sharing"",""สกลนคร!J352"")"),1892)</f>
        <v>1892</v>
      </c>
      <c r="AB45" s="177">
        <f ca="1">IFERROR(__xludf.DUMMYFUNCTION("IMPORTRANGE(""https://docs.google.com/spreadsheets/d/17P34_Ow5kFBfdQD0qspb2UuPX5zpi6WMrQzslghyvrI/edit?usp=sharing"",""สกลนคร!J353"")"),4332)</f>
        <v>4332</v>
      </c>
    </row>
    <row r="46" spans="1:28" ht="21" customHeight="1" x14ac:dyDescent="0.3">
      <c r="A46" s="89">
        <v>15</v>
      </c>
      <c r="B46" s="90" t="s">
        <v>72</v>
      </c>
      <c r="C46" s="174">
        <f t="shared" ca="1" si="19"/>
        <v>112000</v>
      </c>
      <c r="D46" s="175">
        <f t="shared" ca="1" si="37"/>
        <v>112000</v>
      </c>
      <c r="E46" s="176">
        <f ca="1">IFERROR(__xludf.DUMMYFUNCTION("IMPORTRANGE(""https://docs.google.com/spreadsheets/d/1-uDff_7J0KD5mKrp0Vvzr7lt3OU09vwQwhkpOPPYv2Y/edit?usp=sharing"",""งบพรบ!ET46"")"),0)</f>
        <v>0</v>
      </c>
      <c r="F46" s="176">
        <f ca="1">IFERROR(__xludf.DUMMYFUNCTION("IMPORTRANGE(""https://docs.google.com/spreadsheets/d/1-uDff_7J0KD5mKrp0Vvzr7lt3OU09vwQwhkpOPPYv2Y/edit?usp=sharing"",""งบพรบ!EU46"")"),112000)</f>
        <v>112000</v>
      </c>
      <c r="G46" s="176">
        <f ca="1">IFERROR(__xludf.DUMMYFUNCTION("IMPORTRANGE(""https://docs.google.com/spreadsheets/d/1-uDff_7J0KD5mKrp0Vvzr7lt3OU09vwQwhkpOPPYv2Y/edit?usp=sharing"",""งบพรบ!EV46"")"),0)</f>
        <v>0</v>
      </c>
      <c r="H46" s="176">
        <f ca="1">IFERROR(__xludf.DUMMYFUNCTION("IMPORTRANGE(""https://docs.google.com/spreadsheets/d/1-uDff_7J0KD5mKrp0Vvzr7lt3OU09vwQwhkpOPPYv2Y/edit?usp=sharing"",""งบพรบ!EX46"")"),117000)</f>
        <v>117000</v>
      </c>
      <c r="I46" s="176">
        <f ca="1">IFERROR(__xludf.DUMMYFUNCTION("IMPORTRANGE(""https://docs.google.com/spreadsheets/d/1-uDff_7J0KD5mKrp0Vvzr7lt3OU09vwQwhkpOPPYv2Y/edit?usp=sharing"",""งบพรบ!EY46"")"),0)</f>
        <v>0</v>
      </c>
      <c r="J46" s="176">
        <f t="shared" ca="1" si="21"/>
        <v>62883</v>
      </c>
      <c r="K46" s="179">
        <f t="shared" ca="1" si="22"/>
        <v>56.145535714285714</v>
      </c>
      <c r="L46" s="176">
        <f ca="1">IFERROR(__xludf.DUMMYFUNCTION("IMPORTRANGE(""https://docs.google.com/spreadsheets/d/1-uDff_7J0KD5mKrp0Vvzr7lt3OU09vwQwhkpOPPYv2Y/edit?usp=sharing"",""งบพรบ!EZ46"")"),62883)</f>
        <v>62883</v>
      </c>
      <c r="M46" s="87">
        <f t="shared" ca="1" si="23"/>
        <v>56.145535714285714</v>
      </c>
      <c r="N46" s="87">
        <f t="shared" ca="1" si="24"/>
        <v>53.746153846153845</v>
      </c>
      <c r="O46" s="86">
        <f ca="1">IFERROR(__xludf.DUMMYFUNCTION("IMPORTRANGE(""https://docs.google.com/spreadsheets/d/1-uDff_7J0KD5mKrp0Vvzr7lt3OU09vwQwhkpOPPYv2Y/edit?usp=sharing"",""งบพรบ!FA46"")"),0)</f>
        <v>0</v>
      </c>
      <c r="P46" s="86">
        <f t="shared" ca="1" si="25"/>
        <v>0</v>
      </c>
      <c r="Q46" s="87">
        <f t="shared" ca="1" si="26"/>
        <v>0</v>
      </c>
      <c r="R46" s="353">
        <f ca="1">IFERROR(__xludf.DUMMYFUNCTION("IMPORTRANGE(""https://docs.google.com/spreadsheets/d/1yswqbM3-AEpThF3ZSUa1AcmHnmRTF1vlJ1CZGcJ8YuU/edit?usp=sharing"",""สุรินทร์!I344"")"),3540)</f>
        <v>3540</v>
      </c>
      <c r="S46" s="177">
        <f ca="1">IFERROR(__xludf.DUMMYFUNCTION("IMPORTRANGE(""https://docs.google.com/spreadsheets/d/1yswqbM3-AEpThF3ZSUa1AcmHnmRTF1vlJ1CZGcJ8YuU/edit?usp=sharing"",""สุรินทร์!J344"")"),688)</f>
        <v>688</v>
      </c>
      <c r="T46" s="354">
        <f t="shared" ca="1" si="28"/>
        <v>19.435028248587571</v>
      </c>
      <c r="U46" s="353">
        <f ca="1">IFERROR(__xludf.DUMMYFUNCTION("IMPORTRANGE(""https://docs.google.com/spreadsheets/d/1yswqbM3-AEpThF3ZSUa1AcmHnmRTF1vlJ1CZGcJ8YuU/edit?usp=sharing"",""สุรินทร์!I346"")"),3)</f>
        <v>3</v>
      </c>
      <c r="V46" s="177">
        <f ca="1">IFERROR(__xludf.DUMMYFUNCTION("IMPORTRANGE(""https://docs.google.com/spreadsheets/d/1yswqbM3-AEpThF3ZSUa1AcmHnmRTF1vlJ1CZGcJ8YuU/edit?usp=sharing"",""สุรินทร์!J346"")"),1)</f>
        <v>1</v>
      </c>
      <c r="W46" s="354">
        <f t="shared" ca="1" si="30"/>
        <v>33.333333333333336</v>
      </c>
      <c r="X46" s="177">
        <f ca="1">IFERROR(__xludf.DUMMYFUNCTION("IMPORTRANGE(""https://docs.google.com/spreadsheets/d/1yswqbM3-AEpThF3ZSUa1AcmHnmRTF1vlJ1CZGcJ8YuU/edit?usp=sharing"",""สุรินทร์!J347"")"),1)</f>
        <v>1</v>
      </c>
      <c r="Y46" s="177">
        <f ca="1">IFERROR(__xludf.DUMMYFUNCTION("IMPORTRANGE(""https://docs.google.com/spreadsheets/d/1yswqbM3-AEpThF3ZSUa1AcmHnmRTF1vlJ1CZGcJ8YuU/edit?usp=sharing"",""สุรินทร์!J348"")"),7)</f>
        <v>7</v>
      </c>
      <c r="Z46" s="177">
        <f ca="1">IFERROR(__xludf.DUMMYFUNCTION("IMPORTRANGE(""https://docs.google.com/spreadsheets/d/1yswqbM3-AEpThF3ZSUa1AcmHnmRTF1vlJ1CZGcJ8YuU/edit?usp=sharing"",""สุรินทร์!J349"")"),0)</f>
        <v>0</v>
      </c>
      <c r="AA46" s="177">
        <f ca="1">IFERROR(__xludf.DUMMYFUNCTION("IMPORTRANGE(""https://docs.google.com/spreadsheets/d/1yswqbM3-AEpThF3ZSUa1AcmHnmRTF1vlJ1CZGcJ8YuU/edit?usp=sharing"",""สุรินทร์!J352"")"),1499)</f>
        <v>1499</v>
      </c>
      <c r="AB46" s="177">
        <f ca="1">IFERROR(__xludf.DUMMYFUNCTION("IMPORTRANGE(""https://docs.google.com/spreadsheets/d/1yswqbM3-AEpThF3ZSUa1AcmHnmRTF1vlJ1CZGcJ8YuU/edit?usp=sharing"",""สุรินทร์!J353"")"),3844)</f>
        <v>3844</v>
      </c>
    </row>
    <row r="47" spans="1:28" ht="21" customHeight="1" x14ac:dyDescent="0.3">
      <c r="A47" s="89">
        <v>16</v>
      </c>
      <c r="B47" s="90" t="s">
        <v>73</v>
      </c>
      <c r="C47" s="174">
        <f t="shared" ca="1" si="19"/>
        <v>113000</v>
      </c>
      <c r="D47" s="175">
        <f t="shared" ca="1" si="37"/>
        <v>113000</v>
      </c>
      <c r="E47" s="176">
        <f ca="1">IFERROR(__xludf.DUMMYFUNCTION("IMPORTRANGE(""https://docs.google.com/spreadsheets/d/1-uDff_7J0KD5mKrp0Vvzr7lt3OU09vwQwhkpOPPYv2Y/edit?usp=sharing"",""งบพรบ!ET47"")"),0)</f>
        <v>0</v>
      </c>
      <c r="F47" s="176">
        <f ca="1">IFERROR(__xludf.DUMMYFUNCTION("IMPORTRANGE(""https://docs.google.com/spreadsheets/d/1-uDff_7J0KD5mKrp0Vvzr7lt3OU09vwQwhkpOPPYv2Y/edit?usp=sharing"",""งบพรบ!EU47"")"),113000)</f>
        <v>113000</v>
      </c>
      <c r="G47" s="176">
        <f ca="1">IFERROR(__xludf.DUMMYFUNCTION("IMPORTRANGE(""https://docs.google.com/spreadsheets/d/1-uDff_7J0KD5mKrp0Vvzr7lt3OU09vwQwhkpOPPYv2Y/edit?usp=sharing"",""งบพรบ!EV47"")"),0)</f>
        <v>0</v>
      </c>
      <c r="H47" s="176">
        <f ca="1">IFERROR(__xludf.DUMMYFUNCTION("IMPORTRANGE(""https://docs.google.com/spreadsheets/d/1-uDff_7J0KD5mKrp0Vvzr7lt3OU09vwQwhkpOPPYv2Y/edit?usp=sharing"",""งบพรบ!EX47"")"),118000)</f>
        <v>118000</v>
      </c>
      <c r="I47" s="176">
        <f ca="1">IFERROR(__xludf.DUMMYFUNCTION("IMPORTRANGE(""https://docs.google.com/spreadsheets/d/1-uDff_7J0KD5mKrp0Vvzr7lt3OU09vwQwhkpOPPYv2Y/edit?usp=sharing"",""งบพรบ!EY47"")"),0)</f>
        <v>0</v>
      </c>
      <c r="J47" s="176">
        <f t="shared" ca="1" si="21"/>
        <v>66117</v>
      </c>
      <c r="K47" s="179">
        <f t="shared" ca="1" si="22"/>
        <v>58.510619469026551</v>
      </c>
      <c r="L47" s="176">
        <f ca="1">IFERROR(__xludf.DUMMYFUNCTION("IMPORTRANGE(""https://docs.google.com/spreadsheets/d/1-uDff_7J0KD5mKrp0Vvzr7lt3OU09vwQwhkpOPPYv2Y/edit?usp=sharing"",""งบพรบ!EZ47"")"),66117)</f>
        <v>66117</v>
      </c>
      <c r="M47" s="87">
        <f t="shared" ca="1" si="23"/>
        <v>58.510619469026551</v>
      </c>
      <c r="N47" s="87">
        <f t="shared" ca="1" si="24"/>
        <v>56.03135593220339</v>
      </c>
      <c r="O47" s="86">
        <f ca="1">IFERROR(__xludf.DUMMYFUNCTION("IMPORTRANGE(""https://docs.google.com/spreadsheets/d/1-uDff_7J0KD5mKrp0Vvzr7lt3OU09vwQwhkpOPPYv2Y/edit?usp=sharing"",""งบพรบ!FA47"")"),0)</f>
        <v>0</v>
      </c>
      <c r="P47" s="86">
        <f t="shared" ca="1" si="25"/>
        <v>0</v>
      </c>
      <c r="Q47" s="87">
        <f t="shared" ca="1" si="26"/>
        <v>0</v>
      </c>
      <c r="R47" s="353">
        <f ca="1">IFERROR(__xludf.DUMMYFUNCTION("IMPORTRANGE(""https://docs.google.com/spreadsheets/d/13JHU_EFbsQOUQ0JSQ3dWy1VTRosIWcDq6Nc99z2qzdc/edit?usp=sharing"",""หนองคาย!I344"")"),2540)</f>
        <v>2540</v>
      </c>
      <c r="S47" s="177">
        <f ca="1">IFERROR(__xludf.DUMMYFUNCTION("IMPORTRANGE(""https://docs.google.com/spreadsheets/d/13JHU_EFbsQOUQ0JSQ3dWy1VTRosIWcDq6Nc99z2qzdc/edit?usp=sharing"",""หนองคาย!J344"")"),1146)</f>
        <v>1146</v>
      </c>
      <c r="T47" s="354">
        <f t="shared" ca="1" si="28"/>
        <v>45.118110236220474</v>
      </c>
      <c r="U47" s="353">
        <f ca="1">IFERROR(__xludf.DUMMYFUNCTION("IMPORTRANGE(""https://docs.google.com/spreadsheets/d/13JHU_EFbsQOUQ0JSQ3dWy1VTRosIWcDq6Nc99z2qzdc/edit?usp=sharing"",""หนองคาย!I346"")"),5)</f>
        <v>5</v>
      </c>
      <c r="V47" s="177">
        <f ca="1">IFERROR(__xludf.DUMMYFUNCTION("IMPORTRANGE(""https://docs.google.com/spreadsheets/d/13JHU_EFbsQOUQ0JSQ3dWy1VTRosIWcDq6Nc99z2qzdc/edit?usp=sharing"",""หนองคาย!J346"")"),2)</f>
        <v>2</v>
      </c>
      <c r="W47" s="354">
        <f t="shared" ca="1" si="30"/>
        <v>40</v>
      </c>
      <c r="X47" s="177">
        <f ca="1">IFERROR(__xludf.DUMMYFUNCTION("IMPORTRANGE(""https://docs.google.com/spreadsheets/d/13JHU_EFbsQOUQ0JSQ3dWy1VTRosIWcDq6Nc99z2qzdc/edit?usp=sharing"",""หนองคาย!J347"")"),1)</f>
        <v>1</v>
      </c>
      <c r="Y47" s="177">
        <f ca="1">IFERROR(__xludf.DUMMYFUNCTION("IMPORTRANGE(""https://docs.google.com/spreadsheets/d/13JHU_EFbsQOUQ0JSQ3dWy1VTRosIWcDq6Nc99z2qzdc/edit?usp=sharing"",""หนองคาย!J348"")"),0)</f>
        <v>0</v>
      </c>
      <c r="Z47" s="177">
        <f ca="1">IFERROR(__xludf.DUMMYFUNCTION("IMPORTRANGE(""https://docs.google.com/spreadsheets/d/13JHU_EFbsQOUQ0JSQ3dWy1VTRosIWcDq6Nc99z2qzdc/edit?usp=sharing"",""หนองคาย!J349"")"),0)</f>
        <v>0</v>
      </c>
      <c r="AA47" s="177">
        <f ca="1">IFERROR(__xludf.DUMMYFUNCTION("IMPORTRANGE(""https://docs.google.com/spreadsheets/d/13JHU_EFbsQOUQ0JSQ3dWy1VTRosIWcDq6Nc99z2qzdc/edit?usp=sharing"",""หนองคาย!J352"")"),1361)</f>
        <v>1361</v>
      </c>
      <c r="AB47" s="177">
        <f ca="1">IFERROR(__xludf.DUMMYFUNCTION("IMPORTRANGE(""https://docs.google.com/spreadsheets/d/13JHU_EFbsQOUQ0JSQ3dWy1VTRosIWcDq6Nc99z2qzdc/edit?usp=sharing"",""หนองคาย!J353"")"),3941)</f>
        <v>3941</v>
      </c>
    </row>
    <row r="48" spans="1:28" ht="21" customHeight="1" x14ac:dyDescent="0.3">
      <c r="A48" s="89">
        <v>17</v>
      </c>
      <c r="B48" s="90" t="s">
        <v>74</v>
      </c>
      <c r="C48" s="174">
        <f t="shared" ca="1" si="19"/>
        <v>111000</v>
      </c>
      <c r="D48" s="175">
        <f t="shared" ca="1" si="37"/>
        <v>111000</v>
      </c>
      <c r="E48" s="176">
        <f ca="1">IFERROR(__xludf.DUMMYFUNCTION("IMPORTRANGE(""https://docs.google.com/spreadsheets/d/1-uDff_7J0KD5mKrp0Vvzr7lt3OU09vwQwhkpOPPYv2Y/edit?usp=sharing"",""งบพรบ!ET48"")"),0)</f>
        <v>0</v>
      </c>
      <c r="F48" s="176">
        <f ca="1">IFERROR(__xludf.DUMMYFUNCTION("IMPORTRANGE(""https://docs.google.com/spreadsheets/d/1-uDff_7J0KD5mKrp0Vvzr7lt3OU09vwQwhkpOPPYv2Y/edit?usp=sharing"",""งบพรบ!EU48"")"),111000)</f>
        <v>111000</v>
      </c>
      <c r="G48" s="176">
        <f ca="1">IFERROR(__xludf.DUMMYFUNCTION("IMPORTRANGE(""https://docs.google.com/spreadsheets/d/1-uDff_7J0KD5mKrp0Vvzr7lt3OU09vwQwhkpOPPYv2Y/edit?usp=sharing"",""งบพรบ!EV48"")"),0)</f>
        <v>0</v>
      </c>
      <c r="H48" s="176">
        <f ca="1">IFERROR(__xludf.DUMMYFUNCTION("IMPORTRANGE(""https://docs.google.com/spreadsheets/d/1-uDff_7J0KD5mKrp0Vvzr7lt3OU09vwQwhkpOPPYv2Y/edit?usp=sharing"",""งบพรบ!EX48"")"),116000)</f>
        <v>116000</v>
      </c>
      <c r="I48" s="176">
        <f ca="1">IFERROR(__xludf.DUMMYFUNCTION("IMPORTRANGE(""https://docs.google.com/spreadsheets/d/1-uDff_7J0KD5mKrp0Vvzr7lt3OU09vwQwhkpOPPYv2Y/edit?usp=sharing"",""งบพรบ!EY48"")"),0)</f>
        <v>0</v>
      </c>
      <c r="J48" s="176">
        <f t="shared" ca="1" si="21"/>
        <v>36935</v>
      </c>
      <c r="K48" s="179">
        <f t="shared" ca="1" si="22"/>
        <v>33.274774774774777</v>
      </c>
      <c r="L48" s="176">
        <f ca="1">IFERROR(__xludf.DUMMYFUNCTION("IMPORTRANGE(""https://docs.google.com/spreadsheets/d/1-uDff_7J0KD5mKrp0Vvzr7lt3OU09vwQwhkpOPPYv2Y/edit?usp=sharing"",""งบพรบ!EZ48"")"),36935)</f>
        <v>36935</v>
      </c>
      <c r="M48" s="87">
        <f t="shared" ca="1" si="23"/>
        <v>33.274774774774777</v>
      </c>
      <c r="N48" s="87">
        <f t="shared" ca="1" si="24"/>
        <v>31.84051724137931</v>
      </c>
      <c r="O48" s="86">
        <f ca="1">IFERROR(__xludf.DUMMYFUNCTION("IMPORTRANGE(""https://docs.google.com/spreadsheets/d/1-uDff_7J0KD5mKrp0Vvzr7lt3OU09vwQwhkpOPPYv2Y/edit?usp=sharing"",""งบพรบ!FA48"")"),0)</f>
        <v>0</v>
      </c>
      <c r="P48" s="86">
        <f t="shared" ca="1" si="25"/>
        <v>0</v>
      </c>
      <c r="Q48" s="87">
        <f t="shared" ca="1" si="26"/>
        <v>0</v>
      </c>
      <c r="R48" s="353">
        <f ca="1">IFERROR(__xludf.DUMMYFUNCTION("IMPORTRANGE(""https://docs.google.com/spreadsheets/d/1Hx73zIEgVdDZZaYSTc46Dqv64atFhpr3GelxLbaIN8A/edit?usp=sharing"",""หนองบัวลำภู!I344"")"),3060)</f>
        <v>3060</v>
      </c>
      <c r="S48" s="177">
        <f ca="1">IFERROR(__xludf.DUMMYFUNCTION("IMPORTRANGE(""https://docs.google.com/spreadsheets/d/1Hx73zIEgVdDZZaYSTc46Dqv64atFhpr3GelxLbaIN8A/edit?usp=sharing"",""หนองบัวลำภู!J344"")"),1956)</f>
        <v>1956</v>
      </c>
      <c r="T48" s="354">
        <f t="shared" ca="1" si="28"/>
        <v>63.921568627450981</v>
      </c>
      <c r="U48" s="353">
        <f ca="1">IFERROR(__xludf.DUMMYFUNCTION("IMPORTRANGE(""https://docs.google.com/spreadsheets/d/1Hx73zIEgVdDZZaYSTc46Dqv64atFhpr3GelxLbaIN8A/edit?usp=sharing"",""หนองบัวลำภู!I346"")"),4)</f>
        <v>4</v>
      </c>
      <c r="V48" s="177">
        <f ca="1">IFERROR(__xludf.DUMMYFUNCTION("IMPORTRANGE(""https://docs.google.com/spreadsheets/d/1Hx73zIEgVdDZZaYSTc46Dqv64atFhpr3GelxLbaIN8A/edit?usp=sharing"",""หนองบัวลำภู!J346"")"),0)</f>
        <v>0</v>
      </c>
      <c r="W48" s="354">
        <f t="shared" ca="1" si="30"/>
        <v>0</v>
      </c>
      <c r="X48" s="177">
        <f ca="1">IFERROR(__xludf.DUMMYFUNCTION("IMPORTRANGE(""https://docs.google.com/spreadsheets/d/1Hx73zIEgVdDZZaYSTc46Dqv64atFhpr3GelxLbaIN8A/edit?usp=sharing"",""หนองบัวลำภู!J347"")"),1)</f>
        <v>1</v>
      </c>
      <c r="Y48" s="177">
        <f ca="1">IFERROR(__xludf.DUMMYFUNCTION("IMPORTRANGE(""https://docs.google.com/spreadsheets/d/1Hx73zIEgVdDZZaYSTc46Dqv64atFhpr3GelxLbaIN8A/edit?usp=sharing"",""หนองบัวลำภู!J348"")"),0)</f>
        <v>0</v>
      </c>
      <c r="Z48" s="177">
        <f ca="1">IFERROR(__xludf.DUMMYFUNCTION("IMPORTRANGE(""https://docs.google.com/spreadsheets/d/1Hx73zIEgVdDZZaYSTc46Dqv64atFhpr3GelxLbaIN8A/edit?usp=sharing"",""หนองบัวลำภู!J349"")"),0)</f>
        <v>0</v>
      </c>
      <c r="AA48" s="177">
        <f ca="1">IFERROR(__xludf.DUMMYFUNCTION("IMPORTRANGE(""https://docs.google.com/spreadsheets/d/1Hx73zIEgVdDZZaYSTc46Dqv64atFhpr3GelxLbaIN8A/edit?usp=sharing"",""หนองบัวลำภู!J352"")"),994)</f>
        <v>994</v>
      </c>
      <c r="AB48" s="177">
        <f ca="1">IFERROR(__xludf.DUMMYFUNCTION("IMPORTRANGE(""https://docs.google.com/spreadsheets/d/1Hx73zIEgVdDZZaYSTc46Dqv64atFhpr3GelxLbaIN8A/edit?usp=sharing"",""หนองบัวลำภู!J353"")"),1241)</f>
        <v>1241</v>
      </c>
    </row>
    <row r="49" spans="1:28" ht="21" customHeight="1" x14ac:dyDescent="0.3">
      <c r="A49" s="89">
        <v>18</v>
      </c>
      <c r="B49" s="90" t="s">
        <v>75</v>
      </c>
      <c r="C49" s="174">
        <f t="shared" ca="1" si="19"/>
        <v>106000</v>
      </c>
      <c r="D49" s="175">
        <f t="shared" ca="1" si="37"/>
        <v>106000</v>
      </c>
      <c r="E49" s="176">
        <f ca="1">IFERROR(__xludf.DUMMYFUNCTION("IMPORTRANGE(""https://docs.google.com/spreadsheets/d/1-uDff_7J0KD5mKrp0Vvzr7lt3OU09vwQwhkpOPPYv2Y/edit?usp=sharing"",""งบพรบ!ET49"")"),0)</f>
        <v>0</v>
      </c>
      <c r="F49" s="176">
        <f ca="1">IFERROR(__xludf.DUMMYFUNCTION("IMPORTRANGE(""https://docs.google.com/spreadsheets/d/1-uDff_7J0KD5mKrp0Vvzr7lt3OU09vwQwhkpOPPYv2Y/edit?usp=sharing"",""งบพรบ!EU49"")"),106000)</f>
        <v>106000</v>
      </c>
      <c r="G49" s="176">
        <f ca="1">IFERROR(__xludf.DUMMYFUNCTION("IMPORTRANGE(""https://docs.google.com/spreadsheets/d/1-uDff_7J0KD5mKrp0Vvzr7lt3OU09vwQwhkpOPPYv2Y/edit?usp=sharing"",""งบพรบ!EV49"")"),0)</f>
        <v>0</v>
      </c>
      <c r="H49" s="176">
        <f ca="1">IFERROR(__xludf.DUMMYFUNCTION("IMPORTRANGE(""https://docs.google.com/spreadsheets/d/1-uDff_7J0KD5mKrp0Vvzr7lt3OU09vwQwhkpOPPYv2Y/edit?usp=sharing"",""งบพรบ!EX49"")"),111000)</f>
        <v>111000</v>
      </c>
      <c r="I49" s="176">
        <f ca="1">IFERROR(__xludf.DUMMYFUNCTION("IMPORTRANGE(""https://docs.google.com/spreadsheets/d/1-uDff_7J0KD5mKrp0Vvzr7lt3OU09vwQwhkpOPPYv2Y/edit?usp=sharing"",""งบพรบ!EY49"")"),0)</f>
        <v>0</v>
      </c>
      <c r="J49" s="176">
        <f t="shared" ca="1" si="21"/>
        <v>34840</v>
      </c>
      <c r="K49" s="179">
        <f t="shared" ca="1" si="22"/>
        <v>32.867924528301884</v>
      </c>
      <c r="L49" s="176">
        <f ca="1">IFERROR(__xludf.DUMMYFUNCTION("IMPORTRANGE(""https://docs.google.com/spreadsheets/d/1-uDff_7J0KD5mKrp0Vvzr7lt3OU09vwQwhkpOPPYv2Y/edit?usp=sharing"",""งบพรบ!EZ49"")"),34840)</f>
        <v>34840</v>
      </c>
      <c r="M49" s="87">
        <f t="shared" ca="1" si="23"/>
        <v>32.867924528301884</v>
      </c>
      <c r="N49" s="87">
        <f t="shared" ca="1" si="24"/>
        <v>31.387387387387388</v>
      </c>
      <c r="O49" s="86">
        <f ca="1">IFERROR(__xludf.DUMMYFUNCTION("IMPORTRANGE(""https://docs.google.com/spreadsheets/d/1-uDff_7J0KD5mKrp0Vvzr7lt3OU09vwQwhkpOPPYv2Y/edit?usp=sharing"",""งบพรบ!FA49"")"),0)</f>
        <v>0</v>
      </c>
      <c r="P49" s="86">
        <f t="shared" ca="1" si="25"/>
        <v>0</v>
      </c>
      <c r="Q49" s="87">
        <f t="shared" ca="1" si="26"/>
        <v>0</v>
      </c>
      <c r="R49" s="353">
        <f ca="1">IFERROR(__xludf.DUMMYFUNCTION("IMPORTRANGE(""https://docs.google.com/spreadsheets/d/1lFxr3ctmjFN90yc-xV6jrQ9Ty8BKYVBWnAZ15wcNIJc/edit?usp=sharing"",""อำนาจเจริญ!I344"")"),1260)</f>
        <v>1260</v>
      </c>
      <c r="S49" s="177">
        <f ca="1">IFERROR(__xludf.DUMMYFUNCTION("IMPORTRANGE(""https://docs.google.com/spreadsheets/d/1lFxr3ctmjFN90yc-xV6jrQ9Ty8BKYVBWnAZ15wcNIJc/edit?usp=sharing"",""อำนาจเจริญ!J344"")"),2137)</f>
        <v>2137</v>
      </c>
      <c r="T49" s="354">
        <f t="shared" ca="1" si="28"/>
        <v>169.60317460317461</v>
      </c>
      <c r="U49" s="353">
        <f ca="1">IFERROR(__xludf.DUMMYFUNCTION("IMPORTRANGE(""https://docs.google.com/spreadsheets/d/1lFxr3ctmjFN90yc-xV6jrQ9Ty8BKYVBWnAZ15wcNIJc/edit?usp=sharing"",""อำนาจเจริญ!I346"")"),3)</f>
        <v>3</v>
      </c>
      <c r="V49" s="177">
        <f ca="1">IFERROR(__xludf.DUMMYFUNCTION("IMPORTRANGE(""https://docs.google.com/spreadsheets/d/1lFxr3ctmjFN90yc-xV6jrQ9Ty8BKYVBWnAZ15wcNIJc/edit?usp=sharing"",""อำนาจเจริญ!J346"")"),2)</f>
        <v>2</v>
      </c>
      <c r="W49" s="354">
        <f t="shared" ca="1" si="30"/>
        <v>66.666666666666671</v>
      </c>
      <c r="X49" s="177">
        <f ca="1">IFERROR(__xludf.DUMMYFUNCTION("IMPORTRANGE(""https://docs.google.com/spreadsheets/d/1lFxr3ctmjFN90yc-xV6jrQ9Ty8BKYVBWnAZ15wcNIJc/edit?usp=sharing"",""อำนาจเจริญ!J347"")"),217)</f>
        <v>217</v>
      </c>
      <c r="Y49" s="177">
        <f ca="1">IFERROR(__xludf.DUMMYFUNCTION("IMPORTRANGE(""https://docs.google.com/spreadsheets/d/1lFxr3ctmjFN90yc-xV6jrQ9Ty8BKYVBWnAZ15wcNIJc/edit?usp=sharing"",""อำนาจเจริญ!J348"")"),62)</f>
        <v>62</v>
      </c>
      <c r="Z49" s="177">
        <f ca="1">IFERROR(__xludf.DUMMYFUNCTION("IMPORTRANGE(""https://docs.google.com/spreadsheets/d/1lFxr3ctmjFN90yc-xV6jrQ9Ty8BKYVBWnAZ15wcNIJc/edit?usp=sharing"",""อำนาจเจริญ!J349"")"),0)</f>
        <v>0</v>
      </c>
      <c r="AA49" s="177">
        <f ca="1">IFERROR(__xludf.DUMMYFUNCTION("IMPORTRANGE(""https://docs.google.com/spreadsheets/d/1lFxr3ctmjFN90yc-xV6jrQ9Ty8BKYVBWnAZ15wcNIJc/edit?usp=sharing"",""อำนาจเจริญ!J352"")"),15)</f>
        <v>15</v>
      </c>
      <c r="AB49" s="177">
        <f ca="1">IFERROR(__xludf.DUMMYFUNCTION("IMPORTRANGE(""https://docs.google.com/spreadsheets/d/1lFxr3ctmjFN90yc-xV6jrQ9Ty8BKYVBWnAZ15wcNIJc/edit?usp=sharing"",""อำนาจเจริญ!J353"")"),2205)</f>
        <v>2205</v>
      </c>
    </row>
    <row r="50" spans="1:28" ht="21" customHeight="1" x14ac:dyDescent="0.3">
      <c r="A50" s="89">
        <v>19</v>
      </c>
      <c r="B50" s="90" t="s">
        <v>76</v>
      </c>
      <c r="C50" s="174">
        <f t="shared" ca="1" si="19"/>
        <v>122000</v>
      </c>
      <c r="D50" s="175">
        <f t="shared" ca="1" si="37"/>
        <v>122000</v>
      </c>
      <c r="E50" s="176">
        <f ca="1">IFERROR(__xludf.DUMMYFUNCTION("IMPORTRANGE(""https://docs.google.com/spreadsheets/d/1-uDff_7J0KD5mKrp0Vvzr7lt3OU09vwQwhkpOPPYv2Y/edit?usp=sharing"",""งบพรบ!ET50"")"),0)</f>
        <v>0</v>
      </c>
      <c r="F50" s="176">
        <f ca="1">IFERROR(__xludf.DUMMYFUNCTION("IMPORTRANGE(""https://docs.google.com/spreadsheets/d/1-uDff_7J0KD5mKrp0Vvzr7lt3OU09vwQwhkpOPPYv2Y/edit?usp=sharing"",""งบพรบ!EU50"")"),122000)</f>
        <v>122000</v>
      </c>
      <c r="G50" s="176">
        <f ca="1">IFERROR(__xludf.DUMMYFUNCTION("IMPORTRANGE(""https://docs.google.com/spreadsheets/d/1-uDff_7J0KD5mKrp0Vvzr7lt3OU09vwQwhkpOPPYv2Y/edit?usp=sharing"",""งบพรบ!EV50"")"),0)</f>
        <v>0</v>
      </c>
      <c r="H50" s="176">
        <f ca="1">IFERROR(__xludf.DUMMYFUNCTION("IMPORTRANGE(""https://docs.google.com/spreadsheets/d/1-uDff_7J0KD5mKrp0Vvzr7lt3OU09vwQwhkpOPPYv2Y/edit?usp=sharing"",""งบพรบ!EX50"")"),127000)</f>
        <v>127000</v>
      </c>
      <c r="I50" s="176">
        <f ca="1">IFERROR(__xludf.DUMMYFUNCTION("IMPORTRANGE(""https://docs.google.com/spreadsheets/d/1-uDff_7J0KD5mKrp0Vvzr7lt3OU09vwQwhkpOPPYv2Y/edit?usp=sharing"",""งบพรบ!EY50"")"),0)</f>
        <v>0</v>
      </c>
      <c r="J50" s="176">
        <f t="shared" ca="1" si="21"/>
        <v>57020</v>
      </c>
      <c r="K50" s="179">
        <f t="shared" ca="1" si="22"/>
        <v>46.73770491803279</v>
      </c>
      <c r="L50" s="176">
        <f ca="1">IFERROR(__xludf.DUMMYFUNCTION("IMPORTRANGE(""https://docs.google.com/spreadsheets/d/1-uDff_7J0KD5mKrp0Vvzr7lt3OU09vwQwhkpOPPYv2Y/edit?usp=sharing"",""งบพรบ!EZ50"")"),57020)</f>
        <v>57020</v>
      </c>
      <c r="M50" s="87">
        <f t="shared" ca="1" si="23"/>
        <v>46.73770491803279</v>
      </c>
      <c r="N50" s="87">
        <f t="shared" ca="1" si="24"/>
        <v>44.897637795275593</v>
      </c>
      <c r="O50" s="86">
        <f ca="1">IFERROR(__xludf.DUMMYFUNCTION("IMPORTRANGE(""https://docs.google.com/spreadsheets/d/1-uDff_7J0KD5mKrp0Vvzr7lt3OU09vwQwhkpOPPYv2Y/edit?usp=sharing"",""งบพรบ!FA50"")"),0)</f>
        <v>0</v>
      </c>
      <c r="P50" s="86">
        <f t="shared" ca="1" si="25"/>
        <v>0</v>
      </c>
      <c r="Q50" s="87">
        <f t="shared" ca="1" si="26"/>
        <v>0</v>
      </c>
      <c r="R50" s="353">
        <f ca="1">IFERROR(__xludf.DUMMYFUNCTION("IMPORTRANGE(""https://docs.google.com/spreadsheets/d/1gF7RJpRnL-1oyjyeWxs5SFWEH7y8ahOZsQlyp2A2e-A/edit?usp=sharing"",""อุดรธานี!I344"")"),5860)</f>
        <v>5860</v>
      </c>
      <c r="S50" s="177">
        <f ca="1">IFERROR(__xludf.DUMMYFUNCTION("IMPORTRANGE(""https://docs.google.com/spreadsheets/d/1gF7RJpRnL-1oyjyeWxs5SFWEH7y8ahOZsQlyp2A2e-A/edit?usp=sharing"",""อุดรธานี!J344"")"),14814)</f>
        <v>14814</v>
      </c>
      <c r="T50" s="354">
        <f t="shared" ca="1" si="28"/>
        <v>252.79863481228668</v>
      </c>
      <c r="U50" s="353">
        <f ca="1">IFERROR(__xludf.DUMMYFUNCTION("IMPORTRANGE(""https://docs.google.com/spreadsheets/d/1gF7RJpRnL-1oyjyeWxs5SFWEH7y8ahOZsQlyp2A2e-A/edit?usp=sharing"",""อุดรธานี!I346"")"),8)</f>
        <v>8</v>
      </c>
      <c r="V50" s="177">
        <f ca="1">IFERROR(__xludf.DUMMYFUNCTION("IMPORTRANGE(""https://docs.google.com/spreadsheets/d/1gF7RJpRnL-1oyjyeWxs5SFWEH7y8ahOZsQlyp2A2e-A/edit?usp=sharing"",""อุดรธานี!J346"")"),4)</f>
        <v>4</v>
      </c>
      <c r="W50" s="354">
        <f t="shared" ca="1" si="30"/>
        <v>50</v>
      </c>
      <c r="X50" s="177">
        <f ca="1">IFERROR(__xludf.DUMMYFUNCTION("IMPORTRANGE(""https://docs.google.com/spreadsheets/d/1gF7RJpRnL-1oyjyeWxs5SFWEH7y8ahOZsQlyp2A2e-A/edit?usp=sharing"",""อุดรธานี!J347"")"),81)</f>
        <v>81</v>
      </c>
      <c r="Y50" s="177">
        <f ca="1">IFERROR(__xludf.DUMMYFUNCTION("IMPORTRANGE(""https://docs.google.com/spreadsheets/d/1gF7RJpRnL-1oyjyeWxs5SFWEH7y8ahOZsQlyp2A2e-A/edit?usp=sharing"",""อุดรธานี!J348"")"),2)</f>
        <v>2</v>
      </c>
      <c r="Z50" s="177">
        <f ca="1">IFERROR(__xludf.DUMMYFUNCTION("IMPORTRANGE(""https://docs.google.com/spreadsheets/d/1gF7RJpRnL-1oyjyeWxs5SFWEH7y8ahOZsQlyp2A2e-A/edit?usp=sharing"",""อุดรธานี!J349"")"),248)</f>
        <v>248</v>
      </c>
      <c r="AA50" s="177">
        <f ca="1">IFERROR(__xludf.DUMMYFUNCTION("IMPORTRANGE(""https://docs.google.com/spreadsheets/d/1gF7RJpRnL-1oyjyeWxs5SFWEH7y8ahOZsQlyp2A2e-A/edit?usp=sharing"",""อุดรธานี!J352"")"),125)</f>
        <v>125</v>
      </c>
      <c r="AB50" s="177">
        <f ca="1">IFERROR(__xludf.DUMMYFUNCTION("IMPORTRANGE(""https://docs.google.com/spreadsheets/d/1gF7RJpRnL-1oyjyeWxs5SFWEH7y8ahOZsQlyp2A2e-A/edit?usp=sharing"",""อุดรธานี!J353"")"),4294)</f>
        <v>4294</v>
      </c>
    </row>
    <row r="51" spans="1:28" ht="21" customHeight="1" x14ac:dyDescent="0.3">
      <c r="A51" s="100">
        <v>20</v>
      </c>
      <c r="B51" s="101" t="s">
        <v>77</v>
      </c>
      <c r="C51" s="189">
        <f t="shared" ca="1" si="19"/>
        <v>120000</v>
      </c>
      <c r="D51" s="190">
        <f t="shared" ca="1" si="37"/>
        <v>120000</v>
      </c>
      <c r="E51" s="191">
        <f ca="1">IFERROR(__xludf.DUMMYFUNCTION("IMPORTRANGE(""https://docs.google.com/spreadsheets/d/1-uDff_7J0KD5mKrp0Vvzr7lt3OU09vwQwhkpOPPYv2Y/edit?usp=sharing"",""งบพรบ!ET51"")"),0)</f>
        <v>0</v>
      </c>
      <c r="F51" s="191">
        <f ca="1">IFERROR(__xludf.DUMMYFUNCTION("IMPORTRANGE(""https://docs.google.com/spreadsheets/d/1-uDff_7J0KD5mKrp0Vvzr7lt3OU09vwQwhkpOPPYv2Y/edit?usp=sharing"",""งบพรบ!EU51"")"),120000)</f>
        <v>120000</v>
      </c>
      <c r="G51" s="191">
        <f ca="1">IFERROR(__xludf.DUMMYFUNCTION("IMPORTRANGE(""https://docs.google.com/spreadsheets/d/1-uDff_7J0KD5mKrp0Vvzr7lt3OU09vwQwhkpOPPYv2Y/edit?usp=sharing"",""งบพรบ!EV51"")"),0)</f>
        <v>0</v>
      </c>
      <c r="H51" s="191">
        <f ca="1">IFERROR(__xludf.DUMMYFUNCTION("IMPORTRANGE(""https://docs.google.com/spreadsheets/d/1-uDff_7J0KD5mKrp0Vvzr7lt3OU09vwQwhkpOPPYv2Y/edit?usp=sharing"",""งบพรบ!EX51"")"),125000)</f>
        <v>125000</v>
      </c>
      <c r="I51" s="191">
        <f ca="1">IFERROR(__xludf.DUMMYFUNCTION("IMPORTRANGE(""https://docs.google.com/spreadsheets/d/1-uDff_7J0KD5mKrp0Vvzr7lt3OU09vwQwhkpOPPYv2Y/edit?usp=sharing"",""งบพรบ!EY51"")"),0)</f>
        <v>0</v>
      </c>
      <c r="J51" s="191">
        <f t="shared" ca="1" si="21"/>
        <v>68340</v>
      </c>
      <c r="K51" s="192">
        <f t="shared" ca="1" si="22"/>
        <v>56.95</v>
      </c>
      <c r="L51" s="191">
        <f ca="1">IFERROR(__xludf.DUMMYFUNCTION("IMPORTRANGE(""https://docs.google.com/spreadsheets/d/1-uDff_7J0KD5mKrp0Vvzr7lt3OU09vwQwhkpOPPYv2Y/edit?usp=sharing"",""งบพรบ!EZ51"")"),68340)</f>
        <v>68340</v>
      </c>
      <c r="M51" s="118">
        <f t="shared" ca="1" si="23"/>
        <v>56.95</v>
      </c>
      <c r="N51" s="118">
        <f t="shared" ca="1" si="24"/>
        <v>54.671999999999997</v>
      </c>
      <c r="O51" s="117">
        <f ca="1">IFERROR(__xludf.DUMMYFUNCTION("IMPORTRANGE(""https://docs.google.com/spreadsheets/d/1-uDff_7J0KD5mKrp0Vvzr7lt3OU09vwQwhkpOPPYv2Y/edit?usp=sharing"",""งบพรบ!FA51"")"),0)</f>
        <v>0</v>
      </c>
      <c r="P51" s="117">
        <f t="shared" ca="1" si="25"/>
        <v>0</v>
      </c>
      <c r="Q51" s="118">
        <f t="shared" ca="1" si="26"/>
        <v>0</v>
      </c>
      <c r="R51" s="356">
        <f ca="1">IFERROR(__xludf.DUMMYFUNCTION("IMPORTRANGE(""https://docs.google.com/spreadsheets/d/1kfLP0j3INXRa8bTDpcEmoWewMBV61jlFlfzczfjWIgc/edit?usp=sharing"",""อุบลราชธานี!I344"")"),4340)</f>
        <v>4340</v>
      </c>
      <c r="S51" s="186">
        <f ca="1">IFERROR(__xludf.DUMMYFUNCTION("IMPORTRANGE(""https://docs.google.com/spreadsheets/d/1kfLP0j3INXRa8bTDpcEmoWewMBV61jlFlfzczfjWIgc/edit?usp=sharing"",""อุบลราชธานี!J344"")"),3942)</f>
        <v>3942</v>
      </c>
      <c r="T51" s="357">
        <f t="shared" ca="1" si="28"/>
        <v>90.829493087557609</v>
      </c>
      <c r="U51" s="356">
        <f ca="1">IFERROR(__xludf.DUMMYFUNCTION("IMPORTRANGE(""https://docs.google.com/spreadsheets/d/1kfLP0j3INXRa8bTDpcEmoWewMBV61jlFlfzczfjWIgc/edit?usp=sharing"",""อุบลราชธานี!I346"")"),7)</f>
        <v>7</v>
      </c>
      <c r="V51" s="186">
        <f ca="1">IFERROR(__xludf.DUMMYFUNCTION("IMPORTRANGE(""https://docs.google.com/spreadsheets/d/1kfLP0j3INXRa8bTDpcEmoWewMBV61jlFlfzczfjWIgc/edit?usp=sharing"",""อุบลราชธานี!J346"")"),7)</f>
        <v>7</v>
      </c>
      <c r="W51" s="357">
        <f t="shared" ca="1" si="30"/>
        <v>100</v>
      </c>
      <c r="X51" s="186">
        <f ca="1">IFERROR(__xludf.DUMMYFUNCTION("IMPORTRANGE(""https://docs.google.com/spreadsheets/d/1kfLP0j3INXRa8bTDpcEmoWewMBV61jlFlfzczfjWIgc/edit?usp=sharing"",""อุบลราชธานี!J347"")"),66)</f>
        <v>66</v>
      </c>
      <c r="Y51" s="186">
        <f ca="1">IFERROR(__xludf.DUMMYFUNCTION("IMPORTRANGE(""https://docs.google.com/spreadsheets/d/1kfLP0j3INXRa8bTDpcEmoWewMBV61jlFlfzczfjWIgc/edit?usp=sharing"",""อุบลราชธานี!J348"")"),80)</f>
        <v>80</v>
      </c>
      <c r="Z51" s="186">
        <f ca="1">IFERROR(__xludf.DUMMYFUNCTION("IMPORTRANGE(""https://docs.google.com/spreadsheets/d/1kfLP0j3INXRa8bTDpcEmoWewMBV61jlFlfzczfjWIgc/edit?usp=sharing"",""อุบลราชธานี!J349"")"),13)</f>
        <v>13</v>
      </c>
      <c r="AA51" s="186">
        <f ca="1">IFERROR(__xludf.DUMMYFUNCTION("IMPORTRANGE(""https://docs.google.com/spreadsheets/d/1kfLP0j3INXRa8bTDpcEmoWewMBV61jlFlfzczfjWIgc/edit?usp=sharing"",""อุบลราชธานี!J352"")"),2402)</f>
        <v>2402</v>
      </c>
      <c r="AB51" s="186">
        <f ca="1">IFERROR(__xludf.DUMMYFUNCTION("IMPORTRANGE(""https://docs.google.com/spreadsheets/d/1kfLP0j3INXRa8bTDpcEmoWewMBV61jlFlfzczfjWIgc/edit?usp=sharing"",""อุบลราชธานี!J353"")"),7057)</f>
        <v>7057</v>
      </c>
    </row>
    <row r="52" spans="1:28" ht="21" customHeight="1" x14ac:dyDescent="0.3">
      <c r="A52" s="650" t="s">
        <v>78</v>
      </c>
      <c r="B52" s="583"/>
      <c r="C52" s="194">
        <f t="shared" ca="1" si="19"/>
        <v>4015000</v>
      </c>
      <c r="D52" s="194">
        <f t="shared" ref="D52:I52" ca="1" si="38">SUM(D53:D73)</f>
        <v>4015000</v>
      </c>
      <c r="E52" s="194">
        <f t="shared" ca="1" si="38"/>
        <v>1841000</v>
      </c>
      <c r="F52" s="194">
        <f t="shared" ca="1" si="38"/>
        <v>2174000</v>
      </c>
      <c r="G52" s="194">
        <f t="shared" ca="1" si="38"/>
        <v>0</v>
      </c>
      <c r="H52" s="194">
        <f t="shared" ca="1" si="38"/>
        <v>4095000</v>
      </c>
      <c r="I52" s="194">
        <f t="shared" ca="1" si="38"/>
        <v>0</v>
      </c>
      <c r="J52" s="194">
        <f t="shared" ca="1" si="21"/>
        <v>1715608.51</v>
      </c>
      <c r="K52" s="195">
        <f t="shared" ca="1" si="22"/>
        <v>42.729975342465757</v>
      </c>
      <c r="L52" s="194">
        <f ca="1">SUM(L53:L73)</f>
        <v>1715608.51</v>
      </c>
      <c r="M52" s="120">
        <f t="shared" ca="1" si="23"/>
        <v>42.729975342465757</v>
      </c>
      <c r="N52" s="120">
        <f t="shared" ca="1" si="24"/>
        <v>41.895201709401711</v>
      </c>
      <c r="O52" s="119">
        <f ca="1">SUM(O53:O73)</f>
        <v>0</v>
      </c>
      <c r="P52" s="119">
        <f t="shared" ca="1" si="25"/>
        <v>0</v>
      </c>
      <c r="Q52" s="120">
        <f t="shared" ca="1" si="26"/>
        <v>0</v>
      </c>
      <c r="R52" s="348">
        <f t="shared" ref="R52:S52" ca="1" si="39">SUM(R53:R73)</f>
        <v>19420</v>
      </c>
      <c r="S52" s="161">
        <f t="shared" ca="1" si="39"/>
        <v>18990</v>
      </c>
      <c r="T52" s="40">
        <f t="shared" ca="1" si="28"/>
        <v>97.785787847579812</v>
      </c>
      <c r="U52" s="348">
        <f t="shared" ref="U52:V52" ca="1" si="40">SUM(U53:U73)</f>
        <v>52</v>
      </c>
      <c r="V52" s="161">
        <f t="shared" ca="1" si="40"/>
        <v>60</v>
      </c>
      <c r="W52" s="40">
        <f t="shared" ca="1" si="30"/>
        <v>115.38461538461539</v>
      </c>
      <c r="X52" s="161">
        <f t="shared" ref="X52:AB52" ca="1" si="41">SUM(X53:X73)</f>
        <v>1323</v>
      </c>
      <c r="Y52" s="161">
        <f t="shared" ca="1" si="41"/>
        <v>1591</v>
      </c>
      <c r="Z52" s="161">
        <f t="shared" ca="1" si="41"/>
        <v>91</v>
      </c>
      <c r="AA52" s="161">
        <f t="shared" ca="1" si="41"/>
        <v>7334</v>
      </c>
      <c r="AB52" s="161">
        <f t="shared" ca="1" si="41"/>
        <v>37196</v>
      </c>
    </row>
    <row r="53" spans="1:28" ht="21" customHeight="1" x14ac:dyDescent="0.3">
      <c r="A53" s="77">
        <v>1</v>
      </c>
      <c r="B53" s="78" t="s">
        <v>79</v>
      </c>
      <c r="C53" s="174">
        <f t="shared" ca="1" si="19"/>
        <v>106000</v>
      </c>
      <c r="D53" s="175">
        <f t="shared" ref="D53:D73" ca="1" si="42">+E53+F53</f>
        <v>106000</v>
      </c>
      <c r="E53" s="176">
        <f ca="1">IFERROR(__xludf.DUMMYFUNCTION("IMPORTRANGE(""https://docs.google.com/spreadsheets/d/1-uDff_7J0KD5mKrp0Vvzr7lt3OU09vwQwhkpOPPYv2Y/edit?usp=sharing"",""งบพรบ!ET53"")"),0)</f>
        <v>0</v>
      </c>
      <c r="F53" s="176">
        <f ca="1">IFERROR(__xludf.DUMMYFUNCTION("IMPORTRANGE(""https://docs.google.com/spreadsheets/d/1-uDff_7J0KD5mKrp0Vvzr7lt3OU09vwQwhkpOPPYv2Y/edit?usp=sharing"",""งบพรบ!EU53"")"),106000)</f>
        <v>106000</v>
      </c>
      <c r="G53" s="177">
        <f ca="1">IFERROR(__xludf.DUMMYFUNCTION("IMPORTRANGE(""https://docs.google.com/spreadsheets/d/1-uDff_7J0KD5mKrp0Vvzr7lt3OU09vwQwhkpOPPYv2Y/edit?usp=sharing"",""งบพรบ!EV53"")"),0)</f>
        <v>0</v>
      </c>
      <c r="H53" s="177">
        <f ca="1">IFERROR(__xludf.DUMMYFUNCTION("IMPORTRANGE(""https://docs.google.com/spreadsheets/d/1-uDff_7J0KD5mKrp0Vvzr7lt3OU09vwQwhkpOPPYv2Y/edit?usp=sharing"",""งบพรบ!EX53"")"),111000)</f>
        <v>111000</v>
      </c>
      <c r="I53" s="177">
        <f ca="1">IFERROR(__xludf.DUMMYFUNCTION("IMPORTRANGE(""https://docs.google.com/spreadsheets/d/1-uDff_7J0KD5mKrp0Vvzr7lt3OU09vwQwhkpOPPYv2Y/edit?usp=sharing"",""งบพรบ!EY53"")"),0)</f>
        <v>0</v>
      </c>
      <c r="J53" s="177">
        <f t="shared" ca="1" si="21"/>
        <v>59910</v>
      </c>
      <c r="K53" s="178">
        <f t="shared" ca="1" si="22"/>
        <v>56.518867924528301</v>
      </c>
      <c r="L53" s="177">
        <f ca="1">IFERROR(__xludf.DUMMYFUNCTION("IMPORTRANGE(""https://docs.google.com/spreadsheets/d/1-uDff_7J0KD5mKrp0Vvzr7lt3OU09vwQwhkpOPPYv2Y/edit?usp=sharing"",""งบพรบ!EZ53"")"),59910)</f>
        <v>59910</v>
      </c>
      <c r="M53" s="87">
        <f t="shared" ca="1" si="23"/>
        <v>56.518867924528301</v>
      </c>
      <c r="N53" s="87">
        <f t="shared" ca="1" si="24"/>
        <v>53.972972972972975</v>
      </c>
      <c r="O53" s="86">
        <f ca="1">IFERROR(__xludf.DUMMYFUNCTION("IMPORTRANGE(""https://docs.google.com/spreadsheets/d/1-uDff_7J0KD5mKrp0Vvzr7lt3OU09vwQwhkpOPPYv2Y/edit?usp=sharing"",""งบพรบ!FA53"")"),0)</f>
        <v>0</v>
      </c>
      <c r="P53" s="86">
        <f t="shared" ca="1" si="25"/>
        <v>0</v>
      </c>
      <c r="Q53" s="87">
        <f t="shared" ca="1" si="26"/>
        <v>0</v>
      </c>
      <c r="R53" s="353">
        <f ca="1">IFERROR(__xludf.DUMMYFUNCTION("IMPORTRANGE(""https://docs.google.com/spreadsheets/d/13wPX838HrBrQMCywv1BsuMkt4PEKTChp52zj44s2izQ/edit?usp=sharing"",""กาญจนบุรี!I344"")"),1060)</f>
        <v>1060</v>
      </c>
      <c r="S53" s="177">
        <f ca="1">IFERROR(__xludf.DUMMYFUNCTION("IMPORTRANGE(""https://docs.google.com/spreadsheets/d/13wPX838HrBrQMCywv1BsuMkt4PEKTChp52zj44s2izQ/edit?usp=sharing"",""กาญจนบุรี!J344"")"),712)</f>
        <v>712</v>
      </c>
      <c r="T53" s="354">
        <f t="shared" ca="1" si="28"/>
        <v>67.169811320754718</v>
      </c>
      <c r="U53" s="353">
        <f ca="1">IFERROR(__xludf.DUMMYFUNCTION("IMPORTRANGE(""https://docs.google.com/spreadsheets/d/13wPX838HrBrQMCywv1BsuMkt4PEKTChp52zj44s2izQ/edit?usp=sharing"",""กาญจนบุรี!I346"")"),3)</f>
        <v>3</v>
      </c>
      <c r="V53" s="177">
        <f ca="1">IFERROR(__xludf.DUMMYFUNCTION("IMPORTRANGE(""https://docs.google.com/spreadsheets/d/13wPX838HrBrQMCywv1BsuMkt4PEKTChp52zj44s2izQ/edit?usp=sharing"",""กาญจนบุรี!J346"")"),0)</f>
        <v>0</v>
      </c>
      <c r="W53" s="354">
        <f t="shared" ca="1" si="30"/>
        <v>0</v>
      </c>
      <c r="X53" s="177">
        <f ca="1">IFERROR(__xludf.DUMMYFUNCTION("IMPORTRANGE(""https://docs.google.com/spreadsheets/d/13wPX838HrBrQMCywv1BsuMkt4PEKTChp52zj44s2izQ/edit?usp=sharing"",""กาญจนบุรี!J347"")"),0)</f>
        <v>0</v>
      </c>
      <c r="Y53" s="177">
        <f ca="1">IFERROR(__xludf.DUMMYFUNCTION("IMPORTRANGE(""https://docs.google.com/spreadsheets/d/13wPX838HrBrQMCywv1BsuMkt4PEKTChp52zj44s2izQ/edit?usp=sharing"",""กาญจนบุรี!J348"")"),13)</f>
        <v>13</v>
      </c>
      <c r="Z53" s="177">
        <f ca="1">IFERROR(__xludf.DUMMYFUNCTION("IMPORTRANGE(""https://docs.google.com/spreadsheets/d/13wPX838HrBrQMCywv1BsuMkt4PEKTChp52zj44s2izQ/edit?usp=sharing"",""กาญจนบุรี!J349"")"),60)</f>
        <v>60</v>
      </c>
      <c r="AA53" s="177">
        <f ca="1">IFERROR(__xludf.DUMMYFUNCTION("IMPORTRANGE(""https://docs.google.com/spreadsheets/d/13wPX838HrBrQMCywv1BsuMkt4PEKTChp52zj44s2izQ/edit?usp=sharing"",""กาญจนบุรี!J352"")"),30)</f>
        <v>30</v>
      </c>
      <c r="AB53" s="177">
        <f ca="1">IFERROR(__xludf.DUMMYFUNCTION("IMPORTRANGE(""https://docs.google.com/spreadsheets/d/13wPX838HrBrQMCywv1BsuMkt4PEKTChp52zj44s2izQ/edit?usp=sharing"",""กาญจนบุรี!J353"")"),2096)</f>
        <v>2096</v>
      </c>
    </row>
    <row r="54" spans="1:28" ht="21" customHeight="1" x14ac:dyDescent="0.3">
      <c r="A54" s="89">
        <v>2</v>
      </c>
      <c r="B54" s="90" t="s">
        <v>80</v>
      </c>
      <c r="C54" s="174">
        <f t="shared" ca="1" si="19"/>
        <v>108000</v>
      </c>
      <c r="D54" s="175">
        <f t="shared" ca="1" si="42"/>
        <v>108000</v>
      </c>
      <c r="E54" s="176">
        <f ca="1">IFERROR(__xludf.DUMMYFUNCTION("IMPORTRANGE(""https://docs.google.com/spreadsheets/d/1-uDff_7J0KD5mKrp0Vvzr7lt3OU09vwQwhkpOPPYv2Y/edit?usp=sharing"",""งบพรบ!ET54"")"),0)</f>
        <v>0</v>
      </c>
      <c r="F54" s="176">
        <f ca="1">IFERROR(__xludf.DUMMYFUNCTION("IMPORTRANGE(""https://docs.google.com/spreadsheets/d/1-uDff_7J0KD5mKrp0Vvzr7lt3OU09vwQwhkpOPPYv2Y/edit?usp=sharing"",""งบพรบ!EU54"")"),108000)</f>
        <v>108000</v>
      </c>
      <c r="G54" s="176">
        <f ca="1">IFERROR(__xludf.DUMMYFUNCTION("IMPORTRANGE(""https://docs.google.com/spreadsheets/d/1-uDff_7J0KD5mKrp0Vvzr7lt3OU09vwQwhkpOPPYv2Y/edit?usp=sharing"",""งบพรบ!EV54"")"),0)</f>
        <v>0</v>
      </c>
      <c r="H54" s="176">
        <f ca="1">IFERROR(__xludf.DUMMYFUNCTION("IMPORTRANGE(""https://docs.google.com/spreadsheets/d/1-uDff_7J0KD5mKrp0Vvzr7lt3OU09vwQwhkpOPPYv2Y/edit?usp=sharing"",""งบพรบ!EX54"")"),113000)</f>
        <v>113000</v>
      </c>
      <c r="I54" s="176">
        <f ca="1">IFERROR(__xludf.DUMMYFUNCTION("IMPORTRANGE(""https://docs.google.com/spreadsheets/d/1-uDff_7J0KD5mKrp0Vvzr7lt3OU09vwQwhkpOPPYv2Y/edit?usp=sharing"",""งบพรบ!EY54"")"),0)</f>
        <v>0</v>
      </c>
      <c r="J54" s="176">
        <f t="shared" ca="1" si="21"/>
        <v>57816.66</v>
      </c>
      <c r="K54" s="179">
        <f t="shared" ca="1" si="22"/>
        <v>53.533944444444444</v>
      </c>
      <c r="L54" s="176">
        <f ca="1">IFERROR(__xludf.DUMMYFUNCTION("IMPORTRANGE(""https://docs.google.com/spreadsheets/d/1-uDff_7J0KD5mKrp0Vvzr7lt3OU09vwQwhkpOPPYv2Y/edit?usp=sharing"",""งบพรบ!EZ54"")"),57816.66)</f>
        <v>57816.66</v>
      </c>
      <c r="M54" s="87">
        <f t="shared" ca="1" si="23"/>
        <v>53.533944444444444</v>
      </c>
      <c r="N54" s="87">
        <f t="shared" ca="1" si="24"/>
        <v>51.165185840707963</v>
      </c>
      <c r="O54" s="86">
        <f ca="1">IFERROR(__xludf.DUMMYFUNCTION("IMPORTRANGE(""https://docs.google.com/spreadsheets/d/1-uDff_7J0KD5mKrp0Vvzr7lt3OU09vwQwhkpOPPYv2Y/edit?usp=sharing"",""งบพรบ!FA54"")"),0)</f>
        <v>0</v>
      </c>
      <c r="P54" s="86">
        <f t="shared" ca="1" si="25"/>
        <v>0</v>
      </c>
      <c r="Q54" s="87">
        <f t="shared" ca="1" si="26"/>
        <v>0</v>
      </c>
      <c r="R54" s="353">
        <f ca="1">IFERROR(__xludf.DUMMYFUNCTION("IMPORTRANGE(""https://docs.google.com/spreadsheets/d/1ddFKvqj1W1NEiWytbGlB1zMx_ykJDVtmfEQ-6-lIUBA/edit?usp=sharing"",""จันทบุรี!I344"")"),1060)</f>
        <v>1060</v>
      </c>
      <c r="S54" s="177">
        <f ca="1">IFERROR(__xludf.DUMMYFUNCTION("IMPORTRANGE(""https://docs.google.com/spreadsheets/d/1ddFKvqj1W1NEiWytbGlB1zMx_ykJDVtmfEQ-6-lIUBA/edit?usp=sharing"",""จันทบุรี!J344"")"),3075)</f>
        <v>3075</v>
      </c>
      <c r="T54" s="354">
        <f t="shared" ca="1" si="28"/>
        <v>290.09433962264148</v>
      </c>
      <c r="U54" s="353">
        <f ca="1">IFERROR(__xludf.DUMMYFUNCTION("IMPORTRANGE(""https://docs.google.com/spreadsheets/d/1ddFKvqj1W1NEiWytbGlB1zMx_ykJDVtmfEQ-6-lIUBA/edit?usp=sharing"",""จันทบุรี!I346"")"),4)</f>
        <v>4</v>
      </c>
      <c r="V54" s="177">
        <f ca="1">IFERROR(__xludf.DUMMYFUNCTION("IMPORTRANGE(""https://docs.google.com/spreadsheets/d/1ddFKvqj1W1NEiWytbGlB1zMx_ykJDVtmfEQ-6-lIUBA/edit?usp=sharing"",""จันทบุรี!J346"")"),0)</f>
        <v>0</v>
      </c>
      <c r="W54" s="354">
        <f t="shared" ca="1" si="30"/>
        <v>0</v>
      </c>
      <c r="X54" s="177">
        <f ca="1">IFERROR(__xludf.DUMMYFUNCTION("IMPORTRANGE(""https://docs.google.com/spreadsheets/d/1ddFKvqj1W1NEiWytbGlB1zMx_ykJDVtmfEQ-6-lIUBA/edit?usp=sharing"",""จันทบุรี!J347"")"),214)</f>
        <v>214</v>
      </c>
      <c r="Y54" s="177">
        <f ca="1">IFERROR(__xludf.DUMMYFUNCTION("IMPORTRANGE(""https://docs.google.com/spreadsheets/d/1ddFKvqj1W1NEiWytbGlB1zMx_ykJDVtmfEQ-6-lIUBA/edit?usp=sharing"",""จันทบุรี!J348"")"),1220)</f>
        <v>1220</v>
      </c>
      <c r="Z54" s="177">
        <f ca="1">IFERROR(__xludf.DUMMYFUNCTION("IMPORTRANGE(""https://docs.google.com/spreadsheets/d/1ddFKvqj1W1NEiWytbGlB1zMx_ykJDVtmfEQ-6-lIUBA/edit?usp=sharing"",""จันทบุรี!J349"")"),0)</f>
        <v>0</v>
      </c>
      <c r="AA54" s="177">
        <f ca="1">IFERROR(__xludf.DUMMYFUNCTION("IMPORTRANGE(""https://docs.google.com/spreadsheets/d/1ddFKvqj1W1NEiWytbGlB1zMx_ykJDVtmfEQ-6-lIUBA/edit?usp=sharing"",""จันทบุรี!J352"")"),490)</f>
        <v>490</v>
      </c>
      <c r="AB54" s="177">
        <f ca="1">IFERROR(__xludf.DUMMYFUNCTION("IMPORTRANGE(""https://docs.google.com/spreadsheets/d/1ddFKvqj1W1NEiWytbGlB1zMx_ykJDVtmfEQ-6-lIUBA/edit?usp=sharing"",""จันทบุรี!J353"")"),2324)</f>
        <v>2324</v>
      </c>
    </row>
    <row r="55" spans="1:28" ht="21" customHeight="1" x14ac:dyDescent="0.3">
      <c r="A55" s="89">
        <v>3</v>
      </c>
      <c r="B55" s="90" t="s">
        <v>81</v>
      </c>
      <c r="C55" s="174">
        <f t="shared" ca="1" si="19"/>
        <v>379000</v>
      </c>
      <c r="D55" s="175">
        <f t="shared" ca="1" si="42"/>
        <v>379000</v>
      </c>
      <c r="E55" s="176">
        <f ca="1">IFERROR(__xludf.DUMMYFUNCTION("IMPORTRANGE(""https://docs.google.com/spreadsheets/d/1-uDff_7J0KD5mKrp0Vvzr7lt3OU09vwQwhkpOPPYv2Y/edit?usp=sharing"",""งบพรบ!ET55"")"),266000)</f>
        <v>266000</v>
      </c>
      <c r="F55" s="176">
        <f ca="1">IFERROR(__xludf.DUMMYFUNCTION("IMPORTRANGE(""https://docs.google.com/spreadsheets/d/1-uDff_7J0KD5mKrp0Vvzr7lt3OU09vwQwhkpOPPYv2Y/edit?usp=sharing"",""งบพรบ!EU55"")"),113000)</f>
        <v>113000</v>
      </c>
      <c r="G55" s="176">
        <f ca="1">IFERROR(__xludf.DUMMYFUNCTION("IMPORTRANGE(""https://docs.google.com/spreadsheets/d/1-uDff_7J0KD5mKrp0Vvzr7lt3OU09vwQwhkpOPPYv2Y/edit?usp=sharing"",""งบพรบ!EV55"")"),0)</f>
        <v>0</v>
      </c>
      <c r="H55" s="176">
        <f ca="1">IFERROR(__xludf.DUMMYFUNCTION("IMPORTRANGE(""https://docs.google.com/spreadsheets/d/1-uDff_7J0KD5mKrp0Vvzr7lt3OU09vwQwhkpOPPYv2Y/edit?usp=sharing"",""งบพรบ!EX55"")"),384000)</f>
        <v>384000</v>
      </c>
      <c r="I55" s="176">
        <f ca="1">IFERROR(__xludf.DUMMYFUNCTION("IMPORTRANGE(""https://docs.google.com/spreadsheets/d/1-uDff_7J0KD5mKrp0Vvzr7lt3OU09vwQwhkpOPPYv2Y/edit?usp=sharing"",""งบพรบ!EY55"")"),0)</f>
        <v>0</v>
      </c>
      <c r="J55" s="176">
        <f t="shared" ca="1" si="21"/>
        <v>173143.36</v>
      </c>
      <c r="K55" s="179">
        <f t="shared" ca="1" si="22"/>
        <v>45.684263852242744</v>
      </c>
      <c r="L55" s="176">
        <f ca="1">IFERROR(__xludf.DUMMYFUNCTION("IMPORTRANGE(""https://docs.google.com/spreadsheets/d/1-uDff_7J0KD5mKrp0Vvzr7lt3OU09vwQwhkpOPPYv2Y/edit?usp=sharing"",""งบพรบ!EZ55"")"),173143.36)</f>
        <v>173143.36</v>
      </c>
      <c r="M55" s="87">
        <f t="shared" ca="1" si="23"/>
        <v>45.684263852242744</v>
      </c>
      <c r="N55" s="87">
        <f t="shared" ca="1" si="24"/>
        <v>45.089416666666665</v>
      </c>
      <c r="O55" s="86">
        <f ca="1">IFERROR(__xludf.DUMMYFUNCTION("IMPORTRANGE(""https://docs.google.com/spreadsheets/d/1-uDff_7J0KD5mKrp0Vvzr7lt3OU09vwQwhkpOPPYv2Y/edit?usp=sharing"",""งบพรบ!FA55"")"),0)</f>
        <v>0</v>
      </c>
      <c r="P55" s="86">
        <f t="shared" ca="1" si="25"/>
        <v>0</v>
      </c>
      <c r="Q55" s="87">
        <f t="shared" ca="1" si="26"/>
        <v>0</v>
      </c>
      <c r="R55" s="353">
        <f ca="1">IFERROR(__xludf.DUMMYFUNCTION("IMPORTRANGE(""https://docs.google.com/spreadsheets/d/1T1PQvRODqOBZk8BRht_U031fIS1beLA0Ub2CEytj2q0/edit?usp=sharing"",""ฉะเชิงเทรา!I344"")"),2860)</f>
        <v>2860</v>
      </c>
      <c r="S55" s="177">
        <f ca="1">IFERROR(__xludf.DUMMYFUNCTION("IMPORTRANGE(""https://docs.google.com/spreadsheets/d/1T1PQvRODqOBZk8BRht_U031fIS1beLA0Ub2CEytj2q0/edit?usp=sharing"",""ฉะเชิงเทรา!J344"")"),2723)</f>
        <v>2723</v>
      </c>
      <c r="T55" s="354">
        <f t="shared" ca="1" si="28"/>
        <v>95.209790209790214</v>
      </c>
      <c r="U55" s="353">
        <f ca="1">IFERROR(__xludf.DUMMYFUNCTION("IMPORTRANGE(""https://docs.google.com/spreadsheets/d/1T1PQvRODqOBZk8BRht_U031fIS1beLA0Ub2CEytj2q0/edit?usp=sharing"",""ฉะเชิงเทรา!I346"")"),5)</f>
        <v>5</v>
      </c>
      <c r="V55" s="177">
        <f ca="1">IFERROR(__xludf.DUMMYFUNCTION("IMPORTRANGE(""https://docs.google.com/spreadsheets/d/1T1PQvRODqOBZk8BRht_U031fIS1beLA0Ub2CEytj2q0/edit?usp=sharing"",""ฉะเชิงเทรา!J346"")"),5)</f>
        <v>5</v>
      </c>
      <c r="W55" s="354">
        <f t="shared" ca="1" si="30"/>
        <v>100</v>
      </c>
      <c r="X55" s="177">
        <f ca="1">IFERROR(__xludf.DUMMYFUNCTION("IMPORTRANGE(""https://docs.google.com/spreadsheets/d/1T1PQvRODqOBZk8BRht_U031fIS1beLA0Ub2CEytj2q0/edit?usp=sharing"",""ฉะเชิงเทรา!J347"")"),0)</f>
        <v>0</v>
      </c>
      <c r="Y55" s="177">
        <f ca="1">IFERROR(__xludf.DUMMYFUNCTION("IMPORTRANGE(""https://docs.google.com/spreadsheets/d/1T1PQvRODqOBZk8BRht_U031fIS1beLA0Ub2CEytj2q0/edit?usp=sharing"",""ฉะเชิงเทรา!J348"")"),6)</f>
        <v>6</v>
      </c>
      <c r="Z55" s="177">
        <f ca="1">IFERROR(__xludf.DUMMYFUNCTION("IMPORTRANGE(""https://docs.google.com/spreadsheets/d/1T1PQvRODqOBZk8BRht_U031fIS1beLA0Ub2CEytj2q0/edit?usp=sharing"",""ฉะเชิงเทรา!J349"")"),0)</f>
        <v>0</v>
      </c>
      <c r="AA55" s="177">
        <f ca="1">IFERROR(__xludf.DUMMYFUNCTION("IMPORTRANGE(""https://docs.google.com/spreadsheets/d/1T1PQvRODqOBZk8BRht_U031fIS1beLA0Ub2CEytj2q0/edit?usp=sharing"",""ฉะเชิงเทรา!J352"")"),172)</f>
        <v>172</v>
      </c>
      <c r="AB55" s="177">
        <f ca="1">IFERROR(__xludf.DUMMYFUNCTION("IMPORTRANGE(""https://docs.google.com/spreadsheets/d/1T1PQvRODqOBZk8BRht_U031fIS1beLA0Ub2CEytj2q0/edit?usp=sharing"",""ฉะเชิงเทรา!J353"")"),4996)</f>
        <v>4996</v>
      </c>
    </row>
    <row r="56" spans="1:28" ht="21" customHeight="1" x14ac:dyDescent="0.3">
      <c r="A56" s="89">
        <v>4</v>
      </c>
      <c r="B56" s="90" t="s">
        <v>82</v>
      </c>
      <c r="C56" s="174">
        <f t="shared" ca="1" si="19"/>
        <v>106000</v>
      </c>
      <c r="D56" s="175">
        <f t="shared" ca="1" si="42"/>
        <v>106000</v>
      </c>
      <c r="E56" s="176">
        <f ca="1">IFERROR(__xludf.DUMMYFUNCTION("IMPORTRANGE(""https://docs.google.com/spreadsheets/d/1-uDff_7J0KD5mKrp0Vvzr7lt3OU09vwQwhkpOPPYv2Y/edit?usp=sharing"",""งบพรบ!ET56"")"),0)</f>
        <v>0</v>
      </c>
      <c r="F56" s="176">
        <f ca="1">IFERROR(__xludf.DUMMYFUNCTION("IMPORTRANGE(""https://docs.google.com/spreadsheets/d/1-uDff_7J0KD5mKrp0Vvzr7lt3OU09vwQwhkpOPPYv2Y/edit?usp=sharing"",""งบพรบ!EU56"")"),106000)</f>
        <v>106000</v>
      </c>
      <c r="G56" s="176">
        <f ca="1">IFERROR(__xludf.DUMMYFUNCTION("IMPORTRANGE(""https://docs.google.com/spreadsheets/d/1-uDff_7J0KD5mKrp0Vvzr7lt3OU09vwQwhkpOPPYv2Y/edit?usp=sharing"",""งบพรบ!EV56"")"),0)</f>
        <v>0</v>
      </c>
      <c r="H56" s="176">
        <f ca="1">IFERROR(__xludf.DUMMYFUNCTION("IMPORTRANGE(""https://docs.google.com/spreadsheets/d/1-uDff_7J0KD5mKrp0Vvzr7lt3OU09vwQwhkpOPPYv2Y/edit?usp=sharing"",""งบพรบ!EX56"")"),111000)</f>
        <v>111000</v>
      </c>
      <c r="I56" s="176">
        <f ca="1">IFERROR(__xludf.DUMMYFUNCTION("IMPORTRANGE(""https://docs.google.com/spreadsheets/d/1-uDff_7J0KD5mKrp0Vvzr7lt3OU09vwQwhkpOPPYv2Y/edit?usp=sharing"",""งบพรบ!EY56"")"),0)</f>
        <v>0</v>
      </c>
      <c r="J56" s="176">
        <f t="shared" ca="1" si="21"/>
        <v>71500.2</v>
      </c>
      <c r="K56" s="179">
        <f t="shared" ca="1" si="22"/>
        <v>67.453018867924527</v>
      </c>
      <c r="L56" s="176">
        <f ca="1">IFERROR(__xludf.DUMMYFUNCTION("IMPORTRANGE(""https://docs.google.com/spreadsheets/d/1-uDff_7J0KD5mKrp0Vvzr7lt3OU09vwQwhkpOPPYv2Y/edit?usp=sharing"",""งบพรบ!EZ56"")"),71500.2)</f>
        <v>71500.2</v>
      </c>
      <c r="M56" s="87">
        <f t="shared" ca="1" si="23"/>
        <v>67.453018867924527</v>
      </c>
      <c r="N56" s="87">
        <f t="shared" ca="1" si="24"/>
        <v>64.41459459459459</v>
      </c>
      <c r="O56" s="86">
        <f ca="1">IFERROR(__xludf.DUMMYFUNCTION("IMPORTRANGE(""https://docs.google.com/spreadsheets/d/1-uDff_7J0KD5mKrp0Vvzr7lt3OU09vwQwhkpOPPYv2Y/edit?usp=sharing"",""งบพรบ!FA56"")"),0)</f>
        <v>0</v>
      </c>
      <c r="P56" s="86">
        <f t="shared" ca="1" si="25"/>
        <v>0</v>
      </c>
      <c r="Q56" s="87">
        <f t="shared" ca="1" si="26"/>
        <v>0</v>
      </c>
      <c r="R56" s="353">
        <f ca="1">IFERROR(__xludf.DUMMYFUNCTION("IMPORTRANGE(""https://docs.google.com/spreadsheets/d/11tr1B-Bhyr79v2bkwVh5h_fR-PStkgjlZtkrZpYurG0/edit?usp=sharing"",""ชลบุรี!I344"")"),940)</f>
        <v>940</v>
      </c>
      <c r="S56" s="177">
        <f ca="1">IFERROR(__xludf.DUMMYFUNCTION("IMPORTRANGE(""https://docs.google.com/spreadsheets/d/11tr1B-Bhyr79v2bkwVh5h_fR-PStkgjlZtkrZpYurG0/edit?usp=sharing"",""ชลบุรี!J344"")"),408)</f>
        <v>408</v>
      </c>
      <c r="T56" s="354">
        <f t="shared" ca="1" si="28"/>
        <v>43.404255319148938</v>
      </c>
      <c r="U56" s="353">
        <f ca="1">IFERROR(__xludf.DUMMYFUNCTION("IMPORTRANGE(""https://docs.google.com/spreadsheets/d/11tr1B-Bhyr79v2bkwVh5h_fR-PStkgjlZtkrZpYurG0/edit?usp=sharing"",""ชลบุรี!I346"")"),3)</f>
        <v>3</v>
      </c>
      <c r="V56" s="177">
        <f ca="1">IFERROR(__xludf.DUMMYFUNCTION("IMPORTRANGE(""https://docs.google.com/spreadsheets/d/11tr1B-Bhyr79v2bkwVh5h_fR-PStkgjlZtkrZpYurG0/edit?usp=sharing"",""ชลบุรี!J346"")"),6)</f>
        <v>6</v>
      </c>
      <c r="W56" s="354">
        <f t="shared" ca="1" si="30"/>
        <v>200</v>
      </c>
      <c r="X56" s="177">
        <f ca="1">IFERROR(__xludf.DUMMYFUNCTION("IMPORTRANGE(""https://docs.google.com/spreadsheets/d/11tr1B-Bhyr79v2bkwVh5h_fR-PStkgjlZtkrZpYurG0/edit?usp=sharing"",""ชลบุรี!J347"")"),0)</f>
        <v>0</v>
      </c>
      <c r="Y56" s="177">
        <f ca="1">IFERROR(__xludf.DUMMYFUNCTION("IMPORTRANGE(""https://docs.google.com/spreadsheets/d/11tr1B-Bhyr79v2bkwVh5h_fR-PStkgjlZtkrZpYurG0/edit?usp=sharing"",""ชลบุรี!J348"")"),9)</f>
        <v>9</v>
      </c>
      <c r="Z56" s="177">
        <f ca="1">IFERROR(__xludf.DUMMYFUNCTION("IMPORTRANGE(""https://docs.google.com/spreadsheets/d/11tr1B-Bhyr79v2bkwVh5h_fR-PStkgjlZtkrZpYurG0/edit?usp=sharing"",""ชลบุรี!J349"")"),0)</f>
        <v>0</v>
      </c>
      <c r="AA56" s="177">
        <f ca="1">IFERROR(__xludf.DUMMYFUNCTION("IMPORTRANGE(""https://docs.google.com/spreadsheets/d/11tr1B-Bhyr79v2bkwVh5h_fR-PStkgjlZtkrZpYurG0/edit?usp=sharing"",""ชลบุรี!J352"")"),774)</f>
        <v>774</v>
      </c>
      <c r="AB56" s="177">
        <f ca="1">IFERROR(__xludf.DUMMYFUNCTION("IMPORTRANGE(""https://docs.google.com/spreadsheets/d/11tr1B-Bhyr79v2bkwVh5h_fR-PStkgjlZtkrZpYurG0/edit?usp=sharing"",""ชลบุรี!J353"")"),3868)</f>
        <v>3868</v>
      </c>
    </row>
    <row r="57" spans="1:28" ht="21" customHeight="1" x14ac:dyDescent="0.3">
      <c r="A57" s="89">
        <v>5</v>
      </c>
      <c r="B57" s="90" t="s">
        <v>83</v>
      </c>
      <c r="C57" s="174">
        <f t="shared" ca="1" si="19"/>
        <v>103000</v>
      </c>
      <c r="D57" s="175">
        <f t="shared" ca="1" si="42"/>
        <v>103000</v>
      </c>
      <c r="E57" s="176">
        <f ca="1">IFERROR(__xludf.DUMMYFUNCTION("IMPORTRANGE(""https://docs.google.com/spreadsheets/d/1-uDff_7J0KD5mKrp0Vvzr7lt3OU09vwQwhkpOPPYv2Y/edit?usp=sharing"",""งบพรบ!ET57"")"),0)</f>
        <v>0</v>
      </c>
      <c r="F57" s="176">
        <f ca="1">IFERROR(__xludf.DUMMYFUNCTION("IMPORTRANGE(""https://docs.google.com/spreadsheets/d/1-uDff_7J0KD5mKrp0Vvzr7lt3OU09vwQwhkpOPPYv2Y/edit?usp=sharing"",""งบพรบ!EU57"")"),103000)</f>
        <v>103000</v>
      </c>
      <c r="G57" s="176">
        <f ca="1">IFERROR(__xludf.DUMMYFUNCTION("IMPORTRANGE(""https://docs.google.com/spreadsheets/d/1-uDff_7J0KD5mKrp0Vvzr7lt3OU09vwQwhkpOPPYv2Y/edit?usp=sharing"",""งบพรบ!EV57"")"),0)</f>
        <v>0</v>
      </c>
      <c r="H57" s="176">
        <f ca="1">IFERROR(__xludf.DUMMYFUNCTION("IMPORTRANGE(""https://docs.google.com/spreadsheets/d/1-uDff_7J0KD5mKrp0Vvzr7lt3OU09vwQwhkpOPPYv2Y/edit?usp=sharing"",""งบพรบ!EX57"")"),108000)</f>
        <v>108000</v>
      </c>
      <c r="I57" s="176">
        <f ca="1">IFERROR(__xludf.DUMMYFUNCTION("IMPORTRANGE(""https://docs.google.com/spreadsheets/d/1-uDff_7J0KD5mKrp0Vvzr7lt3OU09vwQwhkpOPPYv2Y/edit?usp=sharing"",""งบพรบ!EY57"")"),0)</f>
        <v>0</v>
      </c>
      <c r="J57" s="176">
        <f t="shared" ca="1" si="21"/>
        <v>55887</v>
      </c>
      <c r="K57" s="179">
        <f t="shared" ca="1" si="22"/>
        <v>54.259223300970874</v>
      </c>
      <c r="L57" s="176">
        <f ca="1">IFERROR(__xludf.DUMMYFUNCTION("IMPORTRANGE(""https://docs.google.com/spreadsheets/d/1-uDff_7J0KD5mKrp0Vvzr7lt3OU09vwQwhkpOPPYv2Y/edit?usp=sharing"",""งบพรบ!EZ57"")"),55887)</f>
        <v>55887</v>
      </c>
      <c r="M57" s="87">
        <f t="shared" ca="1" si="23"/>
        <v>54.259223300970874</v>
      </c>
      <c r="N57" s="87">
        <f t="shared" ca="1" si="24"/>
        <v>51.74722222222222</v>
      </c>
      <c r="O57" s="86">
        <f ca="1">IFERROR(__xludf.DUMMYFUNCTION("IMPORTRANGE(""https://docs.google.com/spreadsheets/d/1-uDff_7J0KD5mKrp0Vvzr7lt3OU09vwQwhkpOPPYv2Y/edit?usp=sharing"",""งบพรบ!FA57"")"),0)</f>
        <v>0</v>
      </c>
      <c r="P57" s="86">
        <f t="shared" ca="1" si="25"/>
        <v>0</v>
      </c>
      <c r="Q57" s="87">
        <f t="shared" ca="1" si="26"/>
        <v>0</v>
      </c>
      <c r="R57" s="353">
        <f ca="1">IFERROR(__xludf.DUMMYFUNCTION("IMPORTRANGE(""https://docs.google.com/spreadsheets/d/1hh-FVnSX0vozXhGluamEcS54Dw9_zqW0N7qJUWgJ0Sw/edit?usp=sharing"",""ชัยนาท!I344"")"),540)</f>
        <v>540</v>
      </c>
      <c r="S57" s="177">
        <f ca="1">IFERROR(__xludf.DUMMYFUNCTION("IMPORTRANGE(""https://docs.google.com/spreadsheets/d/1hh-FVnSX0vozXhGluamEcS54Dw9_zqW0N7qJUWgJ0Sw/edit?usp=sharing"",""ชัยนาท!J344"")"),322)</f>
        <v>322</v>
      </c>
      <c r="T57" s="354">
        <f t="shared" ca="1" si="28"/>
        <v>59.629629629629626</v>
      </c>
      <c r="U57" s="353">
        <f ca="1">IFERROR(__xludf.DUMMYFUNCTION("IMPORTRANGE(""https://docs.google.com/spreadsheets/d/1hh-FVnSX0vozXhGluamEcS54Dw9_zqW0N7qJUWgJ0Sw/edit?usp=sharing"",""ชัยนาท!I346"")"),3)</f>
        <v>3</v>
      </c>
      <c r="V57" s="177">
        <f ca="1">IFERROR(__xludf.DUMMYFUNCTION("IMPORTRANGE(""https://docs.google.com/spreadsheets/d/1hh-FVnSX0vozXhGluamEcS54Dw9_zqW0N7qJUWgJ0Sw/edit?usp=sharing"",""ชัยนาท!J346"")"),7)</f>
        <v>7</v>
      </c>
      <c r="W57" s="354">
        <f t="shared" ca="1" si="30"/>
        <v>233.33333333333334</v>
      </c>
      <c r="X57" s="177">
        <f ca="1">IFERROR(__xludf.DUMMYFUNCTION("IMPORTRANGE(""https://docs.google.com/spreadsheets/d/1hh-FVnSX0vozXhGluamEcS54Dw9_zqW0N7qJUWgJ0Sw/edit?usp=sharing"",""ชัยนาท!J347"")"),0)</f>
        <v>0</v>
      </c>
      <c r="Y57" s="177">
        <f ca="1">IFERROR(__xludf.DUMMYFUNCTION("IMPORTRANGE(""https://docs.google.com/spreadsheets/d/1hh-FVnSX0vozXhGluamEcS54Dw9_zqW0N7qJUWgJ0Sw/edit?usp=sharing"",""ชัยนาท!J348"")"),3)</f>
        <v>3</v>
      </c>
      <c r="Z57" s="177">
        <f ca="1">IFERROR(__xludf.DUMMYFUNCTION("IMPORTRANGE(""https://docs.google.com/spreadsheets/d/1hh-FVnSX0vozXhGluamEcS54Dw9_zqW0N7qJUWgJ0Sw/edit?usp=sharing"",""ชัยนาท!J349"")"),0)</f>
        <v>0</v>
      </c>
      <c r="AA57" s="177">
        <f ca="1">IFERROR(__xludf.DUMMYFUNCTION("IMPORTRANGE(""https://docs.google.com/spreadsheets/d/1hh-FVnSX0vozXhGluamEcS54Dw9_zqW0N7qJUWgJ0Sw/edit?usp=sharing"",""ชัยนาท!J352"")"),1)</f>
        <v>1</v>
      </c>
      <c r="AB57" s="177">
        <f ca="1">IFERROR(__xludf.DUMMYFUNCTION("IMPORTRANGE(""https://docs.google.com/spreadsheets/d/1hh-FVnSX0vozXhGluamEcS54Dw9_zqW0N7qJUWgJ0Sw/edit?usp=sharing"",""ชัยนาท!J353"")"),1001)</f>
        <v>1001</v>
      </c>
    </row>
    <row r="58" spans="1:28" ht="21" customHeight="1" x14ac:dyDescent="0.3">
      <c r="A58" s="89">
        <v>6</v>
      </c>
      <c r="B58" s="90" t="s">
        <v>84</v>
      </c>
      <c r="C58" s="174">
        <f t="shared" ca="1" si="19"/>
        <v>216600</v>
      </c>
      <c r="D58" s="175">
        <f t="shared" ca="1" si="42"/>
        <v>216600</v>
      </c>
      <c r="E58" s="176">
        <f ca="1">IFERROR(__xludf.DUMMYFUNCTION("IMPORTRANGE(""https://docs.google.com/spreadsheets/d/1-uDff_7J0KD5mKrp0Vvzr7lt3OU09vwQwhkpOPPYv2Y/edit?usp=sharing"",""งบพรบ!ET58"")"),117600)</f>
        <v>117600</v>
      </c>
      <c r="F58" s="176">
        <f ca="1">IFERROR(__xludf.DUMMYFUNCTION("IMPORTRANGE(""https://docs.google.com/spreadsheets/d/1-uDff_7J0KD5mKrp0Vvzr7lt3OU09vwQwhkpOPPYv2Y/edit?usp=sharing"",""งบพรบ!EU58"")"),99000)</f>
        <v>99000</v>
      </c>
      <c r="G58" s="176">
        <f ca="1">IFERROR(__xludf.DUMMYFUNCTION("IMPORTRANGE(""https://docs.google.com/spreadsheets/d/1-uDff_7J0KD5mKrp0Vvzr7lt3OU09vwQwhkpOPPYv2Y/edit?usp=sharing"",""งบพรบ!EV58"")"),0)</f>
        <v>0</v>
      </c>
      <c r="H58" s="176">
        <f ca="1">IFERROR(__xludf.DUMMYFUNCTION("IMPORTRANGE(""https://docs.google.com/spreadsheets/d/1-uDff_7J0KD5mKrp0Vvzr7lt3OU09vwQwhkpOPPYv2Y/edit?usp=sharing"",""งบพรบ!EX58"")"),221600)</f>
        <v>221600</v>
      </c>
      <c r="I58" s="176">
        <f ca="1">IFERROR(__xludf.DUMMYFUNCTION("IMPORTRANGE(""https://docs.google.com/spreadsheets/d/1-uDff_7J0KD5mKrp0Vvzr7lt3OU09vwQwhkpOPPYv2Y/edit?usp=sharing"",""งบพรบ!EY58"")"),0)</f>
        <v>0</v>
      </c>
      <c r="J58" s="176">
        <f t="shared" ca="1" si="21"/>
        <v>72193</v>
      </c>
      <c r="K58" s="179">
        <f t="shared" ca="1" si="22"/>
        <v>33.330101569713761</v>
      </c>
      <c r="L58" s="176">
        <f ca="1">IFERROR(__xludf.DUMMYFUNCTION("IMPORTRANGE(""https://docs.google.com/spreadsheets/d/1-uDff_7J0KD5mKrp0Vvzr7lt3OU09vwQwhkpOPPYv2Y/edit?usp=sharing"",""งบพรบ!EZ58"")"),72193)</f>
        <v>72193</v>
      </c>
      <c r="M58" s="87">
        <f t="shared" ca="1" si="23"/>
        <v>33.330101569713761</v>
      </c>
      <c r="N58" s="87">
        <f t="shared" ca="1" si="24"/>
        <v>32.578068592057761</v>
      </c>
      <c r="O58" s="86">
        <f ca="1">IFERROR(__xludf.DUMMYFUNCTION("IMPORTRANGE(""https://docs.google.com/spreadsheets/d/1-uDff_7J0KD5mKrp0Vvzr7lt3OU09vwQwhkpOPPYv2Y/edit?usp=sharing"",""งบพรบ!FA58"")"),0)</f>
        <v>0</v>
      </c>
      <c r="P58" s="86">
        <f t="shared" ca="1" si="25"/>
        <v>0</v>
      </c>
      <c r="Q58" s="87">
        <f t="shared" ca="1" si="26"/>
        <v>0</v>
      </c>
      <c r="R58" s="353">
        <f ca="1">IFERROR(__xludf.DUMMYFUNCTION("IMPORTRANGE(""https://docs.google.com/spreadsheets/d/1jkqa6GXxSacMcY1eN8AHjMNJ_7dDXMJVRLDlaFSOdPM/edit?usp=sharing"",""ตราด!I344"")"),400)</f>
        <v>400</v>
      </c>
      <c r="S58" s="177">
        <f ca="1">IFERROR(__xludf.DUMMYFUNCTION("IMPORTRANGE(""https://docs.google.com/spreadsheets/d/1jkqa6GXxSacMcY1eN8AHjMNJ_7dDXMJVRLDlaFSOdPM/edit?usp=sharing"",""ตราด!J344"")"),593)</f>
        <v>593</v>
      </c>
      <c r="T58" s="354">
        <f t="shared" ca="1" si="28"/>
        <v>148.25</v>
      </c>
      <c r="U58" s="353">
        <f ca="1">IFERROR(__xludf.DUMMYFUNCTION("IMPORTRANGE(""https://docs.google.com/spreadsheets/d/1jkqa6GXxSacMcY1eN8AHjMNJ_7dDXMJVRLDlaFSOdPM/edit?usp=sharing"",""ตราด!I346"")"),1)</f>
        <v>1</v>
      </c>
      <c r="V58" s="177">
        <f ca="1">IFERROR(__xludf.DUMMYFUNCTION("IMPORTRANGE(""https://docs.google.com/spreadsheets/d/1jkqa6GXxSacMcY1eN8AHjMNJ_7dDXMJVRLDlaFSOdPM/edit?usp=sharing"",""ตราด!J346"")"),0)</f>
        <v>0</v>
      </c>
      <c r="W58" s="354">
        <f t="shared" ca="1" si="30"/>
        <v>0</v>
      </c>
      <c r="X58" s="177">
        <f ca="1">IFERROR(__xludf.DUMMYFUNCTION("IMPORTRANGE(""https://docs.google.com/spreadsheets/d/1jkqa6GXxSacMcY1eN8AHjMNJ_7dDXMJVRLDlaFSOdPM/edit?usp=sharing"",""ตราด!J347"")"),0)</f>
        <v>0</v>
      </c>
      <c r="Y58" s="177">
        <f ca="1">IFERROR(__xludf.DUMMYFUNCTION("IMPORTRANGE(""https://docs.google.com/spreadsheets/d/1jkqa6GXxSacMcY1eN8AHjMNJ_7dDXMJVRLDlaFSOdPM/edit?usp=sharing"",""ตราด!J348"")"),6)</f>
        <v>6</v>
      </c>
      <c r="Z58" s="177">
        <f ca="1">IFERROR(__xludf.DUMMYFUNCTION("IMPORTRANGE(""https://docs.google.com/spreadsheets/d/1jkqa6GXxSacMcY1eN8AHjMNJ_7dDXMJVRLDlaFSOdPM/edit?usp=sharing"",""ตราด!J349"")"),0)</f>
        <v>0</v>
      </c>
      <c r="AA58" s="177">
        <f ca="1">IFERROR(__xludf.DUMMYFUNCTION("IMPORTRANGE(""https://docs.google.com/spreadsheets/d/1jkqa6GXxSacMcY1eN8AHjMNJ_7dDXMJVRLDlaFSOdPM/edit?usp=sharing"",""ตราด!J352"")"),15)</f>
        <v>15</v>
      </c>
      <c r="AB58" s="177">
        <f ca="1">IFERROR(__xludf.DUMMYFUNCTION("IMPORTRANGE(""https://docs.google.com/spreadsheets/d/1jkqa6GXxSacMcY1eN8AHjMNJ_7dDXMJVRLDlaFSOdPM/edit?usp=sharing"",""ตราด!J353"")"),4140)</f>
        <v>4140</v>
      </c>
    </row>
    <row r="59" spans="1:28" ht="21" customHeight="1" x14ac:dyDescent="0.3">
      <c r="A59" s="89">
        <v>7</v>
      </c>
      <c r="B59" s="90" t="s">
        <v>85</v>
      </c>
      <c r="C59" s="174">
        <f t="shared" ca="1" si="19"/>
        <v>365000</v>
      </c>
      <c r="D59" s="175">
        <f t="shared" ca="1" si="42"/>
        <v>365000</v>
      </c>
      <c r="E59" s="176">
        <f ca="1">IFERROR(__xludf.DUMMYFUNCTION("IMPORTRANGE(""https://docs.google.com/spreadsheets/d/1-uDff_7J0KD5mKrp0Vvzr7lt3OU09vwQwhkpOPPYv2Y/edit?usp=sharing"",""งบพรบ!ET59"")"),266000)</f>
        <v>266000</v>
      </c>
      <c r="F59" s="176">
        <f ca="1">IFERROR(__xludf.DUMMYFUNCTION("IMPORTRANGE(""https://docs.google.com/spreadsheets/d/1-uDff_7J0KD5mKrp0Vvzr7lt3OU09vwQwhkpOPPYv2Y/edit?usp=sharing"",""งบพรบ!EU59"")"),99000)</f>
        <v>99000</v>
      </c>
      <c r="G59" s="176">
        <f ca="1">IFERROR(__xludf.DUMMYFUNCTION("IMPORTRANGE(""https://docs.google.com/spreadsheets/d/1-uDff_7J0KD5mKrp0Vvzr7lt3OU09vwQwhkpOPPYv2Y/edit?usp=sharing"",""งบพรบ!EV59"")"),0)</f>
        <v>0</v>
      </c>
      <c r="H59" s="176">
        <f ca="1">IFERROR(__xludf.DUMMYFUNCTION("IMPORTRANGE(""https://docs.google.com/spreadsheets/d/1-uDff_7J0KD5mKrp0Vvzr7lt3OU09vwQwhkpOPPYv2Y/edit?usp=sharing"",""งบพรบ!EX59"")"),370000)</f>
        <v>370000</v>
      </c>
      <c r="I59" s="176">
        <f ca="1">IFERROR(__xludf.DUMMYFUNCTION("IMPORTRANGE(""https://docs.google.com/spreadsheets/d/1-uDff_7J0KD5mKrp0Vvzr7lt3OU09vwQwhkpOPPYv2Y/edit?usp=sharing"",""งบพรบ!EY59"")"),0)</f>
        <v>0</v>
      </c>
      <c r="J59" s="176">
        <f t="shared" ca="1" si="21"/>
        <v>126000</v>
      </c>
      <c r="K59" s="179">
        <f t="shared" ca="1" si="22"/>
        <v>34.520547945205479</v>
      </c>
      <c r="L59" s="176">
        <f ca="1">IFERROR(__xludf.DUMMYFUNCTION("IMPORTRANGE(""https://docs.google.com/spreadsheets/d/1-uDff_7J0KD5mKrp0Vvzr7lt3OU09vwQwhkpOPPYv2Y/edit?usp=sharing"",""งบพรบ!EZ59"")"),126000)</f>
        <v>126000</v>
      </c>
      <c r="M59" s="87">
        <f t="shared" ca="1" si="23"/>
        <v>34.520547945205479</v>
      </c>
      <c r="N59" s="87">
        <f t="shared" ca="1" si="24"/>
        <v>34.054054054054056</v>
      </c>
      <c r="O59" s="86">
        <f ca="1">IFERROR(__xludf.DUMMYFUNCTION("IMPORTRANGE(""https://docs.google.com/spreadsheets/d/1-uDff_7J0KD5mKrp0Vvzr7lt3OU09vwQwhkpOPPYv2Y/edit?usp=sharing"",""งบพรบ!FA59"")"),0)</f>
        <v>0</v>
      </c>
      <c r="P59" s="86">
        <f t="shared" ca="1" si="25"/>
        <v>0</v>
      </c>
      <c r="Q59" s="87">
        <f t="shared" ca="1" si="26"/>
        <v>0</v>
      </c>
      <c r="R59" s="353">
        <f ca="1">IFERROR(__xludf.DUMMYFUNCTION("IMPORTRANGE(""https://docs.google.com/spreadsheets/d/18hSgUJ3VwClqi_qtULmmW3cLr0oe3OKaSYoKzdpTsYQ/edit?usp=sharing"",""นครนายก!I344"")"),400)</f>
        <v>400</v>
      </c>
      <c r="S59" s="177">
        <f ca="1">IFERROR(__xludf.DUMMYFUNCTION("IMPORTRANGE(""https://docs.google.com/spreadsheets/d/18hSgUJ3VwClqi_qtULmmW3cLr0oe3OKaSYoKzdpTsYQ/edit?usp=sharing"",""นครนายก!J344"")"),91)</f>
        <v>91</v>
      </c>
      <c r="T59" s="354">
        <f t="shared" ca="1" si="28"/>
        <v>22.75</v>
      </c>
      <c r="U59" s="353">
        <f ca="1">IFERROR(__xludf.DUMMYFUNCTION("IMPORTRANGE(""https://docs.google.com/spreadsheets/d/18hSgUJ3VwClqi_qtULmmW3cLr0oe3OKaSYoKzdpTsYQ/edit?usp=sharing"",""นครนายก!I346"")"),1)</f>
        <v>1</v>
      </c>
      <c r="V59" s="177">
        <f ca="1">IFERROR(__xludf.DUMMYFUNCTION("IMPORTRANGE(""https://docs.google.com/spreadsheets/d/18hSgUJ3VwClqi_qtULmmW3cLr0oe3OKaSYoKzdpTsYQ/edit?usp=sharing"",""นครนายก!J346"")"),0)</f>
        <v>0</v>
      </c>
      <c r="W59" s="354">
        <f t="shared" ca="1" si="30"/>
        <v>0</v>
      </c>
      <c r="X59" s="177">
        <f ca="1">IFERROR(__xludf.DUMMYFUNCTION("IMPORTRANGE(""https://docs.google.com/spreadsheets/d/18hSgUJ3VwClqi_qtULmmW3cLr0oe3OKaSYoKzdpTsYQ/edit?usp=sharing"",""นครนายก!J347"")"),0)</f>
        <v>0</v>
      </c>
      <c r="Y59" s="177">
        <f ca="1">IFERROR(__xludf.DUMMYFUNCTION("IMPORTRANGE(""https://docs.google.com/spreadsheets/d/18hSgUJ3VwClqi_qtULmmW3cLr0oe3OKaSYoKzdpTsYQ/edit?usp=sharing"",""นครนายก!J348"")"),0)</f>
        <v>0</v>
      </c>
      <c r="Z59" s="177">
        <f ca="1">IFERROR(__xludf.DUMMYFUNCTION("IMPORTRANGE(""https://docs.google.com/spreadsheets/d/18hSgUJ3VwClqi_qtULmmW3cLr0oe3OKaSYoKzdpTsYQ/edit?usp=sharing"",""นครนายก!J349"")"),0)</f>
        <v>0</v>
      </c>
      <c r="AA59" s="177">
        <f ca="1">IFERROR(__xludf.DUMMYFUNCTION("IMPORTRANGE(""https://docs.google.com/spreadsheets/d/18hSgUJ3VwClqi_qtULmmW3cLr0oe3OKaSYoKzdpTsYQ/edit?usp=sharing"",""นครนายก!J352"")"),6)</f>
        <v>6</v>
      </c>
      <c r="AB59" s="177">
        <f ca="1">IFERROR(__xludf.DUMMYFUNCTION("IMPORTRANGE(""https://docs.google.com/spreadsheets/d/18hSgUJ3VwClqi_qtULmmW3cLr0oe3OKaSYoKzdpTsYQ/edit?usp=sharing"",""นครนายก!J353"")"),115)</f>
        <v>115</v>
      </c>
    </row>
    <row r="60" spans="1:28" ht="21" customHeight="1" x14ac:dyDescent="0.3">
      <c r="A60" s="89">
        <v>8</v>
      </c>
      <c r="B60" s="90" t="s">
        <v>86</v>
      </c>
      <c r="C60" s="174">
        <f t="shared" ca="1" si="19"/>
        <v>283100</v>
      </c>
      <c r="D60" s="175">
        <f t="shared" ca="1" si="42"/>
        <v>283100</v>
      </c>
      <c r="E60" s="176">
        <f ca="1">IFERROR(__xludf.DUMMYFUNCTION("IMPORTRANGE(""https://docs.google.com/spreadsheets/d/1-uDff_7J0KD5mKrp0Vvzr7lt3OU09vwQwhkpOPPYv2Y/edit?usp=sharing"",""งบพรบ!ET60"")"),184100)</f>
        <v>184100</v>
      </c>
      <c r="F60" s="176">
        <f ca="1">IFERROR(__xludf.DUMMYFUNCTION("IMPORTRANGE(""https://docs.google.com/spreadsheets/d/1-uDff_7J0KD5mKrp0Vvzr7lt3OU09vwQwhkpOPPYv2Y/edit?usp=sharing"",""งบพรบ!EU60"")"),99000)</f>
        <v>99000</v>
      </c>
      <c r="G60" s="176">
        <f ca="1">IFERROR(__xludf.DUMMYFUNCTION("IMPORTRANGE(""https://docs.google.com/spreadsheets/d/1-uDff_7J0KD5mKrp0Vvzr7lt3OU09vwQwhkpOPPYv2Y/edit?usp=sharing"",""งบพรบ!EV60"")"),0)</f>
        <v>0</v>
      </c>
      <c r="H60" s="176">
        <f ca="1">IFERROR(__xludf.DUMMYFUNCTION("IMPORTRANGE(""https://docs.google.com/spreadsheets/d/1-uDff_7J0KD5mKrp0Vvzr7lt3OU09vwQwhkpOPPYv2Y/edit?usp=sharing"",""งบพรบ!EX60"")"),283100)</f>
        <v>283100</v>
      </c>
      <c r="I60" s="176">
        <f ca="1">IFERROR(__xludf.DUMMYFUNCTION("IMPORTRANGE(""https://docs.google.com/spreadsheets/d/1-uDff_7J0KD5mKrp0Vvzr7lt3OU09vwQwhkpOPPYv2Y/edit?usp=sharing"",""งบพรบ!EY60"")"),0)</f>
        <v>0</v>
      </c>
      <c r="J60" s="176">
        <f t="shared" ca="1" si="21"/>
        <v>77988</v>
      </c>
      <c r="K60" s="179">
        <f t="shared" ca="1" si="22"/>
        <v>27.547862945955494</v>
      </c>
      <c r="L60" s="176">
        <f ca="1">IFERROR(__xludf.DUMMYFUNCTION("IMPORTRANGE(""https://docs.google.com/spreadsheets/d/1-uDff_7J0KD5mKrp0Vvzr7lt3OU09vwQwhkpOPPYv2Y/edit?usp=sharing"",""งบพรบ!EZ60"")"),77988)</f>
        <v>77988</v>
      </c>
      <c r="M60" s="87">
        <f t="shared" ca="1" si="23"/>
        <v>27.547862945955494</v>
      </c>
      <c r="N60" s="87">
        <f t="shared" ca="1" si="24"/>
        <v>27.547862945955494</v>
      </c>
      <c r="O60" s="86">
        <f ca="1">IFERROR(__xludf.DUMMYFUNCTION("IMPORTRANGE(""https://docs.google.com/spreadsheets/d/1-uDff_7J0KD5mKrp0Vvzr7lt3OU09vwQwhkpOPPYv2Y/edit?usp=sharing"",""งบพรบ!FA60"")"),0)</f>
        <v>0</v>
      </c>
      <c r="P60" s="86">
        <f t="shared" ca="1" si="25"/>
        <v>0</v>
      </c>
      <c r="Q60" s="87">
        <f t="shared" ca="1" si="26"/>
        <v>0</v>
      </c>
      <c r="R60" s="353">
        <f ca="1">IFERROR(__xludf.DUMMYFUNCTION("IMPORTRANGE(""https://docs.google.com/spreadsheets/d/1YTZo6WM2dQ6Ix6FSdnL5P7uVnVKu40sxZu975tgG10E/edit?usp=sharing"",""นครปฐม!I344"")"),140)</f>
        <v>140</v>
      </c>
      <c r="S60" s="177">
        <f ca="1">IFERROR(__xludf.DUMMYFUNCTION("IMPORTRANGE(""https://docs.google.com/spreadsheets/d/1YTZo6WM2dQ6Ix6FSdnL5P7uVnVKu40sxZu975tgG10E/edit?usp=sharing"",""นครปฐม!J344"")"),65)</f>
        <v>65</v>
      </c>
      <c r="T60" s="354">
        <f t="shared" ca="1" si="28"/>
        <v>46.428571428571431</v>
      </c>
      <c r="U60" s="353">
        <f ca="1">IFERROR(__xludf.DUMMYFUNCTION("IMPORTRANGE(""https://docs.google.com/spreadsheets/d/1YTZo6WM2dQ6Ix6FSdnL5P7uVnVKu40sxZu975tgG10E/edit?usp=sharing"",""นครปฐม!I346"")"),1)</f>
        <v>1</v>
      </c>
      <c r="V60" s="177">
        <f ca="1">IFERROR(__xludf.DUMMYFUNCTION("IMPORTRANGE(""https://docs.google.com/spreadsheets/d/1YTZo6WM2dQ6Ix6FSdnL5P7uVnVKu40sxZu975tgG10E/edit?usp=sharing"",""นครปฐม!J346"")"),1)</f>
        <v>1</v>
      </c>
      <c r="W60" s="354">
        <f t="shared" ca="1" si="30"/>
        <v>100</v>
      </c>
      <c r="X60" s="177">
        <f ca="1">IFERROR(__xludf.DUMMYFUNCTION("IMPORTRANGE(""https://docs.google.com/spreadsheets/d/1YTZo6WM2dQ6Ix6FSdnL5P7uVnVKu40sxZu975tgG10E/edit?usp=sharing"",""นครปฐม!J347"")"),126)</f>
        <v>126</v>
      </c>
      <c r="Y60" s="177">
        <f ca="1">IFERROR(__xludf.DUMMYFUNCTION("IMPORTRANGE(""https://docs.google.com/spreadsheets/d/1YTZo6WM2dQ6Ix6FSdnL5P7uVnVKu40sxZu975tgG10E/edit?usp=sharing"",""นครปฐม!J348"")"),9)</f>
        <v>9</v>
      </c>
      <c r="Z60" s="177">
        <f ca="1">IFERROR(__xludf.DUMMYFUNCTION("IMPORTRANGE(""https://docs.google.com/spreadsheets/d/1YTZo6WM2dQ6Ix6FSdnL5P7uVnVKu40sxZu975tgG10E/edit?usp=sharing"",""นครปฐม!J349"")"),1)</f>
        <v>1</v>
      </c>
      <c r="AA60" s="177" t="str">
        <f ca="1">IFERROR(__xludf.DUMMYFUNCTION("IMPORTRANGE(""https://docs.google.com/spreadsheets/d/1YTZo6WM2dQ6Ix6FSdnL5P7uVnVKu40sxZu975tgG10E/edit?usp=sharing"",""นครปฐม!J352"")"),"")</f>
        <v/>
      </c>
      <c r="AB60" s="177" t="str">
        <f ca="1">IFERROR(__xludf.DUMMYFUNCTION("IMPORTRANGE(""https://docs.google.com/spreadsheets/d/1YTZo6WM2dQ6Ix6FSdnL5P7uVnVKu40sxZu975tgG10E/edit?usp=sharing"",""นครปฐม!J353"")"),"")</f>
        <v/>
      </c>
    </row>
    <row r="61" spans="1:28" ht="21" customHeight="1" x14ac:dyDescent="0.3">
      <c r="A61" s="89">
        <v>9</v>
      </c>
      <c r="B61" s="90" t="s">
        <v>87</v>
      </c>
      <c r="C61" s="174">
        <f t="shared" ca="1" si="19"/>
        <v>337200</v>
      </c>
      <c r="D61" s="175">
        <f t="shared" ca="1" si="42"/>
        <v>337200</v>
      </c>
      <c r="E61" s="176">
        <f ca="1">IFERROR(__xludf.DUMMYFUNCTION("IMPORTRANGE(""https://docs.google.com/spreadsheets/d/1-uDff_7J0KD5mKrp0Vvzr7lt3OU09vwQwhkpOPPYv2Y/edit?usp=sharing"",""งบพรบ!ET61"")"),235200)</f>
        <v>235200</v>
      </c>
      <c r="F61" s="176">
        <f ca="1">IFERROR(__xludf.DUMMYFUNCTION("IMPORTRANGE(""https://docs.google.com/spreadsheets/d/1-uDff_7J0KD5mKrp0Vvzr7lt3OU09vwQwhkpOPPYv2Y/edit?usp=sharing"",""งบพรบ!EU61"")"),102000)</f>
        <v>102000</v>
      </c>
      <c r="G61" s="176">
        <f ca="1">IFERROR(__xludf.DUMMYFUNCTION("IMPORTRANGE(""https://docs.google.com/spreadsheets/d/1-uDff_7J0KD5mKrp0Vvzr7lt3OU09vwQwhkpOPPYv2Y/edit?usp=sharing"",""งบพรบ!EV61"")"),0)</f>
        <v>0</v>
      </c>
      <c r="H61" s="176">
        <f ca="1">IFERROR(__xludf.DUMMYFUNCTION("IMPORTRANGE(""https://docs.google.com/spreadsheets/d/1-uDff_7J0KD5mKrp0Vvzr7lt3OU09vwQwhkpOPPYv2Y/edit?usp=sharing"",""งบพรบ!EX61"")"),337200)</f>
        <v>337200</v>
      </c>
      <c r="I61" s="176">
        <f ca="1">IFERROR(__xludf.DUMMYFUNCTION("IMPORTRANGE(""https://docs.google.com/spreadsheets/d/1-uDff_7J0KD5mKrp0Vvzr7lt3OU09vwQwhkpOPPYv2Y/edit?usp=sharing"",""งบพรบ!EY61"")"),0)</f>
        <v>0</v>
      </c>
      <c r="J61" s="176">
        <f t="shared" ca="1" si="21"/>
        <v>146679.96</v>
      </c>
      <c r="K61" s="179">
        <f t="shared" ca="1" si="22"/>
        <v>43.499395017793596</v>
      </c>
      <c r="L61" s="176">
        <f ca="1">IFERROR(__xludf.DUMMYFUNCTION("IMPORTRANGE(""https://docs.google.com/spreadsheets/d/1-uDff_7J0KD5mKrp0Vvzr7lt3OU09vwQwhkpOPPYv2Y/edit?usp=sharing"",""งบพรบ!EZ61"")"),146679.96)</f>
        <v>146679.96</v>
      </c>
      <c r="M61" s="87">
        <f t="shared" ca="1" si="23"/>
        <v>43.499395017793596</v>
      </c>
      <c r="N61" s="87">
        <f t="shared" ca="1" si="24"/>
        <v>43.499395017793596</v>
      </c>
      <c r="O61" s="86">
        <f ca="1">IFERROR(__xludf.DUMMYFUNCTION("IMPORTRANGE(""https://docs.google.com/spreadsheets/d/1-uDff_7J0KD5mKrp0Vvzr7lt3OU09vwQwhkpOPPYv2Y/edit?usp=sharing"",""งบพรบ!FA61"")"),0)</f>
        <v>0</v>
      </c>
      <c r="P61" s="86">
        <f t="shared" ca="1" si="25"/>
        <v>0</v>
      </c>
      <c r="Q61" s="87">
        <f t="shared" ca="1" si="26"/>
        <v>0</v>
      </c>
      <c r="R61" s="353">
        <f ca="1">IFERROR(__xludf.DUMMYFUNCTION("IMPORTRANGE(""https://docs.google.com/spreadsheets/d/1OYoGg4WDg5RIzwGeB10padOxJF9E_Vljuvvct_M7RDo/edit?usp=sharing"",""ปทุมธานี!I344"")"),940)</f>
        <v>940</v>
      </c>
      <c r="S61" s="177">
        <f ca="1">IFERROR(__xludf.DUMMYFUNCTION("IMPORTRANGE(""https://docs.google.com/spreadsheets/d/1OYoGg4WDg5RIzwGeB10padOxJF9E_Vljuvvct_M7RDo/edit?usp=sharing"",""ปทุมธานี!J344"")"),170)</f>
        <v>170</v>
      </c>
      <c r="T61" s="354">
        <f t="shared" ca="1" si="28"/>
        <v>18.085106382978722</v>
      </c>
      <c r="U61" s="353">
        <f ca="1">IFERROR(__xludf.DUMMYFUNCTION("IMPORTRANGE(""https://docs.google.com/spreadsheets/d/1OYoGg4WDg5RIzwGeB10padOxJF9E_Vljuvvct_M7RDo/edit?usp=sharing"",""ปทุมธานี!I346"")"),1)</f>
        <v>1</v>
      </c>
      <c r="V61" s="177">
        <f ca="1">IFERROR(__xludf.DUMMYFUNCTION("IMPORTRANGE(""https://docs.google.com/spreadsheets/d/1OYoGg4WDg5RIzwGeB10padOxJF9E_Vljuvvct_M7RDo/edit?usp=sharing"",""ปทุมธานี!J346"")"),8)</f>
        <v>8</v>
      </c>
      <c r="W61" s="354">
        <f t="shared" ca="1" si="30"/>
        <v>800</v>
      </c>
      <c r="X61" s="177">
        <f ca="1">IFERROR(__xludf.DUMMYFUNCTION("IMPORTRANGE(""https://docs.google.com/spreadsheets/d/1OYoGg4WDg5RIzwGeB10padOxJF9E_Vljuvvct_M7RDo/edit?usp=sharing"",""ปทุมธานี!J347"")"),599)</f>
        <v>599</v>
      </c>
      <c r="Y61" s="177">
        <f ca="1">IFERROR(__xludf.DUMMYFUNCTION("IMPORTRANGE(""https://docs.google.com/spreadsheets/d/1OYoGg4WDg5RIzwGeB10padOxJF9E_Vljuvvct_M7RDo/edit?usp=sharing"",""ปทุมธานี!J348"")"),26)</f>
        <v>26</v>
      </c>
      <c r="Z61" s="177">
        <f ca="1">IFERROR(__xludf.DUMMYFUNCTION("IMPORTRANGE(""https://docs.google.com/spreadsheets/d/1OYoGg4WDg5RIzwGeB10padOxJF9E_Vljuvvct_M7RDo/edit?usp=sharing"",""ปทุมธานี!J349"")"),0)</f>
        <v>0</v>
      </c>
      <c r="AA61" s="177" t="str">
        <f ca="1">IFERROR(__xludf.DUMMYFUNCTION("IMPORTRANGE(""https://docs.google.com/spreadsheets/d/1OYoGg4WDg5RIzwGeB10padOxJF9E_Vljuvvct_M7RDo/edit?usp=sharing"",""ปทุมธานี!J352"")"),"")</f>
        <v/>
      </c>
      <c r="AB61" s="177" t="str">
        <f ca="1">IFERROR(__xludf.DUMMYFUNCTION("IMPORTRANGE(""https://docs.google.com/spreadsheets/d/1OYoGg4WDg5RIzwGeB10padOxJF9E_Vljuvvct_M7RDo/edit?usp=sharing"",""ปทุมธานี!J353"")"),"")</f>
        <v/>
      </c>
    </row>
    <row r="62" spans="1:28" ht="21" customHeight="1" x14ac:dyDescent="0.3">
      <c r="A62" s="89">
        <v>10</v>
      </c>
      <c r="B62" s="90" t="s">
        <v>88</v>
      </c>
      <c r="C62" s="174">
        <f t="shared" ca="1" si="19"/>
        <v>218600</v>
      </c>
      <c r="D62" s="175">
        <f t="shared" ca="1" si="42"/>
        <v>218600</v>
      </c>
      <c r="E62" s="176">
        <f ca="1">IFERROR(__xludf.DUMMYFUNCTION("IMPORTRANGE(""https://docs.google.com/spreadsheets/d/1-uDff_7J0KD5mKrp0Vvzr7lt3OU09vwQwhkpOPPYv2Y/edit?usp=sharing"",""งบพรบ!ET62"")"),117600)</f>
        <v>117600</v>
      </c>
      <c r="F62" s="176">
        <f ca="1">IFERROR(__xludf.DUMMYFUNCTION("IMPORTRANGE(""https://docs.google.com/spreadsheets/d/1-uDff_7J0KD5mKrp0Vvzr7lt3OU09vwQwhkpOPPYv2Y/edit?usp=sharing"",""งบพรบ!EU62"")"),101000)</f>
        <v>101000</v>
      </c>
      <c r="G62" s="176">
        <f ca="1">IFERROR(__xludf.DUMMYFUNCTION("IMPORTRANGE(""https://docs.google.com/spreadsheets/d/1-uDff_7J0KD5mKrp0Vvzr7lt3OU09vwQwhkpOPPYv2Y/edit?usp=sharing"",""งบพรบ!EV62"")"),0)</f>
        <v>0</v>
      </c>
      <c r="H62" s="176">
        <f ca="1">IFERROR(__xludf.DUMMYFUNCTION("IMPORTRANGE(""https://docs.google.com/spreadsheets/d/1-uDff_7J0KD5mKrp0Vvzr7lt3OU09vwQwhkpOPPYv2Y/edit?usp=sharing"",""งบพรบ!EX62"")"),223600)</f>
        <v>223600</v>
      </c>
      <c r="I62" s="176">
        <f ca="1">IFERROR(__xludf.DUMMYFUNCTION("IMPORTRANGE(""https://docs.google.com/spreadsheets/d/1-uDff_7J0KD5mKrp0Vvzr7lt3OU09vwQwhkpOPPYv2Y/edit?usp=sharing"",""งบพรบ!EY62"")"),0)</f>
        <v>0</v>
      </c>
      <c r="J62" s="176">
        <f t="shared" ca="1" si="21"/>
        <v>103443.55</v>
      </c>
      <c r="K62" s="179">
        <f t="shared" ca="1" si="22"/>
        <v>47.320928636779506</v>
      </c>
      <c r="L62" s="176">
        <f ca="1">IFERROR(__xludf.DUMMYFUNCTION("IMPORTRANGE(""https://docs.google.com/spreadsheets/d/1-uDff_7J0KD5mKrp0Vvzr7lt3OU09vwQwhkpOPPYv2Y/edit?usp=sharing"",""งบพรบ!EZ62"")"),103443.55)</f>
        <v>103443.55</v>
      </c>
      <c r="M62" s="87">
        <f t="shared" ca="1" si="23"/>
        <v>47.320928636779506</v>
      </c>
      <c r="N62" s="87">
        <f t="shared" ca="1" si="24"/>
        <v>46.262768336314849</v>
      </c>
      <c r="O62" s="86">
        <f ca="1">IFERROR(__xludf.DUMMYFUNCTION("IMPORTRANGE(""https://docs.google.com/spreadsheets/d/1-uDff_7J0KD5mKrp0Vvzr7lt3OU09vwQwhkpOPPYv2Y/edit?usp=sharing"",""งบพรบ!FA62"")"),0)</f>
        <v>0</v>
      </c>
      <c r="P62" s="86">
        <f t="shared" ca="1" si="25"/>
        <v>0</v>
      </c>
      <c r="Q62" s="87">
        <f t="shared" ca="1" si="26"/>
        <v>0</v>
      </c>
      <c r="R62" s="353">
        <f ca="1">IFERROR(__xludf.DUMMYFUNCTION("IMPORTRANGE(""https://docs.google.com/spreadsheets/d/1GbCIE4D4wk9FUozzqk7SxfDMxDVBwVmI5zcaVUSzKAc/edit?usp=sharing"",""ประจวบคีรีขันธ์!I344"")"),540)</f>
        <v>540</v>
      </c>
      <c r="S62" s="177">
        <f ca="1">IFERROR(__xludf.DUMMYFUNCTION("IMPORTRANGE(""https://docs.google.com/spreadsheets/d/1GbCIE4D4wk9FUozzqk7SxfDMxDVBwVmI5zcaVUSzKAc/edit?usp=sharing"",""ประจวบคีรีขันธ์!J344"")"),160)</f>
        <v>160</v>
      </c>
      <c r="T62" s="354">
        <f t="shared" ca="1" si="28"/>
        <v>29.62962962962963</v>
      </c>
      <c r="U62" s="353">
        <f ca="1">IFERROR(__xludf.DUMMYFUNCTION("IMPORTRANGE(""https://docs.google.com/spreadsheets/d/1GbCIE4D4wk9FUozzqk7SxfDMxDVBwVmI5zcaVUSzKAc/edit?usp=sharing"",""ประจวบคีรีขันธ์!I346"")"),2)</f>
        <v>2</v>
      </c>
      <c r="V62" s="177">
        <f ca="1">IFERROR(__xludf.DUMMYFUNCTION("IMPORTRANGE(""https://docs.google.com/spreadsheets/d/1GbCIE4D4wk9FUozzqk7SxfDMxDVBwVmI5zcaVUSzKAc/edit?usp=sharing"",""ประจวบคีรีขันธ์!J346"")"),0)</f>
        <v>0</v>
      </c>
      <c r="W62" s="354">
        <f t="shared" ca="1" si="30"/>
        <v>0</v>
      </c>
      <c r="X62" s="177">
        <f ca="1">IFERROR(__xludf.DUMMYFUNCTION("IMPORTRANGE(""https://docs.google.com/spreadsheets/d/1GbCIE4D4wk9FUozzqk7SxfDMxDVBwVmI5zcaVUSzKAc/edit?usp=sharing"",""ประจวบคีรีขันธ์!J347"")"),0)</f>
        <v>0</v>
      </c>
      <c r="Y62" s="177">
        <f ca="1">IFERROR(__xludf.DUMMYFUNCTION("IMPORTRANGE(""https://docs.google.com/spreadsheets/d/1GbCIE4D4wk9FUozzqk7SxfDMxDVBwVmI5zcaVUSzKAc/edit?usp=sharing"",""ประจวบคีรีขันธ์!J348"")"),3)</f>
        <v>3</v>
      </c>
      <c r="Z62" s="177">
        <f ca="1">IFERROR(__xludf.DUMMYFUNCTION("IMPORTRANGE(""https://docs.google.com/spreadsheets/d/1GbCIE4D4wk9FUozzqk7SxfDMxDVBwVmI5zcaVUSzKAc/edit?usp=sharing"",""ประจวบคีรีขันธ์!J349"")"),0)</f>
        <v>0</v>
      </c>
      <c r="AA62" s="177">
        <f ca="1">IFERROR(__xludf.DUMMYFUNCTION("IMPORTRANGE(""https://docs.google.com/spreadsheets/d/1GbCIE4D4wk9FUozzqk7SxfDMxDVBwVmI5zcaVUSzKAc/edit?usp=sharing"",""ประจวบคีรีขันธ์!J352"")"),2358)</f>
        <v>2358</v>
      </c>
      <c r="AB62" s="177">
        <f ca="1">IFERROR(__xludf.DUMMYFUNCTION("IMPORTRANGE(""https://docs.google.com/spreadsheets/d/1GbCIE4D4wk9FUozzqk7SxfDMxDVBwVmI5zcaVUSzKAc/edit?usp=sharing"",""ประจวบคีรีขันธ์!J353"")"),780)</f>
        <v>780</v>
      </c>
    </row>
    <row r="63" spans="1:28" ht="21" customHeight="1" x14ac:dyDescent="0.3">
      <c r="A63" s="89">
        <v>11</v>
      </c>
      <c r="B63" s="90" t="s">
        <v>89</v>
      </c>
      <c r="C63" s="174">
        <f t="shared" ca="1" si="19"/>
        <v>101000</v>
      </c>
      <c r="D63" s="175">
        <f t="shared" ca="1" si="42"/>
        <v>101000</v>
      </c>
      <c r="E63" s="176">
        <f ca="1">IFERROR(__xludf.DUMMYFUNCTION("IMPORTRANGE(""https://docs.google.com/spreadsheets/d/1-uDff_7J0KD5mKrp0Vvzr7lt3OU09vwQwhkpOPPYv2Y/edit?usp=sharing"",""งบพรบ!ET63"")"),0)</f>
        <v>0</v>
      </c>
      <c r="F63" s="176">
        <f ca="1">IFERROR(__xludf.DUMMYFUNCTION("IMPORTRANGE(""https://docs.google.com/spreadsheets/d/1-uDff_7J0KD5mKrp0Vvzr7lt3OU09vwQwhkpOPPYv2Y/edit?usp=sharing"",""งบพรบ!EU63"")"),101000)</f>
        <v>101000</v>
      </c>
      <c r="G63" s="176">
        <f ca="1">IFERROR(__xludf.DUMMYFUNCTION("IMPORTRANGE(""https://docs.google.com/spreadsheets/d/1-uDff_7J0KD5mKrp0Vvzr7lt3OU09vwQwhkpOPPYv2Y/edit?usp=sharing"",""งบพรบ!EV63"")"),0)</f>
        <v>0</v>
      </c>
      <c r="H63" s="176">
        <f ca="1">IFERROR(__xludf.DUMMYFUNCTION("IMPORTRANGE(""https://docs.google.com/spreadsheets/d/1-uDff_7J0KD5mKrp0Vvzr7lt3OU09vwQwhkpOPPYv2Y/edit?usp=sharing"",""งบพรบ!EX63"")"),106000)</f>
        <v>106000</v>
      </c>
      <c r="I63" s="176">
        <f ca="1">IFERROR(__xludf.DUMMYFUNCTION("IMPORTRANGE(""https://docs.google.com/spreadsheets/d/1-uDff_7J0KD5mKrp0Vvzr7lt3OU09vwQwhkpOPPYv2Y/edit?usp=sharing"",""งบพรบ!EY63"")"),0)</f>
        <v>0</v>
      </c>
      <c r="J63" s="176">
        <f t="shared" ca="1" si="21"/>
        <v>42590</v>
      </c>
      <c r="K63" s="179">
        <f t="shared" ca="1" si="22"/>
        <v>42.168316831683171</v>
      </c>
      <c r="L63" s="176">
        <f ca="1">IFERROR(__xludf.DUMMYFUNCTION("IMPORTRANGE(""https://docs.google.com/spreadsheets/d/1-uDff_7J0KD5mKrp0Vvzr7lt3OU09vwQwhkpOPPYv2Y/edit?usp=sharing"",""งบพรบ!EZ63"")"),42590)</f>
        <v>42590</v>
      </c>
      <c r="M63" s="87">
        <f t="shared" ca="1" si="23"/>
        <v>42.168316831683171</v>
      </c>
      <c r="N63" s="87">
        <f t="shared" ca="1" si="24"/>
        <v>40.179245283018865</v>
      </c>
      <c r="O63" s="86">
        <f ca="1">IFERROR(__xludf.DUMMYFUNCTION("IMPORTRANGE(""https://docs.google.com/spreadsheets/d/1-uDff_7J0KD5mKrp0Vvzr7lt3OU09vwQwhkpOPPYv2Y/edit?usp=sharing"",""งบพรบ!FA63"")"),0)</f>
        <v>0</v>
      </c>
      <c r="P63" s="86">
        <f t="shared" ca="1" si="25"/>
        <v>0</v>
      </c>
      <c r="Q63" s="87">
        <f t="shared" ca="1" si="26"/>
        <v>0</v>
      </c>
      <c r="R63" s="353">
        <f ca="1">IFERROR(__xludf.DUMMYFUNCTION("IMPORTRANGE(""https://docs.google.com/spreadsheets/d/1vVf6wykvW_lAyu7Yo9L4hUTqHqIeP_qcVuxCtosJEbg/edit?usp=sharing"",""ปราจีนบุรี!I344"")"),660)</f>
        <v>660</v>
      </c>
      <c r="S63" s="177">
        <f ca="1">IFERROR(__xludf.DUMMYFUNCTION("IMPORTRANGE(""https://docs.google.com/spreadsheets/d/1vVf6wykvW_lAyu7Yo9L4hUTqHqIeP_qcVuxCtosJEbg/edit?usp=sharing"",""ปราจีนบุรี!J344"")"),541)</f>
        <v>541</v>
      </c>
      <c r="T63" s="354">
        <f t="shared" ca="1" si="28"/>
        <v>81.969696969696969</v>
      </c>
      <c r="U63" s="353">
        <f ca="1">IFERROR(__xludf.DUMMYFUNCTION("IMPORTRANGE(""https://docs.google.com/spreadsheets/d/1vVf6wykvW_lAyu7Yo9L4hUTqHqIeP_qcVuxCtosJEbg/edit?usp=sharing"",""ปราจีนบุรี!I346"")"),2)</f>
        <v>2</v>
      </c>
      <c r="V63" s="177">
        <f ca="1">IFERROR(__xludf.DUMMYFUNCTION("IMPORTRANGE(""https://docs.google.com/spreadsheets/d/1vVf6wykvW_lAyu7Yo9L4hUTqHqIeP_qcVuxCtosJEbg/edit?usp=sharing"",""ปราจีนบุรี!J346"")"),1)</f>
        <v>1</v>
      </c>
      <c r="W63" s="354">
        <f t="shared" ca="1" si="30"/>
        <v>50</v>
      </c>
      <c r="X63" s="177">
        <f ca="1">IFERROR(__xludf.DUMMYFUNCTION("IMPORTRANGE(""https://docs.google.com/spreadsheets/d/1vVf6wykvW_lAyu7Yo9L4hUTqHqIeP_qcVuxCtosJEbg/edit?usp=sharing"",""ปราจีนบุรี!J347"")"),0)</f>
        <v>0</v>
      </c>
      <c r="Y63" s="177">
        <f ca="1">IFERROR(__xludf.DUMMYFUNCTION("IMPORTRANGE(""https://docs.google.com/spreadsheets/d/1vVf6wykvW_lAyu7Yo9L4hUTqHqIeP_qcVuxCtosJEbg/edit?usp=sharing"",""ปราจีนบุรี!J348"")"),2)</f>
        <v>2</v>
      </c>
      <c r="Z63" s="177">
        <f ca="1">IFERROR(__xludf.DUMMYFUNCTION("IMPORTRANGE(""https://docs.google.com/spreadsheets/d/1vVf6wykvW_lAyu7Yo9L4hUTqHqIeP_qcVuxCtosJEbg/edit?usp=sharing"",""ปราจีนบุรี!J349"")"),0)</f>
        <v>0</v>
      </c>
      <c r="AA63" s="177">
        <f ca="1">IFERROR(__xludf.DUMMYFUNCTION("IMPORTRANGE(""https://docs.google.com/spreadsheets/d/1vVf6wykvW_lAyu7Yo9L4hUTqHqIeP_qcVuxCtosJEbg/edit?usp=sharing"",""ปราจีนบุรี!J352"")"),24)</f>
        <v>24</v>
      </c>
      <c r="AB63" s="177">
        <f ca="1">IFERROR(__xludf.DUMMYFUNCTION("IMPORTRANGE(""https://docs.google.com/spreadsheets/d/1vVf6wykvW_lAyu7Yo9L4hUTqHqIeP_qcVuxCtosJEbg/edit?usp=sharing"",""ปราจีนบุรี!J353"")"),1095)</f>
        <v>1095</v>
      </c>
    </row>
    <row r="64" spans="1:28" ht="21" customHeight="1" x14ac:dyDescent="0.3">
      <c r="A64" s="89">
        <v>12</v>
      </c>
      <c r="B64" s="90" t="s">
        <v>90</v>
      </c>
      <c r="C64" s="174">
        <f t="shared" ca="1" si="19"/>
        <v>351600</v>
      </c>
      <c r="D64" s="175">
        <f t="shared" ca="1" si="42"/>
        <v>351600</v>
      </c>
      <c r="E64" s="176">
        <f ca="1">IFERROR(__xludf.DUMMYFUNCTION("IMPORTRANGE(""https://docs.google.com/spreadsheets/d/1-uDff_7J0KD5mKrp0Vvzr7lt3OU09vwQwhkpOPPYv2Y/edit?usp=sharing"",""งบพรบ!ET64"")"),250600)</f>
        <v>250600</v>
      </c>
      <c r="F64" s="176">
        <f ca="1">IFERROR(__xludf.DUMMYFUNCTION("IMPORTRANGE(""https://docs.google.com/spreadsheets/d/1-uDff_7J0KD5mKrp0Vvzr7lt3OU09vwQwhkpOPPYv2Y/edit?usp=sharing"",""งบพรบ!EU64"")"),101000)</f>
        <v>101000</v>
      </c>
      <c r="G64" s="176">
        <f ca="1">IFERROR(__xludf.DUMMYFUNCTION("IMPORTRANGE(""https://docs.google.com/spreadsheets/d/1-uDff_7J0KD5mKrp0Vvzr7lt3OU09vwQwhkpOPPYv2Y/edit?usp=sharing"",""งบพรบ!EV64"")"),0)</f>
        <v>0</v>
      </c>
      <c r="H64" s="176">
        <f ca="1">IFERROR(__xludf.DUMMYFUNCTION("IMPORTRANGE(""https://docs.google.com/spreadsheets/d/1-uDff_7J0KD5mKrp0Vvzr7lt3OU09vwQwhkpOPPYv2Y/edit?usp=sharing"",""งบพรบ!EX64"")"),351600)</f>
        <v>351600</v>
      </c>
      <c r="I64" s="176">
        <f ca="1">IFERROR(__xludf.DUMMYFUNCTION("IMPORTRANGE(""https://docs.google.com/spreadsheets/d/1-uDff_7J0KD5mKrp0Vvzr7lt3OU09vwQwhkpOPPYv2Y/edit?usp=sharing"",""งบพรบ!EY64"")"),0)</f>
        <v>0</v>
      </c>
      <c r="J64" s="176">
        <f t="shared" ca="1" si="21"/>
        <v>126160</v>
      </c>
      <c r="K64" s="179">
        <f t="shared" ca="1" si="22"/>
        <v>35.881683731513085</v>
      </c>
      <c r="L64" s="176">
        <f ca="1">IFERROR(__xludf.DUMMYFUNCTION("IMPORTRANGE(""https://docs.google.com/spreadsheets/d/1-uDff_7J0KD5mKrp0Vvzr7lt3OU09vwQwhkpOPPYv2Y/edit?usp=sharing"",""งบพรบ!EZ64"")"),126160)</f>
        <v>126160</v>
      </c>
      <c r="M64" s="87">
        <f t="shared" ca="1" si="23"/>
        <v>35.881683731513085</v>
      </c>
      <c r="N64" s="87">
        <f t="shared" ca="1" si="24"/>
        <v>35.881683731513085</v>
      </c>
      <c r="O64" s="86">
        <f ca="1">IFERROR(__xludf.DUMMYFUNCTION("IMPORTRANGE(""https://docs.google.com/spreadsheets/d/1-uDff_7J0KD5mKrp0Vvzr7lt3OU09vwQwhkpOPPYv2Y/edit?usp=sharing"",""งบพรบ!FA64"")"),0)</f>
        <v>0</v>
      </c>
      <c r="P64" s="86">
        <f t="shared" ca="1" si="25"/>
        <v>0</v>
      </c>
      <c r="Q64" s="87">
        <f t="shared" ca="1" si="26"/>
        <v>0</v>
      </c>
      <c r="R64" s="353">
        <f ca="1">IFERROR(__xludf.DUMMYFUNCTION("IMPORTRANGE(""https://docs.google.com/spreadsheets/d/1BIDqLLg5jk3v59G8NlR8rk5xfQDKne0sAvZHSj7TI6I/edit?usp=sharing"",""พระนครศรีอยุธยา!I344"")"),540)</f>
        <v>540</v>
      </c>
      <c r="S64" s="177">
        <f ca="1">IFERROR(__xludf.DUMMYFUNCTION("IMPORTRANGE(""https://docs.google.com/spreadsheets/d/1BIDqLLg5jk3v59G8NlR8rk5xfQDKne0sAvZHSj7TI6I/edit?usp=sharing"",""พระนครศรีอยุธยา!J344"")"),715)</f>
        <v>715</v>
      </c>
      <c r="T64" s="354">
        <f t="shared" ca="1" si="28"/>
        <v>132.40740740740742</v>
      </c>
      <c r="U64" s="353">
        <f ca="1">IFERROR(__xludf.DUMMYFUNCTION("IMPORTRANGE(""https://docs.google.com/spreadsheets/d/1BIDqLLg5jk3v59G8NlR8rk5xfQDKne0sAvZHSj7TI6I/edit?usp=sharing"",""พระนครศรีอยุธยา!I346"")"),2)</f>
        <v>2</v>
      </c>
      <c r="V64" s="177">
        <f ca="1">IFERROR(__xludf.DUMMYFUNCTION("IMPORTRANGE(""https://docs.google.com/spreadsheets/d/1BIDqLLg5jk3v59G8NlR8rk5xfQDKne0sAvZHSj7TI6I/edit?usp=sharing"",""พระนครศรีอยุธยา!J346"")"),2)</f>
        <v>2</v>
      </c>
      <c r="W64" s="354">
        <f t="shared" ca="1" si="30"/>
        <v>100</v>
      </c>
      <c r="X64" s="177">
        <f ca="1">IFERROR(__xludf.DUMMYFUNCTION("IMPORTRANGE(""https://docs.google.com/spreadsheets/d/1BIDqLLg5jk3v59G8NlR8rk5xfQDKne0sAvZHSj7TI6I/edit?usp=sharing"",""พระนครศรีอยุธยา!J347"")"),108)</f>
        <v>108</v>
      </c>
      <c r="Y64" s="177">
        <f ca="1">IFERROR(__xludf.DUMMYFUNCTION("IMPORTRANGE(""https://docs.google.com/spreadsheets/d/1BIDqLLg5jk3v59G8NlR8rk5xfQDKne0sAvZHSj7TI6I/edit?usp=sharing"",""พระนครศรีอยุธยา!J348"")"),12)</f>
        <v>12</v>
      </c>
      <c r="Z64" s="177">
        <f ca="1">IFERROR(__xludf.DUMMYFUNCTION("IMPORTRANGE(""https://docs.google.com/spreadsheets/d/1BIDqLLg5jk3v59G8NlR8rk5xfQDKne0sAvZHSj7TI6I/edit?usp=sharing"",""พระนครศรีอยุธยา!J349"")"),0)</f>
        <v>0</v>
      </c>
      <c r="AA64" s="177" t="str">
        <f ca="1">IFERROR(__xludf.DUMMYFUNCTION("IMPORTRANGE(""https://docs.google.com/spreadsheets/d/1BIDqLLg5jk3v59G8NlR8rk5xfQDKne0sAvZHSj7TI6I/edit?usp=sharing"",""พระนครศรีอยุธยา!J352"")"),"")</f>
        <v/>
      </c>
      <c r="AB64" s="177" t="str">
        <f ca="1">IFERROR(__xludf.DUMMYFUNCTION("IMPORTRANGE(""https://docs.google.com/spreadsheets/d/1BIDqLLg5jk3v59G8NlR8rk5xfQDKne0sAvZHSj7TI6I/edit?usp=sharing"",""พระนครศรีอยุธยา!J353"")"),"")</f>
        <v/>
      </c>
    </row>
    <row r="65" spans="1:28" ht="21" customHeight="1" x14ac:dyDescent="0.3">
      <c r="A65" s="89">
        <v>13</v>
      </c>
      <c r="B65" s="90" t="s">
        <v>91</v>
      </c>
      <c r="C65" s="174">
        <f t="shared" ca="1" si="19"/>
        <v>220600</v>
      </c>
      <c r="D65" s="175">
        <f t="shared" ca="1" si="42"/>
        <v>220600</v>
      </c>
      <c r="E65" s="176">
        <f ca="1">IFERROR(__xludf.DUMMYFUNCTION("IMPORTRANGE(""https://docs.google.com/spreadsheets/d/1-uDff_7J0KD5mKrp0Vvzr7lt3OU09vwQwhkpOPPYv2Y/edit?usp=sharing"",""งบพรบ!ET65"")"),117600)</f>
        <v>117600</v>
      </c>
      <c r="F65" s="176">
        <f ca="1">IFERROR(__xludf.DUMMYFUNCTION("IMPORTRANGE(""https://docs.google.com/spreadsheets/d/1-uDff_7J0KD5mKrp0Vvzr7lt3OU09vwQwhkpOPPYv2Y/edit?usp=sharing"",""งบพรบ!EU65"")"),103000)</f>
        <v>103000</v>
      </c>
      <c r="G65" s="176">
        <f ca="1">IFERROR(__xludf.DUMMYFUNCTION("IMPORTRANGE(""https://docs.google.com/spreadsheets/d/1-uDff_7J0KD5mKrp0Vvzr7lt3OU09vwQwhkpOPPYv2Y/edit?usp=sharing"",""งบพรบ!EV65"")"),0)</f>
        <v>0</v>
      </c>
      <c r="H65" s="176">
        <f ca="1">IFERROR(__xludf.DUMMYFUNCTION("IMPORTRANGE(""https://docs.google.com/spreadsheets/d/1-uDff_7J0KD5mKrp0Vvzr7lt3OU09vwQwhkpOPPYv2Y/edit?usp=sharing"",""งบพรบ!EX65"")"),225600)</f>
        <v>225600</v>
      </c>
      <c r="I65" s="176">
        <f ca="1">IFERROR(__xludf.DUMMYFUNCTION("IMPORTRANGE(""https://docs.google.com/spreadsheets/d/1-uDff_7J0KD5mKrp0Vvzr7lt3OU09vwQwhkpOPPYv2Y/edit?usp=sharing"",""งบพรบ!EY65"")"),0)</f>
        <v>0</v>
      </c>
      <c r="J65" s="176">
        <f t="shared" ca="1" si="21"/>
        <v>107440</v>
      </c>
      <c r="K65" s="179">
        <f t="shared" ca="1" si="22"/>
        <v>48.703535811423393</v>
      </c>
      <c r="L65" s="176">
        <f ca="1">IFERROR(__xludf.DUMMYFUNCTION("IMPORTRANGE(""https://docs.google.com/spreadsheets/d/1-uDff_7J0KD5mKrp0Vvzr7lt3OU09vwQwhkpOPPYv2Y/edit?usp=sharing"",""งบพรบ!EZ65"")"),107440)</f>
        <v>107440</v>
      </c>
      <c r="M65" s="87">
        <f t="shared" ca="1" si="23"/>
        <v>48.703535811423393</v>
      </c>
      <c r="N65" s="87">
        <f t="shared" ca="1" si="24"/>
        <v>47.624113475177303</v>
      </c>
      <c r="O65" s="86">
        <f ca="1">IFERROR(__xludf.DUMMYFUNCTION("IMPORTRANGE(""https://docs.google.com/spreadsheets/d/1-uDff_7J0KD5mKrp0Vvzr7lt3OU09vwQwhkpOPPYv2Y/edit?usp=sharing"",""งบพรบ!FA65"")"),0)</f>
        <v>0</v>
      </c>
      <c r="P65" s="86">
        <f t="shared" ca="1" si="25"/>
        <v>0</v>
      </c>
      <c r="Q65" s="87">
        <f t="shared" ca="1" si="26"/>
        <v>0</v>
      </c>
      <c r="R65" s="353">
        <f ca="1">IFERROR(__xludf.DUMMYFUNCTION("IMPORTRANGE(""https://docs.google.com/spreadsheets/d/1YXvxf8Yu6_rV4hTBrwMqAcAnv6DfhUxh5emyM3CJp_w/edit?usp=sharing"",""เพชรบุรี!I344"")"),460)</f>
        <v>460</v>
      </c>
      <c r="S65" s="177">
        <f ca="1">IFERROR(__xludf.DUMMYFUNCTION("IMPORTRANGE(""https://docs.google.com/spreadsheets/d/1YXvxf8Yu6_rV4hTBrwMqAcAnv6DfhUxh5emyM3CJp_w/edit?usp=sharing"",""เพชรบุรี!J344"")"),132)</f>
        <v>132</v>
      </c>
      <c r="T65" s="354">
        <f t="shared" ca="1" si="28"/>
        <v>28.695652173913043</v>
      </c>
      <c r="U65" s="353">
        <f ca="1">IFERROR(__xludf.DUMMYFUNCTION("IMPORTRANGE(""https://docs.google.com/spreadsheets/d/1YXvxf8Yu6_rV4hTBrwMqAcAnv6DfhUxh5emyM3CJp_w/edit?usp=sharing"",""เพชรบุรี!I346"")"),3)</f>
        <v>3</v>
      </c>
      <c r="V65" s="177">
        <f ca="1">IFERROR(__xludf.DUMMYFUNCTION("IMPORTRANGE(""https://docs.google.com/spreadsheets/d/1YXvxf8Yu6_rV4hTBrwMqAcAnv6DfhUxh5emyM3CJp_w/edit?usp=sharing"",""เพชรบุรี!J346"")"),2)</f>
        <v>2</v>
      </c>
      <c r="W65" s="354">
        <f t="shared" ca="1" si="30"/>
        <v>66.666666666666671</v>
      </c>
      <c r="X65" s="177">
        <f ca="1">IFERROR(__xludf.DUMMYFUNCTION("IMPORTRANGE(""https://docs.google.com/spreadsheets/d/1YXvxf8Yu6_rV4hTBrwMqAcAnv6DfhUxh5emyM3CJp_w/edit?usp=sharing"",""เพชรบุรี!J347"")"),46)</f>
        <v>46</v>
      </c>
      <c r="Y65" s="177">
        <f ca="1">IFERROR(__xludf.DUMMYFUNCTION("IMPORTRANGE(""https://docs.google.com/spreadsheets/d/1YXvxf8Yu6_rV4hTBrwMqAcAnv6DfhUxh5emyM3CJp_w/edit?usp=sharing"",""เพชรบุรี!J348"")"),14)</f>
        <v>14</v>
      </c>
      <c r="Z65" s="177">
        <f ca="1">IFERROR(__xludf.DUMMYFUNCTION("IMPORTRANGE(""https://docs.google.com/spreadsheets/d/1YXvxf8Yu6_rV4hTBrwMqAcAnv6DfhUxh5emyM3CJp_w/edit?usp=sharing"",""เพชรบุรี!J349"")"),0)</f>
        <v>0</v>
      </c>
      <c r="AA65" s="177">
        <f ca="1">IFERROR(__xludf.DUMMYFUNCTION("IMPORTRANGE(""https://docs.google.com/spreadsheets/d/1YXvxf8Yu6_rV4hTBrwMqAcAnv6DfhUxh5emyM3CJp_w/edit?usp=sharing"",""เพชรบุรี!J352"")"),12)</f>
        <v>12</v>
      </c>
      <c r="AB65" s="177">
        <f ca="1">IFERROR(__xludf.DUMMYFUNCTION("IMPORTRANGE(""https://docs.google.com/spreadsheets/d/1YXvxf8Yu6_rV4hTBrwMqAcAnv6DfhUxh5emyM3CJp_w/edit?usp=sharing"",""เพชรบุรี!J353"")"),912)</f>
        <v>912</v>
      </c>
    </row>
    <row r="66" spans="1:28" ht="21" customHeight="1" x14ac:dyDescent="0.3">
      <c r="A66" s="89">
        <v>14</v>
      </c>
      <c r="B66" s="90" t="s">
        <v>92</v>
      </c>
      <c r="C66" s="174">
        <f t="shared" ca="1" si="19"/>
        <v>150100</v>
      </c>
      <c r="D66" s="175">
        <f t="shared" ca="1" si="42"/>
        <v>150100</v>
      </c>
      <c r="E66" s="176">
        <f ca="1">IFERROR(__xludf.DUMMYFUNCTION("IMPORTRANGE(""https://docs.google.com/spreadsheets/d/1-uDff_7J0KD5mKrp0Vvzr7lt3OU09vwQwhkpOPPYv2Y/edit?usp=sharing"",""งบพรบ!ET66"")"),51100)</f>
        <v>51100</v>
      </c>
      <c r="F66" s="176">
        <f ca="1">IFERROR(__xludf.DUMMYFUNCTION("IMPORTRANGE(""https://docs.google.com/spreadsheets/d/1-uDff_7J0KD5mKrp0Vvzr7lt3OU09vwQwhkpOPPYv2Y/edit?usp=sharing"",""งบพรบ!EU66"")"),99000)</f>
        <v>99000</v>
      </c>
      <c r="G66" s="176">
        <f ca="1">IFERROR(__xludf.DUMMYFUNCTION("IMPORTRANGE(""https://docs.google.com/spreadsheets/d/1-uDff_7J0KD5mKrp0Vvzr7lt3OU09vwQwhkpOPPYv2Y/edit?usp=sharing"",""งบพรบ!EV66"")"),0)</f>
        <v>0</v>
      </c>
      <c r="H66" s="176">
        <f ca="1">IFERROR(__xludf.DUMMYFUNCTION("IMPORTRANGE(""https://docs.google.com/spreadsheets/d/1-uDff_7J0KD5mKrp0Vvzr7lt3OU09vwQwhkpOPPYv2Y/edit?usp=sharing"",""งบพรบ!EX66"")"),155100)</f>
        <v>155100</v>
      </c>
      <c r="I66" s="176">
        <f ca="1">IFERROR(__xludf.DUMMYFUNCTION("IMPORTRANGE(""https://docs.google.com/spreadsheets/d/1-uDff_7J0KD5mKrp0Vvzr7lt3OU09vwQwhkpOPPYv2Y/edit?usp=sharing"",""งบพรบ!EY66"")"),0)</f>
        <v>0</v>
      </c>
      <c r="J66" s="176">
        <f t="shared" ca="1" si="21"/>
        <v>79553.11</v>
      </c>
      <c r="K66" s="179">
        <f t="shared" ca="1" si="22"/>
        <v>53.000073284477018</v>
      </c>
      <c r="L66" s="176">
        <f ca="1">IFERROR(__xludf.DUMMYFUNCTION("IMPORTRANGE(""https://docs.google.com/spreadsheets/d/1-uDff_7J0KD5mKrp0Vvzr7lt3OU09vwQwhkpOPPYv2Y/edit?usp=sharing"",""งบพรบ!EZ66"")"),79553.11)</f>
        <v>79553.11</v>
      </c>
      <c r="M66" s="87">
        <f t="shared" ca="1" si="23"/>
        <v>53.000073284477018</v>
      </c>
      <c r="N66" s="87">
        <f t="shared" ca="1" si="24"/>
        <v>51.291495809155386</v>
      </c>
      <c r="O66" s="86">
        <f ca="1">IFERROR(__xludf.DUMMYFUNCTION("IMPORTRANGE(""https://docs.google.com/spreadsheets/d/1-uDff_7J0KD5mKrp0Vvzr7lt3OU09vwQwhkpOPPYv2Y/edit?usp=sharing"",""งบพรบ!FA66"")"),0)</f>
        <v>0</v>
      </c>
      <c r="P66" s="86">
        <f t="shared" ca="1" si="25"/>
        <v>0</v>
      </c>
      <c r="Q66" s="87">
        <f t="shared" ca="1" si="26"/>
        <v>0</v>
      </c>
      <c r="R66" s="353">
        <f ca="1">IFERROR(__xludf.DUMMYFUNCTION("IMPORTRANGE(""https://docs.google.com/spreadsheets/d/19KBlQQs7uwvsao6t2n-KvW3Ax8J8uRRfZPq1zPbXgKc/edit?usp=sharing"",""ระยอง!I344"")"),260)</f>
        <v>260</v>
      </c>
      <c r="S66" s="177">
        <f ca="1">IFERROR(__xludf.DUMMYFUNCTION("IMPORTRANGE(""https://docs.google.com/spreadsheets/d/19KBlQQs7uwvsao6t2n-KvW3Ax8J8uRRfZPq1zPbXgKc/edit?usp=sharing"",""ระยอง!J344"")"),76)</f>
        <v>76</v>
      </c>
      <c r="T66" s="354">
        <f t="shared" ca="1" si="28"/>
        <v>29.23076923076923</v>
      </c>
      <c r="U66" s="353">
        <f ca="1">IFERROR(__xludf.DUMMYFUNCTION("IMPORTRANGE(""https://docs.google.com/spreadsheets/d/19KBlQQs7uwvsao6t2n-KvW3Ax8J8uRRfZPq1zPbXgKc/edit?usp=sharing"",""ระยอง!I346"")"),1)</f>
        <v>1</v>
      </c>
      <c r="V66" s="177">
        <f ca="1">IFERROR(__xludf.DUMMYFUNCTION("IMPORTRANGE(""https://docs.google.com/spreadsheets/d/19KBlQQs7uwvsao6t2n-KvW3Ax8J8uRRfZPq1zPbXgKc/edit?usp=sharing"",""ระยอง!J346"")"),1)</f>
        <v>1</v>
      </c>
      <c r="W66" s="354">
        <f t="shared" ca="1" si="30"/>
        <v>100</v>
      </c>
      <c r="X66" s="177">
        <f ca="1">IFERROR(__xludf.DUMMYFUNCTION("IMPORTRANGE(""https://docs.google.com/spreadsheets/d/19KBlQQs7uwvsao6t2n-KvW3Ax8J8uRRfZPq1zPbXgKc/edit?usp=sharing"",""ระยอง!J347"")"),0)</f>
        <v>0</v>
      </c>
      <c r="Y66" s="177">
        <f ca="1">IFERROR(__xludf.DUMMYFUNCTION("IMPORTRANGE(""https://docs.google.com/spreadsheets/d/19KBlQQs7uwvsao6t2n-KvW3Ax8J8uRRfZPq1zPbXgKc/edit?usp=sharing"",""ระยอง!J348"")"),4)</f>
        <v>4</v>
      </c>
      <c r="Z66" s="177">
        <f ca="1">IFERROR(__xludf.DUMMYFUNCTION("IMPORTRANGE(""https://docs.google.com/spreadsheets/d/19KBlQQs7uwvsao6t2n-KvW3Ax8J8uRRfZPq1zPbXgKc/edit?usp=sharing"",""ระยอง!J349"")"),0)</f>
        <v>0</v>
      </c>
      <c r="AA66" s="177">
        <f ca="1">IFERROR(__xludf.DUMMYFUNCTION("IMPORTRANGE(""https://docs.google.com/spreadsheets/d/19KBlQQs7uwvsao6t2n-KvW3Ax8J8uRRfZPq1zPbXgKc/edit?usp=sharing"",""ระยอง!J352"")"),101)</f>
        <v>101</v>
      </c>
      <c r="AB66" s="177">
        <f ca="1">IFERROR(__xludf.DUMMYFUNCTION("IMPORTRANGE(""https://docs.google.com/spreadsheets/d/19KBlQQs7uwvsao6t2n-KvW3Ax8J8uRRfZPq1zPbXgKc/edit?usp=sharing"",""ระยอง!J353"")"),1062)</f>
        <v>1062</v>
      </c>
    </row>
    <row r="67" spans="1:28" ht="21" customHeight="1" x14ac:dyDescent="0.3">
      <c r="A67" s="89">
        <v>15</v>
      </c>
      <c r="B67" s="90" t="s">
        <v>93</v>
      </c>
      <c r="C67" s="174">
        <f t="shared" ca="1" si="19"/>
        <v>108000</v>
      </c>
      <c r="D67" s="175">
        <f t="shared" ca="1" si="42"/>
        <v>108000</v>
      </c>
      <c r="E67" s="176">
        <f ca="1">IFERROR(__xludf.DUMMYFUNCTION("IMPORTRANGE(""https://docs.google.com/spreadsheets/d/1-uDff_7J0KD5mKrp0Vvzr7lt3OU09vwQwhkpOPPYv2Y/edit?usp=sharing"",""งบพรบ!ET67"")"),0)</f>
        <v>0</v>
      </c>
      <c r="F67" s="176">
        <f ca="1">IFERROR(__xludf.DUMMYFUNCTION("IMPORTRANGE(""https://docs.google.com/spreadsheets/d/1-uDff_7J0KD5mKrp0Vvzr7lt3OU09vwQwhkpOPPYv2Y/edit?usp=sharing"",""งบพรบ!EU67"")"),108000)</f>
        <v>108000</v>
      </c>
      <c r="G67" s="176">
        <f ca="1">IFERROR(__xludf.DUMMYFUNCTION("IMPORTRANGE(""https://docs.google.com/spreadsheets/d/1-uDff_7J0KD5mKrp0Vvzr7lt3OU09vwQwhkpOPPYv2Y/edit?usp=sharing"",""งบพรบ!EV67"")"),0)</f>
        <v>0</v>
      </c>
      <c r="H67" s="176">
        <f ca="1">IFERROR(__xludf.DUMMYFUNCTION("IMPORTRANGE(""https://docs.google.com/spreadsheets/d/1-uDff_7J0KD5mKrp0Vvzr7lt3OU09vwQwhkpOPPYv2Y/edit?usp=sharing"",""งบพรบ!EX67"")"),113000)</f>
        <v>113000</v>
      </c>
      <c r="I67" s="176">
        <f ca="1">IFERROR(__xludf.DUMMYFUNCTION("IMPORTRANGE(""https://docs.google.com/spreadsheets/d/1-uDff_7J0KD5mKrp0Vvzr7lt3OU09vwQwhkpOPPYv2Y/edit?usp=sharing"",""งบพรบ!EY67"")"),0)</f>
        <v>0</v>
      </c>
      <c r="J67" s="176">
        <f t="shared" ca="1" si="21"/>
        <v>55390</v>
      </c>
      <c r="K67" s="179">
        <f t="shared" ca="1" si="22"/>
        <v>51.287037037037038</v>
      </c>
      <c r="L67" s="176">
        <f ca="1">IFERROR(__xludf.DUMMYFUNCTION("IMPORTRANGE(""https://docs.google.com/spreadsheets/d/1-uDff_7J0KD5mKrp0Vvzr7lt3OU09vwQwhkpOPPYv2Y/edit?usp=sharing"",""งบพรบ!EZ67"")"),55390)</f>
        <v>55390</v>
      </c>
      <c r="M67" s="87">
        <f t="shared" ca="1" si="23"/>
        <v>51.287037037037038</v>
      </c>
      <c r="N67" s="87">
        <f t="shared" ca="1" si="24"/>
        <v>49.017699115044245</v>
      </c>
      <c r="O67" s="86">
        <f ca="1">IFERROR(__xludf.DUMMYFUNCTION("IMPORTRANGE(""https://docs.google.com/spreadsheets/d/1-uDff_7J0KD5mKrp0Vvzr7lt3OU09vwQwhkpOPPYv2Y/edit?usp=sharing"",""งบพรบ!FA67"")"),0)</f>
        <v>0</v>
      </c>
      <c r="P67" s="86">
        <f t="shared" ca="1" si="25"/>
        <v>0</v>
      </c>
      <c r="Q67" s="87">
        <f t="shared" ca="1" si="26"/>
        <v>0</v>
      </c>
      <c r="R67" s="355">
        <f ca="1">IFERROR(__xludf.DUMMYFUNCTION("IMPORTRANGE(""https://docs.google.com/spreadsheets/d/1jQ6P4QcrGM89YfqcC_PxOHGCMq5ezhucwJd8ci-NHng/edit?usp=sharing"",""ราชบุรี!I344"")"),1060)</f>
        <v>1060</v>
      </c>
      <c r="S67" s="177">
        <f ca="1">IFERROR(__xludf.DUMMYFUNCTION("IMPORTRANGE(""https://docs.google.com/spreadsheets/d/1jQ6P4QcrGM89YfqcC_PxOHGCMq5ezhucwJd8ci-NHng/edit?usp=sharing"",""ราชบุรี!J344"")"),1383)</f>
        <v>1383</v>
      </c>
      <c r="T67" s="354">
        <f t="shared" ca="1" si="28"/>
        <v>130.47169811320754</v>
      </c>
      <c r="U67" s="355">
        <f ca="1">IFERROR(__xludf.DUMMYFUNCTION("IMPORTRANGE(""https://docs.google.com/spreadsheets/d/1jQ6P4QcrGM89YfqcC_PxOHGCMq5ezhucwJd8ci-NHng/edit?usp=sharing"",""ราชบุรี!I346"")"),4)</f>
        <v>4</v>
      </c>
      <c r="V67" s="177">
        <f ca="1">IFERROR(__xludf.DUMMYFUNCTION("IMPORTRANGE(""https://docs.google.com/spreadsheets/d/1jQ6P4QcrGM89YfqcC_PxOHGCMq5ezhucwJd8ci-NHng/edit?usp=sharing"",""ราชบุรี!J346"")"),4)</f>
        <v>4</v>
      </c>
      <c r="W67" s="354">
        <f t="shared" ca="1" si="30"/>
        <v>100</v>
      </c>
      <c r="X67" s="177">
        <f ca="1">IFERROR(__xludf.DUMMYFUNCTION("IMPORTRANGE(""https://docs.google.com/spreadsheets/d/1jQ6P4QcrGM89YfqcC_PxOHGCMq5ezhucwJd8ci-NHng/edit?usp=sharing"",""ราชบุรี!J347"")"),0)</f>
        <v>0</v>
      </c>
      <c r="Y67" s="177">
        <f ca="1">IFERROR(__xludf.DUMMYFUNCTION("IMPORTRANGE(""https://docs.google.com/spreadsheets/d/1jQ6P4QcrGM89YfqcC_PxOHGCMq5ezhucwJd8ci-NHng/edit?usp=sharing"",""ราชบุรี!J348"")"),1)</f>
        <v>1</v>
      </c>
      <c r="Z67" s="177">
        <f ca="1">IFERROR(__xludf.DUMMYFUNCTION("IMPORTRANGE(""https://docs.google.com/spreadsheets/d/1jQ6P4QcrGM89YfqcC_PxOHGCMq5ezhucwJd8ci-NHng/edit?usp=sharing"",""ราชบุรี!J349"")"),0)</f>
        <v>0</v>
      </c>
      <c r="AA67" s="177">
        <f ca="1">IFERROR(__xludf.DUMMYFUNCTION("IMPORTRANGE(""https://docs.google.com/spreadsheets/d/1jQ6P4QcrGM89YfqcC_PxOHGCMq5ezhucwJd8ci-NHng/edit?usp=sharing"",""ราชบุรี!J352"")"),240)</f>
        <v>240</v>
      </c>
      <c r="AB67" s="177">
        <f ca="1">IFERROR(__xludf.DUMMYFUNCTION("IMPORTRANGE(""https://docs.google.com/spreadsheets/d/1jQ6P4QcrGM89YfqcC_PxOHGCMq5ezhucwJd8ci-NHng/edit?usp=sharing"",""ราชบุรี!J353"")"),2692)</f>
        <v>2692</v>
      </c>
    </row>
    <row r="68" spans="1:28" ht="24" customHeight="1" x14ac:dyDescent="0.3">
      <c r="A68" s="89">
        <v>16</v>
      </c>
      <c r="B68" s="90" t="s">
        <v>94</v>
      </c>
      <c r="C68" s="174">
        <f t="shared" ca="1" si="19"/>
        <v>108000</v>
      </c>
      <c r="D68" s="175">
        <f t="shared" ca="1" si="42"/>
        <v>108000</v>
      </c>
      <c r="E68" s="176">
        <f ca="1">IFERROR(__xludf.DUMMYFUNCTION("IMPORTRANGE(""https://docs.google.com/spreadsheets/d/1-uDff_7J0KD5mKrp0Vvzr7lt3OU09vwQwhkpOPPYv2Y/edit?usp=sharing"",""งบพรบ!ET68"")"),0)</f>
        <v>0</v>
      </c>
      <c r="F68" s="176">
        <f ca="1">IFERROR(__xludf.DUMMYFUNCTION("IMPORTRANGE(""https://docs.google.com/spreadsheets/d/1-uDff_7J0KD5mKrp0Vvzr7lt3OU09vwQwhkpOPPYv2Y/edit?usp=sharing"",""งบพรบ!EU68"")"),108000)</f>
        <v>108000</v>
      </c>
      <c r="G68" s="176">
        <f ca="1">IFERROR(__xludf.DUMMYFUNCTION("IMPORTRANGE(""https://docs.google.com/spreadsheets/d/1-uDff_7J0KD5mKrp0Vvzr7lt3OU09vwQwhkpOPPYv2Y/edit?usp=sharing"",""งบพรบ!EV68"")"),0)</f>
        <v>0</v>
      </c>
      <c r="H68" s="176">
        <f ca="1">IFERROR(__xludf.DUMMYFUNCTION("IMPORTRANGE(""https://docs.google.com/spreadsheets/d/1-uDff_7J0KD5mKrp0Vvzr7lt3OU09vwQwhkpOPPYv2Y/edit?usp=sharing"",""งบพรบ!EX68"")"),113000)</f>
        <v>113000</v>
      </c>
      <c r="I68" s="176">
        <f ca="1">IFERROR(__xludf.DUMMYFUNCTION("IMPORTRANGE(""https://docs.google.com/spreadsheets/d/1-uDff_7J0KD5mKrp0Vvzr7lt3OU09vwQwhkpOPPYv2Y/edit?usp=sharing"",""งบพรบ!EY68"")"),0)</f>
        <v>0</v>
      </c>
      <c r="J68" s="176">
        <f t="shared" ca="1" si="21"/>
        <v>63140</v>
      </c>
      <c r="K68" s="179">
        <f t="shared" ca="1" si="22"/>
        <v>58.462962962962962</v>
      </c>
      <c r="L68" s="176">
        <f ca="1">IFERROR(__xludf.DUMMYFUNCTION("IMPORTRANGE(""https://docs.google.com/spreadsheets/d/1-uDff_7J0KD5mKrp0Vvzr7lt3OU09vwQwhkpOPPYv2Y/edit?usp=sharing"",""งบพรบ!EZ68"")"),63140)</f>
        <v>63140</v>
      </c>
      <c r="M68" s="87">
        <f t="shared" ca="1" si="23"/>
        <v>58.462962962962962</v>
      </c>
      <c r="N68" s="87">
        <f t="shared" ca="1" si="24"/>
        <v>55.876106194690266</v>
      </c>
      <c r="O68" s="86">
        <f ca="1">IFERROR(__xludf.DUMMYFUNCTION("IMPORTRANGE(""https://docs.google.com/spreadsheets/d/1-uDff_7J0KD5mKrp0Vvzr7lt3OU09vwQwhkpOPPYv2Y/edit?usp=sharing"",""งบพรบ!FA68"")"),0)</f>
        <v>0</v>
      </c>
      <c r="P68" s="86">
        <f t="shared" ca="1" si="25"/>
        <v>0</v>
      </c>
      <c r="Q68" s="87">
        <f t="shared" ca="1" si="26"/>
        <v>0</v>
      </c>
      <c r="R68" s="353">
        <f ca="1">IFERROR(__xludf.DUMMYFUNCTION("IMPORTRANGE(""https://docs.google.com/spreadsheets/d/1lufeA2cfFqM-elVq2hznhDzC6Pr7wkJ9ZG_sYNGCMCU/edit?usp=sharing"",""ลพบุรี!I344"")"),1400)</f>
        <v>1400</v>
      </c>
      <c r="S68" s="177">
        <f ca="1">IFERROR(__xludf.DUMMYFUNCTION("IMPORTRANGE(""https://docs.google.com/spreadsheets/d/1lufeA2cfFqM-elVq2hznhDzC6Pr7wkJ9ZG_sYNGCMCU/edit?usp=sharing"",""ลพบุรี!J344"")"),1065)</f>
        <v>1065</v>
      </c>
      <c r="T68" s="354">
        <f t="shared" ca="1" si="28"/>
        <v>76.071428571428569</v>
      </c>
      <c r="U68" s="353">
        <f ca="1">IFERROR(__xludf.DUMMYFUNCTION("IMPORTRANGE(""https://docs.google.com/spreadsheets/d/1lufeA2cfFqM-elVq2hznhDzC6Pr7wkJ9ZG_sYNGCMCU/edit?usp=sharing"",""ลพบุรี!I346"")"),4)</f>
        <v>4</v>
      </c>
      <c r="V68" s="177">
        <f ca="1">IFERROR(__xludf.DUMMYFUNCTION("IMPORTRANGE(""https://docs.google.com/spreadsheets/d/1lufeA2cfFqM-elVq2hznhDzC6Pr7wkJ9ZG_sYNGCMCU/edit?usp=sharing"",""ลพบุรี!J346"")"),5)</f>
        <v>5</v>
      </c>
      <c r="W68" s="354">
        <f t="shared" ca="1" si="30"/>
        <v>125</v>
      </c>
      <c r="X68" s="177">
        <f ca="1">IFERROR(__xludf.DUMMYFUNCTION("IMPORTRANGE(""https://docs.google.com/spreadsheets/d/1lufeA2cfFqM-elVq2hznhDzC6Pr7wkJ9ZG_sYNGCMCU/edit?usp=sharing"",""ลพบุรี!J347"")"),3)</f>
        <v>3</v>
      </c>
      <c r="Y68" s="177">
        <f ca="1">IFERROR(__xludf.DUMMYFUNCTION("IMPORTRANGE(""https://docs.google.com/spreadsheets/d/1lufeA2cfFqM-elVq2hznhDzC6Pr7wkJ9ZG_sYNGCMCU/edit?usp=sharing"",""ลพบุรี!J348"")"),0)</f>
        <v>0</v>
      </c>
      <c r="Z68" s="177">
        <f ca="1">IFERROR(__xludf.DUMMYFUNCTION("IMPORTRANGE(""https://docs.google.com/spreadsheets/d/1lufeA2cfFqM-elVq2hznhDzC6Pr7wkJ9ZG_sYNGCMCU/edit?usp=sharing"",""ลพบุรี!J349"")"),0)</f>
        <v>0</v>
      </c>
      <c r="AA68" s="177">
        <f ca="1">IFERROR(__xludf.DUMMYFUNCTION("IMPORTRANGE(""https://docs.google.com/spreadsheets/d/1lufeA2cfFqM-elVq2hznhDzC6Pr7wkJ9ZG_sYNGCMCU/edit?usp=sharing"",""ลพบุรี!J352"")"),1099)</f>
        <v>1099</v>
      </c>
      <c r="AB68" s="177">
        <f ca="1">IFERROR(__xludf.DUMMYFUNCTION("IMPORTRANGE(""https://docs.google.com/spreadsheets/d/1lufeA2cfFqM-elVq2hznhDzC6Pr7wkJ9ZG_sYNGCMCU/edit?usp=sharing"",""ลพบุรี!J353"")"),3401)</f>
        <v>3401</v>
      </c>
    </row>
    <row r="69" spans="1:28" ht="21" customHeight="1" x14ac:dyDescent="0.3">
      <c r="A69" s="89">
        <v>17</v>
      </c>
      <c r="B69" s="90" t="s">
        <v>95</v>
      </c>
      <c r="C69" s="174">
        <f t="shared" ca="1" si="19"/>
        <v>116000</v>
      </c>
      <c r="D69" s="175">
        <f t="shared" ca="1" si="42"/>
        <v>116000</v>
      </c>
      <c r="E69" s="176">
        <f ca="1">IFERROR(__xludf.DUMMYFUNCTION("IMPORTRANGE(""https://docs.google.com/spreadsheets/d/1-uDff_7J0KD5mKrp0Vvzr7lt3OU09vwQwhkpOPPYv2Y/edit?usp=sharing"",""งบพรบ!ET69"")"),0)</f>
        <v>0</v>
      </c>
      <c r="F69" s="176">
        <f ca="1">IFERROR(__xludf.DUMMYFUNCTION("IMPORTRANGE(""https://docs.google.com/spreadsheets/d/1-uDff_7J0KD5mKrp0Vvzr7lt3OU09vwQwhkpOPPYv2Y/edit?usp=sharing"",""งบพรบ!EU69"")"),116000)</f>
        <v>116000</v>
      </c>
      <c r="G69" s="176">
        <f ca="1">IFERROR(__xludf.DUMMYFUNCTION("IMPORTRANGE(""https://docs.google.com/spreadsheets/d/1-uDff_7J0KD5mKrp0Vvzr7lt3OU09vwQwhkpOPPYv2Y/edit?usp=sharing"",""งบพรบ!EV69"")"),0)</f>
        <v>0</v>
      </c>
      <c r="H69" s="176">
        <f ca="1">IFERROR(__xludf.DUMMYFUNCTION("IMPORTRANGE(""https://docs.google.com/spreadsheets/d/1-uDff_7J0KD5mKrp0Vvzr7lt3OU09vwQwhkpOPPYv2Y/edit?usp=sharing"",""งบพรบ!EX69"")"),121000)</f>
        <v>121000</v>
      </c>
      <c r="I69" s="176">
        <f ca="1">IFERROR(__xludf.DUMMYFUNCTION("IMPORTRANGE(""https://docs.google.com/spreadsheets/d/1-uDff_7J0KD5mKrp0Vvzr7lt3OU09vwQwhkpOPPYv2Y/edit?usp=sharing"",""งบพรบ!EY69"")"),0)</f>
        <v>0</v>
      </c>
      <c r="J69" s="176">
        <f t="shared" ca="1" si="21"/>
        <v>63000</v>
      </c>
      <c r="K69" s="179">
        <f t="shared" ca="1" si="22"/>
        <v>54.310344827586206</v>
      </c>
      <c r="L69" s="176">
        <f ca="1">IFERROR(__xludf.DUMMYFUNCTION("IMPORTRANGE(""https://docs.google.com/spreadsheets/d/1-uDff_7J0KD5mKrp0Vvzr7lt3OU09vwQwhkpOPPYv2Y/edit?usp=sharing"",""งบพรบ!EZ69"")"),63000)</f>
        <v>63000</v>
      </c>
      <c r="M69" s="87">
        <f t="shared" ca="1" si="23"/>
        <v>54.310344827586206</v>
      </c>
      <c r="N69" s="87">
        <f t="shared" ca="1" si="24"/>
        <v>52.066115702479337</v>
      </c>
      <c r="O69" s="86">
        <f ca="1">IFERROR(__xludf.DUMMYFUNCTION("IMPORTRANGE(""https://docs.google.com/spreadsheets/d/1-uDff_7J0KD5mKrp0Vvzr7lt3OU09vwQwhkpOPPYv2Y/edit?usp=sharing"",""งบพรบ!FA69"")"),0)</f>
        <v>0</v>
      </c>
      <c r="P69" s="86">
        <f t="shared" ca="1" si="25"/>
        <v>0</v>
      </c>
      <c r="Q69" s="87">
        <f t="shared" ca="1" si="26"/>
        <v>0</v>
      </c>
      <c r="R69" s="353">
        <f ca="1">IFERROR(__xludf.DUMMYFUNCTION("IMPORTRANGE(""https://docs.google.com/spreadsheets/d/10oOiF7loTyfsTkbd4MpaIm0HQ9SwB7IYHdIUvt-U1Uc/edit?usp=sharing"",""สระแก้ว!I344"")"),3540)</f>
        <v>3540</v>
      </c>
      <c r="S69" s="177">
        <f ca="1">IFERROR(__xludf.DUMMYFUNCTION("IMPORTRANGE(""https://docs.google.com/spreadsheets/d/10oOiF7loTyfsTkbd4MpaIm0HQ9SwB7IYHdIUvt-U1Uc/edit?usp=sharing"",""สระแก้ว!J344"")"),4551)</f>
        <v>4551</v>
      </c>
      <c r="T69" s="354">
        <f t="shared" ca="1" si="28"/>
        <v>128.5593220338983</v>
      </c>
      <c r="U69" s="353">
        <f ca="1">IFERROR(__xludf.DUMMYFUNCTION("IMPORTRANGE(""https://docs.google.com/spreadsheets/d/10oOiF7loTyfsTkbd4MpaIm0HQ9SwB7IYHdIUvt-U1Uc/edit?usp=sharing"",""สระแก้ว!I346"")"),5)</f>
        <v>5</v>
      </c>
      <c r="V69" s="177">
        <f ca="1">IFERROR(__xludf.DUMMYFUNCTION("IMPORTRANGE(""https://docs.google.com/spreadsheets/d/10oOiF7loTyfsTkbd4MpaIm0HQ9SwB7IYHdIUvt-U1Uc/edit?usp=sharing"",""สระแก้ว!J346"")"),5)</f>
        <v>5</v>
      </c>
      <c r="W69" s="354">
        <f t="shared" ca="1" si="30"/>
        <v>100</v>
      </c>
      <c r="X69" s="177">
        <f ca="1">IFERROR(__xludf.DUMMYFUNCTION("IMPORTRANGE(""https://docs.google.com/spreadsheets/d/10oOiF7loTyfsTkbd4MpaIm0HQ9SwB7IYHdIUvt-U1Uc/edit?usp=sharing"",""สระแก้ว!J347"")"),159)</f>
        <v>159</v>
      </c>
      <c r="Y69" s="177">
        <f ca="1">IFERROR(__xludf.DUMMYFUNCTION("IMPORTRANGE(""https://docs.google.com/spreadsheets/d/10oOiF7loTyfsTkbd4MpaIm0HQ9SwB7IYHdIUvt-U1Uc/edit?usp=sharing"",""สระแก้ว!J348"")"),192)</f>
        <v>192</v>
      </c>
      <c r="Z69" s="177">
        <f ca="1">IFERROR(__xludf.DUMMYFUNCTION("IMPORTRANGE(""https://docs.google.com/spreadsheets/d/10oOiF7loTyfsTkbd4MpaIm0HQ9SwB7IYHdIUvt-U1Uc/edit?usp=sharing"",""สระแก้ว!J349"")"),0)</f>
        <v>0</v>
      </c>
      <c r="AA69" s="177">
        <f ca="1">IFERROR(__xludf.DUMMYFUNCTION("IMPORTRANGE(""https://docs.google.com/spreadsheets/d/10oOiF7loTyfsTkbd4MpaIm0HQ9SwB7IYHdIUvt-U1Uc/edit?usp=sharing"",""สระแก้ว!J352"")"),1310)</f>
        <v>1310</v>
      </c>
      <c r="AB69" s="177">
        <f ca="1">IFERROR(__xludf.DUMMYFUNCTION("IMPORTRANGE(""https://docs.google.com/spreadsheets/d/10oOiF7loTyfsTkbd4MpaIm0HQ9SwB7IYHdIUvt-U1Uc/edit?usp=sharing"",""สระแก้ว!J353"")"),6089)</f>
        <v>6089</v>
      </c>
    </row>
    <row r="70" spans="1:28" ht="21" customHeight="1" x14ac:dyDescent="0.3">
      <c r="A70" s="89">
        <v>18</v>
      </c>
      <c r="B70" s="90" t="s">
        <v>96</v>
      </c>
      <c r="C70" s="174">
        <f t="shared" ca="1" si="19"/>
        <v>104000</v>
      </c>
      <c r="D70" s="175">
        <f t="shared" ca="1" si="42"/>
        <v>104000</v>
      </c>
      <c r="E70" s="176">
        <f ca="1">IFERROR(__xludf.DUMMYFUNCTION("IMPORTRANGE(""https://docs.google.com/spreadsheets/d/1-uDff_7J0KD5mKrp0Vvzr7lt3OU09vwQwhkpOPPYv2Y/edit?usp=sharing"",""งบพรบ!ET70"")"),0)</f>
        <v>0</v>
      </c>
      <c r="F70" s="176">
        <f ca="1">IFERROR(__xludf.DUMMYFUNCTION("IMPORTRANGE(""https://docs.google.com/spreadsheets/d/1-uDff_7J0KD5mKrp0Vvzr7lt3OU09vwQwhkpOPPYv2Y/edit?usp=sharing"",""งบพรบ!EU70"")"),104000)</f>
        <v>104000</v>
      </c>
      <c r="G70" s="176">
        <f ca="1">IFERROR(__xludf.DUMMYFUNCTION("IMPORTRANGE(""https://docs.google.com/spreadsheets/d/1-uDff_7J0KD5mKrp0Vvzr7lt3OU09vwQwhkpOPPYv2Y/edit?usp=sharing"",""งบพรบ!EV70"")"),0)</f>
        <v>0</v>
      </c>
      <c r="H70" s="176">
        <f ca="1">IFERROR(__xludf.DUMMYFUNCTION("IMPORTRANGE(""https://docs.google.com/spreadsheets/d/1-uDff_7J0KD5mKrp0Vvzr7lt3OU09vwQwhkpOPPYv2Y/edit?usp=sharing"",""งบพรบ!EX70"")"),109000)</f>
        <v>109000</v>
      </c>
      <c r="I70" s="176">
        <f ca="1">IFERROR(__xludf.DUMMYFUNCTION("IMPORTRANGE(""https://docs.google.com/spreadsheets/d/1-uDff_7J0KD5mKrp0Vvzr7lt3OU09vwQwhkpOPPYv2Y/edit?usp=sharing"",""งบพรบ!EY70"")"),0)</f>
        <v>0</v>
      </c>
      <c r="J70" s="176">
        <f t="shared" ca="1" si="21"/>
        <v>49961</v>
      </c>
      <c r="K70" s="179">
        <f t="shared" ca="1" si="22"/>
        <v>48.039423076923079</v>
      </c>
      <c r="L70" s="176">
        <f ca="1">IFERROR(__xludf.DUMMYFUNCTION("IMPORTRANGE(""https://docs.google.com/spreadsheets/d/1-uDff_7J0KD5mKrp0Vvzr7lt3OU09vwQwhkpOPPYv2Y/edit?usp=sharing"",""งบพรบ!EZ70"")"),49961)</f>
        <v>49961</v>
      </c>
      <c r="M70" s="87">
        <f t="shared" ca="1" si="23"/>
        <v>48.039423076923079</v>
      </c>
      <c r="N70" s="87">
        <f t="shared" ca="1" si="24"/>
        <v>45.835779816513764</v>
      </c>
      <c r="O70" s="86">
        <f ca="1">IFERROR(__xludf.DUMMYFUNCTION("IMPORTRANGE(""https://docs.google.com/spreadsheets/d/1-uDff_7J0KD5mKrp0Vvzr7lt3OU09vwQwhkpOPPYv2Y/edit?usp=sharing"",""งบพรบ!FA70"")"),0)</f>
        <v>0</v>
      </c>
      <c r="P70" s="86">
        <f t="shared" ca="1" si="25"/>
        <v>0</v>
      </c>
      <c r="Q70" s="87">
        <f t="shared" ca="1" si="26"/>
        <v>0</v>
      </c>
      <c r="R70" s="353">
        <f ca="1">IFERROR(__xludf.DUMMYFUNCTION("IMPORTRANGE(""https://docs.google.com/spreadsheets/d/1xmPlrr1QbdSIKvl1dWUl9K4PjAfSL9oeMr_37QVzcxc/edit?usp=sharing"",""สระบุรี!I344"")"),1000)</f>
        <v>1000</v>
      </c>
      <c r="S70" s="177">
        <f ca="1">IFERROR(__xludf.DUMMYFUNCTION("IMPORTRANGE(""https://docs.google.com/spreadsheets/d/1xmPlrr1QbdSIKvl1dWUl9K4PjAfSL9oeMr_37QVzcxc/edit?usp=sharing"",""สระบุรี!J344"")"),1144)</f>
        <v>1144</v>
      </c>
      <c r="T70" s="354">
        <f t="shared" ca="1" si="28"/>
        <v>114.4</v>
      </c>
      <c r="U70" s="353">
        <f ca="1">IFERROR(__xludf.DUMMYFUNCTION("IMPORTRANGE(""https://docs.google.com/spreadsheets/d/1xmPlrr1QbdSIKvl1dWUl9K4PjAfSL9oeMr_37QVzcxc/edit?usp=sharing"",""สระบุรี!I346"")"),2)</f>
        <v>2</v>
      </c>
      <c r="V70" s="177">
        <f ca="1">IFERROR(__xludf.DUMMYFUNCTION("IMPORTRANGE(""https://docs.google.com/spreadsheets/d/1xmPlrr1QbdSIKvl1dWUl9K4PjAfSL9oeMr_37QVzcxc/edit?usp=sharing"",""สระบุรี!J346"")"),4)</f>
        <v>4</v>
      </c>
      <c r="W70" s="354">
        <f t="shared" ca="1" si="30"/>
        <v>200</v>
      </c>
      <c r="X70" s="177">
        <f ca="1">IFERROR(__xludf.DUMMYFUNCTION("IMPORTRANGE(""https://docs.google.com/spreadsheets/d/1xmPlrr1QbdSIKvl1dWUl9K4PjAfSL9oeMr_37QVzcxc/edit?usp=sharing"",""สระบุรี!J347"")"),4)</f>
        <v>4</v>
      </c>
      <c r="Y70" s="177">
        <f ca="1">IFERROR(__xludf.DUMMYFUNCTION("IMPORTRANGE(""https://docs.google.com/spreadsheets/d/1xmPlrr1QbdSIKvl1dWUl9K4PjAfSL9oeMr_37QVzcxc/edit?usp=sharing"",""สระบุรี!J348"")"),42)</f>
        <v>42</v>
      </c>
      <c r="Z70" s="177">
        <f ca="1">IFERROR(__xludf.DUMMYFUNCTION("IMPORTRANGE(""https://docs.google.com/spreadsheets/d/1xmPlrr1QbdSIKvl1dWUl9K4PjAfSL9oeMr_37QVzcxc/edit?usp=sharing"",""สระบุรี!J349"")"),23)</f>
        <v>23</v>
      </c>
      <c r="AA70" s="177">
        <f ca="1">IFERROR(__xludf.DUMMYFUNCTION("IMPORTRANGE(""https://docs.google.com/spreadsheets/d/1xmPlrr1QbdSIKvl1dWUl9K4PjAfSL9oeMr_37QVzcxc/edit?usp=sharing"",""สระบุรี!J352"")"),701)</f>
        <v>701</v>
      </c>
      <c r="AB70" s="177">
        <f ca="1">IFERROR(__xludf.DUMMYFUNCTION("IMPORTRANGE(""https://docs.google.com/spreadsheets/d/1xmPlrr1QbdSIKvl1dWUl9K4PjAfSL9oeMr_37QVzcxc/edit?usp=sharing"",""สระบุรี!J353"")"),1602)</f>
        <v>1602</v>
      </c>
    </row>
    <row r="71" spans="1:28" ht="21" customHeight="1" x14ac:dyDescent="0.3">
      <c r="A71" s="89">
        <v>19</v>
      </c>
      <c r="B71" s="90" t="s">
        <v>97</v>
      </c>
      <c r="C71" s="174">
        <f t="shared" ca="1" si="19"/>
        <v>213600</v>
      </c>
      <c r="D71" s="175">
        <f t="shared" ca="1" si="42"/>
        <v>213600</v>
      </c>
      <c r="E71" s="176">
        <f ca="1">IFERROR(__xludf.DUMMYFUNCTION("IMPORTRANGE(""https://docs.google.com/spreadsheets/d/1-uDff_7J0KD5mKrp0Vvzr7lt3OU09vwQwhkpOPPYv2Y/edit?usp=sharing"",""งบพรบ!ET71"")"),117600)</f>
        <v>117600</v>
      </c>
      <c r="F71" s="176">
        <f ca="1">IFERROR(__xludf.DUMMYFUNCTION("IMPORTRANGE(""https://docs.google.com/spreadsheets/d/1-uDff_7J0KD5mKrp0Vvzr7lt3OU09vwQwhkpOPPYv2Y/edit?usp=sharing"",""งบพรบ!EU71"")"),96000)</f>
        <v>96000</v>
      </c>
      <c r="G71" s="176">
        <f ca="1">IFERROR(__xludf.DUMMYFUNCTION("IMPORTRANGE(""https://docs.google.com/spreadsheets/d/1-uDff_7J0KD5mKrp0Vvzr7lt3OU09vwQwhkpOPPYv2Y/edit?usp=sharing"",""งบพรบ!EV71"")"),0)</f>
        <v>0</v>
      </c>
      <c r="H71" s="176">
        <f ca="1">IFERROR(__xludf.DUMMYFUNCTION("IMPORTRANGE(""https://docs.google.com/spreadsheets/d/1-uDff_7J0KD5mKrp0Vvzr7lt3OU09vwQwhkpOPPYv2Y/edit?usp=sharing"",""งบพรบ!EX71"")"),213600)</f>
        <v>213600</v>
      </c>
      <c r="I71" s="176">
        <f ca="1">IFERROR(__xludf.DUMMYFUNCTION("IMPORTRANGE(""https://docs.google.com/spreadsheets/d/1-uDff_7J0KD5mKrp0Vvzr7lt3OU09vwQwhkpOPPYv2Y/edit?usp=sharing"",""งบพรบ!EY71"")"),0)</f>
        <v>0</v>
      </c>
      <c r="J71" s="176">
        <f t="shared" ca="1" si="21"/>
        <v>65086.67</v>
      </c>
      <c r="K71" s="179">
        <f t="shared" ca="1" si="22"/>
        <v>30.471287453183521</v>
      </c>
      <c r="L71" s="176">
        <f ca="1">IFERROR(__xludf.DUMMYFUNCTION("IMPORTRANGE(""https://docs.google.com/spreadsheets/d/1-uDff_7J0KD5mKrp0Vvzr7lt3OU09vwQwhkpOPPYv2Y/edit?usp=sharing"",""งบพรบ!EZ71"")"),65086.67)</f>
        <v>65086.67</v>
      </c>
      <c r="M71" s="87">
        <f t="shared" ca="1" si="23"/>
        <v>30.471287453183521</v>
      </c>
      <c r="N71" s="87">
        <f t="shared" ca="1" si="24"/>
        <v>30.471287453183521</v>
      </c>
      <c r="O71" s="86">
        <f ca="1">IFERROR(__xludf.DUMMYFUNCTION("IMPORTRANGE(""https://docs.google.com/spreadsheets/d/1-uDff_7J0KD5mKrp0Vvzr7lt3OU09vwQwhkpOPPYv2Y/edit?usp=sharing"",""งบพรบ!FA71"")"),0)</f>
        <v>0</v>
      </c>
      <c r="P71" s="86">
        <f t="shared" ca="1" si="25"/>
        <v>0</v>
      </c>
      <c r="Q71" s="87">
        <f t="shared" ca="1" si="26"/>
        <v>0</v>
      </c>
      <c r="R71" s="353">
        <f ca="1">IFERROR(__xludf.DUMMYFUNCTION("IMPORTRANGE(""https://docs.google.com/spreadsheets/d/1j51vR6CYVGhABJpv6tkstgok82RLpXieLzW1yOY5rHw/edit?usp=sharing"",""สิงห์บุรี!I344"")"),40)</f>
        <v>40</v>
      </c>
      <c r="S71" s="177">
        <f ca="1">IFERROR(__xludf.DUMMYFUNCTION("IMPORTRANGE(""https://docs.google.com/spreadsheets/d/1j51vR6CYVGhABJpv6tkstgok82RLpXieLzW1yOY5rHw/edit?usp=sharing"",""สิงห์บุรี!J344"")"),9)</f>
        <v>9</v>
      </c>
      <c r="T71" s="354">
        <f t="shared" ca="1" si="28"/>
        <v>22.5</v>
      </c>
      <c r="U71" s="353">
        <f ca="1">IFERROR(__xludf.DUMMYFUNCTION("IMPORTRANGE(""https://docs.google.com/spreadsheets/d/1j51vR6CYVGhABJpv6tkstgok82RLpXieLzW1yOY5rHw/edit?usp=sharing"",""สิงห์บุรี!I346"")"),1)</f>
        <v>1</v>
      </c>
      <c r="V71" s="177">
        <f ca="1">IFERROR(__xludf.DUMMYFUNCTION("IMPORTRANGE(""https://docs.google.com/spreadsheets/d/1j51vR6CYVGhABJpv6tkstgok82RLpXieLzW1yOY5rHw/edit?usp=sharing"",""สิงห์บุรี!J346"")"),1)</f>
        <v>1</v>
      </c>
      <c r="W71" s="354">
        <f t="shared" ca="1" si="30"/>
        <v>100</v>
      </c>
      <c r="X71" s="177">
        <f ca="1">IFERROR(__xludf.DUMMYFUNCTION("IMPORTRANGE(""https://docs.google.com/spreadsheets/d/1j51vR6CYVGhABJpv6tkstgok82RLpXieLzW1yOY5rHw/edit?usp=sharing"",""สิงห์บุรี!J347"")"),14)</f>
        <v>14</v>
      </c>
      <c r="Y71" s="177">
        <f ca="1">IFERROR(__xludf.DUMMYFUNCTION("IMPORTRANGE(""https://docs.google.com/spreadsheets/d/1j51vR6CYVGhABJpv6tkstgok82RLpXieLzW1yOY5rHw/edit?usp=sharing"",""สิงห์บุรี!J348"")"),2)</f>
        <v>2</v>
      </c>
      <c r="Z71" s="177">
        <f ca="1">IFERROR(__xludf.DUMMYFUNCTION("IMPORTRANGE(""https://docs.google.com/spreadsheets/d/1j51vR6CYVGhABJpv6tkstgok82RLpXieLzW1yOY5rHw/edit?usp=sharing"",""สิงห์บุรี!J349"")"),0)</f>
        <v>0</v>
      </c>
      <c r="AA71" s="177" t="str">
        <f ca="1">IFERROR(__xludf.DUMMYFUNCTION("IMPORTRANGE(""https://docs.google.com/spreadsheets/d/1j51vR6CYVGhABJpv6tkstgok82RLpXieLzW1yOY5rHw/edit?usp=sharing"",""สิงห์บุรี!J352"")"),"")</f>
        <v/>
      </c>
      <c r="AB71" s="177" t="str">
        <f ca="1">IFERROR(__xludf.DUMMYFUNCTION("IMPORTRANGE(""https://docs.google.com/spreadsheets/d/1j51vR6CYVGhABJpv6tkstgok82RLpXieLzW1yOY5rHw/edit?usp=sharing"",""สิงห์บุรี!J353"")"),"")</f>
        <v/>
      </c>
    </row>
    <row r="72" spans="1:28" ht="21" customHeight="1" x14ac:dyDescent="0.3">
      <c r="A72" s="89">
        <v>20</v>
      </c>
      <c r="B72" s="90" t="s">
        <v>98</v>
      </c>
      <c r="C72" s="174">
        <f t="shared" ca="1" si="19"/>
        <v>106000</v>
      </c>
      <c r="D72" s="175">
        <f t="shared" ca="1" si="42"/>
        <v>106000</v>
      </c>
      <c r="E72" s="176">
        <f ca="1">IFERROR(__xludf.DUMMYFUNCTION("IMPORTRANGE(""https://docs.google.com/spreadsheets/d/1-uDff_7J0KD5mKrp0Vvzr7lt3OU09vwQwhkpOPPYv2Y/edit?usp=sharing"",""งบพรบ!ET72"")"),0)</f>
        <v>0</v>
      </c>
      <c r="F72" s="176">
        <f ca="1">IFERROR(__xludf.DUMMYFUNCTION("IMPORTRANGE(""https://docs.google.com/spreadsheets/d/1-uDff_7J0KD5mKrp0Vvzr7lt3OU09vwQwhkpOPPYv2Y/edit?usp=sharing"",""งบพรบ!EU72"")"),106000)</f>
        <v>106000</v>
      </c>
      <c r="G72" s="176">
        <f ca="1">IFERROR(__xludf.DUMMYFUNCTION("IMPORTRANGE(""https://docs.google.com/spreadsheets/d/1-uDff_7J0KD5mKrp0Vvzr7lt3OU09vwQwhkpOPPYv2Y/edit?usp=sharing"",""งบพรบ!EV72"")"),0)</f>
        <v>0</v>
      </c>
      <c r="H72" s="176">
        <f ca="1">IFERROR(__xludf.DUMMYFUNCTION("IMPORTRANGE(""https://docs.google.com/spreadsheets/d/1-uDff_7J0KD5mKrp0Vvzr7lt3OU09vwQwhkpOPPYv2Y/edit?usp=sharing"",""งบพรบ!EX72"")"),111000)</f>
        <v>111000</v>
      </c>
      <c r="I72" s="176">
        <f ca="1">IFERROR(__xludf.DUMMYFUNCTION("IMPORTRANGE(""https://docs.google.com/spreadsheets/d/1-uDff_7J0KD5mKrp0Vvzr7lt3OU09vwQwhkpOPPYv2Y/edit?usp=sharing"",""งบพรบ!EY72"")"),0)</f>
        <v>0</v>
      </c>
      <c r="J72" s="176">
        <f t="shared" ca="1" si="21"/>
        <v>49560</v>
      </c>
      <c r="K72" s="179">
        <f t="shared" ca="1" si="22"/>
        <v>46.754716981132077</v>
      </c>
      <c r="L72" s="176">
        <f ca="1">IFERROR(__xludf.DUMMYFUNCTION("IMPORTRANGE(""https://docs.google.com/spreadsheets/d/1-uDff_7J0KD5mKrp0Vvzr7lt3OU09vwQwhkpOPPYv2Y/edit?usp=sharing"",""งบพรบ!EZ72"")"),49560)</f>
        <v>49560</v>
      </c>
      <c r="M72" s="87">
        <f t="shared" ca="1" si="23"/>
        <v>46.754716981132077</v>
      </c>
      <c r="N72" s="87">
        <f t="shared" ca="1" si="24"/>
        <v>44.648648648648646</v>
      </c>
      <c r="O72" s="86">
        <f ca="1">IFERROR(__xludf.DUMMYFUNCTION("IMPORTRANGE(""https://docs.google.com/spreadsheets/d/1-uDff_7J0KD5mKrp0Vvzr7lt3OU09vwQwhkpOPPYv2Y/edit?usp=sharing"",""งบพรบ!FA72"")"),0)</f>
        <v>0</v>
      </c>
      <c r="P72" s="86">
        <f t="shared" ca="1" si="25"/>
        <v>0</v>
      </c>
      <c r="Q72" s="87">
        <f t="shared" ca="1" si="26"/>
        <v>0</v>
      </c>
      <c r="R72" s="353">
        <f ca="1">IFERROR(__xludf.DUMMYFUNCTION("IMPORTRANGE(""https://docs.google.com/spreadsheets/d/1H1EalTWKUSzO4Z1-1CwzoDUaVffgrThEBe2sl74kKG0/edit?usp=sharing"",""สุพรรณบุรี!I344"")"),1540)</f>
        <v>1540</v>
      </c>
      <c r="S72" s="177">
        <f ca="1">IFERROR(__xludf.DUMMYFUNCTION("IMPORTRANGE(""https://docs.google.com/spreadsheets/d/1H1EalTWKUSzO4Z1-1CwzoDUaVffgrThEBe2sl74kKG0/edit?usp=sharing"",""สุพรรณบุรี!J344"")"),1028)</f>
        <v>1028</v>
      </c>
      <c r="T72" s="354">
        <f t="shared" ca="1" si="28"/>
        <v>66.753246753246756</v>
      </c>
      <c r="U72" s="353">
        <f ca="1">IFERROR(__xludf.DUMMYFUNCTION("IMPORTRANGE(""https://docs.google.com/spreadsheets/d/1H1EalTWKUSzO4Z1-1CwzoDUaVffgrThEBe2sl74kKG0/edit?usp=sharing"",""สุพรรณบุรี!I346"")"),3)</f>
        <v>3</v>
      </c>
      <c r="V72" s="177">
        <f ca="1">IFERROR(__xludf.DUMMYFUNCTION("IMPORTRANGE(""https://docs.google.com/spreadsheets/d/1H1EalTWKUSzO4Z1-1CwzoDUaVffgrThEBe2sl74kKG0/edit?usp=sharing"",""สุพรรณบุรี!J346"")"),6)</f>
        <v>6</v>
      </c>
      <c r="W72" s="354">
        <f t="shared" ca="1" si="30"/>
        <v>200</v>
      </c>
      <c r="X72" s="177">
        <f ca="1">IFERROR(__xludf.DUMMYFUNCTION("IMPORTRANGE(""https://docs.google.com/spreadsheets/d/1H1EalTWKUSzO4Z1-1CwzoDUaVffgrThEBe2sl74kKG0/edit?usp=sharing"",""สุพรรณบุรี!J347"")"),4)</f>
        <v>4</v>
      </c>
      <c r="Y72" s="177">
        <f ca="1">IFERROR(__xludf.DUMMYFUNCTION("IMPORTRANGE(""https://docs.google.com/spreadsheets/d/1H1EalTWKUSzO4Z1-1CwzoDUaVffgrThEBe2sl74kKG0/edit?usp=sharing"",""สุพรรณบุรี!J348"")"),26)</f>
        <v>26</v>
      </c>
      <c r="Z72" s="177">
        <f ca="1">IFERROR(__xludf.DUMMYFUNCTION("IMPORTRANGE(""https://docs.google.com/spreadsheets/d/1H1EalTWKUSzO4Z1-1CwzoDUaVffgrThEBe2sl74kKG0/edit?usp=sharing"",""สุพรรณบุรี!J349"")"),0)</f>
        <v>0</v>
      </c>
      <c r="AA72" s="177">
        <f ca="1">IFERROR(__xludf.DUMMYFUNCTION("IMPORTRANGE(""https://docs.google.com/spreadsheets/d/1H1EalTWKUSzO4Z1-1CwzoDUaVffgrThEBe2sl74kKG0/edit?usp=sharing"",""สุพรรณบุรี!J352"")"),1)</f>
        <v>1</v>
      </c>
      <c r="AB72" s="177">
        <f ca="1">IFERROR(__xludf.DUMMYFUNCTION("IMPORTRANGE(""https://docs.google.com/spreadsheets/d/1H1EalTWKUSzO4Z1-1CwzoDUaVffgrThEBe2sl74kKG0/edit?usp=sharing"",""สุพรรณบุรี!J353"")"),1023)</f>
        <v>1023</v>
      </c>
    </row>
    <row r="73" spans="1:28" ht="21" customHeight="1" x14ac:dyDescent="0.3">
      <c r="A73" s="100">
        <v>21</v>
      </c>
      <c r="B73" s="101" t="s">
        <v>99</v>
      </c>
      <c r="C73" s="182">
        <f t="shared" ca="1" si="19"/>
        <v>213600</v>
      </c>
      <c r="D73" s="183">
        <f t="shared" ca="1" si="42"/>
        <v>213600</v>
      </c>
      <c r="E73" s="184">
        <f ca="1">IFERROR(__xludf.DUMMYFUNCTION("IMPORTRANGE(""https://docs.google.com/spreadsheets/d/1-uDff_7J0KD5mKrp0Vvzr7lt3OU09vwQwhkpOPPYv2Y/edit?usp=sharing"",""งบพรบ!ET73"")"),117600)</f>
        <v>117600</v>
      </c>
      <c r="F73" s="184">
        <f ca="1">IFERROR(__xludf.DUMMYFUNCTION("IMPORTRANGE(""https://docs.google.com/spreadsheets/d/1-uDff_7J0KD5mKrp0Vvzr7lt3OU09vwQwhkpOPPYv2Y/edit?usp=sharing"",""งบพรบ!EU73"")"),96000)</f>
        <v>96000</v>
      </c>
      <c r="G73" s="184">
        <f ca="1">IFERROR(__xludf.DUMMYFUNCTION("IMPORTRANGE(""https://docs.google.com/spreadsheets/d/1-uDff_7J0KD5mKrp0Vvzr7lt3OU09vwQwhkpOPPYv2Y/edit?usp=sharing"",""งบพรบ!EV73"")"),0)</f>
        <v>0</v>
      </c>
      <c r="H73" s="184">
        <f ca="1">IFERROR(__xludf.DUMMYFUNCTION("IMPORTRANGE(""https://docs.google.com/spreadsheets/d/1-uDff_7J0KD5mKrp0Vvzr7lt3OU09vwQwhkpOPPYv2Y/edit?usp=sharing"",""งบพรบ!EX73"")"),213600)</f>
        <v>213600</v>
      </c>
      <c r="I73" s="184">
        <f ca="1">IFERROR(__xludf.DUMMYFUNCTION("IMPORTRANGE(""https://docs.google.com/spreadsheets/d/1-uDff_7J0KD5mKrp0Vvzr7lt3OU09vwQwhkpOPPYv2Y/edit?usp=sharing"",""งบพรบ!EY73"")"),0)</f>
        <v>0</v>
      </c>
      <c r="J73" s="184">
        <f t="shared" ca="1" si="21"/>
        <v>69166</v>
      </c>
      <c r="K73" s="185">
        <f t="shared" ca="1" si="22"/>
        <v>32.381086142322097</v>
      </c>
      <c r="L73" s="184">
        <f ca="1">IFERROR(__xludf.DUMMYFUNCTION("IMPORTRANGE(""https://docs.google.com/spreadsheets/d/1-uDff_7J0KD5mKrp0Vvzr7lt3OU09vwQwhkpOPPYv2Y/edit?usp=sharing"",""งบพรบ!EZ73"")"),69166)</f>
        <v>69166</v>
      </c>
      <c r="M73" s="109">
        <f t="shared" ca="1" si="23"/>
        <v>32.381086142322097</v>
      </c>
      <c r="N73" s="109">
        <f t="shared" ca="1" si="24"/>
        <v>32.381086142322097</v>
      </c>
      <c r="O73" s="108">
        <f ca="1">IFERROR(__xludf.DUMMYFUNCTION("IMPORTRANGE(""https://docs.google.com/spreadsheets/d/1-uDff_7J0KD5mKrp0Vvzr7lt3OU09vwQwhkpOPPYv2Y/edit?usp=sharing"",""งบพรบ!FA73"")"),0)</f>
        <v>0</v>
      </c>
      <c r="P73" s="108">
        <f t="shared" ca="1" si="25"/>
        <v>0</v>
      </c>
      <c r="Q73" s="109">
        <f t="shared" ca="1" si="26"/>
        <v>0</v>
      </c>
      <c r="R73" s="356">
        <f ca="1">IFERROR(__xludf.DUMMYFUNCTION("IMPORTRANGE(""https://docs.google.com/spreadsheets/d/1BmIruG_sIrJLYao_Pdr7zVArWsfoBt2692TMi6x_854/edit?usp=sharing"",""อ่างทอง!I344"")"),40)</f>
        <v>40</v>
      </c>
      <c r="S73" s="186">
        <f ca="1">IFERROR(__xludf.DUMMYFUNCTION("IMPORTRANGE(""https://docs.google.com/spreadsheets/d/1BmIruG_sIrJLYao_Pdr7zVArWsfoBt2692TMi6x_854/edit?usp=sharing"",""อ่างทอง!J344"")"),27)</f>
        <v>27</v>
      </c>
      <c r="T73" s="357">
        <f t="shared" ca="1" si="28"/>
        <v>67.5</v>
      </c>
      <c r="U73" s="356">
        <f ca="1">IFERROR(__xludf.DUMMYFUNCTION("IMPORTRANGE(""https://docs.google.com/spreadsheets/d/1BmIruG_sIrJLYao_Pdr7zVArWsfoBt2692TMi6x_854/edit?usp=sharing"",""อ่างทอง!I346"")"),1)</f>
        <v>1</v>
      </c>
      <c r="V73" s="186">
        <f ca="1">IFERROR(__xludf.DUMMYFUNCTION("IMPORTRANGE(""https://docs.google.com/spreadsheets/d/1BmIruG_sIrJLYao_Pdr7zVArWsfoBt2692TMi6x_854/edit?usp=sharing"",""อ่างทอง!J346"")"),2)</f>
        <v>2</v>
      </c>
      <c r="W73" s="357">
        <f t="shared" ca="1" si="30"/>
        <v>200</v>
      </c>
      <c r="X73" s="186">
        <f ca="1">IFERROR(__xludf.DUMMYFUNCTION("IMPORTRANGE(""https://docs.google.com/spreadsheets/d/1BmIruG_sIrJLYao_Pdr7zVArWsfoBt2692TMi6x_854/edit?usp=sharing"",""อ่างทอง!J347"")"),46)</f>
        <v>46</v>
      </c>
      <c r="Y73" s="186">
        <f ca="1">IFERROR(__xludf.DUMMYFUNCTION("IMPORTRANGE(""https://docs.google.com/spreadsheets/d/1BmIruG_sIrJLYao_Pdr7zVArWsfoBt2692TMi6x_854/edit?usp=sharing"",""อ่างทอง!J348"")"),1)</f>
        <v>1</v>
      </c>
      <c r="Z73" s="186">
        <f ca="1">IFERROR(__xludf.DUMMYFUNCTION("IMPORTRANGE(""https://docs.google.com/spreadsheets/d/1BmIruG_sIrJLYao_Pdr7zVArWsfoBt2692TMi6x_854/edit?usp=sharing"",""อ่างทอง!J349"")"),7)</f>
        <v>7</v>
      </c>
      <c r="AA73" s="186" t="str">
        <f ca="1">IFERROR(__xludf.DUMMYFUNCTION("IMPORTRANGE(""https://docs.google.com/spreadsheets/d/1BmIruG_sIrJLYao_Pdr7zVArWsfoBt2692TMi6x_854/edit?usp=sharing"",""อ่างทอง!J352"")"),"")</f>
        <v/>
      </c>
      <c r="AB73" s="186" t="str">
        <f ca="1">IFERROR(__xludf.DUMMYFUNCTION("IMPORTRANGE(""https://docs.google.com/spreadsheets/d/1BmIruG_sIrJLYao_Pdr7zVArWsfoBt2692TMi6x_854/edit?usp=sharing"",""อ่างทอง!J353"")"),"")</f>
        <v/>
      </c>
    </row>
    <row r="74" spans="1:28" ht="21" customHeight="1" x14ac:dyDescent="0.3">
      <c r="A74" s="624" t="s">
        <v>100</v>
      </c>
      <c r="B74" s="604"/>
      <c r="C74" s="161">
        <f t="shared" ca="1" si="19"/>
        <v>1752700</v>
      </c>
      <c r="D74" s="161">
        <f t="shared" ref="D74:I74" ca="1" si="43">SUM(D75:D88)</f>
        <v>1752700</v>
      </c>
      <c r="E74" s="161">
        <f t="shared" ca="1" si="43"/>
        <v>301700</v>
      </c>
      <c r="F74" s="161">
        <f t="shared" ca="1" si="43"/>
        <v>1451000</v>
      </c>
      <c r="G74" s="161">
        <f t="shared" ca="1" si="43"/>
        <v>0</v>
      </c>
      <c r="H74" s="161">
        <f t="shared" ca="1" si="43"/>
        <v>1873875</v>
      </c>
      <c r="I74" s="161">
        <f t="shared" ca="1" si="43"/>
        <v>0</v>
      </c>
      <c r="J74" s="161">
        <f t="shared" ca="1" si="21"/>
        <v>850056.66</v>
      </c>
      <c r="K74" s="162">
        <f t="shared" ca="1" si="22"/>
        <v>48.499837964283678</v>
      </c>
      <c r="L74" s="161">
        <f ca="1">SUM(L75:L88)</f>
        <v>850056.66</v>
      </c>
      <c r="M74" s="40">
        <f t="shared" ca="1" si="23"/>
        <v>48.499837964283678</v>
      </c>
      <c r="N74" s="40">
        <f t="shared" ca="1" si="24"/>
        <v>45.363573344006404</v>
      </c>
      <c r="O74" s="39">
        <f ca="1">SUM(O75:O88)</f>
        <v>0</v>
      </c>
      <c r="P74" s="39">
        <f t="shared" ca="1" si="25"/>
        <v>0</v>
      </c>
      <c r="Q74" s="40">
        <f t="shared" ca="1" si="26"/>
        <v>0</v>
      </c>
      <c r="R74" s="348">
        <f t="shared" ref="R74:S74" ca="1" si="44">SUM(R75:R88)</f>
        <v>12140</v>
      </c>
      <c r="S74" s="161">
        <f t="shared" ca="1" si="44"/>
        <v>15091</v>
      </c>
      <c r="T74" s="40">
        <f t="shared" ca="1" si="28"/>
        <v>124.30807248764415</v>
      </c>
      <c r="U74" s="348">
        <f t="shared" ref="U74:V74" ca="1" si="45">SUM(U75:U88)</f>
        <v>33</v>
      </c>
      <c r="V74" s="161">
        <f t="shared" ca="1" si="45"/>
        <v>31</v>
      </c>
      <c r="W74" s="40">
        <f t="shared" ca="1" si="30"/>
        <v>93.939393939393938</v>
      </c>
      <c r="X74" s="161">
        <f t="shared" ref="X74:AB74" ca="1" si="46">SUM(X75:X88)</f>
        <v>370</v>
      </c>
      <c r="Y74" s="161">
        <f t="shared" ca="1" si="46"/>
        <v>15</v>
      </c>
      <c r="Z74" s="161">
        <f t="shared" ca="1" si="46"/>
        <v>2</v>
      </c>
      <c r="AA74" s="161">
        <f t="shared" ca="1" si="46"/>
        <v>12387</v>
      </c>
      <c r="AB74" s="161">
        <f t="shared" ca="1" si="46"/>
        <v>17745</v>
      </c>
    </row>
    <row r="75" spans="1:28" ht="21" customHeight="1" x14ac:dyDescent="0.3">
      <c r="A75" s="77">
        <v>1</v>
      </c>
      <c r="B75" s="78" t="s">
        <v>101</v>
      </c>
      <c r="C75" s="174">
        <f t="shared" ca="1" si="19"/>
        <v>106000</v>
      </c>
      <c r="D75" s="175">
        <f t="shared" ref="D75:D88" ca="1" si="47">+E75+F75</f>
        <v>106000</v>
      </c>
      <c r="E75" s="176">
        <f ca="1">IFERROR(__xludf.DUMMYFUNCTION("IMPORTRANGE(""https://docs.google.com/spreadsheets/d/1-uDff_7J0KD5mKrp0Vvzr7lt3OU09vwQwhkpOPPYv2Y/edit?usp=sharing"",""งบพรบ!ET75"")"),0)</f>
        <v>0</v>
      </c>
      <c r="F75" s="176">
        <f ca="1">IFERROR(__xludf.DUMMYFUNCTION("IMPORTRANGE(""https://docs.google.com/spreadsheets/d/1-uDff_7J0KD5mKrp0Vvzr7lt3OU09vwQwhkpOPPYv2Y/edit?usp=sharing"",""งบพรบ!EU75"")"),106000)</f>
        <v>106000</v>
      </c>
      <c r="G75" s="176">
        <f ca="1">IFERROR(__xludf.DUMMYFUNCTION("IMPORTRANGE(""https://docs.google.com/spreadsheets/d/1-uDff_7J0KD5mKrp0Vvzr7lt3OU09vwQwhkpOPPYv2Y/edit?usp=sharing"",""งบพรบ!EV75"")"),0)</f>
        <v>0</v>
      </c>
      <c r="H75" s="176">
        <f ca="1">IFERROR(__xludf.DUMMYFUNCTION("IMPORTRANGE(""https://docs.google.com/spreadsheets/d/1-uDff_7J0KD5mKrp0Vvzr7lt3OU09vwQwhkpOPPYv2Y/edit?usp=sharing"",""งบพรบ!EX75"")"),111000)</f>
        <v>111000</v>
      </c>
      <c r="I75" s="176">
        <f ca="1">IFERROR(__xludf.DUMMYFUNCTION("IMPORTRANGE(""https://docs.google.com/spreadsheets/d/1-uDff_7J0KD5mKrp0Vvzr7lt3OU09vwQwhkpOPPYv2Y/edit?usp=sharing"",""งบพรบ!EY75"")"),0)</f>
        <v>0</v>
      </c>
      <c r="J75" s="176">
        <f t="shared" ca="1" si="21"/>
        <v>42166.67</v>
      </c>
      <c r="K75" s="179">
        <f t="shared" ca="1" si="22"/>
        <v>39.779877358490566</v>
      </c>
      <c r="L75" s="176">
        <f ca="1">IFERROR(__xludf.DUMMYFUNCTION("IMPORTRANGE(""https://docs.google.com/spreadsheets/d/1-uDff_7J0KD5mKrp0Vvzr7lt3OU09vwQwhkpOPPYv2Y/edit?usp=sharing"",""งบพรบ!EZ75"")"),42166.67)</f>
        <v>42166.67</v>
      </c>
      <c r="M75" s="87">
        <f t="shared" ca="1" si="23"/>
        <v>39.779877358490566</v>
      </c>
      <c r="N75" s="87">
        <f t="shared" ca="1" si="24"/>
        <v>37.987990990990994</v>
      </c>
      <c r="O75" s="86">
        <f ca="1">IFERROR(__xludf.DUMMYFUNCTION("IMPORTRANGE(""https://docs.google.com/spreadsheets/d/1-uDff_7J0KD5mKrp0Vvzr7lt3OU09vwQwhkpOPPYv2Y/edit?usp=sharing"",""งบพรบ!FA75"")"),0)</f>
        <v>0</v>
      </c>
      <c r="P75" s="86">
        <f t="shared" ca="1" si="25"/>
        <v>0</v>
      </c>
      <c r="Q75" s="87">
        <f t="shared" ca="1" si="26"/>
        <v>0</v>
      </c>
      <c r="R75" s="353">
        <f ca="1">IFERROR(__xludf.DUMMYFUNCTION("IMPORTRANGE(""https://docs.google.com/spreadsheets/d/1kKUcYdkIfrgTSj8iHHHB2MD2FAtwyyocFgqGQn6ADyI/edit?usp=sharing"",""กระบี่!I344"")"),1340)</f>
        <v>1340</v>
      </c>
      <c r="S75" s="177">
        <f ca="1">IFERROR(__xludf.DUMMYFUNCTION("IMPORTRANGE(""https://docs.google.com/spreadsheets/d/1kKUcYdkIfrgTSj8iHHHB2MD2FAtwyyocFgqGQn6ADyI/edit?usp=sharing"",""กระบี่!J344"")"),1120)</f>
        <v>1120</v>
      </c>
      <c r="T75" s="354">
        <f t="shared" ca="1" si="28"/>
        <v>83.582089552238813</v>
      </c>
      <c r="U75" s="353">
        <f ca="1">IFERROR(__xludf.DUMMYFUNCTION("IMPORTRANGE(""https://docs.google.com/spreadsheets/d/1kKUcYdkIfrgTSj8iHHHB2MD2FAtwyyocFgqGQn6ADyI/edit?usp=sharing"",""กระบี่!I346"")"),3)</f>
        <v>3</v>
      </c>
      <c r="V75" s="177">
        <f ca="1">IFERROR(__xludf.DUMMYFUNCTION("IMPORTRANGE(""https://docs.google.com/spreadsheets/d/1kKUcYdkIfrgTSj8iHHHB2MD2FAtwyyocFgqGQn6ADyI/edit?usp=sharing"",""กระบี่!J346"")"),4)</f>
        <v>4</v>
      </c>
      <c r="W75" s="354">
        <f t="shared" ca="1" si="30"/>
        <v>133.33333333333334</v>
      </c>
      <c r="X75" s="177">
        <f ca="1">IFERROR(__xludf.DUMMYFUNCTION("IMPORTRANGE(""https://docs.google.com/spreadsheets/d/1kKUcYdkIfrgTSj8iHHHB2MD2FAtwyyocFgqGQn6ADyI/edit?usp=sharing"",""กระบี่!J347"")"),27)</f>
        <v>27</v>
      </c>
      <c r="Y75" s="177">
        <f ca="1">IFERROR(__xludf.DUMMYFUNCTION("IMPORTRANGE(""https://docs.google.com/spreadsheets/d/1kKUcYdkIfrgTSj8iHHHB2MD2FAtwyyocFgqGQn6ADyI/edit?usp=sharing"",""กระบี่!J348"")"),6)</f>
        <v>6</v>
      </c>
      <c r="Z75" s="177">
        <f ca="1">IFERROR(__xludf.DUMMYFUNCTION("IMPORTRANGE(""https://docs.google.com/spreadsheets/d/1kKUcYdkIfrgTSj8iHHHB2MD2FAtwyyocFgqGQn6ADyI/edit?usp=sharing"",""กระบี่!J349"")"),0)</f>
        <v>0</v>
      </c>
      <c r="AA75" s="177">
        <f ca="1">IFERROR(__xludf.DUMMYFUNCTION("IMPORTRANGE(""https://docs.google.com/spreadsheets/d/1kKUcYdkIfrgTSj8iHHHB2MD2FAtwyyocFgqGQn6ADyI/edit?usp=sharing"",""กระบี่!J352"")"),321)</f>
        <v>321</v>
      </c>
      <c r="AB75" s="177">
        <f ca="1">IFERROR(__xludf.DUMMYFUNCTION("IMPORTRANGE(""https://docs.google.com/spreadsheets/d/1kKUcYdkIfrgTSj8iHHHB2MD2FAtwyyocFgqGQn6ADyI/edit?usp=sharing"",""กระบี่!J353"")"),3474)</f>
        <v>3474</v>
      </c>
    </row>
    <row r="76" spans="1:28" ht="21" customHeight="1" x14ac:dyDescent="0.3">
      <c r="A76" s="89">
        <v>2</v>
      </c>
      <c r="B76" s="90" t="s">
        <v>102</v>
      </c>
      <c r="C76" s="174">
        <f t="shared" ca="1" si="19"/>
        <v>109000</v>
      </c>
      <c r="D76" s="175">
        <f t="shared" ca="1" si="47"/>
        <v>109000</v>
      </c>
      <c r="E76" s="176">
        <f ca="1">IFERROR(__xludf.DUMMYFUNCTION("IMPORTRANGE(""https://docs.google.com/spreadsheets/d/1-uDff_7J0KD5mKrp0Vvzr7lt3OU09vwQwhkpOPPYv2Y/edit?usp=sharing"",""งบพรบ!ET76"")"),0)</f>
        <v>0</v>
      </c>
      <c r="F76" s="176">
        <f ca="1">IFERROR(__xludf.DUMMYFUNCTION("IMPORTRANGE(""https://docs.google.com/spreadsheets/d/1-uDff_7J0KD5mKrp0Vvzr7lt3OU09vwQwhkpOPPYv2Y/edit?usp=sharing"",""งบพรบ!EU76"")"),109000)</f>
        <v>109000</v>
      </c>
      <c r="G76" s="176">
        <f ca="1">IFERROR(__xludf.DUMMYFUNCTION("IMPORTRANGE(""https://docs.google.com/spreadsheets/d/1-uDff_7J0KD5mKrp0Vvzr7lt3OU09vwQwhkpOPPYv2Y/edit?usp=sharing"",""งบพรบ!EV76"")"),0)</f>
        <v>0</v>
      </c>
      <c r="H76" s="176">
        <f ca="1">IFERROR(__xludf.DUMMYFUNCTION("IMPORTRANGE(""https://docs.google.com/spreadsheets/d/1-uDff_7J0KD5mKrp0Vvzr7lt3OU09vwQwhkpOPPYv2Y/edit?usp=sharing"",""งบพรบ!EX76"")"),114000)</f>
        <v>114000</v>
      </c>
      <c r="I76" s="176">
        <f ca="1">IFERROR(__xludf.DUMMYFUNCTION("IMPORTRANGE(""https://docs.google.com/spreadsheets/d/1-uDff_7J0KD5mKrp0Vvzr7lt3OU09vwQwhkpOPPYv2Y/edit?usp=sharing"",""งบพรบ!EY76"")"),0)</f>
        <v>0</v>
      </c>
      <c r="J76" s="176">
        <f t="shared" ca="1" si="21"/>
        <v>47513</v>
      </c>
      <c r="K76" s="179">
        <f t="shared" ca="1" si="22"/>
        <v>43.589908256880733</v>
      </c>
      <c r="L76" s="176">
        <f ca="1">IFERROR(__xludf.DUMMYFUNCTION("IMPORTRANGE(""https://docs.google.com/spreadsheets/d/1-uDff_7J0KD5mKrp0Vvzr7lt3OU09vwQwhkpOPPYv2Y/edit?usp=sharing"",""งบพรบ!EZ76"")"),47513)</f>
        <v>47513</v>
      </c>
      <c r="M76" s="87">
        <f t="shared" ca="1" si="23"/>
        <v>43.589908256880733</v>
      </c>
      <c r="N76" s="87">
        <f t="shared" ca="1" si="24"/>
        <v>41.678070175438599</v>
      </c>
      <c r="O76" s="86">
        <f ca="1">IFERROR(__xludf.DUMMYFUNCTION("IMPORTRANGE(""https://docs.google.com/spreadsheets/d/1-uDff_7J0KD5mKrp0Vvzr7lt3OU09vwQwhkpOPPYv2Y/edit?usp=sharing"",""งบพรบ!FA76"")"),0)</f>
        <v>0</v>
      </c>
      <c r="P76" s="86">
        <f t="shared" ca="1" si="25"/>
        <v>0</v>
      </c>
      <c r="Q76" s="87">
        <f t="shared" ca="1" si="26"/>
        <v>0</v>
      </c>
      <c r="R76" s="353">
        <f ca="1">IFERROR(__xludf.DUMMYFUNCTION("IMPORTRANGE(""https://docs.google.com/spreadsheets/d/1GwtLaSlNZkLk7iDqcyZz22giiy40b_usZZBXYciEN1U/edit?usp=sharing"",""ชุมพร!I344"")"),2060)</f>
        <v>2060</v>
      </c>
      <c r="S76" s="177">
        <f ca="1">IFERROR(__xludf.DUMMYFUNCTION("IMPORTRANGE(""https://docs.google.com/spreadsheets/d/1GwtLaSlNZkLk7iDqcyZz22giiy40b_usZZBXYciEN1U/edit?usp=sharing"",""ชุมพร!J344"")"),3158)</f>
        <v>3158</v>
      </c>
      <c r="T76" s="354">
        <f t="shared" ca="1" si="28"/>
        <v>153.30097087378641</v>
      </c>
      <c r="U76" s="353">
        <f ca="1">IFERROR(__xludf.DUMMYFUNCTION("IMPORTRANGE(""https://docs.google.com/spreadsheets/d/1GwtLaSlNZkLk7iDqcyZz22giiy40b_usZZBXYciEN1U/edit?usp=sharing"",""ชุมพร!I346"")"),3)</f>
        <v>3</v>
      </c>
      <c r="V76" s="177">
        <f ca="1">IFERROR(__xludf.DUMMYFUNCTION("IMPORTRANGE(""https://docs.google.com/spreadsheets/d/1GwtLaSlNZkLk7iDqcyZz22giiy40b_usZZBXYciEN1U/edit?usp=sharing"",""ชุมพร!J346"")"),2)</f>
        <v>2</v>
      </c>
      <c r="W76" s="354">
        <f t="shared" ca="1" si="30"/>
        <v>66.666666666666671</v>
      </c>
      <c r="X76" s="177">
        <f ca="1">IFERROR(__xludf.DUMMYFUNCTION("IMPORTRANGE(""https://docs.google.com/spreadsheets/d/1GwtLaSlNZkLk7iDqcyZz22giiy40b_usZZBXYciEN1U/edit?usp=sharing"",""ชุมพร!J347"")"),0)</f>
        <v>0</v>
      </c>
      <c r="Y76" s="177">
        <f ca="1">IFERROR(__xludf.DUMMYFUNCTION("IMPORTRANGE(""https://docs.google.com/spreadsheets/d/1GwtLaSlNZkLk7iDqcyZz22giiy40b_usZZBXYciEN1U/edit?usp=sharing"",""ชุมพร!J348"")"),2)</f>
        <v>2</v>
      </c>
      <c r="Z76" s="177">
        <f ca="1">IFERROR(__xludf.DUMMYFUNCTION("IMPORTRANGE(""https://docs.google.com/spreadsheets/d/1GwtLaSlNZkLk7iDqcyZz22giiy40b_usZZBXYciEN1U/edit?usp=sharing"",""ชุมพร!J349"")"),0)</f>
        <v>0</v>
      </c>
      <c r="AA76" s="177">
        <f ca="1">IFERROR(__xludf.DUMMYFUNCTION("IMPORTRANGE(""https://docs.google.com/spreadsheets/d/1GwtLaSlNZkLk7iDqcyZz22giiy40b_usZZBXYciEN1U/edit?usp=sharing"",""ชุมพร!J352"")"),604)</f>
        <v>604</v>
      </c>
      <c r="AB76" s="177">
        <f ca="1">IFERROR(__xludf.DUMMYFUNCTION("IMPORTRANGE(""https://docs.google.com/spreadsheets/d/1GwtLaSlNZkLk7iDqcyZz22giiy40b_usZZBXYciEN1U/edit?usp=sharing"",""ชุมพร!J353"")"),4069)</f>
        <v>4069</v>
      </c>
    </row>
    <row r="77" spans="1:28" ht="21" customHeight="1" x14ac:dyDescent="0.3">
      <c r="A77" s="89">
        <v>3</v>
      </c>
      <c r="B77" s="90" t="s">
        <v>103</v>
      </c>
      <c r="C77" s="174">
        <f t="shared" ca="1" si="19"/>
        <v>106000</v>
      </c>
      <c r="D77" s="175">
        <f t="shared" ca="1" si="47"/>
        <v>106000</v>
      </c>
      <c r="E77" s="176">
        <f ca="1">IFERROR(__xludf.DUMMYFUNCTION("IMPORTRANGE(""https://docs.google.com/spreadsheets/d/1-uDff_7J0KD5mKrp0Vvzr7lt3OU09vwQwhkpOPPYv2Y/edit?usp=sharing"",""งบพรบ!ET77"")"),0)</f>
        <v>0</v>
      </c>
      <c r="F77" s="176">
        <f ca="1">IFERROR(__xludf.DUMMYFUNCTION("IMPORTRANGE(""https://docs.google.com/spreadsheets/d/1-uDff_7J0KD5mKrp0Vvzr7lt3OU09vwQwhkpOPPYv2Y/edit?usp=sharing"",""งบพรบ!EU77"")"),106000)</f>
        <v>106000</v>
      </c>
      <c r="G77" s="176">
        <f ca="1">IFERROR(__xludf.DUMMYFUNCTION("IMPORTRANGE(""https://docs.google.com/spreadsheets/d/1-uDff_7J0KD5mKrp0Vvzr7lt3OU09vwQwhkpOPPYv2Y/edit?usp=sharing"",""งบพรบ!EV77"")"),0)</f>
        <v>0</v>
      </c>
      <c r="H77" s="176">
        <f ca="1">IFERROR(__xludf.DUMMYFUNCTION("IMPORTRANGE(""https://docs.google.com/spreadsheets/d/1-uDff_7J0KD5mKrp0Vvzr7lt3OU09vwQwhkpOPPYv2Y/edit?usp=sharing"",""งบพรบ!EX77"")"),111000)</f>
        <v>111000</v>
      </c>
      <c r="I77" s="176">
        <f ca="1">IFERROR(__xludf.DUMMYFUNCTION("IMPORTRANGE(""https://docs.google.com/spreadsheets/d/1-uDff_7J0KD5mKrp0Vvzr7lt3OU09vwQwhkpOPPYv2Y/edit?usp=sharing"",""งบพรบ!EY77"")"),0)</f>
        <v>0</v>
      </c>
      <c r="J77" s="176">
        <f t="shared" ca="1" si="21"/>
        <v>52912.05</v>
      </c>
      <c r="K77" s="179">
        <f t="shared" ca="1" si="22"/>
        <v>49.917028301886795</v>
      </c>
      <c r="L77" s="176">
        <f ca="1">IFERROR(__xludf.DUMMYFUNCTION("IMPORTRANGE(""https://docs.google.com/spreadsheets/d/1-uDff_7J0KD5mKrp0Vvzr7lt3OU09vwQwhkpOPPYv2Y/edit?usp=sharing"",""งบพรบ!EZ77"")"),52912.05)</f>
        <v>52912.05</v>
      </c>
      <c r="M77" s="87">
        <f t="shared" ca="1" si="23"/>
        <v>49.917028301886795</v>
      </c>
      <c r="N77" s="87">
        <f t="shared" ca="1" si="24"/>
        <v>47.668513513513517</v>
      </c>
      <c r="O77" s="86">
        <f ca="1">IFERROR(__xludf.DUMMYFUNCTION("IMPORTRANGE(""https://docs.google.com/spreadsheets/d/1-uDff_7J0KD5mKrp0Vvzr7lt3OU09vwQwhkpOPPYv2Y/edit?usp=sharing"",""งบพรบ!FA77"")"),0)</f>
        <v>0</v>
      </c>
      <c r="P77" s="86">
        <f t="shared" ca="1" si="25"/>
        <v>0</v>
      </c>
      <c r="Q77" s="87">
        <f t="shared" ca="1" si="26"/>
        <v>0</v>
      </c>
      <c r="R77" s="353">
        <f ca="1">IFERROR(__xludf.DUMMYFUNCTION("IMPORTRANGE(""https://docs.google.com/spreadsheets/d/16pAz3pOhQEZBhvFNMa5KGgZS6iKWpsKX0pg6tQmwFpo/edit?usp=sharing"",""ตรัง!I344"")"),1140)</f>
        <v>1140</v>
      </c>
      <c r="S77" s="177">
        <f ca="1">IFERROR(__xludf.DUMMYFUNCTION("IMPORTRANGE(""https://docs.google.com/spreadsheets/d/16pAz3pOhQEZBhvFNMa5KGgZS6iKWpsKX0pg6tQmwFpo/edit?usp=sharing"",""ตรัง!J344"")"),2282)</f>
        <v>2282</v>
      </c>
      <c r="T77" s="354">
        <f t="shared" ca="1" si="28"/>
        <v>200.17543859649123</v>
      </c>
      <c r="U77" s="353">
        <f ca="1">IFERROR(__xludf.DUMMYFUNCTION("IMPORTRANGE(""https://docs.google.com/spreadsheets/d/16pAz3pOhQEZBhvFNMa5KGgZS6iKWpsKX0pg6tQmwFpo/edit?usp=sharing"",""ตรัง!I346"")"),3)</f>
        <v>3</v>
      </c>
      <c r="V77" s="177">
        <f ca="1">IFERROR(__xludf.DUMMYFUNCTION("IMPORTRANGE(""https://docs.google.com/spreadsheets/d/16pAz3pOhQEZBhvFNMa5KGgZS6iKWpsKX0pg6tQmwFpo/edit?usp=sharing"",""ตรัง!J346"")"),6)</f>
        <v>6</v>
      </c>
      <c r="W77" s="354">
        <f t="shared" ca="1" si="30"/>
        <v>200</v>
      </c>
      <c r="X77" s="177">
        <f ca="1">IFERROR(__xludf.DUMMYFUNCTION("IMPORTRANGE(""https://docs.google.com/spreadsheets/d/16pAz3pOhQEZBhvFNMa5KGgZS6iKWpsKX0pg6tQmwFpo/edit?usp=sharing"",""ตรัง!J347"")"),0)</f>
        <v>0</v>
      </c>
      <c r="Y77" s="177">
        <f ca="1">IFERROR(__xludf.DUMMYFUNCTION("IMPORTRANGE(""https://docs.google.com/spreadsheets/d/16pAz3pOhQEZBhvFNMa5KGgZS6iKWpsKX0pg6tQmwFpo/edit?usp=sharing"",""ตรัง!J348"")"),0)</f>
        <v>0</v>
      </c>
      <c r="Z77" s="177">
        <f ca="1">IFERROR(__xludf.DUMMYFUNCTION("IMPORTRANGE(""https://docs.google.com/spreadsheets/d/16pAz3pOhQEZBhvFNMa5KGgZS6iKWpsKX0pg6tQmwFpo/edit?usp=sharing"",""ตรัง!J349"")"),0)</f>
        <v>0</v>
      </c>
      <c r="AA77" s="177">
        <f ca="1">IFERROR(__xludf.DUMMYFUNCTION("IMPORTRANGE(""https://docs.google.com/spreadsheets/d/16pAz3pOhQEZBhvFNMa5KGgZS6iKWpsKX0pg6tQmwFpo/edit?usp=sharing"",""ตรัง!J352"")"),4314)</f>
        <v>4314</v>
      </c>
      <c r="AB77" s="177">
        <f ca="1">IFERROR(__xludf.DUMMYFUNCTION("IMPORTRANGE(""https://docs.google.com/spreadsheets/d/16pAz3pOhQEZBhvFNMa5KGgZS6iKWpsKX0pg6tQmwFpo/edit?usp=sharing"",""ตรัง!J353"")"),1107)</f>
        <v>1107</v>
      </c>
    </row>
    <row r="78" spans="1:28" ht="21" customHeight="1" x14ac:dyDescent="0.3">
      <c r="A78" s="89">
        <v>4</v>
      </c>
      <c r="B78" s="90" t="s">
        <v>104</v>
      </c>
      <c r="C78" s="174">
        <f t="shared" ca="1" si="19"/>
        <v>110000</v>
      </c>
      <c r="D78" s="175">
        <f t="shared" ca="1" si="47"/>
        <v>110000</v>
      </c>
      <c r="E78" s="176">
        <f ca="1">IFERROR(__xludf.DUMMYFUNCTION("IMPORTRANGE(""https://docs.google.com/spreadsheets/d/1-uDff_7J0KD5mKrp0Vvzr7lt3OU09vwQwhkpOPPYv2Y/edit?usp=sharing"",""งบพรบ!ET78"")"),0)</f>
        <v>0</v>
      </c>
      <c r="F78" s="176">
        <f ca="1">IFERROR(__xludf.DUMMYFUNCTION("IMPORTRANGE(""https://docs.google.com/spreadsheets/d/1-uDff_7J0KD5mKrp0Vvzr7lt3OU09vwQwhkpOPPYv2Y/edit?usp=sharing"",""งบพรบ!EU78"")"),110000)</f>
        <v>110000</v>
      </c>
      <c r="G78" s="176">
        <f ca="1">IFERROR(__xludf.DUMMYFUNCTION("IMPORTRANGE(""https://docs.google.com/spreadsheets/d/1-uDff_7J0KD5mKrp0Vvzr7lt3OU09vwQwhkpOPPYv2Y/edit?usp=sharing"",""งบพรบ!EV78"")"),0)</f>
        <v>0</v>
      </c>
      <c r="H78" s="176">
        <f ca="1">IFERROR(__xludf.DUMMYFUNCTION("IMPORTRANGE(""https://docs.google.com/spreadsheets/d/1-uDff_7J0KD5mKrp0Vvzr7lt3OU09vwQwhkpOPPYv2Y/edit?usp=sharing"",""งบพรบ!EX78"")"),166175)</f>
        <v>166175</v>
      </c>
      <c r="I78" s="176">
        <f ca="1">IFERROR(__xludf.DUMMYFUNCTION("IMPORTRANGE(""https://docs.google.com/spreadsheets/d/1-uDff_7J0KD5mKrp0Vvzr7lt3OU09vwQwhkpOPPYv2Y/edit?usp=sharing"",""งบพรบ!EY78"")"),0)</f>
        <v>0</v>
      </c>
      <c r="J78" s="176">
        <f t="shared" ca="1" si="21"/>
        <v>98486.6</v>
      </c>
      <c r="K78" s="179">
        <f t="shared" ca="1" si="22"/>
        <v>89.533272727272731</v>
      </c>
      <c r="L78" s="176">
        <f ca="1">IFERROR(__xludf.DUMMYFUNCTION("IMPORTRANGE(""https://docs.google.com/spreadsheets/d/1-uDff_7J0KD5mKrp0Vvzr7lt3OU09vwQwhkpOPPYv2Y/edit?usp=sharing"",""งบพรบ!EZ78"")"),98486.6)</f>
        <v>98486.6</v>
      </c>
      <c r="M78" s="87">
        <f t="shared" ca="1" si="23"/>
        <v>89.533272727272731</v>
      </c>
      <c r="N78" s="87">
        <f t="shared" ca="1" si="24"/>
        <v>59.266797051301339</v>
      </c>
      <c r="O78" s="86">
        <f ca="1">IFERROR(__xludf.DUMMYFUNCTION("IMPORTRANGE(""https://docs.google.com/spreadsheets/d/1-uDff_7J0KD5mKrp0Vvzr7lt3OU09vwQwhkpOPPYv2Y/edit?usp=sharing"",""งบพรบ!FA78"")"),0)</f>
        <v>0</v>
      </c>
      <c r="P78" s="86">
        <f t="shared" ca="1" si="25"/>
        <v>0</v>
      </c>
      <c r="Q78" s="87">
        <f t="shared" ca="1" si="26"/>
        <v>0</v>
      </c>
      <c r="R78" s="353">
        <f ca="1">IFERROR(__xludf.DUMMYFUNCTION("IMPORTRANGE(""https://docs.google.com/spreadsheets/d/1Dj4jcHCTV9JXKCaMoheSXS52JE63kDKyG7bPXnFogHk/edit?usp=sharing"",""นครศรีธรรมราช!I344"")"),1060)</f>
        <v>1060</v>
      </c>
      <c r="S78" s="177">
        <f ca="1">IFERROR(__xludf.DUMMYFUNCTION("IMPORTRANGE(""https://docs.google.com/spreadsheets/d/1Dj4jcHCTV9JXKCaMoheSXS52JE63kDKyG7bPXnFogHk/edit?usp=sharing"",""นครศรีธรรมราช!J344"")"),1498)</f>
        <v>1498</v>
      </c>
      <c r="T78" s="354">
        <f t="shared" ca="1" si="28"/>
        <v>141.32075471698113</v>
      </c>
      <c r="U78" s="353">
        <f ca="1">IFERROR(__xludf.DUMMYFUNCTION("IMPORTRANGE(""https://docs.google.com/spreadsheets/d/1Dj4jcHCTV9JXKCaMoheSXS52JE63kDKyG7bPXnFogHk/edit?usp=sharing"",""นครศรีธรรมราช!I346"")"),5)</f>
        <v>5</v>
      </c>
      <c r="V78" s="177">
        <f ca="1">IFERROR(__xludf.DUMMYFUNCTION("IMPORTRANGE(""https://docs.google.com/spreadsheets/d/1Dj4jcHCTV9JXKCaMoheSXS52JE63kDKyG7bPXnFogHk/edit?usp=sharing"",""นครศรีธรรมราช!J346"")"),1)</f>
        <v>1</v>
      </c>
      <c r="W78" s="354">
        <f t="shared" ca="1" si="30"/>
        <v>20</v>
      </c>
      <c r="X78" s="177">
        <f ca="1">IFERROR(__xludf.DUMMYFUNCTION("IMPORTRANGE(""https://docs.google.com/spreadsheets/d/1Dj4jcHCTV9JXKCaMoheSXS52JE63kDKyG7bPXnFogHk/edit?usp=sharing"",""นครศรีธรรมราช!J347"")"),1)</f>
        <v>1</v>
      </c>
      <c r="Y78" s="177">
        <f ca="1">IFERROR(__xludf.DUMMYFUNCTION("IMPORTRANGE(""https://docs.google.com/spreadsheets/d/1Dj4jcHCTV9JXKCaMoheSXS52JE63kDKyG7bPXnFogHk/edit?usp=sharing"",""นครศรีธรรมราช!J348"")"),0)</f>
        <v>0</v>
      </c>
      <c r="Z78" s="177">
        <f ca="1">IFERROR(__xludf.DUMMYFUNCTION("IMPORTRANGE(""https://docs.google.com/spreadsheets/d/1Dj4jcHCTV9JXKCaMoheSXS52JE63kDKyG7bPXnFogHk/edit?usp=sharing"",""นครศรีธรรมราช!J349"")"),0)</f>
        <v>0</v>
      </c>
      <c r="AA78" s="177">
        <f ca="1">IFERROR(__xludf.DUMMYFUNCTION("IMPORTRANGE(""https://docs.google.com/spreadsheets/d/1Dj4jcHCTV9JXKCaMoheSXS52JE63kDKyG7bPXnFogHk/edit?usp=sharing"",""นครศรีธรรมราช!J352"")"),2114)</f>
        <v>2114</v>
      </c>
      <c r="AB78" s="177">
        <f ca="1">IFERROR(__xludf.DUMMYFUNCTION("IMPORTRANGE(""https://docs.google.com/spreadsheets/d/1Dj4jcHCTV9JXKCaMoheSXS52JE63kDKyG7bPXnFogHk/edit?usp=sharing"",""นครศรีธรรมราช!J353"")"),2739)</f>
        <v>2739</v>
      </c>
    </row>
    <row r="79" spans="1:28" ht="21" customHeight="1" x14ac:dyDescent="0.3">
      <c r="A79" s="89">
        <v>5</v>
      </c>
      <c r="B79" s="90" t="s">
        <v>105</v>
      </c>
      <c r="C79" s="174">
        <f t="shared" ca="1" si="19"/>
        <v>165500</v>
      </c>
      <c r="D79" s="175">
        <f t="shared" ca="1" si="47"/>
        <v>165500</v>
      </c>
      <c r="E79" s="176">
        <f ca="1">IFERROR(__xludf.DUMMYFUNCTION("IMPORTRANGE(""https://docs.google.com/spreadsheets/d/1-uDff_7J0KD5mKrp0Vvzr7lt3OU09vwQwhkpOPPYv2Y/edit?usp=sharing"",""งบพรบ!ET79"")"),66500)</f>
        <v>66500</v>
      </c>
      <c r="F79" s="176">
        <f ca="1">IFERROR(__xludf.DUMMYFUNCTION("IMPORTRANGE(""https://docs.google.com/spreadsheets/d/1-uDff_7J0KD5mKrp0Vvzr7lt3OU09vwQwhkpOPPYv2Y/edit?usp=sharing"",""งบพรบ!EU79"")"),99000)</f>
        <v>99000</v>
      </c>
      <c r="G79" s="176">
        <f ca="1">IFERROR(__xludf.DUMMYFUNCTION("IMPORTRANGE(""https://docs.google.com/spreadsheets/d/1-uDff_7J0KD5mKrp0Vvzr7lt3OU09vwQwhkpOPPYv2Y/edit?usp=sharing"",""งบพรบ!EV79"")"),0)</f>
        <v>0</v>
      </c>
      <c r="H79" s="176">
        <f ca="1">IFERROR(__xludf.DUMMYFUNCTION("IMPORTRANGE(""https://docs.google.com/spreadsheets/d/1-uDff_7J0KD5mKrp0Vvzr7lt3OU09vwQwhkpOPPYv2Y/edit?usp=sharing"",""งบพรบ!EX79"")"),170500)</f>
        <v>170500</v>
      </c>
      <c r="I79" s="176">
        <f ca="1">IFERROR(__xludf.DUMMYFUNCTION("IMPORTRANGE(""https://docs.google.com/spreadsheets/d/1-uDff_7J0KD5mKrp0Vvzr7lt3OU09vwQwhkpOPPYv2Y/edit?usp=sharing"",""งบพรบ!EY79"")"),0)</f>
        <v>0</v>
      </c>
      <c r="J79" s="176">
        <f t="shared" ca="1" si="21"/>
        <v>85278</v>
      </c>
      <c r="K79" s="179">
        <f t="shared" ca="1" si="22"/>
        <v>51.527492447129909</v>
      </c>
      <c r="L79" s="176">
        <f ca="1">IFERROR(__xludf.DUMMYFUNCTION("IMPORTRANGE(""https://docs.google.com/spreadsheets/d/1-uDff_7J0KD5mKrp0Vvzr7lt3OU09vwQwhkpOPPYv2Y/edit?usp=sharing"",""งบพรบ!EZ79"")"),85278)</f>
        <v>85278</v>
      </c>
      <c r="M79" s="87">
        <f t="shared" ca="1" si="23"/>
        <v>51.527492447129909</v>
      </c>
      <c r="N79" s="87">
        <f t="shared" ca="1" si="24"/>
        <v>50.016422287390029</v>
      </c>
      <c r="O79" s="86">
        <f ca="1">IFERROR(__xludf.DUMMYFUNCTION("IMPORTRANGE(""https://docs.google.com/spreadsheets/d/1-uDff_7J0KD5mKrp0Vvzr7lt3OU09vwQwhkpOPPYv2Y/edit?usp=sharing"",""งบพรบ!FA79"")"),0)</f>
        <v>0</v>
      </c>
      <c r="P79" s="86">
        <f t="shared" ca="1" si="25"/>
        <v>0</v>
      </c>
      <c r="Q79" s="87">
        <f t="shared" ca="1" si="26"/>
        <v>0</v>
      </c>
      <c r="R79" s="353">
        <f ca="1">IFERROR(__xludf.DUMMYFUNCTION("IMPORTRANGE(""https://docs.google.com/spreadsheets/d/1iodCdmuK2GR3jzUwk8tpccY2JHQQA-87DLOtJP-ooyU/edit?usp=sharing"",""นราธิวาส!I344"")"),200)</f>
        <v>200</v>
      </c>
      <c r="S79" s="177">
        <f ca="1">IFERROR(__xludf.DUMMYFUNCTION("IMPORTRANGE(""https://docs.google.com/spreadsheets/d/1iodCdmuK2GR3jzUwk8tpccY2JHQQA-87DLOtJP-ooyU/edit?usp=sharing"",""นราธิวาส!J344"")"),142)</f>
        <v>142</v>
      </c>
      <c r="T79" s="354">
        <f t="shared" ca="1" si="28"/>
        <v>71</v>
      </c>
      <c r="U79" s="353">
        <f ca="1">IFERROR(__xludf.DUMMYFUNCTION("IMPORTRANGE(""https://docs.google.com/spreadsheets/d/1iodCdmuK2GR3jzUwk8tpccY2JHQQA-87DLOtJP-ooyU/edit?usp=sharing"",""นราธิวาส!I346"")"),1)</f>
        <v>1</v>
      </c>
      <c r="V79" s="177">
        <f ca="1">IFERROR(__xludf.DUMMYFUNCTION("IMPORTRANGE(""https://docs.google.com/spreadsheets/d/1iodCdmuK2GR3jzUwk8tpccY2JHQQA-87DLOtJP-ooyU/edit?usp=sharing"",""นราธิวาส!J346"")"),2)</f>
        <v>2</v>
      </c>
      <c r="W79" s="354">
        <f t="shared" ca="1" si="30"/>
        <v>200</v>
      </c>
      <c r="X79" s="177">
        <f ca="1">IFERROR(__xludf.DUMMYFUNCTION("IMPORTRANGE(""https://docs.google.com/spreadsheets/d/1iodCdmuK2GR3jzUwk8tpccY2JHQQA-87DLOtJP-ooyU/edit?usp=sharing"",""นราธิวาส!J347"")"),183)</f>
        <v>183</v>
      </c>
      <c r="Y79" s="177">
        <f ca="1">IFERROR(__xludf.DUMMYFUNCTION("IMPORTRANGE(""https://docs.google.com/spreadsheets/d/1iodCdmuK2GR3jzUwk8tpccY2JHQQA-87DLOtJP-ooyU/edit?usp=sharing"",""นราธิวาส!J348"")"),4)</f>
        <v>4</v>
      </c>
      <c r="Z79" s="177">
        <f ca="1">IFERROR(__xludf.DUMMYFUNCTION("IMPORTRANGE(""https://docs.google.com/spreadsheets/d/1iodCdmuK2GR3jzUwk8tpccY2JHQQA-87DLOtJP-ooyU/edit?usp=sharing"",""นราธิวาส!J349"")"),0)</f>
        <v>0</v>
      </c>
      <c r="AA79" s="177">
        <f ca="1">IFERROR(__xludf.DUMMYFUNCTION("IMPORTRANGE(""https://docs.google.com/spreadsheets/d/1iodCdmuK2GR3jzUwk8tpccY2JHQQA-87DLOtJP-ooyU/edit?usp=sharing"",""นราธิวาส!J352"")"),0)</f>
        <v>0</v>
      </c>
      <c r="AB79" s="177">
        <f ca="1">IFERROR(__xludf.DUMMYFUNCTION("IMPORTRANGE(""https://docs.google.com/spreadsheets/d/1iodCdmuK2GR3jzUwk8tpccY2JHQQA-87DLOtJP-ooyU/edit?usp=sharing"",""นราธิวาส!J353"")"),49)</f>
        <v>49</v>
      </c>
    </row>
    <row r="80" spans="1:28" ht="21" customHeight="1" x14ac:dyDescent="0.3">
      <c r="A80" s="89">
        <v>6</v>
      </c>
      <c r="B80" s="90" t="s">
        <v>106</v>
      </c>
      <c r="C80" s="174">
        <f t="shared" ca="1" si="19"/>
        <v>99000</v>
      </c>
      <c r="D80" s="175">
        <f t="shared" ca="1" si="47"/>
        <v>99000</v>
      </c>
      <c r="E80" s="176">
        <f ca="1">IFERROR(__xludf.DUMMYFUNCTION("IMPORTRANGE(""https://docs.google.com/spreadsheets/d/1-uDff_7J0KD5mKrp0Vvzr7lt3OU09vwQwhkpOPPYv2Y/edit?usp=sharing"",""งบพรบ!ET80"")"),0)</f>
        <v>0</v>
      </c>
      <c r="F80" s="176">
        <f ca="1">IFERROR(__xludf.DUMMYFUNCTION("IMPORTRANGE(""https://docs.google.com/spreadsheets/d/1-uDff_7J0KD5mKrp0Vvzr7lt3OU09vwQwhkpOPPYv2Y/edit?usp=sharing"",""งบพรบ!EU80"")"),99000)</f>
        <v>99000</v>
      </c>
      <c r="G80" s="176">
        <f ca="1">IFERROR(__xludf.DUMMYFUNCTION("IMPORTRANGE(""https://docs.google.com/spreadsheets/d/1-uDff_7J0KD5mKrp0Vvzr7lt3OU09vwQwhkpOPPYv2Y/edit?usp=sharing"",""งบพรบ!EV80"")"),0)</f>
        <v>0</v>
      </c>
      <c r="H80" s="176">
        <f ca="1">IFERROR(__xludf.DUMMYFUNCTION("IMPORTRANGE(""https://docs.google.com/spreadsheets/d/1-uDff_7J0KD5mKrp0Vvzr7lt3OU09vwQwhkpOPPYv2Y/edit?usp=sharing"",""งบพรบ!EX80"")"),104000)</f>
        <v>104000</v>
      </c>
      <c r="I80" s="176">
        <f ca="1">IFERROR(__xludf.DUMMYFUNCTION("IMPORTRANGE(""https://docs.google.com/spreadsheets/d/1-uDff_7J0KD5mKrp0Vvzr7lt3OU09vwQwhkpOPPYv2Y/edit?usp=sharing"",""งบพรบ!EY80"")"),0)</f>
        <v>0</v>
      </c>
      <c r="J80" s="176">
        <f t="shared" ca="1" si="21"/>
        <v>39475</v>
      </c>
      <c r="K80" s="179">
        <f t="shared" ca="1" si="22"/>
        <v>39.873737373737377</v>
      </c>
      <c r="L80" s="176">
        <f ca="1">IFERROR(__xludf.DUMMYFUNCTION("IMPORTRANGE(""https://docs.google.com/spreadsheets/d/1-uDff_7J0KD5mKrp0Vvzr7lt3OU09vwQwhkpOPPYv2Y/edit?usp=sharing"",""งบพรบ!EZ80"")"),39475)</f>
        <v>39475</v>
      </c>
      <c r="M80" s="87">
        <f t="shared" ca="1" si="23"/>
        <v>39.873737373737377</v>
      </c>
      <c r="N80" s="87">
        <f t="shared" ca="1" si="24"/>
        <v>37.956730769230766</v>
      </c>
      <c r="O80" s="86">
        <f ca="1">IFERROR(__xludf.DUMMYFUNCTION("IMPORTRANGE(""https://docs.google.com/spreadsheets/d/1-uDff_7J0KD5mKrp0Vvzr7lt3OU09vwQwhkpOPPYv2Y/edit?usp=sharing"",""งบพรบ!FA80"")"),0)</f>
        <v>0</v>
      </c>
      <c r="P80" s="86">
        <f t="shared" ca="1" si="25"/>
        <v>0</v>
      </c>
      <c r="Q80" s="87">
        <f t="shared" ca="1" si="26"/>
        <v>0</v>
      </c>
      <c r="R80" s="355">
        <f ca="1">IFERROR(__xludf.DUMMYFUNCTION("IMPORTRANGE(""https://docs.google.com/spreadsheets/d/1SDNX3JhDdYRuIOsj0Wh2M-Qa_eaXl0NbWmhAOTbfQAs/edit?usp=sharing"",""ปัตตานี!I344"")"),200)</f>
        <v>200</v>
      </c>
      <c r="S80" s="177">
        <f ca="1">IFERROR(__xludf.DUMMYFUNCTION("IMPORTRANGE(""https://docs.google.com/spreadsheets/d/1SDNX3JhDdYRuIOsj0Wh2M-Qa_eaXl0NbWmhAOTbfQAs/edit?usp=sharing"",""ปัตตานี!J344"")"),123)</f>
        <v>123</v>
      </c>
      <c r="T80" s="354">
        <f t="shared" ca="1" si="28"/>
        <v>61.5</v>
      </c>
      <c r="U80" s="355">
        <f ca="1">IFERROR(__xludf.DUMMYFUNCTION("IMPORTRANGE(""https://docs.google.com/spreadsheets/d/1SDNX3JhDdYRuIOsj0Wh2M-Qa_eaXl0NbWmhAOTbfQAs/edit?usp=sharing"",""ปัตตานี!I346"")"),1)</f>
        <v>1</v>
      </c>
      <c r="V80" s="177">
        <f ca="1">IFERROR(__xludf.DUMMYFUNCTION("IMPORTRANGE(""https://docs.google.com/spreadsheets/d/1SDNX3JhDdYRuIOsj0Wh2M-Qa_eaXl0NbWmhAOTbfQAs/edit?usp=sharing"",""ปัตตานี!J346"")"),3)</f>
        <v>3</v>
      </c>
      <c r="W80" s="354">
        <f t="shared" ca="1" si="30"/>
        <v>300</v>
      </c>
      <c r="X80" s="177">
        <f ca="1">IFERROR(__xludf.DUMMYFUNCTION("IMPORTRANGE(""https://docs.google.com/spreadsheets/d/1SDNX3JhDdYRuIOsj0Wh2M-Qa_eaXl0NbWmhAOTbfQAs/edit?usp=sharing"",""ปัตตานี!J347"")"),0)</f>
        <v>0</v>
      </c>
      <c r="Y80" s="177">
        <f ca="1">IFERROR(__xludf.DUMMYFUNCTION("IMPORTRANGE(""https://docs.google.com/spreadsheets/d/1SDNX3JhDdYRuIOsj0Wh2M-Qa_eaXl0NbWmhAOTbfQAs/edit?usp=sharing"",""ปัตตานี!J348"")"),0)</f>
        <v>0</v>
      </c>
      <c r="Z80" s="177">
        <f ca="1">IFERROR(__xludf.DUMMYFUNCTION("IMPORTRANGE(""https://docs.google.com/spreadsheets/d/1SDNX3JhDdYRuIOsj0Wh2M-Qa_eaXl0NbWmhAOTbfQAs/edit?usp=sharing"",""ปัตตานี!J349"")"),0)</f>
        <v>0</v>
      </c>
      <c r="AA80" s="177">
        <f ca="1">IFERROR(__xludf.DUMMYFUNCTION("IMPORTRANGE(""https://docs.google.com/spreadsheets/d/1SDNX3JhDdYRuIOsj0Wh2M-Qa_eaXl0NbWmhAOTbfQAs/edit?usp=sharing"",""ปัตตานี!J352"")"),32)</f>
        <v>32</v>
      </c>
      <c r="AB80" s="177">
        <f ca="1">IFERROR(__xludf.DUMMYFUNCTION("IMPORTRANGE(""https://docs.google.com/spreadsheets/d/1SDNX3JhDdYRuIOsj0Wh2M-Qa_eaXl0NbWmhAOTbfQAs/edit?usp=sharing"",""ปัตตานี!J353"")"),428)</f>
        <v>428</v>
      </c>
    </row>
    <row r="81" spans="1:28" ht="21" customHeight="1" x14ac:dyDescent="0.3">
      <c r="A81" s="89">
        <v>7</v>
      </c>
      <c r="B81" s="90" t="s">
        <v>107</v>
      </c>
      <c r="C81" s="174">
        <f t="shared" ca="1" si="19"/>
        <v>103000</v>
      </c>
      <c r="D81" s="175">
        <f t="shared" ca="1" si="47"/>
        <v>103000</v>
      </c>
      <c r="E81" s="176">
        <f ca="1">IFERROR(__xludf.DUMMYFUNCTION("IMPORTRANGE(""https://docs.google.com/spreadsheets/d/1-uDff_7J0KD5mKrp0Vvzr7lt3OU09vwQwhkpOPPYv2Y/edit?usp=sharing"",""งบพรบ!ET81"")"),0)</f>
        <v>0</v>
      </c>
      <c r="F81" s="176">
        <f ca="1">IFERROR(__xludf.DUMMYFUNCTION("IMPORTRANGE(""https://docs.google.com/spreadsheets/d/1-uDff_7J0KD5mKrp0Vvzr7lt3OU09vwQwhkpOPPYv2Y/edit?usp=sharing"",""งบพรบ!EU81"")"),103000)</f>
        <v>103000</v>
      </c>
      <c r="G81" s="176">
        <f ca="1">IFERROR(__xludf.DUMMYFUNCTION("IMPORTRANGE(""https://docs.google.com/spreadsheets/d/1-uDff_7J0KD5mKrp0Vvzr7lt3OU09vwQwhkpOPPYv2Y/edit?usp=sharing"",""งบพรบ!EV81"")"),0)</f>
        <v>0</v>
      </c>
      <c r="H81" s="176">
        <f ca="1">IFERROR(__xludf.DUMMYFUNCTION("IMPORTRANGE(""https://docs.google.com/spreadsheets/d/1-uDff_7J0KD5mKrp0Vvzr7lt3OU09vwQwhkpOPPYv2Y/edit?usp=sharing"",""งบพรบ!EX81"")"),108000)</f>
        <v>108000</v>
      </c>
      <c r="I81" s="176">
        <f ca="1">IFERROR(__xludf.DUMMYFUNCTION("IMPORTRANGE(""https://docs.google.com/spreadsheets/d/1-uDff_7J0KD5mKrp0Vvzr7lt3OU09vwQwhkpOPPYv2Y/edit?usp=sharing"",""งบพรบ!EY81"")"),0)</f>
        <v>0</v>
      </c>
      <c r="J81" s="176">
        <f t="shared" ca="1" si="21"/>
        <v>8760</v>
      </c>
      <c r="K81" s="179">
        <f t="shared" ca="1" si="22"/>
        <v>8.5048543689320386</v>
      </c>
      <c r="L81" s="176">
        <f ca="1">IFERROR(__xludf.DUMMYFUNCTION("IMPORTRANGE(""https://docs.google.com/spreadsheets/d/1-uDff_7J0KD5mKrp0Vvzr7lt3OU09vwQwhkpOPPYv2Y/edit?usp=sharing"",""งบพรบ!EZ81"")"),8760)</f>
        <v>8760</v>
      </c>
      <c r="M81" s="87">
        <f t="shared" ca="1" si="23"/>
        <v>8.5048543689320386</v>
      </c>
      <c r="N81" s="87">
        <f t="shared" ca="1" si="24"/>
        <v>8.1111111111111107</v>
      </c>
      <c r="O81" s="86">
        <f ca="1">IFERROR(__xludf.DUMMYFUNCTION("IMPORTRANGE(""https://docs.google.com/spreadsheets/d/1-uDff_7J0KD5mKrp0Vvzr7lt3OU09vwQwhkpOPPYv2Y/edit?usp=sharing"",""งบพรบ!FA81"")"),0)</f>
        <v>0</v>
      </c>
      <c r="P81" s="86">
        <f t="shared" ca="1" si="25"/>
        <v>0</v>
      </c>
      <c r="Q81" s="87">
        <f t="shared" ca="1" si="26"/>
        <v>0</v>
      </c>
      <c r="R81" s="353">
        <f ca="1">IFERROR(__xludf.DUMMYFUNCTION("IMPORTRANGE(""https://docs.google.com/spreadsheets/d/16JDLGguT8s5DsGCND1KcwHP_AWR_zDMTqLHPLJUKhaU/edit?usp=sharing"",""พังงา!I344"")"),540)</f>
        <v>540</v>
      </c>
      <c r="S81" s="177">
        <f ca="1">IFERROR(__xludf.DUMMYFUNCTION("IMPORTRANGE(""https://docs.google.com/spreadsheets/d/16JDLGguT8s5DsGCND1KcwHP_AWR_zDMTqLHPLJUKhaU/edit?usp=sharing"",""พังงา!J344"")"),502)</f>
        <v>502</v>
      </c>
      <c r="T81" s="354">
        <f t="shared" ca="1" si="28"/>
        <v>92.962962962962962</v>
      </c>
      <c r="U81" s="353">
        <f ca="1">IFERROR(__xludf.DUMMYFUNCTION("IMPORTRANGE(""https://docs.google.com/spreadsheets/d/16JDLGguT8s5DsGCND1KcwHP_AWR_zDMTqLHPLJUKhaU/edit?usp=sharing"",""พังงา!I346"")"),3)</f>
        <v>3</v>
      </c>
      <c r="V81" s="177">
        <f ca="1">IFERROR(__xludf.DUMMYFUNCTION("IMPORTRANGE(""https://docs.google.com/spreadsheets/d/16JDLGguT8s5DsGCND1KcwHP_AWR_zDMTqLHPLJUKhaU/edit?usp=sharing"",""พังงา!J346"")"),2)</f>
        <v>2</v>
      </c>
      <c r="W81" s="354">
        <f t="shared" ca="1" si="30"/>
        <v>66.666666666666671</v>
      </c>
      <c r="X81" s="177">
        <f ca="1">IFERROR(__xludf.DUMMYFUNCTION("IMPORTRANGE(""https://docs.google.com/spreadsheets/d/16JDLGguT8s5DsGCND1KcwHP_AWR_zDMTqLHPLJUKhaU/edit?usp=sharing"",""พังงา!J347"")"),8)</f>
        <v>8</v>
      </c>
      <c r="Y81" s="177">
        <f ca="1">IFERROR(__xludf.DUMMYFUNCTION("IMPORTRANGE(""https://docs.google.com/spreadsheets/d/16JDLGguT8s5DsGCND1KcwHP_AWR_zDMTqLHPLJUKhaU/edit?usp=sharing"",""พังงา!J348"")"),0)</f>
        <v>0</v>
      </c>
      <c r="Z81" s="177">
        <f ca="1">IFERROR(__xludf.DUMMYFUNCTION("IMPORTRANGE(""https://docs.google.com/spreadsheets/d/16JDLGguT8s5DsGCND1KcwHP_AWR_zDMTqLHPLJUKhaU/edit?usp=sharing"",""พังงา!J349"")"),0)</f>
        <v>0</v>
      </c>
      <c r="AA81" s="177">
        <f ca="1">IFERROR(__xludf.DUMMYFUNCTION("IMPORTRANGE(""https://docs.google.com/spreadsheets/d/16JDLGguT8s5DsGCND1KcwHP_AWR_zDMTqLHPLJUKhaU/edit?usp=sharing"",""พังงา!J352"")"),400)</f>
        <v>400</v>
      </c>
      <c r="AB81" s="177">
        <f ca="1">IFERROR(__xludf.DUMMYFUNCTION("IMPORTRANGE(""https://docs.google.com/spreadsheets/d/16JDLGguT8s5DsGCND1KcwHP_AWR_zDMTqLHPLJUKhaU/edit?usp=sharing"",""พังงา!J353"")"),312)</f>
        <v>312</v>
      </c>
    </row>
    <row r="82" spans="1:28" ht="21" customHeight="1" x14ac:dyDescent="0.3">
      <c r="A82" s="89">
        <v>8</v>
      </c>
      <c r="B82" s="90" t="s">
        <v>108</v>
      </c>
      <c r="C82" s="174">
        <f t="shared" ca="1" si="19"/>
        <v>102000</v>
      </c>
      <c r="D82" s="175">
        <f t="shared" ca="1" si="47"/>
        <v>102000</v>
      </c>
      <c r="E82" s="176">
        <f ca="1">IFERROR(__xludf.DUMMYFUNCTION("IMPORTRANGE(""https://docs.google.com/spreadsheets/d/1-uDff_7J0KD5mKrp0Vvzr7lt3OU09vwQwhkpOPPYv2Y/edit?usp=sharing"",""งบพรบ!ET82"")"),0)</f>
        <v>0</v>
      </c>
      <c r="F82" s="176">
        <f ca="1">IFERROR(__xludf.DUMMYFUNCTION("IMPORTRANGE(""https://docs.google.com/spreadsheets/d/1-uDff_7J0KD5mKrp0Vvzr7lt3OU09vwQwhkpOPPYv2Y/edit?usp=sharing"",""งบพรบ!EU82"")"),102000)</f>
        <v>102000</v>
      </c>
      <c r="G82" s="176">
        <f ca="1">IFERROR(__xludf.DUMMYFUNCTION("IMPORTRANGE(""https://docs.google.com/spreadsheets/d/1-uDff_7J0KD5mKrp0Vvzr7lt3OU09vwQwhkpOPPYv2Y/edit?usp=sharing"",""งบพรบ!EV82"")"),0)</f>
        <v>0</v>
      </c>
      <c r="H82" s="176">
        <f ca="1">IFERROR(__xludf.DUMMYFUNCTION("IMPORTRANGE(""https://docs.google.com/spreadsheets/d/1-uDff_7J0KD5mKrp0Vvzr7lt3OU09vwQwhkpOPPYv2Y/edit?usp=sharing"",""งบพรบ!EX82"")"),107000)</f>
        <v>107000</v>
      </c>
      <c r="I82" s="176">
        <f ca="1">IFERROR(__xludf.DUMMYFUNCTION("IMPORTRANGE(""https://docs.google.com/spreadsheets/d/1-uDff_7J0KD5mKrp0Vvzr7lt3OU09vwQwhkpOPPYv2Y/edit?usp=sharing"",""งบพรบ!EY82"")"),0)</f>
        <v>0</v>
      </c>
      <c r="J82" s="176">
        <f t="shared" ca="1" si="21"/>
        <v>41400</v>
      </c>
      <c r="K82" s="179">
        <f t="shared" ca="1" si="22"/>
        <v>40.588235294117645</v>
      </c>
      <c r="L82" s="176">
        <f ca="1">IFERROR(__xludf.DUMMYFUNCTION("IMPORTRANGE(""https://docs.google.com/spreadsheets/d/1-uDff_7J0KD5mKrp0Vvzr7lt3OU09vwQwhkpOPPYv2Y/edit?usp=sharing"",""งบพรบ!EZ82"")"),41400)</f>
        <v>41400</v>
      </c>
      <c r="M82" s="87">
        <f t="shared" ca="1" si="23"/>
        <v>40.588235294117645</v>
      </c>
      <c r="N82" s="87">
        <f t="shared" ca="1" si="24"/>
        <v>38.691588785046726</v>
      </c>
      <c r="O82" s="86">
        <f ca="1">IFERROR(__xludf.DUMMYFUNCTION("IMPORTRANGE(""https://docs.google.com/spreadsheets/d/1-uDff_7J0KD5mKrp0Vvzr7lt3OU09vwQwhkpOPPYv2Y/edit?usp=sharing"",""งบพรบ!FA82"")"),0)</f>
        <v>0</v>
      </c>
      <c r="P82" s="86">
        <f t="shared" ca="1" si="25"/>
        <v>0</v>
      </c>
      <c r="Q82" s="87">
        <f t="shared" ca="1" si="26"/>
        <v>0</v>
      </c>
      <c r="R82" s="353">
        <f ca="1">IFERROR(__xludf.DUMMYFUNCTION("IMPORTRANGE(""https://docs.google.com/spreadsheets/d/17ht0gPKzzT3PObBL1XJkeRmntBXI7wGjpLV7QorqlTk/edit?usp=sharing"",""พัทลุง!I344"")"),800)</f>
        <v>800</v>
      </c>
      <c r="S82" s="177">
        <f ca="1">IFERROR(__xludf.DUMMYFUNCTION("IMPORTRANGE(""https://docs.google.com/spreadsheets/d/17ht0gPKzzT3PObBL1XJkeRmntBXI7wGjpLV7QorqlTk/edit?usp=sharing"",""พัทลุง!J344"")"),941)</f>
        <v>941</v>
      </c>
      <c r="T82" s="354">
        <f t="shared" ca="1" si="28"/>
        <v>117.625</v>
      </c>
      <c r="U82" s="353">
        <f ca="1">IFERROR(__xludf.DUMMYFUNCTION("IMPORTRANGE(""https://docs.google.com/spreadsheets/d/17ht0gPKzzT3PObBL1XJkeRmntBXI7wGjpLV7QorqlTk/edit?usp=sharing"",""พัทลุง!I346"")"),1)</f>
        <v>1</v>
      </c>
      <c r="V82" s="177">
        <f ca="1">IFERROR(__xludf.DUMMYFUNCTION("IMPORTRANGE(""https://docs.google.com/spreadsheets/d/17ht0gPKzzT3PObBL1XJkeRmntBXI7wGjpLV7QorqlTk/edit?usp=sharing"",""พัทลุง!J346"")"),2)</f>
        <v>2</v>
      </c>
      <c r="W82" s="354">
        <f t="shared" ca="1" si="30"/>
        <v>200</v>
      </c>
      <c r="X82" s="177">
        <f ca="1">IFERROR(__xludf.DUMMYFUNCTION("IMPORTRANGE(""https://docs.google.com/spreadsheets/d/17ht0gPKzzT3PObBL1XJkeRmntBXI7wGjpLV7QorqlTk/edit?usp=sharing"",""พัทลุง!J347"")"),0)</f>
        <v>0</v>
      </c>
      <c r="Y82" s="177">
        <f ca="1">IFERROR(__xludf.DUMMYFUNCTION("IMPORTRANGE(""https://docs.google.com/spreadsheets/d/17ht0gPKzzT3PObBL1XJkeRmntBXI7wGjpLV7QorqlTk/edit?usp=sharing"",""พัทลุง!J348"")"),0)</f>
        <v>0</v>
      </c>
      <c r="Z82" s="177">
        <f ca="1">IFERROR(__xludf.DUMMYFUNCTION("IMPORTRANGE(""https://docs.google.com/spreadsheets/d/17ht0gPKzzT3PObBL1XJkeRmntBXI7wGjpLV7QorqlTk/edit?usp=sharing"",""พัทลุง!J349"")"),0)</f>
        <v>0</v>
      </c>
      <c r="AA82" s="177">
        <f ca="1">IFERROR(__xludf.DUMMYFUNCTION("IMPORTRANGE(""https://docs.google.com/spreadsheets/d/17ht0gPKzzT3PObBL1XJkeRmntBXI7wGjpLV7QorqlTk/edit?usp=sharing"",""พัทลุง!J352"")"),874)</f>
        <v>874</v>
      </c>
      <c r="AB82" s="177">
        <f ca="1">IFERROR(__xludf.DUMMYFUNCTION("IMPORTRANGE(""https://docs.google.com/spreadsheets/d/17ht0gPKzzT3PObBL1XJkeRmntBXI7wGjpLV7QorqlTk/edit?usp=sharing"",""พัทลุง!J353"")"),210)</f>
        <v>210</v>
      </c>
    </row>
    <row r="83" spans="1:28" ht="21" customHeight="1" x14ac:dyDescent="0.3">
      <c r="A83" s="89">
        <v>9</v>
      </c>
      <c r="B83" s="90" t="s">
        <v>109</v>
      </c>
      <c r="C83" s="174">
        <f t="shared" ca="1" si="19"/>
        <v>216600</v>
      </c>
      <c r="D83" s="175">
        <f t="shared" ca="1" si="47"/>
        <v>216600</v>
      </c>
      <c r="E83" s="176">
        <f ca="1">IFERROR(__xludf.DUMMYFUNCTION("IMPORTRANGE(""https://docs.google.com/spreadsheets/d/1-uDff_7J0KD5mKrp0Vvzr7lt3OU09vwQwhkpOPPYv2Y/edit?usp=sharing"",""งบพรบ!ET83"")"),117600)</f>
        <v>117600</v>
      </c>
      <c r="F83" s="176">
        <f ca="1">IFERROR(__xludf.DUMMYFUNCTION("IMPORTRANGE(""https://docs.google.com/spreadsheets/d/1-uDff_7J0KD5mKrp0Vvzr7lt3OU09vwQwhkpOPPYv2Y/edit?usp=sharing"",""งบพรบ!EU83"")"),99000)</f>
        <v>99000</v>
      </c>
      <c r="G83" s="176">
        <f ca="1">IFERROR(__xludf.DUMMYFUNCTION("IMPORTRANGE(""https://docs.google.com/spreadsheets/d/1-uDff_7J0KD5mKrp0Vvzr7lt3OU09vwQwhkpOPPYv2Y/edit?usp=sharing"",""งบพรบ!EV83"")"),0)</f>
        <v>0</v>
      </c>
      <c r="H83" s="176">
        <f ca="1">IFERROR(__xludf.DUMMYFUNCTION("IMPORTRANGE(""https://docs.google.com/spreadsheets/d/1-uDff_7J0KD5mKrp0Vvzr7lt3OU09vwQwhkpOPPYv2Y/edit?usp=sharing"",""งบพรบ!EX83"")"),221600)</f>
        <v>221600</v>
      </c>
      <c r="I83" s="176">
        <f ca="1">IFERROR(__xludf.DUMMYFUNCTION("IMPORTRANGE(""https://docs.google.com/spreadsheets/d/1-uDff_7J0KD5mKrp0Vvzr7lt3OU09vwQwhkpOPPYv2Y/edit?usp=sharing"",""งบพรบ!EY83"")"),0)</f>
        <v>0</v>
      </c>
      <c r="J83" s="176">
        <f t="shared" ca="1" si="21"/>
        <v>126299</v>
      </c>
      <c r="K83" s="179">
        <f t="shared" ca="1" si="22"/>
        <v>58.309787626962141</v>
      </c>
      <c r="L83" s="176">
        <f ca="1">IFERROR(__xludf.DUMMYFUNCTION("IMPORTRANGE(""https://docs.google.com/spreadsheets/d/1-uDff_7J0KD5mKrp0Vvzr7lt3OU09vwQwhkpOPPYv2Y/edit?usp=sharing"",""งบพรบ!EZ83"")"),126299)</f>
        <v>126299</v>
      </c>
      <c r="M83" s="87">
        <f t="shared" ca="1" si="23"/>
        <v>58.309787626962141</v>
      </c>
      <c r="N83" s="87">
        <f t="shared" ca="1" si="24"/>
        <v>56.994133574007222</v>
      </c>
      <c r="O83" s="86">
        <f ca="1">IFERROR(__xludf.DUMMYFUNCTION("IMPORTRANGE(""https://docs.google.com/spreadsheets/d/1-uDff_7J0KD5mKrp0Vvzr7lt3OU09vwQwhkpOPPYv2Y/edit?usp=sharing"",""งบพรบ!FA83"")"),0)</f>
        <v>0</v>
      </c>
      <c r="P83" s="86">
        <f t="shared" ca="1" si="25"/>
        <v>0</v>
      </c>
      <c r="Q83" s="87">
        <f t="shared" ca="1" si="26"/>
        <v>0</v>
      </c>
      <c r="R83" s="353">
        <f ca="1">IFERROR(__xludf.DUMMYFUNCTION("IMPORTRANGE(""https://docs.google.com/spreadsheets/d/1rd4qoM1q_hsgaolqNGfrim9gbsoLxQsda4-vOz5x_BM/edit?usp=sharing"",""ภูเก็ต!I344"")"),120)</f>
        <v>120</v>
      </c>
      <c r="S83" s="177">
        <f ca="1">IFERROR(__xludf.DUMMYFUNCTION("IMPORTRANGE(""https://docs.google.com/spreadsheets/d/1rd4qoM1q_hsgaolqNGfrim9gbsoLxQsda4-vOz5x_BM/edit?usp=sharing"",""ภูเก็ต!J344"")"),138)</f>
        <v>138</v>
      </c>
      <c r="T83" s="354">
        <f t="shared" ca="1" si="28"/>
        <v>115</v>
      </c>
      <c r="U83" s="353">
        <f ca="1">IFERROR(__xludf.DUMMYFUNCTION("IMPORTRANGE(""https://docs.google.com/spreadsheets/d/1rd4qoM1q_hsgaolqNGfrim9gbsoLxQsda4-vOz5x_BM/edit?usp=sharing"",""ภูเก็ต!I346"")"),1)</f>
        <v>1</v>
      </c>
      <c r="V83" s="177">
        <f ca="1">IFERROR(__xludf.DUMMYFUNCTION("IMPORTRANGE(""https://docs.google.com/spreadsheets/d/1rd4qoM1q_hsgaolqNGfrim9gbsoLxQsda4-vOz5x_BM/edit?usp=sharing"",""ภูเก็ต!J346"")"),0)</f>
        <v>0</v>
      </c>
      <c r="W83" s="354">
        <f t="shared" ca="1" si="30"/>
        <v>0</v>
      </c>
      <c r="X83" s="177">
        <f ca="1">IFERROR(__xludf.DUMMYFUNCTION("IMPORTRANGE(""https://docs.google.com/spreadsheets/d/1rd4qoM1q_hsgaolqNGfrim9gbsoLxQsda4-vOz5x_BM/edit?usp=sharing"",""ภูเก็ต!J347"")"),0)</f>
        <v>0</v>
      </c>
      <c r="Y83" s="177">
        <f ca="1">IFERROR(__xludf.DUMMYFUNCTION("IMPORTRANGE(""https://docs.google.com/spreadsheets/d/1rd4qoM1q_hsgaolqNGfrim9gbsoLxQsda4-vOz5x_BM/edit?usp=sharing"",""ภูเก็ต!J348"")"),0)</f>
        <v>0</v>
      </c>
      <c r="Z83" s="177">
        <f ca="1">IFERROR(__xludf.DUMMYFUNCTION("IMPORTRANGE(""https://docs.google.com/spreadsheets/d/1rd4qoM1q_hsgaolqNGfrim9gbsoLxQsda4-vOz5x_BM/edit?usp=sharing"",""ภูเก็ต!J349"")"),0)</f>
        <v>0</v>
      </c>
      <c r="AA83" s="177">
        <f ca="1">IFERROR(__xludf.DUMMYFUNCTION("IMPORTRANGE(""https://docs.google.com/spreadsheets/d/1rd4qoM1q_hsgaolqNGfrim9gbsoLxQsda4-vOz5x_BM/edit?usp=sharing"",""ภูเก็ต!J352"")"),20)</f>
        <v>20</v>
      </c>
      <c r="AB83" s="177">
        <f ca="1">IFERROR(__xludf.DUMMYFUNCTION("IMPORTRANGE(""https://docs.google.com/spreadsheets/d/1rd4qoM1q_hsgaolqNGfrim9gbsoLxQsda4-vOz5x_BM/edit?usp=sharing"",""ภูเก็ต!J353"")"),205)</f>
        <v>205</v>
      </c>
    </row>
    <row r="84" spans="1:28" ht="21" customHeight="1" x14ac:dyDescent="0.3">
      <c r="A84" s="89">
        <v>10</v>
      </c>
      <c r="B84" s="90" t="s">
        <v>110</v>
      </c>
      <c r="C84" s="174">
        <f t="shared" ca="1" si="19"/>
        <v>99000</v>
      </c>
      <c r="D84" s="175">
        <f t="shared" ca="1" si="47"/>
        <v>99000</v>
      </c>
      <c r="E84" s="176">
        <f ca="1">IFERROR(__xludf.DUMMYFUNCTION("IMPORTRANGE(""https://docs.google.com/spreadsheets/d/1-uDff_7J0KD5mKrp0Vvzr7lt3OU09vwQwhkpOPPYv2Y/edit?usp=sharing"",""งบพรบ!ET84"")"),0)</f>
        <v>0</v>
      </c>
      <c r="F84" s="176">
        <f ca="1">IFERROR(__xludf.DUMMYFUNCTION("IMPORTRANGE(""https://docs.google.com/spreadsheets/d/1-uDff_7J0KD5mKrp0Vvzr7lt3OU09vwQwhkpOPPYv2Y/edit?usp=sharing"",""งบพรบ!EU84"")"),99000)</f>
        <v>99000</v>
      </c>
      <c r="G84" s="176">
        <f ca="1">IFERROR(__xludf.DUMMYFUNCTION("IMPORTRANGE(""https://docs.google.com/spreadsheets/d/1-uDff_7J0KD5mKrp0Vvzr7lt3OU09vwQwhkpOPPYv2Y/edit?usp=sharing"",""งบพรบ!EV84"")"),0)</f>
        <v>0</v>
      </c>
      <c r="H84" s="176">
        <f ca="1">IFERROR(__xludf.DUMMYFUNCTION("IMPORTRANGE(""https://docs.google.com/spreadsheets/d/1-uDff_7J0KD5mKrp0Vvzr7lt3OU09vwQwhkpOPPYv2Y/edit?usp=sharing"",""งบพรบ!EX84"")"),104000)</f>
        <v>104000</v>
      </c>
      <c r="I84" s="176">
        <f ca="1">IFERROR(__xludf.DUMMYFUNCTION("IMPORTRANGE(""https://docs.google.com/spreadsheets/d/1-uDff_7J0KD5mKrp0Vvzr7lt3OU09vwQwhkpOPPYv2Y/edit?usp=sharing"",""งบพรบ!EY84"")"),0)</f>
        <v>0</v>
      </c>
      <c r="J84" s="176">
        <f t="shared" ca="1" si="21"/>
        <v>25530</v>
      </c>
      <c r="K84" s="179">
        <f t="shared" ca="1" si="22"/>
        <v>25.787878787878789</v>
      </c>
      <c r="L84" s="176">
        <f ca="1">IFERROR(__xludf.DUMMYFUNCTION("IMPORTRANGE(""https://docs.google.com/spreadsheets/d/1-uDff_7J0KD5mKrp0Vvzr7lt3OU09vwQwhkpOPPYv2Y/edit?usp=sharing"",""งบพรบ!EZ84"")"),25530)</f>
        <v>25530</v>
      </c>
      <c r="M84" s="87">
        <f t="shared" ca="1" si="23"/>
        <v>25.787878787878789</v>
      </c>
      <c r="N84" s="87">
        <f t="shared" ca="1" si="24"/>
        <v>24.548076923076923</v>
      </c>
      <c r="O84" s="86">
        <f ca="1">IFERROR(__xludf.DUMMYFUNCTION("IMPORTRANGE(""https://docs.google.com/spreadsheets/d/1-uDff_7J0KD5mKrp0Vvzr7lt3OU09vwQwhkpOPPYv2Y/edit?usp=sharing"",""งบพรบ!FA84"")"),0)</f>
        <v>0</v>
      </c>
      <c r="P84" s="86">
        <f t="shared" ca="1" si="25"/>
        <v>0</v>
      </c>
      <c r="Q84" s="87">
        <f t="shared" ca="1" si="26"/>
        <v>0</v>
      </c>
      <c r="R84" s="353">
        <f ca="1">IFERROR(__xludf.DUMMYFUNCTION("IMPORTRANGE(""https://docs.google.com/spreadsheets/d/1woKwKjgoLssDvPcPeVyezB5izizAn4X1JDrys69n6xI/edit?usp=sharing"",""ยะลา!I344"")"),140)</f>
        <v>140</v>
      </c>
      <c r="S84" s="177">
        <f ca="1">IFERROR(__xludf.DUMMYFUNCTION("IMPORTRANGE(""https://docs.google.com/spreadsheets/d/1woKwKjgoLssDvPcPeVyezB5izizAn4X1JDrys69n6xI/edit?usp=sharing"",""ยะลา!J344"")"),164)</f>
        <v>164</v>
      </c>
      <c r="T84" s="354">
        <f t="shared" ca="1" si="28"/>
        <v>117.14285714285714</v>
      </c>
      <c r="U84" s="353">
        <f ca="1">IFERROR(__xludf.DUMMYFUNCTION("IMPORTRANGE(""https://docs.google.com/spreadsheets/d/1woKwKjgoLssDvPcPeVyezB5izizAn4X1JDrys69n6xI/edit?usp=sharing"",""ยะลา!I346"")"),1)</f>
        <v>1</v>
      </c>
      <c r="V84" s="177">
        <f ca="1">IFERROR(__xludf.DUMMYFUNCTION("IMPORTRANGE(""https://docs.google.com/spreadsheets/d/1woKwKjgoLssDvPcPeVyezB5izizAn4X1JDrys69n6xI/edit?usp=sharing"",""ยะลา!J346"")"),0)</f>
        <v>0</v>
      </c>
      <c r="W84" s="354">
        <f t="shared" ca="1" si="30"/>
        <v>0</v>
      </c>
      <c r="X84" s="177">
        <f ca="1">IFERROR(__xludf.DUMMYFUNCTION("IMPORTRANGE(""https://docs.google.com/spreadsheets/d/1woKwKjgoLssDvPcPeVyezB5izizAn4X1JDrys69n6xI/edit?usp=sharing"",""ยะลา!J347"")"),0)</f>
        <v>0</v>
      </c>
      <c r="Y84" s="177">
        <f ca="1">IFERROR(__xludf.DUMMYFUNCTION("IMPORTRANGE(""https://docs.google.com/spreadsheets/d/1woKwKjgoLssDvPcPeVyezB5izizAn4X1JDrys69n6xI/edit?usp=sharing"",""ยะลา!J348"")"),0)</f>
        <v>0</v>
      </c>
      <c r="Z84" s="177">
        <f ca="1">IFERROR(__xludf.DUMMYFUNCTION("IMPORTRANGE(""https://docs.google.com/spreadsheets/d/1woKwKjgoLssDvPcPeVyezB5izizAn4X1JDrys69n6xI/edit?usp=sharing"",""ยะลา!J349"")"),0)</f>
        <v>0</v>
      </c>
      <c r="AA84" s="177">
        <f ca="1">IFERROR(__xludf.DUMMYFUNCTION("IMPORTRANGE(""https://docs.google.com/spreadsheets/d/1woKwKjgoLssDvPcPeVyezB5izizAn4X1JDrys69n6xI/edit?usp=sharing"",""ยะลา!J352"")"),11)</f>
        <v>11</v>
      </c>
      <c r="AB84" s="177">
        <f ca="1">IFERROR(__xludf.DUMMYFUNCTION("IMPORTRANGE(""https://docs.google.com/spreadsheets/d/1woKwKjgoLssDvPcPeVyezB5izizAn4X1JDrys69n6xI/edit?usp=sharing"",""ยะลา!J353"")"),306)</f>
        <v>306</v>
      </c>
    </row>
    <row r="85" spans="1:28" ht="21" customHeight="1" x14ac:dyDescent="0.3">
      <c r="A85" s="89">
        <v>11</v>
      </c>
      <c r="B85" s="90" t="s">
        <v>111</v>
      </c>
      <c r="C85" s="174">
        <f t="shared" ca="1" si="19"/>
        <v>101000</v>
      </c>
      <c r="D85" s="175">
        <f t="shared" ca="1" si="47"/>
        <v>101000</v>
      </c>
      <c r="E85" s="176">
        <f ca="1">IFERROR(__xludf.DUMMYFUNCTION("IMPORTRANGE(""https://docs.google.com/spreadsheets/d/1-uDff_7J0KD5mKrp0Vvzr7lt3OU09vwQwhkpOPPYv2Y/edit?usp=sharing"",""งบพรบ!ET85"")"),0)</f>
        <v>0</v>
      </c>
      <c r="F85" s="176">
        <f ca="1">IFERROR(__xludf.DUMMYFUNCTION("IMPORTRANGE(""https://docs.google.com/spreadsheets/d/1-uDff_7J0KD5mKrp0Vvzr7lt3OU09vwQwhkpOPPYv2Y/edit?usp=sharing"",""งบพรบ!EU85"")"),101000)</f>
        <v>101000</v>
      </c>
      <c r="G85" s="176">
        <f ca="1">IFERROR(__xludf.DUMMYFUNCTION("IMPORTRANGE(""https://docs.google.com/spreadsheets/d/1-uDff_7J0KD5mKrp0Vvzr7lt3OU09vwQwhkpOPPYv2Y/edit?usp=sharing"",""งบพรบ!EV85"")"),0)</f>
        <v>0</v>
      </c>
      <c r="H85" s="176">
        <f ca="1">IFERROR(__xludf.DUMMYFUNCTION("IMPORTRANGE(""https://docs.google.com/spreadsheets/d/1-uDff_7J0KD5mKrp0Vvzr7lt3OU09vwQwhkpOPPYv2Y/edit?usp=sharing"",""งบพรบ!EX85"")"),106000)</f>
        <v>106000</v>
      </c>
      <c r="I85" s="176">
        <f ca="1">IFERROR(__xludf.DUMMYFUNCTION("IMPORTRANGE(""https://docs.google.com/spreadsheets/d/1-uDff_7J0KD5mKrp0Vvzr7lt3OU09vwQwhkpOPPYv2Y/edit?usp=sharing"",""งบพรบ!EY85"")"),0)</f>
        <v>0</v>
      </c>
      <c r="J85" s="176">
        <f t="shared" ca="1" si="21"/>
        <v>99088.34</v>
      </c>
      <c r="K85" s="179">
        <f t="shared" ca="1" si="22"/>
        <v>98.107267326732668</v>
      </c>
      <c r="L85" s="176">
        <f ca="1">IFERROR(__xludf.DUMMYFUNCTION("IMPORTRANGE(""https://docs.google.com/spreadsheets/d/1-uDff_7J0KD5mKrp0Vvzr7lt3OU09vwQwhkpOPPYv2Y/edit?usp=sharing"",""งบพรบ!EZ85"")"),99088.34)</f>
        <v>99088.34</v>
      </c>
      <c r="M85" s="87">
        <f t="shared" ca="1" si="23"/>
        <v>98.107267326732668</v>
      </c>
      <c r="N85" s="87">
        <f t="shared" ca="1" si="24"/>
        <v>93.47956603773585</v>
      </c>
      <c r="O85" s="86">
        <f ca="1">IFERROR(__xludf.DUMMYFUNCTION("IMPORTRANGE(""https://docs.google.com/spreadsheets/d/1-uDff_7J0KD5mKrp0Vvzr7lt3OU09vwQwhkpOPPYv2Y/edit?usp=sharing"",""งบพรบ!FA85"")"),0)</f>
        <v>0</v>
      </c>
      <c r="P85" s="86">
        <f t="shared" ca="1" si="25"/>
        <v>0</v>
      </c>
      <c r="Q85" s="87">
        <f t="shared" ca="1" si="26"/>
        <v>0</v>
      </c>
      <c r="R85" s="353">
        <f ca="1">IFERROR(__xludf.DUMMYFUNCTION("IMPORTRANGE(""https://docs.google.com/spreadsheets/d/1qfrKjzMhm2HJfxQ-qVlJlJQ25Hne1d0khsySbZyGtPA/edit?usp=sharing"",""ระนอง!I344"")"),340)</f>
        <v>340</v>
      </c>
      <c r="S85" s="177">
        <f ca="1">IFERROR(__xludf.DUMMYFUNCTION("IMPORTRANGE(""https://docs.google.com/spreadsheets/d/1qfrKjzMhm2HJfxQ-qVlJlJQ25Hne1d0khsySbZyGtPA/edit?usp=sharing"",""ระนอง!J344"")"),48)</f>
        <v>48</v>
      </c>
      <c r="T85" s="354">
        <f t="shared" ca="1" si="28"/>
        <v>14.117647058823529</v>
      </c>
      <c r="U85" s="353">
        <f ca="1">IFERROR(__xludf.DUMMYFUNCTION("IMPORTRANGE(""https://docs.google.com/spreadsheets/d/1qfrKjzMhm2HJfxQ-qVlJlJQ25Hne1d0khsySbZyGtPA/edit?usp=sharing"",""ระนอง!I346"")"),2)</f>
        <v>2</v>
      </c>
      <c r="V85" s="177">
        <f ca="1">IFERROR(__xludf.DUMMYFUNCTION("IMPORTRANGE(""https://docs.google.com/spreadsheets/d/1qfrKjzMhm2HJfxQ-qVlJlJQ25Hne1d0khsySbZyGtPA/edit?usp=sharing"",""ระนอง!J346"")"),1)</f>
        <v>1</v>
      </c>
      <c r="W85" s="354">
        <f t="shared" ca="1" si="30"/>
        <v>50</v>
      </c>
      <c r="X85" s="177">
        <f ca="1">IFERROR(__xludf.DUMMYFUNCTION("IMPORTRANGE(""https://docs.google.com/spreadsheets/d/1qfrKjzMhm2HJfxQ-qVlJlJQ25Hne1d0khsySbZyGtPA/edit?usp=sharing"",""ระนอง!J347"")"),39)</f>
        <v>39</v>
      </c>
      <c r="Y85" s="177">
        <f ca="1">IFERROR(__xludf.DUMMYFUNCTION("IMPORTRANGE(""https://docs.google.com/spreadsheets/d/1qfrKjzMhm2HJfxQ-qVlJlJQ25Hne1d0khsySbZyGtPA/edit?usp=sharing"",""ระนอง!J348"")"),0)</f>
        <v>0</v>
      </c>
      <c r="Z85" s="177">
        <f ca="1">IFERROR(__xludf.DUMMYFUNCTION("IMPORTRANGE(""https://docs.google.com/spreadsheets/d/1qfrKjzMhm2HJfxQ-qVlJlJQ25Hne1d0khsySbZyGtPA/edit?usp=sharing"",""ระนอง!J349"")"),0)</f>
        <v>0</v>
      </c>
      <c r="AA85" s="177">
        <f ca="1">IFERROR(__xludf.DUMMYFUNCTION("IMPORTRANGE(""https://docs.google.com/spreadsheets/d/1qfrKjzMhm2HJfxQ-qVlJlJQ25Hne1d0khsySbZyGtPA/edit?usp=sharing"",""ระนอง!J352"")"),309)</f>
        <v>309</v>
      </c>
      <c r="AB85" s="177">
        <f ca="1">IFERROR(__xludf.DUMMYFUNCTION("IMPORTRANGE(""https://docs.google.com/spreadsheets/d/1qfrKjzMhm2HJfxQ-qVlJlJQ25Hne1d0khsySbZyGtPA/edit?usp=sharing"",""ระนอง!J353"")"),1641)</f>
        <v>1641</v>
      </c>
    </row>
    <row r="86" spans="1:28" ht="24" customHeight="1" x14ac:dyDescent="0.3">
      <c r="A86" s="89">
        <v>12</v>
      </c>
      <c r="B86" s="90" t="s">
        <v>112</v>
      </c>
      <c r="C86" s="174">
        <f t="shared" ca="1" si="19"/>
        <v>106000</v>
      </c>
      <c r="D86" s="175">
        <f t="shared" ca="1" si="47"/>
        <v>106000</v>
      </c>
      <c r="E86" s="176">
        <f ca="1">IFERROR(__xludf.DUMMYFUNCTION("IMPORTRANGE(""https://docs.google.com/spreadsheets/d/1-uDff_7J0KD5mKrp0Vvzr7lt3OU09vwQwhkpOPPYv2Y/edit?usp=sharing"",""งบพรบ!ET86"")"),0)</f>
        <v>0</v>
      </c>
      <c r="F86" s="176">
        <f ca="1">IFERROR(__xludf.DUMMYFUNCTION("IMPORTRANGE(""https://docs.google.com/spreadsheets/d/1-uDff_7J0KD5mKrp0Vvzr7lt3OU09vwQwhkpOPPYv2Y/edit?usp=sharing"",""งบพรบ!EU86"")"),106000)</f>
        <v>106000</v>
      </c>
      <c r="G86" s="176">
        <f ca="1">IFERROR(__xludf.DUMMYFUNCTION("IMPORTRANGE(""https://docs.google.com/spreadsheets/d/1-uDff_7J0KD5mKrp0Vvzr7lt3OU09vwQwhkpOPPYv2Y/edit?usp=sharing"",""งบพรบ!EV86"")"),0)</f>
        <v>0</v>
      </c>
      <c r="H86" s="176">
        <f ca="1">IFERROR(__xludf.DUMMYFUNCTION("IMPORTRANGE(""https://docs.google.com/spreadsheets/d/1-uDff_7J0KD5mKrp0Vvzr7lt3OU09vwQwhkpOPPYv2Y/edit?usp=sharing"",""งบพรบ!EX86"")"),111000)</f>
        <v>111000</v>
      </c>
      <c r="I86" s="176">
        <f ca="1">IFERROR(__xludf.DUMMYFUNCTION("IMPORTRANGE(""https://docs.google.com/spreadsheets/d/1-uDff_7J0KD5mKrp0Vvzr7lt3OU09vwQwhkpOPPYv2Y/edit?usp=sharing"",""งบพรบ!EY86"")"),0)</f>
        <v>0</v>
      </c>
      <c r="J86" s="176">
        <f t="shared" ca="1" si="21"/>
        <v>50654</v>
      </c>
      <c r="K86" s="179">
        <f t="shared" ca="1" si="22"/>
        <v>47.786792452830191</v>
      </c>
      <c r="L86" s="176">
        <f ca="1">IFERROR(__xludf.DUMMYFUNCTION("IMPORTRANGE(""https://docs.google.com/spreadsheets/d/1-uDff_7J0KD5mKrp0Vvzr7lt3OU09vwQwhkpOPPYv2Y/edit?usp=sharing"",""งบพรบ!EZ86"")"),50654)</f>
        <v>50654</v>
      </c>
      <c r="M86" s="87">
        <f t="shared" ca="1" si="23"/>
        <v>47.786792452830191</v>
      </c>
      <c r="N86" s="87">
        <f t="shared" ca="1" si="24"/>
        <v>45.634234234234235</v>
      </c>
      <c r="O86" s="86">
        <f ca="1">IFERROR(__xludf.DUMMYFUNCTION("IMPORTRANGE(""https://docs.google.com/spreadsheets/d/1-uDff_7J0KD5mKrp0Vvzr7lt3OU09vwQwhkpOPPYv2Y/edit?usp=sharing"",""งบพรบ!FA86"")"),0)</f>
        <v>0</v>
      </c>
      <c r="P86" s="86">
        <f t="shared" ca="1" si="25"/>
        <v>0</v>
      </c>
      <c r="Q86" s="87">
        <f t="shared" ca="1" si="26"/>
        <v>0</v>
      </c>
      <c r="R86" s="353">
        <f ca="1">IFERROR(__xludf.DUMMYFUNCTION("IMPORTRANGE(""https://docs.google.com/spreadsheets/d/1IbSCnFOKpZsnFogBHJnL_isstZVaOMnFiIN0fGTPZZw/edit?usp=sharing"",""สงขลา!I344"")"),860)</f>
        <v>860</v>
      </c>
      <c r="S86" s="177">
        <f ca="1">IFERROR(__xludf.DUMMYFUNCTION("IMPORTRANGE(""https://docs.google.com/spreadsheets/d/1IbSCnFOKpZsnFogBHJnL_isstZVaOMnFiIN0fGTPZZw/edit?usp=sharing"",""สงขลา!J344"")"),396)</f>
        <v>396</v>
      </c>
      <c r="T86" s="354">
        <f t="shared" ca="1" si="28"/>
        <v>46.046511627906973</v>
      </c>
      <c r="U86" s="353">
        <f ca="1">IFERROR(__xludf.DUMMYFUNCTION("IMPORTRANGE(""https://docs.google.com/spreadsheets/d/1IbSCnFOKpZsnFogBHJnL_isstZVaOMnFiIN0fGTPZZw/edit?usp=sharing"",""สงขลา!I346"")"),3)</f>
        <v>3</v>
      </c>
      <c r="V86" s="177">
        <f ca="1">IFERROR(__xludf.DUMMYFUNCTION("IMPORTRANGE(""https://docs.google.com/spreadsheets/d/1IbSCnFOKpZsnFogBHJnL_isstZVaOMnFiIN0fGTPZZw/edit?usp=sharing"",""สงขลา!J346"")"),3)</f>
        <v>3</v>
      </c>
      <c r="W86" s="354">
        <f t="shared" ca="1" si="30"/>
        <v>100</v>
      </c>
      <c r="X86" s="177">
        <f ca="1">IFERROR(__xludf.DUMMYFUNCTION("IMPORTRANGE(""https://docs.google.com/spreadsheets/d/1IbSCnFOKpZsnFogBHJnL_isstZVaOMnFiIN0fGTPZZw/edit?usp=sharing"",""สงขลา!J347"")"),5)</f>
        <v>5</v>
      </c>
      <c r="Y86" s="177">
        <f ca="1">IFERROR(__xludf.DUMMYFUNCTION("IMPORTRANGE(""https://docs.google.com/spreadsheets/d/1IbSCnFOKpZsnFogBHJnL_isstZVaOMnFiIN0fGTPZZw/edit?usp=sharing"",""สงขลา!J348"")"),1)</f>
        <v>1</v>
      </c>
      <c r="Z86" s="177">
        <f ca="1">IFERROR(__xludf.DUMMYFUNCTION("IMPORTRANGE(""https://docs.google.com/spreadsheets/d/1IbSCnFOKpZsnFogBHJnL_isstZVaOMnFiIN0fGTPZZw/edit?usp=sharing"",""สงขลา!J349"")"),0)</f>
        <v>0</v>
      </c>
      <c r="AA86" s="177">
        <f ca="1">IFERROR(__xludf.DUMMYFUNCTION("IMPORTRANGE(""https://docs.google.com/spreadsheets/d/1IbSCnFOKpZsnFogBHJnL_isstZVaOMnFiIN0fGTPZZw/edit?usp=sharing"",""สงขลา!J352"")"),1259)</f>
        <v>1259</v>
      </c>
      <c r="AB86" s="177">
        <f ca="1">IFERROR(__xludf.DUMMYFUNCTION("IMPORTRANGE(""https://docs.google.com/spreadsheets/d/1IbSCnFOKpZsnFogBHJnL_isstZVaOMnFiIN0fGTPZZw/edit?usp=sharing"",""สงขลา!J353"")"),590)</f>
        <v>590</v>
      </c>
    </row>
    <row r="87" spans="1:28" ht="24" customHeight="1" x14ac:dyDescent="0.3">
      <c r="A87" s="89">
        <v>13</v>
      </c>
      <c r="B87" s="90" t="s">
        <v>113</v>
      </c>
      <c r="C87" s="174">
        <f t="shared" ca="1" si="19"/>
        <v>216600</v>
      </c>
      <c r="D87" s="175">
        <f t="shared" ca="1" si="47"/>
        <v>216600</v>
      </c>
      <c r="E87" s="176">
        <f ca="1">IFERROR(__xludf.DUMMYFUNCTION("IMPORTRANGE(""https://docs.google.com/spreadsheets/d/1-uDff_7J0KD5mKrp0Vvzr7lt3OU09vwQwhkpOPPYv2Y/edit?usp=sharing"",""งบพรบ!ET87"")"),117600)</f>
        <v>117600</v>
      </c>
      <c r="F87" s="176">
        <f ca="1">IFERROR(__xludf.DUMMYFUNCTION("IMPORTRANGE(""https://docs.google.com/spreadsheets/d/1-uDff_7J0KD5mKrp0Vvzr7lt3OU09vwQwhkpOPPYv2Y/edit?usp=sharing"",""งบพรบ!EU87"")"),99000)</f>
        <v>99000</v>
      </c>
      <c r="G87" s="176">
        <f ca="1">IFERROR(__xludf.DUMMYFUNCTION("IMPORTRANGE(""https://docs.google.com/spreadsheets/d/1-uDff_7J0KD5mKrp0Vvzr7lt3OU09vwQwhkpOPPYv2Y/edit?usp=sharing"",""งบพรบ!EV87"")"),0)</f>
        <v>0</v>
      </c>
      <c r="H87" s="176">
        <f ca="1">IFERROR(__xludf.DUMMYFUNCTION("IMPORTRANGE(""https://docs.google.com/spreadsheets/d/1-uDff_7J0KD5mKrp0Vvzr7lt3OU09vwQwhkpOPPYv2Y/edit?usp=sharing"",""งบพรบ!EX87"")"),221600)</f>
        <v>221600</v>
      </c>
      <c r="I87" s="176">
        <f ca="1">IFERROR(__xludf.DUMMYFUNCTION("IMPORTRANGE(""https://docs.google.com/spreadsheets/d/1-uDff_7J0KD5mKrp0Vvzr7lt3OU09vwQwhkpOPPYv2Y/edit?usp=sharing"",""งบพรบ!EY87"")"),0)</f>
        <v>0</v>
      </c>
      <c r="J87" s="176">
        <f t="shared" ca="1" si="21"/>
        <v>83259</v>
      </c>
      <c r="K87" s="179">
        <f t="shared" ca="1" si="22"/>
        <v>38.439058171745152</v>
      </c>
      <c r="L87" s="176">
        <f ca="1">IFERROR(__xludf.DUMMYFUNCTION("IMPORTRANGE(""https://docs.google.com/spreadsheets/d/1-uDff_7J0KD5mKrp0Vvzr7lt3OU09vwQwhkpOPPYv2Y/edit?usp=sharing"",""งบพรบ!EZ87"")"),83259)</f>
        <v>83259</v>
      </c>
      <c r="M87" s="87">
        <f t="shared" ca="1" si="23"/>
        <v>38.439058171745152</v>
      </c>
      <c r="N87" s="87">
        <f t="shared" ca="1" si="24"/>
        <v>37.571750902527079</v>
      </c>
      <c r="O87" s="86">
        <f ca="1">IFERROR(__xludf.DUMMYFUNCTION("IMPORTRANGE(""https://docs.google.com/spreadsheets/d/1-uDff_7J0KD5mKrp0Vvzr7lt3OU09vwQwhkpOPPYv2Y/edit?usp=sharing"",""งบพรบ!FA87"")"),0)</f>
        <v>0</v>
      </c>
      <c r="P87" s="86">
        <f t="shared" ca="1" si="25"/>
        <v>0</v>
      </c>
      <c r="Q87" s="87">
        <f t="shared" ca="1" si="26"/>
        <v>0</v>
      </c>
      <c r="R87" s="353">
        <f ca="1">IFERROR(__xludf.DUMMYFUNCTION("IMPORTRANGE(""https://docs.google.com/spreadsheets/d/1q9nWasZJ-K8bFGvbE9n0qSRuKGA4Toe3Y89cKCiVtCU/edit?usp=sharing"",""สตูล!I344"")"),140)</f>
        <v>140</v>
      </c>
      <c r="S87" s="177">
        <f ca="1">IFERROR(__xludf.DUMMYFUNCTION("IMPORTRANGE(""https://docs.google.com/spreadsheets/d/1q9nWasZJ-K8bFGvbE9n0qSRuKGA4Toe3Y89cKCiVtCU/edit?usp=sharing"",""สตูล!J344"")"),73)</f>
        <v>73</v>
      </c>
      <c r="T87" s="354">
        <f t="shared" ca="1" si="28"/>
        <v>52.142857142857146</v>
      </c>
      <c r="U87" s="353">
        <f ca="1">IFERROR(__xludf.DUMMYFUNCTION("IMPORTRANGE(""https://docs.google.com/spreadsheets/d/1q9nWasZJ-K8bFGvbE9n0qSRuKGA4Toe3Y89cKCiVtCU/edit?usp=sharing"",""สตูล!I346"")"),1)</f>
        <v>1</v>
      </c>
      <c r="V87" s="177">
        <f ca="1">IFERROR(__xludf.DUMMYFUNCTION("IMPORTRANGE(""https://docs.google.com/spreadsheets/d/1q9nWasZJ-K8bFGvbE9n0qSRuKGA4Toe3Y89cKCiVtCU/edit?usp=sharing"",""สตูล!J346"")"),3)</f>
        <v>3</v>
      </c>
      <c r="W87" s="354">
        <f t="shared" ca="1" si="30"/>
        <v>300</v>
      </c>
      <c r="X87" s="177">
        <f ca="1">IFERROR(__xludf.DUMMYFUNCTION("IMPORTRANGE(""https://docs.google.com/spreadsheets/d/1q9nWasZJ-K8bFGvbE9n0qSRuKGA4Toe3Y89cKCiVtCU/edit?usp=sharing"",""สตูล!J347"")"),107)</f>
        <v>107</v>
      </c>
      <c r="Y87" s="177">
        <f ca="1">IFERROR(__xludf.DUMMYFUNCTION("IMPORTRANGE(""https://docs.google.com/spreadsheets/d/1q9nWasZJ-K8bFGvbE9n0qSRuKGA4Toe3Y89cKCiVtCU/edit?usp=sharing"",""สตูล!J348"")"),0)</f>
        <v>0</v>
      </c>
      <c r="Z87" s="177">
        <f ca="1">IFERROR(__xludf.DUMMYFUNCTION("IMPORTRANGE(""https://docs.google.com/spreadsheets/d/1q9nWasZJ-K8bFGvbE9n0qSRuKGA4Toe3Y89cKCiVtCU/edit?usp=sharing"",""สตูล!J349"")"),0)</f>
        <v>0</v>
      </c>
      <c r="AA87" s="177">
        <f ca="1">IFERROR(__xludf.DUMMYFUNCTION("IMPORTRANGE(""https://docs.google.com/spreadsheets/d/1q9nWasZJ-K8bFGvbE9n0qSRuKGA4Toe3Y89cKCiVtCU/edit?usp=sharing"",""สตูล!J352"")"),47)</f>
        <v>47</v>
      </c>
      <c r="AB87" s="177">
        <f ca="1">IFERROR(__xludf.DUMMYFUNCTION("IMPORTRANGE(""https://docs.google.com/spreadsheets/d/1q9nWasZJ-K8bFGvbE9n0qSRuKGA4Toe3Y89cKCiVtCU/edit?usp=sharing"",""สตูล!J353"")"),346)</f>
        <v>346</v>
      </c>
    </row>
    <row r="88" spans="1:28" ht="24" customHeight="1" x14ac:dyDescent="0.3">
      <c r="A88" s="100">
        <v>14</v>
      </c>
      <c r="B88" s="101" t="s">
        <v>114</v>
      </c>
      <c r="C88" s="182">
        <f t="shared" ca="1" si="19"/>
        <v>113000</v>
      </c>
      <c r="D88" s="183">
        <f t="shared" ca="1" si="47"/>
        <v>113000</v>
      </c>
      <c r="E88" s="184">
        <f ca="1">IFERROR(__xludf.DUMMYFUNCTION("IMPORTRANGE(""https://docs.google.com/spreadsheets/d/1-uDff_7J0KD5mKrp0Vvzr7lt3OU09vwQwhkpOPPYv2Y/edit?usp=sharing"",""งบพรบ!ET88"")"),0)</f>
        <v>0</v>
      </c>
      <c r="F88" s="184">
        <f ca="1">IFERROR(__xludf.DUMMYFUNCTION("IMPORTRANGE(""https://docs.google.com/spreadsheets/d/1-uDff_7J0KD5mKrp0Vvzr7lt3OU09vwQwhkpOPPYv2Y/edit?usp=sharing"",""งบพรบ!EU88"")"),113000)</f>
        <v>113000</v>
      </c>
      <c r="G88" s="184">
        <f ca="1">IFERROR(__xludf.DUMMYFUNCTION("IMPORTRANGE(""https://docs.google.com/spreadsheets/d/1-uDff_7J0KD5mKrp0Vvzr7lt3OU09vwQwhkpOPPYv2Y/edit?usp=sharing"",""งบพรบ!EV88"")"),0)</f>
        <v>0</v>
      </c>
      <c r="H88" s="184">
        <f ca="1">IFERROR(__xludf.DUMMYFUNCTION("IMPORTRANGE(""https://docs.google.com/spreadsheets/d/1-uDff_7J0KD5mKrp0Vvzr7lt3OU09vwQwhkpOPPYv2Y/edit?usp=sharing"",""งบพรบ!EX88"")"),118000)</f>
        <v>118000</v>
      </c>
      <c r="I88" s="184">
        <f ca="1">IFERROR(__xludf.DUMMYFUNCTION("IMPORTRANGE(""https://docs.google.com/spreadsheets/d/1-uDff_7J0KD5mKrp0Vvzr7lt3OU09vwQwhkpOPPYv2Y/edit?usp=sharing"",""งบพรบ!EY88"")"),0)</f>
        <v>0</v>
      </c>
      <c r="J88" s="184">
        <f t="shared" ca="1" si="21"/>
        <v>49235</v>
      </c>
      <c r="K88" s="185">
        <f t="shared" ca="1" si="22"/>
        <v>43.570796460176993</v>
      </c>
      <c r="L88" s="184">
        <f ca="1">IFERROR(__xludf.DUMMYFUNCTION("IMPORTRANGE(""https://docs.google.com/spreadsheets/d/1-uDff_7J0KD5mKrp0Vvzr7lt3OU09vwQwhkpOPPYv2Y/edit?usp=sharing"",""งบพรบ!EZ88"")"),49235)</f>
        <v>49235</v>
      </c>
      <c r="M88" s="109">
        <f t="shared" ca="1" si="23"/>
        <v>43.570796460176993</v>
      </c>
      <c r="N88" s="109">
        <f t="shared" ca="1" si="24"/>
        <v>41.724576271186443</v>
      </c>
      <c r="O88" s="108">
        <f ca="1">IFERROR(__xludf.DUMMYFUNCTION("IMPORTRANGE(""https://docs.google.com/spreadsheets/d/1-uDff_7J0KD5mKrp0Vvzr7lt3OU09vwQwhkpOPPYv2Y/edit?usp=sharing"",""งบพรบ!FA88"")"),0)</f>
        <v>0</v>
      </c>
      <c r="P88" s="108">
        <f t="shared" ca="1" si="25"/>
        <v>0</v>
      </c>
      <c r="Q88" s="109">
        <f t="shared" ca="1" si="26"/>
        <v>0</v>
      </c>
      <c r="R88" s="356">
        <f ca="1">IFERROR(__xludf.DUMMYFUNCTION("IMPORTRANGE(""https://docs.google.com/spreadsheets/d/18T20gbkS_WBjdscyTOV05cvq_JqvqQ17C81mpxf7Ncs/edit?usp=sharing"",""สุราษฎร์ธานี!I344"")"),3200)</f>
        <v>3200</v>
      </c>
      <c r="S88" s="186">
        <f ca="1">IFERROR(__xludf.DUMMYFUNCTION("IMPORTRANGE(""https://docs.google.com/spreadsheets/d/18T20gbkS_WBjdscyTOV05cvq_JqvqQ17C81mpxf7Ncs/edit?usp=sharing"",""สุราษฎร์ธานี!J344"")"),4506)</f>
        <v>4506</v>
      </c>
      <c r="T88" s="357">
        <f t="shared" ca="1" si="28"/>
        <v>140.8125</v>
      </c>
      <c r="U88" s="356">
        <f ca="1">IFERROR(__xludf.DUMMYFUNCTION("IMPORTRANGE(""https://docs.google.com/spreadsheets/d/18T20gbkS_WBjdscyTOV05cvq_JqvqQ17C81mpxf7Ncs/edit?usp=sharing"",""สุราษฎร์ธานี!I346"")"),5)</f>
        <v>5</v>
      </c>
      <c r="V88" s="186">
        <f ca="1">IFERROR(__xludf.DUMMYFUNCTION("IMPORTRANGE(""https://docs.google.com/spreadsheets/d/18T20gbkS_WBjdscyTOV05cvq_JqvqQ17C81mpxf7Ncs/edit?usp=sharing"",""สุราษฎร์ธานี!J346"")"),2)</f>
        <v>2</v>
      </c>
      <c r="W88" s="357">
        <f t="shared" ca="1" si="30"/>
        <v>40</v>
      </c>
      <c r="X88" s="186">
        <f ca="1">IFERROR(__xludf.DUMMYFUNCTION("IMPORTRANGE(""https://docs.google.com/spreadsheets/d/18T20gbkS_WBjdscyTOV05cvq_JqvqQ17C81mpxf7Ncs/edit?usp=sharing"",""สุราษฎร์ธานี!J347"")"),0)</f>
        <v>0</v>
      </c>
      <c r="Y88" s="186">
        <f ca="1">IFERROR(__xludf.DUMMYFUNCTION("IMPORTRANGE(""https://docs.google.com/spreadsheets/d/18T20gbkS_WBjdscyTOV05cvq_JqvqQ17C81mpxf7Ncs/edit?usp=sharing"",""สุราษฎร์ธานี!J348"")"),2)</f>
        <v>2</v>
      </c>
      <c r="Z88" s="186">
        <f ca="1">IFERROR(__xludf.DUMMYFUNCTION("IMPORTRANGE(""https://docs.google.com/spreadsheets/d/18T20gbkS_WBjdscyTOV05cvq_JqvqQ17C81mpxf7Ncs/edit?usp=sharing"",""สุราษฎร์ธานี!J349"")"),2)</f>
        <v>2</v>
      </c>
      <c r="AA88" s="186">
        <f ca="1">IFERROR(__xludf.DUMMYFUNCTION("IMPORTRANGE(""https://docs.google.com/spreadsheets/d/18T20gbkS_WBjdscyTOV05cvq_JqvqQ17C81mpxf7Ncs/edit?usp=sharing"",""สุราษฎร์ธานี!J352"")"),2082)</f>
        <v>2082</v>
      </c>
      <c r="AB88" s="186">
        <f ca="1">IFERROR(__xludf.DUMMYFUNCTION("IMPORTRANGE(""https://docs.google.com/spreadsheets/d/18T20gbkS_WBjdscyTOV05cvq_JqvqQ17C81mpxf7Ncs/edit?usp=sharing"",""สุราษฎร์ธานี!J353"")"),2269)</f>
        <v>2269</v>
      </c>
    </row>
    <row r="89" spans="1:28" ht="21" hidden="1" customHeight="1" x14ac:dyDescent="0.3">
      <c r="A89" s="632" t="s">
        <v>115</v>
      </c>
      <c r="B89" s="633"/>
      <c r="C89" s="46">
        <f t="shared" ref="C89:Q89" ca="1" si="48">SUM(C90:C106)</f>
        <v>937400</v>
      </c>
      <c r="D89" s="45">
        <f t="shared" ca="1" si="48"/>
        <v>937400</v>
      </c>
      <c r="E89" s="45">
        <f t="shared" ca="1" si="48"/>
        <v>427400</v>
      </c>
      <c r="F89" s="45">
        <f t="shared" ca="1" si="48"/>
        <v>510000</v>
      </c>
      <c r="G89" s="45">
        <f t="shared" ca="1" si="48"/>
        <v>0</v>
      </c>
      <c r="H89" s="45">
        <f t="shared" ca="1" si="48"/>
        <v>551225</v>
      </c>
      <c r="I89" s="45">
        <f t="shared" ca="1" si="48"/>
        <v>0</v>
      </c>
      <c r="J89" s="45">
        <f t="shared" ca="1" si="48"/>
        <v>263273.14</v>
      </c>
      <c r="K89" s="47">
        <f t="shared" ca="1" si="48"/>
        <v>28.962941694169416</v>
      </c>
      <c r="L89" s="45">
        <f t="shared" ca="1" si="48"/>
        <v>263273.14</v>
      </c>
      <c r="M89" s="47">
        <f t="shared" ca="1" si="48"/>
        <v>28.962941694169416</v>
      </c>
      <c r="N89" s="47">
        <f t="shared" ca="1" si="48"/>
        <v>66.278089244131166</v>
      </c>
      <c r="O89" s="45">
        <f t="shared" ca="1" si="48"/>
        <v>0</v>
      </c>
      <c r="P89" s="45">
        <f t="shared" ca="1" si="48"/>
        <v>0</v>
      </c>
      <c r="Q89" s="45">
        <f t="shared" ca="1" si="48"/>
        <v>0</v>
      </c>
      <c r="R89" s="45"/>
      <c r="S89" s="45"/>
      <c r="T89" s="48"/>
      <c r="U89" s="45"/>
      <c r="V89" s="45"/>
      <c r="W89" s="48"/>
      <c r="X89" s="45"/>
      <c r="Y89" s="45"/>
      <c r="Z89" s="45"/>
      <c r="AA89" s="45"/>
      <c r="AB89" s="45"/>
    </row>
    <row r="90" spans="1:28" ht="24" hidden="1" customHeight="1" x14ac:dyDescent="0.3">
      <c r="A90" s="197"/>
      <c r="B90" s="125" t="s">
        <v>116</v>
      </c>
      <c r="C90" s="198">
        <f t="shared" ref="C90:C106" ca="1" si="49">D90+G90</f>
        <v>0</v>
      </c>
      <c r="D90" s="199">
        <f t="shared" ref="D90:D106" ca="1" si="50">+E90+F90</f>
        <v>0</v>
      </c>
      <c r="E90" s="81">
        <f ca="1">IFERROR(__xludf.DUMMYFUNCTION("IMPORTRANGE(""https://docs.google.com/spreadsheets/d/1-uDff_7J0KD5mKrp0Vvzr7lt3OU09vwQwhkpOPPYv2Y/edit?usp=sharing"",""งบพรบ!ET90"")"),0)</f>
        <v>0</v>
      </c>
      <c r="F90" s="81">
        <f ca="1">IFERROR(__xludf.DUMMYFUNCTION("IMPORTRANGE(""https://docs.google.com/spreadsheets/d/1-uDff_7J0KD5mKrp0Vvzr7lt3OU09vwQwhkpOPPYv2Y/edit?usp=sharing"",""งบพรบ!EU90"")"),0)</f>
        <v>0</v>
      </c>
      <c r="G90" s="81">
        <f ca="1">IFERROR(__xludf.DUMMYFUNCTION("IMPORTRANGE(""https://docs.google.com/spreadsheets/d/1-uDff_7J0KD5mKrp0Vvzr7lt3OU09vwQwhkpOPPYv2Y/edit?usp=sharing"",""งบพรบ!EV90"")"),0)</f>
        <v>0</v>
      </c>
      <c r="H90" s="81">
        <f ca="1">IFERROR(__xludf.DUMMYFUNCTION("IMPORTRANGE(""https://docs.google.com/spreadsheets/d/1-uDff_7J0KD5mKrp0Vvzr7lt3OU09vwQwhkpOPPYv2Y/edit?usp=sharing"",""งบพรบ!EX90"")"),0)</f>
        <v>0</v>
      </c>
      <c r="I90" s="81">
        <f ca="1">IFERROR(__xludf.DUMMYFUNCTION("IMPORTRANGE(""https://docs.google.com/spreadsheets/d/1-uDff_7J0KD5mKrp0Vvzr7lt3OU09vwQwhkpOPPYv2Y/edit?usp=sharing"",""งบพรบ!EY90"")"),0)</f>
        <v>0</v>
      </c>
      <c r="J90" s="81">
        <f t="shared" ref="J90:J106" ca="1" si="51">L90+O90</f>
        <v>0</v>
      </c>
      <c r="K90" s="126">
        <f t="shared" ref="K90:K106" ca="1" si="52">IF(C90&gt;0,J90*100/C90,0)</f>
        <v>0</v>
      </c>
      <c r="L90" s="81">
        <f ca="1">IFERROR(__xludf.DUMMYFUNCTION("IMPORTRANGE(""https://docs.google.com/spreadsheets/d/1-uDff_7J0KD5mKrp0Vvzr7lt3OU09vwQwhkpOPPYv2Y/edit?usp=sharing"",""งบพรบ!EZ90"")"),0)</f>
        <v>0</v>
      </c>
      <c r="M90" s="84">
        <f t="shared" ref="M90:M106" ca="1" si="53">IF(D90&gt;0,L90*100/D90,0)</f>
        <v>0</v>
      </c>
      <c r="N90" s="84">
        <f t="shared" ref="N90:N106" ca="1" si="54">IF(H90&gt;0,L90*100/H90,0)</f>
        <v>0</v>
      </c>
      <c r="O90" s="85">
        <f ca="1">IFERROR(__xludf.DUMMYFUNCTION("IMPORTRANGE(""https://docs.google.com/spreadsheets/d/1-uDff_7J0KD5mKrp0Vvzr7lt3OU09vwQwhkpOPPYv2Y/edit?usp=sharing"",""งบพรบ!FA90"")"),0)</f>
        <v>0</v>
      </c>
      <c r="P90" s="85">
        <f t="shared" ref="P90:P106" ca="1" si="55">IF(G90&gt;0,O90*100/G90,0)</f>
        <v>0</v>
      </c>
      <c r="Q90" s="84">
        <f t="shared" ref="Q90:Q106" ca="1" si="56">IF(I90&gt;0,O90*100/I90,0)</f>
        <v>0</v>
      </c>
      <c r="R90" s="81"/>
      <c r="S90" s="81"/>
      <c r="T90" s="84"/>
      <c r="U90" s="81"/>
      <c r="V90" s="81"/>
      <c r="W90" s="84"/>
      <c r="X90" s="81"/>
      <c r="Y90" s="81"/>
      <c r="Z90" s="81"/>
      <c r="AA90" s="81"/>
      <c r="AB90" s="81"/>
    </row>
    <row r="91" spans="1:28" ht="24" hidden="1" customHeight="1" x14ac:dyDescent="0.3">
      <c r="A91" s="201"/>
      <c r="B91" s="129" t="s">
        <v>117</v>
      </c>
      <c r="C91" s="202">
        <f t="shared" ca="1" si="49"/>
        <v>0</v>
      </c>
      <c r="D91" s="203">
        <f t="shared" ca="1" si="50"/>
        <v>0</v>
      </c>
      <c r="E91" s="93">
        <f ca="1">IFERROR(__xludf.DUMMYFUNCTION("IMPORTRANGE(""https://docs.google.com/spreadsheets/d/1-uDff_7J0KD5mKrp0Vvzr7lt3OU09vwQwhkpOPPYv2Y/edit?usp=sharing"",""งบพรบ!ET91"")"),0)</f>
        <v>0</v>
      </c>
      <c r="F91" s="93">
        <f ca="1">IFERROR(__xludf.DUMMYFUNCTION("IMPORTRANGE(""https://docs.google.com/spreadsheets/d/1-uDff_7J0KD5mKrp0Vvzr7lt3OU09vwQwhkpOPPYv2Y/edit?usp=sharing"",""งบพรบ!EU91"")"),0)</f>
        <v>0</v>
      </c>
      <c r="G91" s="93">
        <f ca="1">IFERROR(__xludf.DUMMYFUNCTION("IMPORTRANGE(""https://docs.google.com/spreadsheets/d/1-uDff_7J0KD5mKrp0Vvzr7lt3OU09vwQwhkpOPPYv2Y/edit?usp=sharing"",""งบพรบ!EV91"")"),0)</f>
        <v>0</v>
      </c>
      <c r="H91" s="93">
        <f ca="1">IFERROR(__xludf.DUMMYFUNCTION("IMPORTRANGE(""https://docs.google.com/spreadsheets/d/1-uDff_7J0KD5mKrp0Vvzr7lt3OU09vwQwhkpOPPYv2Y/edit?usp=sharing"",""งบพรบ!EX91"")"),0)</f>
        <v>0</v>
      </c>
      <c r="I91" s="93">
        <f ca="1">IFERROR(__xludf.DUMMYFUNCTION("IMPORTRANGE(""https://docs.google.com/spreadsheets/d/1-uDff_7J0KD5mKrp0Vvzr7lt3OU09vwQwhkpOPPYv2Y/edit?usp=sharing"",""งบพรบ!EY91"")"),0)</f>
        <v>0</v>
      </c>
      <c r="J91" s="93">
        <f t="shared" ca="1" si="51"/>
        <v>0</v>
      </c>
      <c r="K91" s="94">
        <f t="shared" ca="1" si="52"/>
        <v>0</v>
      </c>
      <c r="L91" s="93">
        <f ca="1">IFERROR(__xludf.DUMMYFUNCTION("IMPORTRANGE(""https://docs.google.com/spreadsheets/d/1-uDff_7J0KD5mKrp0Vvzr7lt3OU09vwQwhkpOPPYv2Y/edit?usp=sharing"",""งบพรบ!EZ91"")"),0)</f>
        <v>0</v>
      </c>
      <c r="M91" s="95">
        <f t="shared" ca="1" si="53"/>
        <v>0</v>
      </c>
      <c r="N91" s="95">
        <f t="shared" ca="1" si="54"/>
        <v>0</v>
      </c>
      <c r="O91" s="96">
        <f ca="1">IFERROR(__xludf.DUMMYFUNCTION("IMPORTRANGE(""https://docs.google.com/spreadsheets/d/1-uDff_7J0KD5mKrp0Vvzr7lt3OU09vwQwhkpOPPYv2Y/edit?usp=sharing"",""งบพรบ!FA91"")"),0)</f>
        <v>0</v>
      </c>
      <c r="P91" s="96">
        <f t="shared" ca="1" si="55"/>
        <v>0</v>
      </c>
      <c r="Q91" s="95">
        <f t="shared" ca="1" si="56"/>
        <v>0</v>
      </c>
      <c r="R91" s="93"/>
      <c r="S91" s="93"/>
      <c r="T91" s="95"/>
      <c r="U91" s="93"/>
      <c r="V91" s="93"/>
      <c r="W91" s="95"/>
      <c r="X91" s="93"/>
      <c r="Y91" s="93"/>
      <c r="Z91" s="93"/>
      <c r="AA91" s="93"/>
      <c r="AB91" s="93"/>
    </row>
    <row r="92" spans="1:28" ht="24" hidden="1" customHeight="1" x14ac:dyDescent="0.3">
      <c r="A92" s="201"/>
      <c r="B92" s="129" t="s">
        <v>118</v>
      </c>
      <c r="C92" s="202">
        <f t="shared" ca="1" si="49"/>
        <v>0</v>
      </c>
      <c r="D92" s="203">
        <f t="shared" ca="1" si="50"/>
        <v>0</v>
      </c>
      <c r="E92" s="93">
        <f ca="1">IFERROR(__xludf.DUMMYFUNCTION("IMPORTRANGE(""https://docs.google.com/spreadsheets/d/1-uDff_7J0KD5mKrp0Vvzr7lt3OU09vwQwhkpOPPYv2Y/edit?usp=sharing"",""งบพรบ!ET92"")"),0)</f>
        <v>0</v>
      </c>
      <c r="F92" s="93">
        <f ca="1">IFERROR(__xludf.DUMMYFUNCTION("IMPORTRANGE(""https://docs.google.com/spreadsheets/d/1-uDff_7J0KD5mKrp0Vvzr7lt3OU09vwQwhkpOPPYv2Y/edit?usp=sharing"",""งบพรบ!EU92"")"),0)</f>
        <v>0</v>
      </c>
      <c r="G92" s="93">
        <f ca="1">IFERROR(__xludf.DUMMYFUNCTION("IMPORTRANGE(""https://docs.google.com/spreadsheets/d/1-uDff_7J0KD5mKrp0Vvzr7lt3OU09vwQwhkpOPPYv2Y/edit?usp=sharing"",""งบพรบ!EV92"")"),0)</f>
        <v>0</v>
      </c>
      <c r="H92" s="93">
        <f ca="1">IFERROR(__xludf.DUMMYFUNCTION("IMPORTRANGE(""https://docs.google.com/spreadsheets/d/1-uDff_7J0KD5mKrp0Vvzr7lt3OU09vwQwhkpOPPYv2Y/edit?usp=sharing"",""งบพรบ!EX92"")"),0)</f>
        <v>0</v>
      </c>
      <c r="I92" s="93">
        <f ca="1">IFERROR(__xludf.DUMMYFUNCTION("IMPORTRANGE(""https://docs.google.com/spreadsheets/d/1-uDff_7J0KD5mKrp0Vvzr7lt3OU09vwQwhkpOPPYv2Y/edit?usp=sharing"",""งบพรบ!EY92"")"),0)</f>
        <v>0</v>
      </c>
      <c r="J92" s="93">
        <f t="shared" ca="1" si="51"/>
        <v>0</v>
      </c>
      <c r="K92" s="94">
        <f t="shared" ca="1" si="52"/>
        <v>0</v>
      </c>
      <c r="L92" s="93">
        <f ca="1">IFERROR(__xludf.DUMMYFUNCTION("IMPORTRANGE(""https://docs.google.com/spreadsheets/d/1-uDff_7J0KD5mKrp0Vvzr7lt3OU09vwQwhkpOPPYv2Y/edit?usp=sharing"",""งบพรบ!EZ92"")"),0)</f>
        <v>0</v>
      </c>
      <c r="M92" s="95">
        <f t="shared" ca="1" si="53"/>
        <v>0</v>
      </c>
      <c r="N92" s="95">
        <f t="shared" ca="1" si="54"/>
        <v>0</v>
      </c>
      <c r="O92" s="96">
        <f ca="1">IFERROR(__xludf.DUMMYFUNCTION("IMPORTRANGE(""https://docs.google.com/spreadsheets/d/1-uDff_7J0KD5mKrp0Vvzr7lt3OU09vwQwhkpOPPYv2Y/edit?usp=sharing"",""งบพรบ!FA92"")"),0)</f>
        <v>0</v>
      </c>
      <c r="P92" s="96">
        <f t="shared" ca="1" si="55"/>
        <v>0</v>
      </c>
      <c r="Q92" s="95">
        <f t="shared" ca="1" si="56"/>
        <v>0</v>
      </c>
      <c r="R92" s="93"/>
      <c r="S92" s="93"/>
      <c r="T92" s="95"/>
      <c r="U92" s="93"/>
      <c r="V92" s="93"/>
      <c r="W92" s="95"/>
      <c r="X92" s="93"/>
      <c r="Y92" s="93"/>
      <c r="Z92" s="93"/>
      <c r="AA92" s="93"/>
      <c r="AB92" s="93"/>
    </row>
    <row r="93" spans="1:28" ht="24" hidden="1" customHeight="1" x14ac:dyDescent="0.3">
      <c r="A93" s="201"/>
      <c r="B93" s="129" t="s">
        <v>119</v>
      </c>
      <c r="C93" s="202">
        <f t="shared" ca="1" si="49"/>
        <v>0</v>
      </c>
      <c r="D93" s="203">
        <f t="shared" ca="1" si="50"/>
        <v>0</v>
      </c>
      <c r="E93" s="93">
        <f ca="1">IFERROR(__xludf.DUMMYFUNCTION("IMPORTRANGE(""https://docs.google.com/spreadsheets/d/1-uDff_7J0KD5mKrp0Vvzr7lt3OU09vwQwhkpOPPYv2Y/edit?usp=sharing"",""งบพรบ!ET93"")"),0)</f>
        <v>0</v>
      </c>
      <c r="F93" s="93">
        <f ca="1">IFERROR(__xludf.DUMMYFUNCTION("IMPORTRANGE(""https://docs.google.com/spreadsheets/d/1-uDff_7J0KD5mKrp0Vvzr7lt3OU09vwQwhkpOPPYv2Y/edit?usp=sharing"",""งบพรบ!EU93"")"),0)</f>
        <v>0</v>
      </c>
      <c r="G93" s="93">
        <f ca="1">IFERROR(__xludf.DUMMYFUNCTION("IMPORTRANGE(""https://docs.google.com/spreadsheets/d/1-uDff_7J0KD5mKrp0Vvzr7lt3OU09vwQwhkpOPPYv2Y/edit?usp=sharing"",""งบพรบ!EV93"")"),0)</f>
        <v>0</v>
      </c>
      <c r="H93" s="93">
        <f ca="1">IFERROR(__xludf.DUMMYFUNCTION("IMPORTRANGE(""https://docs.google.com/spreadsheets/d/1-uDff_7J0KD5mKrp0Vvzr7lt3OU09vwQwhkpOPPYv2Y/edit?usp=sharing"",""งบพรบ!EX93"")"),0)</f>
        <v>0</v>
      </c>
      <c r="I93" s="93">
        <f ca="1">IFERROR(__xludf.DUMMYFUNCTION("IMPORTRANGE(""https://docs.google.com/spreadsheets/d/1-uDff_7J0KD5mKrp0Vvzr7lt3OU09vwQwhkpOPPYv2Y/edit?usp=sharing"",""งบพรบ!EY93"")"),0)</f>
        <v>0</v>
      </c>
      <c r="J93" s="93">
        <f t="shared" ca="1" si="51"/>
        <v>0</v>
      </c>
      <c r="K93" s="94">
        <f t="shared" ca="1" si="52"/>
        <v>0</v>
      </c>
      <c r="L93" s="93">
        <f ca="1">IFERROR(__xludf.DUMMYFUNCTION("IMPORTRANGE(""https://docs.google.com/spreadsheets/d/1-uDff_7J0KD5mKrp0Vvzr7lt3OU09vwQwhkpOPPYv2Y/edit?usp=sharing"",""งบพรบ!EZ93"")"),0)</f>
        <v>0</v>
      </c>
      <c r="M93" s="95">
        <f t="shared" ca="1" si="53"/>
        <v>0</v>
      </c>
      <c r="N93" s="95">
        <f t="shared" ca="1" si="54"/>
        <v>0</v>
      </c>
      <c r="O93" s="96">
        <f ca="1">IFERROR(__xludf.DUMMYFUNCTION("IMPORTRANGE(""https://docs.google.com/spreadsheets/d/1-uDff_7J0KD5mKrp0Vvzr7lt3OU09vwQwhkpOPPYv2Y/edit?usp=sharing"",""งบพรบ!FA93"")"),0)</f>
        <v>0</v>
      </c>
      <c r="P93" s="96">
        <f t="shared" ca="1" si="55"/>
        <v>0</v>
      </c>
      <c r="Q93" s="95">
        <f t="shared" ca="1" si="56"/>
        <v>0</v>
      </c>
      <c r="R93" s="93"/>
      <c r="S93" s="93"/>
      <c r="T93" s="95"/>
      <c r="U93" s="93"/>
      <c r="V93" s="93"/>
      <c r="W93" s="95"/>
      <c r="X93" s="93"/>
      <c r="Y93" s="93"/>
      <c r="Z93" s="93"/>
      <c r="AA93" s="93"/>
      <c r="AB93" s="93"/>
    </row>
    <row r="94" spans="1:28" ht="24" hidden="1" customHeight="1" x14ac:dyDescent="0.3">
      <c r="A94" s="201"/>
      <c r="B94" s="129" t="s">
        <v>120</v>
      </c>
      <c r="C94" s="202">
        <f t="shared" ca="1" si="49"/>
        <v>0</v>
      </c>
      <c r="D94" s="203">
        <f t="shared" ca="1" si="50"/>
        <v>0</v>
      </c>
      <c r="E94" s="93">
        <f ca="1">IFERROR(__xludf.DUMMYFUNCTION("IMPORTRANGE(""https://docs.google.com/spreadsheets/d/1-uDff_7J0KD5mKrp0Vvzr7lt3OU09vwQwhkpOPPYv2Y/edit?usp=sharing"",""งบพรบ!ET94"")"),0)</f>
        <v>0</v>
      </c>
      <c r="F94" s="93">
        <f ca="1">IFERROR(__xludf.DUMMYFUNCTION("IMPORTRANGE(""https://docs.google.com/spreadsheets/d/1-uDff_7J0KD5mKrp0Vvzr7lt3OU09vwQwhkpOPPYv2Y/edit?usp=sharing"",""งบพรบ!EU94"")"),0)</f>
        <v>0</v>
      </c>
      <c r="G94" s="93">
        <f ca="1">IFERROR(__xludf.DUMMYFUNCTION("IMPORTRANGE(""https://docs.google.com/spreadsheets/d/1-uDff_7J0KD5mKrp0Vvzr7lt3OU09vwQwhkpOPPYv2Y/edit?usp=sharing"",""งบพรบ!EV94"")"),0)</f>
        <v>0</v>
      </c>
      <c r="H94" s="93">
        <f ca="1">IFERROR(__xludf.DUMMYFUNCTION("IMPORTRANGE(""https://docs.google.com/spreadsheets/d/1-uDff_7J0KD5mKrp0Vvzr7lt3OU09vwQwhkpOPPYv2Y/edit?usp=sharing"",""งบพรบ!EX94"")"),0)</f>
        <v>0</v>
      </c>
      <c r="I94" s="93">
        <f ca="1">IFERROR(__xludf.DUMMYFUNCTION("IMPORTRANGE(""https://docs.google.com/spreadsheets/d/1-uDff_7J0KD5mKrp0Vvzr7lt3OU09vwQwhkpOPPYv2Y/edit?usp=sharing"",""งบพรบ!EY94"")"),0)</f>
        <v>0</v>
      </c>
      <c r="J94" s="93">
        <f t="shared" ca="1" si="51"/>
        <v>0</v>
      </c>
      <c r="K94" s="94">
        <f t="shared" ca="1" si="52"/>
        <v>0</v>
      </c>
      <c r="L94" s="93">
        <f ca="1">IFERROR(__xludf.DUMMYFUNCTION("IMPORTRANGE(""https://docs.google.com/spreadsheets/d/1-uDff_7J0KD5mKrp0Vvzr7lt3OU09vwQwhkpOPPYv2Y/edit?usp=sharing"",""งบพรบ!EZ94"")"),0)</f>
        <v>0</v>
      </c>
      <c r="M94" s="95">
        <f t="shared" ca="1" si="53"/>
        <v>0</v>
      </c>
      <c r="N94" s="95">
        <f t="shared" ca="1" si="54"/>
        <v>0</v>
      </c>
      <c r="O94" s="96">
        <f ca="1">IFERROR(__xludf.DUMMYFUNCTION("IMPORTRANGE(""https://docs.google.com/spreadsheets/d/1-uDff_7J0KD5mKrp0Vvzr7lt3OU09vwQwhkpOPPYv2Y/edit?usp=sharing"",""งบพรบ!FA94"")"),0)</f>
        <v>0</v>
      </c>
      <c r="P94" s="96">
        <f t="shared" ca="1" si="55"/>
        <v>0</v>
      </c>
      <c r="Q94" s="95">
        <f t="shared" ca="1" si="56"/>
        <v>0</v>
      </c>
      <c r="R94" s="93"/>
      <c r="S94" s="93"/>
      <c r="T94" s="95"/>
      <c r="U94" s="93"/>
      <c r="V94" s="93"/>
      <c r="W94" s="95"/>
      <c r="X94" s="93"/>
      <c r="Y94" s="93"/>
      <c r="Z94" s="93"/>
      <c r="AA94" s="93"/>
      <c r="AB94" s="93"/>
    </row>
    <row r="95" spans="1:28" ht="24" hidden="1" customHeight="1" x14ac:dyDescent="0.3">
      <c r="A95" s="201"/>
      <c r="B95" s="129" t="s">
        <v>121</v>
      </c>
      <c r="C95" s="202">
        <f t="shared" ca="1" si="49"/>
        <v>0</v>
      </c>
      <c r="D95" s="203">
        <f t="shared" ca="1" si="50"/>
        <v>0</v>
      </c>
      <c r="E95" s="93">
        <f ca="1">IFERROR(__xludf.DUMMYFUNCTION("IMPORTRANGE(""https://docs.google.com/spreadsheets/d/1-uDff_7J0KD5mKrp0Vvzr7lt3OU09vwQwhkpOPPYv2Y/edit?usp=sharing"",""งบพรบ!ET95"")"),0)</f>
        <v>0</v>
      </c>
      <c r="F95" s="93">
        <f ca="1">IFERROR(__xludf.DUMMYFUNCTION("IMPORTRANGE(""https://docs.google.com/spreadsheets/d/1-uDff_7J0KD5mKrp0Vvzr7lt3OU09vwQwhkpOPPYv2Y/edit?usp=sharing"",""งบพรบ!EU95"")"),0)</f>
        <v>0</v>
      </c>
      <c r="G95" s="93">
        <f ca="1">IFERROR(__xludf.DUMMYFUNCTION("IMPORTRANGE(""https://docs.google.com/spreadsheets/d/1-uDff_7J0KD5mKrp0Vvzr7lt3OU09vwQwhkpOPPYv2Y/edit?usp=sharing"",""งบพรบ!EV95"")"),0)</f>
        <v>0</v>
      </c>
      <c r="H95" s="93">
        <f ca="1">IFERROR(__xludf.DUMMYFUNCTION("IMPORTRANGE(""https://docs.google.com/spreadsheets/d/1-uDff_7J0KD5mKrp0Vvzr7lt3OU09vwQwhkpOPPYv2Y/edit?usp=sharing"",""งบพรบ!EX95"")"),0)</f>
        <v>0</v>
      </c>
      <c r="I95" s="93">
        <f ca="1">IFERROR(__xludf.DUMMYFUNCTION("IMPORTRANGE(""https://docs.google.com/spreadsheets/d/1-uDff_7J0KD5mKrp0Vvzr7lt3OU09vwQwhkpOPPYv2Y/edit?usp=sharing"",""งบพรบ!EY95"")"),0)</f>
        <v>0</v>
      </c>
      <c r="J95" s="93">
        <f t="shared" ca="1" si="51"/>
        <v>0</v>
      </c>
      <c r="K95" s="94">
        <f t="shared" ca="1" si="52"/>
        <v>0</v>
      </c>
      <c r="L95" s="93">
        <f ca="1">IFERROR(__xludf.DUMMYFUNCTION("IMPORTRANGE(""https://docs.google.com/spreadsheets/d/1-uDff_7J0KD5mKrp0Vvzr7lt3OU09vwQwhkpOPPYv2Y/edit?usp=sharing"",""งบพรบ!EZ95"")"),0)</f>
        <v>0</v>
      </c>
      <c r="M95" s="95">
        <f t="shared" ca="1" si="53"/>
        <v>0</v>
      </c>
      <c r="N95" s="95">
        <f t="shared" ca="1" si="54"/>
        <v>0</v>
      </c>
      <c r="O95" s="96">
        <f ca="1">IFERROR(__xludf.DUMMYFUNCTION("IMPORTRANGE(""https://docs.google.com/spreadsheets/d/1-uDff_7J0KD5mKrp0Vvzr7lt3OU09vwQwhkpOPPYv2Y/edit?usp=sharing"",""งบพรบ!FA95"")"),0)</f>
        <v>0</v>
      </c>
      <c r="P95" s="96">
        <f t="shared" ca="1" si="55"/>
        <v>0</v>
      </c>
      <c r="Q95" s="95">
        <f t="shared" ca="1" si="56"/>
        <v>0</v>
      </c>
      <c r="R95" s="93"/>
      <c r="S95" s="93"/>
      <c r="T95" s="95"/>
      <c r="U95" s="93"/>
      <c r="V95" s="93"/>
      <c r="W95" s="95"/>
      <c r="X95" s="93"/>
      <c r="Y95" s="93"/>
      <c r="Z95" s="93"/>
      <c r="AA95" s="93"/>
      <c r="AB95" s="93"/>
    </row>
    <row r="96" spans="1:28" ht="24" hidden="1" customHeight="1" x14ac:dyDescent="0.3">
      <c r="A96" s="201"/>
      <c r="B96" s="129" t="s">
        <v>122</v>
      </c>
      <c r="C96" s="202">
        <f t="shared" ca="1" si="49"/>
        <v>909000</v>
      </c>
      <c r="D96" s="203">
        <f t="shared" ca="1" si="50"/>
        <v>909000</v>
      </c>
      <c r="E96" s="93">
        <f ca="1">IFERROR(__xludf.DUMMYFUNCTION("IMPORTRANGE(""https://docs.google.com/spreadsheets/d/1-uDff_7J0KD5mKrp0Vvzr7lt3OU09vwQwhkpOPPYv2Y/edit?usp=sharing"",""งบพรบ!ET96"")"),399000)</f>
        <v>399000</v>
      </c>
      <c r="F96" s="93">
        <f ca="1">IFERROR(__xludf.DUMMYFUNCTION("IMPORTRANGE(""https://docs.google.com/spreadsheets/d/1-uDff_7J0KD5mKrp0Vvzr7lt3OU09vwQwhkpOPPYv2Y/edit?usp=sharing"",""งบพรบ!EU96"")"),510000)</f>
        <v>510000</v>
      </c>
      <c r="G96" s="93">
        <f ca="1">IFERROR(__xludf.DUMMYFUNCTION("IMPORTRANGE(""https://docs.google.com/spreadsheets/d/1-uDff_7J0KD5mKrp0Vvzr7lt3OU09vwQwhkpOPPYv2Y/edit?usp=sharing"",""งบพรบ!EV96"")"),0)</f>
        <v>0</v>
      </c>
      <c r="H96" s="93">
        <f ca="1">IFERROR(__xludf.DUMMYFUNCTION("IMPORTRANGE(""https://docs.google.com/spreadsheets/d/1-uDff_7J0KD5mKrp0Vvzr7lt3OU09vwQwhkpOPPYv2Y/edit?usp=sharing"",""งบพรบ!EX96"")"),397225)</f>
        <v>397225</v>
      </c>
      <c r="I96" s="93">
        <f ca="1">IFERROR(__xludf.DUMMYFUNCTION("IMPORTRANGE(""https://docs.google.com/spreadsheets/d/1-uDff_7J0KD5mKrp0Vvzr7lt3OU09vwQwhkpOPPYv2Y/edit?usp=sharing"",""งบพรบ!EY96"")"),0)</f>
        <v>0</v>
      </c>
      <c r="J96" s="93">
        <f t="shared" ca="1" si="51"/>
        <v>263273.14</v>
      </c>
      <c r="K96" s="94">
        <f t="shared" ca="1" si="52"/>
        <v>28.962941694169416</v>
      </c>
      <c r="L96" s="93">
        <f ca="1">IFERROR(__xludf.DUMMYFUNCTION("IMPORTRANGE(""https://docs.google.com/spreadsheets/d/1-uDff_7J0KD5mKrp0Vvzr7lt3OU09vwQwhkpOPPYv2Y/edit?usp=sharing"",""งบพรบ!EZ96"")"),263273.14)</f>
        <v>263273.14</v>
      </c>
      <c r="M96" s="95">
        <f t="shared" ca="1" si="53"/>
        <v>28.962941694169416</v>
      </c>
      <c r="N96" s="95">
        <f t="shared" ca="1" si="54"/>
        <v>66.278089244131166</v>
      </c>
      <c r="O96" s="96">
        <f ca="1">IFERROR(__xludf.DUMMYFUNCTION("IMPORTRANGE(""https://docs.google.com/spreadsheets/d/1-uDff_7J0KD5mKrp0Vvzr7lt3OU09vwQwhkpOPPYv2Y/edit?usp=sharing"",""งบพรบ!FA96"")"),0)</f>
        <v>0</v>
      </c>
      <c r="P96" s="96">
        <f t="shared" ca="1" si="55"/>
        <v>0</v>
      </c>
      <c r="Q96" s="95">
        <f t="shared" ca="1" si="56"/>
        <v>0</v>
      </c>
      <c r="R96" s="93"/>
      <c r="S96" s="93"/>
      <c r="T96" s="95"/>
      <c r="U96" s="93"/>
      <c r="V96" s="93"/>
      <c r="W96" s="95"/>
      <c r="X96" s="93"/>
      <c r="Y96" s="93"/>
      <c r="Z96" s="93"/>
      <c r="AA96" s="93"/>
      <c r="AB96" s="93"/>
    </row>
    <row r="97" spans="1:28" ht="24" hidden="1" customHeight="1" x14ac:dyDescent="0.3">
      <c r="A97" s="201"/>
      <c r="B97" s="129" t="s">
        <v>123</v>
      </c>
      <c r="C97" s="202">
        <f t="shared" ca="1" si="49"/>
        <v>0</v>
      </c>
      <c r="D97" s="203">
        <f t="shared" ca="1" si="50"/>
        <v>0</v>
      </c>
      <c r="E97" s="93">
        <f ca="1">IFERROR(__xludf.DUMMYFUNCTION("IMPORTRANGE(""https://docs.google.com/spreadsheets/d/1-uDff_7J0KD5mKrp0Vvzr7lt3OU09vwQwhkpOPPYv2Y/edit?usp=sharing"",""งบพรบ!ET97"")"),0)</f>
        <v>0</v>
      </c>
      <c r="F97" s="93">
        <f ca="1">IFERROR(__xludf.DUMMYFUNCTION("IMPORTRANGE(""https://docs.google.com/spreadsheets/d/1-uDff_7J0KD5mKrp0Vvzr7lt3OU09vwQwhkpOPPYv2Y/edit?usp=sharing"",""งบพรบ!EU97"")"),0)</f>
        <v>0</v>
      </c>
      <c r="G97" s="93">
        <f ca="1">IFERROR(__xludf.DUMMYFUNCTION("IMPORTRANGE(""https://docs.google.com/spreadsheets/d/1-uDff_7J0KD5mKrp0Vvzr7lt3OU09vwQwhkpOPPYv2Y/edit?usp=sharing"",""งบพรบ!EV97"")"),0)</f>
        <v>0</v>
      </c>
      <c r="H97" s="93">
        <f ca="1">IFERROR(__xludf.DUMMYFUNCTION("IMPORTRANGE(""https://docs.google.com/spreadsheets/d/1-uDff_7J0KD5mKrp0Vvzr7lt3OU09vwQwhkpOPPYv2Y/edit?usp=sharing"",""งบพรบ!EX97"")"),0)</f>
        <v>0</v>
      </c>
      <c r="I97" s="93">
        <f ca="1">IFERROR(__xludf.DUMMYFUNCTION("IMPORTRANGE(""https://docs.google.com/spreadsheets/d/1-uDff_7J0KD5mKrp0Vvzr7lt3OU09vwQwhkpOPPYv2Y/edit?usp=sharing"",""งบพรบ!EY97"")"),0)</f>
        <v>0</v>
      </c>
      <c r="J97" s="93">
        <f t="shared" ca="1" si="51"/>
        <v>0</v>
      </c>
      <c r="K97" s="94">
        <f t="shared" ca="1" si="52"/>
        <v>0</v>
      </c>
      <c r="L97" s="93">
        <f ca="1">IFERROR(__xludf.DUMMYFUNCTION("IMPORTRANGE(""https://docs.google.com/spreadsheets/d/1-uDff_7J0KD5mKrp0Vvzr7lt3OU09vwQwhkpOPPYv2Y/edit?usp=sharing"",""งบพรบ!EZ97"")"),0)</f>
        <v>0</v>
      </c>
      <c r="M97" s="95">
        <f t="shared" ca="1" si="53"/>
        <v>0</v>
      </c>
      <c r="N97" s="95">
        <f t="shared" ca="1" si="54"/>
        <v>0</v>
      </c>
      <c r="O97" s="96">
        <f ca="1">IFERROR(__xludf.DUMMYFUNCTION("IMPORTRANGE(""https://docs.google.com/spreadsheets/d/1-uDff_7J0KD5mKrp0Vvzr7lt3OU09vwQwhkpOPPYv2Y/edit?usp=sharing"",""งบพรบ!FA97"")"),0)</f>
        <v>0</v>
      </c>
      <c r="P97" s="96">
        <f t="shared" ca="1" si="55"/>
        <v>0</v>
      </c>
      <c r="Q97" s="95">
        <f t="shared" ca="1" si="56"/>
        <v>0</v>
      </c>
      <c r="R97" s="93"/>
      <c r="S97" s="93"/>
      <c r="T97" s="95"/>
      <c r="U97" s="93"/>
      <c r="V97" s="93"/>
      <c r="W97" s="95"/>
      <c r="X97" s="93"/>
      <c r="Y97" s="93"/>
      <c r="Z97" s="93"/>
      <c r="AA97" s="93"/>
      <c r="AB97" s="93"/>
    </row>
    <row r="98" spans="1:28" ht="24" hidden="1" customHeight="1" x14ac:dyDescent="0.3">
      <c r="A98" s="201"/>
      <c r="B98" s="129" t="s">
        <v>124</v>
      </c>
      <c r="C98" s="202">
        <f t="shared" ca="1" si="49"/>
        <v>0</v>
      </c>
      <c r="D98" s="203">
        <f t="shared" ca="1" si="50"/>
        <v>0</v>
      </c>
      <c r="E98" s="93">
        <f ca="1">IFERROR(__xludf.DUMMYFUNCTION("IMPORTRANGE(""https://docs.google.com/spreadsheets/d/1-uDff_7J0KD5mKrp0Vvzr7lt3OU09vwQwhkpOPPYv2Y/edit?usp=sharing"",""งบพรบ!ET98"")"),0)</f>
        <v>0</v>
      </c>
      <c r="F98" s="93">
        <f ca="1">IFERROR(__xludf.DUMMYFUNCTION("IMPORTRANGE(""https://docs.google.com/spreadsheets/d/1-uDff_7J0KD5mKrp0Vvzr7lt3OU09vwQwhkpOPPYv2Y/edit?usp=sharing"",""งบพรบ!EU98"")"),0)</f>
        <v>0</v>
      </c>
      <c r="G98" s="93">
        <f ca="1">IFERROR(__xludf.DUMMYFUNCTION("IMPORTRANGE(""https://docs.google.com/spreadsheets/d/1-uDff_7J0KD5mKrp0Vvzr7lt3OU09vwQwhkpOPPYv2Y/edit?usp=sharing"",""งบพรบ!EV98"")"),0)</f>
        <v>0</v>
      </c>
      <c r="H98" s="93">
        <f ca="1">IFERROR(__xludf.DUMMYFUNCTION("IMPORTRANGE(""https://docs.google.com/spreadsheets/d/1-uDff_7J0KD5mKrp0Vvzr7lt3OU09vwQwhkpOPPYv2Y/edit?usp=sharing"",""งบพรบ!EX98"")"),0)</f>
        <v>0</v>
      </c>
      <c r="I98" s="93">
        <f ca="1">IFERROR(__xludf.DUMMYFUNCTION("IMPORTRANGE(""https://docs.google.com/spreadsheets/d/1-uDff_7J0KD5mKrp0Vvzr7lt3OU09vwQwhkpOPPYv2Y/edit?usp=sharing"",""งบพรบ!EY98"")"),0)</f>
        <v>0</v>
      </c>
      <c r="J98" s="93">
        <f t="shared" ca="1" si="51"/>
        <v>0</v>
      </c>
      <c r="K98" s="94">
        <f t="shared" ca="1" si="52"/>
        <v>0</v>
      </c>
      <c r="L98" s="93">
        <f ca="1">IFERROR(__xludf.DUMMYFUNCTION("IMPORTRANGE(""https://docs.google.com/spreadsheets/d/1-uDff_7J0KD5mKrp0Vvzr7lt3OU09vwQwhkpOPPYv2Y/edit?usp=sharing"",""งบพรบ!EZ98"")"),0)</f>
        <v>0</v>
      </c>
      <c r="M98" s="95">
        <f t="shared" ca="1" si="53"/>
        <v>0</v>
      </c>
      <c r="N98" s="95">
        <f t="shared" ca="1" si="54"/>
        <v>0</v>
      </c>
      <c r="O98" s="96">
        <f ca="1">IFERROR(__xludf.DUMMYFUNCTION("IMPORTRANGE(""https://docs.google.com/spreadsheets/d/1-uDff_7J0KD5mKrp0Vvzr7lt3OU09vwQwhkpOPPYv2Y/edit?usp=sharing"",""งบพรบ!FA98"")"),0)</f>
        <v>0</v>
      </c>
      <c r="P98" s="96">
        <f t="shared" ca="1" si="55"/>
        <v>0</v>
      </c>
      <c r="Q98" s="95">
        <f t="shared" ca="1" si="56"/>
        <v>0</v>
      </c>
      <c r="R98" s="93"/>
      <c r="S98" s="93"/>
      <c r="T98" s="95"/>
      <c r="U98" s="93"/>
      <c r="V98" s="93"/>
      <c r="W98" s="95"/>
      <c r="X98" s="93"/>
      <c r="Y98" s="93"/>
      <c r="Z98" s="93"/>
      <c r="AA98" s="93"/>
      <c r="AB98" s="93"/>
    </row>
    <row r="99" spans="1:28" ht="24" hidden="1" customHeight="1" x14ac:dyDescent="0.3">
      <c r="A99" s="201"/>
      <c r="B99" s="129" t="s">
        <v>125</v>
      </c>
      <c r="C99" s="202">
        <f t="shared" ca="1" si="49"/>
        <v>0</v>
      </c>
      <c r="D99" s="203">
        <f t="shared" ca="1" si="50"/>
        <v>0</v>
      </c>
      <c r="E99" s="93">
        <f ca="1">IFERROR(__xludf.DUMMYFUNCTION("IMPORTRANGE(""https://docs.google.com/spreadsheets/d/1-uDff_7J0KD5mKrp0Vvzr7lt3OU09vwQwhkpOPPYv2Y/edit?usp=sharing"",""งบพรบ!ET99"")"),0)</f>
        <v>0</v>
      </c>
      <c r="F99" s="93">
        <f ca="1">IFERROR(__xludf.DUMMYFUNCTION("IMPORTRANGE(""https://docs.google.com/spreadsheets/d/1-uDff_7J0KD5mKrp0Vvzr7lt3OU09vwQwhkpOPPYv2Y/edit?usp=sharing"",""งบพรบ!EU99"")"),0)</f>
        <v>0</v>
      </c>
      <c r="G99" s="93">
        <f ca="1">IFERROR(__xludf.DUMMYFUNCTION("IMPORTRANGE(""https://docs.google.com/spreadsheets/d/1-uDff_7J0KD5mKrp0Vvzr7lt3OU09vwQwhkpOPPYv2Y/edit?usp=sharing"",""งบพรบ!EV99"")"),0)</f>
        <v>0</v>
      </c>
      <c r="H99" s="93">
        <f ca="1">IFERROR(__xludf.DUMMYFUNCTION("IMPORTRANGE(""https://docs.google.com/spreadsheets/d/1-uDff_7J0KD5mKrp0Vvzr7lt3OU09vwQwhkpOPPYv2Y/edit?usp=sharing"",""งบพรบ!EX99"")"),0)</f>
        <v>0</v>
      </c>
      <c r="I99" s="93">
        <f ca="1">IFERROR(__xludf.DUMMYFUNCTION("IMPORTRANGE(""https://docs.google.com/spreadsheets/d/1-uDff_7J0KD5mKrp0Vvzr7lt3OU09vwQwhkpOPPYv2Y/edit?usp=sharing"",""งบพรบ!EY99"")"),0)</f>
        <v>0</v>
      </c>
      <c r="J99" s="93">
        <f t="shared" ca="1" si="51"/>
        <v>0</v>
      </c>
      <c r="K99" s="94">
        <f t="shared" ca="1" si="52"/>
        <v>0</v>
      </c>
      <c r="L99" s="93">
        <f ca="1">IFERROR(__xludf.DUMMYFUNCTION("IMPORTRANGE(""https://docs.google.com/spreadsheets/d/1-uDff_7J0KD5mKrp0Vvzr7lt3OU09vwQwhkpOPPYv2Y/edit?usp=sharing"",""งบพรบ!EZ99"")"),0)</f>
        <v>0</v>
      </c>
      <c r="M99" s="95">
        <f t="shared" ca="1" si="53"/>
        <v>0</v>
      </c>
      <c r="N99" s="95">
        <f t="shared" ca="1" si="54"/>
        <v>0</v>
      </c>
      <c r="O99" s="96">
        <f ca="1">IFERROR(__xludf.DUMMYFUNCTION("IMPORTRANGE(""https://docs.google.com/spreadsheets/d/1-uDff_7J0KD5mKrp0Vvzr7lt3OU09vwQwhkpOPPYv2Y/edit?usp=sharing"",""งบพรบ!FA99"")"),0)</f>
        <v>0</v>
      </c>
      <c r="P99" s="96">
        <f t="shared" ca="1" si="55"/>
        <v>0</v>
      </c>
      <c r="Q99" s="95">
        <f t="shared" ca="1" si="56"/>
        <v>0</v>
      </c>
      <c r="R99" s="93"/>
      <c r="S99" s="93"/>
      <c r="T99" s="95"/>
      <c r="U99" s="93"/>
      <c r="V99" s="93"/>
      <c r="W99" s="95"/>
      <c r="X99" s="93"/>
      <c r="Y99" s="93"/>
      <c r="Z99" s="93"/>
      <c r="AA99" s="93"/>
      <c r="AB99" s="93"/>
    </row>
    <row r="100" spans="1:28" ht="24" hidden="1" customHeight="1" x14ac:dyDescent="0.3">
      <c r="A100" s="201"/>
      <c r="B100" s="129" t="s">
        <v>126</v>
      </c>
      <c r="C100" s="202">
        <f t="shared" ca="1" si="49"/>
        <v>0</v>
      </c>
      <c r="D100" s="203">
        <f t="shared" ca="1" si="50"/>
        <v>0</v>
      </c>
      <c r="E100" s="93">
        <f ca="1">IFERROR(__xludf.DUMMYFUNCTION("IMPORTRANGE(""https://docs.google.com/spreadsheets/d/1-uDff_7J0KD5mKrp0Vvzr7lt3OU09vwQwhkpOPPYv2Y/edit?usp=sharing"",""งบพรบ!ET100"")"),0)</f>
        <v>0</v>
      </c>
      <c r="F100" s="93">
        <f ca="1">IFERROR(__xludf.DUMMYFUNCTION("IMPORTRANGE(""https://docs.google.com/spreadsheets/d/1-uDff_7J0KD5mKrp0Vvzr7lt3OU09vwQwhkpOPPYv2Y/edit?usp=sharing"",""งบพรบ!EU100"")"),0)</f>
        <v>0</v>
      </c>
      <c r="G100" s="93">
        <f ca="1">IFERROR(__xludf.DUMMYFUNCTION("IMPORTRANGE(""https://docs.google.com/spreadsheets/d/1-uDff_7J0KD5mKrp0Vvzr7lt3OU09vwQwhkpOPPYv2Y/edit?usp=sharing"",""งบพรบ!EV100"")"),0)</f>
        <v>0</v>
      </c>
      <c r="H100" s="93">
        <f ca="1">IFERROR(__xludf.DUMMYFUNCTION("IMPORTRANGE(""https://docs.google.com/spreadsheets/d/1-uDff_7J0KD5mKrp0Vvzr7lt3OU09vwQwhkpOPPYv2Y/edit?usp=sharing"",""งบพรบ!EX100"")"),0)</f>
        <v>0</v>
      </c>
      <c r="I100" s="93">
        <f ca="1">IFERROR(__xludf.DUMMYFUNCTION("IMPORTRANGE(""https://docs.google.com/spreadsheets/d/1-uDff_7J0KD5mKrp0Vvzr7lt3OU09vwQwhkpOPPYv2Y/edit?usp=sharing"",""งบพรบ!EY100"")"),0)</f>
        <v>0</v>
      </c>
      <c r="J100" s="93">
        <f t="shared" ca="1" si="51"/>
        <v>0</v>
      </c>
      <c r="K100" s="94">
        <f t="shared" ca="1" si="52"/>
        <v>0</v>
      </c>
      <c r="L100" s="93">
        <f ca="1">IFERROR(__xludf.DUMMYFUNCTION("IMPORTRANGE(""https://docs.google.com/spreadsheets/d/1-uDff_7J0KD5mKrp0Vvzr7lt3OU09vwQwhkpOPPYv2Y/edit?usp=sharing"",""งบพรบ!EZ100"")"),0)</f>
        <v>0</v>
      </c>
      <c r="M100" s="95">
        <f t="shared" ca="1" si="53"/>
        <v>0</v>
      </c>
      <c r="N100" s="95">
        <f t="shared" ca="1" si="54"/>
        <v>0</v>
      </c>
      <c r="O100" s="96">
        <f ca="1">IFERROR(__xludf.DUMMYFUNCTION("IMPORTRANGE(""https://docs.google.com/spreadsheets/d/1-uDff_7J0KD5mKrp0Vvzr7lt3OU09vwQwhkpOPPYv2Y/edit?usp=sharing"",""งบพรบ!FA100"")"),0)</f>
        <v>0</v>
      </c>
      <c r="P100" s="96">
        <f t="shared" ca="1" si="55"/>
        <v>0</v>
      </c>
      <c r="Q100" s="95">
        <f t="shared" ca="1" si="56"/>
        <v>0</v>
      </c>
      <c r="R100" s="93"/>
      <c r="S100" s="93"/>
      <c r="T100" s="95"/>
      <c r="U100" s="93"/>
      <c r="V100" s="93"/>
      <c r="W100" s="95"/>
      <c r="X100" s="93"/>
      <c r="Y100" s="93"/>
      <c r="Z100" s="93"/>
      <c r="AA100" s="93"/>
      <c r="AB100" s="93"/>
    </row>
    <row r="101" spans="1:28" ht="24" hidden="1" customHeight="1" x14ac:dyDescent="0.3">
      <c r="A101" s="201"/>
      <c r="B101" s="129" t="s">
        <v>127</v>
      </c>
      <c r="C101" s="202">
        <f t="shared" ca="1" si="49"/>
        <v>0</v>
      </c>
      <c r="D101" s="203">
        <f t="shared" ca="1" si="50"/>
        <v>0</v>
      </c>
      <c r="E101" s="93">
        <f ca="1">IFERROR(__xludf.DUMMYFUNCTION("IMPORTRANGE(""https://docs.google.com/spreadsheets/d/1-uDff_7J0KD5mKrp0Vvzr7lt3OU09vwQwhkpOPPYv2Y/edit?usp=sharing"",""งบพรบ!ET101"")"),0)</f>
        <v>0</v>
      </c>
      <c r="F101" s="93">
        <f ca="1">IFERROR(__xludf.DUMMYFUNCTION("IMPORTRANGE(""https://docs.google.com/spreadsheets/d/1-uDff_7J0KD5mKrp0Vvzr7lt3OU09vwQwhkpOPPYv2Y/edit?usp=sharing"",""งบพรบ!EU101"")"),0)</f>
        <v>0</v>
      </c>
      <c r="G101" s="93">
        <f ca="1">IFERROR(__xludf.DUMMYFUNCTION("IMPORTRANGE(""https://docs.google.com/spreadsheets/d/1-uDff_7J0KD5mKrp0Vvzr7lt3OU09vwQwhkpOPPYv2Y/edit?usp=sharing"",""งบพรบ!EV101"")"),0)</f>
        <v>0</v>
      </c>
      <c r="H101" s="93">
        <f ca="1">IFERROR(__xludf.DUMMYFUNCTION("IMPORTRANGE(""https://docs.google.com/spreadsheets/d/1-uDff_7J0KD5mKrp0Vvzr7lt3OU09vwQwhkpOPPYv2Y/edit?usp=sharing"",""งบพรบ!EX101"")"),0)</f>
        <v>0</v>
      </c>
      <c r="I101" s="93">
        <f ca="1">IFERROR(__xludf.DUMMYFUNCTION("IMPORTRANGE(""https://docs.google.com/spreadsheets/d/1-uDff_7J0KD5mKrp0Vvzr7lt3OU09vwQwhkpOPPYv2Y/edit?usp=sharing"",""งบพรบ!EY101"")"),0)</f>
        <v>0</v>
      </c>
      <c r="J101" s="93">
        <f t="shared" ca="1" si="51"/>
        <v>0</v>
      </c>
      <c r="K101" s="94">
        <f t="shared" ca="1" si="52"/>
        <v>0</v>
      </c>
      <c r="L101" s="93">
        <f ca="1">IFERROR(__xludf.DUMMYFUNCTION("IMPORTRANGE(""https://docs.google.com/spreadsheets/d/1-uDff_7J0KD5mKrp0Vvzr7lt3OU09vwQwhkpOPPYv2Y/edit?usp=sharing"",""งบพรบ!EZ101"")"),0)</f>
        <v>0</v>
      </c>
      <c r="M101" s="95">
        <f t="shared" ca="1" si="53"/>
        <v>0</v>
      </c>
      <c r="N101" s="95">
        <f t="shared" ca="1" si="54"/>
        <v>0</v>
      </c>
      <c r="O101" s="96">
        <f ca="1">IFERROR(__xludf.DUMMYFUNCTION("IMPORTRANGE(""https://docs.google.com/spreadsheets/d/1-uDff_7J0KD5mKrp0Vvzr7lt3OU09vwQwhkpOPPYv2Y/edit?usp=sharing"",""งบพรบ!FA101"")"),0)</f>
        <v>0</v>
      </c>
      <c r="P101" s="96">
        <f t="shared" ca="1" si="55"/>
        <v>0</v>
      </c>
      <c r="Q101" s="95">
        <f t="shared" ca="1" si="56"/>
        <v>0</v>
      </c>
      <c r="R101" s="93"/>
      <c r="S101" s="93"/>
      <c r="T101" s="95"/>
      <c r="U101" s="93"/>
      <c r="V101" s="93"/>
      <c r="W101" s="95"/>
      <c r="X101" s="93"/>
      <c r="Y101" s="93"/>
      <c r="Z101" s="93"/>
      <c r="AA101" s="93"/>
      <c r="AB101" s="93"/>
    </row>
    <row r="102" spans="1:28" ht="24" hidden="1" customHeight="1" x14ac:dyDescent="0.3">
      <c r="A102" s="201"/>
      <c r="B102" s="129" t="s">
        <v>128</v>
      </c>
      <c r="C102" s="202">
        <f t="shared" ca="1" si="49"/>
        <v>0</v>
      </c>
      <c r="D102" s="203">
        <f t="shared" ca="1" si="50"/>
        <v>0</v>
      </c>
      <c r="E102" s="93">
        <f ca="1">IFERROR(__xludf.DUMMYFUNCTION("IMPORTRANGE(""https://docs.google.com/spreadsheets/d/1-uDff_7J0KD5mKrp0Vvzr7lt3OU09vwQwhkpOPPYv2Y/edit?usp=sharing"",""งบพรบ!ET102"")"),0)</f>
        <v>0</v>
      </c>
      <c r="F102" s="93">
        <f ca="1">IFERROR(__xludf.DUMMYFUNCTION("IMPORTRANGE(""https://docs.google.com/spreadsheets/d/1-uDff_7J0KD5mKrp0Vvzr7lt3OU09vwQwhkpOPPYv2Y/edit?usp=sharing"",""งบพรบ!EU102"")"),0)</f>
        <v>0</v>
      </c>
      <c r="G102" s="93">
        <f ca="1">IFERROR(__xludf.DUMMYFUNCTION("IMPORTRANGE(""https://docs.google.com/spreadsheets/d/1-uDff_7J0KD5mKrp0Vvzr7lt3OU09vwQwhkpOPPYv2Y/edit?usp=sharing"",""งบพรบ!EV102"")"),0)</f>
        <v>0</v>
      </c>
      <c r="H102" s="93">
        <f ca="1">IFERROR(__xludf.DUMMYFUNCTION("IMPORTRANGE(""https://docs.google.com/spreadsheets/d/1-uDff_7J0KD5mKrp0Vvzr7lt3OU09vwQwhkpOPPYv2Y/edit?usp=sharing"",""งบพรบ!EX102"")"),0)</f>
        <v>0</v>
      </c>
      <c r="I102" s="93">
        <f ca="1">IFERROR(__xludf.DUMMYFUNCTION("IMPORTRANGE(""https://docs.google.com/spreadsheets/d/1-uDff_7J0KD5mKrp0Vvzr7lt3OU09vwQwhkpOPPYv2Y/edit?usp=sharing"",""งบพรบ!EY102"")"),0)</f>
        <v>0</v>
      </c>
      <c r="J102" s="93">
        <f t="shared" ca="1" si="51"/>
        <v>0</v>
      </c>
      <c r="K102" s="94">
        <f t="shared" ca="1" si="52"/>
        <v>0</v>
      </c>
      <c r="L102" s="93">
        <f ca="1">IFERROR(__xludf.DUMMYFUNCTION("IMPORTRANGE(""https://docs.google.com/spreadsheets/d/1-uDff_7J0KD5mKrp0Vvzr7lt3OU09vwQwhkpOPPYv2Y/edit?usp=sharing"",""งบพรบ!EZ102"")"),0)</f>
        <v>0</v>
      </c>
      <c r="M102" s="95">
        <f t="shared" ca="1" si="53"/>
        <v>0</v>
      </c>
      <c r="N102" s="95">
        <f t="shared" ca="1" si="54"/>
        <v>0</v>
      </c>
      <c r="O102" s="96">
        <f ca="1">IFERROR(__xludf.DUMMYFUNCTION("IMPORTRANGE(""https://docs.google.com/spreadsheets/d/1-uDff_7J0KD5mKrp0Vvzr7lt3OU09vwQwhkpOPPYv2Y/edit?usp=sharing"",""งบพรบ!FA102"")"),0)</f>
        <v>0</v>
      </c>
      <c r="P102" s="96">
        <f t="shared" ca="1" si="55"/>
        <v>0</v>
      </c>
      <c r="Q102" s="95">
        <f t="shared" ca="1" si="56"/>
        <v>0</v>
      </c>
      <c r="R102" s="93"/>
      <c r="S102" s="93"/>
      <c r="T102" s="95"/>
      <c r="U102" s="93"/>
      <c r="V102" s="93"/>
      <c r="W102" s="95"/>
      <c r="X102" s="93"/>
      <c r="Y102" s="93"/>
      <c r="Z102" s="93"/>
      <c r="AA102" s="93"/>
      <c r="AB102" s="93"/>
    </row>
    <row r="103" spans="1:28" ht="24" hidden="1" customHeight="1" x14ac:dyDescent="0.3">
      <c r="A103" s="201"/>
      <c r="B103" s="129" t="s">
        <v>129</v>
      </c>
      <c r="C103" s="202">
        <f t="shared" ca="1" si="49"/>
        <v>0</v>
      </c>
      <c r="D103" s="203">
        <f t="shared" ca="1" si="50"/>
        <v>0</v>
      </c>
      <c r="E103" s="93">
        <f ca="1">IFERROR(__xludf.DUMMYFUNCTION("IMPORTRANGE(""https://docs.google.com/spreadsheets/d/1-uDff_7J0KD5mKrp0Vvzr7lt3OU09vwQwhkpOPPYv2Y/edit?usp=sharing"",""งบพรบ!ET103"")"),0)</f>
        <v>0</v>
      </c>
      <c r="F103" s="93">
        <f ca="1">IFERROR(__xludf.DUMMYFUNCTION("IMPORTRANGE(""https://docs.google.com/spreadsheets/d/1-uDff_7J0KD5mKrp0Vvzr7lt3OU09vwQwhkpOPPYv2Y/edit?usp=sharing"",""งบพรบ!EU103"")"),0)</f>
        <v>0</v>
      </c>
      <c r="G103" s="93">
        <f ca="1">IFERROR(__xludf.DUMMYFUNCTION("IMPORTRANGE(""https://docs.google.com/spreadsheets/d/1-uDff_7J0KD5mKrp0Vvzr7lt3OU09vwQwhkpOPPYv2Y/edit?usp=sharing"",""งบพรบ!EV103"")"),0)</f>
        <v>0</v>
      </c>
      <c r="H103" s="93">
        <f ca="1">IFERROR(__xludf.DUMMYFUNCTION("IMPORTRANGE(""https://docs.google.com/spreadsheets/d/1-uDff_7J0KD5mKrp0Vvzr7lt3OU09vwQwhkpOPPYv2Y/edit?usp=sharing"",""งบพรบ!EX103"")"),0)</f>
        <v>0</v>
      </c>
      <c r="I103" s="93">
        <f ca="1">IFERROR(__xludf.DUMMYFUNCTION("IMPORTRANGE(""https://docs.google.com/spreadsheets/d/1-uDff_7J0KD5mKrp0Vvzr7lt3OU09vwQwhkpOPPYv2Y/edit?usp=sharing"",""งบพรบ!EY103"")"),0)</f>
        <v>0</v>
      </c>
      <c r="J103" s="93">
        <f t="shared" ca="1" si="51"/>
        <v>0</v>
      </c>
      <c r="K103" s="94">
        <f t="shared" ca="1" si="52"/>
        <v>0</v>
      </c>
      <c r="L103" s="93">
        <f ca="1">IFERROR(__xludf.DUMMYFUNCTION("IMPORTRANGE(""https://docs.google.com/spreadsheets/d/1-uDff_7J0KD5mKrp0Vvzr7lt3OU09vwQwhkpOPPYv2Y/edit?usp=sharing"",""งบพรบ!EZ103"")"),0)</f>
        <v>0</v>
      </c>
      <c r="M103" s="95">
        <f t="shared" ca="1" si="53"/>
        <v>0</v>
      </c>
      <c r="N103" s="95">
        <f t="shared" ca="1" si="54"/>
        <v>0</v>
      </c>
      <c r="O103" s="96">
        <f ca="1">IFERROR(__xludf.DUMMYFUNCTION("IMPORTRANGE(""https://docs.google.com/spreadsheets/d/1-uDff_7J0KD5mKrp0Vvzr7lt3OU09vwQwhkpOPPYv2Y/edit?usp=sharing"",""งบพรบ!FA103"")"),0)</f>
        <v>0</v>
      </c>
      <c r="P103" s="96">
        <f t="shared" ca="1" si="55"/>
        <v>0</v>
      </c>
      <c r="Q103" s="95">
        <f t="shared" ca="1" si="56"/>
        <v>0</v>
      </c>
      <c r="R103" s="249"/>
      <c r="S103" s="249"/>
      <c r="T103" s="132"/>
      <c r="U103" s="249"/>
      <c r="V103" s="249"/>
      <c r="W103" s="132"/>
      <c r="X103" s="249"/>
      <c r="Y103" s="249"/>
      <c r="Z103" s="249"/>
      <c r="AA103" s="249"/>
      <c r="AB103" s="249"/>
    </row>
    <row r="104" spans="1:28" ht="21" hidden="1" customHeight="1" x14ac:dyDescent="0.3">
      <c r="A104" s="369"/>
      <c r="B104" s="370" t="s">
        <v>130</v>
      </c>
      <c r="C104" s="202">
        <f t="shared" ca="1" si="49"/>
        <v>28400</v>
      </c>
      <c r="D104" s="203">
        <f t="shared" ca="1" si="50"/>
        <v>28400</v>
      </c>
      <c r="E104" s="364">
        <f ca="1">IFERROR(__xludf.DUMMYFUNCTION("IMPORTRANGE(""https://docs.google.com/spreadsheets/d/1-uDff_7J0KD5mKrp0Vvzr7lt3OU09vwQwhkpOPPYv2Y/edit?usp=sharing"",""งบพรบ!ET104"")"),28400)</f>
        <v>28400</v>
      </c>
      <c r="F104" s="364">
        <f ca="1">IFERROR(__xludf.DUMMYFUNCTION("IMPORTRANGE(""https://docs.google.com/spreadsheets/d/1-uDff_7J0KD5mKrp0Vvzr7lt3OU09vwQwhkpOPPYv2Y/edit?usp=sharing"",""งบพรบ!EU104"")"),0)</f>
        <v>0</v>
      </c>
      <c r="G104" s="364">
        <f ca="1">IFERROR(__xludf.DUMMYFUNCTION("IMPORTRANGE(""https://docs.google.com/spreadsheets/d/1-uDff_7J0KD5mKrp0Vvzr7lt3OU09vwQwhkpOPPYv2Y/edit?usp=sharing"",""งบพรบ!EV104"")"),0)</f>
        <v>0</v>
      </c>
      <c r="H104" s="364">
        <f ca="1">IFERROR(__xludf.DUMMYFUNCTION("IMPORTRANGE(""https://docs.google.com/spreadsheets/d/1-uDff_7J0KD5mKrp0Vvzr7lt3OU09vwQwhkpOPPYv2Y/edit?usp=sharing"",""งบพรบ!EX104"")"),154000)</f>
        <v>154000</v>
      </c>
      <c r="I104" s="364">
        <f ca="1">IFERROR(__xludf.DUMMYFUNCTION("IMPORTRANGE(""https://docs.google.com/spreadsheets/d/1-uDff_7J0KD5mKrp0Vvzr7lt3OU09vwQwhkpOPPYv2Y/edit?usp=sharing"",""งบพรบ!EY104"")"),0)</f>
        <v>0</v>
      </c>
      <c r="J104" s="364">
        <f t="shared" ca="1" si="51"/>
        <v>0</v>
      </c>
      <c r="K104" s="371">
        <f t="shared" ca="1" si="52"/>
        <v>0</v>
      </c>
      <c r="L104" s="364">
        <f ca="1">IFERROR(__xludf.DUMMYFUNCTION("IMPORTRANGE(""https://docs.google.com/spreadsheets/d/1-uDff_7J0KD5mKrp0Vvzr7lt3OU09vwQwhkpOPPYv2Y/edit?usp=sharing"",""งบพรบ!EZ104"")"),0)</f>
        <v>0</v>
      </c>
      <c r="M104" s="372">
        <f t="shared" ca="1" si="53"/>
        <v>0</v>
      </c>
      <c r="N104" s="372">
        <f t="shared" ca="1" si="54"/>
        <v>0</v>
      </c>
      <c r="O104" s="373">
        <f ca="1">IFERROR(__xludf.DUMMYFUNCTION("IMPORTRANGE(""https://docs.google.com/spreadsheets/d/1-uDff_7J0KD5mKrp0Vvzr7lt3OU09vwQwhkpOPPYv2Y/edit?usp=sharing"",""งบพรบ!FA104"")"),0)</f>
        <v>0</v>
      </c>
      <c r="P104" s="373">
        <f t="shared" ca="1" si="55"/>
        <v>0</v>
      </c>
      <c r="Q104" s="372">
        <f t="shared" ca="1" si="56"/>
        <v>0</v>
      </c>
      <c r="R104" s="364"/>
      <c r="S104" s="364"/>
      <c r="T104" s="364"/>
      <c r="U104" s="364"/>
      <c r="V104" s="364"/>
      <c r="W104" s="364"/>
      <c r="X104" s="364"/>
      <c r="Y104" s="364"/>
      <c r="Z104" s="364"/>
      <c r="AA104" s="364"/>
      <c r="AB104" s="364"/>
    </row>
    <row r="105" spans="1:28" ht="24" hidden="1" customHeight="1" x14ac:dyDescent="0.3">
      <c r="A105" s="201"/>
      <c r="B105" s="133" t="s">
        <v>131</v>
      </c>
      <c r="C105" s="202">
        <f t="shared" ca="1" si="49"/>
        <v>0</v>
      </c>
      <c r="D105" s="203">
        <f t="shared" ca="1" si="50"/>
        <v>0</v>
      </c>
      <c r="E105" s="93">
        <f ca="1">IFERROR(__xludf.DUMMYFUNCTION("IMPORTRANGE(""https://docs.google.com/spreadsheets/d/1-uDff_7J0KD5mKrp0Vvzr7lt3OU09vwQwhkpOPPYv2Y/edit?usp=sharing"",""งบพรบ!ET105"")"),0)</f>
        <v>0</v>
      </c>
      <c r="F105" s="93">
        <f ca="1">IFERROR(__xludf.DUMMYFUNCTION("IMPORTRANGE(""https://docs.google.com/spreadsheets/d/1-uDff_7J0KD5mKrp0Vvzr7lt3OU09vwQwhkpOPPYv2Y/edit?usp=sharing"",""งบพรบ!EU105"")"),0)</f>
        <v>0</v>
      </c>
      <c r="G105" s="93">
        <f ca="1">IFERROR(__xludf.DUMMYFUNCTION("IMPORTRANGE(""https://docs.google.com/spreadsheets/d/1-uDff_7J0KD5mKrp0Vvzr7lt3OU09vwQwhkpOPPYv2Y/edit?usp=sharing"",""งบพรบ!EV105"")"),0)</f>
        <v>0</v>
      </c>
      <c r="H105" s="93">
        <f ca="1">IFERROR(__xludf.DUMMYFUNCTION("IMPORTRANGE(""https://docs.google.com/spreadsheets/d/1-uDff_7J0KD5mKrp0Vvzr7lt3OU09vwQwhkpOPPYv2Y/edit?usp=sharing"",""งบพรบ!EX105"")"),0)</f>
        <v>0</v>
      </c>
      <c r="I105" s="93">
        <f ca="1">IFERROR(__xludf.DUMMYFUNCTION("IMPORTRANGE(""https://docs.google.com/spreadsheets/d/1-uDff_7J0KD5mKrp0Vvzr7lt3OU09vwQwhkpOPPYv2Y/edit?usp=sharing"",""งบพรบ!EY105"")"),0)</f>
        <v>0</v>
      </c>
      <c r="J105" s="93">
        <f t="shared" ca="1" si="51"/>
        <v>0</v>
      </c>
      <c r="K105" s="94">
        <f t="shared" ca="1" si="52"/>
        <v>0</v>
      </c>
      <c r="L105" s="93">
        <f ca="1">IFERROR(__xludf.DUMMYFUNCTION("IMPORTRANGE(""https://docs.google.com/spreadsheets/d/1-uDff_7J0KD5mKrp0Vvzr7lt3OU09vwQwhkpOPPYv2Y/edit?usp=sharing"",""งบพรบ!EZ105"")"),0)</f>
        <v>0</v>
      </c>
      <c r="M105" s="95">
        <f t="shared" ca="1" si="53"/>
        <v>0</v>
      </c>
      <c r="N105" s="95">
        <f t="shared" ca="1" si="54"/>
        <v>0</v>
      </c>
      <c r="O105" s="96">
        <f ca="1">IFERROR(__xludf.DUMMYFUNCTION("IMPORTRANGE(""https://docs.google.com/spreadsheets/d/1-uDff_7J0KD5mKrp0Vvzr7lt3OU09vwQwhkpOPPYv2Y/edit?usp=sharing"",""งบพรบ!FA105"")"),0)</f>
        <v>0</v>
      </c>
      <c r="P105" s="96">
        <f t="shared" ca="1" si="55"/>
        <v>0</v>
      </c>
      <c r="Q105" s="95">
        <f t="shared" ca="1" si="56"/>
        <v>0</v>
      </c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</row>
    <row r="106" spans="1:28" ht="24" hidden="1" customHeight="1" x14ac:dyDescent="0.3">
      <c r="A106" s="205"/>
      <c r="B106" s="137" t="s">
        <v>132</v>
      </c>
      <c r="C106" s="206">
        <f t="shared" ca="1" si="49"/>
        <v>0</v>
      </c>
      <c r="D106" s="207">
        <f t="shared" ca="1" si="50"/>
        <v>0</v>
      </c>
      <c r="E106" s="104">
        <f ca="1">IFERROR(__xludf.DUMMYFUNCTION("IMPORTRANGE(""https://docs.google.com/spreadsheets/d/1-uDff_7J0KD5mKrp0Vvzr7lt3OU09vwQwhkpOPPYv2Y/edit?usp=sharing"",""งบพรบ!ET106"")"),0)</f>
        <v>0</v>
      </c>
      <c r="F106" s="104">
        <f ca="1">IFERROR(__xludf.DUMMYFUNCTION("IMPORTRANGE(""https://docs.google.com/spreadsheets/d/1-uDff_7J0KD5mKrp0Vvzr7lt3OU09vwQwhkpOPPYv2Y/edit?usp=sharing"",""งบพรบ!EU106"")"),0)</f>
        <v>0</v>
      </c>
      <c r="G106" s="104">
        <f ca="1">IFERROR(__xludf.DUMMYFUNCTION("IMPORTRANGE(""https://docs.google.com/spreadsheets/d/1-uDff_7J0KD5mKrp0Vvzr7lt3OU09vwQwhkpOPPYv2Y/edit?usp=sharing"",""งบพรบ!EV106"")"),0)</f>
        <v>0</v>
      </c>
      <c r="H106" s="104">
        <f ca="1">IFERROR(__xludf.DUMMYFUNCTION("IMPORTRANGE(""https://docs.google.com/spreadsheets/d/1-uDff_7J0KD5mKrp0Vvzr7lt3OU09vwQwhkpOPPYv2Y/edit?usp=sharing"",""งบพรบ!EX106"")"),0)</f>
        <v>0</v>
      </c>
      <c r="I106" s="104">
        <f ca="1">IFERROR(__xludf.DUMMYFUNCTION("IMPORTRANGE(""https://docs.google.com/spreadsheets/d/1-uDff_7J0KD5mKrp0Vvzr7lt3OU09vwQwhkpOPPYv2Y/edit?usp=sharing"",""งบพรบ!EY106"")"),0)</f>
        <v>0</v>
      </c>
      <c r="J106" s="104">
        <f t="shared" ca="1" si="51"/>
        <v>0</v>
      </c>
      <c r="K106" s="105">
        <f t="shared" ca="1" si="52"/>
        <v>0</v>
      </c>
      <c r="L106" s="104">
        <f ca="1">IFERROR(__xludf.DUMMYFUNCTION("IMPORTRANGE(""https://docs.google.com/spreadsheets/d/1-uDff_7J0KD5mKrp0Vvzr7lt3OU09vwQwhkpOPPYv2Y/edit?usp=sharing"",""งบพรบ!EZ106"")"),0)</f>
        <v>0</v>
      </c>
      <c r="M106" s="106">
        <f t="shared" ca="1" si="53"/>
        <v>0</v>
      </c>
      <c r="N106" s="106">
        <f t="shared" ca="1" si="54"/>
        <v>0</v>
      </c>
      <c r="O106" s="107">
        <f ca="1">IFERROR(__xludf.DUMMYFUNCTION("IMPORTRANGE(""https://docs.google.com/spreadsheets/d/1-uDff_7J0KD5mKrp0Vvzr7lt3OU09vwQwhkpOPPYv2Y/edit?usp=sharing"",""งบพรบ!FA106"")"),0)</f>
        <v>0</v>
      </c>
      <c r="P106" s="107">
        <f t="shared" ca="1" si="55"/>
        <v>0</v>
      </c>
      <c r="Q106" s="106">
        <f t="shared" ca="1" si="56"/>
        <v>0</v>
      </c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</row>
  </sheetData>
  <mergeCells count="30">
    <mergeCell ref="C2:AB2"/>
    <mergeCell ref="C3:Q3"/>
    <mergeCell ref="R3:Z3"/>
    <mergeCell ref="AA3:AB3"/>
    <mergeCell ref="C4:G4"/>
    <mergeCell ref="H4:I4"/>
    <mergeCell ref="AB4:AB5"/>
    <mergeCell ref="G5:G6"/>
    <mergeCell ref="Z4:Z5"/>
    <mergeCell ref="AA4:AA5"/>
    <mergeCell ref="J5:K5"/>
    <mergeCell ref="L5:N5"/>
    <mergeCell ref="O5:Q5"/>
    <mergeCell ref="S5:T5"/>
    <mergeCell ref="J4:Q4"/>
    <mergeCell ref="F5:F6"/>
    <mergeCell ref="R4:T4"/>
    <mergeCell ref="U4:X4"/>
    <mergeCell ref="Y4:Y5"/>
    <mergeCell ref="V5:W5"/>
    <mergeCell ref="A89:B89"/>
    <mergeCell ref="A13:B13"/>
    <mergeCell ref="A31:B31"/>
    <mergeCell ref="A52:B52"/>
    <mergeCell ref="A74:B74"/>
    <mergeCell ref="A7:B7"/>
    <mergeCell ref="A2:B6"/>
    <mergeCell ref="C5:C6"/>
    <mergeCell ref="D5:D6"/>
    <mergeCell ref="E5:E6"/>
  </mergeCells>
  <printOptions horizontalCentered="1"/>
  <pageMargins left="0.23622047244094491" right="0.23622047244094491" top="0.55118110236220474" bottom="0.55118110236220474" header="0" footer="0"/>
  <pageSetup paperSize="9" scale="50" fitToWidth="0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FF00"/>
    <outlinePr summaryBelow="0" summaryRight="0"/>
  </sheetPr>
  <dimension ref="A1:AC106"/>
  <sheetViews>
    <sheetView view="pageBreakPreview" zoomScale="60" zoomScaleNormal="55" workbookViewId="0">
      <pane xSplit="2" ySplit="7" topLeftCell="C8" activePane="bottomRight" state="frozen"/>
      <selection activeCell="A13" sqref="A13:B13"/>
      <selection pane="topRight" activeCell="A13" sqref="A13:B13"/>
      <selection pane="bottomLeft" activeCell="A13" sqref="A13:B13"/>
      <selection pane="bottomRight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18.7109375" bestFit="1" customWidth="1"/>
    <col min="4" max="4" width="18" bestFit="1" customWidth="1"/>
    <col min="5" max="5" width="18.7109375" bestFit="1" customWidth="1"/>
    <col min="6" max="6" width="18" bestFit="1" customWidth="1"/>
    <col min="7" max="7" width="13.42578125" bestFit="1" customWidth="1"/>
    <col min="8" max="8" width="20.140625" bestFit="1" customWidth="1"/>
    <col min="9" max="9" width="13.7109375" bestFit="1" customWidth="1"/>
    <col min="10" max="10" width="18" bestFit="1" customWidth="1"/>
    <col min="11" max="11" width="15" bestFit="1" customWidth="1"/>
    <col min="12" max="12" width="18" bestFit="1" customWidth="1"/>
    <col min="13" max="13" width="15.140625" bestFit="1" customWidth="1"/>
    <col min="14" max="14" width="12.5703125" bestFit="1" customWidth="1"/>
    <col min="15" max="15" width="8.42578125" bestFit="1" customWidth="1"/>
    <col min="16" max="16" width="12.28515625" customWidth="1"/>
    <col min="17" max="17" width="14.140625" customWidth="1"/>
    <col min="18" max="29" width="20.5703125" customWidth="1"/>
  </cols>
  <sheetData>
    <row r="1" spans="1:29" ht="24" customHeight="1" x14ac:dyDescent="0.3">
      <c r="A1" s="1" t="s">
        <v>0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251"/>
      <c r="N1" s="251"/>
      <c r="O1" s="252"/>
      <c r="P1" s="252"/>
      <c r="Q1" s="252"/>
      <c r="R1" s="139"/>
      <c r="S1" s="139"/>
      <c r="T1" s="139"/>
      <c r="U1" s="251"/>
      <c r="V1" s="251"/>
      <c r="W1" s="251"/>
      <c r="X1" s="251"/>
      <c r="Y1" s="251"/>
      <c r="Z1" s="251"/>
      <c r="AA1" s="251"/>
      <c r="AB1" s="251"/>
      <c r="AC1" s="251"/>
    </row>
    <row r="2" spans="1:29" ht="24" customHeight="1" x14ac:dyDescent="0.2">
      <c r="A2" s="655" t="s">
        <v>1</v>
      </c>
      <c r="B2" s="619"/>
      <c r="C2" s="642" t="s">
        <v>212</v>
      </c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675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3"/>
    </row>
    <row r="3" spans="1:29" ht="45" customHeight="1" x14ac:dyDescent="0.3">
      <c r="A3" s="618"/>
      <c r="B3" s="619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676" t="s">
        <v>28</v>
      </c>
      <c r="S3" s="592"/>
      <c r="T3" s="592"/>
      <c r="U3" s="592"/>
      <c r="V3" s="592"/>
      <c r="W3" s="592"/>
      <c r="X3" s="592"/>
      <c r="Y3" s="592"/>
      <c r="Z3" s="592"/>
      <c r="AA3" s="592"/>
      <c r="AB3" s="592"/>
      <c r="AC3" s="593"/>
    </row>
    <row r="4" spans="1:29" ht="30" customHeight="1" x14ac:dyDescent="0.3">
      <c r="A4" s="618"/>
      <c r="B4" s="619"/>
      <c r="C4" s="645" t="s">
        <v>7</v>
      </c>
      <c r="D4" s="592"/>
      <c r="E4" s="592"/>
      <c r="F4" s="592"/>
      <c r="G4" s="593"/>
      <c r="H4" s="646" t="s">
        <v>8</v>
      </c>
      <c r="I4" s="593"/>
      <c r="J4" s="644" t="s">
        <v>9</v>
      </c>
      <c r="K4" s="592"/>
      <c r="L4" s="592"/>
      <c r="M4" s="592"/>
      <c r="N4" s="592"/>
      <c r="O4" s="592"/>
      <c r="P4" s="592"/>
      <c r="Q4" s="593"/>
      <c r="R4" s="677" t="s">
        <v>213</v>
      </c>
      <c r="S4" s="592"/>
      <c r="T4" s="592"/>
      <c r="U4" s="754"/>
      <c r="V4" s="677" t="s">
        <v>214</v>
      </c>
      <c r="W4" s="592"/>
      <c r="X4" s="592"/>
      <c r="Y4" s="593"/>
      <c r="Z4" s="677" t="s">
        <v>215</v>
      </c>
      <c r="AA4" s="592"/>
      <c r="AB4" s="592"/>
      <c r="AC4" s="593"/>
    </row>
    <row r="5" spans="1:29" ht="24" customHeight="1" x14ac:dyDescent="0.3">
      <c r="A5" s="618"/>
      <c r="B5" s="619"/>
      <c r="C5" s="733" t="s">
        <v>19</v>
      </c>
      <c r="D5" s="734" t="s">
        <v>20</v>
      </c>
      <c r="E5" s="735" t="s">
        <v>21</v>
      </c>
      <c r="F5" s="736" t="s">
        <v>22</v>
      </c>
      <c r="G5" s="737" t="s">
        <v>23</v>
      </c>
      <c r="H5" s="253" t="s">
        <v>24</v>
      </c>
      <c r="I5" s="253" t="s">
        <v>25</v>
      </c>
      <c r="J5" s="630" t="s">
        <v>26</v>
      </c>
      <c r="K5" s="593"/>
      <c r="L5" s="630" t="s">
        <v>24</v>
      </c>
      <c r="M5" s="592"/>
      <c r="N5" s="593"/>
      <c r="O5" s="631" t="s">
        <v>25</v>
      </c>
      <c r="P5" s="592"/>
      <c r="Q5" s="593"/>
      <c r="R5" s="254" t="s">
        <v>27</v>
      </c>
      <c r="S5" s="654" t="s">
        <v>28</v>
      </c>
      <c r="T5" s="592"/>
      <c r="U5" s="754"/>
      <c r="V5" s="254" t="s">
        <v>27</v>
      </c>
      <c r="W5" s="654" t="s">
        <v>28</v>
      </c>
      <c r="X5" s="592"/>
      <c r="Y5" s="593"/>
      <c r="Z5" s="254" t="s">
        <v>27</v>
      </c>
      <c r="AA5" s="654" t="s">
        <v>28</v>
      </c>
      <c r="AB5" s="592"/>
      <c r="AC5" s="593"/>
    </row>
    <row r="6" spans="1:29" ht="46.5" customHeight="1" x14ac:dyDescent="0.3">
      <c r="A6" s="620"/>
      <c r="B6" s="621"/>
      <c r="C6" s="738"/>
      <c r="D6" s="738"/>
      <c r="E6" s="738"/>
      <c r="F6" s="738"/>
      <c r="G6" s="738"/>
      <c r="H6" s="255"/>
      <c r="I6" s="255"/>
      <c r="J6" s="744" t="s">
        <v>29</v>
      </c>
      <c r="K6" s="745" t="s">
        <v>30</v>
      </c>
      <c r="L6" s="744" t="s">
        <v>29</v>
      </c>
      <c r="M6" s="746" t="s">
        <v>31</v>
      </c>
      <c r="N6" s="746" t="s">
        <v>32</v>
      </c>
      <c r="O6" s="747" t="s">
        <v>29</v>
      </c>
      <c r="P6" s="746" t="s">
        <v>31</v>
      </c>
      <c r="Q6" s="746" t="s">
        <v>32</v>
      </c>
      <c r="R6" s="256" t="s">
        <v>136</v>
      </c>
      <c r="S6" s="257" t="s">
        <v>34</v>
      </c>
      <c r="T6" s="257" t="s">
        <v>136</v>
      </c>
      <c r="U6" s="374" t="s">
        <v>216</v>
      </c>
      <c r="V6" s="443" t="s">
        <v>34</v>
      </c>
      <c r="W6" s="257" t="s">
        <v>34</v>
      </c>
      <c r="X6" s="257" t="s">
        <v>136</v>
      </c>
      <c r="Y6" s="374" t="s">
        <v>217</v>
      </c>
      <c r="Z6" s="256" t="s">
        <v>34</v>
      </c>
      <c r="AA6" s="257" t="s">
        <v>34</v>
      </c>
      <c r="AB6" s="257" t="s">
        <v>136</v>
      </c>
      <c r="AC6" s="374" t="s">
        <v>217</v>
      </c>
    </row>
    <row r="7" spans="1:29" ht="24" customHeight="1" x14ac:dyDescent="0.3">
      <c r="A7" s="651" t="s">
        <v>289</v>
      </c>
      <c r="B7" s="629"/>
      <c r="C7" s="150">
        <f t="shared" ref="C7:C9" ca="1" si="0">D7+G7</f>
        <v>64611100</v>
      </c>
      <c r="D7" s="151">
        <f t="shared" ref="D7:E7" ca="1" si="1">D8+D9+D12</f>
        <v>64611100</v>
      </c>
      <c r="E7" s="152">
        <f t="shared" ca="1" si="1"/>
        <v>30044200</v>
      </c>
      <c r="F7" s="153">
        <f ca="1">F8+F9</f>
        <v>34566900</v>
      </c>
      <c r="G7" s="154">
        <f t="shared" ref="G7:I7" ca="1" si="2">G8+G9+G12</f>
        <v>0</v>
      </c>
      <c r="H7" s="228">
        <f t="shared" ca="1" si="2"/>
        <v>64611100</v>
      </c>
      <c r="I7" s="228">
        <f t="shared" ca="1" si="2"/>
        <v>0</v>
      </c>
      <c r="J7" s="156">
        <f t="shared" ref="J7:J9" ca="1" si="3">L7+O7</f>
        <v>27792385.329999998</v>
      </c>
      <c r="K7" s="157">
        <f t="shared" ref="K7:K9" ca="1" si="4">IF(C7&gt;0,J7*100/C7,0)</f>
        <v>43.01487721150081</v>
      </c>
      <c r="L7" s="156">
        <f ca="1">L8+L9+L12</f>
        <v>27792385.329999998</v>
      </c>
      <c r="M7" s="27">
        <f t="shared" ref="M7:M9" ca="1" si="5">IF(D7&gt;0,L7*100/D7,0)</f>
        <v>43.01487721150081</v>
      </c>
      <c r="N7" s="27">
        <f t="shared" ref="N7:N9" ca="1" si="6">IF(H7&gt;0,L7*100/H7,0)</f>
        <v>43.01487721150081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343">
        <f t="shared" ref="R7:T7" ca="1" si="9">R8</f>
        <v>140750</v>
      </c>
      <c r="S7" s="344">
        <f t="shared" ca="1" si="9"/>
        <v>7055</v>
      </c>
      <c r="T7" s="345">
        <f t="shared" ca="1" si="9"/>
        <v>62854.559999999954</v>
      </c>
      <c r="U7" s="261">
        <f t="shared" ref="U7:U8" ca="1" si="10">IF(R7&gt;0,T7*100/R7,0)</f>
        <v>44.656880994671369</v>
      </c>
      <c r="V7" s="343">
        <f t="shared" ref="V7:X7" ca="1" si="11">V8</f>
        <v>24000</v>
      </c>
      <c r="W7" s="344">
        <f t="shared" ca="1" si="11"/>
        <v>13490</v>
      </c>
      <c r="X7" s="345">
        <f t="shared" ca="1" si="11"/>
        <v>158050.25999999995</v>
      </c>
      <c r="Y7" s="261">
        <f t="shared" ref="Y7:Y8" ca="1" si="12">IF(V7&gt;0,W7*100/V7,0)</f>
        <v>56.208333333333336</v>
      </c>
      <c r="Z7" s="343">
        <f t="shared" ref="Z7:AB7" ca="1" si="13">Z8</f>
        <v>16000</v>
      </c>
      <c r="AA7" s="344">
        <f t="shared" ca="1" si="13"/>
        <v>9092</v>
      </c>
      <c r="AB7" s="345">
        <f t="shared" ca="1" si="13"/>
        <v>114798.02999999997</v>
      </c>
      <c r="AC7" s="261">
        <f t="shared" ref="AC7:AC8" ca="1" si="14">IF(Z7&gt;0,AA7*100/Z7,0)</f>
        <v>56.825000000000003</v>
      </c>
    </row>
    <row r="8" spans="1:29" ht="28.5" customHeight="1" x14ac:dyDescent="0.3">
      <c r="A8" s="31" t="s">
        <v>37</v>
      </c>
      <c r="B8" s="32"/>
      <c r="C8" s="161">
        <f t="shared" ca="1" si="0"/>
        <v>39568045</v>
      </c>
      <c r="D8" s="161">
        <f t="shared" ref="D8:I8" ca="1" si="15">+D13+D31+D52+D74</f>
        <v>39568045</v>
      </c>
      <c r="E8" s="161">
        <f t="shared" ca="1" si="15"/>
        <v>14700000</v>
      </c>
      <c r="F8" s="161">
        <f t="shared" ca="1" si="15"/>
        <v>24868045</v>
      </c>
      <c r="G8" s="161">
        <f t="shared" ca="1" si="15"/>
        <v>0</v>
      </c>
      <c r="H8" s="161">
        <f t="shared" ca="1" si="15"/>
        <v>40238765</v>
      </c>
      <c r="I8" s="161">
        <f t="shared" ca="1" si="15"/>
        <v>0</v>
      </c>
      <c r="J8" s="161">
        <f t="shared" ca="1" si="3"/>
        <v>17613858.66</v>
      </c>
      <c r="K8" s="162">
        <f t="shared" ca="1" si="4"/>
        <v>44.51536248505581</v>
      </c>
      <c r="L8" s="161">
        <f ca="1">+L13+L31+L52+L74</f>
        <v>17613858.66</v>
      </c>
      <c r="M8" s="40">
        <f t="shared" ca="1" si="5"/>
        <v>44.51536248505581</v>
      </c>
      <c r="N8" s="40">
        <f t="shared" ca="1" si="6"/>
        <v>43.773358004401977</v>
      </c>
      <c r="O8" s="39">
        <f ca="1">+O13+O31+O52+O74</f>
        <v>0</v>
      </c>
      <c r="P8" s="39">
        <f t="shared" ca="1" si="7"/>
        <v>0</v>
      </c>
      <c r="Q8" s="40">
        <f t="shared" ca="1" si="8"/>
        <v>0</v>
      </c>
      <c r="R8" s="348">
        <f t="shared" ref="R8:T8" ca="1" si="16">+R13+R31+R52+R74</f>
        <v>140750</v>
      </c>
      <c r="S8" s="161">
        <f t="shared" ca="1" si="16"/>
        <v>7055</v>
      </c>
      <c r="T8" s="40">
        <f t="shared" ca="1" si="16"/>
        <v>62854.559999999954</v>
      </c>
      <c r="U8" s="234">
        <f t="shared" ca="1" si="10"/>
        <v>44.656880994671369</v>
      </c>
      <c r="V8" s="348">
        <f t="shared" ref="V8:X8" ca="1" si="17">+V13+V31+V52+V74</f>
        <v>24000</v>
      </c>
      <c r="W8" s="161">
        <f t="shared" ca="1" si="17"/>
        <v>13490</v>
      </c>
      <c r="X8" s="40">
        <f t="shared" ca="1" si="17"/>
        <v>158050.25999999995</v>
      </c>
      <c r="Y8" s="234">
        <f t="shared" ca="1" si="12"/>
        <v>56.208333333333336</v>
      </c>
      <c r="Z8" s="348">
        <f t="shared" ref="Z8:AB8" ca="1" si="18">+Z13+Z31+Z52+Z74</f>
        <v>16000</v>
      </c>
      <c r="AA8" s="161">
        <f t="shared" ca="1" si="18"/>
        <v>9092</v>
      </c>
      <c r="AB8" s="40">
        <f t="shared" ca="1" si="18"/>
        <v>114798.02999999997</v>
      </c>
      <c r="AC8" s="234">
        <f t="shared" ca="1" si="14"/>
        <v>56.825000000000003</v>
      </c>
    </row>
    <row r="9" spans="1:29" ht="28.5" customHeight="1" x14ac:dyDescent="0.3">
      <c r="A9" s="43" t="s">
        <v>38</v>
      </c>
      <c r="B9" s="44"/>
      <c r="C9" s="164">
        <f t="shared" ca="1" si="0"/>
        <v>25043055</v>
      </c>
      <c r="D9" s="164">
        <f t="shared" ref="D9:I9" ca="1" si="19">+D89</f>
        <v>25043055</v>
      </c>
      <c r="E9" s="164">
        <f t="shared" ca="1" si="19"/>
        <v>15344200</v>
      </c>
      <c r="F9" s="164">
        <f t="shared" ca="1" si="19"/>
        <v>9698855</v>
      </c>
      <c r="G9" s="164">
        <f t="shared" ca="1" si="19"/>
        <v>0</v>
      </c>
      <c r="H9" s="164">
        <f t="shared" ca="1" si="19"/>
        <v>24372335</v>
      </c>
      <c r="I9" s="164">
        <f t="shared" ca="1" si="19"/>
        <v>0</v>
      </c>
      <c r="J9" s="164">
        <f t="shared" ca="1" si="3"/>
        <v>10178526.67</v>
      </c>
      <c r="K9" s="165">
        <f t="shared" ca="1" si="4"/>
        <v>40.644109394800275</v>
      </c>
      <c r="L9" s="164">
        <f ca="1">+L89</f>
        <v>10178526.67</v>
      </c>
      <c r="M9" s="51">
        <f t="shared" ca="1" si="5"/>
        <v>40.644109394800275</v>
      </c>
      <c r="N9" s="51">
        <f t="shared" ca="1" si="6"/>
        <v>41.762624180243705</v>
      </c>
      <c r="O9" s="50">
        <f ca="1">+O89</f>
        <v>0</v>
      </c>
      <c r="P9" s="50">
        <f t="shared" ca="1" si="7"/>
        <v>0</v>
      </c>
      <c r="Q9" s="51">
        <f t="shared" ca="1" si="8"/>
        <v>0</v>
      </c>
      <c r="R9" s="293"/>
      <c r="S9" s="196"/>
      <c r="T9" s="349"/>
      <c r="U9" s="237"/>
      <c r="V9" s="293"/>
      <c r="W9" s="196"/>
      <c r="X9" s="349"/>
      <c r="Y9" s="237"/>
      <c r="Z9" s="293"/>
      <c r="AA9" s="196"/>
      <c r="AB9" s="349"/>
      <c r="AC9" s="237"/>
    </row>
    <row r="10" spans="1:29" ht="28.5" hidden="1" customHeight="1" x14ac:dyDescent="0.3">
      <c r="A10" s="54"/>
      <c r="B10" s="55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350"/>
      <c r="S10" s="351"/>
      <c r="T10" s="352"/>
      <c r="U10" s="265"/>
      <c r="V10" s="350"/>
      <c r="W10" s="351"/>
      <c r="X10" s="352"/>
      <c r="Y10" s="265"/>
      <c r="Z10" s="350"/>
      <c r="AA10" s="351"/>
      <c r="AB10" s="352"/>
      <c r="AC10" s="265"/>
    </row>
    <row r="11" spans="1:29" ht="28.5" hidden="1" customHeight="1" x14ac:dyDescent="0.3">
      <c r="A11" s="65"/>
      <c r="B11" s="55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350"/>
      <c r="S11" s="351"/>
      <c r="T11" s="352"/>
      <c r="U11" s="265"/>
      <c r="V11" s="350"/>
      <c r="W11" s="351"/>
      <c r="X11" s="352"/>
      <c r="Y11" s="265"/>
      <c r="Z11" s="350"/>
      <c r="AA11" s="351"/>
      <c r="AB11" s="352"/>
      <c r="AC11" s="265"/>
    </row>
    <row r="12" spans="1:29" ht="28.5" hidden="1" customHeight="1" x14ac:dyDescent="0.3">
      <c r="A12" s="54"/>
      <c r="B12" s="55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350"/>
      <c r="S12" s="351"/>
      <c r="T12" s="352"/>
      <c r="U12" s="265"/>
      <c r="V12" s="350"/>
      <c r="W12" s="351"/>
      <c r="X12" s="352"/>
      <c r="Y12" s="265"/>
      <c r="Z12" s="350"/>
      <c r="AA12" s="351"/>
      <c r="AB12" s="352"/>
      <c r="AC12" s="265"/>
    </row>
    <row r="13" spans="1:29" ht="28.5" customHeight="1" x14ac:dyDescent="0.3">
      <c r="A13" s="624" t="s">
        <v>39</v>
      </c>
      <c r="B13" s="583"/>
      <c r="C13" s="161">
        <f t="shared" ref="C13:C88" ca="1" si="20">D13+G13</f>
        <v>9127945</v>
      </c>
      <c r="D13" s="161">
        <f t="shared" ref="D13:I13" ca="1" si="21">SUM(D14:D30)</f>
        <v>9127945</v>
      </c>
      <c r="E13" s="161">
        <f t="shared" ca="1" si="21"/>
        <v>3168900</v>
      </c>
      <c r="F13" s="161">
        <f t="shared" ca="1" si="21"/>
        <v>5959045</v>
      </c>
      <c r="G13" s="161">
        <f t="shared" ca="1" si="21"/>
        <v>0</v>
      </c>
      <c r="H13" s="161">
        <f t="shared" ca="1" si="21"/>
        <v>9179405</v>
      </c>
      <c r="I13" s="161">
        <f t="shared" ca="1" si="21"/>
        <v>0</v>
      </c>
      <c r="J13" s="161">
        <f t="shared" ref="J13:J88" ca="1" si="22">L13+O13</f>
        <v>3258709.5799999996</v>
      </c>
      <c r="K13" s="162">
        <f t="shared" ref="K13:K88" ca="1" si="23">IF(C13&gt;0,J13*100/C13,0)</f>
        <v>35.700363882560637</v>
      </c>
      <c r="L13" s="161">
        <f ca="1">SUM(L14:L30)</f>
        <v>3258709.5799999996</v>
      </c>
      <c r="M13" s="40">
        <f t="shared" ref="M13:M88" ca="1" si="24">IF(D13&gt;0,L13*100/D13,0)</f>
        <v>35.700363882560637</v>
      </c>
      <c r="N13" s="40">
        <f t="shared" ref="N13:N88" ca="1" si="25">IF(H13&gt;0,L13*100/H13,0)</f>
        <v>35.500226648677113</v>
      </c>
      <c r="O13" s="39">
        <f ca="1">SUM(O14:O30)</f>
        <v>0</v>
      </c>
      <c r="P13" s="39">
        <f t="shared" ref="P13:P88" ca="1" si="26">IF(G13&gt;0,O13*100/G13,0)</f>
        <v>0</v>
      </c>
      <c r="Q13" s="40">
        <f t="shared" ref="Q13:Q88" ca="1" si="27">IF(I13&gt;0,O13*100/I13,0)</f>
        <v>0</v>
      </c>
      <c r="R13" s="348">
        <f t="shared" ref="R13:T13" ca="1" si="28">SUM(R14:R30)</f>
        <v>35340</v>
      </c>
      <c r="S13" s="161">
        <f t="shared" ca="1" si="28"/>
        <v>1368</v>
      </c>
      <c r="T13" s="40">
        <f t="shared" ca="1" si="28"/>
        <v>10011.29999999999</v>
      </c>
      <c r="U13" s="234">
        <f t="shared" ref="U13:U88" ca="1" si="29">IF(R13&gt;0,T13*100/R13,0)</f>
        <v>28.32852292020371</v>
      </c>
      <c r="V13" s="348">
        <f t="shared" ref="V13:X13" ca="1" si="30">SUM(V14:V30)</f>
        <v>6265</v>
      </c>
      <c r="W13" s="161">
        <f t="shared" ca="1" si="30"/>
        <v>2876</v>
      </c>
      <c r="X13" s="40">
        <f t="shared" ca="1" si="30"/>
        <v>30007.689999999981</v>
      </c>
      <c r="Y13" s="234">
        <f t="shared" ref="Y13:Y88" ca="1" si="31">IF(V13&gt;0,W13*100/V13,0)</f>
        <v>45.905826017557864</v>
      </c>
      <c r="Z13" s="348">
        <f t="shared" ref="Z13:AB13" ca="1" si="32">SUM(Z14:Z30)</f>
        <v>4260</v>
      </c>
      <c r="AA13" s="161">
        <f t="shared" ca="1" si="32"/>
        <v>2233</v>
      </c>
      <c r="AB13" s="40">
        <f t="shared" ca="1" si="32"/>
        <v>25397.42</v>
      </c>
      <c r="AC13" s="234">
        <f t="shared" ref="AC13:AC88" ca="1" si="33">IF(Z13&gt;0,AA13*100/Z13,0)</f>
        <v>52.417840375586856</v>
      </c>
    </row>
    <row r="14" spans="1:29" ht="24" customHeight="1" x14ac:dyDescent="0.3">
      <c r="A14" s="77">
        <v>1</v>
      </c>
      <c r="B14" s="78" t="s">
        <v>40</v>
      </c>
      <c r="C14" s="174">
        <f t="shared" ca="1" si="20"/>
        <v>633060</v>
      </c>
      <c r="D14" s="175">
        <f t="shared" ref="D14:D30" ca="1" si="34">+E14+F14</f>
        <v>633060</v>
      </c>
      <c r="E14" s="176">
        <f ca="1">IFERROR(__xludf.DUMMYFUNCTION("IMPORTRANGE(""https://docs.google.com/spreadsheets/d/1-uDff_7J0KD5mKrp0Vvzr7lt3OU09vwQwhkpOPPYv2Y/edit?usp=sharing"",""งบพรบ!FD14"")"),199500)</f>
        <v>199500</v>
      </c>
      <c r="F14" s="176">
        <f ca="1">IFERROR(__xludf.DUMMYFUNCTION("IMPORTRANGE(""https://docs.google.com/spreadsheets/d/1-uDff_7J0KD5mKrp0Vvzr7lt3OU09vwQwhkpOPPYv2Y/edit?usp=sharing"",""งบพรบ!FE14"")"),433560)</f>
        <v>433560</v>
      </c>
      <c r="G14" s="177">
        <f ca="1">IFERROR(__xludf.DUMMYFUNCTION("IMPORTRANGE(""https://docs.google.com/spreadsheets/d/1-uDff_7J0KD5mKrp0Vvzr7lt3OU09vwQwhkpOPPYv2Y/edit?usp=sharing"",""งบพรบ!FF14"")"),0)</f>
        <v>0</v>
      </c>
      <c r="H14" s="177">
        <f ca="1">IFERROR(__xludf.DUMMYFUNCTION("IMPORTRANGE(""https://docs.google.com/spreadsheets/d/1-uDff_7J0KD5mKrp0Vvzr7lt3OU09vwQwhkpOPPYv2Y/edit?usp=sharing"",""งบพรบ!FH14"")"),633060)</f>
        <v>633060</v>
      </c>
      <c r="I14" s="177">
        <f ca="1">IFERROR(__xludf.DUMMYFUNCTION("IMPORTRANGE(""https://docs.google.com/spreadsheets/d/1-uDff_7J0KD5mKrp0Vvzr7lt3OU09vwQwhkpOPPYv2Y/edit?usp=sharing"",""งบพรบ!FI14"")"),0)</f>
        <v>0</v>
      </c>
      <c r="J14" s="177">
        <f t="shared" ca="1" si="22"/>
        <v>357851.45</v>
      </c>
      <c r="K14" s="178">
        <f t="shared" ca="1" si="23"/>
        <v>56.527256500173756</v>
      </c>
      <c r="L14" s="177">
        <f ca="1">IFERROR(__xludf.DUMMYFUNCTION("IMPORTRANGE(""https://docs.google.com/spreadsheets/d/1-uDff_7J0KD5mKrp0Vvzr7lt3OU09vwQwhkpOPPYv2Y/edit?usp=sharing"",""งบพรบ!FJ14"")"),357851.45)</f>
        <v>357851.45</v>
      </c>
      <c r="M14" s="87">
        <f t="shared" ca="1" si="24"/>
        <v>56.527256500173756</v>
      </c>
      <c r="N14" s="87">
        <f t="shared" ca="1" si="25"/>
        <v>56.527256500173756</v>
      </c>
      <c r="O14" s="86">
        <f ca="1">IFERROR(__xludf.DUMMYFUNCTION("IMPORTRANGE(""https://docs.google.com/spreadsheets/d/1-uDff_7J0KD5mKrp0Vvzr7lt3OU09vwQwhkpOPPYv2Y/edit?usp=sharing"",""งบพรบ!FK14"")"),0)</f>
        <v>0</v>
      </c>
      <c r="P14" s="86">
        <f t="shared" ca="1" si="26"/>
        <v>0</v>
      </c>
      <c r="Q14" s="87">
        <f t="shared" ca="1" si="27"/>
        <v>0</v>
      </c>
      <c r="R14" s="353">
        <f ca="1">IFERROR(__xludf.DUMMYFUNCTION("IMPORTRANGE(""https://docs.google.com/spreadsheets/d/1jTcq05yEiRwXcBMLjiodW9e4biSGYWAHcDj22rKWQ3s/edit?usp=sharing"",""กำแพงเพชร!I368"")"),2130)</f>
        <v>2130</v>
      </c>
      <c r="S14" s="177">
        <f ca="1">IFERROR(__xludf.DUMMYFUNCTION("IMPORTRANGE(""https://docs.google.com/spreadsheets/d/1jTcq05yEiRwXcBMLjiodW9e4biSGYWAHcDj22rKWQ3s/edit?usp=sharing"",""กำแพงเพชร!J367"")"),86)</f>
        <v>86</v>
      </c>
      <c r="T14" s="354">
        <f ca="1">IFERROR(__xludf.DUMMYFUNCTION("IMPORTRANGE(""https://docs.google.com/spreadsheets/d/1jTcq05yEiRwXcBMLjiodW9e4biSGYWAHcDj22rKWQ3s/edit?usp=sharing"",""กำแพงเพชร!J368"")"),1140.48)</f>
        <v>1140.48</v>
      </c>
      <c r="U14" s="375">
        <f t="shared" ca="1" si="29"/>
        <v>53.543661971830986</v>
      </c>
      <c r="V14" s="353">
        <f ca="1">IFERROR(__xludf.DUMMYFUNCTION("IMPORTRANGE(""https://docs.google.com/spreadsheets/d/1jTcq05yEiRwXcBMLjiodW9e4biSGYWAHcDj22rKWQ3s/edit?usp=sharing"",""กำแพงเพชร!I369"")"),381)</f>
        <v>381</v>
      </c>
      <c r="W14" s="177">
        <f ca="1">IFERROR(__xludf.DUMMYFUNCTION("IMPORTRANGE(""https://docs.google.com/spreadsheets/d/1jTcq05yEiRwXcBMLjiodW9e4biSGYWAHcDj22rKWQ3s/edit?usp=sharing"",""กำแพงเพชร!J369"")"),299)</f>
        <v>299</v>
      </c>
      <c r="X14" s="354">
        <f ca="1">IFERROR(__xludf.DUMMYFUNCTION("IMPORTRANGE(""https://docs.google.com/spreadsheets/d/1jTcq05yEiRwXcBMLjiodW9e4biSGYWAHcDj22rKWQ3s/edit?usp=sharing"",""กำแพงเพชร!J370"")"),4624.11)</f>
        <v>4624.1099999999997</v>
      </c>
      <c r="Y14" s="375">
        <f t="shared" ca="1" si="31"/>
        <v>78.477690288713916</v>
      </c>
      <c r="Z14" s="353">
        <f ca="1">IFERROR(__xludf.DUMMYFUNCTION("IMPORTRANGE(""https://docs.google.com/spreadsheets/d/1jTcq05yEiRwXcBMLjiodW9e4biSGYWAHcDj22rKWQ3s/edit?usp=sharing"",""กำแพงเพชร!I371"")"),235)</f>
        <v>235</v>
      </c>
      <c r="AA14" s="177">
        <f ca="1">IFERROR(__xludf.DUMMYFUNCTION("IMPORTRANGE(""https://docs.google.com/spreadsheets/d/1jTcq05yEiRwXcBMLjiodW9e4biSGYWAHcDj22rKWQ3s/edit?usp=sharing"",""กำแพงเพชร!J371"")"),242)</f>
        <v>242</v>
      </c>
      <c r="AB14" s="354">
        <f ca="1">IFERROR(__xludf.DUMMYFUNCTION("IMPORTRANGE(""https://docs.google.com/spreadsheets/d/1jTcq05yEiRwXcBMLjiodW9e4biSGYWAHcDj22rKWQ3s/edit?usp=sharing"",""กำแพงเพชร!J372"")"),4050.02)</f>
        <v>4050.02</v>
      </c>
      <c r="AC14" s="375">
        <f t="shared" ca="1" si="33"/>
        <v>102.97872340425532</v>
      </c>
    </row>
    <row r="15" spans="1:29" ht="24" customHeight="1" x14ac:dyDescent="0.3">
      <c r="A15" s="89">
        <v>2</v>
      </c>
      <c r="B15" s="90" t="s">
        <v>41</v>
      </c>
      <c r="C15" s="174">
        <f t="shared" ca="1" si="20"/>
        <v>656110</v>
      </c>
      <c r="D15" s="175">
        <f t="shared" ca="1" si="34"/>
        <v>656110</v>
      </c>
      <c r="E15" s="176">
        <f ca="1">IFERROR(__xludf.DUMMYFUNCTION("IMPORTRANGE(""https://docs.google.com/spreadsheets/d/1-uDff_7J0KD5mKrp0Vvzr7lt3OU09vwQwhkpOPPYv2Y/edit?usp=sharing"",""งบพรบ!FD15"")"),0)</f>
        <v>0</v>
      </c>
      <c r="F15" s="176">
        <f ca="1">IFERROR(__xludf.DUMMYFUNCTION("IMPORTRANGE(""https://docs.google.com/spreadsheets/d/1-uDff_7J0KD5mKrp0Vvzr7lt3OU09vwQwhkpOPPYv2Y/edit?usp=sharing"",""งบพรบ!FE15"")"),656110)</f>
        <v>656110</v>
      </c>
      <c r="G15" s="176">
        <f ca="1">IFERROR(__xludf.DUMMYFUNCTION("IMPORTRANGE(""https://docs.google.com/spreadsheets/d/1-uDff_7J0KD5mKrp0Vvzr7lt3OU09vwQwhkpOPPYv2Y/edit?usp=sharing"",""งบพรบ!FF15"")"),0)</f>
        <v>0</v>
      </c>
      <c r="H15" s="176">
        <f ca="1">IFERROR(__xludf.DUMMYFUNCTION("IMPORTRANGE(""https://docs.google.com/spreadsheets/d/1-uDff_7J0KD5mKrp0Vvzr7lt3OU09vwQwhkpOPPYv2Y/edit?usp=sharing"",""งบพรบ!FH15"")"),656110)</f>
        <v>656110</v>
      </c>
      <c r="I15" s="176">
        <f ca="1">IFERROR(__xludf.DUMMYFUNCTION("IMPORTRANGE(""https://docs.google.com/spreadsheets/d/1-uDff_7J0KD5mKrp0Vvzr7lt3OU09vwQwhkpOPPYv2Y/edit?usp=sharing"",""งบพรบ!FI15"")"),0)</f>
        <v>0</v>
      </c>
      <c r="J15" s="176">
        <f t="shared" ca="1" si="22"/>
        <v>146576.39000000001</v>
      </c>
      <c r="K15" s="179">
        <f t="shared" ca="1" si="23"/>
        <v>22.340215817469634</v>
      </c>
      <c r="L15" s="176">
        <f ca="1">IFERROR(__xludf.DUMMYFUNCTION("IMPORTRANGE(""https://docs.google.com/spreadsheets/d/1-uDff_7J0KD5mKrp0Vvzr7lt3OU09vwQwhkpOPPYv2Y/edit?usp=sharing"",""งบพรบ!FJ15"")"),146576.39)</f>
        <v>146576.39000000001</v>
      </c>
      <c r="M15" s="87">
        <f t="shared" ca="1" si="24"/>
        <v>22.340215817469634</v>
      </c>
      <c r="N15" s="87">
        <f t="shared" ca="1" si="25"/>
        <v>22.340215817469634</v>
      </c>
      <c r="O15" s="86">
        <f ca="1">IFERROR(__xludf.DUMMYFUNCTION("IMPORTRANGE(""https://docs.google.com/spreadsheets/d/1-uDff_7J0KD5mKrp0Vvzr7lt3OU09vwQwhkpOPPYv2Y/edit?usp=sharing"",""งบพรบ!FK15"")"),0)</f>
        <v>0</v>
      </c>
      <c r="P15" s="86">
        <f t="shared" ca="1" si="26"/>
        <v>0</v>
      </c>
      <c r="Q15" s="87">
        <f t="shared" ca="1" si="27"/>
        <v>0</v>
      </c>
      <c r="R15" s="353">
        <f ca="1">IFERROR(__xludf.DUMMYFUNCTION("IMPORTRANGE(""https://docs.google.com/spreadsheets/d/1KS0zmDSZPk8KnTAbGN-Xk6MtX1YRZD0ldgdt20K4CRk/edit?usp=sharing"",""เชียงราย!I368"")"),4250)</f>
        <v>4250</v>
      </c>
      <c r="S15" s="177">
        <f ca="1">IFERROR(__xludf.DUMMYFUNCTION("IMPORTRANGE(""https://docs.google.com/spreadsheets/d/1KS0zmDSZPk8KnTAbGN-Xk6MtX1YRZD0ldgdt20K4CRk/edit?usp=sharing"",""เชียงราย!J367"")"),104)</f>
        <v>104</v>
      </c>
      <c r="T15" s="354">
        <f ca="1">IFERROR(__xludf.DUMMYFUNCTION("IMPORTRANGE(""https://docs.google.com/spreadsheets/d/1KS0zmDSZPk8KnTAbGN-Xk6MtX1YRZD0ldgdt20K4CRk/edit?usp=sharing"",""เชียงราย!J368"")"),466.96)</f>
        <v>466.96</v>
      </c>
      <c r="U15" s="375">
        <f t="shared" ca="1" si="29"/>
        <v>10.987294117647059</v>
      </c>
      <c r="V15" s="353">
        <f ca="1">IFERROR(__xludf.DUMMYFUNCTION("IMPORTRANGE(""https://docs.google.com/spreadsheets/d/1KS0zmDSZPk8KnTAbGN-Xk6MtX1YRZD0ldgdt20K4CRk/edit?usp=sharing"",""เชียงราย!I369"")"),805)</f>
        <v>805</v>
      </c>
      <c r="W15" s="177">
        <f ca="1">IFERROR(__xludf.DUMMYFUNCTION("IMPORTRANGE(""https://docs.google.com/spreadsheets/d/1KS0zmDSZPk8KnTAbGN-Xk6MtX1YRZD0ldgdt20K4CRk/edit?usp=sharing"",""เชียงราย!J369"")"),350)</f>
        <v>350</v>
      </c>
      <c r="X15" s="354">
        <f ca="1">IFERROR(__xludf.DUMMYFUNCTION("IMPORTRANGE(""https://docs.google.com/spreadsheets/d/1KS0zmDSZPk8KnTAbGN-Xk6MtX1YRZD0ldgdt20K4CRk/edit?usp=sharing"",""เชียงราย!J370"")"),2614.45)</f>
        <v>2614.4499999999998</v>
      </c>
      <c r="Y15" s="375">
        <f t="shared" ca="1" si="31"/>
        <v>43.478260869565219</v>
      </c>
      <c r="Z15" s="353">
        <f ca="1">IFERROR(__xludf.DUMMYFUNCTION("IMPORTRANGE(""https://docs.google.com/spreadsheets/d/1KS0zmDSZPk8KnTAbGN-Xk6MtX1YRZD0ldgdt20K4CRk/edit?usp=sharing"",""เชียงราย!I371"")"),535)</f>
        <v>535</v>
      </c>
      <c r="AA15" s="177">
        <f ca="1">IFERROR(__xludf.DUMMYFUNCTION("IMPORTRANGE(""https://docs.google.com/spreadsheets/d/1KS0zmDSZPk8KnTAbGN-Xk6MtX1YRZD0ldgdt20K4CRk/edit?usp=sharing"",""เชียงราย!J371"")"),230)</f>
        <v>230</v>
      </c>
      <c r="AB15" s="354">
        <f ca="1">IFERROR(__xludf.DUMMYFUNCTION("IMPORTRANGE(""https://docs.google.com/spreadsheets/d/1KS0zmDSZPk8KnTAbGN-Xk6MtX1YRZD0ldgdt20K4CRk/edit?usp=sharing"",""เชียงราย!J372"")"),1894.01)</f>
        <v>1894.01</v>
      </c>
      <c r="AC15" s="375">
        <f t="shared" ca="1" si="33"/>
        <v>42.990654205607477</v>
      </c>
    </row>
    <row r="16" spans="1:29" ht="24" customHeight="1" x14ac:dyDescent="0.3">
      <c r="A16" s="89">
        <v>3</v>
      </c>
      <c r="B16" s="90" t="s">
        <v>42</v>
      </c>
      <c r="C16" s="174">
        <f t="shared" ca="1" si="20"/>
        <v>352735</v>
      </c>
      <c r="D16" s="175">
        <f t="shared" ca="1" si="34"/>
        <v>352735</v>
      </c>
      <c r="E16" s="176">
        <f ca="1">IFERROR(__xludf.DUMMYFUNCTION("IMPORTRANGE(""https://docs.google.com/spreadsheets/d/1-uDff_7J0KD5mKrp0Vvzr7lt3OU09vwQwhkpOPPYv2Y/edit?usp=sharing"",""งบพรบ!FD16"")"),133000)</f>
        <v>133000</v>
      </c>
      <c r="F16" s="176">
        <f ca="1">IFERROR(__xludf.DUMMYFUNCTION("IMPORTRANGE(""https://docs.google.com/spreadsheets/d/1-uDff_7J0KD5mKrp0Vvzr7lt3OU09vwQwhkpOPPYv2Y/edit?usp=sharing"",""งบพรบ!FE16"")"),219735)</f>
        <v>219735</v>
      </c>
      <c r="G16" s="176">
        <f ca="1">IFERROR(__xludf.DUMMYFUNCTION("IMPORTRANGE(""https://docs.google.com/spreadsheets/d/1-uDff_7J0KD5mKrp0Vvzr7lt3OU09vwQwhkpOPPYv2Y/edit?usp=sharing"",""งบพรบ!FF16"")"),0)</f>
        <v>0</v>
      </c>
      <c r="H16" s="176">
        <f ca="1">IFERROR(__xludf.DUMMYFUNCTION("IMPORTRANGE(""https://docs.google.com/spreadsheets/d/1-uDff_7J0KD5mKrp0Vvzr7lt3OU09vwQwhkpOPPYv2Y/edit?usp=sharing"",""งบพรบ!FH16"")"),362655)</f>
        <v>362655</v>
      </c>
      <c r="I16" s="176">
        <f ca="1">IFERROR(__xludf.DUMMYFUNCTION("IMPORTRANGE(""https://docs.google.com/spreadsheets/d/1-uDff_7J0KD5mKrp0Vvzr7lt3OU09vwQwhkpOPPYv2Y/edit?usp=sharing"",""งบพรบ!FI16"")"),0)</f>
        <v>0</v>
      </c>
      <c r="J16" s="176">
        <f t="shared" ca="1" si="22"/>
        <v>138523.31</v>
      </c>
      <c r="K16" s="179">
        <f t="shared" ca="1" si="23"/>
        <v>39.271212099734932</v>
      </c>
      <c r="L16" s="176">
        <f ca="1">IFERROR(__xludf.DUMMYFUNCTION("IMPORTRANGE(""https://docs.google.com/spreadsheets/d/1-uDff_7J0KD5mKrp0Vvzr7lt3OU09vwQwhkpOPPYv2Y/edit?usp=sharing"",""งบพรบ!FJ16"")"),138523.31)</f>
        <v>138523.31</v>
      </c>
      <c r="M16" s="87">
        <f t="shared" ca="1" si="24"/>
        <v>39.271212099734932</v>
      </c>
      <c r="N16" s="87">
        <f t="shared" ca="1" si="25"/>
        <v>38.19699438860625</v>
      </c>
      <c r="O16" s="86">
        <f ca="1">IFERROR(__xludf.DUMMYFUNCTION("IMPORTRANGE(""https://docs.google.com/spreadsheets/d/1-uDff_7J0KD5mKrp0Vvzr7lt3OU09vwQwhkpOPPYv2Y/edit?usp=sharing"",""งบพรบ!FK16"")"),0)</f>
        <v>0</v>
      </c>
      <c r="P16" s="86">
        <f t="shared" ca="1" si="26"/>
        <v>0</v>
      </c>
      <c r="Q16" s="87">
        <f t="shared" ca="1" si="27"/>
        <v>0</v>
      </c>
      <c r="R16" s="353">
        <f ca="1">IFERROR(__xludf.DUMMYFUNCTION("IMPORTRANGE(""https://docs.google.com/spreadsheets/d/1rEDxBtusbi64tE0zunoIbsTVV16HeL0oJ6trHQeQ7K8/edit?usp=sharing"",""เชียงใหม่!I368"")"),905)</f>
        <v>905</v>
      </c>
      <c r="S16" s="177">
        <f ca="1">IFERROR(__xludf.DUMMYFUNCTION("IMPORTRANGE(""https://docs.google.com/spreadsheets/d/1rEDxBtusbi64tE0zunoIbsTVV16HeL0oJ6trHQeQ7K8/edit?usp=sharing"",""เชียงใหม่!J367"")"),89)</f>
        <v>89</v>
      </c>
      <c r="T16" s="354">
        <f ca="1">IFERROR(__xludf.DUMMYFUNCTION("IMPORTRANGE(""https://docs.google.com/spreadsheets/d/1rEDxBtusbi64tE0zunoIbsTVV16HeL0oJ6trHQeQ7K8/edit?usp=sharing"",""เชียงใหม่!J368"")"),311.1)</f>
        <v>311.10000000000002</v>
      </c>
      <c r="U16" s="375">
        <f t="shared" ca="1" si="29"/>
        <v>34.375690607734811</v>
      </c>
      <c r="V16" s="353">
        <f ca="1">IFERROR(__xludf.DUMMYFUNCTION("IMPORTRANGE(""https://docs.google.com/spreadsheets/d/1rEDxBtusbi64tE0zunoIbsTVV16HeL0oJ6trHQeQ7K8/edit?usp=sharing"",""เชียงใหม่!I369"")"),131)</f>
        <v>131</v>
      </c>
      <c r="W16" s="177">
        <f ca="1">IFERROR(__xludf.DUMMYFUNCTION("IMPORTRANGE(""https://docs.google.com/spreadsheets/d/1rEDxBtusbi64tE0zunoIbsTVV16HeL0oJ6trHQeQ7K8/edit?usp=sharing"",""เชียงใหม่!J369"")"),123)</f>
        <v>123</v>
      </c>
      <c r="X16" s="354">
        <f ca="1">IFERROR(__xludf.DUMMYFUNCTION("IMPORTRANGE(""https://docs.google.com/spreadsheets/d/1rEDxBtusbi64tE0zunoIbsTVV16HeL0oJ6trHQeQ7K8/edit?usp=sharing"",""เชียงใหม่!J370"")"),559.43)</f>
        <v>559.42999999999995</v>
      </c>
      <c r="Y16" s="375">
        <f t="shared" ca="1" si="31"/>
        <v>93.89312977099236</v>
      </c>
      <c r="Z16" s="353">
        <f ca="1">IFERROR(__xludf.DUMMYFUNCTION("IMPORTRANGE(""https://docs.google.com/spreadsheets/d/1rEDxBtusbi64tE0zunoIbsTVV16HeL0oJ6trHQeQ7K8/edit?usp=sharing"",""เชียงใหม่!I371"")"),114)</f>
        <v>114</v>
      </c>
      <c r="AA16" s="177">
        <f ca="1">IFERROR(__xludf.DUMMYFUNCTION("IMPORTRANGE(""https://docs.google.com/spreadsheets/d/1rEDxBtusbi64tE0zunoIbsTVV16HeL0oJ6trHQeQ7K8/edit?usp=sharing"",""เชียงใหม่!J371"")"),24)</f>
        <v>24</v>
      </c>
      <c r="AB16" s="354">
        <f ca="1">IFERROR(__xludf.DUMMYFUNCTION("IMPORTRANGE(""https://docs.google.com/spreadsheets/d/1rEDxBtusbi64tE0zunoIbsTVV16HeL0oJ6trHQeQ7K8/edit?usp=sharing"",""เชียงใหม่!J372"")"),173.99)</f>
        <v>173.99</v>
      </c>
      <c r="AC16" s="375">
        <f t="shared" ca="1" si="33"/>
        <v>21.05263157894737</v>
      </c>
    </row>
    <row r="17" spans="1:29" ht="24" customHeight="1" x14ac:dyDescent="0.3">
      <c r="A17" s="89">
        <v>4</v>
      </c>
      <c r="B17" s="90" t="s">
        <v>43</v>
      </c>
      <c r="C17" s="174">
        <f t="shared" ca="1" si="20"/>
        <v>446460</v>
      </c>
      <c r="D17" s="175">
        <f t="shared" ca="1" si="34"/>
        <v>446460</v>
      </c>
      <c r="E17" s="176">
        <f ca="1">IFERROR(__xludf.DUMMYFUNCTION("IMPORTRANGE(""https://docs.google.com/spreadsheets/d/1-uDff_7J0KD5mKrp0Vvzr7lt3OU09vwQwhkpOPPYv2Y/edit?usp=sharing"",""งบพรบ!FD17"")"),133000)</f>
        <v>133000</v>
      </c>
      <c r="F17" s="176">
        <f ca="1">IFERROR(__xludf.DUMMYFUNCTION("IMPORTRANGE(""https://docs.google.com/spreadsheets/d/1-uDff_7J0KD5mKrp0Vvzr7lt3OU09vwQwhkpOPPYv2Y/edit?usp=sharing"",""งบพรบ!FE17"")"),313460)</f>
        <v>313460</v>
      </c>
      <c r="G17" s="176">
        <f ca="1">IFERROR(__xludf.DUMMYFUNCTION("IMPORTRANGE(""https://docs.google.com/spreadsheets/d/1-uDff_7J0KD5mKrp0Vvzr7lt3OU09vwQwhkpOPPYv2Y/edit?usp=sharing"",""งบพรบ!FF17"")"),0)</f>
        <v>0</v>
      </c>
      <c r="H17" s="176">
        <f ca="1">IFERROR(__xludf.DUMMYFUNCTION("IMPORTRANGE(""https://docs.google.com/spreadsheets/d/1-uDff_7J0KD5mKrp0Vvzr7lt3OU09vwQwhkpOPPYv2Y/edit?usp=sharing"",""งบพรบ!FH17"")"),446460)</f>
        <v>446460</v>
      </c>
      <c r="I17" s="176">
        <f ca="1">IFERROR(__xludf.DUMMYFUNCTION("IMPORTRANGE(""https://docs.google.com/spreadsheets/d/1-uDff_7J0KD5mKrp0Vvzr7lt3OU09vwQwhkpOPPYv2Y/edit?usp=sharing"",""งบพรบ!FI17"")"),0)</f>
        <v>0</v>
      </c>
      <c r="J17" s="176">
        <f t="shared" ca="1" si="22"/>
        <v>138950</v>
      </c>
      <c r="K17" s="179">
        <f t="shared" ca="1" si="23"/>
        <v>31.122608968328631</v>
      </c>
      <c r="L17" s="176">
        <f ca="1">IFERROR(__xludf.DUMMYFUNCTION("IMPORTRANGE(""https://docs.google.com/spreadsheets/d/1-uDff_7J0KD5mKrp0Vvzr7lt3OU09vwQwhkpOPPYv2Y/edit?usp=sharing"",""งบพรบ!FJ17"")"),138950)</f>
        <v>138950</v>
      </c>
      <c r="M17" s="87">
        <f t="shared" ca="1" si="24"/>
        <v>31.122608968328631</v>
      </c>
      <c r="N17" s="87">
        <f t="shared" ca="1" si="25"/>
        <v>31.122608968328631</v>
      </c>
      <c r="O17" s="86">
        <f ca="1">IFERROR(__xludf.DUMMYFUNCTION("IMPORTRANGE(""https://docs.google.com/spreadsheets/d/1-uDff_7J0KD5mKrp0Vvzr7lt3OU09vwQwhkpOPPYv2Y/edit?usp=sharing"",""งบพรบ!FK17"")"),0)</f>
        <v>0</v>
      </c>
      <c r="P17" s="86">
        <f t="shared" ca="1" si="26"/>
        <v>0</v>
      </c>
      <c r="Q17" s="87">
        <f t="shared" ca="1" si="27"/>
        <v>0</v>
      </c>
      <c r="R17" s="353">
        <f ca="1">IFERROR(__xludf.DUMMYFUNCTION("IMPORTRANGE(""https://docs.google.com/spreadsheets/d/1W6MnUbDkMi6xHnHko_XkFDO9kkuL6Wqyc-6OCDFjW9I/edit?usp=sharing"",""ตาก!I368"")"),1890)</f>
        <v>1890</v>
      </c>
      <c r="S17" s="177">
        <f ca="1">IFERROR(__xludf.DUMMYFUNCTION("IMPORTRANGE(""https://docs.google.com/spreadsheets/d/1W6MnUbDkMi6xHnHko_XkFDO9kkuL6Wqyc-6OCDFjW9I/edit?usp=sharing"",""ตาก!J367"")"),36)</f>
        <v>36</v>
      </c>
      <c r="T17" s="354">
        <f ca="1">IFERROR(__xludf.DUMMYFUNCTION("IMPORTRANGE(""https://docs.google.com/spreadsheets/d/1W6MnUbDkMi6xHnHko_XkFDO9kkuL6Wqyc-6OCDFjW9I/edit?usp=sharing"",""ตาก!J368"")"),145.49)</f>
        <v>145.49</v>
      </c>
      <c r="U17" s="375">
        <f t="shared" ca="1" si="29"/>
        <v>7.6978835978835978</v>
      </c>
      <c r="V17" s="353">
        <f ca="1">IFERROR(__xludf.DUMMYFUNCTION("IMPORTRANGE(""https://docs.google.com/spreadsheets/d/1W6MnUbDkMi6xHnHko_XkFDO9kkuL6Wqyc-6OCDFjW9I/edit?usp=sharing"",""ตาก!I369"")"),333)</f>
        <v>333</v>
      </c>
      <c r="W17" s="177">
        <f ca="1">IFERROR(__xludf.DUMMYFUNCTION("IMPORTRANGE(""https://docs.google.com/spreadsheets/d/1W6MnUbDkMi6xHnHko_XkFDO9kkuL6Wqyc-6OCDFjW9I/edit?usp=sharing"",""ตาก!J369"")"),173)</f>
        <v>173</v>
      </c>
      <c r="X17" s="354">
        <f ca="1">IFERROR(__xludf.DUMMYFUNCTION("IMPORTRANGE(""https://docs.google.com/spreadsheets/d/1W6MnUbDkMi6xHnHko_XkFDO9kkuL6Wqyc-6OCDFjW9I/edit?usp=sharing"",""ตาก!J370"")"),2186.31)</f>
        <v>2186.31</v>
      </c>
      <c r="Y17" s="375">
        <f t="shared" ca="1" si="31"/>
        <v>51.951951951951955</v>
      </c>
      <c r="Z17" s="353">
        <f ca="1">IFERROR(__xludf.DUMMYFUNCTION("IMPORTRANGE(""https://docs.google.com/spreadsheets/d/1W6MnUbDkMi6xHnHko_XkFDO9kkuL6Wqyc-6OCDFjW9I/edit?usp=sharing"",""ตาก!I371"")"),225)</f>
        <v>225</v>
      </c>
      <c r="AA17" s="177">
        <f ca="1">IFERROR(__xludf.DUMMYFUNCTION("IMPORTRANGE(""https://docs.google.com/spreadsheets/d/1W6MnUbDkMi6xHnHko_XkFDO9kkuL6Wqyc-6OCDFjW9I/edit?usp=sharing"",""ตาก!J371"")"),144)</f>
        <v>144</v>
      </c>
      <c r="AB17" s="354">
        <f ca="1">IFERROR(__xludf.DUMMYFUNCTION("IMPORTRANGE(""https://docs.google.com/spreadsheets/d/1W6MnUbDkMi6xHnHko_XkFDO9kkuL6Wqyc-6OCDFjW9I/edit?usp=sharing"",""ตาก!J372"")"),2071.53)</f>
        <v>2071.5300000000002</v>
      </c>
      <c r="AC17" s="375">
        <f t="shared" ca="1" si="33"/>
        <v>64</v>
      </c>
    </row>
    <row r="18" spans="1:29" ht="24" customHeight="1" x14ac:dyDescent="0.3">
      <c r="A18" s="89">
        <v>5</v>
      </c>
      <c r="B18" s="90" t="s">
        <v>44</v>
      </c>
      <c r="C18" s="174">
        <f t="shared" ca="1" si="20"/>
        <v>536435</v>
      </c>
      <c r="D18" s="175">
        <f t="shared" ca="1" si="34"/>
        <v>536435</v>
      </c>
      <c r="E18" s="176">
        <f ca="1">IFERROR(__xludf.DUMMYFUNCTION("IMPORTRANGE(""https://docs.google.com/spreadsheets/d/1-uDff_7J0KD5mKrp0Vvzr7lt3OU09vwQwhkpOPPYv2Y/edit?usp=sharing"",""งบพรบ!FD18"")"),266000)</f>
        <v>266000</v>
      </c>
      <c r="F18" s="176">
        <f ca="1">IFERROR(__xludf.DUMMYFUNCTION("IMPORTRANGE(""https://docs.google.com/spreadsheets/d/1-uDff_7J0KD5mKrp0Vvzr7lt3OU09vwQwhkpOPPYv2Y/edit?usp=sharing"",""งบพรบ!FE18"")"),270435)</f>
        <v>270435</v>
      </c>
      <c r="G18" s="176">
        <f ca="1">IFERROR(__xludf.DUMMYFUNCTION("IMPORTRANGE(""https://docs.google.com/spreadsheets/d/1-uDff_7J0KD5mKrp0Vvzr7lt3OU09vwQwhkpOPPYv2Y/edit?usp=sharing"",""งบพรบ!FF18"")"),0)</f>
        <v>0</v>
      </c>
      <c r="H18" s="176">
        <f ca="1">IFERROR(__xludf.DUMMYFUNCTION("IMPORTRANGE(""https://docs.google.com/spreadsheets/d/1-uDff_7J0KD5mKrp0Vvzr7lt3OU09vwQwhkpOPPYv2Y/edit?usp=sharing"",""งบพรบ!FH18"")"),543755)</f>
        <v>543755</v>
      </c>
      <c r="I18" s="176">
        <f ca="1">IFERROR(__xludf.DUMMYFUNCTION("IMPORTRANGE(""https://docs.google.com/spreadsheets/d/1-uDff_7J0KD5mKrp0Vvzr7lt3OU09vwQwhkpOPPYv2Y/edit?usp=sharing"",""งบพรบ!FI18"")"),0)</f>
        <v>0</v>
      </c>
      <c r="J18" s="176">
        <f t="shared" ca="1" si="22"/>
        <v>268009</v>
      </c>
      <c r="K18" s="179">
        <f t="shared" ca="1" si="23"/>
        <v>49.961132290025816</v>
      </c>
      <c r="L18" s="176">
        <f ca="1">IFERROR(__xludf.DUMMYFUNCTION("IMPORTRANGE(""https://docs.google.com/spreadsheets/d/1-uDff_7J0KD5mKrp0Vvzr7lt3OU09vwQwhkpOPPYv2Y/edit?usp=sharing"",""งบพรบ!FJ18"")"),268009)</f>
        <v>268009</v>
      </c>
      <c r="M18" s="87">
        <f t="shared" ca="1" si="24"/>
        <v>49.961132290025816</v>
      </c>
      <c r="N18" s="87">
        <f t="shared" ca="1" si="25"/>
        <v>49.288558266130885</v>
      </c>
      <c r="O18" s="86">
        <f ca="1">IFERROR(__xludf.DUMMYFUNCTION("IMPORTRANGE(""https://docs.google.com/spreadsheets/d/1-uDff_7J0KD5mKrp0Vvzr7lt3OU09vwQwhkpOPPYv2Y/edit?usp=sharing"",""งบพรบ!FK18"")"),0)</f>
        <v>0</v>
      </c>
      <c r="P18" s="86">
        <f t="shared" ca="1" si="26"/>
        <v>0</v>
      </c>
      <c r="Q18" s="87">
        <f t="shared" ca="1" si="27"/>
        <v>0</v>
      </c>
      <c r="R18" s="353">
        <f ca="1">IFERROR(__xludf.DUMMYFUNCTION("IMPORTRANGE(""https://docs.google.com/spreadsheets/d/1IQAWArduLkta9LpYo4a_ULsyqdta6-6aDDiwpUnQT6c/edit?usp=sharing"",""นครสวรรค์!I368"")"),1490)</f>
        <v>1490</v>
      </c>
      <c r="S18" s="177">
        <f ca="1">IFERROR(__xludf.DUMMYFUNCTION("IMPORTRANGE(""https://docs.google.com/spreadsheets/d/1IQAWArduLkta9LpYo4a_ULsyqdta6-6aDDiwpUnQT6c/edit?usp=sharing"",""นครสวรรค์!J367"")"),119)</f>
        <v>119</v>
      </c>
      <c r="T18" s="354">
        <f ca="1">IFERROR(__xludf.DUMMYFUNCTION("IMPORTRANGE(""https://docs.google.com/spreadsheets/d/1IQAWArduLkta9LpYo4a_ULsyqdta6-6aDDiwpUnQT6c/edit?usp=sharing"",""นครสวรรค์!J368"")"),1696.42)</f>
        <v>1696.42</v>
      </c>
      <c r="U18" s="375">
        <f t="shared" ca="1" si="29"/>
        <v>113.85369127516779</v>
      </c>
      <c r="V18" s="353">
        <f ca="1">IFERROR(__xludf.DUMMYFUNCTION("IMPORTRANGE(""https://docs.google.com/spreadsheets/d/1IQAWArduLkta9LpYo4a_ULsyqdta6-6aDDiwpUnQT6c/edit?usp=sharing"",""นครสวรรค์!I369"")"),198)</f>
        <v>198</v>
      </c>
      <c r="W18" s="177">
        <f ca="1">IFERROR(__xludf.DUMMYFUNCTION("IMPORTRANGE(""https://docs.google.com/spreadsheets/d/1IQAWArduLkta9LpYo4a_ULsyqdta6-6aDDiwpUnQT6c/edit?usp=sharing"",""นครสวรรค์!J369"")"),252)</f>
        <v>252</v>
      </c>
      <c r="X18" s="354">
        <f ca="1">IFERROR(__xludf.DUMMYFUNCTION("IMPORTRANGE(""https://docs.google.com/spreadsheets/d/1IQAWArduLkta9LpYo4a_ULsyqdta6-6aDDiwpUnQT6c/edit?usp=sharing"",""นครสวรรค์!J370"")"),4388.3)</f>
        <v>4388.3</v>
      </c>
      <c r="Y18" s="375">
        <f t="shared" ca="1" si="31"/>
        <v>127.27272727272727</v>
      </c>
      <c r="Z18" s="353">
        <f ca="1">IFERROR(__xludf.DUMMYFUNCTION("IMPORTRANGE(""https://docs.google.com/spreadsheets/d/1IQAWArduLkta9LpYo4a_ULsyqdta6-6aDDiwpUnQT6c/edit?usp=sharing"",""นครสวรรค์!I371"")"),128)</f>
        <v>128</v>
      </c>
      <c r="AA18" s="177">
        <f ca="1">IFERROR(__xludf.DUMMYFUNCTION("IMPORTRANGE(""https://docs.google.com/spreadsheets/d/1IQAWArduLkta9LpYo4a_ULsyqdta6-6aDDiwpUnQT6c/edit?usp=sharing"",""นครสวรรค์!J371"")"),250)</f>
        <v>250</v>
      </c>
      <c r="AB18" s="354">
        <f ca="1">IFERROR(__xludf.DUMMYFUNCTION("IMPORTRANGE(""https://docs.google.com/spreadsheets/d/1IQAWArduLkta9LpYo4a_ULsyqdta6-6aDDiwpUnQT6c/edit?usp=sharing"",""นครสวรรค์!J372"")"),4363.34)</f>
        <v>4363.34</v>
      </c>
      <c r="AC18" s="375">
        <f t="shared" ca="1" si="33"/>
        <v>195.3125</v>
      </c>
    </row>
    <row r="19" spans="1:29" ht="24" customHeight="1" x14ac:dyDescent="0.3">
      <c r="A19" s="89">
        <v>6</v>
      </c>
      <c r="B19" s="90" t="s">
        <v>45</v>
      </c>
      <c r="C19" s="174">
        <f t="shared" ca="1" si="20"/>
        <v>814875</v>
      </c>
      <c r="D19" s="175">
        <f t="shared" ca="1" si="34"/>
        <v>814875</v>
      </c>
      <c r="E19" s="176">
        <f ca="1">IFERROR(__xludf.DUMMYFUNCTION("IMPORTRANGE(""https://docs.google.com/spreadsheets/d/1-uDff_7J0KD5mKrp0Vvzr7lt3OU09vwQwhkpOPPYv2Y/edit?usp=sharing"",""งบพรบ!FD19"")"),250600)</f>
        <v>250600</v>
      </c>
      <c r="F19" s="176">
        <f ca="1">IFERROR(__xludf.DUMMYFUNCTION("IMPORTRANGE(""https://docs.google.com/spreadsheets/d/1-uDff_7J0KD5mKrp0Vvzr7lt3OU09vwQwhkpOPPYv2Y/edit?usp=sharing"",""งบพรบ!FE19"")"),564275)</f>
        <v>564275</v>
      </c>
      <c r="G19" s="176">
        <f ca="1">IFERROR(__xludf.DUMMYFUNCTION("IMPORTRANGE(""https://docs.google.com/spreadsheets/d/1-uDff_7J0KD5mKrp0Vvzr7lt3OU09vwQwhkpOPPYv2Y/edit?usp=sharing"",""งบพรบ!FF19"")"),0)</f>
        <v>0</v>
      </c>
      <c r="H19" s="176">
        <f ca="1">IFERROR(__xludf.DUMMYFUNCTION("IMPORTRANGE(""https://docs.google.com/spreadsheets/d/1-uDff_7J0KD5mKrp0Vvzr7lt3OU09vwQwhkpOPPYv2Y/edit?usp=sharing"",""งบพรบ!FH19"")"),814875)</f>
        <v>814875</v>
      </c>
      <c r="I19" s="176">
        <f ca="1">IFERROR(__xludf.DUMMYFUNCTION("IMPORTRANGE(""https://docs.google.com/spreadsheets/d/1-uDff_7J0KD5mKrp0Vvzr7lt3OU09vwQwhkpOPPYv2Y/edit?usp=sharing"",""งบพรบ!FI19"")"),0)</f>
        <v>0</v>
      </c>
      <c r="J19" s="176">
        <f t="shared" ca="1" si="22"/>
        <v>239140</v>
      </c>
      <c r="K19" s="179">
        <f t="shared" ca="1" si="23"/>
        <v>29.346832336247889</v>
      </c>
      <c r="L19" s="176">
        <f ca="1">IFERROR(__xludf.DUMMYFUNCTION("IMPORTRANGE(""https://docs.google.com/spreadsheets/d/1-uDff_7J0KD5mKrp0Vvzr7lt3OU09vwQwhkpOPPYv2Y/edit?usp=sharing"",""งบพรบ!FJ19"")"),239140)</f>
        <v>239140</v>
      </c>
      <c r="M19" s="87">
        <f t="shared" ca="1" si="24"/>
        <v>29.346832336247889</v>
      </c>
      <c r="N19" s="87">
        <f t="shared" ca="1" si="25"/>
        <v>29.346832336247889</v>
      </c>
      <c r="O19" s="86">
        <f ca="1">IFERROR(__xludf.DUMMYFUNCTION("IMPORTRANGE(""https://docs.google.com/spreadsheets/d/1-uDff_7J0KD5mKrp0Vvzr7lt3OU09vwQwhkpOPPYv2Y/edit?usp=sharing"",""งบพรบ!FK19"")"),0)</f>
        <v>0</v>
      </c>
      <c r="P19" s="86">
        <f t="shared" ca="1" si="26"/>
        <v>0</v>
      </c>
      <c r="Q19" s="87">
        <f t="shared" ca="1" si="27"/>
        <v>0</v>
      </c>
      <c r="R19" s="353">
        <f ca="1">IFERROR(__xludf.DUMMYFUNCTION("IMPORTRANGE(""https://docs.google.com/spreadsheets/d/10s13Sk5xrltsiR-Zkbmk5DwIaDIKO8XlbJAfqyT7Gvg/edit?usp=sharing"",""น่าน!I368"")"),4230)</f>
        <v>4230</v>
      </c>
      <c r="S19" s="177">
        <f ca="1">IFERROR(__xludf.DUMMYFUNCTION("IMPORTRANGE(""https://docs.google.com/spreadsheets/d/10s13Sk5xrltsiR-Zkbmk5DwIaDIKO8XlbJAfqyT7Gvg/edit?usp=sharing"",""น่าน!J367"")"),133)</f>
        <v>133</v>
      </c>
      <c r="T19" s="354">
        <f ca="1">IFERROR(__xludf.DUMMYFUNCTION("IMPORTRANGE(""https://docs.google.com/spreadsheets/d/10s13Sk5xrltsiR-Zkbmk5DwIaDIKO8XlbJAfqyT7Gvg/edit?usp=sharing"",""น่าน!J368"")"),550.01)</f>
        <v>550.01</v>
      </c>
      <c r="U19" s="375">
        <f t="shared" ca="1" si="29"/>
        <v>13.002600472813238</v>
      </c>
      <c r="V19" s="353">
        <f ca="1">IFERROR(__xludf.DUMMYFUNCTION("IMPORTRANGE(""https://docs.google.com/spreadsheets/d/10s13Sk5xrltsiR-Zkbmk5DwIaDIKO8XlbJAfqyT7Gvg/edit?usp=sharing"",""น่าน!I369"")"),820)</f>
        <v>820</v>
      </c>
      <c r="W19" s="177">
        <f ca="1">IFERROR(__xludf.DUMMYFUNCTION("IMPORTRANGE(""https://docs.google.com/spreadsheets/d/10s13Sk5xrltsiR-Zkbmk5DwIaDIKO8XlbJAfqyT7Gvg/edit?usp=sharing"",""น่าน!J369"")"),462)</f>
        <v>462</v>
      </c>
      <c r="X19" s="354">
        <f ca="1">IFERROR(__xludf.DUMMYFUNCTION("IMPORTRANGE(""https://docs.google.com/spreadsheets/d/10s13Sk5xrltsiR-Zkbmk5DwIaDIKO8XlbJAfqyT7Gvg/edit?usp=sharing"",""น่าน!J370"")"),2938.72)</f>
        <v>2938.72</v>
      </c>
      <c r="Y19" s="375">
        <f t="shared" ca="1" si="31"/>
        <v>56.341463414634148</v>
      </c>
      <c r="Z19" s="353">
        <f ca="1">IFERROR(__xludf.DUMMYFUNCTION("IMPORTRANGE(""https://docs.google.com/spreadsheets/d/10s13Sk5xrltsiR-Zkbmk5DwIaDIKO8XlbJAfqyT7Gvg/edit?usp=sharing"",""น่าน!I371"")"),532)</f>
        <v>532</v>
      </c>
      <c r="AA19" s="177">
        <f ca="1">IFERROR(__xludf.DUMMYFUNCTION("IMPORTRANGE(""https://docs.google.com/spreadsheets/d/10s13Sk5xrltsiR-Zkbmk5DwIaDIKO8XlbJAfqyT7Gvg/edit?usp=sharing"",""น่าน!J371"")"),449)</f>
        <v>449</v>
      </c>
      <c r="AB19" s="354">
        <f ca="1">IFERROR(__xludf.DUMMYFUNCTION("IMPORTRANGE(""https://docs.google.com/spreadsheets/d/10s13Sk5xrltsiR-Zkbmk5DwIaDIKO8XlbJAfqyT7Gvg/edit?usp=sharing"",""น่าน!J372"")"),2907.75)</f>
        <v>2907.75</v>
      </c>
      <c r="AC19" s="375">
        <f t="shared" ca="1" si="33"/>
        <v>84.398496240601503</v>
      </c>
    </row>
    <row r="20" spans="1:29" ht="24" customHeight="1" x14ac:dyDescent="0.3">
      <c r="A20" s="89">
        <v>7</v>
      </c>
      <c r="B20" s="90" t="s">
        <v>46</v>
      </c>
      <c r="C20" s="174">
        <f t="shared" ca="1" si="20"/>
        <v>235980</v>
      </c>
      <c r="D20" s="175">
        <f t="shared" ca="1" si="34"/>
        <v>235980</v>
      </c>
      <c r="E20" s="176">
        <f ca="1">IFERROR(__xludf.DUMMYFUNCTION("IMPORTRANGE(""https://docs.google.com/spreadsheets/d/1-uDff_7J0KD5mKrp0Vvzr7lt3OU09vwQwhkpOPPYv2Y/edit?usp=sharing"",""งบพรบ!FD20"")"),0)</f>
        <v>0</v>
      </c>
      <c r="F20" s="176">
        <f ca="1">IFERROR(__xludf.DUMMYFUNCTION("IMPORTRANGE(""https://docs.google.com/spreadsheets/d/1-uDff_7J0KD5mKrp0Vvzr7lt3OU09vwQwhkpOPPYv2Y/edit?usp=sharing"",""งบพรบ!FE20"")"),235980)</f>
        <v>235980</v>
      </c>
      <c r="G20" s="176">
        <f ca="1">IFERROR(__xludf.DUMMYFUNCTION("IMPORTRANGE(""https://docs.google.com/spreadsheets/d/1-uDff_7J0KD5mKrp0Vvzr7lt3OU09vwQwhkpOPPYv2Y/edit?usp=sharing"",""งบพรบ!FF20"")"),0)</f>
        <v>0</v>
      </c>
      <c r="H20" s="176">
        <f ca="1">IFERROR(__xludf.DUMMYFUNCTION("IMPORTRANGE(""https://docs.google.com/spreadsheets/d/1-uDff_7J0KD5mKrp0Vvzr7lt3OU09vwQwhkpOPPYv2Y/edit?usp=sharing"",""งบพรบ!FH20"")"),245900)</f>
        <v>245900</v>
      </c>
      <c r="I20" s="176">
        <f ca="1">IFERROR(__xludf.DUMMYFUNCTION("IMPORTRANGE(""https://docs.google.com/spreadsheets/d/1-uDff_7J0KD5mKrp0Vvzr7lt3OU09vwQwhkpOPPYv2Y/edit?usp=sharing"",""งบพรบ!FI20"")"),0)</f>
        <v>0</v>
      </c>
      <c r="J20" s="176">
        <f t="shared" ca="1" si="22"/>
        <v>90753.21</v>
      </c>
      <c r="K20" s="179">
        <f t="shared" ca="1" si="23"/>
        <v>38.458009153318081</v>
      </c>
      <c r="L20" s="176">
        <f ca="1">IFERROR(__xludf.DUMMYFUNCTION("IMPORTRANGE(""https://docs.google.com/spreadsheets/d/1-uDff_7J0KD5mKrp0Vvzr7lt3OU09vwQwhkpOPPYv2Y/edit?usp=sharing"",""งบพรบ!FJ20"")"),90753.21)</f>
        <v>90753.21</v>
      </c>
      <c r="M20" s="87">
        <f t="shared" ca="1" si="24"/>
        <v>38.458009153318081</v>
      </c>
      <c r="N20" s="87">
        <f t="shared" ca="1" si="25"/>
        <v>36.906551443676292</v>
      </c>
      <c r="O20" s="86">
        <f ca="1">IFERROR(__xludf.DUMMYFUNCTION("IMPORTRANGE(""https://docs.google.com/spreadsheets/d/1-uDff_7J0KD5mKrp0Vvzr7lt3OU09vwQwhkpOPPYv2Y/edit?usp=sharing"",""งบพรบ!FK20"")"),0)</f>
        <v>0</v>
      </c>
      <c r="P20" s="86">
        <f t="shared" ca="1" si="26"/>
        <v>0</v>
      </c>
      <c r="Q20" s="87">
        <f t="shared" ca="1" si="27"/>
        <v>0</v>
      </c>
      <c r="R20" s="353">
        <f ca="1">IFERROR(__xludf.DUMMYFUNCTION("IMPORTRANGE(""https://docs.google.com/spreadsheets/d/1uu4nAn4Dbi1XREnLKKotUANlKXa7yCgRcgq8HEzQYW8/edit?usp=sharing"",""พะเยา!I368"")"),1145)</f>
        <v>1145</v>
      </c>
      <c r="S20" s="177">
        <f ca="1">IFERROR(__xludf.DUMMYFUNCTION("IMPORTRANGE(""https://docs.google.com/spreadsheets/d/1uu4nAn4Dbi1XREnLKKotUANlKXa7yCgRcgq8HEzQYW8/edit?usp=sharing"",""พะเยา!J367"")"),74)</f>
        <v>74</v>
      </c>
      <c r="T20" s="354">
        <f ca="1">IFERROR(__xludf.DUMMYFUNCTION("IMPORTRANGE(""https://docs.google.com/spreadsheets/d/1uu4nAn4Dbi1XREnLKKotUANlKXa7yCgRcgq8HEzQYW8/edit?usp=sharing"",""พะเยา!J368"")"),448.48)</f>
        <v>448.48</v>
      </c>
      <c r="U20" s="375">
        <f t="shared" ca="1" si="29"/>
        <v>39.168558951965068</v>
      </c>
      <c r="V20" s="353">
        <f ca="1">IFERROR(__xludf.DUMMYFUNCTION("IMPORTRANGE(""https://docs.google.com/spreadsheets/d/1uu4nAn4Dbi1XREnLKKotUANlKXa7yCgRcgq8HEzQYW8/edit?usp=sharing"",""พะเยา!I369"")"),184)</f>
        <v>184</v>
      </c>
      <c r="W20" s="177">
        <f ca="1">IFERROR(__xludf.DUMMYFUNCTION("IMPORTRANGE(""https://docs.google.com/spreadsheets/d/1uu4nAn4Dbi1XREnLKKotUANlKXa7yCgRcgq8HEzQYW8/edit?usp=sharing"",""พะเยา!J369"")"),95)</f>
        <v>95</v>
      </c>
      <c r="X20" s="354">
        <f ca="1">IFERROR(__xludf.DUMMYFUNCTION("IMPORTRANGE(""https://docs.google.com/spreadsheets/d/1uu4nAn4Dbi1XREnLKKotUANlKXa7yCgRcgq8HEzQYW8/edit?usp=sharing"",""พะเยา!J370"")"),781.78)</f>
        <v>781.78</v>
      </c>
      <c r="Y20" s="375">
        <f t="shared" ca="1" si="31"/>
        <v>51.630434782608695</v>
      </c>
      <c r="Z20" s="353">
        <f ca="1">IFERROR(__xludf.DUMMYFUNCTION("IMPORTRANGE(""https://docs.google.com/spreadsheets/d/1uu4nAn4Dbi1XREnLKKotUANlKXa7yCgRcgq8HEzQYW8/edit?usp=sharing"",""พะเยา!I371"")"),123)</f>
        <v>123</v>
      </c>
      <c r="AA20" s="177">
        <f ca="1">IFERROR(__xludf.DUMMYFUNCTION("IMPORTRANGE(""https://docs.google.com/spreadsheets/d/1uu4nAn4Dbi1XREnLKKotUANlKXa7yCgRcgq8HEzQYW8/edit?usp=sharing"",""พะเยา!J371"")"),93)</f>
        <v>93</v>
      </c>
      <c r="AB20" s="354">
        <f ca="1">IFERROR(__xludf.DUMMYFUNCTION("IMPORTRANGE(""https://docs.google.com/spreadsheets/d/1uu4nAn4Dbi1XREnLKKotUANlKXa7yCgRcgq8HEzQYW8/edit?usp=sharing"",""พะเยา!J372"")"),704.88)</f>
        <v>704.88</v>
      </c>
      <c r="AC20" s="375">
        <f t="shared" ca="1" si="33"/>
        <v>75.609756097560975</v>
      </c>
    </row>
    <row r="21" spans="1:29" ht="24" customHeight="1" x14ac:dyDescent="0.3">
      <c r="A21" s="89">
        <v>8</v>
      </c>
      <c r="B21" s="90" t="s">
        <v>47</v>
      </c>
      <c r="C21" s="174">
        <f t="shared" ca="1" si="20"/>
        <v>450035</v>
      </c>
      <c r="D21" s="175">
        <f t="shared" ca="1" si="34"/>
        <v>450035</v>
      </c>
      <c r="E21" s="176">
        <f ca="1">IFERROR(__xludf.DUMMYFUNCTION("IMPORTRANGE(""https://docs.google.com/spreadsheets/d/1-uDff_7J0KD5mKrp0Vvzr7lt3OU09vwQwhkpOPPYv2Y/edit?usp=sharing"",""งบพรบ!FD21"")"),250600)</f>
        <v>250600</v>
      </c>
      <c r="F21" s="176">
        <f ca="1">IFERROR(__xludf.DUMMYFUNCTION("IMPORTRANGE(""https://docs.google.com/spreadsheets/d/1-uDff_7J0KD5mKrp0Vvzr7lt3OU09vwQwhkpOPPYv2Y/edit?usp=sharing"",""งบพรบ!FE21"")"),199435)</f>
        <v>199435</v>
      </c>
      <c r="G21" s="176">
        <f ca="1">IFERROR(__xludf.DUMMYFUNCTION("IMPORTRANGE(""https://docs.google.com/spreadsheets/d/1-uDff_7J0KD5mKrp0Vvzr7lt3OU09vwQwhkpOPPYv2Y/edit?usp=sharing"",""งบพรบ!FF21"")"),0)</f>
        <v>0</v>
      </c>
      <c r="H21" s="176">
        <f ca="1">IFERROR(__xludf.DUMMYFUNCTION("IMPORTRANGE(""https://docs.google.com/spreadsheets/d/1-uDff_7J0KD5mKrp0Vvzr7lt3OU09vwQwhkpOPPYv2Y/edit?usp=sharing"",""งบพรบ!FH21"")"),450035)</f>
        <v>450035</v>
      </c>
      <c r="I21" s="176">
        <f ca="1">IFERROR(__xludf.DUMMYFUNCTION("IMPORTRANGE(""https://docs.google.com/spreadsheets/d/1-uDff_7J0KD5mKrp0Vvzr7lt3OU09vwQwhkpOPPYv2Y/edit?usp=sharing"",""งบพรบ!FI21"")"),0)</f>
        <v>0</v>
      </c>
      <c r="J21" s="176">
        <f t="shared" ca="1" si="22"/>
        <v>165216.64000000001</v>
      </c>
      <c r="K21" s="179">
        <f t="shared" ca="1" si="23"/>
        <v>36.711953514726638</v>
      </c>
      <c r="L21" s="176">
        <f ca="1">IFERROR(__xludf.DUMMYFUNCTION("IMPORTRANGE(""https://docs.google.com/spreadsheets/d/1-uDff_7J0KD5mKrp0Vvzr7lt3OU09vwQwhkpOPPYv2Y/edit?usp=sharing"",""งบพรบ!FJ21"")"),165216.64)</f>
        <v>165216.64000000001</v>
      </c>
      <c r="M21" s="87">
        <f t="shared" ca="1" si="24"/>
        <v>36.711953514726638</v>
      </c>
      <c r="N21" s="87">
        <f t="shared" ca="1" si="25"/>
        <v>36.711953514726638</v>
      </c>
      <c r="O21" s="86">
        <f ca="1">IFERROR(__xludf.DUMMYFUNCTION("IMPORTRANGE(""https://docs.google.com/spreadsheets/d/1-uDff_7J0KD5mKrp0Vvzr7lt3OU09vwQwhkpOPPYv2Y/edit?usp=sharing"",""งบพรบ!FK21"")"),0)</f>
        <v>0</v>
      </c>
      <c r="P21" s="86">
        <f t="shared" ca="1" si="26"/>
        <v>0</v>
      </c>
      <c r="Q21" s="87">
        <f t="shared" ca="1" si="27"/>
        <v>0</v>
      </c>
      <c r="R21" s="353">
        <f ca="1">IFERROR(__xludf.DUMMYFUNCTION("IMPORTRANGE(""https://docs.google.com/spreadsheets/d/1xfJKIQxVOaPDIICqsflNlLu3JacTDk1FP9RH4phX7mI/edit?usp=sharing"",""พิจิตร!I368"")"),775)</f>
        <v>775</v>
      </c>
      <c r="S21" s="177">
        <f ca="1">IFERROR(__xludf.DUMMYFUNCTION("IMPORTRANGE(""https://docs.google.com/spreadsheets/d/1xfJKIQxVOaPDIICqsflNlLu3JacTDk1FP9RH4phX7mI/edit?usp=sharing"",""พิจิตร!J367"")"),83)</f>
        <v>83</v>
      </c>
      <c r="T21" s="354">
        <f ca="1">IFERROR(__xludf.DUMMYFUNCTION("IMPORTRANGE(""https://docs.google.com/spreadsheets/d/1xfJKIQxVOaPDIICqsflNlLu3JacTDk1FP9RH4phX7mI/edit?usp=sharing"",""พิจิตร!J368"")"),699.21)</f>
        <v>699.21</v>
      </c>
      <c r="U21" s="375">
        <f t="shared" ca="1" si="29"/>
        <v>90.220645161290321</v>
      </c>
      <c r="V21" s="353">
        <f ca="1">IFERROR(__xludf.DUMMYFUNCTION("IMPORTRANGE(""https://docs.google.com/spreadsheets/d/1xfJKIQxVOaPDIICqsflNlLu3JacTDk1FP9RH4phX7mI/edit?usp=sharing"",""พิจิตร!I369"")"),152)</f>
        <v>152</v>
      </c>
      <c r="W21" s="177">
        <f ca="1">IFERROR(__xludf.DUMMYFUNCTION("IMPORTRANGE(""https://docs.google.com/spreadsheets/d/1xfJKIQxVOaPDIICqsflNlLu3JacTDk1FP9RH4phX7mI/edit?usp=sharing"",""พิจิตร!J369"")"),188)</f>
        <v>188</v>
      </c>
      <c r="X21" s="354">
        <f ca="1">IFERROR(__xludf.DUMMYFUNCTION("IMPORTRANGE(""https://docs.google.com/spreadsheets/d/1xfJKIQxVOaPDIICqsflNlLu3JacTDk1FP9RH4phX7mI/edit?usp=sharing"",""พิจิตร!J370"")"),2714.23)</f>
        <v>2714.23</v>
      </c>
      <c r="Y21" s="375">
        <f t="shared" ca="1" si="31"/>
        <v>123.68421052631579</v>
      </c>
      <c r="Z21" s="353">
        <f ca="1">IFERROR(__xludf.DUMMYFUNCTION("IMPORTRANGE(""https://docs.google.com/spreadsheets/d/1xfJKIQxVOaPDIICqsflNlLu3JacTDk1FP9RH4phX7mI/edit?usp=sharing"",""พิจิตร!I371"")"),100)</f>
        <v>100</v>
      </c>
      <c r="AA21" s="177">
        <f ca="1">IFERROR(__xludf.DUMMYFUNCTION("IMPORTRANGE(""https://docs.google.com/spreadsheets/d/1xfJKIQxVOaPDIICqsflNlLu3JacTDk1FP9RH4phX7mI/edit?usp=sharing"",""พิจิตร!J371"")"),113)</f>
        <v>113</v>
      </c>
      <c r="AB21" s="354">
        <f ca="1">IFERROR(__xludf.DUMMYFUNCTION("IMPORTRANGE(""https://docs.google.com/spreadsheets/d/1xfJKIQxVOaPDIICqsflNlLu3JacTDk1FP9RH4phX7mI/edit?usp=sharing"",""พิจิตร!J372"")"),2092.18)</f>
        <v>2092.1799999999998</v>
      </c>
      <c r="AC21" s="375">
        <f t="shared" ca="1" si="33"/>
        <v>113</v>
      </c>
    </row>
    <row r="22" spans="1:29" ht="24" customHeight="1" x14ac:dyDescent="0.3">
      <c r="A22" s="89">
        <v>9</v>
      </c>
      <c r="B22" s="90" t="s">
        <v>48</v>
      </c>
      <c r="C22" s="174">
        <f t="shared" ca="1" si="20"/>
        <v>405005</v>
      </c>
      <c r="D22" s="175">
        <f t="shared" ca="1" si="34"/>
        <v>405005</v>
      </c>
      <c r="E22" s="176">
        <f ca="1">IFERROR(__xludf.DUMMYFUNCTION("IMPORTRANGE(""https://docs.google.com/spreadsheets/d/1-uDff_7J0KD5mKrp0Vvzr7lt3OU09vwQwhkpOPPYv2Y/edit?usp=sharing"",""งบพรบ!FD22"")"),184100)</f>
        <v>184100</v>
      </c>
      <c r="F22" s="176">
        <f ca="1">IFERROR(__xludf.DUMMYFUNCTION("IMPORTRANGE(""https://docs.google.com/spreadsheets/d/1-uDff_7J0KD5mKrp0Vvzr7lt3OU09vwQwhkpOPPYv2Y/edit?usp=sharing"",""งบพรบ!FE22"")"),220905)</f>
        <v>220905</v>
      </c>
      <c r="G22" s="176">
        <f ca="1">IFERROR(__xludf.DUMMYFUNCTION("IMPORTRANGE(""https://docs.google.com/spreadsheets/d/1-uDff_7J0KD5mKrp0Vvzr7lt3OU09vwQwhkpOPPYv2Y/edit?usp=sharing"",""งบพรบ!FF22"")"),0)</f>
        <v>0</v>
      </c>
      <c r="H22" s="176">
        <f ca="1">IFERROR(__xludf.DUMMYFUNCTION("IMPORTRANGE(""https://docs.google.com/spreadsheets/d/1-uDff_7J0KD5mKrp0Vvzr7lt3OU09vwQwhkpOPPYv2Y/edit?usp=sharing"",""งบพรบ!FH22"")"),405005)</f>
        <v>405005</v>
      </c>
      <c r="I22" s="176">
        <f ca="1">IFERROR(__xludf.DUMMYFUNCTION("IMPORTRANGE(""https://docs.google.com/spreadsheets/d/1-uDff_7J0KD5mKrp0Vvzr7lt3OU09vwQwhkpOPPYv2Y/edit?usp=sharing"",""งบพรบ!FI22"")"),0)</f>
        <v>0</v>
      </c>
      <c r="J22" s="176">
        <f t="shared" ca="1" si="22"/>
        <v>124919.55</v>
      </c>
      <c r="K22" s="179">
        <f t="shared" ca="1" si="23"/>
        <v>30.843952543795755</v>
      </c>
      <c r="L22" s="176">
        <f ca="1">IFERROR(__xludf.DUMMYFUNCTION("IMPORTRANGE(""https://docs.google.com/spreadsheets/d/1-uDff_7J0KD5mKrp0Vvzr7lt3OU09vwQwhkpOPPYv2Y/edit?usp=sharing"",""งบพรบ!FJ22"")"),124919.55)</f>
        <v>124919.55</v>
      </c>
      <c r="M22" s="87">
        <f t="shared" ca="1" si="24"/>
        <v>30.843952543795755</v>
      </c>
      <c r="N22" s="87">
        <f t="shared" ca="1" si="25"/>
        <v>30.843952543795755</v>
      </c>
      <c r="O22" s="86">
        <f ca="1">IFERROR(__xludf.DUMMYFUNCTION("IMPORTRANGE(""https://docs.google.com/spreadsheets/d/1-uDff_7J0KD5mKrp0Vvzr7lt3OU09vwQwhkpOPPYv2Y/edit?usp=sharing"",""งบพรบ!FK22"")"),0)</f>
        <v>0</v>
      </c>
      <c r="P22" s="86">
        <f t="shared" ca="1" si="26"/>
        <v>0</v>
      </c>
      <c r="Q22" s="87">
        <f t="shared" ca="1" si="27"/>
        <v>0</v>
      </c>
      <c r="R22" s="353">
        <f ca="1">IFERROR(__xludf.DUMMYFUNCTION("IMPORTRANGE(""https://docs.google.com/spreadsheets/d/1JtRfZkJMHtEhI5RdRHxYUG4FIZHqKDpNyIuN7A1Q0_k/edit?usp=sharing"",""พิษณุโลก!I368"")"),1010)</f>
        <v>1010</v>
      </c>
      <c r="S22" s="177">
        <f ca="1">IFERROR(__xludf.DUMMYFUNCTION("IMPORTRANGE(""https://docs.google.com/spreadsheets/d/1JtRfZkJMHtEhI5RdRHxYUG4FIZHqKDpNyIuN7A1Q0_k/edit?usp=sharing"",""พิษณุโลก!J367"")"),1)</f>
        <v>1</v>
      </c>
      <c r="T22" s="354">
        <f ca="1">IFERROR(__xludf.DUMMYFUNCTION("IMPORTRANGE(""https://docs.google.com/spreadsheets/d/1JtRfZkJMHtEhI5RdRHxYUG4FIZHqKDpNyIuN7A1Q0_k/edit?usp=sharing"",""พิษณุโลก!J368"")"),1.34)</f>
        <v>1.34</v>
      </c>
      <c r="U22" s="375">
        <f t="shared" ca="1" si="29"/>
        <v>0.13267326732673268</v>
      </c>
      <c r="V22" s="353">
        <f ca="1">IFERROR(__xludf.DUMMYFUNCTION("IMPORTRANGE(""https://docs.google.com/spreadsheets/d/1JtRfZkJMHtEhI5RdRHxYUG4FIZHqKDpNyIuN7A1Q0_k/edit?usp=sharing"",""พิษณุโลก!I369"")"),157)</f>
        <v>157</v>
      </c>
      <c r="W22" s="177">
        <f ca="1">IFERROR(__xludf.DUMMYFUNCTION("IMPORTRANGE(""https://docs.google.com/spreadsheets/d/1JtRfZkJMHtEhI5RdRHxYUG4FIZHqKDpNyIuN7A1Q0_k/edit?usp=sharing"",""พิษณุโลก!J369"")"),17)</f>
        <v>17</v>
      </c>
      <c r="X22" s="354">
        <f ca="1">IFERROR(__xludf.DUMMYFUNCTION("IMPORTRANGE(""https://docs.google.com/spreadsheets/d/1JtRfZkJMHtEhI5RdRHxYUG4FIZHqKDpNyIuN7A1Q0_k/edit?usp=sharing"",""พิษณุโลก!J370"")"),300.22)</f>
        <v>300.22000000000003</v>
      </c>
      <c r="Y22" s="375">
        <f t="shared" ca="1" si="31"/>
        <v>10.828025477707007</v>
      </c>
      <c r="Z22" s="353">
        <f ca="1">IFERROR(__xludf.DUMMYFUNCTION("IMPORTRANGE(""https://docs.google.com/spreadsheets/d/1JtRfZkJMHtEhI5RdRHxYUG4FIZHqKDpNyIuN7A1Q0_k/edit?usp=sharing"",""พิษณุโลก!I371"")"),101)</f>
        <v>101</v>
      </c>
      <c r="AA22" s="177">
        <f ca="1">IFERROR(__xludf.DUMMYFUNCTION("IMPORTRANGE(""https://docs.google.com/spreadsheets/d/1JtRfZkJMHtEhI5RdRHxYUG4FIZHqKDpNyIuN7A1Q0_k/edit?usp=sharing"",""พิษณุโลก!J371"")"),17)</f>
        <v>17</v>
      </c>
      <c r="AB22" s="354">
        <f ca="1">IFERROR(__xludf.DUMMYFUNCTION("IMPORTRANGE(""https://docs.google.com/spreadsheets/d/1JtRfZkJMHtEhI5RdRHxYUG4FIZHqKDpNyIuN7A1Q0_k/edit?usp=sharing"",""พิษณุโลก!J372"")"),300.22)</f>
        <v>300.22000000000003</v>
      </c>
      <c r="AC22" s="375">
        <f t="shared" ca="1" si="33"/>
        <v>16.831683168316832</v>
      </c>
    </row>
    <row r="23" spans="1:29" ht="24" customHeight="1" x14ac:dyDescent="0.3">
      <c r="A23" s="89">
        <v>10</v>
      </c>
      <c r="B23" s="90" t="s">
        <v>49</v>
      </c>
      <c r="C23" s="174">
        <f t="shared" ca="1" si="20"/>
        <v>1188345</v>
      </c>
      <c r="D23" s="175">
        <f t="shared" ca="1" si="34"/>
        <v>1188345</v>
      </c>
      <c r="E23" s="176">
        <f ca="1">IFERROR(__xludf.DUMMYFUNCTION("IMPORTRANGE(""https://docs.google.com/spreadsheets/d/1-uDff_7J0KD5mKrp0Vvzr7lt3OU09vwQwhkpOPPYv2Y/edit?usp=sharing"",""งบพรบ!FD23"")"),133000)</f>
        <v>133000</v>
      </c>
      <c r="F23" s="176">
        <f ca="1">IFERROR(__xludf.DUMMYFUNCTION("IMPORTRANGE(""https://docs.google.com/spreadsheets/d/1-uDff_7J0KD5mKrp0Vvzr7lt3OU09vwQwhkpOPPYv2Y/edit?usp=sharing"",""งบพรบ!FE23"")"),1055345)</f>
        <v>1055345</v>
      </c>
      <c r="G23" s="176">
        <f ca="1">IFERROR(__xludf.DUMMYFUNCTION("IMPORTRANGE(""https://docs.google.com/spreadsheets/d/1-uDff_7J0KD5mKrp0Vvzr7lt3OU09vwQwhkpOPPYv2Y/edit?usp=sharing"",""งบพรบ!FF23"")"),0)</f>
        <v>0</v>
      </c>
      <c r="H23" s="176">
        <f ca="1">IFERROR(__xludf.DUMMYFUNCTION("IMPORTRANGE(""https://docs.google.com/spreadsheets/d/1-uDff_7J0KD5mKrp0Vvzr7lt3OU09vwQwhkpOPPYv2Y/edit?usp=sharing"",""งบพรบ!FH23"")"),1188345)</f>
        <v>1188345</v>
      </c>
      <c r="I23" s="176">
        <f ca="1">IFERROR(__xludf.DUMMYFUNCTION("IMPORTRANGE(""https://docs.google.com/spreadsheets/d/1-uDff_7J0KD5mKrp0Vvzr7lt3OU09vwQwhkpOPPYv2Y/edit?usp=sharing"",""งบพรบ!FI23"")"),0)</f>
        <v>0</v>
      </c>
      <c r="J23" s="176">
        <f t="shared" ca="1" si="22"/>
        <v>364966</v>
      </c>
      <c r="K23" s="179">
        <f t="shared" ca="1" si="23"/>
        <v>30.71212484589913</v>
      </c>
      <c r="L23" s="176">
        <f ca="1">IFERROR(__xludf.DUMMYFUNCTION("IMPORTRANGE(""https://docs.google.com/spreadsheets/d/1-uDff_7J0KD5mKrp0Vvzr7lt3OU09vwQwhkpOPPYv2Y/edit?usp=sharing"",""งบพรบ!FJ23"")"),364966)</f>
        <v>364966</v>
      </c>
      <c r="M23" s="87">
        <f t="shared" ca="1" si="24"/>
        <v>30.71212484589913</v>
      </c>
      <c r="N23" s="87">
        <f t="shared" ca="1" si="25"/>
        <v>30.71212484589913</v>
      </c>
      <c r="O23" s="86">
        <f ca="1">IFERROR(__xludf.DUMMYFUNCTION("IMPORTRANGE(""https://docs.google.com/spreadsheets/d/1-uDff_7J0KD5mKrp0Vvzr7lt3OU09vwQwhkpOPPYv2Y/edit?usp=sharing"",""งบพรบ!FK23"")"),0)</f>
        <v>0</v>
      </c>
      <c r="P23" s="86">
        <f t="shared" ca="1" si="26"/>
        <v>0</v>
      </c>
      <c r="Q23" s="87">
        <f t="shared" ca="1" si="27"/>
        <v>0</v>
      </c>
      <c r="R23" s="353">
        <f ca="1">IFERROR(__xludf.DUMMYFUNCTION("IMPORTRANGE(""https://docs.google.com/spreadsheets/d/1xlcVZWUNn6SuWm0c307h32SiGkd9BaeQWlAktfD3KO8/edit?usp=sharing"",""เพชรบูรณ์!I368"")"),8200)</f>
        <v>8200</v>
      </c>
      <c r="S23" s="177">
        <f ca="1">IFERROR(__xludf.DUMMYFUNCTION("IMPORTRANGE(""https://docs.google.com/spreadsheets/d/1xlcVZWUNn6SuWm0c307h32SiGkd9BaeQWlAktfD3KO8/edit?usp=sharing"",""เพชรบูรณ์!J367"")"),126)</f>
        <v>126</v>
      </c>
      <c r="T23" s="354">
        <f ca="1">IFERROR(__xludf.DUMMYFUNCTION("IMPORTRANGE(""https://docs.google.com/spreadsheets/d/1xlcVZWUNn6SuWm0c307h32SiGkd9BaeQWlAktfD3KO8/edit?usp=sharing"",""เพชรบูรณ์!J368"")"),1541.13999999999)</f>
        <v>1541.1399999999901</v>
      </c>
      <c r="U23" s="375">
        <f t="shared" ca="1" si="29"/>
        <v>18.794390243902317</v>
      </c>
      <c r="V23" s="353">
        <f ca="1">IFERROR(__xludf.DUMMYFUNCTION("IMPORTRANGE(""https://docs.google.com/spreadsheets/d/1xlcVZWUNn6SuWm0c307h32SiGkd9BaeQWlAktfD3KO8/edit?usp=sharing"",""เพชรบูรณ์!I369"")"),1490)</f>
        <v>1490</v>
      </c>
      <c r="W23" s="177">
        <f ca="1">IFERROR(__xludf.DUMMYFUNCTION("IMPORTRANGE(""https://docs.google.com/spreadsheets/d/1xlcVZWUNn6SuWm0c307h32SiGkd9BaeQWlAktfD3KO8/edit?usp=sharing"",""เพชรบูรณ์!J369"")"),127)</f>
        <v>127</v>
      </c>
      <c r="X23" s="354">
        <f ca="1">IFERROR(__xludf.DUMMYFUNCTION("IMPORTRANGE(""https://docs.google.com/spreadsheets/d/1xlcVZWUNn6SuWm0c307h32SiGkd9BaeQWlAktfD3KO8/edit?usp=sharing"",""เพชรบูรณ์!J370"")"),1755.86)</f>
        <v>1755.86</v>
      </c>
      <c r="Y23" s="375">
        <f t="shared" ca="1" si="31"/>
        <v>8.5234899328859068</v>
      </c>
      <c r="Z23" s="353">
        <f ca="1">IFERROR(__xludf.DUMMYFUNCTION("IMPORTRANGE(""https://docs.google.com/spreadsheets/d/1xlcVZWUNn6SuWm0c307h32SiGkd9BaeQWlAktfD3KO8/edit?usp=sharing"",""เพชรบูรณ์!I371"")"),1095)</f>
        <v>1095</v>
      </c>
      <c r="AA23" s="177">
        <f ca="1">IFERROR(__xludf.DUMMYFUNCTION("IMPORTRANGE(""https://docs.google.com/spreadsheets/d/1xlcVZWUNn6SuWm0c307h32SiGkd9BaeQWlAktfD3KO8/edit?usp=sharing"",""เพชรบูรณ์!J371"")"),47)</f>
        <v>47</v>
      </c>
      <c r="AB23" s="354">
        <f ca="1">IFERROR(__xludf.DUMMYFUNCTION("IMPORTRANGE(""https://docs.google.com/spreadsheets/d/1xlcVZWUNn6SuWm0c307h32SiGkd9BaeQWlAktfD3KO8/edit?usp=sharing"",""เพชรบูรณ์!J372"")"),771.329999999999)</f>
        <v>771.32999999999902</v>
      </c>
      <c r="AC23" s="375">
        <f t="shared" ca="1" si="33"/>
        <v>4.2922374429223744</v>
      </c>
    </row>
    <row r="24" spans="1:29" ht="24" customHeight="1" x14ac:dyDescent="0.3">
      <c r="A24" s="89">
        <v>11</v>
      </c>
      <c r="B24" s="90" t="s">
        <v>50</v>
      </c>
      <c r="C24" s="174">
        <f t="shared" ca="1" si="20"/>
        <v>422685</v>
      </c>
      <c r="D24" s="175">
        <f t="shared" ca="1" si="34"/>
        <v>422685</v>
      </c>
      <c r="E24" s="176">
        <f ca="1">IFERROR(__xludf.DUMMYFUNCTION("IMPORTRANGE(""https://docs.google.com/spreadsheets/d/1-uDff_7J0KD5mKrp0Vvzr7lt3OU09vwQwhkpOPPYv2Y/edit?usp=sharing"",""งบพรบ!FD24"")"),184100)</f>
        <v>184100</v>
      </c>
      <c r="F24" s="176">
        <f ca="1">IFERROR(__xludf.DUMMYFUNCTION("IMPORTRANGE(""https://docs.google.com/spreadsheets/d/1-uDff_7J0KD5mKrp0Vvzr7lt3OU09vwQwhkpOPPYv2Y/edit?usp=sharing"",""งบพรบ!FE24"")"),238585)</f>
        <v>238585</v>
      </c>
      <c r="G24" s="176">
        <f ca="1">IFERROR(__xludf.DUMMYFUNCTION("IMPORTRANGE(""https://docs.google.com/spreadsheets/d/1-uDff_7J0KD5mKrp0Vvzr7lt3OU09vwQwhkpOPPYv2Y/edit?usp=sharing"",""งบพรบ!FF24"")"),0)</f>
        <v>0</v>
      </c>
      <c r="H24" s="176">
        <f ca="1">IFERROR(__xludf.DUMMYFUNCTION("IMPORTRANGE(""https://docs.google.com/spreadsheets/d/1-uDff_7J0KD5mKrp0Vvzr7lt3OU09vwQwhkpOPPYv2Y/edit?usp=sharing"",""งบพรบ!FH24"")"),422685)</f>
        <v>422685</v>
      </c>
      <c r="I24" s="176">
        <f ca="1">IFERROR(__xludf.DUMMYFUNCTION("IMPORTRANGE(""https://docs.google.com/spreadsheets/d/1-uDff_7J0KD5mKrp0Vvzr7lt3OU09vwQwhkpOPPYv2Y/edit?usp=sharing"",""งบพรบ!FI24"")"),0)</f>
        <v>0</v>
      </c>
      <c r="J24" s="176">
        <f t="shared" ca="1" si="22"/>
        <v>164569</v>
      </c>
      <c r="K24" s="179">
        <f t="shared" ca="1" si="23"/>
        <v>38.934194494718291</v>
      </c>
      <c r="L24" s="176">
        <f ca="1">IFERROR(__xludf.DUMMYFUNCTION("IMPORTRANGE(""https://docs.google.com/spreadsheets/d/1-uDff_7J0KD5mKrp0Vvzr7lt3OU09vwQwhkpOPPYv2Y/edit?usp=sharing"",""งบพรบ!FJ24"")"),164569)</f>
        <v>164569</v>
      </c>
      <c r="M24" s="87">
        <f t="shared" ca="1" si="24"/>
        <v>38.934194494718291</v>
      </c>
      <c r="N24" s="87">
        <f t="shared" ca="1" si="25"/>
        <v>38.934194494718291</v>
      </c>
      <c r="O24" s="86">
        <f ca="1">IFERROR(__xludf.DUMMYFUNCTION("IMPORTRANGE(""https://docs.google.com/spreadsheets/d/1-uDff_7J0KD5mKrp0Vvzr7lt3OU09vwQwhkpOPPYv2Y/edit?usp=sharing"",""งบพรบ!FK24"")"),0)</f>
        <v>0</v>
      </c>
      <c r="P24" s="86">
        <f t="shared" ca="1" si="26"/>
        <v>0</v>
      </c>
      <c r="Q24" s="87">
        <f t="shared" ca="1" si="27"/>
        <v>0</v>
      </c>
      <c r="R24" s="353">
        <f ca="1">IFERROR(__xludf.DUMMYFUNCTION("IMPORTRANGE(""https://docs.google.com/spreadsheets/d/1lOVebEIsI9qjGXl6EX66luk7wiuP2tBaryw-wKvv4e0/edit?usp=sharing"",""แพร่!I368"")"),1180)</f>
        <v>1180</v>
      </c>
      <c r="S24" s="177">
        <f ca="1">IFERROR(__xludf.DUMMYFUNCTION("IMPORTRANGE(""https://docs.google.com/spreadsheets/d/1lOVebEIsI9qjGXl6EX66luk7wiuP2tBaryw-wKvv4e0/edit?usp=sharing"",""แพร่!J367"")"),48)</f>
        <v>48</v>
      </c>
      <c r="T24" s="354">
        <f ca="1">IFERROR(__xludf.DUMMYFUNCTION("IMPORTRANGE(""https://docs.google.com/spreadsheets/d/1lOVebEIsI9qjGXl6EX66luk7wiuP2tBaryw-wKvv4e0/edit?usp=sharing"",""แพร่!J368"")"),295.25)</f>
        <v>295.25</v>
      </c>
      <c r="U24" s="375">
        <f t="shared" ca="1" si="29"/>
        <v>25.021186440677965</v>
      </c>
      <c r="V24" s="353">
        <f ca="1">IFERROR(__xludf.DUMMYFUNCTION("IMPORTRANGE(""https://docs.google.com/spreadsheets/d/1lOVebEIsI9qjGXl6EX66luk7wiuP2tBaryw-wKvv4e0/edit?usp=sharing"",""แพร่!I369"")"),191)</f>
        <v>191</v>
      </c>
      <c r="W24" s="177">
        <f ca="1">IFERROR(__xludf.DUMMYFUNCTION("IMPORTRANGE(""https://docs.google.com/spreadsheets/d/1lOVebEIsI9qjGXl6EX66luk7wiuP2tBaryw-wKvv4e0/edit?usp=sharing"",""แพร่!J369"")"),121)</f>
        <v>121</v>
      </c>
      <c r="X24" s="354">
        <f ca="1">IFERROR(__xludf.DUMMYFUNCTION("IMPORTRANGE(""https://docs.google.com/spreadsheets/d/1lOVebEIsI9qjGXl6EX66luk7wiuP2tBaryw-wKvv4e0/edit?usp=sharing"",""แพร่!J370"")"),1064.77)</f>
        <v>1064.77</v>
      </c>
      <c r="Y24" s="375">
        <f t="shared" ca="1" si="31"/>
        <v>63.35078534031414</v>
      </c>
      <c r="Z24" s="353">
        <f ca="1">IFERROR(__xludf.DUMMYFUNCTION("IMPORTRANGE(""https://docs.google.com/spreadsheets/d/1lOVebEIsI9qjGXl6EX66luk7wiuP2tBaryw-wKvv4e0/edit?usp=sharing"",""แพร่!I371"")"),134)</f>
        <v>134</v>
      </c>
      <c r="AA24" s="177">
        <f ca="1">IFERROR(__xludf.DUMMYFUNCTION("IMPORTRANGE(""https://docs.google.com/spreadsheets/d/1lOVebEIsI9qjGXl6EX66luk7wiuP2tBaryw-wKvv4e0/edit?usp=sharing"",""แพร่!J371"")"),120)</f>
        <v>120</v>
      </c>
      <c r="AB24" s="354">
        <f ca="1">IFERROR(__xludf.DUMMYFUNCTION("IMPORTRANGE(""https://docs.google.com/spreadsheets/d/1lOVebEIsI9qjGXl6EX66luk7wiuP2tBaryw-wKvv4e0/edit?usp=sharing"",""แพร่!J372"")"),1059.28)</f>
        <v>1059.28</v>
      </c>
      <c r="AC24" s="375">
        <f t="shared" ca="1" si="33"/>
        <v>89.552238805970148</v>
      </c>
    </row>
    <row r="25" spans="1:29" ht="24" customHeight="1" x14ac:dyDescent="0.3">
      <c r="A25" s="89">
        <v>12</v>
      </c>
      <c r="B25" s="90" t="s">
        <v>51</v>
      </c>
      <c r="C25" s="174">
        <f t="shared" ca="1" si="20"/>
        <v>446775</v>
      </c>
      <c r="D25" s="175">
        <f t="shared" ca="1" si="34"/>
        <v>446775</v>
      </c>
      <c r="E25" s="176">
        <f ca="1">IFERROR(__xludf.DUMMYFUNCTION("IMPORTRANGE(""https://docs.google.com/spreadsheets/d/1-uDff_7J0KD5mKrp0Vvzr7lt3OU09vwQwhkpOPPYv2Y/edit?usp=sharing"",""งบพรบ!FD25"")"),301700)</f>
        <v>301700</v>
      </c>
      <c r="F25" s="176">
        <f ca="1">IFERROR(__xludf.DUMMYFUNCTION("IMPORTRANGE(""https://docs.google.com/spreadsheets/d/1-uDff_7J0KD5mKrp0Vvzr7lt3OU09vwQwhkpOPPYv2Y/edit?usp=sharing"",""งบพรบ!FE25"")"),145075)</f>
        <v>145075</v>
      </c>
      <c r="G25" s="176">
        <f ca="1">IFERROR(__xludf.DUMMYFUNCTION("IMPORTRANGE(""https://docs.google.com/spreadsheets/d/1-uDff_7J0KD5mKrp0Vvzr7lt3OU09vwQwhkpOPPYv2Y/edit?usp=sharing"",""งบพรบ!FF25"")"),0)</f>
        <v>0</v>
      </c>
      <c r="H25" s="176">
        <f ca="1">IFERROR(__xludf.DUMMYFUNCTION("IMPORTRANGE(""https://docs.google.com/spreadsheets/d/1-uDff_7J0KD5mKrp0Vvzr7lt3OU09vwQwhkpOPPYv2Y/edit?usp=sharing"",""งบพรบ!FH25"")"),446775)</f>
        <v>446775</v>
      </c>
      <c r="I25" s="176">
        <f ca="1">IFERROR(__xludf.DUMMYFUNCTION("IMPORTRANGE(""https://docs.google.com/spreadsheets/d/1-uDff_7J0KD5mKrp0Vvzr7lt3OU09vwQwhkpOPPYv2Y/edit?usp=sharing"",""งบพรบ!FI25"")"),0)</f>
        <v>0</v>
      </c>
      <c r="J25" s="176">
        <f t="shared" ca="1" si="22"/>
        <v>32122</v>
      </c>
      <c r="K25" s="179">
        <f t="shared" ca="1" si="23"/>
        <v>7.1897487549661463</v>
      </c>
      <c r="L25" s="176">
        <f ca="1">IFERROR(__xludf.DUMMYFUNCTION("IMPORTRANGE(""https://docs.google.com/spreadsheets/d/1-uDff_7J0KD5mKrp0Vvzr7lt3OU09vwQwhkpOPPYv2Y/edit?usp=sharing"",""งบพรบ!FJ25"")"),32122)</f>
        <v>32122</v>
      </c>
      <c r="M25" s="87">
        <f t="shared" ca="1" si="24"/>
        <v>7.1897487549661463</v>
      </c>
      <c r="N25" s="87">
        <f t="shared" ca="1" si="25"/>
        <v>7.1897487549661463</v>
      </c>
      <c r="O25" s="86">
        <f ca="1">IFERROR(__xludf.DUMMYFUNCTION("IMPORTRANGE(""https://docs.google.com/spreadsheets/d/1-uDff_7J0KD5mKrp0Vvzr7lt3OU09vwQwhkpOPPYv2Y/edit?usp=sharing"",""งบพรบ!FK25"")"),0)</f>
        <v>0</v>
      </c>
      <c r="P25" s="86">
        <f t="shared" ca="1" si="26"/>
        <v>0</v>
      </c>
      <c r="Q25" s="87">
        <f t="shared" ca="1" si="27"/>
        <v>0</v>
      </c>
      <c r="R25" s="353">
        <f ca="1">IFERROR(__xludf.DUMMYFUNCTION("IMPORTRANGE(""https://docs.google.com/spreadsheets/d/1dQrvX0vEcN7Gu0fnZ0B5S90AeR19zth4XlExFBeExMY/edit?usp=sharing"",""แม่ฮ่องสอน!I368"")"),235)</f>
        <v>235</v>
      </c>
      <c r="S25" s="177">
        <f ca="1">IFERROR(__xludf.DUMMYFUNCTION("IMPORTRANGE(""https://docs.google.com/spreadsheets/d/1dQrvX0vEcN7Gu0fnZ0B5S90AeR19zth4XlExFBeExMY/edit?usp=sharing"",""แม่ฮ่องสอน!J367"")"),0)</f>
        <v>0</v>
      </c>
      <c r="T25" s="354">
        <f ca="1">IFERROR(__xludf.DUMMYFUNCTION("IMPORTRANGE(""https://docs.google.com/spreadsheets/d/1dQrvX0vEcN7Gu0fnZ0B5S90AeR19zth4XlExFBeExMY/edit?usp=sharing"",""แม่ฮ่องสอน!J368"")"),0)</f>
        <v>0</v>
      </c>
      <c r="U25" s="375">
        <f t="shared" ca="1" si="29"/>
        <v>0</v>
      </c>
      <c r="V25" s="353">
        <f ca="1">IFERROR(__xludf.DUMMYFUNCTION("IMPORTRANGE(""https://docs.google.com/spreadsheets/d/1dQrvX0vEcN7Gu0fnZ0B5S90AeR19zth4XlExFBeExMY/edit?usp=sharing"",""แม่ฮ่องสอน!I369"")"),59)</f>
        <v>59</v>
      </c>
      <c r="W25" s="177">
        <f ca="1">IFERROR(__xludf.DUMMYFUNCTION("IMPORTRANGE(""https://docs.google.com/spreadsheets/d/1dQrvX0vEcN7Gu0fnZ0B5S90AeR19zth4XlExFBeExMY/edit?usp=sharing"",""แม่ฮ่องสอน!J369"")"),4)</f>
        <v>4</v>
      </c>
      <c r="X25" s="354">
        <f ca="1">IFERROR(__xludf.DUMMYFUNCTION("IMPORTRANGE(""https://docs.google.com/spreadsheets/d/1dQrvX0vEcN7Gu0fnZ0B5S90AeR19zth4XlExFBeExMY/edit?usp=sharing"",""แม่ฮ่องสอน!J370"")"),28.16)</f>
        <v>28.16</v>
      </c>
      <c r="Y25" s="375">
        <f t="shared" ca="1" si="31"/>
        <v>6.7796610169491522</v>
      </c>
      <c r="Z25" s="353">
        <f ca="1">IFERROR(__xludf.DUMMYFUNCTION("IMPORTRANGE(""https://docs.google.com/spreadsheets/d/1dQrvX0vEcN7Gu0fnZ0B5S90AeR19zth4XlExFBeExMY/edit?usp=sharing"",""แม่ฮ่องสอน!I371"")"),40)</f>
        <v>40</v>
      </c>
      <c r="AA25" s="177">
        <f ca="1">IFERROR(__xludf.DUMMYFUNCTION("IMPORTRANGE(""https://docs.google.com/spreadsheets/d/1dQrvX0vEcN7Gu0fnZ0B5S90AeR19zth4XlExFBeExMY/edit?usp=sharing"",""แม่ฮ่องสอน!J371"")"),4)</f>
        <v>4</v>
      </c>
      <c r="AB25" s="354">
        <f ca="1">IFERROR(__xludf.DUMMYFUNCTION("IMPORTRANGE(""https://docs.google.com/spreadsheets/d/1dQrvX0vEcN7Gu0fnZ0B5S90AeR19zth4XlExFBeExMY/edit?usp=sharing"",""แม่ฮ่องสอน!J372"")"),28.16)</f>
        <v>28.16</v>
      </c>
      <c r="AC25" s="375">
        <f t="shared" ca="1" si="33"/>
        <v>10</v>
      </c>
    </row>
    <row r="26" spans="1:29" ht="24" customHeight="1" x14ac:dyDescent="0.3">
      <c r="A26" s="89">
        <v>13</v>
      </c>
      <c r="B26" s="90" t="s">
        <v>52</v>
      </c>
      <c r="C26" s="174">
        <f t="shared" ca="1" si="20"/>
        <v>568695</v>
      </c>
      <c r="D26" s="175">
        <f t="shared" ca="1" si="34"/>
        <v>568695</v>
      </c>
      <c r="E26" s="176">
        <f ca="1">IFERROR(__xludf.DUMMYFUNCTION("IMPORTRANGE(""https://docs.google.com/spreadsheets/d/1-uDff_7J0KD5mKrp0Vvzr7lt3OU09vwQwhkpOPPYv2Y/edit?usp=sharing"",""งบพรบ!FD26"")"),184100)</f>
        <v>184100</v>
      </c>
      <c r="F26" s="176">
        <f ca="1">IFERROR(__xludf.DUMMYFUNCTION("IMPORTRANGE(""https://docs.google.com/spreadsheets/d/1-uDff_7J0KD5mKrp0Vvzr7lt3OU09vwQwhkpOPPYv2Y/edit?usp=sharing"",""งบพรบ!FE26"")"),384595)</f>
        <v>384595</v>
      </c>
      <c r="G26" s="176">
        <f ca="1">IFERROR(__xludf.DUMMYFUNCTION("IMPORTRANGE(""https://docs.google.com/spreadsheets/d/1-uDff_7J0KD5mKrp0Vvzr7lt3OU09vwQwhkpOPPYv2Y/edit?usp=sharing"",""งบพรบ!FF26"")"),0)</f>
        <v>0</v>
      </c>
      <c r="H26" s="176">
        <f ca="1">IFERROR(__xludf.DUMMYFUNCTION("IMPORTRANGE(""https://docs.google.com/spreadsheets/d/1-uDff_7J0KD5mKrp0Vvzr7lt3OU09vwQwhkpOPPYv2Y/edit?usp=sharing"",""งบพรบ!FH26"")"),568695)</f>
        <v>568695</v>
      </c>
      <c r="I26" s="176">
        <f ca="1">IFERROR(__xludf.DUMMYFUNCTION("IMPORTRANGE(""https://docs.google.com/spreadsheets/d/1-uDff_7J0KD5mKrp0Vvzr7lt3OU09vwQwhkpOPPYv2Y/edit?usp=sharing"",""งบพรบ!FI26"")"),0)</f>
        <v>0</v>
      </c>
      <c r="J26" s="176">
        <f t="shared" ca="1" si="22"/>
        <v>174123.38</v>
      </c>
      <c r="K26" s="179">
        <f t="shared" ca="1" si="23"/>
        <v>30.618060647623068</v>
      </c>
      <c r="L26" s="176">
        <f ca="1">IFERROR(__xludf.DUMMYFUNCTION("IMPORTRANGE(""https://docs.google.com/spreadsheets/d/1-uDff_7J0KD5mKrp0Vvzr7lt3OU09vwQwhkpOPPYv2Y/edit?usp=sharing"",""งบพรบ!FJ26"")"),174123.38)</f>
        <v>174123.38</v>
      </c>
      <c r="M26" s="87">
        <f t="shared" ca="1" si="24"/>
        <v>30.618060647623068</v>
      </c>
      <c r="N26" s="87">
        <f t="shared" ca="1" si="25"/>
        <v>30.618060647623068</v>
      </c>
      <c r="O26" s="86">
        <f ca="1">IFERROR(__xludf.DUMMYFUNCTION("IMPORTRANGE(""https://docs.google.com/spreadsheets/d/1-uDff_7J0KD5mKrp0Vvzr7lt3OU09vwQwhkpOPPYv2Y/edit?usp=sharing"",""งบพรบ!FK26"")"),0)</f>
        <v>0</v>
      </c>
      <c r="P26" s="86">
        <f t="shared" ca="1" si="26"/>
        <v>0</v>
      </c>
      <c r="Q26" s="87">
        <f t="shared" ca="1" si="27"/>
        <v>0</v>
      </c>
      <c r="R26" s="355">
        <f ca="1">IFERROR(__xludf.DUMMYFUNCTION("IMPORTRANGE(""https://docs.google.com/spreadsheets/d/1DY4XTNNwjluuxqdfdn6qvOSlMRrZqUtmYcZR0ttFiG4/edit?usp=sharing"",""ลำปาง!I368"")"),2545)</f>
        <v>2545</v>
      </c>
      <c r="S26" s="177">
        <f ca="1">IFERROR(__xludf.DUMMYFUNCTION("IMPORTRANGE(""https://docs.google.com/spreadsheets/d/1DY4XTNNwjluuxqdfdn6qvOSlMRrZqUtmYcZR0ttFiG4/edit?usp=sharing"",""ลำปาง!J367"")"),186)</f>
        <v>186</v>
      </c>
      <c r="T26" s="354">
        <f ca="1">IFERROR(__xludf.DUMMYFUNCTION("IMPORTRANGE(""https://docs.google.com/spreadsheets/d/1DY4XTNNwjluuxqdfdn6qvOSlMRrZqUtmYcZR0ttFiG4/edit?usp=sharing"",""ลำปาง!J368"")"),715.31)</f>
        <v>715.31</v>
      </c>
      <c r="U26" s="375">
        <f t="shared" ca="1" si="29"/>
        <v>28.106483300589392</v>
      </c>
      <c r="V26" s="355">
        <f ca="1">IFERROR(__xludf.DUMMYFUNCTION("IMPORTRANGE(""https://docs.google.com/spreadsheets/d/1DY4XTNNwjluuxqdfdn6qvOSlMRrZqUtmYcZR0ttFiG4/edit?usp=sharing"",""ลำปาง!I369"")"),446)</f>
        <v>446</v>
      </c>
      <c r="W26" s="177">
        <f ca="1">IFERROR(__xludf.DUMMYFUNCTION("IMPORTRANGE(""https://docs.google.com/spreadsheets/d/1DY4XTNNwjluuxqdfdn6qvOSlMRrZqUtmYcZR0ttFiG4/edit?usp=sharing"",""ลำปาง!J369"")"),263)</f>
        <v>263</v>
      </c>
      <c r="X26" s="354">
        <f ca="1">IFERROR(__xludf.DUMMYFUNCTION("IMPORTRANGE(""https://docs.google.com/spreadsheets/d/1DY4XTNNwjluuxqdfdn6qvOSlMRrZqUtmYcZR0ttFiG4/edit?usp=sharing"",""ลำปาง!J370"")"),1274.77)</f>
        <v>1274.77</v>
      </c>
      <c r="Y26" s="375">
        <f t="shared" ca="1" si="31"/>
        <v>58.968609865470853</v>
      </c>
      <c r="Z26" s="355">
        <f ca="1">IFERROR(__xludf.DUMMYFUNCTION("IMPORTRANGE(""https://docs.google.com/spreadsheets/d/1DY4XTNNwjluuxqdfdn6qvOSlMRrZqUtmYcZR0ttFiG4/edit?usp=sharing"",""ลำปาง!I371"")"),303)</f>
        <v>303</v>
      </c>
      <c r="AA26" s="177">
        <f ca="1">IFERROR(__xludf.DUMMYFUNCTION("IMPORTRANGE(""https://docs.google.com/spreadsheets/d/1DY4XTNNwjluuxqdfdn6qvOSlMRrZqUtmYcZR0ttFiG4/edit?usp=sharing"",""ลำปาง!J371"")"),216)</f>
        <v>216</v>
      </c>
      <c r="AB26" s="354">
        <f ca="1">IFERROR(__xludf.DUMMYFUNCTION("IMPORTRANGE(""https://docs.google.com/spreadsheets/d/1DY4XTNNwjluuxqdfdn6qvOSlMRrZqUtmYcZR0ttFiG4/edit?usp=sharing"",""ลำปาง!J372"")"),1083.75)</f>
        <v>1083.75</v>
      </c>
      <c r="AC26" s="375">
        <f t="shared" ca="1" si="33"/>
        <v>71.287128712871294</v>
      </c>
    </row>
    <row r="27" spans="1:29" ht="24" customHeight="1" x14ac:dyDescent="0.3">
      <c r="A27" s="89">
        <v>14</v>
      </c>
      <c r="B27" s="90" t="s">
        <v>53</v>
      </c>
      <c r="C27" s="174">
        <f t="shared" ca="1" si="20"/>
        <v>243965</v>
      </c>
      <c r="D27" s="175">
        <f t="shared" ca="1" si="34"/>
        <v>243965</v>
      </c>
      <c r="E27" s="176">
        <f ca="1">IFERROR(__xludf.DUMMYFUNCTION("IMPORTRANGE(""https://docs.google.com/spreadsheets/d/1-uDff_7J0KD5mKrp0Vvzr7lt3OU09vwQwhkpOPPYv2Y/edit?usp=sharing"",""งบพรบ!FD27"")"),51100)</f>
        <v>51100</v>
      </c>
      <c r="F27" s="176">
        <f ca="1">IFERROR(__xludf.DUMMYFUNCTION("IMPORTRANGE(""https://docs.google.com/spreadsheets/d/1-uDff_7J0KD5mKrp0Vvzr7lt3OU09vwQwhkpOPPYv2Y/edit?usp=sharing"",""งบพรบ!FE27"")"),192865)</f>
        <v>192865</v>
      </c>
      <c r="G27" s="176">
        <f ca="1">IFERROR(__xludf.DUMMYFUNCTION("IMPORTRANGE(""https://docs.google.com/spreadsheets/d/1-uDff_7J0KD5mKrp0Vvzr7lt3OU09vwQwhkpOPPYv2Y/edit?usp=sharing"",""งบพรบ!FF27"")"),0)</f>
        <v>0</v>
      </c>
      <c r="H27" s="176">
        <f ca="1">IFERROR(__xludf.DUMMYFUNCTION("IMPORTRANGE(""https://docs.google.com/spreadsheets/d/1-uDff_7J0KD5mKrp0Vvzr7lt3OU09vwQwhkpOPPYv2Y/edit?usp=sharing"",""งบพรบ!FH27"")"),268265)</f>
        <v>268265</v>
      </c>
      <c r="I27" s="176">
        <f ca="1">IFERROR(__xludf.DUMMYFUNCTION("IMPORTRANGE(""https://docs.google.com/spreadsheets/d/1-uDff_7J0KD5mKrp0Vvzr7lt3OU09vwQwhkpOPPYv2Y/edit?usp=sharing"",""งบพรบ!FI27"")"),0)</f>
        <v>0</v>
      </c>
      <c r="J27" s="176">
        <f t="shared" ca="1" si="22"/>
        <v>71400</v>
      </c>
      <c r="K27" s="179">
        <f t="shared" ca="1" si="23"/>
        <v>29.266493144508434</v>
      </c>
      <c r="L27" s="176">
        <f ca="1">IFERROR(__xludf.DUMMYFUNCTION("IMPORTRANGE(""https://docs.google.com/spreadsheets/d/1-uDff_7J0KD5mKrp0Vvzr7lt3OU09vwQwhkpOPPYv2Y/edit?usp=sharing"",""งบพรบ!FJ27"")"),71400)</f>
        <v>71400</v>
      </c>
      <c r="M27" s="87">
        <f t="shared" ca="1" si="24"/>
        <v>29.266493144508434</v>
      </c>
      <c r="N27" s="87">
        <f t="shared" ca="1" si="25"/>
        <v>26.615473505675357</v>
      </c>
      <c r="O27" s="86">
        <f ca="1">IFERROR(__xludf.DUMMYFUNCTION("IMPORTRANGE(""https://docs.google.com/spreadsheets/d/1-uDff_7J0KD5mKrp0Vvzr7lt3OU09vwQwhkpOPPYv2Y/edit?usp=sharing"",""งบพรบ!FK27"")"),0)</f>
        <v>0</v>
      </c>
      <c r="P27" s="86">
        <f t="shared" ca="1" si="26"/>
        <v>0</v>
      </c>
      <c r="Q27" s="87">
        <f t="shared" ca="1" si="27"/>
        <v>0</v>
      </c>
      <c r="R27" s="353">
        <f ca="1">IFERROR(__xludf.DUMMYFUNCTION("IMPORTRANGE(""https://docs.google.com/spreadsheets/d/1ICwG78r0OFT8biBlxnBF8r7she7gNSzOvJ958PWT09c/edit?usp=sharing"",""ลำพูน!I368"")"),730)</f>
        <v>730</v>
      </c>
      <c r="S27" s="177">
        <f ca="1">IFERROR(__xludf.DUMMYFUNCTION("IMPORTRANGE(""https://docs.google.com/spreadsheets/d/1ICwG78r0OFT8biBlxnBF8r7she7gNSzOvJ958PWT09c/edit?usp=sharing"",""ลำพูน!J367"")"),47)</f>
        <v>47</v>
      </c>
      <c r="T27" s="354">
        <f ca="1">IFERROR(__xludf.DUMMYFUNCTION("IMPORTRANGE(""https://docs.google.com/spreadsheets/d/1ICwG78r0OFT8biBlxnBF8r7she7gNSzOvJ958PWT09c/edit?usp=sharing"",""ลำพูน!J368"")"),119.4)</f>
        <v>119.4</v>
      </c>
      <c r="U27" s="375">
        <f t="shared" ca="1" si="29"/>
        <v>16.356164383561644</v>
      </c>
      <c r="V27" s="353">
        <f ca="1">IFERROR(__xludf.DUMMYFUNCTION("IMPORTRANGE(""https://docs.google.com/spreadsheets/d/1ICwG78r0OFT8biBlxnBF8r7she7gNSzOvJ958PWT09c/edit?usp=sharing"",""ลำพูน!I369"")"),110)</f>
        <v>110</v>
      </c>
      <c r="W27" s="177">
        <f ca="1">IFERROR(__xludf.DUMMYFUNCTION("IMPORTRANGE(""https://docs.google.com/spreadsheets/d/1ICwG78r0OFT8biBlxnBF8r7she7gNSzOvJ958PWT09c/edit?usp=sharing"",""ลำพูน!J369"")"),55)</f>
        <v>55</v>
      </c>
      <c r="X27" s="354">
        <f ca="1">IFERROR(__xludf.DUMMYFUNCTION("IMPORTRANGE(""https://docs.google.com/spreadsheets/d/1ICwG78r0OFT8biBlxnBF8r7she7gNSzOvJ958PWT09c/edit?usp=sharing"",""ลำพูน!J370"")"),173.18)</f>
        <v>173.18</v>
      </c>
      <c r="Y27" s="375">
        <f t="shared" ca="1" si="31"/>
        <v>50</v>
      </c>
      <c r="Z27" s="353">
        <f ca="1">IFERROR(__xludf.DUMMYFUNCTION("IMPORTRANGE(""https://docs.google.com/spreadsheets/d/1ICwG78r0OFT8biBlxnBF8r7she7gNSzOvJ958PWT09c/edit?usp=sharing"",""ลำพูน!I371"")"),69)</f>
        <v>69</v>
      </c>
      <c r="AA27" s="177">
        <f ca="1">IFERROR(__xludf.DUMMYFUNCTION("IMPORTRANGE(""https://docs.google.com/spreadsheets/d/1ICwG78r0OFT8biBlxnBF8r7she7gNSzOvJ958PWT09c/edit?usp=sharing"",""ลำพูน!J371"")"),9)</f>
        <v>9</v>
      </c>
      <c r="AB27" s="354">
        <f ca="1">IFERROR(__xludf.DUMMYFUNCTION("IMPORTRANGE(""https://docs.google.com/spreadsheets/d/1ICwG78r0OFT8biBlxnBF8r7she7gNSzOvJ958PWT09c/edit?usp=sharing"",""ลำพูน!J372"")"),50.08)</f>
        <v>50.08</v>
      </c>
      <c r="AC27" s="375">
        <f t="shared" ca="1" si="33"/>
        <v>13.043478260869565</v>
      </c>
    </row>
    <row r="28" spans="1:29" ht="24" customHeight="1" x14ac:dyDescent="0.3">
      <c r="A28" s="89">
        <v>15</v>
      </c>
      <c r="B28" s="90" t="s">
        <v>54</v>
      </c>
      <c r="C28" s="174">
        <f t="shared" ca="1" si="20"/>
        <v>700725</v>
      </c>
      <c r="D28" s="175">
        <f t="shared" ca="1" si="34"/>
        <v>700725</v>
      </c>
      <c r="E28" s="176">
        <f ca="1">IFERROR(__xludf.DUMMYFUNCTION("IMPORTRANGE(""https://docs.google.com/spreadsheets/d/1-uDff_7J0KD5mKrp0Vvzr7lt3OU09vwQwhkpOPPYv2Y/edit?usp=sharing"",""งบพรบ!FD28"")"),408100)</f>
        <v>408100</v>
      </c>
      <c r="F28" s="176">
        <f ca="1">IFERROR(__xludf.DUMMYFUNCTION("IMPORTRANGE(""https://docs.google.com/spreadsheets/d/1-uDff_7J0KD5mKrp0Vvzr7lt3OU09vwQwhkpOPPYv2Y/edit?usp=sharing"",""งบพรบ!FE28"")"),292625)</f>
        <v>292625</v>
      </c>
      <c r="G28" s="176">
        <f ca="1">IFERROR(__xludf.DUMMYFUNCTION("IMPORTRANGE(""https://docs.google.com/spreadsheets/d/1-uDff_7J0KD5mKrp0Vvzr7lt3OU09vwQwhkpOPPYv2Y/edit?usp=sharing"",""งบพรบ!FF28"")"),0)</f>
        <v>0</v>
      </c>
      <c r="H28" s="176">
        <f ca="1">IFERROR(__xludf.DUMMYFUNCTION("IMPORTRANGE(""https://docs.google.com/spreadsheets/d/1-uDff_7J0KD5mKrp0Vvzr7lt3OU09vwQwhkpOPPYv2Y/edit?usp=sharing"",""งบพรบ!FH28"")"),700725)</f>
        <v>700725</v>
      </c>
      <c r="I28" s="176">
        <f ca="1">IFERROR(__xludf.DUMMYFUNCTION("IMPORTRANGE(""https://docs.google.com/spreadsheets/d/1-uDff_7J0KD5mKrp0Vvzr7lt3OU09vwQwhkpOPPYv2Y/edit?usp=sharing"",""งบพรบ!FI28"")"),0)</f>
        <v>0</v>
      </c>
      <c r="J28" s="176">
        <f t="shared" ca="1" si="22"/>
        <v>282180.65000000002</v>
      </c>
      <c r="K28" s="179">
        <f t="shared" ca="1" si="23"/>
        <v>40.269813407542195</v>
      </c>
      <c r="L28" s="176">
        <f ca="1">IFERROR(__xludf.DUMMYFUNCTION("IMPORTRANGE(""https://docs.google.com/spreadsheets/d/1-uDff_7J0KD5mKrp0Vvzr7lt3OU09vwQwhkpOPPYv2Y/edit?usp=sharing"",""งบพรบ!FJ28"")"),282180.65)</f>
        <v>282180.65000000002</v>
      </c>
      <c r="M28" s="87">
        <f t="shared" ca="1" si="24"/>
        <v>40.269813407542195</v>
      </c>
      <c r="N28" s="87">
        <f t="shared" ca="1" si="25"/>
        <v>40.269813407542195</v>
      </c>
      <c r="O28" s="86">
        <f ca="1">IFERROR(__xludf.DUMMYFUNCTION("IMPORTRANGE(""https://docs.google.com/spreadsheets/d/1-uDff_7J0KD5mKrp0Vvzr7lt3OU09vwQwhkpOPPYv2Y/edit?usp=sharing"",""งบพรบ!FK28"")"),0)</f>
        <v>0</v>
      </c>
      <c r="P28" s="86">
        <f t="shared" ca="1" si="26"/>
        <v>0</v>
      </c>
      <c r="Q28" s="87">
        <f t="shared" ca="1" si="27"/>
        <v>0</v>
      </c>
      <c r="R28" s="353">
        <f ca="1">IFERROR(__xludf.DUMMYFUNCTION("IMPORTRANGE(""https://docs.google.com/spreadsheets/d/1B0f2xJpZUC6Z0xXnqKlZtEPzsf6L84eP1r1Q15seqRM/edit?usp=sharing"",""สุโขทัย!I368"")"),1710)</f>
        <v>1710</v>
      </c>
      <c r="S28" s="177">
        <f ca="1">IFERROR(__xludf.DUMMYFUNCTION("IMPORTRANGE(""https://docs.google.com/spreadsheets/d/1B0f2xJpZUC6Z0xXnqKlZtEPzsf6L84eP1r1Q15seqRM/edit?usp=sharing"",""สุโขทัย!J367"")"),35)</f>
        <v>35</v>
      </c>
      <c r="T28" s="354">
        <f ca="1">IFERROR(__xludf.DUMMYFUNCTION("IMPORTRANGE(""https://docs.google.com/spreadsheets/d/1B0f2xJpZUC6Z0xXnqKlZtEPzsf6L84eP1r1Q15seqRM/edit?usp=sharing"",""สุโขทัย!J368"")"),457.73)</f>
        <v>457.73</v>
      </c>
      <c r="U28" s="375">
        <f t="shared" ca="1" si="29"/>
        <v>26.767836257309941</v>
      </c>
      <c r="V28" s="353">
        <f ca="1">IFERROR(__xludf.DUMMYFUNCTION("IMPORTRANGE(""https://docs.google.com/spreadsheets/d/1B0f2xJpZUC6Z0xXnqKlZtEPzsf6L84eP1r1Q15seqRM/edit?usp=sharing"",""สุโขทัย!I369"")"),288)</f>
        <v>288</v>
      </c>
      <c r="W28" s="177">
        <f ca="1">IFERROR(__xludf.DUMMYFUNCTION("IMPORTRANGE(""https://docs.google.com/spreadsheets/d/1B0f2xJpZUC6Z0xXnqKlZtEPzsf6L84eP1r1Q15seqRM/edit?usp=sharing"",""สุโขทัย!J369"")"),158)</f>
        <v>158</v>
      </c>
      <c r="X28" s="354">
        <f ca="1">IFERROR(__xludf.DUMMYFUNCTION("IMPORTRANGE(""https://docs.google.com/spreadsheets/d/1B0f2xJpZUC6Z0xXnqKlZtEPzsf6L84eP1r1Q15seqRM/edit?usp=sharing"",""สุโขทัย!J370"")"),1809.41999999999)</f>
        <v>1809.4199999999901</v>
      </c>
      <c r="Y28" s="375">
        <f t="shared" ca="1" si="31"/>
        <v>54.861111111111114</v>
      </c>
      <c r="Z28" s="353">
        <f ca="1">IFERROR(__xludf.DUMMYFUNCTION("IMPORTRANGE(""https://docs.google.com/spreadsheets/d/1B0f2xJpZUC6Z0xXnqKlZtEPzsf6L84eP1r1Q15seqRM/edit?usp=sharing"",""สุโขทัย!I371"")"),189)</f>
        <v>189</v>
      </c>
      <c r="AA28" s="177">
        <f ca="1">IFERROR(__xludf.DUMMYFUNCTION("IMPORTRANGE(""https://docs.google.com/spreadsheets/d/1B0f2xJpZUC6Z0xXnqKlZtEPzsf6L84eP1r1Q15seqRM/edit?usp=sharing"",""สุโขทัย!J371"")"),148)</f>
        <v>148</v>
      </c>
      <c r="AB28" s="354">
        <f ca="1">IFERROR(__xludf.DUMMYFUNCTION("IMPORTRANGE(""https://docs.google.com/spreadsheets/d/1B0f2xJpZUC6Z0xXnqKlZtEPzsf6L84eP1r1Q15seqRM/edit?usp=sharing"",""สุโขทัย!J372"")"),1778.8)</f>
        <v>1778.8</v>
      </c>
      <c r="AC28" s="375">
        <f t="shared" ca="1" si="33"/>
        <v>78.306878306878303</v>
      </c>
    </row>
    <row r="29" spans="1:29" ht="24" customHeight="1" x14ac:dyDescent="0.3">
      <c r="A29" s="89">
        <v>16</v>
      </c>
      <c r="B29" s="90" t="s">
        <v>55</v>
      </c>
      <c r="C29" s="174">
        <f t="shared" ca="1" si="20"/>
        <v>452160</v>
      </c>
      <c r="D29" s="175">
        <f t="shared" ca="1" si="34"/>
        <v>452160</v>
      </c>
      <c r="E29" s="176">
        <f ca="1">IFERROR(__xludf.DUMMYFUNCTION("IMPORTRANGE(""https://docs.google.com/spreadsheets/d/1-uDff_7J0KD5mKrp0Vvzr7lt3OU09vwQwhkpOPPYv2Y/edit?usp=sharing"",""งบพรบ!FD29"")"),199500)</f>
        <v>199500</v>
      </c>
      <c r="F29" s="176">
        <f ca="1">IFERROR(__xludf.DUMMYFUNCTION("IMPORTRANGE(""https://docs.google.com/spreadsheets/d/1-uDff_7J0KD5mKrp0Vvzr7lt3OU09vwQwhkpOPPYv2Y/edit?usp=sharing"",""งบพรบ!FE29"")"),252660)</f>
        <v>252660</v>
      </c>
      <c r="G29" s="176">
        <f ca="1">IFERROR(__xludf.DUMMYFUNCTION("IMPORTRANGE(""https://docs.google.com/spreadsheets/d/1-uDff_7J0KD5mKrp0Vvzr7lt3OU09vwQwhkpOPPYv2Y/edit?usp=sharing"",""งบพรบ!FF29"")"),0)</f>
        <v>0</v>
      </c>
      <c r="H29" s="176">
        <f ca="1">IFERROR(__xludf.DUMMYFUNCTION("IMPORTRANGE(""https://docs.google.com/spreadsheets/d/1-uDff_7J0KD5mKrp0Vvzr7lt3OU09vwQwhkpOPPYv2Y/edit?usp=sharing"",""งบพรบ!FH29"")"),452160)</f>
        <v>452160</v>
      </c>
      <c r="I29" s="176">
        <f ca="1">IFERROR(__xludf.DUMMYFUNCTION("IMPORTRANGE(""https://docs.google.com/spreadsheets/d/1-uDff_7J0KD5mKrp0Vvzr7lt3OU09vwQwhkpOPPYv2Y/edit?usp=sharing"",""งบพรบ!FI29"")"),0)</f>
        <v>0</v>
      </c>
      <c r="J29" s="176">
        <f t="shared" ca="1" si="22"/>
        <v>205674</v>
      </c>
      <c r="K29" s="179">
        <f t="shared" ca="1" si="23"/>
        <v>45.486995753715497</v>
      </c>
      <c r="L29" s="176">
        <f ca="1">IFERROR(__xludf.DUMMYFUNCTION("IMPORTRANGE(""https://docs.google.com/spreadsheets/d/1-uDff_7J0KD5mKrp0Vvzr7lt3OU09vwQwhkpOPPYv2Y/edit?usp=sharing"",""งบพรบ!FJ29"")"),205674)</f>
        <v>205674</v>
      </c>
      <c r="M29" s="87">
        <f t="shared" ca="1" si="24"/>
        <v>45.486995753715497</v>
      </c>
      <c r="N29" s="87">
        <f t="shared" ca="1" si="25"/>
        <v>45.486995753715497</v>
      </c>
      <c r="O29" s="86">
        <f ca="1">IFERROR(__xludf.DUMMYFUNCTION("IMPORTRANGE(""https://docs.google.com/spreadsheets/d/1-uDff_7J0KD5mKrp0Vvzr7lt3OU09vwQwhkpOPPYv2Y/edit?usp=sharing"",""งบพรบ!FK29"")"),0)</f>
        <v>0</v>
      </c>
      <c r="P29" s="86">
        <f t="shared" ca="1" si="26"/>
        <v>0</v>
      </c>
      <c r="Q29" s="87">
        <f t="shared" ca="1" si="27"/>
        <v>0</v>
      </c>
      <c r="R29" s="353">
        <f ca="1">IFERROR(__xludf.DUMMYFUNCTION("IMPORTRANGE(""https://docs.google.com/spreadsheets/d/1v0b9pFQCsKUVExMei7AgY2yQkdeNQvtOssygGsXbiKo/edit?usp=sharing"",""อุตรดิตถ์!I368"")"),1295)</f>
        <v>1295</v>
      </c>
      <c r="S29" s="177">
        <f ca="1">IFERROR(__xludf.DUMMYFUNCTION("IMPORTRANGE(""https://docs.google.com/spreadsheets/d/1v0b9pFQCsKUVExMei7AgY2yQkdeNQvtOssygGsXbiKo/edit?usp=sharing"",""อุตรดิตถ์!J367"")"),95)</f>
        <v>95</v>
      </c>
      <c r="T29" s="354">
        <f ca="1">IFERROR(__xludf.DUMMYFUNCTION("IMPORTRANGE(""https://docs.google.com/spreadsheets/d/1v0b9pFQCsKUVExMei7AgY2yQkdeNQvtOssygGsXbiKo/edit?usp=sharing"",""อุตรดิตถ์!J368"")"),420.699999999999)</f>
        <v>420.69999999999902</v>
      </c>
      <c r="U29" s="375">
        <f t="shared" ca="1" si="29"/>
        <v>32.486486486486413</v>
      </c>
      <c r="V29" s="353">
        <f ca="1">IFERROR(__xludf.DUMMYFUNCTION("IMPORTRANGE(""https://docs.google.com/spreadsheets/d/1v0b9pFQCsKUVExMei7AgY2yQkdeNQvtOssygGsXbiKo/edit?usp=sharing"",""อุตรดิตถ์!I369"")"),223)</f>
        <v>223</v>
      </c>
      <c r="W29" s="177">
        <f ca="1">IFERROR(__xludf.DUMMYFUNCTION("IMPORTRANGE(""https://docs.google.com/spreadsheets/d/1v0b9pFQCsKUVExMei7AgY2yQkdeNQvtOssygGsXbiKo/edit?usp=sharing"",""อุตรดิตถ์!J369"")"),68)</f>
        <v>68</v>
      </c>
      <c r="X29" s="354">
        <f ca="1">IFERROR(__xludf.DUMMYFUNCTION("IMPORTRANGE(""https://docs.google.com/spreadsheets/d/1v0b9pFQCsKUVExMei7AgY2yQkdeNQvtOssygGsXbiKo/edit?usp=sharing"",""อุตรดิตถ์!J370"")"),837.6)</f>
        <v>837.6</v>
      </c>
      <c r="Y29" s="375">
        <f t="shared" ca="1" si="31"/>
        <v>30.493273542600896</v>
      </c>
      <c r="Z29" s="353">
        <f ca="1">IFERROR(__xludf.DUMMYFUNCTION("IMPORTRANGE(""https://docs.google.com/spreadsheets/d/1v0b9pFQCsKUVExMei7AgY2yQkdeNQvtOssygGsXbiKo/edit?usp=sharing"",""อุตรดิตถ์!I371"")"),141)</f>
        <v>141</v>
      </c>
      <c r="AA29" s="177">
        <f ca="1">IFERROR(__xludf.DUMMYFUNCTION("IMPORTRANGE(""https://docs.google.com/spreadsheets/d/1v0b9pFQCsKUVExMei7AgY2yQkdeNQvtOssygGsXbiKo/edit?usp=sharing"",""อุตรดิตถ์!J371"")"),65)</f>
        <v>65</v>
      </c>
      <c r="AB29" s="354">
        <f ca="1">IFERROR(__xludf.DUMMYFUNCTION("IMPORTRANGE(""https://docs.google.com/spreadsheets/d/1v0b9pFQCsKUVExMei7AgY2yQkdeNQvtOssygGsXbiKo/edit?usp=sharing"",""อุตรดิตถ์!J372"")"),794.31)</f>
        <v>794.31</v>
      </c>
      <c r="AC29" s="375">
        <f t="shared" ca="1" si="33"/>
        <v>46.099290780141843</v>
      </c>
    </row>
    <row r="30" spans="1:29" ht="24" customHeight="1" x14ac:dyDescent="0.3">
      <c r="A30" s="100">
        <v>17</v>
      </c>
      <c r="B30" s="101" t="s">
        <v>56</v>
      </c>
      <c r="C30" s="182">
        <f t="shared" ca="1" si="20"/>
        <v>573900</v>
      </c>
      <c r="D30" s="183">
        <f t="shared" ca="1" si="34"/>
        <v>573900</v>
      </c>
      <c r="E30" s="184">
        <f ca="1">IFERROR(__xludf.DUMMYFUNCTION("IMPORTRANGE(""https://docs.google.com/spreadsheets/d/1-uDff_7J0KD5mKrp0Vvzr7lt3OU09vwQwhkpOPPYv2Y/edit?usp=sharing"",""งบพรบ!FD30"")"),290500)</f>
        <v>290500</v>
      </c>
      <c r="F30" s="184">
        <f ca="1">IFERROR(__xludf.DUMMYFUNCTION("IMPORTRANGE(""https://docs.google.com/spreadsheets/d/1-uDff_7J0KD5mKrp0Vvzr7lt3OU09vwQwhkpOPPYv2Y/edit?usp=sharing"",""งบพรบ!FE30"")"),283400)</f>
        <v>283400</v>
      </c>
      <c r="G30" s="184">
        <f ca="1">IFERROR(__xludf.DUMMYFUNCTION("IMPORTRANGE(""https://docs.google.com/spreadsheets/d/1-uDff_7J0KD5mKrp0Vvzr7lt3OU09vwQwhkpOPPYv2Y/edit?usp=sharing"",""งบพรบ!FF30"")"),0)</f>
        <v>0</v>
      </c>
      <c r="H30" s="184">
        <f ca="1">IFERROR(__xludf.DUMMYFUNCTION("IMPORTRANGE(""https://docs.google.com/spreadsheets/d/1-uDff_7J0KD5mKrp0Vvzr7lt3OU09vwQwhkpOPPYv2Y/edit?usp=sharing"",""งบพรบ!FH30"")"),573900)</f>
        <v>573900</v>
      </c>
      <c r="I30" s="184">
        <f ca="1">IFERROR(__xludf.DUMMYFUNCTION("IMPORTRANGE(""https://docs.google.com/spreadsheets/d/1-uDff_7J0KD5mKrp0Vvzr7lt3OU09vwQwhkpOPPYv2Y/edit?usp=sharing"",""งบพรบ!FI30"")"),0)</f>
        <v>0</v>
      </c>
      <c r="J30" s="184">
        <f t="shared" ca="1" si="22"/>
        <v>293735</v>
      </c>
      <c r="K30" s="185">
        <f t="shared" ca="1" si="23"/>
        <v>51.182261718069348</v>
      </c>
      <c r="L30" s="184">
        <f ca="1">IFERROR(__xludf.DUMMYFUNCTION("IMPORTRANGE(""https://docs.google.com/spreadsheets/d/1-uDff_7J0KD5mKrp0Vvzr7lt3OU09vwQwhkpOPPYv2Y/edit?usp=sharing"",""งบพรบ!FJ30"")"),293735)</f>
        <v>293735</v>
      </c>
      <c r="M30" s="109">
        <f t="shared" ca="1" si="24"/>
        <v>51.182261718069348</v>
      </c>
      <c r="N30" s="109">
        <f t="shared" ca="1" si="25"/>
        <v>51.182261718069348</v>
      </c>
      <c r="O30" s="108">
        <f ca="1">IFERROR(__xludf.DUMMYFUNCTION("IMPORTRANGE(""https://docs.google.com/spreadsheets/d/1-uDff_7J0KD5mKrp0Vvzr7lt3OU09vwQwhkpOPPYv2Y/edit?usp=sharing"",""งบพรบ!FK30"")"),0)</f>
        <v>0</v>
      </c>
      <c r="P30" s="108">
        <f t="shared" ca="1" si="26"/>
        <v>0</v>
      </c>
      <c r="Q30" s="109">
        <f t="shared" ca="1" si="27"/>
        <v>0</v>
      </c>
      <c r="R30" s="356">
        <f ca="1">IFERROR(__xludf.DUMMYFUNCTION("IMPORTRANGE(""https://docs.google.com/spreadsheets/d/1UsNK1e-WWiCo2PvGqdNfdme4m17_Ezd3J69EeeiQPD0/edit?usp=sharing"",""อุทัยธานี!I368"")"),1620)</f>
        <v>1620</v>
      </c>
      <c r="S30" s="186">
        <f ca="1">IFERROR(__xludf.DUMMYFUNCTION("IMPORTRANGE(""https://docs.google.com/spreadsheets/d/1UsNK1e-WWiCo2PvGqdNfdme4m17_Ezd3J69EeeiQPD0/edit?usp=sharing"",""อุทัยธานี!J367"")"),106)</f>
        <v>106</v>
      </c>
      <c r="T30" s="357">
        <f ca="1">IFERROR(__xludf.DUMMYFUNCTION("IMPORTRANGE(""https://docs.google.com/spreadsheets/d/1UsNK1e-WWiCo2PvGqdNfdme4m17_Ezd3J69EeeiQPD0/edit?usp=sharing"",""อุทัยธานี!J368"")"),1002.28)</f>
        <v>1002.28</v>
      </c>
      <c r="U30" s="376">
        <f t="shared" ca="1" si="29"/>
        <v>61.869135802469138</v>
      </c>
      <c r="V30" s="356">
        <f ca="1">IFERROR(__xludf.DUMMYFUNCTION("IMPORTRANGE(""https://docs.google.com/spreadsheets/d/1UsNK1e-WWiCo2PvGqdNfdme4m17_Ezd3J69EeeiQPD0/edit?usp=sharing"",""อุทัยธานี!I369"")"),297)</f>
        <v>297</v>
      </c>
      <c r="W30" s="186">
        <f ca="1">IFERROR(__xludf.DUMMYFUNCTION("IMPORTRANGE(""https://docs.google.com/spreadsheets/d/1UsNK1e-WWiCo2PvGqdNfdme4m17_Ezd3J69EeeiQPD0/edit?usp=sharing"",""อุทัยธานี!J369"")"),121)</f>
        <v>121</v>
      </c>
      <c r="X30" s="357">
        <f ca="1">IFERROR(__xludf.DUMMYFUNCTION("IMPORTRANGE(""https://docs.google.com/spreadsheets/d/1UsNK1e-WWiCo2PvGqdNfdme4m17_Ezd3J69EeeiQPD0/edit?usp=sharing"",""อุทัยธานี!J370"")"),1956.37999999999)</f>
        <v>1956.3799999999901</v>
      </c>
      <c r="Y30" s="376">
        <f t="shared" ca="1" si="31"/>
        <v>40.74074074074074</v>
      </c>
      <c r="Z30" s="356">
        <f ca="1">IFERROR(__xludf.DUMMYFUNCTION("IMPORTRANGE(""https://docs.google.com/spreadsheets/d/1UsNK1e-WWiCo2PvGqdNfdme4m17_Ezd3J69EeeiQPD0/edit?usp=sharing"",""อุทัยธานี!I371"")"),196)</f>
        <v>196</v>
      </c>
      <c r="AA30" s="186">
        <f ca="1">IFERROR(__xludf.DUMMYFUNCTION("IMPORTRANGE(""https://docs.google.com/spreadsheets/d/1UsNK1e-WWiCo2PvGqdNfdme4m17_Ezd3J69EeeiQPD0/edit?usp=sharing"",""อุทัยธานี!J371"")"),62)</f>
        <v>62</v>
      </c>
      <c r="AB30" s="357">
        <f ca="1">IFERROR(__xludf.DUMMYFUNCTION("IMPORTRANGE(""https://docs.google.com/spreadsheets/d/1UsNK1e-WWiCo2PvGqdNfdme4m17_Ezd3J69EeeiQPD0/edit?usp=sharing"",""อุทัยธานี!J372"")"),1273.79)</f>
        <v>1273.79</v>
      </c>
      <c r="AC30" s="376">
        <f t="shared" ca="1" si="33"/>
        <v>31.632653061224488</v>
      </c>
    </row>
    <row r="31" spans="1:29" ht="21" customHeight="1" x14ac:dyDescent="0.3">
      <c r="A31" s="625" t="s">
        <v>57</v>
      </c>
      <c r="B31" s="626"/>
      <c r="C31" s="161">
        <f t="shared" ca="1" si="20"/>
        <v>16083580</v>
      </c>
      <c r="D31" s="161">
        <f t="shared" ref="D31:I31" ca="1" si="35">SUM(D32:D51)</f>
        <v>16083580</v>
      </c>
      <c r="E31" s="161">
        <f t="shared" ca="1" si="35"/>
        <v>4678100</v>
      </c>
      <c r="F31" s="161">
        <f t="shared" ca="1" si="35"/>
        <v>11405480</v>
      </c>
      <c r="G31" s="161">
        <f t="shared" ca="1" si="35"/>
        <v>0</v>
      </c>
      <c r="H31" s="161">
        <f t="shared" ca="1" si="35"/>
        <v>16500350</v>
      </c>
      <c r="I31" s="161">
        <f t="shared" ca="1" si="35"/>
        <v>0</v>
      </c>
      <c r="J31" s="161">
        <f t="shared" ca="1" si="22"/>
        <v>8668632.540000001</v>
      </c>
      <c r="K31" s="162">
        <f t="shared" ca="1" si="23"/>
        <v>53.897406796248106</v>
      </c>
      <c r="L31" s="161">
        <f ca="1">SUM(L32:L51)</f>
        <v>8668632.540000001</v>
      </c>
      <c r="M31" s="40">
        <f t="shared" ca="1" si="24"/>
        <v>53.897406796248106</v>
      </c>
      <c r="N31" s="40">
        <f t="shared" ca="1" si="25"/>
        <v>52.536052507977111</v>
      </c>
      <c r="O31" s="39">
        <f ca="1">SUM(O32:O51)</f>
        <v>0</v>
      </c>
      <c r="P31" s="39">
        <f t="shared" ca="1" si="26"/>
        <v>0</v>
      </c>
      <c r="Q31" s="40">
        <f t="shared" ca="1" si="27"/>
        <v>0</v>
      </c>
      <c r="R31" s="348">
        <f t="shared" ref="R31:T31" ca="1" si="36">SUM(R32:R51)</f>
        <v>72275</v>
      </c>
      <c r="S31" s="161">
        <f t="shared" ca="1" si="36"/>
        <v>3963</v>
      </c>
      <c r="T31" s="40">
        <f t="shared" ca="1" si="36"/>
        <v>34848.70999999997</v>
      </c>
      <c r="U31" s="234">
        <f t="shared" ca="1" si="29"/>
        <v>48.21682462815631</v>
      </c>
      <c r="V31" s="348">
        <f t="shared" ref="V31:X31" ca="1" si="37">SUM(V32:V51)</f>
        <v>12380</v>
      </c>
      <c r="W31" s="161">
        <f t="shared" ca="1" si="37"/>
        <v>7654</v>
      </c>
      <c r="X31" s="40">
        <f t="shared" ca="1" si="37"/>
        <v>87963.749999999985</v>
      </c>
      <c r="Y31" s="234">
        <f t="shared" ca="1" si="31"/>
        <v>61.825525040387724</v>
      </c>
      <c r="Z31" s="348">
        <f t="shared" ref="Z31:AB31" ca="1" si="38">SUM(Z32:Z51)</f>
        <v>8150</v>
      </c>
      <c r="AA31" s="161">
        <f t="shared" ca="1" si="38"/>
        <v>4715</v>
      </c>
      <c r="AB31" s="40">
        <f t="shared" ca="1" si="38"/>
        <v>58757.339999999982</v>
      </c>
      <c r="AC31" s="234">
        <f t="shared" ca="1" si="33"/>
        <v>57.852760736196316</v>
      </c>
    </row>
    <row r="32" spans="1:29" ht="21" customHeight="1" x14ac:dyDescent="0.3">
      <c r="A32" s="77">
        <v>1</v>
      </c>
      <c r="B32" s="78" t="s">
        <v>58</v>
      </c>
      <c r="C32" s="174">
        <f t="shared" ca="1" si="20"/>
        <v>632185</v>
      </c>
      <c r="D32" s="175">
        <f t="shared" ref="D32:D51" ca="1" si="39">+E32+F32</f>
        <v>632185</v>
      </c>
      <c r="E32" s="176">
        <f ca="1">IFERROR(__xludf.DUMMYFUNCTION("IMPORTRANGE(""https://docs.google.com/spreadsheets/d/1-uDff_7J0KD5mKrp0Vvzr7lt3OU09vwQwhkpOPPYv2Y/edit?usp=sharing"",""งบพรบ!FD32"")"),250600)</f>
        <v>250600</v>
      </c>
      <c r="F32" s="176">
        <f ca="1">IFERROR(__xludf.DUMMYFUNCTION("IMPORTRANGE(""https://docs.google.com/spreadsheets/d/1-uDff_7J0KD5mKrp0Vvzr7lt3OU09vwQwhkpOPPYv2Y/edit?usp=sharing"",""งบพรบ!FE32"")"),381585)</f>
        <v>381585</v>
      </c>
      <c r="G32" s="177">
        <f ca="1">IFERROR(__xludf.DUMMYFUNCTION("IMPORTRANGE(""https://docs.google.com/spreadsheets/d/1-uDff_7J0KD5mKrp0Vvzr7lt3OU09vwQwhkpOPPYv2Y/edit?usp=sharing"",""งบพรบ!FF32"")"),0)</f>
        <v>0</v>
      </c>
      <c r="H32" s="177">
        <f ca="1">IFERROR(__xludf.DUMMYFUNCTION("IMPORTRANGE(""https://docs.google.com/spreadsheets/d/1-uDff_7J0KD5mKrp0Vvzr7lt3OU09vwQwhkpOPPYv2Y/edit?usp=sharing"",""งบพรบ!FH32"")"),632185)</f>
        <v>632185</v>
      </c>
      <c r="I32" s="177">
        <f ca="1">IFERROR(__xludf.DUMMYFUNCTION("IMPORTRANGE(""https://docs.google.com/spreadsheets/d/1-uDff_7J0KD5mKrp0Vvzr7lt3OU09vwQwhkpOPPYv2Y/edit?usp=sharing"",""งบพรบ!FI32"")"),0)</f>
        <v>0</v>
      </c>
      <c r="J32" s="177">
        <f t="shared" ca="1" si="22"/>
        <v>267500</v>
      </c>
      <c r="K32" s="178">
        <f t="shared" ca="1" si="23"/>
        <v>42.313563276572523</v>
      </c>
      <c r="L32" s="177">
        <f ca="1">IFERROR(__xludf.DUMMYFUNCTION("IMPORTRANGE(""https://docs.google.com/spreadsheets/d/1-uDff_7J0KD5mKrp0Vvzr7lt3OU09vwQwhkpOPPYv2Y/edit?usp=sharing"",""งบพรบ!FJ32"")"),267500)</f>
        <v>267500</v>
      </c>
      <c r="M32" s="87">
        <f t="shared" ca="1" si="24"/>
        <v>42.313563276572523</v>
      </c>
      <c r="N32" s="87">
        <f t="shared" ca="1" si="25"/>
        <v>42.313563276572523</v>
      </c>
      <c r="O32" s="86">
        <f ca="1">IFERROR(__xludf.DUMMYFUNCTION("IMPORTRANGE(""https://docs.google.com/spreadsheets/d/1-uDff_7J0KD5mKrp0Vvzr7lt3OU09vwQwhkpOPPYv2Y/edit?usp=sharing"",""งบพรบ!FK32"")"),0)</f>
        <v>0</v>
      </c>
      <c r="P32" s="86">
        <f t="shared" ca="1" si="26"/>
        <v>0</v>
      </c>
      <c r="Q32" s="87">
        <f t="shared" ca="1" si="27"/>
        <v>0</v>
      </c>
      <c r="R32" s="353">
        <f ca="1">IFERROR(__xludf.DUMMYFUNCTION("IMPORTRANGE(""https://docs.google.com/spreadsheets/d/1yhBcrRPreicbMKl9Bu_Snb2-OcQAF62RKfhTLhJ2eAA/edit?usp=sharing"",""กาฬสินธุ์!I368"")"),2465)</f>
        <v>2465</v>
      </c>
      <c r="S32" s="177">
        <f ca="1">IFERROR(__xludf.DUMMYFUNCTION("IMPORTRANGE(""https://docs.google.com/spreadsheets/d/1yhBcrRPreicbMKl9Bu_Snb2-OcQAF62RKfhTLhJ2eAA/edit?usp=sharing"",""กาฬสินธุ์!J367"")"),188)</f>
        <v>188</v>
      </c>
      <c r="T32" s="354">
        <f ca="1">IFERROR(__xludf.DUMMYFUNCTION("IMPORTRANGE(""https://docs.google.com/spreadsheets/d/1yhBcrRPreicbMKl9Bu_Snb2-OcQAF62RKfhTLhJ2eAA/edit?usp=sharing"",""กาฬสินธุ์!J368"")"),1602.41999999999)</f>
        <v>1602.4199999999901</v>
      </c>
      <c r="U32" s="375">
        <f t="shared" ca="1" si="29"/>
        <v>65.006896551723742</v>
      </c>
      <c r="V32" s="353">
        <f ca="1">IFERROR(__xludf.DUMMYFUNCTION("IMPORTRANGE(""https://docs.google.com/spreadsheets/d/1yhBcrRPreicbMKl9Bu_Snb2-OcQAF62RKfhTLhJ2eAA/edit?usp=sharing"",""กาฬสินธุ์!I369"")"),457)</f>
        <v>457</v>
      </c>
      <c r="W32" s="177">
        <f ca="1">IFERROR(__xludf.DUMMYFUNCTION("IMPORTRANGE(""https://docs.google.com/spreadsheets/d/1yhBcrRPreicbMKl9Bu_Snb2-OcQAF62RKfhTLhJ2eAA/edit?usp=sharing"",""กาฬสินธุ์!J369"")"),288)</f>
        <v>288</v>
      </c>
      <c r="X32" s="354">
        <f ca="1">IFERROR(__xludf.DUMMYFUNCTION("IMPORTRANGE(""https://docs.google.com/spreadsheets/d/1yhBcrRPreicbMKl9Bu_Snb2-OcQAF62RKfhTLhJ2eAA/edit?usp=sharing"",""กาฬสินธุ์!J370"")"),2843.86)</f>
        <v>2843.86</v>
      </c>
      <c r="Y32" s="375">
        <f t="shared" ca="1" si="31"/>
        <v>63.019693654266959</v>
      </c>
      <c r="Z32" s="353">
        <f ca="1">IFERROR(__xludf.DUMMYFUNCTION("IMPORTRANGE(""https://docs.google.com/spreadsheets/d/1yhBcrRPreicbMKl9Bu_Snb2-OcQAF62RKfhTLhJ2eAA/edit?usp=sharing"",""กาฬสินธุ์!I371"")"),302)</f>
        <v>302</v>
      </c>
      <c r="AA32" s="177">
        <f ca="1">IFERROR(__xludf.DUMMYFUNCTION("IMPORTRANGE(""https://docs.google.com/spreadsheets/d/1yhBcrRPreicbMKl9Bu_Snb2-OcQAF62RKfhTLhJ2eAA/edit?usp=sharing"",""กาฬสินธุ์!J371"")"),129)</f>
        <v>129</v>
      </c>
      <c r="AB32" s="354">
        <f ca="1">IFERROR(__xludf.DUMMYFUNCTION("IMPORTRANGE(""https://docs.google.com/spreadsheets/d/1yhBcrRPreicbMKl9Bu_Snb2-OcQAF62RKfhTLhJ2eAA/edit?usp=sharing"",""กาฬสินธุ์!J372"")"),1522.3)</f>
        <v>1522.3</v>
      </c>
      <c r="AC32" s="375">
        <f t="shared" ca="1" si="33"/>
        <v>42.715231788079471</v>
      </c>
    </row>
    <row r="33" spans="1:29" ht="21" customHeight="1" x14ac:dyDescent="0.3">
      <c r="A33" s="89">
        <v>2</v>
      </c>
      <c r="B33" s="90" t="s">
        <v>59</v>
      </c>
      <c r="C33" s="174">
        <f t="shared" ca="1" si="20"/>
        <v>877045</v>
      </c>
      <c r="D33" s="175">
        <f t="shared" ca="1" si="39"/>
        <v>877045</v>
      </c>
      <c r="E33" s="176">
        <f ca="1">IFERROR(__xludf.DUMMYFUNCTION("IMPORTRANGE(""https://docs.google.com/spreadsheets/d/1-uDff_7J0KD5mKrp0Vvzr7lt3OU09vwQwhkpOPPYv2Y/edit?usp=sharing"",""งบพรบ!FD33"")"),301700)</f>
        <v>301700</v>
      </c>
      <c r="F33" s="176">
        <f ca="1">IFERROR(__xludf.DUMMYFUNCTION("IMPORTRANGE(""https://docs.google.com/spreadsheets/d/1-uDff_7J0KD5mKrp0Vvzr7lt3OU09vwQwhkpOPPYv2Y/edit?usp=sharing"",""งบพรบ!FE33"")"),575345)</f>
        <v>575345</v>
      </c>
      <c r="G33" s="176">
        <f ca="1">IFERROR(__xludf.DUMMYFUNCTION("IMPORTRANGE(""https://docs.google.com/spreadsheets/d/1-uDff_7J0KD5mKrp0Vvzr7lt3OU09vwQwhkpOPPYv2Y/edit?usp=sharing"",""งบพรบ!FF33"")"),0)</f>
        <v>0</v>
      </c>
      <c r="H33" s="176">
        <f ca="1">IFERROR(__xludf.DUMMYFUNCTION("IMPORTRANGE(""https://docs.google.com/spreadsheets/d/1-uDff_7J0KD5mKrp0Vvzr7lt3OU09vwQwhkpOPPYv2Y/edit?usp=sharing"",""งบพรบ!FH33"")"),912045)</f>
        <v>912045</v>
      </c>
      <c r="I33" s="176">
        <f ca="1">IFERROR(__xludf.DUMMYFUNCTION("IMPORTRANGE(""https://docs.google.com/spreadsheets/d/1-uDff_7J0KD5mKrp0Vvzr7lt3OU09vwQwhkpOPPYv2Y/edit?usp=sharing"",""งบพรบ!FI33"")"),0)</f>
        <v>0</v>
      </c>
      <c r="J33" s="176">
        <f t="shared" ca="1" si="22"/>
        <v>515658.79</v>
      </c>
      <c r="K33" s="179">
        <f t="shared" ca="1" si="23"/>
        <v>58.795020780005586</v>
      </c>
      <c r="L33" s="176">
        <f ca="1">IFERROR(__xludf.DUMMYFUNCTION("IMPORTRANGE(""https://docs.google.com/spreadsheets/d/1-uDff_7J0KD5mKrp0Vvzr7lt3OU09vwQwhkpOPPYv2Y/edit?usp=sharing"",""งบพรบ!FJ33"")"),515658.79)</f>
        <v>515658.79</v>
      </c>
      <c r="M33" s="87">
        <f t="shared" ca="1" si="24"/>
        <v>58.795020780005586</v>
      </c>
      <c r="N33" s="87">
        <f t="shared" ca="1" si="25"/>
        <v>56.538744250557812</v>
      </c>
      <c r="O33" s="86">
        <f ca="1">IFERROR(__xludf.DUMMYFUNCTION("IMPORTRANGE(""https://docs.google.com/spreadsheets/d/1-uDff_7J0KD5mKrp0Vvzr7lt3OU09vwQwhkpOPPYv2Y/edit?usp=sharing"",""งบพรบ!FK33"")"),0)</f>
        <v>0</v>
      </c>
      <c r="P33" s="86">
        <f t="shared" ca="1" si="26"/>
        <v>0</v>
      </c>
      <c r="Q33" s="87">
        <f t="shared" ca="1" si="27"/>
        <v>0</v>
      </c>
      <c r="R33" s="355">
        <f ca="1">IFERROR(__xludf.DUMMYFUNCTION("IMPORTRANGE(""https://docs.google.com/spreadsheets/d/1aHkj4IaQMThhwWwevcOymEh837vdxeC_PycurhTbGFA/edit?usp=sharing"",""ขอนแก่น!I368"")"),3505)</f>
        <v>3505</v>
      </c>
      <c r="S33" s="177">
        <f ca="1">IFERROR(__xludf.DUMMYFUNCTION("IMPORTRANGE(""https://docs.google.com/spreadsheets/d/1aHkj4IaQMThhwWwevcOymEh837vdxeC_PycurhTbGFA/edit?usp=sharing"",""ขอนแก่น!J367"")"),161)</f>
        <v>161</v>
      </c>
      <c r="T33" s="354">
        <f ca="1">IFERROR(__xludf.DUMMYFUNCTION("IMPORTRANGE(""https://docs.google.com/spreadsheets/d/1aHkj4IaQMThhwWwevcOymEh837vdxeC_PycurhTbGFA/edit?usp=sharing"",""ขอนแก่น!J368"")"),1500.23)</f>
        <v>1500.23</v>
      </c>
      <c r="U33" s="375">
        <f t="shared" ca="1" si="29"/>
        <v>42.80256776034237</v>
      </c>
      <c r="V33" s="355">
        <f ca="1">IFERROR(__xludf.DUMMYFUNCTION("IMPORTRANGE(""https://docs.google.com/spreadsheets/d/1aHkj4IaQMThhwWwevcOymEh837vdxeC_PycurhTbGFA/edit?usp=sharing"",""ขอนแก่น!I369"")"),551)</f>
        <v>551</v>
      </c>
      <c r="W33" s="177">
        <f ca="1">IFERROR(__xludf.DUMMYFUNCTION("IMPORTRANGE(""https://docs.google.com/spreadsheets/d/1aHkj4IaQMThhwWwevcOymEh837vdxeC_PycurhTbGFA/edit?usp=sharing"",""ขอนแก่น!J369"")"),606)</f>
        <v>606</v>
      </c>
      <c r="X33" s="354">
        <f ca="1">IFERROR(__xludf.DUMMYFUNCTION("IMPORTRANGE(""https://docs.google.com/spreadsheets/d/1aHkj4IaQMThhwWwevcOymEh837vdxeC_PycurhTbGFA/edit?usp=sharing"",""ขอนแก่น!J370"")"),6961.41)</f>
        <v>6961.41</v>
      </c>
      <c r="Y33" s="375">
        <f t="shared" ca="1" si="31"/>
        <v>109.98185117967333</v>
      </c>
      <c r="Z33" s="355">
        <f ca="1">IFERROR(__xludf.DUMMYFUNCTION("IMPORTRANGE(""https://docs.google.com/spreadsheets/d/1aHkj4IaQMThhwWwevcOymEh837vdxeC_PycurhTbGFA/edit?usp=sharing"",""ขอนแก่น!I371"")"),354)</f>
        <v>354</v>
      </c>
      <c r="AA33" s="177">
        <f ca="1">IFERROR(__xludf.DUMMYFUNCTION("IMPORTRANGE(""https://docs.google.com/spreadsheets/d/1aHkj4IaQMThhwWwevcOymEh837vdxeC_PycurhTbGFA/edit?usp=sharing"",""ขอนแก่น!J371"")"),391)</f>
        <v>391</v>
      </c>
      <c r="AB33" s="354">
        <f ca="1">IFERROR(__xludf.DUMMYFUNCTION("IMPORTRANGE(""https://docs.google.com/spreadsheets/d/1aHkj4IaQMThhwWwevcOymEh837vdxeC_PycurhTbGFA/edit?usp=sharing"",""ขอนแก่น!J372"")"),4646.89)</f>
        <v>4646.8900000000003</v>
      </c>
      <c r="AC33" s="375">
        <f t="shared" ca="1" si="33"/>
        <v>110.45197740112994</v>
      </c>
    </row>
    <row r="34" spans="1:29" ht="21" customHeight="1" x14ac:dyDescent="0.3">
      <c r="A34" s="89">
        <v>3</v>
      </c>
      <c r="B34" s="90" t="s">
        <v>60</v>
      </c>
      <c r="C34" s="174">
        <f t="shared" ca="1" si="20"/>
        <v>946430</v>
      </c>
      <c r="D34" s="175">
        <f t="shared" ca="1" si="39"/>
        <v>946430</v>
      </c>
      <c r="E34" s="176">
        <f ca="1">IFERROR(__xludf.DUMMYFUNCTION("IMPORTRANGE(""https://docs.google.com/spreadsheets/d/1-uDff_7J0KD5mKrp0Vvzr7lt3OU09vwQwhkpOPPYv2Y/edit?usp=sharing"",""งบพรบ!FD34"")"),383600)</f>
        <v>383600</v>
      </c>
      <c r="F34" s="176">
        <f ca="1">IFERROR(__xludf.DUMMYFUNCTION("IMPORTRANGE(""https://docs.google.com/spreadsheets/d/1-uDff_7J0KD5mKrp0Vvzr7lt3OU09vwQwhkpOPPYv2Y/edit?usp=sharing"",""งบพรบ!FE34"")"),562830)</f>
        <v>562830</v>
      </c>
      <c r="G34" s="176">
        <f ca="1">IFERROR(__xludf.DUMMYFUNCTION("IMPORTRANGE(""https://docs.google.com/spreadsheets/d/1-uDff_7J0KD5mKrp0Vvzr7lt3OU09vwQwhkpOPPYv2Y/edit?usp=sharing"",""งบพรบ!FF34"")"),0)</f>
        <v>0</v>
      </c>
      <c r="H34" s="176">
        <f ca="1">IFERROR(__xludf.DUMMYFUNCTION("IMPORTRANGE(""https://docs.google.com/spreadsheets/d/1-uDff_7J0KD5mKrp0Vvzr7lt3OU09vwQwhkpOPPYv2Y/edit?usp=sharing"",""งบพรบ!FH34"")"),977505)</f>
        <v>977505</v>
      </c>
      <c r="I34" s="176">
        <f ca="1">IFERROR(__xludf.DUMMYFUNCTION("IMPORTRANGE(""https://docs.google.com/spreadsheets/d/1-uDff_7J0KD5mKrp0Vvzr7lt3OU09vwQwhkpOPPYv2Y/edit?usp=sharing"",""งบพรบ!FI34"")"),0)</f>
        <v>0</v>
      </c>
      <c r="J34" s="176">
        <f t="shared" ca="1" si="22"/>
        <v>338223.3</v>
      </c>
      <c r="K34" s="179">
        <f t="shared" ca="1" si="23"/>
        <v>35.736747567173481</v>
      </c>
      <c r="L34" s="176">
        <f ca="1">IFERROR(__xludf.DUMMYFUNCTION("IMPORTRANGE(""https://docs.google.com/spreadsheets/d/1-uDff_7J0KD5mKrp0Vvzr7lt3OU09vwQwhkpOPPYv2Y/edit?usp=sharing"",""งบพรบ!FJ34"")"),338223.3)</f>
        <v>338223.3</v>
      </c>
      <c r="M34" s="87">
        <f t="shared" ca="1" si="24"/>
        <v>35.736747567173481</v>
      </c>
      <c r="N34" s="87">
        <f t="shared" ca="1" si="25"/>
        <v>34.600672119324194</v>
      </c>
      <c r="O34" s="86">
        <f ca="1">IFERROR(__xludf.DUMMYFUNCTION("IMPORTRANGE(""https://docs.google.com/spreadsheets/d/1-uDff_7J0KD5mKrp0Vvzr7lt3OU09vwQwhkpOPPYv2Y/edit?usp=sharing"",""งบพรบ!FK34"")"),0)</f>
        <v>0</v>
      </c>
      <c r="P34" s="86">
        <f t="shared" ca="1" si="26"/>
        <v>0</v>
      </c>
      <c r="Q34" s="87">
        <f t="shared" ca="1" si="27"/>
        <v>0</v>
      </c>
      <c r="R34" s="353">
        <f ca="1">IFERROR(__xludf.DUMMYFUNCTION("IMPORTRANGE(""https://docs.google.com/spreadsheets/d/1FvTu2DsIWUjP6WCWra38Bkj_oOl_sOMf14r5Fg5srxU/edit?usp=sharing"",""ชัยภูมิ!I368"")"),3405)</f>
        <v>3405</v>
      </c>
      <c r="S34" s="177">
        <f ca="1">IFERROR(__xludf.DUMMYFUNCTION("IMPORTRANGE(""https://docs.google.com/spreadsheets/d/1FvTu2DsIWUjP6WCWra38Bkj_oOl_sOMf14r5Fg5srxU/edit?usp=sharing"",""ชัยภูมิ!J367"")"),48)</f>
        <v>48</v>
      </c>
      <c r="T34" s="354">
        <f ca="1">IFERROR(__xludf.DUMMYFUNCTION("IMPORTRANGE(""https://docs.google.com/spreadsheets/d/1FvTu2DsIWUjP6WCWra38Bkj_oOl_sOMf14r5Fg5srxU/edit?usp=sharing"",""ชัยภูมิ!J368"")"),455.28)</f>
        <v>455.28</v>
      </c>
      <c r="U34" s="375">
        <f t="shared" ca="1" si="29"/>
        <v>13.370925110132159</v>
      </c>
      <c r="V34" s="353">
        <f ca="1">IFERROR(__xludf.DUMMYFUNCTION("IMPORTRANGE(""https://docs.google.com/spreadsheets/d/1FvTu2DsIWUjP6WCWra38Bkj_oOl_sOMf14r5Fg5srxU/edit?usp=sharing"",""ชัยภูมิ!I369"")"),591)</f>
        <v>591</v>
      </c>
      <c r="W34" s="177">
        <f ca="1">IFERROR(__xludf.DUMMYFUNCTION("IMPORTRANGE(""https://docs.google.com/spreadsheets/d/1FvTu2DsIWUjP6WCWra38Bkj_oOl_sOMf14r5Fg5srxU/edit?usp=sharing"",""ชัยภูมิ!J369"")"),190)</f>
        <v>190</v>
      </c>
      <c r="X34" s="354">
        <f ca="1">IFERROR(__xludf.DUMMYFUNCTION("IMPORTRANGE(""https://docs.google.com/spreadsheets/d/1FvTu2DsIWUjP6WCWra38Bkj_oOl_sOMf14r5Fg5srxU/edit?usp=sharing"",""ชัยภูมิ!J370"")"),2904.65)</f>
        <v>2904.65</v>
      </c>
      <c r="Y34" s="375">
        <f t="shared" ca="1" si="31"/>
        <v>32.148900169204737</v>
      </c>
      <c r="Z34" s="353">
        <f ca="1">IFERROR(__xludf.DUMMYFUNCTION("IMPORTRANGE(""https://docs.google.com/spreadsheets/d/1FvTu2DsIWUjP6WCWra38Bkj_oOl_sOMf14r5Fg5srxU/edit?usp=sharing"",""ชัยภูมิ!I371"")"),385)</f>
        <v>385</v>
      </c>
      <c r="AA34" s="177">
        <f ca="1">IFERROR(__xludf.DUMMYFUNCTION("IMPORTRANGE(""https://docs.google.com/spreadsheets/d/1FvTu2DsIWUjP6WCWra38Bkj_oOl_sOMf14r5Fg5srxU/edit?usp=sharing"",""ชัยภูมิ!J371"")"),128)</f>
        <v>128</v>
      </c>
      <c r="AB34" s="354">
        <f ca="1">IFERROR(__xludf.DUMMYFUNCTION("IMPORTRANGE(""https://docs.google.com/spreadsheets/d/1FvTu2DsIWUjP6WCWra38Bkj_oOl_sOMf14r5Fg5srxU/edit?usp=sharing"",""ชัยภูมิ!J372"")"),1892.25)</f>
        <v>1892.25</v>
      </c>
      <c r="AC34" s="375">
        <f t="shared" ca="1" si="33"/>
        <v>33.246753246753244</v>
      </c>
    </row>
    <row r="35" spans="1:29" ht="21" customHeight="1" x14ac:dyDescent="0.3">
      <c r="A35" s="89">
        <v>4</v>
      </c>
      <c r="B35" s="90" t="s">
        <v>61</v>
      </c>
      <c r="C35" s="174">
        <f t="shared" ca="1" si="20"/>
        <v>481855</v>
      </c>
      <c r="D35" s="175">
        <f t="shared" ca="1" si="39"/>
        <v>481855</v>
      </c>
      <c r="E35" s="176">
        <f ca="1">IFERROR(__xludf.DUMMYFUNCTION("IMPORTRANGE(""https://docs.google.com/spreadsheets/d/1-uDff_7J0KD5mKrp0Vvzr7lt3OU09vwQwhkpOPPYv2Y/edit?usp=sharing"",""งบพรบ!FD35"")"),224000)</f>
        <v>224000</v>
      </c>
      <c r="F35" s="176">
        <f ca="1">IFERROR(__xludf.DUMMYFUNCTION("IMPORTRANGE(""https://docs.google.com/spreadsheets/d/1-uDff_7J0KD5mKrp0Vvzr7lt3OU09vwQwhkpOPPYv2Y/edit?usp=sharing"",""งบพรบ!FE35"")"),257855)</f>
        <v>257855</v>
      </c>
      <c r="G35" s="176">
        <f ca="1">IFERROR(__xludf.DUMMYFUNCTION("IMPORTRANGE(""https://docs.google.com/spreadsheets/d/1-uDff_7J0KD5mKrp0Vvzr7lt3OU09vwQwhkpOPPYv2Y/edit?usp=sharing"",""งบพรบ!FF35"")"),0)</f>
        <v>0</v>
      </c>
      <c r="H35" s="176">
        <f ca="1">IFERROR(__xludf.DUMMYFUNCTION("IMPORTRANGE(""https://docs.google.com/spreadsheets/d/1-uDff_7J0KD5mKrp0Vvzr7lt3OU09vwQwhkpOPPYv2Y/edit?usp=sharing"",""งบพรบ!FH35"")"),481855)</f>
        <v>481855</v>
      </c>
      <c r="I35" s="176">
        <f ca="1">IFERROR(__xludf.DUMMYFUNCTION("IMPORTRANGE(""https://docs.google.com/spreadsheets/d/1-uDff_7J0KD5mKrp0Vvzr7lt3OU09vwQwhkpOPPYv2Y/edit?usp=sharing"",""งบพรบ!FI35"")"),0)</f>
        <v>0</v>
      </c>
      <c r="J35" s="176">
        <f t="shared" ca="1" si="22"/>
        <v>231157.75</v>
      </c>
      <c r="K35" s="179">
        <f t="shared" ca="1" si="23"/>
        <v>47.972470971557833</v>
      </c>
      <c r="L35" s="176">
        <f ca="1">IFERROR(__xludf.DUMMYFUNCTION("IMPORTRANGE(""https://docs.google.com/spreadsheets/d/1-uDff_7J0KD5mKrp0Vvzr7lt3OU09vwQwhkpOPPYv2Y/edit?usp=sharing"",""งบพรบ!FJ35"")"),231157.75)</f>
        <v>231157.75</v>
      </c>
      <c r="M35" s="87">
        <f t="shared" ca="1" si="24"/>
        <v>47.972470971557833</v>
      </c>
      <c r="N35" s="87">
        <f t="shared" ca="1" si="25"/>
        <v>47.972470971557833</v>
      </c>
      <c r="O35" s="86">
        <f ca="1">IFERROR(__xludf.DUMMYFUNCTION("IMPORTRANGE(""https://docs.google.com/spreadsheets/d/1-uDff_7J0KD5mKrp0Vvzr7lt3OU09vwQwhkpOPPYv2Y/edit?usp=sharing"",""งบพรบ!FK35"")"),0)</f>
        <v>0</v>
      </c>
      <c r="P35" s="86">
        <f t="shared" ca="1" si="26"/>
        <v>0</v>
      </c>
      <c r="Q35" s="87">
        <f t="shared" ca="1" si="27"/>
        <v>0</v>
      </c>
      <c r="R35" s="353">
        <f ca="1">IFERROR(__xludf.DUMMYFUNCTION("IMPORTRANGE(""https://docs.google.com/spreadsheets/d/1XVB7oCJ3pr-vBUdflwPQ8Z2LlzhnCvZaaYjAfP-647E/edit?usp=sharing"",""นครพนม!I368"")"),1335)</f>
        <v>1335</v>
      </c>
      <c r="S35" s="177">
        <f ca="1">IFERROR(__xludf.DUMMYFUNCTION("IMPORTRANGE(""https://docs.google.com/spreadsheets/d/1XVB7oCJ3pr-vBUdflwPQ8Z2LlzhnCvZaaYjAfP-647E/edit?usp=sharing"",""นครพนม!J367"")"),16)</f>
        <v>16</v>
      </c>
      <c r="T35" s="354">
        <f ca="1">IFERROR(__xludf.DUMMYFUNCTION("IMPORTRANGE(""https://docs.google.com/spreadsheets/d/1XVB7oCJ3pr-vBUdflwPQ8Z2LlzhnCvZaaYjAfP-647E/edit?usp=sharing"",""นครพนม!J368"")"),130.36)</f>
        <v>130.36000000000001</v>
      </c>
      <c r="U35" s="375">
        <f t="shared" ca="1" si="29"/>
        <v>9.7647940074906376</v>
      </c>
      <c r="V35" s="353">
        <f ca="1">IFERROR(__xludf.DUMMYFUNCTION("IMPORTRANGE(""https://docs.google.com/spreadsheets/d/1XVB7oCJ3pr-vBUdflwPQ8Z2LlzhnCvZaaYjAfP-647E/edit?usp=sharing"",""นครพนม!I369"")"),231)</f>
        <v>231</v>
      </c>
      <c r="W35" s="177">
        <f ca="1">IFERROR(__xludf.DUMMYFUNCTION("IMPORTRANGE(""https://docs.google.com/spreadsheets/d/1XVB7oCJ3pr-vBUdflwPQ8Z2LlzhnCvZaaYjAfP-647E/edit?usp=sharing"",""นครพนม!J369"")"),141)</f>
        <v>141</v>
      </c>
      <c r="X35" s="354">
        <f ca="1">IFERROR(__xludf.DUMMYFUNCTION("IMPORTRANGE(""https://docs.google.com/spreadsheets/d/1XVB7oCJ3pr-vBUdflwPQ8Z2LlzhnCvZaaYjAfP-647E/edit?usp=sharing"",""นครพนม!J370"")"),1638.75)</f>
        <v>1638.75</v>
      </c>
      <c r="Y35" s="375">
        <f t="shared" ca="1" si="31"/>
        <v>61.038961038961041</v>
      </c>
      <c r="Z35" s="353">
        <f ca="1">IFERROR(__xludf.DUMMYFUNCTION("IMPORTRANGE(""https://docs.google.com/spreadsheets/d/1XVB7oCJ3pr-vBUdflwPQ8Z2LlzhnCvZaaYjAfP-647E/edit?usp=sharing"",""นครพนม!I371"")"),153)</f>
        <v>153</v>
      </c>
      <c r="AA35" s="177">
        <f ca="1">IFERROR(__xludf.DUMMYFUNCTION("IMPORTRANGE(""https://docs.google.com/spreadsheets/d/1XVB7oCJ3pr-vBUdflwPQ8Z2LlzhnCvZaaYjAfP-647E/edit?usp=sharing"",""นครพนม!J371"")"),142)</f>
        <v>142</v>
      </c>
      <c r="AB35" s="354">
        <f ca="1">IFERROR(__xludf.DUMMYFUNCTION("IMPORTRANGE(""https://docs.google.com/spreadsheets/d/1XVB7oCJ3pr-vBUdflwPQ8Z2LlzhnCvZaaYjAfP-647E/edit?usp=sharing"",""นครพนม!J372"")"),1642.25)</f>
        <v>1642.25</v>
      </c>
      <c r="AC35" s="375">
        <f t="shared" ca="1" si="33"/>
        <v>92.810457516339866</v>
      </c>
    </row>
    <row r="36" spans="1:29" ht="21" customHeight="1" x14ac:dyDescent="0.3">
      <c r="A36" s="89">
        <v>5</v>
      </c>
      <c r="B36" s="90" t="s">
        <v>62</v>
      </c>
      <c r="C36" s="174">
        <f t="shared" ca="1" si="20"/>
        <v>1332925</v>
      </c>
      <c r="D36" s="175">
        <f t="shared" ca="1" si="39"/>
        <v>1332925</v>
      </c>
      <c r="E36" s="176">
        <f ca="1">IFERROR(__xludf.DUMMYFUNCTION("IMPORTRANGE(""https://docs.google.com/spreadsheets/d/1-uDff_7J0KD5mKrp0Vvzr7lt3OU09vwQwhkpOPPYv2Y/edit?usp=sharing"",""งบพรบ!FD36"")"),199500)</f>
        <v>199500</v>
      </c>
      <c r="F36" s="176">
        <f ca="1">IFERROR(__xludf.DUMMYFUNCTION("IMPORTRANGE(""https://docs.google.com/spreadsheets/d/1-uDff_7J0KD5mKrp0Vvzr7lt3OU09vwQwhkpOPPYv2Y/edit?usp=sharing"",""งบพรบ!FE36"")"),1133425)</f>
        <v>1133425</v>
      </c>
      <c r="G36" s="176">
        <f ca="1">IFERROR(__xludf.DUMMYFUNCTION("IMPORTRANGE(""https://docs.google.com/spreadsheets/d/1-uDff_7J0KD5mKrp0Vvzr7lt3OU09vwQwhkpOPPYv2Y/edit?usp=sharing"",""งบพรบ!FF36"")"),0)</f>
        <v>0</v>
      </c>
      <c r="H36" s="176">
        <f ca="1">IFERROR(__xludf.DUMMYFUNCTION("IMPORTRANGE(""https://docs.google.com/spreadsheets/d/1-uDff_7J0KD5mKrp0Vvzr7lt3OU09vwQwhkpOPPYv2Y/edit?usp=sharing"",""งบพรบ!FH36"")"),1332925)</f>
        <v>1332925</v>
      </c>
      <c r="I36" s="176">
        <f ca="1">IFERROR(__xludf.DUMMYFUNCTION("IMPORTRANGE(""https://docs.google.com/spreadsheets/d/1-uDff_7J0KD5mKrp0Vvzr7lt3OU09vwQwhkpOPPYv2Y/edit?usp=sharing"",""งบพรบ!FI36"")"),0)</f>
        <v>0</v>
      </c>
      <c r="J36" s="176">
        <f t="shared" ca="1" si="22"/>
        <v>985312.5</v>
      </c>
      <c r="K36" s="179">
        <f t="shared" ca="1" si="23"/>
        <v>73.92107582947277</v>
      </c>
      <c r="L36" s="176">
        <f ca="1">IFERROR(__xludf.DUMMYFUNCTION("IMPORTRANGE(""https://docs.google.com/spreadsheets/d/1-uDff_7J0KD5mKrp0Vvzr7lt3OU09vwQwhkpOPPYv2Y/edit?usp=sharing"",""งบพรบ!FJ36"")"),985312.5)</f>
        <v>985312.5</v>
      </c>
      <c r="M36" s="87">
        <f t="shared" ca="1" si="24"/>
        <v>73.92107582947277</v>
      </c>
      <c r="N36" s="87">
        <f t="shared" ca="1" si="25"/>
        <v>73.92107582947277</v>
      </c>
      <c r="O36" s="86">
        <f ca="1">IFERROR(__xludf.DUMMYFUNCTION("IMPORTRANGE(""https://docs.google.com/spreadsheets/d/1-uDff_7J0KD5mKrp0Vvzr7lt3OU09vwQwhkpOPPYv2Y/edit?usp=sharing"",""งบพรบ!FK36"")"),0)</f>
        <v>0</v>
      </c>
      <c r="P36" s="86">
        <f t="shared" ca="1" si="26"/>
        <v>0</v>
      </c>
      <c r="Q36" s="87">
        <f t="shared" ca="1" si="27"/>
        <v>0</v>
      </c>
      <c r="R36" s="353">
        <f ca="1">IFERROR(__xludf.DUMMYFUNCTION("IMPORTRANGE(""https://docs.google.com/spreadsheets/d/1Mnpb-8PYAgn85W6KOTD40hc_Xc55CaLfHoGAbrZ8tls/edit?usp=sharing"",""นครราชสีมา!I368"")"),8205)</f>
        <v>8205</v>
      </c>
      <c r="S36" s="177">
        <f ca="1">IFERROR(__xludf.DUMMYFUNCTION("IMPORTRANGE(""https://docs.google.com/spreadsheets/d/1Mnpb-8PYAgn85W6KOTD40hc_Xc55CaLfHoGAbrZ8tls/edit?usp=sharing"",""นครราชสีมา!J367"")"),504)</f>
        <v>504</v>
      </c>
      <c r="T36" s="354">
        <f ca="1">IFERROR(__xludf.DUMMYFUNCTION("IMPORTRANGE(""https://docs.google.com/spreadsheets/d/1Mnpb-8PYAgn85W6KOTD40hc_Xc55CaLfHoGAbrZ8tls/edit?usp=sharing"",""นครราชสีมา!J368"")"),5315.30999999999)</f>
        <v>5315.3099999999904</v>
      </c>
      <c r="U36" s="375">
        <f t="shared" ca="1" si="29"/>
        <v>64.781352833637911</v>
      </c>
      <c r="V36" s="353">
        <f ca="1">IFERROR(__xludf.DUMMYFUNCTION("IMPORTRANGE(""https://docs.google.com/spreadsheets/d/1Mnpb-8PYAgn85W6KOTD40hc_Xc55CaLfHoGAbrZ8tls/edit?usp=sharing"",""นครราชสีมา!I369"")"),1241)</f>
        <v>1241</v>
      </c>
      <c r="W36" s="177">
        <f ca="1">IFERROR(__xludf.DUMMYFUNCTION("IMPORTRANGE(""https://docs.google.com/spreadsheets/d/1Mnpb-8PYAgn85W6KOTD40hc_Xc55CaLfHoGAbrZ8tls/edit?usp=sharing"",""นครราชสีมา!J369"")"),988)</f>
        <v>988</v>
      </c>
      <c r="X36" s="354">
        <f ca="1">IFERROR(__xludf.DUMMYFUNCTION("IMPORTRANGE(""https://docs.google.com/spreadsheets/d/1Mnpb-8PYAgn85W6KOTD40hc_Xc55CaLfHoGAbrZ8tls/edit?usp=sharing"",""นครราชสีมา!J370"")"),13019.67)</f>
        <v>13019.67</v>
      </c>
      <c r="Y36" s="375">
        <f t="shared" ca="1" si="31"/>
        <v>79.613215149073326</v>
      </c>
      <c r="Z36" s="353">
        <f ca="1">IFERROR(__xludf.DUMMYFUNCTION("IMPORTRANGE(""https://docs.google.com/spreadsheets/d/1Mnpb-8PYAgn85W6KOTD40hc_Xc55CaLfHoGAbrZ8tls/edit?usp=sharing"",""นครราชสีมา!I371"")"),818)</f>
        <v>818</v>
      </c>
      <c r="AA36" s="177">
        <f ca="1">IFERROR(__xludf.DUMMYFUNCTION("IMPORTRANGE(""https://docs.google.com/spreadsheets/d/1Mnpb-8PYAgn85W6KOTD40hc_Xc55CaLfHoGAbrZ8tls/edit?usp=sharing"",""นครราชสีมา!J371"")"),634)</f>
        <v>634</v>
      </c>
      <c r="AB36" s="354">
        <f ca="1">IFERROR(__xludf.DUMMYFUNCTION("IMPORTRANGE(""https://docs.google.com/spreadsheets/d/1Mnpb-8PYAgn85W6KOTD40hc_Xc55CaLfHoGAbrZ8tls/edit?usp=sharing"",""นครราชสีมา!J372"")"),9098.58)</f>
        <v>9098.58</v>
      </c>
      <c r="AC36" s="375">
        <f t="shared" ca="1" si="33"/>
        <v>77.506112469437653</v>
      </c>
    </row>
    <row r="37" spans="1:29" ht="21" customHeight="1" x14ac:dyDescent="0.3">
      <c r="A37" s="89">
        <v>6</v>
      </c>
      <c r="B37" s="90" t="s">
        <v>63</v>
      </c>
      <c r="C37" s="174">
        <f t="shared" ca="1" si="20"/>
        <v>773740</v>
      </c>
      <c r="D37" s="175">
        <f t="shared" ca="1" si="39"/>
        <v>773740</v>
      </c>
      <c r="E37" s="176">
        <f ca="1">IFERROR(__xludf.DUMMYFUNCTION("IMPORTRANGE(""https://docs.google.com/spreadsheets/d/1-uDff_7J0KD5mKrp0Vvzr7lt3OU09vwQwhkpOPPYv2Y/edit?usp=sharing"",""งบพรบ!FD37"")"),117600)</f>
        <v>117600</v>
      </c>
      <c r="F37" s="176">
        <f ca="1">IFERROR(__xludf.DUMMYFUNCTION("IMPORTRANGE(""https://docs.google.com/spreadsheets/d/1-uDff_7J0KD5mKrp0Vvzr7lt3OU09vwQwhkpOPPYv2Y/edit?usp=sharing"",""งบพรบ!FE37"")"),656140)</f>
        <v>656140</v>
      </c>
      <c r="G37" s="176">
        <f ca="1">IFERROR(__xludf.DUMMYFUNCTION("IMPORTRANGE(""https://docs.google.com/spreadsheets/d/1-uDff_7J0KD5mKrp0Vvzr7lt3OU09vwQwhkpOPPYv2Y/edit?usp=sharing"",""งบพรบ!FF37"")"),0)</f>
        <v>0</v>
      </c>
      <c r="H37" s="176">
        <f ca="1">IFERROR(__xludf.DUMMYFUNCTION("IMPORTRANGE(""https://docs.google.com/spreadsheets/d/1-uDff_7J0KD5mKrp0Vvzr7lt3OU09vwQwhkpOPPYv2Y/edit?usp=sharing"",""งบพรบ!FH37"")"),838495)</f>
        <v>838495</v>
      </c>
      <c r="I37" s="176">
        <f ca="1">IFERROR(__xludf.DUMMYFUNCTION("IMPORTRANGE(""https://docs.google.com/spreadsheets/d/1-uDff_7J0KD5mKrp0Vvzr7lt3OU09vwQwhkpOPPYv2Y/edit?usp=sharing"",""งบพรบ!FI37"")"),0)</f>
        <v>0</v>
      </c>
      <c r="J37" s="176">
        <f t="shared" ca="1" si="22"/>
        <v>397062</v>
      </c>
      <c r="K37" s="179">
        <f t="shared" ca="1" si="23"/>
        <v>51.317238348799336</v>
      </c>
      <c r="L37" s="176">
        <f ca="1">IFERROR(__xludf.DUMMYFUNCTION("IMPORTRANGE(""https://docs.google.com/spreadsheets/d/1-uDff_7J0KD5mKrp0Vvzr7lt3OU09vwQwhkpOPPYv2Y/edit?usp=sharing"",""งบพรบ!FJ37"")"),397062)</f>
        <v>397062</v>
      </c>
      <c r="M37" s="87">
        <f t="shared" ca="1" si="24"/>
        <v>51.317238348799336</v>
      </c>
      <c r="N37" s="87">
        <f t="shared" ca="1" si="25"/>
        <v>47.354128527898197</v>
      </c>
      <c r="O37" s="86">
        <f ca="1">IFERROR(__xludf.DUMMYFUNCTION("IMPORTRANGE(""https://docs.google.com/spreadsheets/d/1-uDff_7J0KD5mKrp0Vvzr7lt3OU09vwQwhkpOPPYv2Y/edit?usp=sharing"",""งบพรบ!FK37"")"),0)</f>
        <v>0</v>
      </c>
      <c r="P37" s="86">
        <f t="shared" ca="1" si="26"/>
        <v>0</v>
      </c>
      <c r="Q37" s="87">
        <f t="shared" ca="1" si="27"/>
        <v>0</v>
      </c>
      <c r="R37" s="353">
        <f ca="1">IFERROR(__xludf.DUMMYFUNCTION("IMPORTRANGE(""https://docs.google.com/spreadsheets/d/1xoDLGBv9CYbyosIhki0kTq6IpYNj-gpjxfobnaDiut0/edit?usp=sharing"",""บึงกาฬ!I368"")"),4310)</f>
        <v>4310</v>
      </c>
      <c r="S37" s="177">
        <f ca="1">IFERROR(__xludf.DUMMYFUNCTION("IMPORTRANGE(""https://docs.google.com/spreadsheets/d/1xoDLGBv9CYbyosIhki0kTq6IpYNj-gpjxfobnaDiut0/edit?usp=sharing"",""บึงกาฬ!J367"")"),74)</f>
        <v>74</v>
      </c>
      <c r="T37" s="354">
        <f ca="1">IFERROR(__xludf.DUMMYFUNCTION("IMPORTRANGE(""https://docs.google.com/spreadsheets/d/1xoDLGBv9CYbyosIhki0kTq6IpYNj-gpjxfobnaDiut0/edit?usp=sharing"",""บึงกาฬ!J368"")"),705.2)</f>
        <v>705.2</v>
      </c>
      <c r="U37" s="375">
        <f t="shared" ca="1" si="29"/>
        <v>16.361948955916475</v>
      </c>
      <c r="V37" s="353">
        <f ca="1">IFERROR(__xludf.DUMMYFUNCTION("IMPORTRANGE(""https://docs.google.com/spreadsheets/d/1xoDLGBv9CYbyosIhki0kTq6IpYNj-gpjxfobnaDiut0/edit?usp=sharing"",""บึงกาฬ!I369"")"),817)</f>
        <v>817</v>
      </c>
      <c r="W37" s="177">
        <f ca="1">IFERROR(__xludf.DUMMYFUNCTION("IMPORTRANGE(""https://docs.google.com/spreadsheets/d/1xoDLGBv9CYbyosIhki0kTq6IpYNj-gpjxfobnaDiut0/edit?usp=sharing"",""บึงกาฬ!J369"")"),80)</f>
        <v>80</v>
      </c>
      <c r="X37" s="354">
        <f ca="1">IFERROR(__xludf.DUMMYFUNCTION("IMPORTRANGE(""https://docs.google.com/spreadsheets/d/1xoDLGBv9CYbyosIhki0kTq6IpYNj-gpjxfobnaDiut0/edit?usp=sharing"",""บึงกาฬ!J370"")"),1623.71)</f>
        <v>1623.71</v>
      </c>
      <c r="Y37" s="375">
        <f t="shared" ca="1" si="31"/>
        <v>9.7919216646266829</v>
      </c>
      <c r="Z37" s="353">
        <f ca="1">IFERROR(__xludf.DUMMYFUNCTION("IMPORTRANGE(""https://docs.google.com/spreadsheets/d/1xoDLGBv9CYbyosIhki0kTq6IpYNj-gpjxfobnaDiut0/edit?usp=sharing"",""บึงกาฬ!I371"")"),535)</f>
        <v>535</v>
      </c>
      <c r="AA37" s="177">
        <f ca="1">IFERROR(__xludf.DUMMYFUNCTION("IMPORTRANGE(""https://docs.google.com/spreadsheets/d/1xoDLGBv9CYbyosIhki0kTq6IpYNj-gpjxfobnaDiut0/edit?usp=sharing"",""บึงกาฬ!J371"")"),12)</f>
        <v>12</v>
      </c>
      <c r="AB37" s="354">
        <f ca="1">IFERROR(__xludf.DUMMYFUNCTION("IMPORTRANGE(""https://docs.google.com/spreadsheets/d/1xoDLGBv9CYbyosIhki0kTq6IpYNj-gpjxfobnaDiut0/edit?usp=sharing"",""บึงกาฬ!J372"")"),184.45)</f>
        <v>184.45</v>
      </c>
      <c r="AC37" s="375">
        <f t="shared" ca="1" si="33"/>
        <v>2.2429906542056073</v>
      </c>
    </row>
    <row r="38" spans="1:29" ht="21" customHeight="1" x14ac:dyDescent="0.3">
      <c r="A38" s="89">
        <v>7</v>
      </c>
      <c r="B38" s="90" t="s">
        <v>64</v>
      </c>
      <c r="C38" s="174">
        <f t="shared" ca="1" si="20"/>
        <v>681865</v>
      </c>
      <c r="D38" s="175">
        <f t="shared" ca="1" si="39"/>
        <v>681865</v>
      </c>
      <c r="E38" s="176">
        <f ca="1">IFERROR(__xludf.DUMMYFUNCTION("IMPORTRANGE(""https://docs.google.com/spreadsheets/d/1-uDff_7J0KD5mKrp0Vvzr7lt3OU09vwQwhkpOPPYv2Y/edit?usp=sharing"",""งบพรบ!FD38"")"),0)</f>
        <v>0</v>
      </c>
      <c r="F38" s="176">
        <f ca="1">IFERROR(__xludf.DUMMYFUNCTION("IMPORTRANGE(""https://docs.google.com/spreadsheets/d/1-uDff_7J0KD5mKrp0Vvzr7lt3OU09vwQwhkpOPPYv2Y/edit?usp=sharing"",""งบพรบ!FE38"")"),681865)</f>
        <v>681865</v>
      </c>
      <c r="G38" s="176">
        <f ca="1">IFERROR(__xludf.DUMMYFUNCTION("IMPORTRANGE(""https://docs.google.com/spreadsheets/d/1-uDff_7J0KD5mKrp0Vvzr7lt3OU09vwQwhkpOPPYv2Y/edit?usp=sharing"",""งบพรบ!FF38"")"),0)</f>
        <v>0</v>
      </c>
      <c r="H38" s="176">
        <f ca="1">IFERROR(__xludf.DUMMYFUNCTION("IMPORTRANGE(""https://docs.google.com/spreadsheets/d/1-uDff_7J0KD5mKrp0Vvzr7lt3OU09vwQwhkpOPPYv2Y/edit?usp=sharing"",""งบพรบ!FH38"")"),705265)</f>
        <v>705265</v>
      </c>
      <c r="I38" s="176">
        <f ca="1">IFERROR(__xludf.DUMMYFUNCTION("IMPORTRANGE(""https://docs.google.com/spreadsheets/d/1-uDff_7J0KD5mKrp0Vvzr7lt3OU09vwQwhkpOPPYv2Y/edit?usp=sharing"",""งบพรบ!FI38"")"),0)</f>
        <v>0</v>
      </c>
      <c r="J38" s="176">
        <f t="shared" ca="1" si="22"/>
        <v>428887.2</v>
      </c>
      <c r="K38" s="179">
        <f t="shared" ca="1" si="23"/>
        <v>62.899136925931089</v>
      </c>
      <c r="L38" s="176">
        <f ca="1">IFERROR(__xludf.DUMMYFUNCTION("IMPORTRANGE(""https://docs.google.com/spreadsheets/d/1-uDff_7J0KD5mKrp0Vvzr7lt3OU09vwQwhkpOPPYv2Y/edit?usp=sharing"",""งบพรบ!FJ38"")"),428887.2)</f>
        <v>428887.2</v>
      </c>
      <c r="M38" s="87">
        <f t="shared" ca="1" si="24"/>
        <v>62.899136925931089</v>
      </c>
      <c r="N38" s="87">
        <f t="shared" ca="1" si="25"/>
        <v>60.812205341254703</v>
      </c>
      <c r="O38" s="86">
        <f ca="1">IFERROR(__xludf.DUMMYFUNCTION("IMPORTRANGE(""https://docs.google.com/spreadsheets/d/1-uDff_7J0KD5mKrp0Vvzr7lt3OU09vwQwhkpOPPYv2Y/edit?usp=sharing"",""งบพรบ!FK38"")"),0)</f>
        <v>0</v>
      </c>
      <c r="P38" s="86">
        <f t="shared" ca="1" si="26"/>
        <v>0</v>
      </c>
      <c r="Q38" s="87">
        <f t="shared" ca="1" si="27"/>
        <v>0</v>
      </c>
      <c r="R38" s="353">
        <f ca="1">IFERROR(__xludf.DUMMYFUNCTION("IMPORTRANGE(""https://docs.google.com/spreadsheets/d/1MMPq-JyI6DSgQETxuSiXkesP-P7JHuemnE6QJIa-Nlw/edit?usp=sharing"",""บุรีรัมย์!I368"")"),4460)</f>
        <v>4460</v>
      </c>
      <c r="S38" s="177">
        <f ca="1">IFERROR(__xludf.DUMMYFUNCTION("IMPORTRANGE(""https://docs.google.com/spreadsheets/d/1MMPq-JyI6DSgQETxuSiXkesP-P7JHuemnE6QJIa-Nlw/edit?usp=sharing"",""บุรีรัมย์!J367"")"),233)</f>
        <v>233</v>
      </c>
      <c r="T38" s="354">
        <f ca="1">IFERROR(__xludf.DUMMYFUNCTION("IMPORTRANGE(""https://docs.google.com/spreadsheets/d/1MMPq-JyI6DSgQETxuSiXkesP-P7JHuemnE6QJIa-Nlw/edit?usp=sharing"",""บุรีรัมย์!J368"")"),1784.11)</f>
        <v>1784.11</v>
      </c>
      <c r="U38" s="375">
        <f t="shared" ca="1" si="29"/>
        <v>40.002466367713005</v>
      </c>
      <c r="V38" s="353">
        <f ca="1">IFERROR(__xludf.DUMMYFUNCTION("IMPORTRANGE(""https://docs.google.com/spreadsheets/d/1MMPq-JyI6DSgQETxuSiXkesP-P7JHuemnE6QJIa-Nlw/edit?usp=sharing"",""บุรีรัมย์!I369"")"),802)</f>
        <v>802</v>
      </c>
      <c r="W38" s="177">
        <f ca="1">IFERROR(__xludf.DUMMYFUNCTION("IMPORTRANGE(""https://docs.google.com/spreadsheets/d/1MMPq-JyI6DSgQETxuSiXkesP-P7JHuemnE6QJIa-Nlw/edit?usp=sharing"",""บุรีรัมย์!J369"")"),379)</f>
        <v>379</v>
      </c>
      <c r="X38" s="354">
        <f ca="1">IFERROR(__xludf.DUMMYFUNCTION("IMPORTRANGE(""https://docs.google.com/spreadsheets/d/1MMPq-JyI6DSgQETxuSiXkesP-P7JHuemnE6QJIa-Nlw/edit?usp=sharing"",""บุรีรัมย์!J370"")"),4005.68)</f>
        <v>4005.68</v>
      </c>
      <c r="Y38" s="375">
        <f t="shared" ca="1" si="31"/>
        <v>47.256857855361595</v>
      </c>
      <c r="Z38" s="353">
        <f ca="1">IFERROR(__xludf.DUMMYFUNCTION("IMPORTRANGE(""https://docs.google.com/spreadsheets/d/1MMPq-JyI6DSgQETxuSiXkesP-P7JHuemnE6QJIa-Nlw/edit?usp=sharing"",""บุรีรัมย์!I371"")"),522)</f>
        <v>522</v>
      </c>
      <c r="AA38" s="177">
        <f ca="1">IFERROR(__xludf.DUMMYFUNCTION("IMPORTRANGE(""https://docs.google.com/spreadsheets/d/1MMPq-JyI6DSgQETxuSiXkesP-P7JHuemnE6QJIa-Nlw/edit?usp=sharing"",""บุรีรัมย์!J371"")"),346)</f>
        <v>346</v>
      </c>
      <c r="AB38" s="354">
        <f ca="1">IFERROR(__xludf.DUMMYFUNCTION("IMPORTRANGE(""https://docs.google.com/spreadsheets/d/1MMPq-JyI6DSgQETxuSiXkesP-P7JHuemnE6QJIa-Nlw/edit?usp=sharing"",""บุรีรัมย์!J372"")"),3784.06)</f>
        <v>3784.06</v>
      </c>
      <c r="AC38" s="375">
        <f t="shared" ca="1" si="33"/>
        <v>66.283524904214559</v>
      </c>
    </row>
    <row r="39" spans="1:29" ht="21" customHeight="1" x14ac:dyDescent="0.3">
      <c r="A39" s="89">
        <v>8</v>
      </c>
      <c r="B39" s="90" t="s">
        <v>65</v>
      </c>
      <c r="C39" s="174">
        <f t="shared" ca="1" si="20"/>
        <v>192265</v>
      </c>
      <c r="D39" s="175">
        <f t="shared" ca="1" si="39"/>
        <v>192265</v>
      </c>
      <c r="E39" s="176">
        <f ca="1">IFERROR(__xludf.DUMMYFUNCTION("IMPORTRANGE(""https://docs.google.com/spreadsheets/d/1-uDff_7J0KD5mKrp0Vvzr7lt3OU09vwQwhkpOPPYv2Y/edit?usp=sharing"",""งบพรบ!FD39"")"),51100)</f>
        <v>51100</v>
      </c>
      <c r="F39" s="176">
        <f ca="1">IFERROR(__xludf.DUMMYFUNCTION("IMPORTRANGE(""https://docs.google.com/spreadsheets/d/1-uDff_7J0KD5mKrp0Vvzr7lt3OU09vwQwhkpOPPYv2Y/edit?usp=sharing"",""งบพรบ!FE39"")"),141165)</f>
        <v>141165</v>
      </c>
      <c r="G39" s="176">
        <f ca="1">IFERROR(__xludf.DUMMYFUNCTION("IMPORTRANGE(""https://docs.google.com/spreadsheets/d/1-uDff_7J0KD5mKrp0Vvzr7lt3OU09vwQwhkpOPPYv2Y/edit?usp=sharing"",""งบพรบ!FF39"")"),0)</f>
        <v>0</v>
      </c>
      <c r="H39" s="176">
        <f ca="1">IFERROR(__xludf.DUMMYFUNCTION("IMPORTRANGE(""https://docs.google.com/spreadsheets/d/1-uDff_7J0KD5mKrp0Vvzr7lt3OU09vwQwhkpOPPYv2Y/edit?usp=sharing"",""งบพรบ!FH39"")"),192265)</f>
        <v>192265</v>
      </c>
      <c r="I39" s="176">
        <f ca="1">IFERROR(__xludf.DUMMYFUNCTION("IMPORTRANGE(""https://docs.google.com/spreadsheets/d/1-uDff_7J0KD5mKrp0Vvzr7lt3OU09vwQwhkpOPPYv2Y/edit?usp=sharing"",""งบพรบ!FI39"")"),0)</f>
        <v>0</v>
      </c>
      <c r="J39" s="176">
        <f t="shared" ca="1" si="22"/>
        <v>53688.97</v>
      </c>
      <c r="K39" s="179">
        <f t="shared" ca="1" si="23"/>
        <v>27.924463630926066</v>
      </c>
      <c r="L39" s="176">
        <f ca="1">IFERROR(__xludf.DUMMYFUNCTION("IMPORTRANGE(""https://docs.google.com/spreadsheets/d/1-uDff_7J0KD5mKrp0Vvzr7lt3OU09vwQwhkpOPPYv2Y/edit?usp=sharing"",""งบพรบ!FJ39"")"),53688.97)</f>
        <v>53688.97</v>
      </c>
      <c r="M39" s="87">
        <f t="shared" ca="1" si="24"/>
        <v>27.924463630926066</v>
      </c>
      <c r="N39" s="87">
        <f t="shared" ca="1" si="25"/>
        <v>27.924463630926066</v>
      </c>
      <c r="O39" s="86">
        <f ca="1">IFERROR(__xludf.DUMMYFUNCTION("IMPORTRANGE(""https://docs.google.com/spreadsheets/d/1-uDff_7J0KD5mKrp0Vvzr7lt3OU09vwQwhkpOPPYv2Y/edit?usp=sharing"",""งบพรบ!FK39"")"),0)</f>
        <v>0</v>
      </c>
      <c r="P39" s="86">
        <f t="shared" ca="1" si="26"/>
        <v>0</v>
      </c>
      <c r="Q39" s="87">
        <f t="shared" ca="1" si="27"/>
        <v>0</v>
      </c>
      <c r="R39" s="353">
        <f ca="1">IFERROR(__xludf.DUMMYFUNCTION("IMPORTRANGE(""https://docs.google.com/spreadsheets/d/1l6IZ8xUPgMrESzcTYwhA1k_tPjeQjJPTqlm8Gd9eU5g/edit?usp=sharing"",""มหาสารคาม!I368"")"),155)</f>
        <v>155</v>
      </c>
      <c r="S39" s="177">
        <f ca="1">IFERROR(__xludf.DUMMYFUNCTION("IMPORTRANGE(""https://docs.google.com/spreadsheets/d/1l6IZ8xUPgMrESzcTYwhA1k_tPjeQjJPTqlm8Gd9eU5g/edit?usp=sharing"",""มหาสารคาม!J367"")"),9)</f>
        <v>9</v>
      </c>
      <c r="T39" s="354">
        <f ca="1">IFERROR(__xludf.DUMMYFUNCTION("IMPORTRANGE(""https://docs.google.com/spreadsheets/d/1l6IZ8xUPgMrESzcTYwhA1k_tPjeQjJPTqlm8Gd9eU5g/edit?usp=sharing"",""มหาสารคาม!J368"")"),50.28)</f>
        <v>50.28</v>
      </c>
      <c r="U39" s="375">
        <f t="shared" ca="1" si="29"/>
        <v>32.438709677419354</v>
      </c>
      <c r="V39" s="353">
        <f ca="1">IFERROR(__xludf.DUMMYFUNCTION("IMPORTRANGE(""https://docs.google.com/spreadsheets/d/1l6IZ8xUPgMrESzcTYwhA1k_tPjeQjJPTqlm8Gd9eU5g/edit?usp=sharing"",""มหาสารคาม!I369"")"),28)</f>
        <v>28</v>
      </c>
      <c r="W39" s="177">
        <f ca="1">IFERROR(__xludf.DUMMYFUNCTION("IMPORTRANGE(""https://docs.google.com/spreadsheets/d/1l6IZ8xUPgMrESzcTYwhA1k_tPjeQjJPTqlm8Gd9eU5g/edit?usp=sharing"",""มหาสารคาม!J369"")"),251)</f>
        <v>251</v>
      </c>
      <c r="X39" s="354">
        <f ca="1">IFERROR(__xludf.DUMMYFUNCTION("IMPORTRANGE(""https://docs.google.com/spreadsheets/d/1l6IZ8xUPgMrESzcTYwhA1k_tPjeQjJPTqlm8Gd9eU5g/edit?usp=sharing"",""มหาสารคาม!J370"")"),2520.36)</f>
        <v>2520.36</v>
      </c>
      <c r="Y39" s="375">
        <f t="shared" ca="1" si="31"/>
        <v>896.42857142857144</v>
      </c>
      <c r="Z39" s="353">
        <f ca="1">IFERROR(__xludf.DUMMYFUNCTION("IMPORTRANGE(""https://docs.google.com/spreadsheets/d/1l6IZ8xUPgMrESzcTYwhA1k_tPjeQjJPTqlm8Gd9eU5g/edit?usp=sharing"",""มหาสารคาม!I371"")"),28)</f>
        <v>28</v>
      </c>
      <c r="AA39" s="177">
        <f ca="1">IFERROR(__xludf.DUMMYFUNCTION("IMPORTRANGE(""https://docs.google.com/spreadsheets/d/1l6IZ8xUPgMrESzcTYwhA1k_tPjeQjJPTqlm8Gd9eU5g/edit?usp=sharing"",""มหาสารคาม!J371"")"),212)</f>
        <v>212</v>
      </c>
      <c r="AB39" s="354">
        <f ca="1">IFERROR(__xludf.DUMMYFUNCTION("IMPORTRANGE(""https://docs.google.com/spreadsheets/d/1l6IZ8xUPgMrESzcTYwhA1k_tPjeQjJPTqlm8Gd9eU5g/edit?usp=sharing"",""มหาสารคาม!J372"")"),2081.08999999999)</f>
        <v>2081.0899999999901</v>
      </c>
      <c r="AC39" s="375">
        <f t="shared" ca="1" si="33"/>
        <v>757.14285714285711</v>
      </c>
    </row>
    <row r="40" spans="1:29" ht="21" customHeight="1" x14ac:dyDescent="0.3">
      <c r="A40" s="89">
        <v>9</v>
      </c>
      <c r="B40" s="90" t="s">
        <v>66</v>
      </c>
      <c r="C40" s="174">
        <f t="shared" ca="1" si="20"/>
        <v>384030</v>
      </c>
      <c r="D40" s="175">
        <f t="shared" ca="1" si="39"/>
        <v>384030</v>
      </c>
      <c r="E40" s="176">
        <f ca="1">IFERROR(__xludf.DUMMYFUNCTION("IMPORTRANGE(""https://docs.google.com/spreadsheets/d/1-uDff_7J0KD5mKrp0Vvzr7lt3OU09vwQwhkpOPPYv2Y/edit?usp=sharing"",""งบพรบ!FD40"")"),133000)</f>
        <v>133000</v>
      </c>
      <c r="F40" s="176">
        <f ca="1">IFERROR(__xludf.DUMMYFUNCTION("IMPORTRANGE(""https://docs.google.com/spreadsheets/d/1-uDff_7J0KD5mKrp0Vvzr7lt3OU09vwQwhkpOPPYv2Y/edit?usp=sharing"",""งบพรบ!FE40"")"),251030)</f>
        <v>251030</v>
      </c>
      <c r="G40" s="176">
        <f ca="1">IFERROR(__xludf.DUMMYFUNCTION("IMPORTRANGE(""https://docs.google.com/spreadsheets/d/1-uDff_7J0KD5mKrp0Vvzr7lt3OU09vwQwhkpOPPYv2Y/edit?usp=sharing"",""งบพรบ!FF40"")"),0)</f>
        <v>0</v>
      </c>
      <c r="H40" s="176">
        <f ca="1">IFERROR(__xludf.DUMMYFUNCTION("IMPORTRANGE(""https://docs.google.com/spreadsheets/d/1-uDff_7J0KD5mKrp0Vvzr7lt3OU09vwQwhkpOPPYv2Y/edit?usp=sharing"",""งบพรบ!FH40"")"),408330)</f>
        <v>408330</v>
      </c>
      <c r="I40" s="176">
        <f ca="1">IFERROR(__xludf.DUMMYFUNCTION("IMPORTRANGE(""https://docs.google.com/spreadsheets/d/1-uDff_7J0KD5mKrp0Vvzr7lt3OU09vwQwhkpOPPYv2Y/edit?usp=sharing"",""งบพรบ!FI40"")"),0)</f>
        <v>0</v>
      </c>
      <c r="J40" s="176">
        <f t="shared" ca="1" si="22"/>
        <v>199258</v>
      </c>
      <c r="K40" s="179">
        <f t="shared" ca="1" si="23"/>
        <v>51.886050568965963</v>
      </c>
      <c r="L40" s="176">
        <f ca="1">IFERROR(__xludf.DUMMYFUNCTION("IMPORTRANGE(""https://docs.google.com/spreadsheets/d/1-uDff_7J0KD5mKrp0Vvzr7lt3OU09vwQwhkpOPPYv2Y/edit?usp=sharing"",""งบพรบ!FJ40"")"),199258)</f>
        <v>199258</v>
      </c>
      <c r="M40" s="87">
        <f t="shared" ca="1" si="24"/>
        <v>51.886050568965963</v>
      </c>
      <c r="N40" s="87">
        <f t="shared" ca="1" si="25"/>
        <v>48.798275904293099</v>
      </c>
      <c r="O40" s="86">
        <f ca="1">IFERROR(__xludf.DUMMYFUNCTION("IMPORTRANGE(""https://docs.google.com/spreadsheets/d/1-uDff_7J0KD5mKrp0Vvzr7lt3OU09vwQwhkpOPPYv2Y/edit?usp=sharing"",""งบพรบ!FK40"")"),0)</f>
        <v>0</v>
      </c>
      <c r="P40" s="86">
        <f t="shared" ca="1" si="26"/>
        <v>0</v>
      </c>
      <c r="Q40" s="87">
        <f t="shared" ca="1" si="27"/>
        <v>0</v>
      </c>
      <c r="R40" s="355">
        <f ca="1">IFERROR(__xludf.DUMMYFUNCTION("IMPORTRANGE(""https://docs.google.com/spreadsheets/d/1uB74YLqNjWX6FObjekfB2NtSYigTQyR2rq9u4Ub2Sq4/edit?usp=sharing"",""มุกดาหาร!I368"")"),1275)</f>
        <v>1275</v>
      </c>
      <c r="S40" s="177">
        <f ca="1">IFERROR(__xludf.DUMMYFUNCTION("IMPORTRANGE(""https://docs.google.com/spreadsheets/d/1uB74YLqNjWX6FObjekfB2NtSYigTQyR2rq9u4Ub2Sq4/edit?usp=sharing"",""มุกดาหาร!J367"")"),114)</f>
        <v>114</v>
      </c>
      <c r="T40" s="354">
        <f ca="1">IFERROR(__xludf.DUMMYFUNCTION("IMPORTRANGE(""https://docs.google.com/spreadsheets/d/1uB74YLqNjWX6FObjekfB2NtSYigTQyR2rq9u4Ub2Sq4/edit?usp=sharing"",""มุกดาหาร!J368"")"),817.609999999999)</f>
        <v>817.60999999999899</v>
      </c>
      <c r="U40" s="375">
        <f t="shared" ca="1" si="29"/>
        <v>64.126274509803835</v>
      </c>
      <c r="V40" s="355">
        <f ca="1">IFERROR(__xludf.DUMMYFUNCTION("IMPORTRANGE(""https://docs.google.com/spreadsheets/d/1uB74YLqNjWX6FObjekfB2NtSYigTQyR2rq9u4Ub2Sq4/edit?usp=sharing"",""มุกดาหาร!I369"")"),240)</f>
        <v>240</v>
      </c>
      <c r="W40" s="177">
        <f ca="1">IFERROR(__xludf.DUMMYFUNCTION("IMPORTRANGE(""https://docs.google.com/spreadsheets/d/1uB74YLqNjWX6FObjekfB2NtSYigTQyR2rq9u4Ub2Sq4/edit?usp=sharing"",""มุกดาหาร!J369"")"),199)</f>
        <v>199</v>
      </c>
      <c r="X40" s="354">
        <f ca="1">IFERROR(__xludf.DUMMYFUNCTION("IMPORTRANGE(""https://docs.google.com/spreadsheets/d/1uB74YLqNjWX6FObjekfB2NtSYigTQyR2rq9u4Ub2Sq4/edit?usp=sharing"",""มุกดาหาร!J370"")"),1859.63)</f>
        <v>1859.63</v>
      </c>
      <c r="Y40" s="375">
        <f t="shared" ca="1" si="31"/>
        <v>82.916666666666671</v>
      </c>
      <c r="Z40" s="355">
        <f ca="1">IFERROR(__xludf.DUMMYFUNCTION("IMPORTRANGE(""https://docs.google.com/spreadsheets/d/1uB74YLqNjWX6FObjekfB2NtSYigTQyR2rq9u4Ub2Sq4/edit?usp=sharing"",""มุกดาหาร!I371"")"),159)</f>
        <v>159</v>
      </c>
      <c r="AA40" s="177">
        <f ca="1">IFERROR(__xludf.DUMMYFUNCTION("IMPORTRANGE(""https://docs.google.com/spreadsheets/d/1uB74YLqNjWX6FObjekfB2NtSYigTQyR2rq9u4Ub2Sq4/edit?usp=sharing"",""มุกดาหาร!J371"")"),106)</f>
        <v>106</v>
      </c>
      <c r="AB40" s="354">
        <f ca="1">IFERROR(__xludf.DUMMYFUNCTION("IMPORTRANGE(""https://docs.google.com/spreadsheets/d/1uB74YLqNjWX6FObjekfB2NtSYigTQyR2rq9u4Ub2Sq4/edit?usp=sharing"",""มุกดาหาร!J372"")"),1221.27)</f>
        <v>1221.27</v>
      </c>
      <c r="AC40" s="375">
        <f t="shared" ca="1" si="33"/>
        <v>66.666666666666671</v>
      </c>
    </row>
    <row r="41" spans="1:29" ht="21" customHeight="1" x14ac:dyDescent="0.3">
      <c r="A41" s="89">
        <v>10</v>
      </c>
      <c r="B41" s="90" t="s">
        <v>67</v>
      </c>
      <c r="C41" s="174">
        <f t="shared" ca="1" si="20"/>
        <v>350375</v>
      </c>
      <c r="D41" s="175">
        <f t="shared" ca="1" si="39"/>
        <v>350375</v>
      </c>
      <c r="E41" s="176">
        <f ca="1">IFERROR(__xludf.DUMMYFUNCTION("IMPORTRANGE(""https://docs.google.com/spreadsheets/d/1-uDff_7J0KD5mKrp0Vvzr7lt3OU09vwQwhkpOPPYv2Y/edit?usp=sharing"",""งบพรบ!FD41"")"),0)</f>
        <v>0</v>
      </c>
      <c r="F41" s="176">
        <f ca="1">IFERROR(__xludf.DUMMYFUNCTION("IMPORTRANGE(""https://docs.google.com/spreadsheets/d/1-uDff_7J0KD5mKrp0Vvzr7lt3OU09vwQwhkpOPPYv2Y/edit?usp=sharing"",""งบพรบ!FE41"")"),350375)</f>
        <v>350375</v>
      </c>
      <c r="G41" s="176">
        <f ca="1">IFERROR(__xludf.DUMMYFUNCTION("IMPORTRANGE(""https://docs.google.com/spreadsheets/d/1-uDff_7J0KD5mKrp0Vvzr7lt3OU09vwQwhkpOPPYv2Y/edit?usp=sharing"",""งบพรบ!FF41"")"),0)</f>
        <v>0</v>
      </c>
      <c r="H41" s="176">
        <f ca="1">IFERROR(__xludf.DUMMYFUNCTION("IMPORTRANGE(""https://docs.google.com/spreadsheets/d/1-uDff_7J0KD5mKrp0Vvzr7lt3OU09vwQwhkpOPPYv2Y/edit?usp=sharing"",""งบพรบ!FH41"")"),350375)</f>
        <v>350375</v>
      </c>
      <c r="I41" s="176">
        <f ca="1">IFERROR(__xludf.DUMMYFUNCTION("IMPORTRANGE(""https://docs.google.com/spreadsheets/d/1-uDff_7J0KD5mKrp0Vvzr7lt3OU09vwQwhkpOPPYv2Y/edit?usp=sharing"",""งบพรบ!FI41"")"),0)</f>
        <v>0</v>
      </c>
      <c r="J41" s="176">
        <f t="shared" ca="1" si="22"/>
        <v>131173</v>
      </c>
      <c r="K41" s="179">
        <f t="shared" ca="1" si="23"/>
        <v>37.437887977167321</v>
      </c>
      <c r="L41" s="176">
        <f ca="1">IFERROR(__xludf.DUMMYFUNCTION("IMPORTRANGE(""https://docs.google.com/spreadsheets/d/1-uDff_7J0KD5mKrp0Vvzr7lt3OU09vwQwhkpOPPYv2Y/edit?usp=sharing"",""งบพรบ!FJ41"")"),131173)</f>
        <v>131173</v>
      </c>
      <c r="M41" s="87">
        <f t="shared" ca="1" si="24"/>
        <v>37.437887977167321</v>
      </c>
      <c r="N41" s="87">
        <f t="shared" ca="1" si="25"/>
        <v>37.437887977167321</v>
      </c>
      <c r="O41" s="86">
        <f ca="1">IFERROR(__xludf.DUMMYFUNCTION("IMPORTRANGE(""https://docs.google.com/spreadsheets/d/1-uDff_7J0KD5mKrp0Vvzr7lt3OU09vwQwhkpOPPYv2Y/edit?usp=sharing"",""งบพรบ!FK41"")"),0)</f>
        <v>0</v>
      </c>
      <c r="P41" s="86">
        <f t="shared" ca="1" si="26"/>
        <v>0</v>
      </c>
      <c r="Q41" s="87">
        <f t="shared" ca="1" si="27"/>
        <v>0</v>
      </c>
      <c r="R41" s="355">
        <f ca="1">IFERROR(__xludf.DUMMYFUNCTION("IMPORTRANGE(""https://docs.google.com/spreadsheets/d/1NexK3geCPxCTO1fzNF8dPec7yZyUx3OaWkFBC9HsQOo/edit?usp=sharing"",""ยโสธร!I368"")"),2235)</f>
        <v>2235</v>
      </c>
      <c r="S41" s="177">
        <f ca="1">IFERROR(__xludf.DUMMYFUNCTION("IMPORTRANGE(""https://docs.google.com/spreadsheets/d/1NexK3geCPxCTO1fzNF8dPec7yZyUx3OaWkFBC9HsQOo/edit?usp=sharing"",""ยโสธร!J367"")"),9)</f>
        <v>9</v>
      </c>
      <c r="T41" s="354">
        <f ca="1">IFERROR(__xludf.DUMMYFUNCTION("IMPORTRANGE(""https://docs.google.com/spreadsheets/d/1NexK3geCPxCTO1fzNF8dPec7yZyUx3OaWkFBC9HsQOo/edit?usp=sharing"",""ยโสธร!J368"")"),43.32)</f>
        <v>43.32</v>
      </c>
      <c r="U41" s="375">
        <f t="shared" ca="1" si="29"/>
        <v>1.938255033557047</v>
      </c>
      <c r="V41" s="355">
        <f ca="1">IFERROR(__xludf.DUMMYFUNCTION("IMPORTRANGE(""https://docs.google.com/spreadsheets/d/1NexK3geCPxCTO1fzNF8dPec7yZyUx3OaWkFBC9HsQOo/edit?usp=sharing"",""ยโสธร!I369"")"),402)</f>
        <v>402</v>
      </c>
      <c r="W41" s="177">
        <f ca="1">IFERROR(__xludf.DUMMYFUNCTION("IMPORTRANGE(""https://docs.google.com/spreadsheets/d/1NexK3geCPxCTO1fzNF8dPec7yZyUx3OaWkFBC9HsQOo/edit?usp=sharing"",""ยโสธร!J369"")"),88)</f>
        <v>88</v>
      </c>
      <c r="X41" s="354">
        <f ca="1">IFERROR(__xludf.DUMMYFUNCTION("IMPORTRANGE(""https://docs.google.com/spreadsheets/d/1NexK3geCPxCTO1fzNF8dPec7yZyUx3OaWkFBC9HsQOo/edit?usp=sharing"",""ยโสธร!J370"")"),1000.85)</f>
        <v>1000.85</v>
      </c>
      <c r="Y41" s="375">
        <f t="shared" ca="1" si="31"/>
        <v>21.890547263681594</v>
      </c>
      <c r="Z41" s="355">
        <f ca="1">IFERROR(__xludf.DUMMYFUNCTION("IMPORTRANGE(""https://docs.google.com/spreadsheets/d/1NexK3geCPxCTO1fzNF8dPec7yZyUx3OaWkFBC9HsQOo/edit?usp=sharing"",""ยโสธร!I371"")"),260)</f>
        <v>260</v>
      </c>
      <c r="AA41" s="177">
        <f ca="1">IFERROR(__xludf.DUMMYFUNCTION("IMPORTRANGE(""https://docs.google.com/spreadsheets/d/1NexK3geCPxCTO1fzNF8dPec7yZyUx3OaWkFBC9HsQOo/edit?usp=sharing"",""ยโสธร!J371"")"),80)</f>
        <v>80</v>
      </c>
      <c r="AB41" s="354">
        <f ca="1">IFERROR(__xludf.DUMMYFUNCTION("IMPORTRANGE(""https://docs.google.com/spreadsheets/d/1NexK3geCPxCTO1fzNF8dPec7yZyUx3OaWkFBC9HsQOo/edit?usp=sharing"",""ยโสธร!J372"")"),957.73)</f>
        <v>957.73</v>
      </c>
      <c r="AC41" s="375">
        <f t="shared" ca="1" si="33"/>
        <v>30.76923076923077</v>
      </c>
    </row>
    <row r="42" spans="1:29" ht="21" customHeight="1" x14ac:dyDescent="0.3">
      <c r="A42" s="89">
        <v>11</v>
      </c>
      <c r="B42" s="90" t="s">
        <v>68</v>
      </c>
      <c r="C42" s="174">
        <f t="shared" ca="1" si="20"/>
        <v>1040145</v>
      </c>
      <c r="D42" s="175">
        <f t="shared" ca="1" si="39"/>
        <v>1040145</v>
      </c>
      <c r="E42" s="176">
        <f ca="1">IFERROR(__xludf.DUMMYFUNCTION("IMPORTRANGE(""https://docs.google.com/spreadsheets/d/1-uDff_7J0KD5mKrp0Vvzr7lt3OU09vwQwhkpOPPYv2Y/edit?usp=sharing"",""งบพรบ!FD42"")"),432600)</f>
        <v>432600</v>
      </c>
      <c r="F42" s="176">
        <f ca="1">IFERROR(__xludf.DUMMYFUNCTION("IMPORTRANGE(""https://docs.google.com/spreadsheets/d/1-uDff_7J0KD5mKrp0Vvzr7lt3OU09vwQwhkpOPPYv2Y/edit?usp=sharing"",""งบพรบ!FE42"")"),607545)</f>
        <v>607545</v>
      </c>
      <c r="G42" s="176">
        <f ca="1">IFERROR(__xludf.DUMMYFUNCTION("IMPORTRANGE(""https://docs.google.com/spreadsheets/d/1-uDff_7J0KD5mKrp0Vvzr7lt3OU09vwQwhkpOPPYv2Y/edit?usp=sharing"",""งบพรบ!FF42"")"),0)</f>
        <v>0</v>
      </c>
      <c r="H42" s="176">
        <f ca="1">IFERROR(__xludf.DUMMYFUNCTION("IMPORTRANGE(""https://docs.google.com/spreadsheets/d/1-uDff_7J0KD5mKrp0Vvzr7lt3OU09vwQwhkpOPPYv2Y/edit?usp=sharing"",""งบพรบ!FH42"")"),1040145)</f>
        <v>1040145</v>
      </c>
      <c r="I42" s="176">
        <f ca="1">IFERROR(__xludf.DUMMYFUNCTION("IMPORTRANGE(""https://docs.google.com/spreadsheets/d/1-uDff_7J0KD5mKrp0Vvzr7lt3OU09vwQwhkpOPPYv2Y/edit?usp=sharing"",""งบพรบ!FI42"")"),0)</f>
        <v>0</v>
      </c>
      <c r="J42" s="176">
        <f t="shared" ca="1" si="22"/>
        <v>602092.05000000005</v>
      </c>
      <c r="K42" s="179">
        <f t="shared" ca="1" si="23"/>
        <v>57.885395786164437</v>
      </c>
      <c r="L42" s="176">
        <f ca="1">IFERROR(__xludf.DUMMYFUNCTION("IMPORTRANGE(""https://docs.google.com/spreadsheets/d/1-uDff_7J0KD5mKrp0Vvzr7lt3OU09vwQwhkpOPPYv2Y/edit?usp=sharing"",""งบพรบ!FJ42"")"),602092.05)</f>
        <v>602092.05000000005</v>
      </c>
      <c r="M42" s="87">
        <f t="shared" ca="1" si="24"/>
        <v>57.885395786164437</v>
      </c>
      <c r="N42" s="87">
        <f t="shared" ca="1" si="25"/>
        <v>57.885395786164437</v>
      </c>
      <c r="O42" s="86">
        <f ca="1">IFERROR(__xludf.DUMMYFUNCTION("IMPORTRANGE(""https://docs.google.com/spreadsheets/d/1-uDff_7J0KD5mKrp0Vvzr7lt3OU09vwQwhkpOPPYv2Y/edit?usp=sharing"",""งบพรบ!FK42"")"),0)</f>
        <v>0</v>
      </c>
      <c r="P42" s="86">
        <f t="shared" ca="1" si="26"/>
        <v>0</v>
      </c>
      <c r="Q42" s="87">
        <f t="shared" ca="1" si="27"/>
        <v>0</v>
      </c>
      <c r="R42" s="353">
        <f ca="1">IFERROR(__xludf.DUMMYFUNCTION("IMPORTRANGE(""https://docs.google.com/spreadsheets/d/1v_cJrbBlyqmnHPReHk44g9NrMRdENNlSy_E_c5M9fIg/edit?usp=sharing"",""ร้อยเอ็ด!I368"")"),3825)</f>
        <v>3825</v>
      </c>
      <c r="S42" s="177">
        <f ca="1">IFERROR(__xludf.DUMMYFUNCTION("IMPORTRANGE(""https://docs.google.com/spreadsheets/d/1v_cJrbBlyqmnHPReHk44g9NrMRdENNlSy_E_c5M9fIg/edit?usp=sharing"",""ร้อยเอ็ด!J367"")"),182)</f>
        <v>182</v>
      </c>
      <c r="T42" s="354">
        <f ca="1">IFERROR(__xludf.DUMMYFUNCTION("IMPORTRANGE(""https://docs.google.com/spreadsheets/d/1v_cJrbBlyqmnHPReHk44g9NrMRdENNlSy_E_c5M9fIg/edit?usp=sharing"",""ร้อยเอ็ด!J368"")"),1299.86)</f>
        <v>1299.8599999999999</v>
      </c>
      <c r="U42" s="375">
        <f t="shared" ca="1" si="29"/>
        <v>33.983267973856208</v>
      </c>
      <c r="V42" s="353">
        <f ca="1">IFERROR(__xludf.DUMMYFUNCTION("IMPORTRANGE(""https://docs.google.com/spreadsheets/d/1v_cJrbBlyqmnHPReHk44g9NrMRdENNlSy_E_c5M9fIg/edit?usp=sharing"",""ร้อยเอ็ด!I369"")"),675)</f>
        <v>675</v>
      </c>
      <c r="W42" s="177">
        <f ca="1">IFERROR(__xludf.DUMMYFUNCTION("IMPORTRANGE(""https://docs.google.com/spreadsheets/d/1v_cJrbBlyqmnHPReHk44g9NrMRdENNlSy_E_c5M9fIg/edit?usp=sharing"",""ร้อยเอ็ด!J369"")"),580)</f>
        <v>580</v>
      </c>
      <c r="X42" s="354">
        <f ca="1">IFERROR(__xludf.DUMMYFUNCTION("IMPORTRANGE(""https://docs.google.com/spreadsheets/d/1v_cJrbBlyqmnHPReHk44g9NrMRdENNlSy_E_c5M9fIg/edit?usp=sharing"",""ร้อยเอ็ด!J370"")"),6268.61)</f>
        <v>6268.61</v>
      </c>
      <c r="Y42" s="375">
        <f t="shared" ca="1" si="31"/>
        <v>85.925925925925924</v>
      </c>
      <c r="Z42" s="353">
        <f ca="1">IFERROR(__xludf.DUMMYFUNCTION("IMPORTRANGE(""https://docs.google.com/spreadsheets/d/1v_cJrbBlyqmnHPReHk44g9NrMRdENNlSy_E_c5M9fIg/edit?usp=sharing"",""ร้อยเอ็ด!I371"")"),445)</f>
        <v>445</v>
      </c>
      <c r="AA42" s="177">
        <f ca="1">IFERROR(__xludf.DUMMYFUNCTION("IMPORTRANGE(""https://docs.google.com/spreadsheets/d/1v_cJrbBlyqmnHPReHk44g9NrMRdENNlSy_E_c5M9fIg/edit?usp=sharing"",""ร้อยเอ็ด!J371"")"),249)</f>
        <v>249</v>
      </c>
      <c r="AB42" s="354">
        <f ca="1">IFERROR(__xludf.DUMMYFUNCTION("IMPORTRANGE(""https://docs.google.com/spreadsheets/d/1v_cJrbBlyqmnHPReHk44g9NrMRdENNlSy_E_c5M9fIg/edit?usp=sharing"",""ร้อยเอ็ด!J372"")"),2709.43)</f>
        <v>2709.43</v>
      </c>
      <c r="AC42" s="375">
        <f t="shared" ca="1" si="33"/>
        <v>55.955056179775283</v>
      </c>
    </row>
    <row r="43" spans="1:29" ht="21" customHeight="1" x14ac:dyDescent="0.3">
      <c r="A43" s="89">
        <v>12</v>
      </c>
      <c r="B43" s="90" t="s">
        <v>69</v>
      </c>
      <c r="C43" s="174">
        <f t="shared" ca="1" si="20"/>
        <v>997580</v>
      </c>
      <c r="D43" s="175">
        <f t="shared" ca="1" si="39"/>
        <v>997580</v>
      </c>
      <c r="E43" s="176">
        <f ca="1">IFERROR(__xludf.DUMMYFUNCTION("IMPORTRANGE(""https://docs.google.com/spreadsheets/d/1-uDff_7J0KD5mKrp0Vvzr7lt3OU09vwQwhkpOPPYv2Y/edit?usp=sharing"",""งบพรบ!FD43"")"),366100)</f>
        <v>366100</v>
      </c>
      <c r="F43" s="176">
        <f ca="1">IFERROR(__xludf.DUMMYFUNCTION("IMPORTRANGE(""https://docs.google.com/spreadsheets/d/1-uDff_7J0KD5mKrp0Vvzr7lt3OU09vwQwhkpOPPYv2Y/edit?usp=sharing"",""งบพรบ!FE43"")"),631480)</f>
        <v>631480</v>
      </c>
      <c r="G43" s="176">
        <f ca="1">IFERROR(__xludf.DUMMYFUNCTION("IMPORTRANGE(""https://docs.google.com/spreadsheets/d/1-uDff_7J0KD5mKrp0Vvzr7lt3OU09vwQwhkpOPPYv2Y/edit?usp=sharing"",""งบพรบ!FF43"")"),0)</f>
        <v>0</v>
      </c>
      <c r="H43" s="176">
        <f ca="1">IFERROR(__xludf.DUMMYFUNCTION("IMPORTRANGE(""https://docs.google.com/spreadsheets/d/1-uDff_7J0KD5mKrp0Vvzr7lt3OU09vwQwhkpOPPYv2Y/edit?usp=sharing"",""งบพรบ!FH43"")"),997580)</f>
        <v>997580</v>
      </c>
      <c r="I43" s="176">
        <f ca="1">IFERROR(__xludf.DUMMYFUNCTION("IMPORTRANGE(""https://docs.google.com/spreadsheets/d/1-uDff_7J0KD5mKrp0Vvzr7lt3OU09vwQwhkpOPPYv2Y/edit?usp=sharing"",""งบพรบ!FI43"")"),0)</f>
        <v>0</v>
      </c>
      <c r="J43" s="176">
        <f t="shared" ca="1" si="22"/>
        <v>521333.36</v>
      </c>
      <c r="K43" s="179">
        <f t="shared" ca="1" si="23"/>
        <v>52.259804727440404</v>
      </c>
      <c r="L43" s="176">
        <f ca="1">IFERROR(__xludf.DUMMYFUNCTION("IMPORTRANGE(""https://docs.google.com/spreadsheets/d/1-uDff_7J0KD5mKrp0Vvzr7lt3OU09vwQwhkpOPPYv2Y/edit?usp=sharing"",""งบพรบ!FJ43"")"),521333.36)</f>
        <v>521333.36</v>
      </c>
      <c r="M43" s="87">
        <f t="shared" ca="1" si="24"/>
        <v>52.259804727440404</v>
      </c>
      <c r="N43" s="87">
        <f t="shared" ca="1" si="25"/>
        <v>52.259804727440404</v>
      </c>
      <c r="O43" s="86">
        <f ca="1">IFERROR(__xludf.DUMMYFUNCTION("IMPORTRANGE(""https://docs.google.com/spreadsheets/d/1-uDff_7J0KD5mKrp0Vvzr7lt3OU09vwQwhkpOPPYv2Y/edit?usp=sharing"",""งบพรบ!FK43"")"),0)</f>
        <v>0</v>
      </c>
      <c r="P43" s="86">
        <f t="shared" ca="1" si="26"/>
        <v>0</v>
      </c>
      <c r="Q43" s="87">
        <f t="shared" ca="1" si="27"/>
        <v>0</v>
      </c>
      <c r="R43" s="353">
        <f ca="1">IFERROR(__xludf.DUMMYFUNCTION("IMPORTRANGE(""https://docs.google.com/spreadsheets/d/1Ul4RCpCX66NxYADU1QpwAPjOmBzW64SsT11s1wzXw_c/edit?usp=sharing"",""เลย!I368"")"),4085)</f>
        <v>4085</v>
      </c>
      <c r="S43" s="177">
        <f ca="1">IFERROR(__xludf.DUMMYFUNCTION("IMPORTRANGE(""https://docs.google.com/spreadsheets/d/1Ul4RCpCX66NxYADU1QpwAPjOmBzW64SsT11s1wzXw_c/edit?usp=sharing"",""เลย!J367"")"),366)</f>
        <v>366</v>
      </c>
      <c r="T43" s="354">
        <f ca="1">IFERROR(__xludf.DUMMYFUNCTION("IMPORTRANGE(""https://docs.google.com/spreadsheets/d/1Ul4RCpCX66NxYADU1QpwAPjOmBzW64SsT11s1wzXw_c/edit?usp=sharing"",""เลย!J368"")"),4152.75)</f>
        <v>4152.75</v>
      </c>
      <c r="U43" s="375">
        <f t="shared" ca="1" si="29"/>
        <v>101.65850673194615</v>
      </c>
      <c r="V43" s="353">
        <f ca="1">IFERROR(__xludf.DUMMYFUNCTION("IMPORTRANGE(""https://docs.google.com/spreadsheets/d/1Ul4RCpCX66NxYADU1QpwAPjOmBzW64SsT11s1wzXw_c/edit?usp=sharing"",""เลย!I369"")"),727)</f>
        <v>727</v>
      </c>
      <c r="W43" s="177">
        <f ca="1">IFERROR(__xludf.DUMMYFUNCTION("IMPORTRANGE(""https://docs.google.com/spreadsheets/d/1Ul4RCpCX66NxYADU1QpwAPjOmBzW64SsT11s1wzXw_c/edit?usp=sharing"",""เลย!J369"")"),579)</f>
        <v>579</v>
      </c>
      <c r="X43" s="354">
        <f ca="1">IFERROR(__xludf.DUMMYFUNCTION("IMPORTRANGE(""https://docs.google.com/spreadsheets/d/1Ul4RCpCX66NxYADU1QpwAPjOmBzW64SsT11s1wzXw_c/edit?usp=sharing"",""เลย!J370"")"),9029.53999999999)</f>
        <v>9029.53999999999</v>
      </c>
      <c r="Y43" s="375">
        <f t="shared" ca="1" si="31"/>
        <v>79.642365887207703</v>
      </c>
      <c r="Z43" s="353">
        <f ca="1">IFERROR(__xludf.DUMMYFUNCTION("IMPORTRANGE(""https://docs.google.com/spreadsheets/d/1Ul4RCpCX66NxYADU1QpwAPjOmBzW64SsT11s1wzXw_c/edit?usp=sharing"",""เลย!I371"")"),488)</f>
        <v>488</v>
      </c>
      <c r="AA43" s="177">
        <f ca="1">IFERROR(__xludf.DUMMYFUNCTION("IMPORTRANGE(""https://docs.google.com/spreadsheets/d/1Ul4RCpCX66NxYADU1QpwAPjOmBzW64SsT11s1wzXw_c/edit?usp=sharing"",""เลย!J371"")"),577)</f>
        <v>577</v>
      </c>
      <c r="AB43" s="354">
        <f ca="1">IFERROR(__xludf.DUMMYFUNCTION("IMPORTRANGE(""https://docs.google.com/spreadsheets/d/1Ul4RCpCX66NxYADU1QpwAPjOmBzW64SsT11s1wzXw_c/edit?usp=sharing"",""เลย!J372"")"),8954.09)</f>
        <v>8954.09</v>
      </c>
      <c r="AC43" s="375">
        <f t="shared" ca="1" si="33"/>
        <v>118.23770491803279</v>
      </c>
    </row>
    <row r="44" spans="1:29" ht="21" customHeight="1" x14ac:dyDescent="0.3">
      <c r="A44" s="89">
        <v>13</v>
      </c>
      <c r="B44" s="90" t="s">
        <v>70</v>
      </c>
      <c r="C44" s="174">
        <f t="shared" ca="1" si="20"/>
        <v>1411545</v>
      </c>
      <c r="D44" s="175">
        <f t="shared" ca="1" si="39"/>
        <v>1411545</v>
      </c>
      <c r="E44" s="176">
        <f ca="1">IFERROR(__xludf.DUMMYFUNCTION("IMPORTRANGE(""https://docs.google.com/spreadsheets/d/1-uDff_7J0KD5mKrp0Vvzr7lt3OU09vwQwhkpOPPYv2Y/edit?usp=sharing"",""งบพรบ!FD44"")"),392700)</f>
        <v>392700</v>
      </c>
      <c r="F44" s="176">
        <f ca="1">IFERROR(__xludf.DUMMYFUNCTION("IMPORTRANGE(""https://docs.google.com/spreadsheets/d/1-uDff_7J0KD5mKrp0Vvzr7lt3OU09vwQwhkpOPPYv2Y/edit?usp=sharing"",""งบพรบ!FE44"")"),1018845)</f>
        <v>1018845</v>
      </c>
      <c r="G44" s="176">
        <f ca="1">IFERROR(__xludf.DUMMYFUNCTION("IMPORTRANGE(""https://docs.google.com/spreadsheets/d/1-uDff_7J0KD5mKrp0Vvzr7lt3OU09vwQwhkpOPPYv2Y/edit?usp=sharing"",""งบพรบ!FF44"")"),0)</f>
        <v>0</v>
      </c>
      <c r="H44" s="176">
        <f ca="1">IFERROR(__xludf.DUMMYFUNCTION("IMPORTRANGE(""https://docs.google.com/spreadsheets/d/1-uDff_7J0KD5mKrp0Vvzr7lt3OU09vwQwhkpOPPYv2Y/edit?usp=sharing"",""งบพรบ!FH44"")"),1411545)</f>
        <v>1411545</v>
      </c>
      <c r="I44" s="176">
        <f ca="1">IFERROR(__xludf.DUMMYFUNCTION("IMPORTRANGE(""https://docs.google.com/spreadsheets/d/1-uDff_7J0KD5mKrp0Vvzr7lt3OU09vwQwhkpOPPYv2Y/edit?usp=sharing"",""งบพรบ!FI44"")"),0)</f>
        <v>0</v>
      </c>
      <c r="J44" s="176">
        <f t="shared" ca="1" si="22"/>
        <v>572574.84</v>
      </c>
      <c r="K44" s="179">
        <f t="shared" ca="1" si="23"/>
        <v>40.5636972253807</v>
      </c>
      <c r="L44" s="176">
        <f ca="1">IFERROR(__xludf.DUMMYFUNCTION("IMPORTRANGE(""https://docs.google.com/spreadsheets/d/1-uDff_7J0KD5mKrp0Vvzr7lt3OU09vwQwhkpOPPYv2Y/edit?usp=sharing"",""งบพรบ!FJ44"")"),572574.84)</f>
        <v>572574.84</v>
      </c>
      <c r="M44" s="87">
        <f t="shared" ca="1" si="24"/>
        <v>40.5636972253807</v>
      </c>
      <c r="N44" s="87">
        <f t="shared" ca="1" si="25"/>
        <v>40.5636972253807</v>
      </c>
      <c r="O44" s="86">
        <f ca="1">IFERROR(__xludf.DUMMYFUNCTION("IMPORTRANGE(""https://docs.google.com/spreadsheets/d/1-uDff_7J0KD5mKrp0Vvzr7lt3OU09vwQwhkpOPPYv2Y/edit?usp=sharing"",""งบพรบ!FK44"")"),0)</f>
        <v>0</v>
      </c>
      <c r="P44" s="86">
        <f t="shared" ca="1" si="26"/>
        <v>0</v>
      </c>
      <c r="Q44" s="87">
        <f t="shared" ca="1" si="27"/>
        <v>0</v>
      </c>
      <c r="R44" s="355">
        <f ca="1">IFERROR(__xludf.DUMMYFUNCTION("IMPORTRANGE(""https://docs.google.com/spreadsheets/d/1bRrNKwbHDVktQG10isr5vbWRtt5spIZPpkOSWgbT5ug/edit?usp=sharing"",""ศรีสะเกษ!I368"")"),6865)</f>
        <v>6865</v>
      </c>
      <c r="S44" s="177">
        <f ca="1">IFERROR(__xludf.DUMMYFUNCTION("IMPORTRANGE(""https://docs.google.com/spreadsheets/d/1bRrNKwbHDVktQG10isr5vbWRtt5spIZPpkOSWgbT5ug/edit?usp=sharing"",""ศรีสะเกษ!J367"")"),309)</f>
        <v>309</v>
      </c>
      <c r="T44" s="354">
        <f ca="1">IFERROR(__xludf.DUMMYFUNCTION("IMPORTRANGE(""https://docs.google.com/spreadsheets/d/1bRrNKwbHDVktQG10isr5vbWRtt5spIZPpkOSWgbT5ug/edit?usp=sharing"",""ศรีสะเกษ!J368"")"),1994.16)</f>
        <v>1994.16</v>
      </c>
      <c r="U44" s="375">
        <f t="shared" ca="1" si="29"/>
        <v>29.048215586307357</v>
      </c>
      <c r="V44" s="355">
        <f ca="1">IFERROR(__xludf.DUMMYFUNCTION("IMPORTRANGE(""https://docs.google.com/spreadsheets/d/1bRrNKwbHDVktQG10isr5vbWRtt5spIZPpkOSWgbT5ug/edit?usp=sharing"",""ศรีสะเกษ!I369"")"),1283)</f>
        <v>1283</v>
      </c>
      <c r="W44" s="177">
        <f ca="1">IFERROR(__xludf.DUMMYFUNCTION("IMPORTRANGE(""https://docs.google.com/spreadsheets/d/1bRrNKwbHDVktQG10isr5vbWRtt5spIZPpkOSWgbT5ug/edit?usp=sharing"",""ศรีสะเกษ!J369"")"),688)</f>
        <v>688</v>
      </c>
      <c r="X44" s="354">
        <f ca="1">IFERROR(__xludf.DUMMYFUNCTION("IMPORTRANGE(""https://docs.google.com/spreadsheets/d/1bRrNKwbHDVktQG10isr5vbWRtt5spIZPpkOSWgbT5ug/edit?usp=sharing"",""ศรีสะเกษ!J370"")"),5093.49)</f>
        <v>5093.49</v>
      </c>
      <c r="Y44" s="375">
        <f t="shared" ca="1" si="31"/>
        <v>53.624318004676539</v>
      </c>
      <c r="Z44" s="355">
        <f ca="1">IFERROR(__xludf.DUMMYFUNCTION("IMPORTRANGE(""https://docs.google.com/spreadsheets/d/1bRrNKwbHDVktQG10isr5vbWRtt5spIZPpkOSWgbT5ug/edit?usp=sharing"",""ศรีสะเกษ!I371"")"),845)</f>
        <v>845</v>
      </c>
      <c r="AA44" s="177">
        <f ca="1">IFERROR(__xludf.DUMMYFUNCTION("IMPORTRANGE(""https://docs.google.com/spreadsheets/d/1bRrNKwbHDVktQG10isr5vbWRtt5spIZPpkOSWgbT5ug/edit?usp=sharing"",""ศรีสะเกษ!J371"")"),411)</f>
        <v>411</v>
      </c>
      <c r="AB44" s="354">
        <f ca="1">IFERROR(__xludf.DUMMYFUNCTION("IMPORTRANGE(""https://docs.google.com/spreadsheets/d/1bRrNKwbHDVktQG10isr5vbWRtt5spIZPpkOSWgbT5ug/edit?usp=sharing"",""ศรีสะเกษ!J372"")"),3303.24)</f>
        <v>3303.24</v>
      </c>
      <c r="AC44" s="375">
        <f t="shared" ca="1" si="33"/>
        <v>48.639053254437869</v>
      </c>
    </row>
    <row r="45" spans="1:29" ht="21" customHeight="1" x14ac:dyDescent="0.3">
      <c r="A45" s="89">
        <v>14</v>
      </c>
      <c r="B45" s="90" t="s">
        <v>71</v>
      </c>
      <c r="C45" s="174">
        <f t="shared" ca="1" si="20"/>
        <v>812710</v>
      </c>
      <c r="D45" s="175">
        <f t="shared" ca="1" si="39"/>
        <v>812710</v>
      </c>
      <c r="E45" s="176">
        <f ca="1">IFERROR(__xludf.DUMMYFUNCTION("IMPORTRANGE(""https://docs.google.com/spreadsheets/d/1-uDff_7J0KD5mKrp0Vvzr7lt3OU09vwQwhkpOPPYv2Y/edit?usp=sharing"",""งบพรบ!FD45"")"),199500)</f>
        <v>199500</v>
      </c>
      <c r="F45" s="176">
        <f ca="1">IFERROR(__xludf.DUMMYFUNCTION("IMPORTRANGE(""https://docs.google.com/spreadsheets/d/1-uDff_7J0KD5mKrp0Vvzr7lt3OU09vwQwhkpOPPYv2Y/edit?usp=sharing"",""งบพรบ!FE45"")"),613210)</f>
        <v>613210</v>
      </c>
      <c r="G45" s="176">
        <f ca="1">IFERROR(__xludf.DUMMYFUNCTION("IMPORTRANGE(""https://docs.google.com/spreadsheets/d/1-uDff_7J0KD5mKrp0Vvzr7lt3OU09vwQwhkpOPPYv2Y/edit?usp=sharing"",""งบพรบ!FF45"")"),0)</f>
        <v>0</v>
      </c>
      <c r="H45" s="176">
        <f ca="1">IFERROR(__xludf.DUMMYFUNCTION("IMPORTRANGE(""https://docs.google.com/spreadsheets/d/1-uDff_7J0KD5mKrp0Vvzr7lt3OU09vwQwhkpOPPYv2Y/edit?usp=sharing"",""งบพรบ!FH45"")"),853310)</f>
        <v>853310</v>
      </c>
      <c r="I45" s="176">
        <f ca="1">IFERROR(__xludf.DUMMYFUNCTION("IMPORTRANGE(""https://docs.google.com/spreadsheets/d/1-uDff_7J0KD5mKrp0Vvzr7lt3OU09vwQwhkpOPPYv2Y/edit?usp=sharing"",""งบพรบ!FI45"")"),0)</f>
        <v>0</v>
      </c>
      <c r="J45" s="176">
        <f t="shared" ca="1" si="22"/>
        <v>574374.68999999994</v>
      </c>
      <c r="K45" s="179">
        <f t="shared" ca="1" si="23"/>
        <v>70.674003026909958</v>
      </c>
      <c r="L45" s="176">
        <f ca="1">IFERROR(__xludf.DUMMYFUNCTION("IMPORTRANGE(""https://docs.google.com/spreadsheets/d/1-uDff_7J0KD5mKrp0Vvzr7lt3OU09vwQwhkpOPPYv2Y/edit?usp=sharing"",""งบพรบ!FJ45"")"),574374.69)</f>
        <v>574374.68999999994</v>
      </c>
      <c r="M45" s="87">
        <f t="shared" ca="1" si="24"/>
        <v>70.674003026909958</v>
      </c>
      <c r="N45" s="87">
        <f t="shared" ca="1" si="25"/>
        <v>67.311374529772294</v>
      </c>
      <c r="O45" s="86">
        <f ca="1">IFERROR(__xludf.DUMMYFUNCTION("IMPORTRANGE(""https://docs.google.com/spreadsheets/d/1-uDff_7J0KD5mKrp0Vvzr7lt3OU09vwQwhkpOPPYv2Y/edit?usp=sharing"",""งบพรบ!FK45"")"),0)</f>
        <v>0</v>
      </c>
      <c r="P45" s="86">
        <f t="shared" ca="1" si="26"/>
        <v>0</v>
      </c>
      <c r="Q45" s="87">
        <f t="shared" ca="1" si="27"/>
        <v>0</v>
      </c>
      <c r="R45" s="353">
        <f ca="1">IFERROR(__xludf.DUMMYFUNCTION("IMPORTRANGE(""https://docs.google.com/spreadsheets/d/17P34_Ow5kFBfdQD0qspb2UuPX5zpi6WMrQzslghyvrI/edit?usp=sharing"",""สกลนคร!I368"")"),3875)</f>
        <v>3875</v>
      </c>
      <c r="S45" s="177">
        <f ca="1">IFERROR(__xludf.DUMMYFUNCTION("IMPORTRANGE(""https://docs.google.com/spreadsheets/d/17P34_Ow5kFBfdQD0qspb2UuPX5zpi6WMrQzslghyvrI/edit?usp=sharing"",""สกลนคร!J367"")"),411)</f>
        <v>411</v>
      </c>
      <c r="T45" s="354">
        <f ca="1">IFERROR(__xludf.DUMMYFUNCTION("IMPORTRANGE(""https://docs.google.com/spreadsheets/d/17P34_Ow5kFBfdQD0qspb2UuPX5zpi6WMrQzslghyvrI/edit?usp=sharing"",""สกลนคร!J368"")"),2814.64999999999)</f>
        <v>2814.6499999999901</v>
      </c>
      <c r="U45" s="375">
        <f t="shared" ca="1" si="29"/>
        <v>72.636129032257813</v>
      </c>
      <c r="V45" s="353">
        <f ca="1">IFERROR(__xludf.DUMMYFUNCTION("IMPORTRANGE(""https://docs.google.com/spreadsheets/d/17P34_Ow5kFBfdQD0qspb2UuPX5zpi6WMrQzslghyvrI/edit?usp=sharing"",""สกลนคร!I369"")"),663)</f>
        <v>663</v>
      </c>
      <c r="W45" s="177">
        <f ca="1">IFERROR(__xludf.DUMMYFUNCTION("IMPORTRANGE(""https://docs.google.com/spreadsheets/d/17P34_Ow5kFBfdQD0qspb2UuPX5zpi6WMrQzslghyvrI/edit?usp=sharing"",""สกลนคร!J369"")"),846)</f>
        <v>846</v>
      </c>
      <c r="X45" s="354">
        <f ca="1">IFERROR(__xludf.DUMMYFUNCTION("IMPORTRANGE(""https://docs.google.com/spreadsheets/d/17P34_Ow5kFBfdQD0qspb2UuPX5zpi6WMrQzslghyvrI/edit?usp=sharing"",""สกลนคร!J370"")"),8722.78)</f>
        <v>8722.7800000000007</v>
      </c>
      <c r="Y45" s="375">
        <f t="shared" ca="1" si="31"/>
        <v>127.60180995475113</v>
      </c>
      <c r="Z45" s="353">
        <f ca="1">IFERROR(__xludf.DUMMYFUNCTION("IMPORTRANGE(""https://docs.google.com/spreadsheets/d/17P34_Ow5kFBfdQD0qspb2UuPX5zpi6WMrQzslghyvrI/edit?usp=sharing"",""สกลนคร!I371"")"),437)</f>
        <v>437</v>
      </c>
      <c r="AA45" s="177">
        <f ca="1">IFERROR(__xludf.DUMMYFUNCTION("IMPORTRANGE(""https://docs.google.com/spreadsheets/d/17P34_Ow5kFBfdQD0qspb2UuPX5zpi6WMrQzslghyvrI/edit?usp=sharing"",""สกลนคร!J371"")"),474)</f>
        <v>474</v>
      </c>
      <c r="AB45" s="354">
        <f ca="1">IFERROR(__xludf.DUMMYFUNCTION("IMPORTRANGE(""https://docs.google.com/spreadsheets/d/17P34_Ow5kFBfdQD0qspb2UuPX5zpi6WMrQzslghyvrI/edit?usp=sharing"",""สกลนคร!J372"")"),5885.81)</f>
        <v>5885.81</v>
      </c>
      <c r="AC45" s="375">
        <f t="shared" ca="1" si="33"/>
        <v>108.46681922196797</v>
      </c>
    </row>
    <row r="46" spans="1:29" ht="21" customHeight="1" x14ac:dyDescent="0.3">
      <c r="A46" s="89">
        <v>15</v>
      </c>
      <c r="B46" s="90" t="s">
        <v>72</v>
      </c>
      <c r="C46" s="174">
        <f t="shared" ca="1" si="20"/>
        <v>1045540</v>
      </c>
      <c r="D46" s="175">
        <f t="shared" ca="1" si="39"/>
        <v>1045540</v>
      </c>
      <c r="E46" s="176">
        <f ca="1">IFERROR(__xludf.DUMMYFUNCTION("IMPORTRANGE(""https://docs.google.com/spreadsheets/d/1-uDff_7J0KD5mKrp0Vvzr7lt3OU09vwQwhkpOPPYv2Y/edit?usp=sharing"",""งบพรบ!FD46"")"),432600)</f>
        <v>432600</v>
      </c>
      <c r="F46" s="176">
        <f ca="1">IFERROR(__xludf.DUMMYFUNCTION("IMPORTRANGE(""https://docs.google.com/spreadsheets/d/1-uDff_7J0KD5mKrp0Vvzr7lt3OU09vwQwhkpOPPYv2Y/edit?usp=sharing"",""งบพรบ!FE46"")"),612940)</f>
        <v>612940</v>
      </c>
      <c r="G46" s="176">
        <f ca="1">IFERROR(__xludf.DUMMYFUNCTION("IMPORTRANGE(""https://docs.google.com/spreadsheets/d/1-uDff_7J0KD5mKrp0Vvzr7lt3OU09vwQwhkpOPPYv2Y/edit?usp=sharing"",""งบพรบ!FF46"")"),0)</f>
        <v>0</v>
      </c>
      <c r="H46" s="176">
        <f ca="1">IFERROR(__xludf.DUMMYFUNCTION("IMPORTRANGE(""https://docs.google.com/spreadsheets/d/1-uDff_7J0KD5mKrp0Vvzr7lt3OU09vwQwhkpOPPYv2Y/edit?usp=sharing"",""งบพรบ!FH46"")"),1045540)</f>
        <v>1045540</v>
      </c>
      <c r="I46" s="176">
        <f ca="1">IFERROR(__xludf.DUMMYFUNCTION("IMPORTRANGE(""https://docs.google.com/spreadsheets/d/1-uDff_7J0KD5mKrp0Vvzr7lt3OU09vwQwhkpOPPYv2Y/edit?usp=sharing"",""งบพรบ!FI46"")"),0)</f>
        <v>0</v>
      </c>
      <c r="J46" s="176">
        <f t="shared" ca="1" si="22"/>
        <v>524390</v>
      </c>
      <c r="K46" s="179">
        <f t="shared" ca="1" si="23"/>
        <v>50.154943856763012</v>
      </c>
      <c r="L46" s="176">
        <f ca="1">IFERROR(__xludf.DUMMYFUNCTION("IMPORTRANGE(""https://docs.google.com/spreadsheets/d/1-uDff_7J0KD5mKrp0Vvzr7lt3OU09vwQwhkpOPPYv2Y/edit?usp=sharing"",""งบพรบ!FJ46"")"),524390)</f>
        <v>524390</v>
      </c>
      <c r="M46" s="87">
        <f t="shared" ca="1" si="24"/>
        <v>50.154943856763012</v>
      </c>
      <c r="N46" s="87">
        <f t="shared" ca="1" si="25"/>
        <v>50.154943856763012</v>
      </c>
      <c r="O46" s="86">
        <f ca="1">IFERROR(__xludf.DUMMYFUNCTION("IMPORTRANGE(""https://docs.google.com/spreadsheets/d/1-uDff_7J0KD5mKrp0Vvzr7lt3OU09vwQwhkpOPPYv2Y/edit?usp=sharing"",""งบพรบ!FK46"")"),0)</f>
        <v>0</v>
      </c>
      <c r="P46" s="86">
        <f t="shared" ca="1" si="26"/>
        <v>0</v>
      </c>
      <c r="Q46" s="87">
        <f t="shared" ca="1" si="27"/>
        <v>0</v>
      </c>
      <c r="R46" s="353">
        <f ca="1">IFERROR(__xludf.DUMMYFUNCTION("IMPORTRANGE(""https://docs.google.com/spreadsheets/d/1yswqbM3-AEpThF3ZSUa1AcmHnmRTF1vlJ1CZGcJ8YuU/edit?usp=sharing"",""สุรินทร์!I368"")"),2940)</f>
        <v>2940</v>
      </c>
      <c r="S46" s="177">
        <f ca="1">IFERROR(__xludf.DUMMYFUNCTION("IMPORTRANGE(""https://docs.google.com/spreadsheets/d/1yswqbM3-AEpThF3ZSUa1AcmHnmRTF1vlJ1CZGcJ8YuU/edit?usp=sharing"",""สุรินทร์!J367"")"),139)</f>
        <v>139</v>
      </c>
      <c r="T46" s="354">
        <f ca="1">IFERROR(__xludf.DUMMYFUNCTION("IMPORTRANGE(""https://docs.google.com/spreadsheets/d/1yswqbM3-AEpThF3ZSUa1AcmHnmRTF1vlJ1CZGcJ8YuU/edit?usp=sharing"",""สุรินทร์!J368"")"),888.449999999999)</f>
        <v>888.44999999999902</v>
      </c>
      <c r="U46" s="375">
        <f t="shared" ca="1" si="29"/>
        <v>30.219387755102005</v>
      </c>
      <c r="V46" s="353">
        <f ca="1">IFERROR(__xludf.DUMMYFUNCTION("IMPORTRANGE(""https://docs.google.com/spreadsheets/d/1yswqbM3-AEpThF3ZSUa1AcmHnmRTF1vlJ1CZGcJ8YuU/edit?usp=sharing"",""สุรินทร์!I369"")"),543)</f>
        <v>543</v>
      </c>
      <c r="W46" s="177">
        <f ca="1">IFERROR(__xludf.DUMMYFUNCTION("IMPORTRANGE(""https://docs.google.com/spreadsheets/d/1yswqbM3-AEpThF3ZSUa1AcmHnmRTF1vlJ1CZGcJ8YuU/edit?usp=sharing"",""สุรินทร์!J369"")"),173)</f>
        <v>173</v>
      </c>
      <c r="X46" s="354">
        <f ca="1">IFERROR(__xludf.DUMMYFUNCTION("IMPORTRANGE(""https://docs.google.com/spreadsheets/d/1yswqbM3-AEpThF3ZSUa1AcmHnmRTF1vlJ1CZGcJ8YuU/edit?usp=sharing"",""สุรินทร์!J370"")"),1346.76)</f>
        <v>1346.76</v>
      </c>
      <c r="Y46" s="375">
        <f t="shared" ca="1" si="31"/>
        <v>31.860036832412522</v>
      </c>
      <c r="Z46" s="353">
        <f ca="1">IFERROR(__xludf.DUMMYFUNCTION("IMPORTRANGE(""https://docs.google.com/spreadsheets/d/1yswqbM3-AEpThF3ZSUa1AcmHnmRTF1vlJ1CZGcJ8YuU/edit?usp=sharing"",""สุรินทร์!I371"")"),355)</f>
        <v>355</v>
      </c>
      <c r="AA46" s="177">
        <f ca="1">IFERROR(__xludf.DUMMYFUNCTION("IMPORTRANGE(""https://docs.google.com/spreadsheets/d/1yswqbM3-AEpThF3ZSUa1AcmHnmRTF1vlJ1CZGcJ8YuU/edit?usp=sharing"",""สุรินทร์!J371"")"),0)</f>
        <v>0</v>
      </c>
      <c r="AB46" s="354">
        <f ca="1">IFERROR(__xludf.DUMMYFUNCTION("IMPORTRANGE(""https://docs.google.com/spreadsheets/d/1yswqbM3-AEpThF3ZSUa1AcmHnmRTF1vlJ1CZGcJ8YuU/edit?usp=sharing"",""สุรินทร์!J372"")"),0)</f>
        <v>0</v>
      </c>
      <c r="AC46" s="375">
        <f t="shared" ca="1" si="33"/>
        <v>0</v>
      </c>
    </row>
    <row r="47" spans="1:29" ht="21" customHeight="1" x14ac:dyDescent="0.3">
      <c r="A47" s="89">
        <v>16</v>
      </c>
      <c r="B47" s="90" t="s">
        <v>73</v>
      </c>
      <c r="C47" s="174">
        <f t="shared" ca="1" si="20"/>
        <v>557230</v>
      </c>
      <c r="D47" s="175">
        <f t="shared" ca="1" si="39"/>
        <v>557230</v>
      </c>
      <c r="E47" s="176">
        <f ca="1">IFERROR(__xludf.DUMMYFUNCTION("IMPORTRANGE(""https://docs.google.com/spreadsheets/d/1-uDff_7J0KD5mKrp0Vvzr7lt3OU09vwQwhkpOPPYv2Y/edit?usp=sharing"",""งบพรบ!FD47"")"),250600)</f>
        <v>250600</v>
      </c>
      <c r="F47" s="176">
        <f ca="1">IFERROR(__xludf.DUMMYFUNCTION("IMPORTRANGE(""https://docs.google.com/spreadsheets/d/1-uDff_7J0KD5mKrp0Vvzr7lt3OU09vwQwhkpOPPYv2Y/edit?usp=sharing"",""งบพรบ!FE47"")"),306630)</f>
        <v>306630</v>
      </c>
      <c r="G47" s="176">
        <f ca="1">IFERROR(__xludf.DUMMYFUNCTION("IMPORTRANGE(""https://docs.google.com/spreadsheets/d/1-uDff_7J0KD5mKrp0Vvzr7lt3OU09vwQwhkpOPPYv2Y/edit?usp=sharing"",""งบพรบ!FF47"")"),0)</f>
        <v>0</v>
      </c>
      <c r="H47" s="176">
        <f ca="1">IFERROR(__xludf.DUMMYFUNCTION("IMPORTRANGE(""https://docs.google.com/spreadsheets/d/1-uDff_7J0KD5mKrp0Vvzr7lt3OU09vwQwhkpOPPYv2Y/edit?usp=sharing"",""งบพรบ!FH47"")"),557230)</f>
        <v>557230</v>
      </c>
      <c r="I47" s="176">
        <f ca="1">IFERROR(__xludf.DUMMYFUNCTION("IMPORTRANGE(""https://docs.google.com/spreadsheets/d/1-uDff_7J0KD5mKrp0Vvzr7lt3OU09vwQwhkpOPPYv2Y/edit?usp=sharing"",""งบพรบ!FI47"")"),0)</f>
        <v>0</v>
      </c>
      <c r="J47" s="176">
        <f t="shared" ca="1" si="22"/>
        <v>248938</v>
      </c>
      <c r="K47" s="179">
        <f t="shared" ca="1" si="23"/>
        <v>44.674191985356138</v>
      </c>
      <c r="L47" s="176">
        <f ca="1">IFERROR(__xludf.DUMMYFUNCTION("IMPORTRANGE(""https://docs.google.com/spreadsheets/d/1-uDff_7J0KD5mKrp0Vvzr7lt3OU09vwQwhkpOPPYv2Y/edit?usp=sharing"",""งบพรบ!FJ47"")"),248938)</f>
        <v>248938</v>
      </c>
      <c r="M47" s="87">
        <f t="shared" ca="1" si="24"/>
        <v>44.674191985356138</v>
      </c>
      <c r="N47" s="87">
        <f t="shared" ca="1" si="25"/>
        <v>44.674191985356138</v>
      </c>
      <c r="O47" s="86">
        <f ca="1">IFERROR(__xludf.DUMMYFUNCTION("IMPORTRANGE(""https://docs.google.com/spreadsheets/d/1-uDff_7J0KD5mKrp0Vvzr7lt3OU09vwQwhkpOPPYv2Y/edit?usp=sharing"",""งบพรบ!FK47"")"),0)</f>
        <v>0</v>
      </c>
      <c r="P47" s="86">
        <f t="shared" ca="1" si="26"/>
        <v>0</v>
      </c>
      <c r="Q47" s="87">
        <f t="shared" ca="1" si="27"/>
        <v>0</v>
      </c>
      <c r="R47" s="353">
        <f ca="1">IFERROR(__xludf.DUMMYFUNCTION("IMPORTRANGE(""https://docs.google.com/spreadsheets/d/13JHU_EFbsQOUQ0JSQ3dWy1VTRosIWcDq6Nc99z2qzdc/edit?usp=sharing"",""หนองคาย!I368"")"),1805)</f>
        <v>1805</v>
      </c>
      <c r="S47" s="177">
        <f ca="1">IFERROR(__xludf.DUMMYFUNCTION("IMPORTRANGE(""https://docs.google.com/spreadsheets/d/13JHU_EFbsQOUQ0JSQ3dWy1VTRosIWcDq6Nc99z2qzdc/edit?usp=sharing"",""หนองคาย!J367"")"),84)</f>
        <v>84</v>
      </c>
      <c r="T47" s="354">
        <f ca="1">IFERROR(__xludf.DUMMYFUNCTION("IMPORTRANGE(""https://docs.google.com/spreadsheets/d/13JHU_EFbsQOUQ0JSQ3dWy1VTRosIWcDq6Nc99z2qzdc/edit?usp=sharing"",""หนองคาย!J368"")"),909.27)</f>
        <v>909.27</v>
      </c>
      <c r="U47" s="375">
        <f t="shared" ca="1" si="29"/>
        <v>50.375069252077566</v>
      </c>
      <c r="V47" s="353">
        <f ca="1">IFERROR(__xludf.DUMMYFUNCTION("IMPORTRANGE(""https://docs.google.com/spreadsheets/d/13JHU_EFbsQOUQ0JSQ3dWy1VTRosIWcDq6Nc99z2qzdc/edit?usp=sharing"",""หนองคาย!I369"")"),350)</f>
        <v>350</v>
      </c>
      <c r="W47" s="177">
        <f ca="1">IFERROR(__xludf.DUMMYFUNCTION("IMPORTRANGE(""https://docs.google.com/spreadsheets/d/13JHU_EFbsQOUQ0JSQ3dWy1VTRosIWcDq6Nc99z2qzdc/edit?usp=sharing"",""หนองคาย!J369"")"),231)</f>
        <v>231</v>
      </c>
      <c r="X47" s="354">
        <f ca="1">IFERROR(__xludf.DUMMYFUNCTION("IMPORTRANGE(""https://docs.google.com/spreadsheets/d/13JHU_EFbsQOUQ0JSQ3dWy1VTRosIWcDq6Nc99z2qzdc/edit?usp=sharing"",""หนองคาย!J370"")"),3142.32)</f>
        <v>3142.32</v>
      </c>
      <c r="Y47" s="375">
        <f t="shared" ca="1" si="31"/>
        <v>66</v>
      </c>
      <c r="Z47" s="353">
        <f ca="1">IFERROR(__xludf.DUMMYFUNCTION("IMPORTRANGE(""https://docs.google.com/spreadsheets/d/13JHU_EFbsQOUQ0JSQ3dWy1VTRosIWcDq6Nc99z2qzdc/edit?usp=sharing"",""หนองคาย!I371"")"),229)</f>
        <v>229</v>
      </c>
      <c r="AA47" s="177">
        <f ca="1">IFERROR(__xludf.DUMMYFUNCTION("IMPORTRANGE(""https://docs.google.com/spreadsheets/d/13JHU_EFbsQOUQ0JSQ3dWy1VTRosIWcDq6Nc99z2qzdc/edit?usp=sharing"",""หนองคาย!J371"")"),140)</f>
        <v>140</v>
      </c>
      <c r="AB47" s="354">
        <f ca="1">IFERROR(__xludf.DUMMYFUNCTION("IMPORTRANGE(""https://docs.google.com/spreadsheets/d/13JHU_EFbsQOUQ0JSQ3dWy1VTRosIWcDq6Nc99z2qzdc/edit?usp=sharing"",""หนองคาย!J372"")"),2138.38)</f>
        <v>2138.38</v>
      </c>
      <c r="AC47" s="375">
        <f t="shared" ca="1" si="33"/>
        <v>61.135371179039304</v>
      </c>
    </row>
    <row r="48" spans="1:29" ht="21" customHeight="1" x14ac:dyDescent="0.3">
      <c r="A48" s="89">
        <v>17</v>
      </c>
      <c r="B48" s="90" t="s">
        <v>74</v>
      </c>
      <c r="C48" s="174">
        <f t="shared" ca="1" si="20"/>
        <v>561010</v>
      </c>
      <c r="D48" s="175">
        <f t="shared" ca="1" si="39"/>
        <v>561010</v>
      </c>
      <c r="E48" s="176">
        <f ca="1">IFERROR(__xludf.DUMMYFUNCTION("IMPORTRANGE(""https://docs.google.com/spreadsheets/d/1-uDff_7J0KD5mKrp0Vvzr7lt3OU09vwQwhkpOPPYv2Y/edit?usp=sharing"",""งบพรบ!FD48"")"),184100)</f>
        <v>184100</v>
      </c>
      <c r="F48" s="176">
        <f ca="1">IFERROR(__xludf.DUMMYFUNCTION("IMPORTRANGE(""https://docs.google.com/spreadsheets/d/1-uDff_7J0KD5mKrp0Vvzr7lt3OU09vwQwhkpOPPYv2Y/edit?usp=sharing"",""งบพรบ!FE48"")"),376910)</f>
        <v>376910</v>
      </c>
      <c r="G48" s="176">
        <f ca="1">IFERROR(__xludf.DUMMYFUNCTION("IMPORTRANGE(""https://docs.google.com/spreadsheets/d/1-uDff_7J0KD5mKrp0Vvzr7lt3OU09vwQwhkpOPPYv2Y/edit?usp=sharing"",""งบพรบ!FF48"")"),0)</f>
        <v>0</v>
      </c>
      <c r="H48" s="176">
        <f ca="1">IFERROR(__xludf.DUMMYFUNCTION("IMPORTRANGE(""https://docs.google.com/spreadsheets/d/1-uDff_7J0KD5mKrp0Vvzr7lt3OU09vwQwhkpOPPYv2Y/edit?usp=sharing"",""งบพรบ!FH48"")"),570930)</f>
        <v>570930</v>
      </c>
      <c r="I48" s="176">
        <f ca="1">IFERROR(__xludf.DUMMYFUNCTION("IMPORTRANGE(""https://docs.google.com/spreadsheets/d/1-uDff_7J0KD5mKrp0Vvzr7lt3OU09vwQwhkpOPPYv2Y/edit?usp=sharing"",""งบพรบ!FI48"")"),0)</f>
        <v>0</v>
      </c>
      <c r="J48" s="176">
        <f t="shared" ca="1" si="22"/>
        <v>306746.65000000002</v>
      </c>
      <c r="K48" s="179">
        <f t="shared" ca="1" si="23"/>
        <v>54.677572592288911</v>
      </c>
      <c r="L48" s="176">
        <f ca="1">IFERROR(__xludf.DUMMYFUNCTION("IMPORTRANGE(""https://docs.google.com/spreadsheets/d/1-uDff_7J0KD5mKrp0Vvzr7lt3OU09vwQwhkpOPPYv2Y/edit?usp=sharing"",""งบพรบ!FJ48"")"),306746.65)</f>
        <v>306746.65000000002</v>
      </c>
      <c r="M48" s="87">
        <f t="shared" ca="1" si="24"/>
        <v>54.677572592288911</v>
      </c>
      <c r="N48" s="87">
        <f t="shared" ca="1" si="25"/>
        <v>53.727541029548284</v>
      </c>
      <c r="O48" s="86">
        <f ca="1">IFERROR(__xludf.DUMMYFUNCTION("IMPORTRANGE(""https://docs.google.com/spreadsheets/d/1-uDff_7J0KD5mKrp0Vvzr7lt3OU09vwQwhkpOPPYv2Y/edit?usp=sharing"",""งบพรบ!FK48"")"),0)</f>
        <v>0</v>
      </c>
      <c r="P48" s="86">
        <f t="shared" ca="1" si="26"/>
        <v>0</v>
      </c>
      <c r="Q48" s="87">
        <f t="shared" ca="1" si="27"/>
        <v>0</v>
      </c>
      <c r="R48" s="353">
        <f ca="1">IFERROR(__xludf.DUMMYFUNCTION("IMPORTRANGE(""https://docs.google.com/spreadsheets/d/1Hx73zIEgVdDZZaYSTc46Dqv64atFhpr3GelxLbaIN8A/edit?usp=sharing"",""หนองบัวลำภู!I368"")"),1645)</f>
        <v>1645</v>
      </c>
      <c r="S48" s="177">
        <f ca="1">IFERROR(__xludf.DUMMYFUNCTION("IMPORTRANGE(""https://docs.google.com/spreadsheets/d/1Hx73zIEgVdDZZaYSTc46Dqv64atFhpr3GelxLbaIN8A/edit?usp=sharing"",""หนองบัวลำภู!J367"")"),106)</f>
        <v>106</v>
      </c>
      <c r="T48" s="354">
        <f ca="1">IFERROR(__xludf.DUMMYFUNCTION("IMPORTRANGE(""https://docs.google.com/spreadsheets/d/1Hx73zIEgVdDZZaYSTc46Dqv64atFhpr3GelxLbaIN8A/edit?usp=sharing"",""หนองบัวลำภู!J368"")"),1118.32)</f>
        <v>1118.32</v>
      </c>
      <c r="U48" s="375">
        <f t="shared" ca="1" si="29"/>
        <v>67.982978723404258</v>
      </c>
      <c r="V48" s="353">
        <f ca="1">IFERROR(__xludf.DUMMYFUNCTION("IMPORTRANGE(""https://docs.google.com/spreadsheets/d/1Hx73zIEgVdDZZaYSTc46Dqv64atFhpr3GelxLbaIN8A/edit?usp=sharing"",""หนองบัวลำภู!I369"")"),284)</f>
        <v>284</v>
      </c>
      <c r="W48" s="177">
        <f ca="1">IFERROR(__xludf.DUMMYFUNCTION("IMPORTRANGE(""https://docs.google.com/spreadsheets/d/1Hx73zIEgVdDZZaYSTc46Dqv64atFhpr3GelxLbaIN8A/edit?usp=sharing"",""หนองบัวลำภู!J369"")"),139)</f>
        <v>139</v>
      </c>
      <c r="X48" s="354">
        <f ca="1">IFERROR(__xludf.DUMMYFUNCTION("IMPORTRANGE(""https://docs.google.com/spreadsheets/d/1Hx73zIEgVdDZZaYSTc46Dqv64atFhpr3GelxLbaIN8A/edit?usp=sharing"",""หนองบัวลำภู!J370"")"),2154.29)</f>
        <v>2154.29</v>
      </c>
      <c r="Y48" s="375">
        <f t="shared" ca="1" si="31"/>
        <v>48.943661971830984</v>
      </c>
      <c r="Z48" s="353">
        <f ca="1">IFERROR(__xludf.DUMMYFUNCTION("IMPORTRANGE(""https://docs.google.com/spreadsheets/d/1Hx73zIEgVdDZZaYSTc46Dqv64atFhpr3GelxLbaIN8A/edit?usp=sharing"",""หนองบัวลำภู!I371"")"),188)</f>
        <v>188</v>
      </c>
      <c r="AA48" s="177">
        <f ca="1">IFERROR(__xludf.DUMMYFUNCTION("IMPORTRANGE(""https://docs.google.com/spreadsheets/d/1Hx73zIEgVdDZZaYSTc46Dqv64atFhpr3GelxLbaIN8A/edit?usp=sharing"",""หนองบัวลำภู!J371"")"),139)</f>
        <v>139</v>
      </c>
      <c r="AB48" s="354">
        <f ca="1">IFERROR(__xludf.DUMMYFUNCTION("IMPORTRANGE(""https://docs.google.com/spreadsheets/d/1Hx73zIEgVdDZZaYSTc46Dqv64atFhpr3GelxLbaIN8A/edit?usp=sharing"",""หนองบัวลำภู!J372"")"),2154.29)</f>
        <v>2154.29</v>
      </c>
      <c r="AC48" s="375">
        <f t="shared" ca="1" si="33"/>
        <v>73.936170212765958</v>
      </c>
    </row>
    <row r="49" spans="1:29" ht="21" customHeight="1" x14ac:dyDescent="0.3">
      <c r="A49" s="89">
        <v>18</v>
      </c>
      <c r="B49" s="90" t="s">
        <v>75</v>
      </c>
      <c r="C49" s="174">
        <f t="shared" ca="1" si="20"/>
        <v>577005</v>
      </c>
      <c r="D49" s="175">
        <f t="shared" ca="1" si="39"/>
        <v>577005</v>
      </c>
      <c r="E49" s="176">
        <f ca="1">IFERROR(__xludf.DUMMYFUNCTION("IMPORTRANGE(""https://docs.google.com/spreadsheets/d/1-uDff_7J0KD5mKrp0Vvzr7lt3OU09vwQwhkpOPPYv2Y/edit?usp=sharing"",""งบพรบ!FD49"")"),275100)</f>
        <v>275100</v>
      </c>
      <c r="F49" s="176">
        <f ca="1">IFERROR(__xludf.DUMMYFUNCTION("IMPORTRANGE(""https://docs.google.com/spreadsheets/d/1-uDff_7J0KD5mKrp0Vvzr7lt3OU09vwQwhkpOPPYv2Y/edit?usp=sharing"",""งบพรบ!FE49"")"),301905)</f>
        <v>301905</v>
      </c>
      <c r="G49" s="176">
        <f ca="1">IFERROR(__xludf.DUMMYFUNCTION("IMPORTRANGE(""https://docs.google.com/spreadsheets/d/1-uDff_7J0KD5mKrp0Vvzr7lt3OU09vwQwhkpOPPYv2Y/edit?usp=sharing"",""งบพรบ!FF49"")"),0)</f>
        <v>0</v>
      </c>
      <c r="H49" s="176">
        <f ca="1">IFERROR(__xludf.DUMMYFUNCTION("IMPORTRANGE(""https://docs.google.com/spreadsheets/d/1-uDff_7J0KD5mKrp0Vvzr7lt3OU09vwQwhkpOPPYv2Y/edit?usp=sharing"",""งบพรบ!FH49"")"),599605)</f>
        <v>599605</v>
      </c>
      <c r="I49" s="176">
        <f ca="1">IFERROR(__xludf.DUMMYFUNCTION("IMPORTRANGE(""https://docs.google.com/spreadsheets/d/1-uDff_7J0KD5mKrp0Vvzr7lt3OU09vwQwhkpOPPYv2Y/edit?usp=sharing"",""งบพรบ!FI49"")"),0)</f>
        <v>0</v>
      </c>
      <c r="J49" s="176">
        <f t="shared" ca="1" si="22"/>
        <v>267459</v>
      </c>
      <c r="K49" s="179">
        <f t="shared" ca="1" si="23"/>
        <v>46.352977877141448</v>
      </c>
      <c r="L49" s="176">
        <f ca="1">IFERROR(__xludf.DUMMYFUNCTION("IMPORTRANGE(""https://docs.google.com/spreadsheets/d/1-uDff_7J0KD5mKrp0Vvzr7lt3OU09vwQwhkpOPPYv2Y/edit?usp=sharing"",""งบพรบ!FJ49"")"),267459)</f>
        <v>267459</v>
      </c>
      <c r="M49" s="87">
        <f t="shared" ca="1" si="24"/>
        <v>46.352977877141448</v>
      </c>
      <c r="N49" s="87">
        <f t="shared" ca="1" si="25"/>
        <v>44.605865528139361</v>
      </c>
      <c r="O49" s="86">
        <f ca="1">IFERROR(__xludf.DUMMYFUNCTION("IMPORTRANGE(""https://docs.google.com/spreadsheets/d/1-uDff_7J0KD5mKrp0Vvzr7lt3OU09vwQwhkpOPPYv2Y/edit?usp=sharing"",""งบพรบ!FK49"")"),0)</f>
        <v>0</v>
      </c>
      <c r="P49" s="86">
        <f t="shared" ca="1" si="26"/>
        <v>0</v>
      </c>
      <c r="Q49" s="87">
        <f t="shared" ca="1" si="27"/>
        <v>0</v>
      </c>
      <c r="R49" s="353">
        <f ca="1">IFERROR(__xludf.DUMMYFUNCTION("IMPORTRANGE(""https://docs.google.com/spreadsheets/d/1lFxr3ctmjFN90yc-xV6jrQ9Ty8BKYVBWnAZ15wcNIJc/edit?usp=sharing"",""อำนาจเจริญ!I368"")"),1820)</f>
        <v>1820</v>
      </c>
      <c r="S49" s="177">
        <f ca="1">IFERROR(__xludf.DUMMYFUNCTION("IMPORTRANGE(""https://docs.google.com/spreadsheets/d/1lFxr3ctmjFN90yc-xV6jrQ9Ty8BKYVBWnAZ15wcNIJc/edit?usp=sharing"",""อำนาจเจริญ!J367"")"),106)</f>
        <v>106</v>
      </c>
      <c r="T49" s="354">
        <f ca="1">IFERROR(__xludf.DUMMYFUNCTION("IMPORTRANGE(""https://docs.google.com/spreadsheets/d/1lFxr3ctmjFN90yc-xV6jrQ9Ty8BKYVBWnAZ15wcNIJc/edit?usp=sharing"",""อำนาจเจริญ!J368"")"),866.49)</f>
        <v>866.49</v>
      </c>
      <c r="U49" s="375">
        <f t="shared" ca="1" si="29"/>
        <v>47.60934065934066</v>
      </c>
      <c r="V49" s="353">
        <f ca="1">IFERROR(__xludf.DUMMYFUNCTION("IMPORTRANGE(""https://docs.google.com/spreadsheets/d/1lFxr3ctmjFN90yc-xV6jrQ9Ty8BKYVBWnAZ15wcNIJc/edit?usp=sharing"",""อำนาจเจริญ!I369"")"),292)</f>
        <v>292</v>
      </c>
      <c r="W49" s="177">
        <f ca="1">IFERROR(__xludf.DUMMYFUNCTION("IMPORTRANGE(""https://docs.google.com/spreadsheets/d/1lFxr3ctmjFN90yc-xV6jrQ9Ty8BKYVBWnAZ15wcNIJc/edit?usp=sharing"",""อำนาจเจริญ!J369"")"),187)</f>
        <v>187</v>
      </c>
      <c r="X49" s="354">
        <f ca="1">IFERROR(__xludf.DUMMYFUNCTION("IMPORTRANGE(""https://docs.google.com/spreadsheets/d/1lFxr3ctmjFN90yc-xV6jrQ9Ty8BKYVBWnAZ15wcNIJc/edit?usp=sharing"",""อำนาจเจริญ!J370"")"),1492.97)</f>
        <v>1492.97</v>
      </c>
      <c r="Y49" s="375">
        <f t="shared" ca="1" si="31"/>
        <v>64.041095890410958</v>
      </c>
      <c r="Z49" s="353">
        <f ca="1">IFERROR(__xludf.DUMMYFUNCTION("IMPORTRANGE(""https://docs.google.com/spreadsheets/d/1lFxr3ctmjFN90yc-xV6jrQ9Ty8BKYVBWnAZ15wcNIJc/edit?usp=sharing"",""อำนาจเจริญ!I371"")"),194)</f>
        <v>194</v>
      </c>
      <c r="AA49" s="177">
        <f ca="1">IFERROR(__xludf.DUMMYFUNCTION("IMPORTRANGE(""https://docs.google.com/spreadsheets/d/1lFxr3ctmjFN90yc-xV6jrQ9Ty8BKYVBWnAZ15wcNIJc/edit?usp=sharing"",""อำนาจเจริญ!J371"")"),154)</f>
        <v>154</v>
      </c>
      <c r="AB49" s="354">
        <f ca="1">IFERROR(__xludf.DUMMYFUNCTION("IMPORTRANGE(""https://docs.google.com/spreadsheets/d/1lFxr3ctmjFN90yc-xV6jrQ9Ty8BKYVBWnAZ15wcNIJc/edit?usp=sharing"",""อำนาจเจริญ!J372"")"),1278.6)</f>
        <v>1278.5999999999999</v>
      </c>
      <c r="AC49" s="375">
        <f t="shared" ca="1" si="33"/>
        <v>79.381443298969074</v>
      </c>
    </row>
    <row r="50" spans="1:29" ht="21" customHeight="1" x14ac:dyDescent="0.3">
      <c r="A50" s="89">
        <v>19</v>
      </c>
      <c r="B50" s="90" t="s">
        <v>76</v>
      </c>
      <c r="C50" s="174">
        <f t="shared" ca="1" si="20"/>
        <v>1348240</v>
      </c>
      <c r="D50" s="175">
        <f t="shared" ca="1" si="39"/>
        <v>1348240</v>
      </c>
      <c r="E50" s="176">
        <f ca="1">IFERROR(__xludf.DUMMYFUNCTION("IMPORTRANGE(""https://docs.google.com/spreadsheets/d/1-uDff_7J0KD5mKrp0Vvzr7lt3OU09vwQwhkpOPPYv2Y/edit?usp=sharing"",""งบพรบ!FD50"")"),182000)</f>
        <v>182000</v>
      </c>
      <c r="F50" s="176">
        <f ca="1">IFERROR(__xludf.DUMMYFUNCTION("IMPORTRANGE(""https://docs.google.com/spreadsheets/d/1-uDff_7J0KD5mKrp0Vvzr7lt3OU09vwQwhkpOPPYv2Y/edit?usp=sharing"",""งบพรบ!FE50"")"),1166240)</f>
        <v>1166240</v>
      </c>
      <c r="G50" s="176">
        <f ca="1">IFERROR(__xludf.DUMMYFUNCTION("IMPORTRANGE(""https://docs.google.com/spreadsheets/d/1-uDff_7J0KD5mKrp0Vvzr7lt3OU09vwQwhkpOPPYv2Y/edit?usp=sharing"",""งบพรบ!FF50"")"),0)</f>
        <v>0</v>
      </c>
      <c r="H50" s="176">
        <f ca="1">IFERROR(__xludf.DUMMYFUNCTION("IMPORTRANGE(""https://docs.google.com/spreadsheets/d/1-uDff_7J0KD5mKrp0Vvzr7lt3OU09vwQwhkpOPPYv2Y/edit?usp=sharing"",""งบพรบ!FH50"")"),1348260)</f>
        <v>1348260</v>
      </c>
      <c r="I50" s="176">
        <f ca="1">IFERROR(__xludf.DUMMYFUNCTION("IMPORTRANGE(""https://docs.google.com/spreadsheets/d/1-uDff_7J0KD5mKrp0Vvzr7lt3OU09vwQwhkpOPPYv2Y/edit?usp=sharing"",""งบพรบ!FI50"")"),0)</f>
        <v>0</v>
      </c>
      <c r="J50" s="176">
        <f t="shared" ca="1" si="22"/>
        <v>788462.49</v>
      </c>
      <c r="K50" s="179">
        <f t="shared" ca="1" si="23"/>
        <v>58.480870616507445</v>
      </c>
      <c r="L50" s="176">
        <f ca="1">IFERROR(__xludf.DUMMYFUNCTION("IMPORTRANGE(""https://docs.google.com/spreadsheets/d/1-uDff_7J0KD5mKrp0Vvzr7lt3OU09vwQwhkpOPPYv2Y/edit?usp=sharing"",""งบพรบ!FJ50"")"),788462.49)</f>
        <v>788462.49</v>
      </c>
      <c r="M50" s="87">
        <f t="shared" ca="1" si="24"/>
        <v>58.480870616507445</v>
      </c>
      <c r="N50" s="87">
        <f t="shared" ca="1" si="25"/>
        <v>58.480003115126159</v>
      </c>
      <c r="O50" s="86">
        <f ca="1">IFERROR(__xludf.DUMMYFUNCTION("IMPORTRANGE(""https://docs.google.com/spreadsheets/d/1-uDff_7J0KD5mKrp0Vvzr7lt3OU09vwQwhkpOPPYv2Y/edit?usp=sharing"",""งบพรบ!FK50"")"),0)</f>
        <v>0</v>
      </c>
      <c r="P50" s="86">
        <f t="shared" ca="1" si="26"/>
        <v>0</v>
      </c>
      <c r="Q50" s="87">
        <f t="shared" ca="1" si="27"/>
        <v>0</v>
      </c>
      <c r="R50" s="353">
        <f ca="1">IFERROR(__xludf.DUMMYFUNCTION("IMPORTRANGE(""https://docs.google.com/spreadsheets/d/1gF7RJpRnL-1oyjyeWxs5SFWEH7y8ahOZsQlyp2A2e-A/edit?usp=sharing"",""อุดรธานี!I368"")"),9500)</f>
        <v>9500</v>
      </c>
      <c r="S50" s="177">
        <f ca="1">IFERROR(__xludf.DUMMYFUNCTION("IMPORTRANGE(""https://docs.google.com/spreadsheets/d/1gF7RJpRnL-1oyjyeWxs5SFWEH7y8ahOZsQlyp2A2e-A/edit?usp=sharing"",""อุดรธานี!J367"")"),367)</f>
        <v>367</v>
      </c>
      <c r="T50" s="354">
        <f ca="1">IFERROR(__xludf.DUMMYFUNCTION("IMPORTRANGE(""https://docs.google.com/spreadsheets/d/1gF7RJpRnL-1oyjyeWxs5SFWEH7y8ahOZsQlyp2A2e-A/edit?usp=sharing"",""อุดรธานี!J368"")"),4627.65)</f>
        <v>4627.6499999999996</v>
      </c>
      <c r="U50" s="375">
        <f t="shared" ca="1" si="29"/>
        <v>48.712105263157888</v>
      </c>
      <c r="V50" s="353">
        <f ca="1">IFERROR(__xludf.DUMMYFUNCTION("IMPORTRANGE(""https://docs.google.com/spreadsheets/d/1gF7RJpRnL-1oyjyeWxs5SFWEH7y8ahOZsQlyp2A2e-A/edit?usp=sharing"",""อุดรธานี!I369"")"),1470)</f>
        <v>1470</v>
      </c>
      <c r="W50" s="177">
        <f ca="1">IFERROR(__xludf.DUMMYFUNCTION("IMPORTRANGE(""https://docs.google.com/spreadsheets/d/1gF7RJpRnL-1oyjyeWxs5SFWEH7y8ahOZsQlyp2A2e-A/edit?usp=sharing"",""อุดรธานี!J369"")"),558)</f>
        <v>558</v>
      </c>
      <c r="X50" s="354">
        <f ca="1">IFERROR(__xludf.DUMMYFUNCTION("IMPORTRANGE(""https://docs.google.com/spreadsheets/d/1gF7RJpRnL-1oyjyeWxs5SFWEH7y8ahOZsQlyp2A2e-A/edit?usp=sharing"",""อุดรธานี!J370"")"),8912.22)</f>
        <v>8912.2199999999993</v>
      </c>
      <c r="Y50" s="375">
        <f t="shared" ca="1" si="31"/>
        <v>37.95918367346939</v>
      </c>
      <c r="Z50" s="353">
        <f ca="1">IFERROR(__xludf.DUMMYFUNCTION("IMPORTRANGE(""https://docs.google.com/spreadsheets/d/1gF7RJpRnL-1oyjyeWxs5SFWEH7y8ahOZsQlyp2A2e-A/edit?usp=sharing"",""อุดรธานี!I371"")"),974)</f>
        <v>974</v>
      </c>
      <c r="AA50" s="177">
        <f ca="1">IFERROR(__xludf.DUMMYFUNCTION("IMPORTRANGE(""https://docs.google.com/spreadsheets/d/1gF7RJpRnL-1oyjyeWxs5SFWEH7y8ahOZsQlyp2A2e-A/edit?usp=sharing"",""อุดรธานี!J371"")"),287)</f>
        <v>287</v>
      </c>
      <c r="AB50" s="354">
        <f ca="1">IFERROR(__xludf.DUMMYFUNCTION("IMPORTRANGE(""https://docs.google.com/spreadsheets/d/1gF7RJpRnL-1oyjyeWxs5SFWEH7y8ahOZsQlyp2A2e-A/edit?usp=sharing"",""อุดรธานี!J372"")"),4377.03)</f>
        <v>4377.03</v>
      </c>
      <c r="AC50" s="375">
        <f t="shared" ca="1" si="33"/>
        <v>29.466119096509239</v>
      </c>
    </row>
    <row r="51" spans="1:29" ht="21" customHeight="1" x14ac:dyDescent="0.3">
      <c r="A51" s="100">
        <v>20</v>
      </c>
      <c r="B51" s="101" t="s">
        <v>77</v>
      </c>
      <c r="C51" s="189">
        <f t="shared" ca="1" si="20"/>
        <v>1079860</v>
      </c>
      <c r="D51" s="190">
        <f t="shared" ca="1" si="39"/>
        <v>1079860</v>
      </c>
      <c r="E51" s="191">
        <f ca="1">IFERROR(__xludf.DUMMYFUNCTION("IMPORTRANGE(""https://docs.google.com/spreadsheets/d/1-uDff_7J0KD5mKrp0Vvzr7lt3OU09vwQwhkpOPPYv2Y/edit?usp=sharing"",""งบพรบ!FD51"")"),301700)</f>
        <v>301700</v>
      </c>
      <c r="F51" s="191">
        <f ca="1">IFERROR(__xludf.DUMMYFUNCTION("IMPORTRANGE(""https://docs.google.com/spreadsheets/d/1-uDff_7J0KD5mKrp0Vvzr7lt3OU09vwQwhkpOPPYv2Y/edit?usp=sharing"",""งบพรบ!FE51"")"),778160)</f>
        <v>778160</v>
      </c>
      <c r="G51" s="191">
        <f ca="1">IFERROR(__xludf.DUMMYFUNCTION("IMPORTRANGE(""https://docs.google.com/spreadsheets/d/1-uDff_7J0KD5mKrp0Vvzr7lt3OU09vwQwhkpOPPYv2Y/edit?usp=sharing"",""งบพรบ!FF51"")"),0)</f>
        <v>0</v>
      </c>
      <c r="H51" s="191">
        <f ca="1">IFERROR(__xludf.DUMMYFUNCTION("IMPORTRANGE(""https://docs.google.com/spreadsheets/d/1-uDff_7J0KD5mKrp0Vvzr7lt3OU09vwQwhkpOPPYv2Y/edit?usp=sharing"",""งบพรบ!FH51"")"),1244960)</f>
        <v>1244960</v>
      </c>
      <c r="I51" s="191">
        <f ca="1">IFERROR(__xludf.DUMMYFUNCTION("IMPORTRANGE(""https://docs.google.com/spreadsheets/d/1-uDff_7J0KD5mKrp0Vvzr7lt3OU09vwQwhkpOPPYv2Y/edit?usp=sharing"",""งบพรบ!FI51"")"),0)</f>
        <v>0</v>
      </c>
      <c r="J51" s="191">
        <f t="shared" ca="1" si="22"/>
        <v>714339.95</v>
      </c>
      <c r="K51" s="192">
        <f t="shared" ca="1" si="23"/>
        <v>66.15116311373697</v>
      </c>
      <c r="L51" s="191">
        <f ca="1">IFERROR(__xludf.DUMMYFUNCTION("IMPORTRANGE(""https://docs.google.com/spreadsheets/d/1-uDff_7J0KD5mKrp0Vvzr7lt3OU09vwQwhkpOPPYv2Y/edit?usp=sharing"",""งบพรบ!FJ51"")"),714339.95)</f>
        <v>714339.95</v>
      </c>
      <c r="M51" s="118">
        <f t="shared" ca="1" si="24"/>
        <v>66.15116311373697</v>
      </c>
      <c r="N51" s="118">
        <f t="shared" ca="1" si="25"/>
        <v>57.378546298676262</v>
      </c>
      <c r="O51" s="117">
        <f ca="1">IFERROR(__xludf.DUMMYFUNCTION("IMPORTRANGE(""https://docs.google.com/spreadsheets/d/1-uDff_7J0KD5mKrp0Vvzr7lt3OU09vwQwhkpOPPYv2Y/edit?usp=sharing"",""งบพรบ!FK51"")"),0)</f>
        <v>0</v>
      </c>
      <c r="P51" s="117">
        <f t="shared" ca="1" si="26"/>
        <v>0</v>
      </c>
      <c r="Q51" s="118">
        <f t="shared" ca="1" si="27"/>
        <v>0</v>
      </c>
      <c r="R51" s="356">
        <f ca="1">IFERROR(__xludf.DUMMYFUNCTION("IMPORTRANGE(""https://docs.google.com/spreadsheets/d/1kfLP0j3INXRa8bTDpcEmoWewMBV61jlFlfzczfjWIgc/edit?usp=sharing"",""อุบลราชธานี!I368"")"),4565)</f>
        <v>4565</v>
      </c>
      <c r="S51" s="186">
        <f ca="1">IFERROR(__xludf.DUMMYFUNCTION("IMPORTRANGE(""https://docs.google.com/spreadsheets/d/1kfLP0j3INXRa8bTDpcEmoWewMBV61jlFlfzczfjWIgc/edit?usp=sharing"",""อุบลราชธานี!J367"")"),537)</f>
        <v>537</v>
      </c>
      <c r="T51" s="357">
        <f ca="1">IFERROR(__xludf.DUMMYFUNCTION("IMPORTRANGE(""https://docs.google.com/spreadsheets/d/1kfLP0j3INXRa8bTDpcEmoWewMBV61jlFlfzczfjWIgc/edit?usp=sharing"",""อุบลราชธานี!J368"")"),3772.99)</f>
        <v>3772.99</v>
      </c>
      <c r="U51" s="376">
        <f t="shared" ca="1" si="29"/>
        <v>82.650383351588175</v>
      </c>
      <c r="V51" s="356">
        <f ca="1">IFERROR(__xludf.DUMMYFUNCTION("IMPORTRANGE(""https://docs.google.com/spreadsheets/d/1kfLP0j3INXRa8bTDpcEmoWewMBV61jlFlfzczfjWIgc/edit?usp=sharing"",""อุบลราชธานี!I369"")"),733)</f>
        <v>733</v>
      </c>
      <c r="W51" s="186">
        <f ca="1">IFERROR(__xludf.DUMMYFUNCTION("IMPORTRANGE(""https://docs.google.com/spreadsheets/d/1kfLP0j3INXRa8bTDpcEmoWewMBV61jlFlfzczfjWIgc/edit?usp=sharing"",""อุบลราชธานี!J369"")"),463)</f>
        <v>463</v>
      </c>
      <c r="X51" s="357">
        <f ca="1">IFERROR(__xludf.DUMMYFUNCTION("IMPORTRANGE(""https://docs.google.com/spreadsheets/d/1kfLP0j3INXRa8bTDpcEmoWewMBV61jlFlfzczfjWIgc/edit?usp=sharing"",""อุบลราชธานี!J370"")"),3422.2)</f>
        <v>3422.2</v>
      </c>
      <c r="Y51" s="376">
        <f t="shared" ca="1" si="31"/>
        <v>63.165075034106415</v>
      </c>
      <c r="Z51" s="356">
        <f ca="1">IFERROR(__xludf.DUMMYFUNCTION("IMPORTRANGE(""https://docs.google.com/spreadsheets/d/1kfLP0j3INXRa8bTDpcEmoWewMBV61jlFlfzczfjWIgc/edit?usp=sharing"",""อุบลราชธานี!I371"")"),479)</f>
        <v>479</v>
      </c>
      <c r="AA51" s="186">
        <f ca="1">IFERROR(__xludf.DUMMYFUNCTION("IMPORTRANGE(""https://docs.google.com/spreadsheets/d/1kfLP0j3INXRa8bTDpcEmoWewMBV61jlFlfzczfjWIgc/edit?usp=sharing"",""อุบลราชธานี!J371"")"),104)</f>
        <v>104</v>
      </c>
      <c r="AB51" s="357">
        <f ca="1">IFERROR(__xludf.DUMMYFUNCTION("IMPORTRANGE(""https://docs.google.com/spreadsheets/d/1kfLP0j3INXRa8bTDpcEmoWewMBV61jlFlfzczfjWIgc/edit?usp=sharing"",""อุบลราชธานี!J372"")"),925.6)</f>
        <v>925.6</v>
      </c>
      <c r="AC51" s="376">
        <f t="shared" ca="1" si="33"/>
        <v>21.711899791231733</v>
      </c>
    </row>
    <row r="52" spans="1:29" ht="21" customHeight="1" x14ac:dyDescent="0.3">
      <c r="A52" s="650" t="s">
        <v>78</v>
      </c>
      <c r="B52" s="583"/>
      <c r="C52" s="194">
        <f t="shared" ca="1" si="20"/>
        <v>8038505</v>
      </c>
      <c r="D52" s="194">
        <f t="shared" ref="D52:I52" ca="1" si="40">SUM(D53:D73)</f>
        <v>8038505</v>
      </c>
      <c r="E52" s="194">
        <f t="shared" ca="1" si="40"/>
        <v>3933300</v>
      </c>
      <c r="F52" s="194">
        <f t="shared" ca="1" si="40"/>
        <v>4105205</v>
      </c>
      <c r="G52" s="194">
        <f t="shared" ca="1" si="40"/>
        <v>0</v>
      </c>
      <c r="H52" s="194">
        <f t="shared" ca="1" si="40"/>
        <v>8164395</v>
      </c>
      <c r="I52" s="194">
        <f t="shared" ca="1" si="40"/>
        <v>0</v>
      </c>
      <c r="J52" s="194">
        <f t="shared" ca="1" si="22"/>
        <v>3153909.4099999997</v>
      </c>
      <c r="K52" s="195">
        <f t="shared" ca="1" si="23"/>
        <v>39.235024547474929</v>
      </c>
      <c r="L52" s="194">
        <f ca="1">SUM(L53:L73)</f>
        <v>3153909.4099999997</v>
      </c>
      <c r="M52" s="120">
        <f t="shared" ca="1" si="24"/>
        <v>39.235024547474929</v>
      </c>
      <c r="N52" s="120">
        <f t="shared" ca="1" si="25"/>
        <v>38.630044357236507</v>
      </c>
      <c r="O52" s="119">
        <f ca="1">SUM(O53:O73)</f>
        <v>0</v>
      </c>
      <c r="P52" s="119">
        <f t="shared" ca="1" si="26"/>
        <v>0</v>
      </c>
      <c r="Q52" s="120">
        <f t="shared" ca="1" si="27"/>
        <v>0</v>
      </c>
      <c r="R52" s="348">
        <f t="shared" ref="R52:T52" ca="1" si="41">SUM(R53:R73)</f>
        <v>17325</v>
      </c>
      <c r="S52" s="161">
        <f t="shared" ca="1" si="41"/>
        <v>845</v>
      </c>
      <c r="T52" s="40">
        <f t="shared" ca="1" si="41"/>
        <v>9943.2599999999948</v>
      </c>
      <c r="U52" s="234">
        <f t="shared" ca="1" si="29"/>
        <v>57.392554112554087</v>
      </c>
      <c r="V52" s="348">
        <f t="shared" ref="V52:X52" ca="1" si="42">SUM(V53:V73)</f>
        <v>2680</v>
      </c>
      <c r="W52" s="161">
        <f t="shared" ca="1" si="42"/>
        <v>1168</v>
      </c>
      <c r="X52" s="40">
        <f t="shared" ca="1" si="42"/>
        <v>17232.569999999978</v>
      </c>
      <c r="Y52" s="234">
        <f t="shared" ca="1" si="31"/>
        <v>43.582089552238806</v>
      </c>
      <c r="Z52" s="348">
        <f t="shared" ref="Z52:AB52" ca="1" si="43">SUM(Z53:Z73)</f>
        <v>1810</v>
      </c>
      <c r="AA52" s="161">
        <f t="shared" ca="1" si="43"/>
        <v>777</v>
      </c>
      <c r="AB52" s="40">
        <f t="shared" ca="1" si="43"/>
        <v>12074.61999999999</v>
      </c>
      <c r="AC52" s="234">
        <f t="shared" ca="1" si="33"/>
        <v>42.928176795580107</v>
      </c>
    </row>
    <row r="53" spans="1:29" ht="21" customHeight="1" x14ac:dyDescent="0.3">
      <c r="A53" s="77">
        <v>1</v>
      </c>
      <c r="B53" s="78" t="s">
        <v>79</v>
      </c>
      <c r="C53" s="174">
        <f t="shared" ca="1" si="20"/>
        <v>756670</v>
      </c>
      <c r="D53" s="175">
        <f t="shared" ref="D53:D73" ca="1" si="44">+E53+F53</f>
        <v>756670</v>
      </c>
      <c r="E53" s="176">
        <f ca="1">IFERROR(__xludf.DUMMYFUNCTION("IMPORTRANGE(""https://docs.google.com/spreadsheets/d/1-uDff_7J0KD5mKrp0Vvzr7lt3OU09vwQwhkpOPPYv2Y/edit?usp=sharing"",""งบพรบ!FD53"")"),499100)</f>
        <v>499100</v>
      </c>
      <c r="F53" s="176">
        <f ca="1">IFERROR(__xludf.DUMMYFUNCTION("IMPORTRANGE(""https://docs.google.com/spreadsheets/d/1-uDff_7J0KD5mKrp0Vvzr7lt3OU09vwQwhkpOPPYv2Y/edit?usp=sharing"",""งบพรบ!FE53"")"),257570)</f>
        <v>257570</v>
      </c>
      <c r="G53" s="177">
        <f ca="1">IFERROR(__xludf.DUMMYFUNCTION("IMPORTRANGE(""https://docs.google.com/spreadsheets/d/1-uDff_7J0KD5mKrp0Vvzr7lt3OU09vwQwhkpOPPYv2Y/edit?usp=sharing"",""งบพรบ!FF53"")"),0)</f>
        <v>0</v>
      </c>
      <c r="H53" s="177">
        <f ca="1">IFERROR(__xludf.DUMMYFUNCTION("IMPORTRANGE(""https://docs.google.com/spreadsheets/d/1-uDff_7J0KD5mKrp0Vvzr7lt3OU09vwQwhkpOPPYv2Y/edit?usp=sharing"",""งบพรบ!FH53"")"),802845)</f>
        <v>802845</v>
      </c>
      <c r="I53" s="177">
        <f ca="1">IFERROR(__xludf.DUMMYFUNCTION("IMPORTRANGE(""https://docs.google.com/spreadsheets/d/1-uDff_7J0KD5mKrp0Vvzr7lt3OU09vwQwhkpOPPYv2Y/edit?usp=sharing"",""งบพรบ!FI53"")"),0)</f>
        <v>0</v>
      </c>
      <c r="J53" s="177">
        <f t="shared" ca="1" si="22"/>
        <v>109323</v>
      </c>
      <c r="K53" s="178">
        <f t="shared" ca="1" si="23"/>
        <v>14.447909921101669</v>
      </c>
      <c r="L53" s="177">
        <f ca="1">IFERROR(__xludf.DUMMYFUNCTION("IMPORTRANGE(""https://docs.google.com/spreadsheets/d/1-uDff_7J0KD5mKrp0Vvzr7lt3OU09vwQwhkpOPPYv2Y/edit?usp=sharing"",""งบพรบ!FJ53"")"),109323)</f>
        <v>109323</v>
      </c>
      <c r="M53" s="87">
        <f t="shared" ca="1" si="24"/>
        <v>14.447909921101669</v>
      </c>
      <c r="N53" s="87">
        <f t="shared" ca="1" si="25"/>
        <v>13.616949722549185</v>
      </c>
      <c r="O53" s="86">
        <f ca="1">IFERROR(__xludf.DUMMYFUNCTION("IMPORTRANGE(""https://docs.google.com/spreadsheets/d/1-uDff_7J0KD5mKrp0Vvzr7lt3OU09vwQwhkpOPPYv2Y/edit?usp=sharing"",""งบพรบ!FK53"")"),0)</f>
        <v>0</v>
      </c>
      <c r="P53" s="86">
        <f t="shared" ca="1" si="26"/>
        <v>0</v>
      </c>
      <c r="Q53" s="87">
        <f t="shared" ca="1" si="27"/>
        <v>0</v>
      </c>
      <c r="R53" s="353">
        <f ca="1">IFERROR(__xludf.DUMMYFUNCTION("IMPORTRANGE(""https://docs.google.com/spreadsheets/d/13wPX838HrBrQMCywv1BsuMkt4PEKTChp52zj44s2izQ/edit?usp=sharing"",""กาญจนบุรี!I368"")"),1350)</f>
        <v>1350</v>
      </c>
      <c r="S53" s="177">
        <f ca="1">IFERROR(__xludf.DUMMYFUNCTION("IMPORTRANGE(""https://docs.google.com/spreadsheets/d/13wPX838HrBrQMCywv1BsuMkt4PEKTChp52zj44s2izQ/edit?usp=sharing"",""กาญจนบุรี!J367"")"),38)</f>
        <v>38</v>
      </c>
      <c r="T53" s="354">
        <f ca="1">IFERROR(__xludf.DUMMYFUNCTION("IMPORTRANGE(""https://docs.google.com/spreadsheets/d/13wPX838HrBrQMCywv1BsuMkt4PEKTChp52zj44s2izQ/edit?usp=sharing"",""กาญจนบุรี!J368"")"),437.58)</f>
        <v>437.58</v>
      </c>
      <c r="U53" s="375">
        <f t="shared" ca="1" si="29"/>
        <v>32.413333333333334</v>
      </c>
      <c r="V53" s="353">
        <f ca="1">IFERROR(__xludf.DUMMYFUNCTION("IMPORTRANGE(""https://docs.google.com/spreadsheets/d/13wPX838HrBrQMCywv1BsuMkt4PEKTChp52zj44s2izQ/edit?usp=sharing"",""กาญจนบุรี!I369"")"),210)</f>
        <v>210</v>
      </c>
      <c r="W53" s="177">
        <f ca="1">IFERROR(__xludf.DUMMYFUNCTION("IMPORTRANGE(""https://docs.google.com/spreadsheets/d/13wPX838HrBrQMCywv1BsuMkt4PEKTChp52zj44s2izQ/edit?usp=sharing"",""กาญจนบุรี!J369"")"),39)</f>
        <v>39</v>
      </c>
      <c r="X53" s="354">
        <f ca="1">IFERROR(__xludf.DUMMYFUNCTION("IMPORTRANGE(""https://docs.google.com/spreadsheets/d/13wPX838HrBrQMCywv1BsuMkt4PEKTChp52zj44s2izQ/edit?usp=sharing"",""กาญจนบุรี!J370"")"),651.81)</f>
        <v>651.80999999999995</v>
      </c>
      <c r="Y53" s="375">
        <f t="shared" ca="1" si="31"/>
        <v>18.571428571428573</v>
      </c>
      <c r="Z53" s="353">
        <f ca="1">IFERROR(__xludf.DUMMYFUNCTION("IMPORTRANGE(""https://docs.google.com/spreadsheets/d/13wPX838HrBrQMCywv1BsuMkt4PEKTChp52zj44s2izQ/edit?usp=sharing"",""กาญจนบุรี!I371"")"),138)</f>
        <v>138</v>
      </c>
      <c r="AA53" s="177">
        <f ca="1">IFERROR(__xludf.DUMMYFUNCTION("IMPORTRANGE(""https://docs.google.com/spreadsheets/d/13wPX838HrBrQMCywv1BsuMkt4PEKTChp52zj44s2izQ/edit?usp=sharing"",""กาญจนบุรี!J371"")"),35)</f>
        <v>35</v>
      </c>
      <c r="AB53" s="354">
        <f ca="1">IFERROR(__xludf.DUMMYFUNCTION("IMPORTRANGE(""https://docs.google.com/spreadsheets/d/13wPX838HrBrQMCywv1BsuMkt4PEKTChp52zj44s2izQ/edit?usp=sharing"",""กาญจนบุรี!J372"")"),638.01)</f>
        <v>638.01</v>
      </c>
      <c r="AC53" s="375">
        <f t="shared" ca="1" si="33"/>
        <v>25.362318840579711</v>
      </c>
    </row>
    <row r="54" spans="1:29" ht="21" customHeight="1" x14ac:dyDescent="0.3">
      <c r="A54" s="89">
        <v>2</v>
      </c>
      <c r="B54" s="90" t="s">
        <v>80</v>
      </c>
      <c r="C54" s="174">
        <f t="shared" ca="1" si="20"/>
        <v>440405</v>
      </c>
      <c r="D54" s="175">
        <f t="shared" ca="1" si="44"/>
        <v>440405</v>
      </c>
      <c r="E54" s="176">
        <f ca="1">IFERROR(__xludf.DUMMYFUNCTION("IMPORTRANGE(""https://docs.google.com/spreadsheets/d/1-uDff_7J0KD5mKrp0Vvzr7lt3OU09vwQwhkpOPPYv2Y/edit?usp=sharing"",""งบพรบ!FD54"")"),250600)</f>
        <v>250600</v>
      </c>
      <c r="F54" s="176">
        <f ca="1">IFERROR(__xludf.DUMMYFUNCTION("IMPORTRANGE(""https://docs.google.com/spreadsheets/d/1-uDff_7J0KD5mKrp0Vvzr7lt3OU09vwQwhkpOPPYv2Y/edit?usp=sharing"",""งบพรบ!FE54"")"),189805)</f>
        <v>189805</v>
      </c>
      <c r="G54" s="176">
        <f ca="1">IFERROR(__xludf.DUMMYFUNCTION("IMPORTRANGE(""https://docs.google.com/spreadsheets/d/1-uDff_7J0KD5mKrp0Vvzr7lt3OU09vwQwhkpOPPYv2Y/edit?usp=sharing"",""งบพรบ!FF54"")"),0)</f>
        <v>0</v>
      </c>
      <c r="H54" s="176">
        <f ca="1">IFERROR(__xludf.DUMMYFUNCTION("IMPORTRANGE(""https://docs.google.com/spreadsheets/d/1-uDff_7J0KD5mKrp0Vvzr7lt3OU09vwQwhkpOPPYv2Y/edit?usp=sharing"",""งบพรบ!FH54"")"),440405)</f>
        <v>440405</v>
      </c>
      <c r="I54" s="176">
        <f ca="1">IFERROR(__xludf.DUMMYFUNCTION("IMPORTRANGE(""https://docs.google.com/spreadsheets/d/1-uDff_7J0KD5mKrp0Vvzr7lt3OU09vwQwhkpOPPYv2Y/edit?usp=sharing"",""งบพรบ!FI54"")"),0)</f>
        <v>0</v>
      </c>
      <c r="J54" s="176">
        <f t="shared" ca="1" si="22"/>
        <v>239243.42</v>
      </c>
      <c r="K54" s="179">
        <f t="shared" ca="1" si="23"/>
        <v>54.323502230901106</v>
      </c>
      <c r="L54" s="176">
        <f ca="1">IFERROR(__xludf.DUMMYFUNCTION("IMPORTRANGE(""https://docs.google.com/spreadsheets/d/1-uDff_7J0KD5mKrp0Vvzr7lt3OU09vwQwhkpOPPYv2Y/edit?usp=sharing"",""งบพรบ!FJ54"")"),239243.42)</f>
        <v>239243.42</v>
      </c>
      <c r="M54" s="87">
        <f t="shared" ca="1" si="24"/>
        <v>54.323502230901106</v>
      </c>
      <c r="N54" s="87">
        <f t="shared" ca="1" si="25"/>
        <v>54.323502230901106</v>
      </c>
      <c r="O54" s="86">
        <f ca="1">IFERROR(__xludf.DUMMYFUNCTION("IMPORTRANGE(""https://docs.google.com/spreadsheets/d/1-uDff_7J0KD5mKrp0Vvzr7lt3OU09vwQwhkpOPPYv2Y/edit?usp=sharing"",""งบพรบ!FK54"")"),0)</f>
        <v>0</v>
      </c>
      <c r="P54" s="86">
        <f t="shared" ca="1" si="26"/>
        <v>0</v>
      </c>
      <c r="Q54" s="87">
        <f t="shared" ca="1" si="27"/>
        <v>0</v>
      </c>
      <c r="R54" s="353">
        <f ca="1">IFERROR(__xludf.DUMMYFUNCTION("IMPORTRANGE(""https://docs.google.com/spreadsheets/d/1ddFKvqj1W1NEiWytbGlB1zMx_ykJDVtmfEQ-6-lIUBA/edit?usp=sharing"",""จันทบุรี!I368"")"),730)</f>
        <v>730</v>
      </c>
      <c r="S54" s="177">
        <f ca="1">IFERROR(__xludf.DUMMYFUNCTION("IMPORTRANGE(""https://docs.google.com/spreadsheets/d/1ddFKvqj1W1NEiWytbGlB1zMx_ykJDVtmfEQ-6-lIUBA/edit?usp=sharing"",""จันทบุรี!J367"")"),80)</f>
        <v>80</v>
      </c>
      <c r="T54" s="354">
        <f ca="1">IFERROR(__xludf.DUMMYFUNCTION("IMPORTRANGE(""https://docs.google.com/spreadsheets/d/1ddFKvqj1W1NEiWytbGlB1zMx_ykJDVtmfEQ-6-lIUBA/edit?usp=sharing"",""จันทบุรี!J368"")"),797.75)</f>
        <v>797.75</v>
      </c>
      <c r="U54" s="375">
        <f t="shared" ca="1" si="29"/>
        <v>109.28082191780823</v>
      </c>
      <c r="V54" s="353">
        <f ca="1">IFERROR(__xludf.DUMMYFUNCTION("IMPORTRANGE(""https://docs.google.com/spreadsheets/d/1ddFKvqj1W1NEiWytbGlB1zMx_ykJDVtmfEQ-6-lIUBA/edit?usp=sharing"",""จันทบุรี!I369"")"),119)</f>
        <v>119</v>
      </c>
      <c r="W54" s="177">
        <f ca="1">IFERROR(__xludf.DUMMYFUNCTION("IMPORTRANGE(""https://docs.google.com/spreadsheets/d/1ddFKvqj1W1NEiWytbGlB1zMx_ykJDVtmfEQ-6-lIUBA/edit?usp=sharing"",""จันทบุรี!J369"")"),38)</f>
        <v>38</v>
      </c>
      <c r="X54" s="354">
        <f ca="1">IFERROR(__xludf.DUMMYFUNCTION("IMPORTRANGE(""https://docs.google.com/spreadsheets/d/1ddFKvqj1W1NEiWytbGlB1zMx_ykJDVtmfEQ-6-lIUBA/edit?usp=sharing"",""จันทบุรี!J370"")"),535.45)</f>
        <v>535.45000000000005</v>
      </c>
      <c r="Y54" s="375">
        <f t="shared" ca="1" si="31"/>
        <v>31.932773109243698</v>
      </c>
      <c r="Z54" s="353">
        <f ca="1">IFERROR(__xludf.DUMMYFUNCTION("IMPORTRANGE(""https://docs.google.com/spreadsheets/d/1ddFKvqj1W1NEiWytbGlB1zMx_ykJDVtmfEQ-6-lIUBA/edit?usp=sharing"",""จันทบุรี!I371"")"),79)</f>
        <v>79</v>
      </c>
      <c r="AA54" s="177">
        <f ca="1">IFERROR(__xludf.DUMMYFUNCTION("IMPORTRANGE(""https://docs.google.com/spreadsheets/d/1ddFKvqj1W1NEiWytbGlB1zMx_ykJDVtmfEQ-6-lIUBA/edit?usp=sharing"",""จันทบุรี!J371"")"),23)</f>
        <v>23</v>
      </c>
      <c r="AB54" s="354">
        <f ca="1">IFERROR(__xludf.DUMMYFUNCTION("IMPORTRANGE(""https://docs.google.com/spreadsheets/d/1ddFKvqj1W1NEiWytbGlB1zMx_ykJDVtmfEQ-6-lIUBA/edit?usp=sharing"",""จันทบุรี!J372"")"),322.46)</f>
        <v>322.45999999999998</v>
      </c>
      <c r="AC54" s="375">
        <f t="shared" ca="1" si="33"/>
        <v>29.11392405063291</v>
      </c>
    </row>
    <row r="55" spans="1:29" ht="21" customHeight="1" x14ac:dyDescent="0.3">
      <c r="A55" s="89">
        <v>3</v>
      </c>
      <c r="B55" s="90" t="s">
        <v>81</v>
      </c>
      <c r="C55" s="174">
        <f t="shared" ca="1" si="20"/>
        <v>450655</v>
      </c>
      <c r="D55" s="175">
        <f t="shared" ca="1" si="44"/>
        <v>450655</v>
      </c>
      <c r="E55" s="176">
        <f ca="1">IFERROR(__xludf.DUMMYFUNCTION("IMPORTRANGE(""https://docs.google.com/spreadsheets/d/1-uDff_7J0KD5mKrp0Vvzr7lt3OU09vwQwhkpOPPYv2Y/edit?usp=sharing"",""งบพรบ!FD55"")"),0)</f>
        <v>0</v>
      </c>
      <c r="F55" s="176">
        <f ca="1">IFERROR(__xludf.DUMMYFUNCTION("IMPORTRANGE(""https://docs.google.com/spreadsheets/d/1-uDff_7J0KD5mKrp0Vvzr7lt3OU09vwQwhkpOPPYv2Y/edit?usp=sharing"",""งบพรบ!FE55"")"),450655)</f>
        <v>450655</v>
      </c>
      <c r="G55" s="176">
        <f ca="1">IFERROR(__xludf.DUMMYFUNCTION("IMPORTRANGE(""https://docs.google.com/spreadsheets/d/1-uDff_7J0KD5mKrp0Vvzr7lt3OU09vwQwhkpOPPYv2Y/edit?usp=sharing"",""งบพรบ!FF55"")"),0)</f>
        <v>0</v>
      </c>
      <c r="H55" s="176">
        <f ca="1">IFERROR(__xludf.DUMMYFUNCTION("IMPORTRANGE(""https://docs.google.com/spreadsheets/d/1-uDff_7J0KD5mKrp0Vvzr7lt3OU09vwQwhkpOPPYv2Y/edit?usp=sharing"",""งบพรบ!FH55"")"),474030)</f>
        <v>474030</v>
      </c>
      <c r="I55" s="176">
        <f ca="1">IFERROR(__xludf.DUMMYFUNCTION("IMPORTRANGE(""https://docs.google.com/spreadsheets/d/1-uDff_7J0KD5mKrp0Vvzr7lt3OU09vwQwhkpOPPYv2Y/edit?usp=sharing"",""งบพรบ!FI55"")"),0)</f>
        <v>0</v>
      </c>
      <c r="J55" s="176">
        <f t="shared" ca="1" si="22"/>
        <v>152643.34</v>
      </c>
      <c r="K55" s="179">
        <f t="shared" ca="1" si="23"/>
        <v>33.871440458887619</v>
      </c>
      <c r="L55" s="176">
        <f ca="1">IFERROR(__xludf.DUMMYFUNCTION("IMPORTRANGE(""https://docs.google.com/spreadsheets/d/1-uDff_7J0KD5mKrp0Vvzr7lt3OU09vwQwhkpOPPYv2Y/edit?usp=sharing"",""งบพรบ!FJ55"")"),152643.34)</f>
        <v>152643.34</v>
      </c>
      <c r="M55" s="87">
        <f t="shared" ca="1" si="24"/>
        <v>33.871440458887619</v>
      </c>
      <c r="N55" s="87">
        <f t="shared" ca="1" si="25"/>
        <v>32.20119823639854</v>
      </c>
      <c r="O55" s="86">
        <f ca="1">IFERROR(__xludf.DUMMYFUNCTION("IMPORTRANGE(""https://docs.google.com/spreadsheets/d/1-uDff_7J0KD5mKrp0Vvzr7lt3OU09vwQwhkpOPPYv2Y/edit?usp=sharing"",""งบพรบ!FK55"")"),0)</f>
        <v>0</v>
      </c>
      <c r="P55" s="86">
        <f t="shared" ca="1" si="26"/>
        <v>0</v>
      </c>
      <c r="Q55" s="87">
        <f t="shared" ca="1" si="27"/>
        <v>0</v>
      </c>
      <c r="R55" s="353">
        <f ca="1">IFERROR(__xludf.DUMMYFUNCTION("IMPORTRANGE(""https://docs.google.com/spreadsheets/d/1T1PQvRODqOBZk8BRht_U031fIS1beLA0Ub2CEytj2q0/edit?usp=sharing"",""ฉะเชิงเทรา!I368"")"),3355)</f>
        <v>3355</v>
      </c>
      <c r="S55" s="177">
        <f ca="1">IFERROR(__xludf.DUMMYFUNCTION("IMPORTRANGE(""https://docs.google.com/spreadsheets/d/1T1PQvRODqOBZk8BRht_U031fIS1beLA0Ub2CEytj2q0/edit?usp=sharing"",""ฉะเชิงเทรา!J367"")"),183)</f>
        <v>183</v>
      </c>
      <c r="T55" s="354">
        <f ca="1">IFERROR(__xludf.DUMMYFUNCTION("IMPORTRANGE(""https://docs.google.com/spreadsheets/d/1T1PQvRODqOBZk8BRht_U031fIS1beLA0Ub2CEytj2q0/edit?usp=sharing"",""ฉะเชิงเทรา!J368"")"),2567.97)</f>
        <v>2567.9699999999998</v>
      </c>
      <c r="U55" s="375">
        <f t="shared" ca="1" si="29"/>
        <v>76.541579731743653</v>
      </c>
      <c r="V55" s="353">
        <f ca="1">IFERROR(__xludf.DUMMYFUNCTION("IMPORTRANGE(""https://docs.google.com/spreadsheets/d/1T1PQvRODqOBZk8BRht_U031fIS1beLA0Ub2CEytj2q0/edit?usp=sharing"",""ฉะเชิงเทรา!I369"")"),491)</f>
        <v>491</v>
      </c>
      <c r="W55" s="177">
        <f ca="1">IFERROR(__xludf.DUMMYFUNCTION("IMPORTRANGE(""https://docs.google.com/spreadsheets/d/1T1PQvRODqOBZk8BRht_U031fIS1beLA0Ub2CEytj2q0/edit?usp=sharing"",""ฉะเชิงเทรา!J369"")"),166)</f>
        <v>166</v>
      </c>
      <c r="X55" s="354">
        <f ca="1">IFERROR(__xludf.DUMMYFUNCTION("IMPORTRANGE(""https://docs.google.com/spreadsheets/d/1T1PQvRODqOBZk8BRht_U031fIS1beLA0Ub2CEytj2q0/edit?usp=sharing"",""ฉะเชิงเทรา!J370"")"),2170.56999999999)</f>
        <v>2170.5699999999902</v>
      </c>
      <c r="Y55" s="375">
        <f t="shared" ca="1" si="31"/>
        <v>33.808553971486759</v>
      </c>
      <c r="Z55" s="353">
        <f ca="1">IFERROR(__xludf.DUMMYFUNCTION("IMPORTRANGE(""https://docs.google.com/spreadsheets/d/1T1PQvRODqOBZk8BRht_U031fIS1beLA0Ub2CEytj2q0/edit?usp=sharing"",""ฉะเชิงเทรา!I371"")"),322)</f>
        <v>322</v>
      </c>
      <c r="AA55" s="177">
        <f ca="1">IFERROR(__xludf.DUMMYFUNCTION("IMPORTRANGE(""https://docs.google.com/spreadsheets/d/1T1PQvRODqOBZk8BRht_U031fIS1beLA0Ub2CEytj2q0/edit?usp=sharing"",""ฉะเชิงเทรา!J371"")"),53)</f>
        <v>53</v>
      </c>
      <c r="AB55" s="354">
        <f ca="1">IFERROR(__xludf.DUMMYFUNCTION("IMPORTRANGE(""https://docs.google.com/spreadsheets/d/1T1PQvRODqOBZk8BRht_U031fIS1beLA0Ub2CEytj2q0/edit?usp=sharing"",""ฉะเชิงเทรา!J372"")"),766.9)</f>
        <v>766.9</v>
      </c>
      <c r="AC55" s="375">
        <f t="shared" ca="1" si="33"/>
        <v>16.459627329192546</v>
      </c>
    </row>
    <row r="56" spans="1:29" ht="21" customHeight="1" x14ac:dyDescent="0.3">
      <c r="A56" s="89">
        <v>4</v>
      </c>
      <c r="B56" s="90" t="s">
        <v>82</v>
      </c>
      <c r="C56" s="174">
        <f t="shared" ca="1" si="20"/>
        <v>601325</v>
      </c>
      <c r="D56" s="175">
        <f t="shared" ca="1" si="44"/>
        <v>601325</v>
      </c>
      <c r="E56" s="176">
        <f ca="1">IFERROR(__xludf.DUMMYFUNCTION("IMPORTRANGE(""https://docs.google.com/spreadsheets/d/1-uDff_7J0KD5mKrp0Vvzr7lt3OU09vwQwhkpOPPYv2Y/edit?usp=sharing"",""งบพรบ!FD56"")"),341600)</f>
        <v>341600</v>
      </c>
      <c r="F56" s="176">
        <f ca="1">IFERROR(__xludf.DUMMYFUNCTION("IMPORTRANGE(""https://docs.google.com/spreadsheets/d/1-uDff_7J0KD5mKrp0Vvzr7lt3OU09vwQwhkpOPPYv2Y/edit?usp=sharing"",""งบพรบ!FE56"")"),259725)</f>
        <v>259725</v>
      </c>
      <c r="G56" s="176">
        <f ca="1">IFERROR(__xludf.DUMMYFUNCTION("IMPORTRANGE(""https://docs.google.com/spreadsheets/d/1-uDff_7J0KD5mKrp0Vvzr7lt3OU09vwQwhkpOPPYv2Y/edit?usp=sharing"",""งบพรบ!FF56"")"),0)</f>
        <v>0</v>
      </c>
      <c r="H56" s="176">
        <f ca="1">IFERROR(__xludf.DUMMYFUNCTION("IMPORTRANGE(""https://docs.google.com/spreadsheets/d/1-uDff_7J0KD5mKrp0Vvzr7lt3OU09vwQwhkpOPPYv2Y/edit?usp=sharing"",""งบพรบ!FH56"")"),601325)</f>
        <v>601325</v>
      </c>
      <c r="I56" s="176">
        <f ca="1">IFERROR(__xludf.DUMMYFUNCTION("IMPORTRANGE(""https://docs.google.com/spreadsheets/d/1-uDff_7J0KD5mKrp0Vvzr7lt3OU09vwQwhkpOPPYv2Y/edit?usp=sharing"",""งบพรบ!FI56"")"),0)</f>
        <v>0</v>
      </c>
      <c r="J56" s="176">
        <f t="shared" ca="1" si="22"/>
        <v>214129.55</v>
      </c>
      <c r="K56" s="179">
        <f t="shared" ca="1" si="23"/>
        <v>35.609620421569034</v>
      </c>
      <c r="L56" s="176">
        <f ca="1">IFERROR(__xludf.DUMMYFUNCTION("IMPORTRANGE(""https://docs.google.com/spreadsheets/d/1-uDff_7J0KD5mKrp0Vvzr7lt3OU09vwQwhkpOPPYv2Y/edit?usp=sharing"",""งบพรบ!FJ56"")"),214129.55)</f>
        <v>214129.55</v>
      </c>
      <c r="M56" s="87">
        <f t="shared" ca="1" si="24"/>
        <v>35.609620421569034</v>
      </c>
      <c r="N56" s="87">
        <f t="shared" ca="1" si="25"/>
        <v>35.609620421569034</v>
      </c>
      <c r="O56" s="86">
        <f ca="1">IFERROR(__xludf.DUMMYFUNCTION("IMPORTRANGE(""https://docs.google.com/spreadsheets/d/1-uDff_7J0KD5mKrp0Vvzr7lt3OU09vwQwhkpOPPYv2Y/edit?usp=sharing"",""งบพรบ!FK56"")"),0)</f>
        <v>0</v>
      </c>
      <c r="P56" s="86">
        <f t="shared" ca="1" si="26"/>
        <v>0</v>
      </c>
      <c r="Q56" s="87">
        <f t="shared" ca="1" si="27"/>
        <v>0</v>
      </c>
      <c r="R56" s="353">
        <f ca="1">IFERROR(__xludf.DUMMYFUNCTION("IMPORTRANGE(""https://docs.google.com/spreadsheets/d/11tr1B-Bhyr79v2bkwVh5h_fR-PStkgjlZtkrZpYurG0/edit?usp=sharing"",""ชลบุรี!I368"")"),1475)</f>
        <v>1475</v>
      </c>
      <c r="S56" s="177">
        <f ca="1">IFERROR(__xludf.DUMMYFUNCTION("IMPORTRANGE(""https://docs.google.com/spreadsheets/d/11tr1B-Bhyr79v2bkwVh5h_fR-PStkgjlZtkrZpYurG0/edit?usp=sharing"",""ชลบุรี!J367"")"),144)</f>
        <v>144</v>
      </c>
      <c r="T56" s="354">
        <f ca="1">IFERROR(__xludf.DUMMYFUNCTION("IMPORTRANGE(""https://docs.google.com/spreadsheets/d/11tr1B-Bhyr79v2bkwVh5h_fR-PStkgjlZtkrZpYurG0/edit?usp=sharing"",""ชลบุรี!J368"")"),1654.17)</f>
        <v>1654.17</v>
      </c>
      <c r="U56" s="375">
        <f t="shared" ca="1" si="29"/>
        <v>112.1471186440678</v>
      </c>
      <c r="V56" s="353">
        <f ca="1">IFERROR(__xludf.DUMMYFUNCTION("IMPORTRANGE(""https://docs.google.com/spreadsheets/d/11tr1B-Bhyr79v2bkwVh5h_fR-PStkgjlZtkrZpYurG0/edit?usp=sharing"",""ชลบุรี!I369"")"),205)</f>
        <v>205</v>
      </c>
      <c r="W56" s="177">
        <f ca="1">IFERROR(__xludf.DUMMYFUNCTION("IMPORTRANGE(""https://docs.google.com/spreadsheets/d/11tr1B-Bhyr79v2bkwVh5h_fR-PStkgjlZtkrZpYurG0/edit?usp=sharing"",""ชลบุรี!J369"")"),178)</f>
        <v>178</v>
      </c>
      <c r="X56" s="354">
        <f ca="1">IFERROR(__xludf.DUMMYFUNCTION("IMPORTRANGE(""https://docs.google.com/spreadsheets/d/11tr1B-Bhyr79v2bkwVh5h_fR-PStkgjlZtkrZpYurG0/edit?usp=sharing"",""ชลบุรี!J370"")"),3005.74)</f>
        <v>3005.74</v>
      </c>
      <c r="Y56" s="375">
        <f t="shared" ca="1" si="31"/>
        <v>86.829268292682926</v>
      </c>
      <c r="Z56" s="353">
        <f ca="1">IFERROR(__xludf.DUMMYFUNCTION("IMPORTRANGE(""https://docs.google.com/spreadsheets/d/11tr1B-Bhyr79v2bkwVh5h_fR-PStkgjlZtkrZpYurG0/edit?usp=sharing"",""ชลบุรี!I371"")"),133)</f>
        <v>133</v>
      </c>
      <c r="AA56" s="177">
        <f ca="1">IFERROR(__xludf.DUMMYFUNCTION("IMPORTRANGE(""https://docs.google.com/spreadsheets/d/11tr1B-Bhyr79v2bkwVh5h_fR-PStkgjlZtkrZpYurG0/edit?usp=sharing"",""ชลบุรี!J371"")"),183)</f>
        <v>183</v>
      </c>
      <c r="AB56" s="354">
        <f ca="1">IFERROR(__xludf.DUMMYFUNCTION("IMPORTRANGE(""https://docs.google.com/spreadsheets/d/11tr1B-Bhyr79v2bkwVh5h_fR-PStkgjlZtkrZpYurG0/edit?usp=sharing"",""ชลบุรี!J372"")"),3086.93999999999)</f>
        <v>3086.9399999999901</v>
      </c>
      <c r="AC56" s="375">
        <f t="shared" ca="1" si="33"/>
        <v>137.59398496240601</v>
      </c>
    </row>
    <row r="57" spans="1:29" ht="21" customHeight="1" x14ac:dyDescent="0.3">
      <c r="A57" s="89">
        <v>5</v>
      </c>
      <c r="B57" s="90" t="s">
        <v>83</v>
      </c>
      <c r="C57" s="174">
        <f t="shared" ca="1" si="20"/>
        <v>368685</v>
      </c>
      <c r="D57" s="175">
        <f t="shared" ca="1" si="44"/>
        <v>368685</v>
      </c>
      <c r="E57" s="176">
        <f ca="1">IFERROR(__xludf.DUMMYFUNCTION("IMPORTRANGE(""https://docs.google.com/spreadsheets/d/1-uDff_7J0KD5mKrp0Vvzr7lt3OU09vwQwhkpOPPYv2Y/edit?usp=sharing"",""งบพรบ!FD57"")"),224000)</f>
        <v>224000</v>
      </c>
      <c r="F57" s="176">
        <f ca="1">IFERROR(__xludf.DUMMYFUNCTION("IMPORTRANGE(""https://docs.google.com/spreadsheets/d/1-uDff_7J0KD5mKrp0Vvzr7lt3OU09vwQwhkpOPPYv2Y/edit?usp=sharing"",""งบพรบ!FE57"")"),144685)</f>
        <v>144685</v>
      </c>
      <c r="G57" s="176">
        <f ca="1">IFERROR(__xludf.DUMMYFUNCTION("IMPORTRANGE(""https://docs.google.com/spreadsheets/d/1-uDff_7J0KD5mKrp0Vvzr7lt3OU09vwQwhkpOPPYv2Y/edit?usp=sharing"",""งบพรบ!FF57"")"),0)</f>
        <v>0</v>
      </c>
      <c r="H57" s="176">
        <f ca="1">IFERROR(__xludf.DUMMYFUNCTION("IMPORTRANGE(""https://docs.google.com/spreadsheets/d/1-uDff_7J0KD5mKrp0Vvzr7lt3OU09vwQwhkpOPPYv2Y/edit?usp=sharing"",""งบพรบ!FH57"")"),388685)</f>
        <v>388685</v>
      </c>
      <c r="I57" s="176">
        <f ca="1">IFERROR(__xludf.DUMMYFUNCTION("IMPORTRANGE(""https://docs.google.com/spreadsheets/d/1-uDff_7J0KD5mKrp0Vvzr7lt3OU09vwQwhkpOPPYv2Y/edit?usp=sharing"",""งบพรบ!FI57"")"),0)</f>
        <v>0</v>
      </c>
      <c r="J57" s="176">
        <f t="shared" ca="1" si="22"/>
        <v>196377</v>
      </c>
      <c r="K57" s="179">
        <f t="shared" ca="1" si="23"/>
        <v>53.264168599210706</v>
      </c>
      <c r="L57" s="176">
        <f ca="1">IFERROR(__xludf.DUMMYFUNCTION("IMPORTRANGE(""https://docs.google.com/spreadsheets/d/1-uDff_7J0KD5mKrp0Vvzr7lt3OU09vwQwhkpOPPYv2Y/edit?usp=sharing"",""งบพรบ!FJ57"")"),196377)</f>
        <v>196377</v>
      </c>
      <c r="M57" s="87">
        <f t="shared" ca="1" si="24"/>
        <v>53.264168599210706</v>
      </c>
      <c r="N57" s="87">
        <f t="shared" ca="1" si="25"/>
        <v>50.523431570551992</v>
      </c>
      <c r="O57" s="86">
        <f ca="1">IFERROR(__xludf.DUMMYFUNCTION("IMPORTRANGE(""https://docs.google.com/spreadsheets/d/1-uDff_7J0KD5mKrp0Vvzr7lt3OU09vwQwhkpOPPYv2Y/edit?usp=sharing"",""งบพรบ!FK57"")"),0)</f>
        <v>0</v>
      </c>
      <c r="P57" s="86">
        <f t="shared" ca="1" si="26"/>
        <v>0</v>
      </c>
      <c r="Q57" s="87">
        <f t="shared" ca="1" si="27"/>
        <v>0</v>
      </c>
      <c r="R57" s="353">
        <f ca="1">IFERROR(__xludf.DUMMYFUNCTION("IMPORTRANGE(""https://docs.google.com/spreadsheets/d/1hh-FVnSX0vozXhGluamEcS54Dw9_zqW0N7qJUWgJ0Sw/edit?usp=sharing"",""ชัยนาท!I368"")"),265)</f>
        <v>265</v>
      </c>
      <c r="S57" s="177">
        <f ca="1">IFERROR(__xludf.DUMMYFUNCTION("IMPORTRANGE(""https://docs.google.com/spreadsheets/d/1hh-FVnSX0vozXhGluamEcS54Dw9_zqW0N7qJUWgJ0Sw/edit?usp=sharing"",""ชัยนาท!J367"")"),0)</f>
        <v>0</v>
      </c>
      <c r="T57" s="354">
        <f ca="1">IFERROR(__xludf.DUMMYFUNCTION("IMPORTRANGE(""https://docs.google.com/spreadsheets/d/1hh-FVnSX0vozXhGluamEcS54Dw9_zqW0N7qJUWgJ0Sw/edit?usp=sharing"",""ชัยนาท!J368"")"),0)</f>
        <v>0</v>
      </c>
      <c r="U57" s="375">
        <f t="shared" ca="1" si="29"/>
        <v>0</v>
      </c>
      <c r="V57" s="353">
        <f ca="1">IFERROR(__xludf.DUMMYFUNCTION("IMPORTRANGE(""https://docs.google.com/spreadsheets/d/1hh-FVnSX0vozXhGluamEcS54Dw9_zqW0N7qJUWgJ0Sw/edit?usp=sharing"",""ชัยนาท!I369"")"),53)</f>
        <v>53</v>
      </c>
      <c r="W57" s="177">
        <f ca="1">IFERROR(__xludf.DUMMYFUNCTION("IMPORTRANGE(""https://docs.google.com/spreadsheets/d/1hh-FVnSX0vozXhGluamEcS54Dw9_zqW0N7qJUWgJ0Sw/edit?usp=sharing"",""ชัยนาท!J369"")"),0)</f>
        <v>0</v>
      </c>
      <c r="X57" s="354">
        <f ca="1">IFERROR(__xludf.DUMMYFUNCTION("IMPORTRANGE(""https://docs.google.com/spreadsheets/d/1hh-FVnSX0vozXhGluamEcS54Dw9_zqW0N7qJUWgJ0Sw/edit?usp=sharing"",""ชัยนาท!J370"")"),0)</f>
        <v>0</v>
      </c>
      <c r="Y57" s="375">
        <f t="shared" ca="1" si="31"/>
        <v>0</v>
      </c>
      <c r="Z57" s="353">
        <f ca="1">IFERROR(__xludf.DUMMYFUNCTION("IMPORTRANGE(""https://docs.google.com/spreadsheets/d/1hh-FVnSX0vozXhGluamEcS54Dw9_zqW0N7qJUWgJ0Sw/edit?usp=sharing"",""ชัยนาท!I371"")"),42)</f>
        <v>42</v>
      </c>
      <c r="AA57" s="177">
        <f ca="1">IFERROR(__xludf.DUMMYFUNCTION("IMPORTRANGE(""https://docs.google.com/spreadsheets/d/1hh-FVnSX0vozXhGluamEcS54Dw9_zqW0N7qJUWgJ0Sw/edit?usp=sharing"",""ชัยนาท!J371"")"),3)</f>
        <v>3</v>
      </c>
      <c r="AB57" s="354">
        <f ca="1">IFERROR(__xludf.DUMMYFUNCTION("IMPORTRANGE(""https://docs.google.com/spreadsheets/d/1hh-FVnSX0vozXhGluamEcS54Dw9_zqW0N7qJUWgJ0Sw/edit?usp=sharing"",""ชัยนาท!J372"")"),14.59)</f>
        <v>14.59</v>
      </c>
      <c r="AC57" s="375">
        <f t="shared" ca="1" si="33"/>
        <v>7.1428571428571432</v>
      </c>
    </row>
    <row r="58" spans="1:29" ht="21" customHeight="1" x14ac:dyDescent="0.3">
      <c r="A58" s="89">
        <v>6</v>
      </c>
      <c r="B58" s="90" t="s">
        <v>84</v>
      </c>
      <c r="C58" s="174">
        <f t="shared" ca="1" si="20"/>
        <v>335210</v>
      </c>
      <c r="D58" s="175">
        <f t="shared" ca="1" si="44"/>
        <v>335210</v>
      </c>
      <c r="E58" s="176">
        <f ca="1">IFERROR(__xludf.DUMMYFUNCTION("IMPORTRANGE(""https://docs.google.com/spreadsheets/d/1-uDff_7J0KD5mKrp0Vvzr7lt3OU09vwQwhkpOPPYv2Y/edit?usp=sharing"",""งบพรบ!FD58"")"),91000)</f>
        <v>91000</v>
      </c>
      <c r="F58" s="176">
        <f ca="1">IFERROR(__xludf.DUMMYFUNCTION("IMPORTRANGE(""https://docs.google.com/spreadsheets/d/1-uDff_7J0KD5mKrp0Vvzr7lt3OU09vwQwhkpOPPYv2Y/edit?usp=sharing"",""งบพรบ!FE58"")"),244210)</f>
        <v>244210</v>
      </c>
      <c r="G58" s="176">
        <f ca="1">IFERROR(__xludf.DUMMYFUNCTION("IMPORTRANGE(""https://docs.google.com/spreadsheets/d/1-uDff_7J0KD5mKrp0Vvzr7lt3OU09vwQwhkpOPPYv2Y/edit?usp=sharing"",""งบพรบ!FF58"")"),0)</f>
        <v>0</v>
      </c>
      <c r="H58" s="176">
        <f ca="1">IFERROR(__xludf.DUMMYFUNCTION("IMPORTRANGE(""https://docs.google.com/spreadsheets/d/1-uDff_7J0KD5mKrp0Vvzr7lt3OU09vwQwhkpOPPYv2Y/edit?usp=sharing"",""งบพรบ!FH58"")"),335210)</f>
        <v>335210</v>
      </c>
      <c r="I58" s="176">
        <f ca="1">IFERROR(__xludf.DUMMYFUNCTION("IMPORTRANGE(""https://docs.google.com/spreadsheets/d/1-uDff_7J0KD5mKrp0Vvzr7lt3OU09vwQwhkpOPPYv2Y/edit?usp=sharing"",""งบพรบ!FI58"")"),0)</f>
        <v>0</v>
      </c>
      <c r="J58" s="176">
        <f t="shared" ca="1" si="22"/>
        <v>94270</v>
      </c>
      <c r="K58" s="179">
        <f t="shared" ca="1" si="23"/>
        <v>28.1226693714388</v>
      </c>
      <c r="L58" s="176">
        <f ca="1">IFERROR(__xludf.DUMMYFUNCTION("IMPORTRANGE(""https://docs.google.com/spreadsheets/d/1-uDff_7J0KD5mKrp0Vvzr7lt3OU09vwQwhkpOPPYv2Y/edit?usp=sharing"",""งบพรบ!FJ58"")"),94270)</f>
        <v>94270</v>
      </c>
      <c r="M58" s="87">
        <f t="shared" ca="1" si="24"/>
        <v>28.1226693714388</v>
      </c>
      <c r="N58" s="87">
        <f t="shared" ca="1" si="25"/>
        <v>28.1226693714388</v>
      </c>
      <c r="O58" s="86">
        <f ca="1">IFERROR(__xludf.DUMMYFUNCTION("IMPORTRANGE(""https://docs.google.com/spreadsheets/d/1-uDff_7J0KD5mKrp0Vvzr7lt3OU09vwQwhkpOPPYv2Y/edit?usp=sharing"",""งบพรบ!FK58"")"),0)</f>
        <v>0</v>
      </c>
      <c r="P58" s="86">
        <f t="shared" ca="1" si="26"/>
        <v>0</v>
      </c>
      <c r="Q58" s="87">
        <f t="shared" ca="1" si="27"/>
        <v>0</v>
      </c>
      <c r="R58" s="353">
        <f ca="1">IFERROR(__xludf.DUMMYFUNCTION("IMPORTRANGE(""https://docs.google.com/spreadsheets/d/1jkqa6GXxSacMcY1eN8AHjMNJ_7dDXMJVRLDlaFSOdPM/edit?usp=sharing"",""ตราด!I368"")"),1315)</f>
        <v>1315</v>
      </c>
      <c r="S58" s="177">
        <f ca="1">IFERROR(__xludf.DUMMYFUNCTION("IMPORTRANGE(""https://docs.google.com/spreadsheets/d/1jkqa6GXxSacMcY1eN8AHjMNJ_7dDXMJVRLDlaFSOdPM/edit?usp=sharing"",""ตราด!J367"")"),15)</f>
        <v>15</v>
      </c>
      <c r="T58" s="354">
        <f ca="1">IFERROR(__xludf.DUMMYFUNCTION("IMPORTRANGE(""https://docs.google.com/spreadsheets/d/1jkqa6GXxSacMcY1eN8AHjMNJ_7dDXMJVRLDlaFSOdPM/edit?usp=sharing"",""ตราด!J368"")"),353.38)</f>
        <v>353.38</v>
      </c>
      <c r="U58" s="375">
        <f t="shared" ca="1" si="29"/>
        <v>26.873003802281367</v>
      </c>
      <c r="V58" s="353">
        <f ca="1">IFERROR(__xludf.DUMMYFUNCTION("IMPORTRANGE(""https://docs.google.com/spreadsheets/d/1jkqa6GXxSacMcY1eN8AHjMNJ_7dDXMJVRLDlaFSOdPM/edit?usp=sharing"",""ตราด!I369"")"),191)</f>
        <v>191</v>
      </c>
      <c r="W58" s="177">
        <f ca="1">IFERROR(__xludf.DUMMYFUNCTION("IMPORTRANGE(""https://docs.google.com/spreadsheets/d/1jkqa6GXxSacMcY1eN8AHjMNJ_7dDXMJVRLDlaFSOdPM/edit?usp=sharing"",""ตราด!J369"")"),137)</f>
        <v>137</v>
      </c>
      <c r="X58" s="354">
        <f ca="1">IFERROR(__xludf.DUMMYFUNCTION("IMPORTRANGE(""https://docs.google.com/spreadsheets/d/1jkqa6GXxSacMcY1eN8AHjMNJ_7dDXMJVRLDlaFSOdPM/edit?usp=sharing"",""ตราด!J370"")"),2544.34)</f>
        <v>2544.34</v>
      </c>
      <c r="Y58" s="375">
        <f t="shared" ca="1" si="31"/>
        <v>71.727748691099478</v>
      </c>
      <c r="Z58" s="353">
        <f ca="1">IFERROR(__xludf.DUMMYFUNCTION("IMPORTRANGE(""https://docs.google.com/spreadsheets/d/1jkqa6GXxSacMcY1eN8AHjMNJ_7dDXMJVRLDlaFSOdPM/edit?usp=sharing"",""ตราด!I371"")"),135)</f>
        <v>135</v>
      </c>
      <c r="AA58" s="177">
        <f ca="1">IFERROR(__xludf.DUMMYFUNCTION("IMPORTRANGE(""https://docs.google.com/spreadsheets/d/1jkqa6GXxSacMcY1eN8AHjMNJ_7dDXMJVRLDlaFSOdPM/edit?usp=sharing"",""ตราด!J371"")"),133)</f>
        <v>133</v>
      </c>
      <c r="AB58" s="354">
        <f ca="1">IFERROR(__xludf.DUMMYFUNCTION("IMPORTRANGE(""https://docs.google.com/spreadsheets/d/1jkqa6GXxSacMcY1eN8AHjMNJ_7dDXMJVRLDlaFSOdPM/edit?usp=sharing"",""ตราด!J372"")"),2405.99)</f>
        <v>2405.9899999999998</v>
      </c>
      <c r="AC58" s="375">
        <f t="shared" ca="1" si="33"/>
        <v>98.518518518518519</v>
      </c>
    </row>
    <row r="59" spans="1:29" ht="21" customHeight="1" x14ac:dyDescent="0.3">
      <c r="A59" s="89">
        <v>7</v>
      </c>
      <c r="B59" s="90" t="s">
        <v>85</v>
      </c>
      <c r="C59" s="174">
        <f t="shared" ca="1" si="20"/>
        <v>116090</v>
      </c>
      <c r="D59" s="175">
        <f t="shared" ca="1" si="44"/>
        <v>116090</v>
      </c>
      <c r="E59" s="176">
        <f ca="1">IFERROR(__xludf.DUMMYFUNCTION("IMPORTRANGE(""https://docs.google.com/spreadsheets/d/1-uDff_7J0KD5mKrp0Vvzr7lt3OU09vwQwhkpOPPYv2Y/edit?usp=sharing"",""งบพรบ!FD59"")"),0)</f>
        <v>0</v>
      </c>
      <c r="F59" s="176">
        <f ca="1">IFERROR(__xludf.DUMMYFUNCTION("IMPORTRANGE(""https://docs.google.com/spreadsheets/d/1-uDff_7J0KD5mKrp0Vvzr7lt3OU09vwQwhkpOPPYv2Y/edit?usp=sharing"",""งบพรบ!FE59"")"),116090)</f>
        <v>116090</v>
      </c>
      <c r="G59" s="176">
        <f ca="1">IFERROR(__xludf.DUMMYFUNCTION("IMPORTRANGE(""https://docs.google.com/spreadsheets/d/1-uDff_7J0KD5mKrp0Vvzr7lt3OU09vwQwhkpOPPYv2Y/edit?usp=sharing"",""งบพรบ!FF59"")"),0)</f>
        <v>0</v>
      </c>
      <c r="H59" s="176">
        <f ca="1">IFERROR(__xludf.DUMMYFUNCTION("IMPORTRANGE(""https://docs.google.com/spreadsheets/d/1-uDff_7J0KD5mKrp0Vvzr7lt3OU09vwQwhkpOPPYv2Y/edit?usp=sharing"",""งบพรบ!FH59"")"),116090)</f>
        <v>116090</v>
      </c>
      <c r="I59" s="176">
        <f ca="1">IFERROR(__xludf.DUMMYFUNCTION("IMPORTRANGE(""https://docs.google.com/spreadsheets/d/1-uDff_7J0KD5mKrp0Vvzr7lt3OU09vwQwhkpOPPYv2Y/edit?usp=sharing"",""งบพรบ!FI59"")"),0)</f>
        <v>0</v>
      </c>
      <c r="J59" s="176">
        <f t="shared" ca="1" si="22"/>
        <v>38132</v>
      </c>
      <c r="K59" s="179">
        <f t="shared" ca="1" si="23"/>
        <v>32.846929106727536</v>
      </c>
      <c r="L59" s="176">
        <f ca="1">IFERROR(__xludf.DUMMYFUNCTION("IMPORTRANGE(""https://docs.google.com/spreadsheets/d/1-uDff_7J0KD5mKrp0Vvzr7lt3OU09vwQwhkpOPPYv2Y/edit?usp=sharing"",""งบพรบ!FJ59"")"),38132)</f>
        <v>38132</v>
      </c>
      <c r="M59" s="87">
        <f t="shared" ca="1" si="24"/>
        <v>32.846929106727536</v>
      </c>
      <c r="N59" s="87">
        <f t="shared" ca="1" si="25"/>
        <v>32.846929106727536</v>
      </c>
      <c r="O59" s="86">
        <f ca="1">IFERROR(__xludf.DUMMYFUNCTION("IMPORTRANGE(""https://docs.google.com/spreadsheets/d/1-uDff_7J0KD5mKrp0Vvzr7lt3OU09vwQwhkpOPPYv2Y/edit?usp=sharing"",""งบพรบ!FK59"")"),0)</f>
        <v>0</v>
      </c>
      <c r="P59" s="86">
        <f t="shared" ca="1" si="26"/>
        <v>0</v>
      </c>
      <c r="Q59" s="87">
        <f t="shared" ca="1" si="27"/>
        <v>0</v>
      </c>
      <c r="R59" s="353">
        <f ca="1">IFERROR(__xludf.DUMMYFUNCTION("IMPORTRANGE(""https://docs.google.com/spreadsheets/d/18hSgUJ3VwClqi_qtULmmW3cLr0oe3OKaSYoKzdpTsYQ/edit?usp=sharing"",""นครนายก!I368"")"),0)</f>
        <v>0</v>
      </c>
      <c r="S59" s="177">
        <f ca="1">IFERROR(__xludf.DUMMYFUNCTION("IMPORTRANGE(""https://docs.google.com/spreadsheets/d/18hSgUJ3VwClqi_qtULmmW3cLr0oe3OKaSYoKzdpTsYQ/edit?usp=sharing"",""นครนายก!J367"")"),0)</f>
        <v>0</v>
      </c>
      <c r="T59" s="354">
        <f ca="1">IFERROR(__xludf.DUMMYFUNCTION("IMPORTRANGE(""https://docs.google.com/spreadsheets/d/18hSgUJ3VwClqi_qtULmmW3cLr0oe3OKaSYoKzdpTsYQ/edit?usp=sharing"",""นครนายก!J368"")"),0)</f>
        <v>0</v>
      </c>
      <c r="U59" s="375">
        <f t="shared" ca="1" si="29"/>
        <v>0</v>
      </c>
      <c r="V59" s="353">
        <f ca="1">IFERROR(__xludf.DUMMYFUNCTION("IMPORTRANGE(""https://docs.google.com/spreadsheets/d/18hSgUJ3VwClqi_qtULmmW3cLr0oe3OKaSYoKzdpTsYQ/edit?usp=sharing"",""นครนายก!I369"")"),0)</f>
        <v>0</v>
      </c>
      <c r="W59" s="177">
        <f ca="1">IFERROR(__xludf.DUMMYFUNCTION("IMPORTRANGE(""https://docs.google.com/spreadsheets/d/18hSgUJ3VwClqi_qtULmmW3cLr0oe3OKaSYoKzdpTsYQ/edit?usp=sharing"",""นครนายก!J369"")"),0)</f>
        <v>0</v>
      </c>
      <c r="X59" s="354">
        <f ca="1">IFERROR(__xludf.DUMMYFUNCTION("IMPORTRANGE(""https://docs.google.com/spreadsheets/d/18hSgUJ3VwClqi_qtULmmW3cLr0oe3OKaSYoKzdpTsYQ/edit?usp=sharing"",""นครนายก!J370"")"),0)</f>
        <v>0</v>
      </c>
      <c r="Y59" s="375">
        <f t="shared" ca="1" si="31"/>
        <v>0</v>
      </c>
      <c r="Z59" s="353">
        <f ca="1">IFERROR(__xludf.DUMMYFUNCTION("IMPORTRANGE(""https://docs.google.com/spreadsheets/d/18hSgUJ3VwClqi_qtULmmW3cLr0oe3OKaSYoKzdpTsYQ/edit?usp=sharing"",""นครนายก!I371"")"),9)</f>
        <v>9</v>
      </c>
      <c r="AA59" s="177">
        <f ca="1">IFERROR(__xludf.DUMMYFUNCTION("IMPORTRANGE(""https://docs.google.com/spreadsheets/d/18hSgUJ3VwClqi_qtULmmW3cLr0oe3OKaSYoKzdpTsYQ/edit?usp=sharing"",""นครนายก!J371"")"),0)</f>
        <v>0</v>
      </c>
      <c r="AB59" s="354">
        <f ca="1">IFERROR(__xludf.DUMMYFUNCTION("IMPORTRANGE(""https://docs.google.com/spreadsheets/d/18hSgUJ3VwClqi_qtULmmW3cLr0oe3OKaSYoKzdpTsYQ/edit?usp=sharing"",""นครนายก!J372"")"),0)</f>
        <v>0</v>
      </c>
      <c r="AC59" s="375">
        <f t="shared" ca="1" si="33"/>
        <v>0</v>
      </c>
    </row>
    <row r="60" spans="1:29" ht="21" customHeight="1" x14ac:dyDescent="0.3">
      <c r="A60" s="89">
        <v>8</v>
      </c>
      <c r="B60" s="90" t="s">
        <v>86</v>
      </c>
      <c r="C60" s="174">
        <f t="shared" ca="1" si="20"/>
        <v>115055</v>
      </c>
      <c r="D60" s="175">
        <f t="shared" ca="1" si="44"/>
        <v>115055</v>
      </c>
      <c r="E60" s="176">
        <f ca="1">IFERROR(__xludf.DUMMYFUNCTION("IMPORTRANGE(""https://docs.google.com/spreadsheets/d/1-uDff_7J0KD5mKrp0Vvzr7lt3OU09vwQwhkpOPPYv2Y/edit?usp=sharing"",""งบพรบ!FD60"")"),0)</f>
        <v>0</v>
      </c>
      <c r="F60" s="176">
        <f ca="1">IFERROR(__xludf.DUMMYFUNCTION("IMPORTRANGE(""https://docs.google.com/spreadsheets/d/1-uDff_7J0KD5mKrp0Vvzr7lt3OU09vwQwhkpOPPYv2Y/edit?usp=sharing"",""งบพรบ!FE60"")"),115055)</f>
        <v>115055</v>
      </c>
      <c r="G60" s="176">
        <f ca="1">IFERROR(__xludf.DUMMYFUNCTION("IMPORTRANGE(""https://docs.google.com/spreadsheets/d/1-uDff_7J0KD5mKrp0Vvzr7lt3OU09vwQwhkpOPPYv2Y/edit?usp=sharing"",""งบพรบ!FF60"")"),0)</f>
        <v>0</v>
      </c>
      <c r="H60" s="176">
        <f ca="1">IFERROR(__xludf.DUMMYFUNCTION("IMPORTRANGE(""https://docs.google.com/spreadsheets/d/1-uDff_7J0KD5mKrp0Vvzr7lt3OU09vwQwhkpOPPYv2Y/edit?usp=sharing"",""งบพรบ!FH60"")"),115055)</f>
        <v>115055</v>
      </c>
      <c r="I60" s="176">
        <f ca="1">IFERROR(__xludf.DUMMYFUNCTION("IMPORTRANGE(""https://docs.google.com/spreadsheets/d/1-uDff_7J0KD5mKrp0Vvzr7lt3OU09vwQwhkpOPPYv2Y/edit?usp=sharing"",""งบพรบ!FI60"")"),0)</f>
        <v>0</v>
      </c>
      <c r="J60" s="176">
        <f t="shared" ca="1" si="22"/>
        <v>39000</v>
      </c>
      <c r="K60" s="179">
        <f t="shared" ca="1" si="23"/>
        <v>33.896831949936988</v>
      </c>
      <c r="L60" s="176">
        <f ca="1">IFERROR(__xludf.DUMMYFUNCTION("IMPORTRANGE(""https://docs.google.com/spreadsheets/d/1-uDff_7J0KD5mKrp0Vvzr7lt3OU09vwQwhkpOPPYv2Y/edit?usp=sharing"",""งบพรบ!FJ60"")"),39000)</f>
        <v>39000</v>
      </c>
      <c r="M60" s="87">
        <f t="shared" ca="1" si="24"/>
        <v>33.896831949936988</v>
      </c>
      <c r="N60" s="87">
        <f t="shared" ca="1" si="25"/>
        <v>33.896831949936988</v>
      </c>
      <c r="O60" s="86">
        <f ca="1">IFERROR(__xludf.DUMMYFUNCTION("IMPORTRANGE(""https://docs.google.com/spreadsheets/d/1-uDff_7J0KD5mKrp0Vvzr7lt3OU09vwQwhkpOPPYv2Y/edit?usp=sharing"",""งบพรบ!FK60"")"),0)</f>
        <v>0</v>
      </c>
      <c r="P60" s="86">
        <f t="shared" ca="1" si="26"/>
        <v>0</v>
      </c>
      <c r="Q60" s="87">
        <f t="shared" ca="1" si="27"/>
        <v>0</v>
      </c>
      <c r="R60" s="353">
        <f ca="1">IFERROR(__xludf.DUMMYFUNCTION("IMPORTRANGE(""https://docs.google.com/spreadsheets/d/1YTZo6WM2dQ6Ix6FSdnL5P7uVnVKu40sxZu975tgG10E/edit?usp=sharing"",""นครปฐม!I368"")"),0)</f>
        <v>0</v>
      </c>
      <c r="S60" s="177">
        <f ca="1">IFERROR(__xludf.DUMMYFUNCTION("IMPORTRANGE(""https://docs.google.com/spreadsheets/d/1YTZo6WM2dQ6Ix6FSdnL5P7uVnVKu40sxZu975tgG10E/edit?usp=sharing"",""นครปฐม!J367"")"),0)</f>
        <v>0</v>
      </c>
      <c r="T60" s="354">
        <f ca="1">IFERROR(__xludf.DUMMYFUNCTION("IMPORTRANGE(""https://docs.google.com/spreadsheets/d/1YTZo6WM2dQ6Ix6FSdnL5P7uVnVKu40sxZu975tgG10E/edit?usp=sharing"",""นครปฐม!J368"")"),0)</f>
        <v>0</v>
      </c>
      <c r="U60" s="375">
        <f t="shared" ca="1" si="29"/>
        <v>0</v>
      </c>
      <c r="V60" s="353">
        <f ca="1">IFERROR(__xludf.DUMMYFUNCTION("IMPORTRANGE(""https://docs.google.com/spreadsheets/d/1YTZo6WM2dQ6Ix6FSdnL5P7uVnVKu40sxZu975tgG10E/edit?usp=sharing"",""นครปฐม!I369"")"),0)</f>
        <v>0</v>
      </c>
      <c r="W60" s="177">
        <f ca="1">IFERROR(__xludf.DUMMYFUNCTION("IMPORTRANGE(""https://docs.google.com/spreadsheets/d/1YTZo6WM2dQ6Ix6FSdnL5P7uVnVKu40sxZu975tgG10E/edit?usp=sharing"",""นครปฐม!J369"")"),0)</f>
        <v>0</v>
      </c>
      <c r="X60" s="354">
        <f ca="1">IFERROR(__xludf.DUMMYFUNCTION("IMPORTRANGE(""https://docs.google.com/spreadsheets/d/1YTZo6WM2dQ6Ix6FSdnL5P7uVnVKu40sxZu975tgG10E/edit?usp=sharing"",""นครปฐม!J370"")"),0)</f>
        <v>0</v>
      </c>
      <c r="Y60" s="375">
        <f t="shared" ca="1" si="31"/>
        <v>0</v>
      </c>
      <c r="Z60" s="353">
        <f ca="1">IFERROR(__xludf.DUMMYFUNCTION("IMPORTRANGE(""https://docs.google.com/spreadsheets/d/1YTZo6WM2dQ6Ix6FSdnL5P7uVnVKu40sxZu975tgG10E/edit?usp=sharing"",""นครปฐม!I371"")"),0)</f>
        <v>0</v>
      </c>
      <c r="AA60" s="177">
        <f ca="1">IFERROR(__xludf.DUMMYFUNCTION("IMPORTRANGE(""https://docs.google.com/spreadsheets/d/1YTZo6WM2dQ6Ix6FSdnL5P7uVnVKu40sxZu975tgG10E/edit?usp=sharing"",""นครปฐม!J371"")"),0)</f>
        <v>0</v>
      </c>
      <c r="AB60" s="354">
        <f ca="1">IFERROR(__xludf.DUMMYFUNCTION("IMPORTRANGE(""https://docs.google.com/spreadsheets/d/1YTZo6WM2dQ6Ix6FSdnL5P7uVnVKu40sxZu975tgG10E/edit?usp=sharing"",""นครปฐม!J372"")"),0)</f>
        <v>0</v>
      </c>
      <c r="AC60" s="375">
        <f t="shared" ca="1" si="33"/>
        <v>0</v>
      </c>
    </row>
    <row r="61" spans="1:29" ht="21" customHeight="1" x14ac:dyDescent="0.3">
      <c r="A61" s="89">
        <v>9</v>
      </c>
      <c r="B61" s="90" t="s">
        <v>87</v>
      </c>
      <c r="C61" s="174">
        <f t="shared" ca="1" si="20"/>
        <v>116090</v>
      </c>
      <c r="D61" s="175">
        <f t="shared" ca="1" si="44"/>
        <v>116090</v>
      </c>
      <c r="E61" s="176">
        <f ca="1">IFERROR(__xludf.DUMMYFUNCTION("IMPORTRANGE(""https://docs.google.com/spreadsheets/d/1-uDff_7J0KD5mKrp0Vvzr7lt3OU09vwQwhkpOPPYv2Y/edit?usp=sharing"",""งบพรบ!FD61"")"),0)</f>
        <v>0</v>
      </c>
      <c r="F61" s="176">
        <f ca="1">IFERROR(__xludf.DUMMYFUNCTION("IMPORTRANGE(""https://docs.google.com/spreadsheets/d/1-uDff_7J0KD5mKrp0Vvzr7lt3OU09vwQwhkpOPPYv2Y/edit?usp=sharing"",""งบพรบ!FE61"")"),116090)</f>
        <v>116090</v>
      </c>
      <c r="G61" s="176">
        <f ca="1">IFERROR(__xludf.DUMMYFUNCTION("IMPORTRANGE(""https://docs.google.com/spreadsheets/d/1-uDff_7J0KD5mKrp0Vvzr7lt3OU09vwQwhkpOPPYv2Y/edit?usp=sharing"",""งบพรบ!FF61"")"),0)</f>
        <v>0</v>
      </c>
      <c r="H61" s="176">
        <f ca="1">IFERROR(__xludf.DUMMYFUNCTION("IMPORTRANGE(""https://docs.google.com/spreadsheets/d/1-uDff_7J0KD5mKrp0Vvzr7lt3OU09vwQwhkpOPPYv2Y/edit?usp=sharing"",""งบพรบ!FH61"")"),116090)</f>
        <v>116090</v>
      </c>
      <c r="I61" s="176">
        <f ca="1">IFERROR(__xludf.DUMMYFUNCTION("IMPORTRANGE(""https://docs.google.com/spreadsheets/d/1-uDff_7J0KD5mKrp0Vvzr7lt3OU09vwQwhkpOPPYv2Y/edit?usp=sharing"",""งบพรบ!FI61"")"),0)</f>
        <v>0</v>
      </c>
      <c r="J61" s="176">
        <f t="shared" ca="1" si="22"/>
        <v>28500</v>
      </c>
      <c r="K61" s="179">
        <f t="shared" ca="1" si="23"/>
        <v>24.549918166939445</v>
      </c>
      <c r="L61" s="176">
        <f ca="1">IFERROR(__xludf.DUMMYFUNCTION("IMPORTRANGE(""https://docs.google.com/spreadsheets/d/1-uDff_7J0KD5mKrp0Vvzr7lt3OU09vwQwhkpOPPYv2Y/edit?usp=sharing"",""งบพรบ!FJ61"")"),28500)</f>
        <v>28500</v>
      </c>
      <c r="M61" s="87">
        <f t="shared" ca="1" si="24"/>
        <v>24.549918166939445</v>
      </c>
      <c r="N61" s="87">
        <f t="shared" ca="1" si="25"/>
        <v>24.549918166939445</v>
      </c>
      <c r="O61" s="86">
        <f ca="1">IFERROR(__xludf.DUMMYFUNCTION("IMPORTRANGE(""https://docs.google.com/spreadsheets/d/1-uDff_7J0KD5mKrp0Vvzr7lt3OU09vwQwhkpOPPYv2Y/edit?usp=sharing"",""งบพรบ!FK61"")"),0)</f>
        <v>0</v>
      </c>
      <c r="P61" s="86">
        <f t="shared" ca="1" si="26"/>
        <v>0</v>
      </c>
      <c r="Q61" s="87">
        <f t="shared" ca="1" si="27"/>
        <v>0</v>
      </c>
      <c r="R61" s="353">
        <f ca="1">IFERROR(__xludf.DUMMYFUNCTION("IMPORTRANGE(""https://docs.google.com/spreadsheets/d/1OYoGg4WDg5RIzwGeB10padOxJF9E_Vljuvvct_M7RDo/edit?usp=sharing"",""ปทุมธานี!I368"")"),0)</f>
        <v>0</v>
      </c>
      <c r="S61" s="177">
        <f ca="1">IFERROR(__xludf.DUMMYFUNCTION("IMPORTRANGE(""https://docs.google.com/spreadsheets/d/1OYoGg4WDg5RIzwGeB10padOxJF9E_Vljuvvct_M7RDo/edit?usp=sharing"",""ปทุมธานี!J367"")"),0)</f>
        <v>0</v>
      </c>
      <c r="T61" s="354">
        <f ca="1">IFERROR(__xludf.DUMMYFUNCTION("IMPORTRANGE(""https://docs.google.com/spreadsheets/d/1OYoGg4WDg5RIzwGeB10padOxJF9E_Vljuvvct_M7RDo/edit?usp=sharing"",""ปทุมธานี!J368"")"),0)</f>
        <v>0</v>
      </c>
      <c r="U61" s="375">
        <f t="shared" ca="1" si="29"/>
        <v>0</v>
      </c>
      <c r="V61" s="353">
        <f ca="1">IFERROR(__xludf.DUMMYFUNCTION("IMPORTRANGE(""https://docs.google.com/spreadsheets/d/1OYoGg4WDg5RIzwGeB10padOxJF9E_Vljuvvct_M7RDo/edit?usp=sharing"",""ปทุมธานี!I369"")"),0)</f>
        <v>0</v>
      </c>
      <c r="W61" s="177">
        <f ca="1">IFERROR(__xludf.DUMMYFUNCTION("IMPORTRANGE(""https://docs.google.com/spreadsheets/d/1OYoGg4WDg5RIzwGeB10padOxJF9E_Vljuvvct_M7RDo/edit?usp=sharing"",""ปทุมธานี!J369"")"),0)</f>
        <v>0</v>
      </c>
      <c r="X61" s="354">
        <f ca="1">IFERROR(__xludf.DUMMYFUNCTION("IMPORTRANGE(""https://docs.google.com/spreadsheets/d/1OYoGg4WDg5RIzwGeB10padOxJF9E_Vljuvvct_M7RDo/edit?usp=sharing"",""ปทุมธานี!J370"")"),0)</f>
        <v>0</v>
      </c>
      <c r="Y61" s="375">
        <f t="shared" ca="1" si="31"/>
        <v>0</v>
      </c>
      <c r="Z61" s="353">
        <f ca="1">IFERROR(__xludf.DUMMYFUNCTION("IMPORTRANGE(""https://docs.google.com/spreadsheets/d/1OYoGg4WDg5RIzwGeB10padOxJF9E_Vljuvvct_M7RDo/edit?usp=sharing"",""ปทุมธานี!I371"")"),0)</f>
        <v>0</v>
      </c>
      <c r="AA61" s="177">
        <f ca="1">IFERROR(__xludf.DUMMYFUNCTION("IMPORTRANGE(""https://docs.google.com/spreadsheets/d/1OYoGg4WDg5RIzwGeB10padOxJF9E_Vljuvvct_M7RDo/edit?usp=sharing"",""ปทุมธานี!J371"")"),0)</f>
        <v>0</v>
      </c>
      <c r="AB61" s="354">
        <f ca="1">IFERROR(__xludf.DUMMYFUNCTION("IMPORTRANGE(""https://docs.google.com/spreadsheets/d/1OYoGg4WDg5RIzwGeB10padOxJF9E_Vljuvvct_M7RDo/edit?usp=sharing"",""ปทุมธานี!J372"")"),0)</f>
        <v>0</v>
      </c>
      <c r="AC61" s="375">
        <f t="shared" ca="1" si="33"/>
        <v>0</v>
      </c>
    </row>
    <row r="62" spans="1:29" ht="21" customHeight="1" x14ac:dyDescent="0.3">
      <c r="A62" s="89">
        <v>10</v>
      </c>
      <c r="B62" s="90" t="s">
        <v>88</v>
      </c>
      <c r="C62" s="174">
        <f t="shared" ca="1" si="20"/>
        <v>266990</v>
      </c>
      <c r="D62" s="175">
        <f t="shared" ca="1" si="44"/>
        <v>266990</v>
      </c>
      <c r="E62" s="176">
        <f ca="1">IFERROR(__xludf.DUMMYFUNCTION("IMPORTRANGE(""https://docs.google.com/spreadsheets/d/1-uDff_7J0KD5mKrp0Vvzr7lt3OU09vwQwhkpOPPYv2Y/edit?usp=sharing"",""งบพรบ!FD62"")"),91000)</f>
        <v>91000</v>
      </c>
      <c r="F62" s="176">
        <f ca="1">IFERROR(__xludf.DUMMYFUNCTION("IMPORTRANGE(""https://docs.google.com/spreadsheets/d/1-uDff_7J0KD5mKrp0Vvzr7lt3OU09vwQwhkpOPPYv2Y/edit?usp=sharing"",""งบพรบ!FE62"")"),175990)</f>
        <v>175990</v>
      </c>
      <c r="G62" s="176">
        <f ca="1">IFERROR(__xludf.DUMMYFUNCTION("IMPORTRANGE(""https://docs.google.com/spreadsheets/d/1-uDff_7J0KD5mKrp0Vvzr7lt3OU09vwQwhkpOPPYv2Y/edit?usp=sharing"",""งบพรบ!FF62"")"),0)</f>
        <v>0</v>
      </c>
      <c r="H62" s="176">
        <f ca="1">IFERROR(__xludf.DUMMYFUNCTION("IMPORTRANGE(""https://docs.google.com/spreadsheets/d/1-uDff_7J0KD5mKrp0Vvzr7lt3OU09vwQwhkpOPPYv2Y/edit?usp=sharing"",""งบพรบ!FH62"")"),266990)</f>
        <v>266990</v>
      </c>
      <c r="I62" s="176">
        <f ca="1">IFERROR(__xludf.DUMMYFUNCTION("IMPORTRANGE(""https://docs.google.com/spreadsheets/d/1-uDff_7J0KD5mKrp0Vvzr7lt3OU09vwQwhkpOPPYv2Y/edit?usp=sharing"",""งบพรบ!FI62"")"),0)</f>
        <v>0</v>
      </c>
      <c r="J62" s="176">
        <f t="shared" ca="1" si="22"/>
        <v>96913.34</v>
      </c>
      <c r="K62" s="179">
        <f t="shared" ca="1" si="23"/>
        <v>36.298490580171539</v>
      </c>
      <c r="L62" s="176">
        <f ca="1">IFERROR(__xludf.DUMMYFUNCTION("IMPORTRANGE(""https://docs.google.com/spreadsheets/d/1-uDff_7J0KD5mKrp0Vvzr7lt3OU09vwQwhkpOPPYv2Y/edit?usp=sharing"",""งบพรบ!FJ62"")"),96913.34)</f>
        <v>96913.34</v>
      </c>
      <c r="M62" s="87">
        <f t="shared" ca="1" si="24"/>
        <v>36.298490580171539</v>
      </c>
      <c r="N62" s="87">
        <f t="shared" ca="1" si="25"/>
        <v>36.298490580171539</v>
      </c>
      <c r="O62" s="86">
        <f ca="1">IFERROR(__xludf.DUMMYFUNCTION("IMPORTRANGE(""https://docs.google.com/spreadsheets/d/1-uDff_7J0KD5mKrp0Vvzr7lt3OU09vwQwhkpOPPYv2Y/edit?usp=sharing"",""งบพรบ!FK62"")"),0)</f>
        <v>0</v>
      </c>
      <c r="P62" s="86">
        <f t="shared" ca="1" si="26"/>
        <v>0</v>
      </c>
      <c r="Q62" s="87">
        <f t="shared" ca="1" si="27"/>
        <v>0</v>
      </c>
      <c r="R62" s="353">
        <f ca="1">IFERROR(__xludf.DUMMYFUNCTION("IMPORTRANGE(""https://docs.google.com/spreadsheets/d/1GbCIE4D4wk9FUozzqk7SxfDMxDVBwVmI5zcaVUSzKAc/edit?usp=sharing"",""ประจวบคีรีขันธ์!I368"")"),565)</f>
        <v>565</v>
      </c>
      <c r="S62" s="177">
        <f ca="1">IFERROR(__xludf.DUMMYFUNCTION("IMPORTRANGE(""https://docs.google.com/spreadsheets/d/1GbCIE4D4wk9FUozzqk7SxfDMxDVBwVmI5zcaVUSzKAc/edit?usp=sharing"",""ประจวบคีรีขันธ์!J367"")"),24)</f>
        <v>24</v>
      </c>
      <c r="T62" s="354">
        <f ca="1">IFERROR(__xludf.DUMMYFUNCTION("IMPORTRANGE(""https://docs.google.com/spreadsheets/d/1GbCIE4D4wk9FUozzqk7SxfDMxDVBwVmI5zcaVUSzKAc/edit?usp=sharing"",""ประจวบคีรีขันธ์!J368"")"),136.42)</f>
        <v>136.41999999999999</v>
      </c>
      <c r="U62" s="375">
        <f t="shared" ca="1" si="29"/>
        <v>24.145132743362829</v>
      </c>
      <c r="V62" s="353">
        <f ca="1">IFERROR(__xludf.DUMMYFUNCTION("IMPORTRANGE(""https://docs.google.com/spreadsheets/d/1GbCIE4D4wk9FUozzqk7SxfDMxDVBwVmI5zcaVUSzKAc/edit?usp=sharing"",""ประจวบคีรีขันธ์!I369"")"),88)</f>
        <v>88</v>
      </c>
      <c r="W62" s="177">
        <f ca="1">IFERROR(__xludf.DUMMYFUNCTION("IMPORTRANGE(""https://docs.google.com/spreadsheets/d/1GbCIE4D4wk9FUozzqk7SxfDMxDVBwVmI5zcaVUSzKAc/edit?usp=sharing"",""ประจวบคีรีขันธ์!J369"")"),110)</f>
        <v>110</v>
      </c>
      <c r="X62" s="354">
        <f ca="1">IFERROR(__xludf.DUMMYFUNCTION("IMPORTRANGE(""https://docs.google.com/spreadsheets/d/1GbCIE4D4wk9FUozzqk7SxfDMxDVBwVmI5zcaVUSzKAc/edit?usp=sharing"",""ประจวบคีรีขันธ์!J370"")"),1280.64)</f>
        <v>1280.6400000000001</v>
      </c>
      <c r="Y62" s="375">
        <f t="shared" ca="1" si="31"/>
        <v>125</v>
      </c>
      <c r="Z62" s="353">
        <f ca="1">IFERROR(__xludf.DUMMYFUNCTION("IMPORTRANGE(""https://docs.google.com/spreadsheets/d/1GbCIE4D4wk9FUozzqk7SxfDMxDVBwVmI5zcaVUSzKAc/edit?usp=sharing"",""ประจวบคีรีขันธ์!I371"")"),65)</f>
        <v>65</v>
      </c>
      <c r="AA62" s="177">
        <f ca="1">IFERROR(__xludf.DUMMYFUNCTION("IMPORTRANGE(""https://docs.google.com/spreadsheets/d/1GbCIE4D4wk9FUozzqk7SxfDMxDVBwVmI5zcaVUSzKAc/edit?usp=sharing"",""ประจวบคีรีขันธ์!J371"")"),111)</f>
        <v>111</v>
      </c>
      <c r="AB62" s="354">
        <f ca="1">IFERROR(__xludf.DUMMYFUNCTION("IMPORTRANGE(""https://docs.google.com/spreadsheets/d/1GbCIE4D4wk9FUozzqk7SxfDMxDVBwVmI5zcaVUSzKAc/edit?usp=sharing"",""ประจวบคีรีขันธ์!J372"")"),1329.6)</f>
        <v>1329.6</v>
      </c>
      <c r="AC62" s="375">
        <f t="shared" ca="1" si="33"/>
        <v>170.76923076923077</v>
      </c>
    </row>
    <row r="63" spans="1:29" ht="21" customHeight="1" x14ac:dyDescent="0.3">
      <c r="A63" s="89">
        <v>11</v>
      </c>
      <c r="B63" s="90" t="s">
        <v>89</v>
      </c>
      <c r="C63" s="174">
        <f t="shared" ca="1" si="20"/>
        <v>618525</v>
      </c>
      <c r="D63" s="175">
        <f t="shared" ca="1" si="44"/>
        <v>618525</v>
      </c>
      <c r="E63" s="176">
        <f ca="1">IFERROR(__xludf.DUMMYFUNCTION("IMPORTRANGE(""https://docs.google.com/spreadsheets/d/1-uDff_7J0KD5mKrp0Vvzr7lt3OU09vwQwhkpOPPYv2Y/edit?usp=sharing"",""งบพรบ!FD63"")"),443800)</f>
        <v>443800</v>
      </c>
      <c r="F63" s="176">
        <f ca="1">IFERROR(__xludf.DUMMYFUNCTION("IMPORTRANGE(""https://docs.google.com/spreadsheets/d/1-uDff_7J0KD5mKrp0Vvzr7lt3OU09vwQwhkpOPPYv2Y/edit?usp=sharing"",""งบพรบ!FE63"")"),174725)</f>
        <v>174725</v>
      </c>
      <c r="G63" s="176">
        <f ca="1">IFERROR(__xludf.DUMMYFUNCTION("IMPORTRANGE(""https://docs.google.com/spreadsheets/d/1-uDff_7J0KD5mKrp0Vvzr7lt3OU09vwQwhkpOPPYv2Y/edit?usp=sharing"",""งบพรบ!FF63"")"),0)</f>
        <v>0</v>
      </c>
      <c r="H63" s="176">
        <f ca="1">IFERROR(__xludf.DUMMYFUNCTION("IMPORTRANGE(""https://docs.google.com/spreadsheets/d/1-uDff_7J0KD5mKrp0Vvzr7lt3OU09vwQwhkpOPPYv2Y/edit?usp=sharing"",""งบพรบ!FH63"")"),640225)</f>
        <v>640225</v>
      </c>
      <c r="I63" s="176">
        <f ca="1">IFERROR(__xludf.DUMMYFUNCTION("IMPORTRANGE(""https://docs.google.com/spreadsheets/d/1-uDff_7J0KD5mKrp0Vvzr7lt3OU09vwQwhkpOPPYv2Y/edit?usp=sharing"",""งบพรบ!FI63"")"),0)</f>
        <v>0</v>
      </c>
      <c r="J63" s="176">
        <f t="shared" ca="1" si="22"/>
        <v>244553.2</v>
      </c>
      <c r="K63" s="179">
        <f t="shared" ca="1" si="23"/>
        <v>39.538126995675192</v>
      </c>
      <c r="L63" s="176">
        <f ca="1">IFERROR(__xludf.DUMMYFUNCTION("IMPORTRANGE(""https://docs.google.com/spreadsheets/d/1-uDff_7J0KD5mKrp0Vvzr7lt3OU09vwQwhkpOPPYv2Y/edit?usp=sharing"",""งบพรบ!FJ63"")"),244553.2)</f>
        <v>244553.2</v>
      </c>
      <c r="M63" s="87">
        <f t="shared" ca="1" si="24"/>
        <v>39.538126995675192</v>
      </c>
      <c r="N63" s="87">
        <f t="shared" ca="1" si="25"/>
        <v>38.198008512632278</v>
      </c>
      <c r="O63" s="86">
        <f ca="1">IFERROR(__xludf.DUMMYFUNCTION("IMPORTRANGE(""https://docs.google.com/spreadsheets/d/1-uDff_7J0KD5mKrp0Vvzr7lt3OU09vwQwhkpOPPYv2Y/edit?usp=sharing"",""งบพรบ!FK63"")"),0)</f>
        <v>0</v>
      </c>
      <c r="P63" s="86">
        <f t="shared" ca="1" si="26"/>
        <v>0</v>
      </c>
      <c r="Q63" s="87">
        <f t="shared" ca="1" si="27"/>
        <v>0</v>
      </c>
      <c r="R63" s="353">
        <f ca="1">IFERROR(__xludf.DUMMYFUNCTION("IMPORTRANGE(""https://docs.google.com/spreadsheets/d/1vVf6wykvW_lAyu7Yo9L4hUTqHqIeP_qcVuxCtosJEbg/edit?usp=sharing"",""ปราจีนบุรี!I368"")"),585)</f>
        <v>585</v>
      </c>
      <c r="S63" s="177">
        <f ca="1">IFERROR(__xludf.DUMMYFUNCTION("IMPORTRANGE(""https://docs.google.com/spreadsheets/d/1vVf6wykvW_lAyu7Yo9L4hUTqHqIeP_qcVuxCtosJEbg/edit?usp=sharing"",""ปราจีนบุรี!J367"")"),3)</f>
        <v>3</v>
      </c>
      <c r="T63" s="354">
        <f ca="1">IFERROR(__xludf.DUMMYFUNCTION("IMPORTRANGE(""https://docs.google.com/spreadsheets/d/1vVf6wykvW_lAyu7Yo9L4hUTqHqIeP_qcVuxCtosJEbg/edit?usp=sharing"",""ปราจีนบุรี!J368"")"),64.46)</f>
        <v>64.459999999999994</v>
      </c>
      <c r="U63" s="375">
        <f t="shared" ca="1" si="29"/>
        <v>11.018803418803417</v>
      </c>
      <c r="V63" s="353">
        <f ca="1">IFERROR(__xludf.DUMMYFUNCTION("IMPORTRANGE(""https://docs.google.com/spreadsheets/d/1vVf6wykvW_lAyu7Yo9L4hUTqHqIeP_qcVuxCtosJEbg/edit?usp=sharing"",""ปราจีนบุรี!I369"")"),90)</f>
        <v>90</v>
      </c>
      <c r="W63" s="177">
        <f ca="1">IFERROR(__xludf.DUMMYFUNCTION("IMPORTRANGE(""https://docs.google.com/spreadsheets/d/1vVf6wykvW_lAyu7Yo9L4hUTqHqIeP_qcVuxCtosJEbg/edit?usp=sharing"",""ปราจีนบุรี!J369"")"),0)</f>
        <v>0</v>
      </c>
      <c r="X63" s="354">
        <f ca="1">IFERROR(__xludf.DUMMYFUNCTION("IMPORTRANGE(""https://docs.google.com/spreadsheets/d/1vVf6wykvW_lAyu7Yo9L4hUTqHqIeP_qcVuxCtosJEbg/edit?usp=sharing"",""ปราจีนบุรี!J370"")"),0)</f>
        <v>0</v>
      </c>
      <c r="Y63" s="375">
        <f t="shared" ca="1" si="31"/>
        <v>0</v>
      </c>
      <c r="Z63" s="353">
        <f ca="1">IFERROR(__xludf.DUMMYFUNCTION("IMPORTRANGE(""https://docs.google.com/spreadsheets/d/1vVf6wykvW_lAyu7Yo9L4hUTqHqIeP_qcVuxCtosJEbg/edit?usp=sharing"",""ปราจีนบุรี!I371"")"),60)</f>
        <v>60</v>
      </c>
      <c r="AA63" s="177">
        <f ca="1">IFERROR(__xludf.DUMMYFUNCTION("IMPORTRANGE(""https://docs.google.com/spreadsheets/d/1vVf6wykvW_lAyu7Yo9L4hUTqHqIeP_qcVuxCtosJEbg/edit?usp=sharing"",""ปราจีนบุรี!J371"")"),2)</f>
        <v>2</v>
      </c>
      <c r="AB63" s="354">
        <f ca="1">IFERROR(__xludf.DUMMYFUNCTION("IMPORTRANGE(""https://docs.google.com/spreadsheets/d/1vVf6wykvW_lAyu7Yo9L4hUTqHqIeP_qcVuxCtosJEbg/edit?usp=sharing"",""ปราจีนบุรี!J372"")"),8.78)</f>
        <v>8.7799999999999994</v>
      </c>
      <c r="AC63" s="375">
        <f t="shared" ca="1" si="33"/>
        <v>3.3333333333333335</v>
      </c>
    </row>
    <row r="64" spans="1:29" ht="21" customHeight="1" x14ac:dyDescent="0.3">
      <c r="A64" s="89">
        <v>12</v>
      </c>
      <c r="B64" s="90" t="s">
        <v>90</v>
      </c>
      <c r="C64" s="174">
        <f t="shared" ca="1" si="20"/>
        <v>115055</v>
      </c>
      <c r="D64" s="175">
        <f t="shared" ca="1" si="44"/>
        <v>115055</v>
      </c>
      <c r="E64" s="176">
        <f ca="1">IFERROR(__xludf.DUMMYFUNCTION("IMPORTRANGE(""https://docs.google.com/spreadsheets/d/1-uDff_7J0KD5mKrp0Vvzr7lt3OU09vwQwhkpOPPYv2Y/edit?usp=sharing"",""งบพรบ!FD64"")"),0)</f>
        <v>0</v>
      </c>
      <c r="F64" s="176">
        <f ca="1">IFERROR(__xludf.DUMMYFUNCTION("IMPORTRANGE(""https://docs.google.com/spreadsheets/d/1-uDff_7J0KD5mKrp0Vvzr7lt3OU09vwQwhkpOPPYv2Y/edit?usp=sharing"",""งบพรบ!FE64"")"),115055)</f>
        <v>115055</v>
      </c>
      <c r="G64" s="176">
        <f ca="1">IFERROR(__xludf.DUMMYFUNCTION("IMPORTRANGE(""https://docs.google.com/spreadsheets/d/1-uDff_7J0KD5mKrp0Vvzr7lt3OU09vwQwhkpOPPYv2Y/edit?usp=sharing"",""งบพรบ!FF64"")"),0)</f>
        <v>0</v>
      </c>
      <c r="H64" s="176">
        <f ca="1">IFERROR(__xludf.DUMMYFUNCTION("IMPORTRANGE(""https://docs.google.com/spreadsheets/d/1-uDff_7J0KD5mKrp0Vvzr7lt3OU09vwQwhkpOPPYv2Y/edit?usp=sharing"",""งบพรบ!FH64"")"),115055)</f>
        <v>115055</v>
      </c>
      <c r="I64" s="176">
        <f ca="1">IFERROR(__xludf.DUMMYFUNCTION("IMPORTRANGE(""https://docs.google.com/spreadsheets/d/1-uDff_7J0KD5mKrp0Vvzr7lt3OU09vwQwhkpOPPYv2Y/edit?usp=sharing"",""งบพรบ!FI64"")"),0)</f>
        <v>0</v>
      </c>
      <c r="J64" s="176">
        <f t="shared" ca="1" si="22"/>
        <v>38161.29</v>
      </c>
      <c r="K64" s="179">
        <f t="shared" ca="1" si="23"/>
        <v>33.167867541610534</v>
      </c>
      <c r="L64" s="176">
        <f ca="1">IFERROR(__xludf.DUMMYFUNCTION("IMPORTRANGE(""https://docs.google.com/spreadsheets/d/1-uDff_7J0KD5mKrp0Vvzr7lt3OU09vwQwhkpOPPYv2Y/edit?usp=sharing"",""งบพรบ!FJ64"")"),38161.29)</f>
        <v>38161.29</v>
      </c>
      <c r="M64" s="87">
        <f t="shared" ca="1" si="24"/>
        <v>33.167867541610534</v>
      </c>
      <c r="N64" s="87">
        <f t="shared" ca="1" si="25"/>
        <v>33.167867541610534</v>
      </c>
      <c r="O64" s="86">
        <f ca="1">IFERROR(__xludf.DUMMYFUNCTION("IMPORTRANGE(""https://docs.google.com/spreadsheets/d/1-uDff_7J0KD5mKrp0Vvzr7lt3OU09vwQwhkpOPPYv2Y/edit?usp=sharing"",""งบพรบ!FK64"")"),0)</f>
        <v>0</v>
      </c>
      <c r="P64" s="86">
        <f t="shared" ca="1" si="26"/>
        <v>0</v>
      </c>
      <c r="Q64" s="87">
        <f t="shared" ca="1" si="27"/>
        <v>0</v>
      </c>
      <c r="R64" s="353">
        <f ca="1">IFERROR(__xludf.DUMMYFUNCTION("IMPORTRANGE(""https://docs.google.com/spreadsheets/d/1BIDqLLg5jk3v59G8NlR8rk5xfQDKne0sAvZHSj7TI6I/edit?usp=sharing"",""พระนครศรีอยุธยา!I368"")"),0)</f>
        <v>0</v>
      </c>
      <c r="S64" s="177">
        <f ca="1">IFERROR(__xludf.DUMMYFUNCTION("IMPORTRANGE(""https://docs.google.com/spreadsheets/d/1BIDqLLg5jk3v59G8NlR8rk5xfQDKne0sAvZHSj7TI6I/edit?usp=sharing"",""พระนครศรีอยุธยา!J367"")"),0)</f>
        <v>0</v>
      </c>
      <c r="T64" s="354">
        <f ca="1">IFERROR(__xludf.DUMMYFUNCTION("IMPORTRANGE(""https://docs.google.com/spreadsheets/d/1BIDqLLg5jk3v59G8NlR8rk5xfQDKne0sAvZHSj7TI6I/edit?usp=sharing"",""พระนครศรีอยุธยา!J368"")"),0)</f>
        <v>0</v>
      </c>
      <c r="U64" s="375">
        <f t="shared" ca="1" si="29"/>
        <v>0</v>
      </c>
      <c r="V64" s="353">
        <f ca="1">IFERROR(__xludf.DUMMYFUNCTION("IMPORTRANGE(""https://docs.google.com/spreadsheets/d/1BIDqLLg5jk3v59G8NlR8rk5xfQDKne0sAvZHSj7TI6I/edit?usp=sharing"",""พระนครศรีอยุธยา!I369"")"),0)</f>
        <v>0</v>
      </c>
      <c r="W64" s="177">
        <f ca="1">IFERROR(__xludf.DUMMYFUNCTION("IMPORTRANGE(""https://docs.google.com/spreadsheets/d/1BIDqLLg5jk3v59G8NlR8rk5xfQDKne0sAvZHSj7TI6I/edit?usp=sharing"",""พระนครศรีอยุธยา!J369"")"),0)</f>
        <v>0</v>
      </c>
      <c r="X64" s="354">
        <f ca="1">IFERROR(__xludf.DUMMYFUNCTION("IMPORTRANGE(""https://docs.google.com/spreadsheets/d/1BIDqLLg5jk3v59G8NlR8rk5xfQDKne0sAvZHSj7TI6I/edit?usp=sharing"",""พระนครศรีอยุธยา!J370"")"),0)</f>
        <v>0</v>
      </c>
      <c r="Y64" s="375">
        <f t="shared" ca="1" si="31"/>
        <v>0</v>
      </c>
      <c r="Z64" s="353">
        <f ca="1">IFERROR(__xludf.DUMMYFUNCTION("IMPORTRANGE(""https://docs.google.com/spreadsheets/d/1BIDqLLg5jk3v59G8NlR8rk5xfQDKne0sAvZHSj7TI6I/edit?usp=sharing"",""พระนครศรีอยุธยา!I371"")"),0)</f>
        <v>0</v>
      </c>
      <c r="AA64" s="177">
        <f ca="1">IFERROR(__xludf.DUMMYFUNCTION("IMPORTRANGE(""https://docs.google.com/spreadsheets/d/1BIDqLLg5jk3v59G8NlR8rk5xfQDKne0sAvZHSj7TI6I/edit?usp=sharing"",""พระนครศรีอยุธยา!J371"")"),0)</f>
        <v>0</v>
      </c>
      <c r="AB64" s="354">
        <f ca="1">IFERROR(__xludf.DUMMYFUNCTION("IMPORTRANGE(""https://docs.google.com/spreadsheets/d/1BIDqLLg5jk3v59G8NlR8rk5xfQDKne0sAvZHSj7TI6I/edit?usp=sharing"",""พระนครศรีอยุธยา!J372"")"),0)</f>
        <v>0</v>
      </c>
      <c r="AC64" s="375">
        <f t="shared" ca="1" si="33"/>
        <v>0</v>
      </c>
    </row>
    <row r="65" spans="1:29" ht="21" customHeight="1" x14ac:dyDescent="0.3">
      <c r="A65" s="89">
        <v>13</v>
      </c>
      <c r="B65" s="90" t="s">
        <v>91</v>
      </c>
      <c r="C65" s="174">
        <f t="shared" ca="1" si="20"/>
        <v>227690</v>
      </c>
      <c r="D65" s="175">
        <f t="shared" ca="1" si="44"/>
        <v>227690</v>
      </c>
      <c r="E65" s="176">
        <f ca="1">IFERROR(__xludf.DUMMYFUNCTION("IMPORTRANGE(""https://docs.google.com/spreadsheets/d/1-uDff_7J0KD5mKrp0Vvzr7lt3OU09vwQwhkpOPPYv2Y/edit?usp=sharing"",""งบพรบ!FD65"")"),91000)</f>
        <v>91000</v>
      </c>
      <c r="F65" s="176">
        <f ca="1">IFERROR(__xludf.DUMMYFUNCTION("IMPORTRANGE(""https://docs.google.com/spreadsheets/d/1-uDff_7J0KD5mKrp0Vvzr7lt3OU09vwQwhkpOPPYv2Y/edit?usp=sharing"",""งบพรบ!FE65"")"),136690)</f>
        <v>136690</v>
      </c>
      <c r="G65" s="176">
        <f ca="1">IFERROR(__xludf.DUMMYFUNCTION("IMPORTRANGE(""https://docs.google.com/spreadsheets/d/1-uDff_7J0KD5mKrp0Vvzr7lt3OU09vwQwhkpOPPYv2Y/edit?usp=sharing"",""งบพรบ!FF65"")"),0)</f>
        <v>0</v>
      </c>
      <c r="H65" s="176">
        <f ca="1">IFERROR(__xludf.DUMMYFUNCTION("IMPORTRANGE(""https://docs.google.com/spreadsheets/d/1-uDff_7J0KD5mKrp0Vvzr7lt3OU09vwQwhkpOPPYv2Y/edit?usp=sharing"",""งบพรบ!FH65"")"),227690)</f>
        <v>227690</v>
      </c>
      <c r="I65" s="176">
        <f ca="1">IFERROR(__xludf.DUMMYFUNCTION("IMPORTRANGE(""https://docs.google.com/spreadsheets/d/1-uDff_7J0KD5mKrp0Vvzr7lt3OU09vwQwhkpOPPYv2Y/edit?usp=sharing"",""งบพรบ!FI65"")"),0)</f>
        <v>0</v>
      </c>
      <c r="J65" s="176">
        <f t="shared" ca="1" si="22"/>
        <v>82480</v>
      </c>
      <c r="K65" s="179">
        <f t="shared" ca="1" si="23"/>
        <v>36.224691466467569</v>
      </c>
      <c r="L65" s="176">
        <f ca="1">IFERROR(__xludf.DUMMYFUNCTION("IMPORTRANGE(""https://docs.google.com/spreadsheets/d/1-uDff_7J0KD5mKrp0Vvzr7lt3OU09vwQwhkpOPPYv2Y/edit?usp=sharing"",""งบพรบ!FJ65"")"),82480)</f>
        <v>82480</v>
      </c>
      <c r="M65" s="87">
        <f t="shared" ca="1" si="24"/>
        <v>36.224691466467569</v>
      </c>
      <c r="N65" s="87">
        <f t="shared" ca="1" si="25"/>
        <v>36.224691466467569</v>
      </c>
      <c r="O65" s="86">
        <f ca="1">IFERROR(__xludf.DUMMYFUNCTION("IMPORTRANGE(""https://docs.google.com/spreadsheets/d/1-uDff_7J0KD5mKrp0Vvzr7lt3OU09vwQwhkpOPPYv2Y/edit?usp=sharing"",""งบพรบ!FK65"")"),0)</f>
        <v>0</v>
      </c>
      <c r="P65" s="86">
        <f t="shared" ca="1" si="26"/>
        <v>0</v>
      </c>
      <c r="Q65" s="87">
        <f t="shared" ca="1" si="27"/>
        <v>0</v>
      </c>
      <c r="R65" s="353">
        <f ca="1">IFERROR(__xludf.DUMMYFUNCTION("IMPORTRANGE(""https://docs.google.com/spreadsheets/d/1YXvxf8Yu6_rV4hTBrwMqAcAnv6DfhUxh5emyM3CJp_w/edit?usp=sharing"",""เพชรบุรี!I368"")"),205)</f>
        <v>205</v>
      </c>
      <c r="S65" s="177">
        <f ca="1">IFERROR(__xludf.DUMMYFUNCTION("IMPORTRANGE(""https://docs.google.com/spreadsheets/d/1YXvxf8Yu6_rV4hTBrwMqAcAnv6DfhUxh5emyM3CJp_w/edit?usp=sharing"",""เพชรบุรี!J367"")"),0)</f>
        <v>0</v>
      </c>
      <c r="T65" s="354">
        <f ca="1">IFERROR(__xludf.DUMMYFUNCTION("IMPORTRANGE(""https://docs.google.com/spreadsheets/d/1YXvxf8Yu6_rV4hTBrwMqAcAnv6DfhUxh5emyM3CJp_w/edit?usp=sharing"",""เพชรบุรี!J368"")"),0)</f>
        <v>0</v>
      </c>
      <c r="U65" s="375">
        <f t="shared" ca="1" si="29"/>
        <v>0</v>
      </c>
      <c r="V65" s="353">
        <f ca="1">IFERROR(__xludf.DUMMYFUNCTION("IMPORTRANGE(""https://docs.google.com/spreadsheets/d/1YXvxf8Yu6_rV4hTBrwMqAcAnv6DfhUxh5emyM3CJp_w/edit?usp=sharing"",""เพชรบุรี!I369"")"),35)</f>
        <v>35</v>
      </c>
      <c r="W65" s="177">
        <f ca="1">IFERROR(__xludf.DUMMYFUNCTION("IMPORTRANGE(""https://docs.google.com/spreadsheets/d/1YXvxf8Yu6_rV4hTBrwMqAcAnv6DfhUxh5emyM3CJp_w/edit?usp=sharing"",""เพชรบุรี!J369"")"),10)</f>
        <v>10</v>
      </c>
      <c r="X65" s="354">
        <f ca="1">IFERROR(__xludf.DUMMYFUNCTION("IMPORTRANGE(""https://docs.google.com/spreadsheets/d/1YXvxf8Yu6_rV4hTBrwMqAcAnv6DfhUxh5emyM3CJp_w/edit?usp=sharing"",""เพชรบุรี!J370"")"),160.35)</f>
        <v>160.35</v>
      </c>
      <c r="Y65" s="375">
        <f t="shared" ca="1" si="31"/>
        <v>28.571428571428573</v>
      </c>
      <c r="Z65" s="353">
        <f ca="1">IFERROR(__xludf.DUMMYFUNCTION("IMPORTRANGE(""https://docs.google.com/spreadsheets/d/1YXvxf8Yu6_rV4hTBrwMqAcAnv6DfhUxh5emyM3CJp_w/edit?usp=sharing"",""เพชรบุรี!I371"")"),29)</f>
        <v>29</v>
      </c>
      <c r="AA65" s="177">
        <f ca="1">IFERROR(__xludf.DUMMYFUNCTION("IMPORTRANGE(""https://docs.google.com/spreadsheets/d/1YXvxf8Yu6_rV4hTBrwMqAcAnv6DfhUxh5emyM3CJp_w/edit?usp=sharing"",""เพชรบุรี!J371"")"),8)</f>
        <v>8</v>
      </c>
      <c r="AB65" s="354">
        <f ca="1">IFERROR(__xludf.DUMMYFUNCTION("IMPORTRANGE(""https://docs.google.com/spreadsheets/d/1YXvxf8Yu6_rV4hTBrwMqAcAnv6DfhUxh5emyM3CJp_w/edit?usp=sharing"",""เพชรบุรี!J372"")"),103.5)</f>
        <v>103.5</v>
      </c>
      <c r="AC65" s="375">
        <f t="shared" ca="1" si="33"/>
        <v>27.586206896551722</v>
      </c>
    </row>
    <row r="66" spans="1:29" ht="21" customHeight="1" x14ac:dyDescent="0.3">
      <c r="A66" s="89">
        <v>14</v>
      </c>
      <c r="B66" s="90" t="s">
        <v>92</v>
      </c>
      <c r="C66" s="174">
        <f t="shared" ca="1" si="20"/>
        <v>386760</v>
      </c>
      <c r="D66" s="175">
        <f t="shared" ca="1" si="44"/>
        <v>386760</v>
      </c>
      <c r="E66" s="176">
        <f ca="1">IFERROR(__xludf.DUMMYFUNCTION("IMPORTRANGE(""https://docs.google.com/spreadsheets/d/1-uDff_7J0KD5mKrp0Vvzr7lt3OU09vwQwhkpOPPYv2Y/edit?usp=sharing"",""งบพรบ!FD66"")"),224000)</f>
        <v>224000</v>
      </c>
      <c r="F66" s="176">
        <f ca="1">IFERROR(__xludf.DUMMYFUNCTION("IMPORTRANGE(""https://docs.google.com/spreadsheets/d/1-uDff_7J0KD5mKrp0Vvzr7lt3OU09vwQwhkpOPPYv2Y/edit?usp=sharing"",""งบพรบ!FE66"")"),162760)</f>
        <v>162760</v>
      </c>
      <c r="G66" s="176">
        <f ca="1">IFERROR(__xludf.DUMMYFUNCTION("IMPORTRANGE(""https://docs.google.com/spreadsheets/d/1-uDff_7J0KD5mKrp0Vvzr7lt3OU09vwQwhkpOPPYv2Y/edit?usp=sharing"",""งบพรบ!FF66"")"),0)</f>
        <v>0</v>
      </c>
      <c r="H66" s="176">
        <f ca="1">IFERROR(__xludf.DUMMYFUNCTION("IMPORTRANGE(""https://docs.google.com/spreadsheets/d/1-uDff_7J0KD5mKrp0Vvzr7lt3OU09vwQwhkpOPPYv2Y/edit?usp=sharing"",""งบพรบ!FH66"")"),386760)</f>
        <v>386760</v>
      </c>
      <c r="I66" s="176">
        <f ca="1">IFERROR(__xludf.DUMMYFUNCTION("IMPORTRANGE(""https://docs.google.com/spreadsheets/d/1-uDff_7J0KD5mKrp0Vvzr7lt3OU09vwQwhkpOPPYv2Y/edit?usp=sharing"",""งบพรบ!FI66"")"),0)</f>
        <v>0</v>
      </c>
      <c r="J66" s="176">
        <f t="shared" ca="1" si="22"/>
        <v>175447</v>
      </c>
      <c r="K66" s="179">
        <f t="shared" ca="1" si="23"/>
        <v>45.363274382045716</v>
      </c>
      <c r="L66" s="176">
        <f ca="1">IFERROR(__xludf.DUMMYFUNCTION("IMPORTRANGE(""https://docs.google.com/spreadsheets/d/1-uDff_7J0KD5mKrp0Vvzr7lt3OU09vwQwhkpOPPYv2Y/edit?usp=sharing"",""งบพรบ!FJ66"")"),175447)</f>
        <v>175447</v>
      </c>
      <c r="M66" s="87">
        <f t="shared" ca="1" si="24"/>
        <v>45.363274382045716</v>
      </c>
      <c r="N66" s="87">
        <f t="shared" ca="1" si="25"/>
        <v>45.363274382045716</v>
      </c>
      <c r="O66" s="86">
        <f ca="1">IFERROR(__xludf.DUMMYFUNCTION("IMPORTRANGE(""https://docs.google.com/spreadsheets/d/1-uDff_7J0KD5mKrp0Vvzr7lt3OU09vwQwhkpOPPYv2Y/edit?usp=sharing"",""งบพรบ!FK66"")"),0)</f>
        <v>0</v>
      </c>
      <c r="P66" s="86">
        <f t="shared" ca="1" si="26"/>
        <v>0</v>
      </c>
      <c r="Q66" s="87">
        <f t="shared" ca="1" si="27"/>
        <v>0</v>
      </c>
      <c r="R66" s="353">
        <f ca="1">IFERROR(__xludf.DUMMYFUNCTION("IMPORTRANGE(""https://docs.google.com/spreadsheets/d/19KBlQQs7uwvsao6t2n-KvW3Ax8J8uRRfZPq1zPbXgKc/edit?usp=sharing"",""ระยอง!I368"")"),460)</f>
        <v>460</v>
      </c>
      <c r="S66" s="177">
        <f ca="1">IFERROR(__xludf.DUMMYFUNCTION("IMPORTRANGE(""https://docs.google.com/spreadsheets/d/19KBlQQs7uwvsao6t2n-KvW3Ax8J8uRRfZPq1zPbXgKc/edit?usp=sharing"",""ระยอง!J367"")"),25)</f>
        <v>25</v>
      </c>
      <c r="T66" s="354">
        <f ca="1">IFERROR(__xludf.DUMMYFUNCTION("IMPORTRANGE(""https://docs.google.com/spreadsheets/d/19KBlQQs7uwvsao6t2n-KvW3Ax8J8uRRfZPq1zPbXgKc/edit?usp=sharing"",""ระยอง!J368"")"),218.93)</f>
        <v>218.93</v>
      </c>
      <c r="U66" s="375">
        <f t="shared" ca="1" si="29"/>
        <v>47.593478260869567</v>
      </c>
      <c r="V66" s="353">
        <f ca="1">IFERROR(__xludf.DUMMYFUNCTION("IMPORTRANGE(""https://docs.google.com/spreadsheets/d/19KBlQQs7uwvsao6t2n-KvW3Ax8J8uRRfZPq1zPbXgKc/edit?usp=sharing"",""ระยอง!I369"")"),65)</f>
        <v>65</v>
      </c>
      <c r="W66" s="177">
        <f ca="1">IFERROR(__xludf.DUMMYFUNCTION("IMPORTRANGE(""https://docs.google.com/spreadsheets/d/19KBlQQs7uwvsao6t2n-KvW3Ax8J8uRRfZPq1zPbXgKc/edit?usp=sharing"",""ระยอง!J369"")"),92)</f>
        <v>92</v>
      </c>
      <c r="X66" s="354">
        <f ca="1">IFERROR(__xludf.DUMMYFUNCTION("IMPORTRANGE(""https://docs.google.com/spreadsheets/d/19KBlQQs7uwvsao6t2n-KvW3Ax8J8uRRfZPq1zPbXgKc/edit?usp=sharing"",""ระยอง!J370"")"),1183.51)</f>
        <v>1183.51</v>
      </c>
      <c r="Y66" s="375">
        <f t="shared" ca="1" si="31"/>
        <v>141.53846153846155</v>
      </c>
      <c r="Z66" s="353">
        <f ca="1">IFERROR(__xludf.DUMMYFUNCTION("IMPORTRANGE(""https://docs.google.com/spreadsheets/d/19KBlQQs7uwvsao6t2n-KvW3Ax8J8uRRfZPq1zPbXgKc/edit?usp=sharing"",""ระยอง!I371"")"),48)</f>
        <v>48</v>
      </c>
      <c r="AA66" s="177">
        <f ca="1">IFERROR(__xludf.DUMMYFUNCTION("IMPORTRANGE(""https://docs.google.com/spreadsheets/d/19KBlQQs7uwvsao6t2n-KvW3Ax8J8uRRfZPq1zPbXgKc/edit?usp=sharing"",""ระยอง!J371"")"),2)</f>
        <v>2</v>
      </c>
      <c r="AB66" s="354">
        <f ca="1">IFERROR(__xludf.DUMMYFUNCTION("IMPORTRANGE(""https://docs.google.com/spreadsheets/d/19KBlQQs7uwvsao6t2n-KvW3Ax8J8uRRfZPq1zPbXgKc/edit?usp=sharing"",""ระยอง!J372"")"),92.8)</f>
        <v>92.8</v>
      </c>
      <c r="AC66" s="375">
        <f t="shared" ca="1" si="33"/>
        <v>4.166666666666667</v>
      </c>
    </row>
    <row r="67" spans="1:29" ht="21" customHeight="1" x14ac:dyDescent="0.3">
      <c r="A67" s="89">
        <v>15</v>
      </c>
      <c r="B67" s="90" t="s">
        <v>93</v>
      </c>
      <c r="C67" s="174">
        <f t="shared" ca="1" si="20"/>
        <v>591785</v>
      </c>
      <c r="D67" s="175">
        <f t="shared" ca="1" si="44"/>
        <v>591785</v>
      </c>
      <c r="E67" s="176">
        <f ca="1">IFERROR(__xludf.DUMMYFUNCTION("IMPORTRANGE(""https://docs.google.com/spreadsheets/d/1-uDff_7J0KD5mKrp0Vvzr7lt3OU09vwQwhkpOPPYv2Y/edit?usp=sharing"",""งบพรบ!FD67"")"),392700)</f>
        <v>392700</v>
      </c>
      <c r="F67" s="176">
        <f ca="1">IFERROR(__xludf.DUMMYFUNCTION("IMPORTRANGE(""https://docs.google.com/spreadsheets/d/1-uDff_7J0KD5mKrp0Vvzr7lt3OU09vwQwhkpOPPYv2Y/edit?usp=sharing"",""งบพรบ!FE67"")"),199085)</f>
        <v>199085</v>
      </c>
      <c r="G67" s="176">
        <f ca="1">IFERROR(__xludf.DUMMYFUNCTION("IMPORTRANGE(""https://docs.google.com/spreadsheets/d/1-uDff_7J0KD5mKrp0Vvzr7lt3OU09vwQwhkpOPPYv2Y/edit?usp=sharing"",""งบพรบ!FF67"")"),0)</f>
        <v>0</v>
      </c>
      <c r="H67" s="176">
        <f ca="1">IFERROR(__xludf.DUMMYFUNCTION("IMPORTRANGE(""https://docs.google.com/spreadsheets/d/1-uDff_7J0KD5mKrp0Vvzr7lt3OU09vwQwhkpOPPYv2Y/edit?usp=sharing"",""งบพรบ!FH67"")"),591785)</f>
        <v>591785</v>
      </c>
      <c r="I67" s="176">
        <f ca="1">IFERROR(__xludf.DUMMYFUNCTION("IMPORTRANGE(""https://docs.google.com/spreadsheets/d/1-uDff_7J0KD5mKrp0Vvzr7lt3OU09vwQwhkpOPPYv2Y/edit?usp=sharing"",""งบพรบ!FI67"")"),0)</f>
        <v>0</v>
      </c>
      <c r="J67" s="176">
        <f t="shared" ca="1" si="22"/>
        <v>264884.90999999997</v>
      </c>
      <c r="K67" s="179">
        <f t="shared" ca="1" si="23"/>
        <v>44.760328497680739</v>
      </c>
      <c r="L67" s="176">
        <f ca="1">IFERROR(__xludf.DUMMYFUNCTION("IMPORTRANGE(""https://docs.google.com/spreadsheets/d/1-uDff_7J0KD5mKrp0Vvzr7lt3OU09vwQwhkpOPPYv2Y/edit?usp=sharing"",""งบพรบ!FJ67"")"),264884.91)</f>
        <v>264884.90999999997</v>
      </c>
      <c r="M67" s="87">
        <f t="shared" ca="1" si="24"/>
        <v>44.760328497680739</v>
      </c>
      <c r="N67" s="87">
        <f t="shared" ca="1" si="25"/>
        <v>44.760328497680739</v>
      </c>
      <c r="O67" s="86">
        <f ca="1">IFERROR(__xludf.DUMMYFUNCTION("IMPORTRANGE(""https://docs.google.com/spreadsheets/d/1-uDff_7J0KD5mKrp0Vvzr7lt3OU09vwQwhkpOPPYv2Y/edit?usp=sharing"",""งบพรบ!FK67"")"),0)</f>
        <v>0</v>
      </c>
      <c r="P67" s="86">
        <f t="shared" ca="1" si="26"/>
        <v>0</v>
      </c>
      <c r="Q67" s="87">
        <f t="shared" ca="1" si="27"/>
        <v>0</v>
      </c>
      <c r="R67" s="355">
        <f ca="1">IFERROR(__xludf.DUMMYFUNCTION("IMPORTRANGE(""https://docs.google.com/spreadsheets/d/1jQ6P4QcrGM89YfqcC_PxOHGCMq5ezhucwJd8ci-NHng/edit?usp=sharing"",""ราชบุรี!I368"")"),840)</f>
        <v>840</v>
      </c>
      <c r="S67" s="177">
        <f ca="1">IFERROR(__xludf.DUMMYFUNCTION("IMPORTRANGE(""https://docs.google.com/spreadsheets/d/1jQ6P4QcrGM89YfqcC_PxOHGCMq5ezhucwJd8ci-NHng/edit?usp=sharing"",""ราชบุรี!J367"")"),17)</f>
        <v>17</v>
      </c>
      <c r="T67" s="354">
        <f ca="1">IFERROR(__xludf.DUMMYFUNCTION("IMPORTRANGE(""https://docs.google.com/spreadsheets/d/1jQ6P4QcrGM89YfqcC_PxOHGCMq5ezhucwJd8ci-NHng/edit?usp=sharing"",""ราชบุรี!J368"")"),102.28)</f>
        <v>102.28</v>
      </c>
      <c r="U67" s="375">
        <f t="shared" ca="1" si="29"/>
        <v>12.176190476190476</v>
      </c>
      <c r="V67" s="355">
        <f ca="1">IFERROR(__xludf.DUMMYFUNCTION("IMPORTRANGE(""https://docs.google.com/spreadsheets/d/1jQ6P4QcrGM89YfqcC_PxOHGCMq5ezhucwJd8ci-NHng/edit?usp=sharing"",""ราชบุรี!I369"")"),123)</f>
        <v>123</v>
      </c>
      <c r="W67" s="177">
        <f ca="1">IFERROR(__xludf.DUMMYFUNCTION("IMPORTRANGE(""https://docs.google.com/spreadsheets/d/1jQ6P4QcrGM89YfqcC_PxOHGCMq5ezhucwJd8ci-NHng/edit?usp=sharing"",""ราชบุรี!J369"")"),129)</f>
        <v>129</v>
      </c>
      <c r="X67" s="354">
        <f ca="1">IFERROR(__xludf.DUMMYFUNCTION("IMPORTRANGE(""https://docs.google.com/spreadsheets/d/1jQ6P4QcrGM89YfqcC_PxOHGCMq5ezhucwJd8ci-NHng/edit?usp=sharing"",""ราชบุรี!J370"")"),1550.14)</f>
        <v>1550.14</v>
      </c>
      <c r="Y67" s="375">
        <f t="shared" ca="1" si="31"/>
        <v>104.8780487804878</v>
      </c>
      <c r="Z67" s="355">
        <f ca="1">IFERROR(__xludf.DUMMYFUNCTION("IMPORTRANGE(""https://docs.google.com/spreadsheets/d/1jQ6P4QcrGM89YfqcC_PxOHGCMq5ezhucwJd8ci-NHng/edit?usp=sharing"",""ราชบุรี!I371"")"),83)</f>
        <v>83</v>
      </c>
      <c r="AA67" s="177">
        <f ca="1">IFERROR(__xludf.DUMMYFUNCTION("IMPORTRANGE(""https://docs.google.com/spreadsheets/d/1jQ6P4QcrGM89YfqcC_PxOHGCMq5ezhucwJd8ci-NHng/edit?usp=sharing"",""ราชบุรี!J371"")"),128)</f>
        <v>128</v>
      </c>
      <c r="AB67" s="354">
        <f ca="1">IFERROR(__xludf.DUMMYFUNCTION("IMPORTRANGE(""https://docs.google.com/spreadsheets/d/1jQ6P4QcrGM89YfqcC_PxOHGCMq5ezhucwJd8ci-NHng/edit?usp=sharing"",""ราชบุรี!J372"")"),1545.23)</f>
        <v>1545.23</v>
      </c>
      <c r="AC67" s="375">
        <f t="shared" ca="1" si="33"/>
        <v>154.21686746987953</v>
      </c>
    </row>
    <row r="68" spans="1:29" ht="24" customHeight="1" x14ac:dyDescent="0.3">
      <c r="A68" s="89">
        <v>16</v>
      </c>
      <c r="B68" s="90" t="s">
        <v>94</v>
      </c>
      <c r="C68" s="174">
        <f t="shared" ca="1" si="20"/>
        <v>563400</v>
      </c>
      <c r="D68" s="175">
        <f t="shared" ca="1" si="44"/>
        <v>563400</v>
      </c>
      <c r="E68" s="176">
        <f ca="1">IFERROR(__xludf.DUMMYFUNCTION("IMPORTRANGE(""https://docs.google.com/spreadsheets/d/1-uDff_7J0KD5mKrp0Vvzr7lt3OU09vwQwhkpOPPYv2Y/edit?usp=sharing"",""งบพรบ!FD68"")"),332500)</f>
        <v>332500</v>
      </c>
      <c r="F68" s="176">
        <f ca="1">IFERROR(__xludf.DUMMYFUNCTION("IMPORTRANGE(""https://docs.google.com/spreadsheets/d/1-uDff_7J0KD5mKrp0Vvzr7lt3OU09vwQwhkpOPPYv2Y/edit?usp=sharing"",""งบพรบ!FE68"")"),230900)</f>
        <v>230900</v>
      </c>
      <c r="G68" s="176">
        <f ca="1">IFERROR(__xludf.DUMMYFUNCTION("IMPORTRANGE(""https://docs.google.com/spreadsheets/d/1-uDff_7J0KD5mKrp0Vvzr7lt3OU09vwQwhkpOPPYv2Y/edit?usp=sharing"",""งบพรบ!FF68"")"),0)</f>
        <v>0</v>
      </c>
      <c r="H68" s="176">
        <f ca="1">IFERROR(__xludf.DUMMYFUNCTION("IMPORTRANGE(""https://docs.google.com/spreadsheets/d/1-uDff_7J0KD5mKrp0Vvzr7lt3OU09vwQwhkpOPPYv2Y/edit?usp=sharing"",""งบพรบ!FH68"")"),570720)</f>
        <v>570720</v>
      </c>
      <c r="I68" s="176">
        <f ca="1">IFERROR(__xludf.DUMMYFUNCTION("IMPORTRANGE(""https://docs.google.com/spreadsheets/d/1-uDff_7J0KD5mKrp0Vvzr7lt3OU09vwQwhkpOPPYv2Y/edit?usp=sharing"",""งบพรบ!FI68"")"),0)</f>
        <v>0</v>
      </c>
      <c r="J68" s="176">
        <f t="shared" ca="1" si="22"/>
        <v>318061</v>
      </c>
      <c r="K68" s="179">
        <f t="shared" ca="1" si="23"/>
        <v>56.453851615193472</v>
      </c>
      <c r="L68" s="176">
        <f ca="1">IFERROR(__xludf.DUMMYFUNCTION("IMPORTRANGE(""https://docs.google.com/spreadsheets/d/1-uDff_7J0KD5mKrp0Vvzr7lt3OU09vwQwhkpOPPYv2Y/edit?usp=sharing"",""งบพรบ!FJ68"")"),318061)</f>
        <v>318061</v>
      </c>
      <c r="M68" s="87">
        <f t="shared" ca="1" si="24"/>
        <v>56.453851615193472</v>
      </c>
      <c r="N68" s="87">
        <f t="shared" ca="1" si="25"/>
        <v>55.729779927109618</v>
      </c>
      <c r="O68" s="86">
        <f ca="1">IFERROR(__xludf.DUMMYFUNCTION("IMPORTRANGE(""https://docs.google.com/spreadsheets/d/1-uDff_7J0KD5mKrp0Vvzr7lt3OU09vwQwhkpOPPYv2Y/edit?usp=sharing"",""งบพรบ!FK68"")"),0)</f>
        <v>0</v>
      </c>
      <c r="P68" s="86">
        <f t="shared" ca="1" si="26"/>
        <v>0</v>
      </c>
      <c r="Q68" s="87">
        <f t="shared" ca="1" si="27"/>
        <v>0</v>
      </c>
      <c r="R68" s="353">
        <f ca="1">IFERROR(__xludf.DUMMYFUNCTION("IMPORTRANGE(""https://docs.google.com/spreadsheets/d/1lufeA2cfFqM-elVq2hznhDzC6Pr7wkJ9ZG_sYNGCMCU/edit?usp=sharing"",""ลพบุรี!I368"")"),1065)</f>
        <v>1065</v>
      </c>
      <c r="S68" s="177">
        <f ca="1">IFERROR(__xludf.DUMMYFUNCTION("IMPORTRANGE(""https://docs.google.com/spreadsheets/d/1lufeA2cfFqM-elVq2hznhDzC6Pr7wkJ9ZG_sYNGCMCU/edit?usp=sharing"",""ลพบุรี!J367"")"),71)</f>
        <v>71</v>
      </c>
      <c r="T68" s="354">
        <f ca="1">IFERROR(__xludf.DUMMYFUNCTION("IMPORTRANGE(""https://docs.google.com/spreadsheets/d/1lufeA2cfFqM-elVq2hznhDzC6Pr7wkJ9ZG_sYNGCMCU/edit?usp=sharing"",""ลพบุรี!J368"")"),663.449999999999)</f>
        <v>663.44999999999902</v>
      </c>
      <c r="U68" s="375">
        <f t="shared" ca="1" si="29"/>
        <v>62.295774647887228</v>
      </c>
      <c r="V68" s="353">
        <f ca="1">IFERROR(__xludf.DUMMYFUNCTION("IMPORTRANGE(""https://docs.google.com/spreadsheets/d/1lufeA2cfFqM-elVq2hznhDzC6Pr7wkJ9ZG_sYNGCMCU/edit?usp=sharing"",""ลพบุรี!I369"")"),195)</f>
        <v>195</v>
      </c>
      <c r="W68" s="177">
        <f ca="1">IFERROR(__xludf.DUMMYFUNCTION("IMPORTRANGE(""https://docs.google.com/spreadsheets/d/1lufeA2cfFqM-elVq2hznhDzC6Pr7wkJ9ZG_sYNGCMCU/edit?usp=sharing"",""ลพบุรี!J369"")"),107)</f>
        <v>107</v>
      </c>
      <c r="X68" s="354">
        <f ca="1">IFERROR(__xludf.DUMMYFUNCTION("IMPORTRANGE(""https://docs.google.com/spreadsheets/d/1lufeA2cfFqM-elVq2hznhDzC6Pr7wkJ9ZG_sYNGCMCU/edit?usp=sharing"",""ลพบุรี!J370"")"),1457.42)</f>
        <v>1457.42</v>
      </c>
      <c r="Y68" s="375">
        <f t="shared" ca="1" si="31"/>
        <v>54.871794871794869</v>
      </c>
      <c r="Z68" s="353">
        <f ca="1">IFERROR(__xludf.DUMMYFUNCTION("IMPORTRANGE(""https://docs.google.com/spreadsheets/d/1lufeA2cfFqM-elVq2hznhDzC6Pr7wkJ9ZG_sYNGCMCU/edit?usp=sharing"",""ลพบุรี!I371"")"),125)</f>
        <v>125</v>
      </c>
      <c r="AA68" s="177">
        <f ca="1">IFERROR(__xludf.DUMMYFUNCTION("IMPORTRANGE(""https://docs.google.com/spreadsheets/d/1lufeA2cfFqM-elVq2hznhDzC6Pr7wkJ9ZG_sYNGCMCU/edit?usp=sharing"",""ลพบุรี!J371"")"),44)</f>
        <v>44</v>
      </c>
      <c r="AB68" s="354">
        <f ca="1">IFERROR(__xludf.DUMMYFUNCTION("IMPORTRANGE(""https://docs.google.com/spreadsheets/d/1lufeA2cfFqM-elVq2hznhDzC6Pr7wkJ9ZG_sYNGCMCU/edit?usp=sharing"",""ลพบุรี!J372"")"),908.75)</f>
        <v>908.75</v>
      </c>
      <c r="AC68" s="375">
        <f t="shared" ca="1" si="33"/>
        <v>35.200000000000003</v>
      </c>
    </row>
    <row r="69" spans="1:29" ht="21" customHeight="1" x14ac:dyDescent="0.3">
      <c r="A69" s="89">
        <v>17</v>
      </c>
      <c r="B69" s="90" t="s">
        <v>95</v>
      </c>
      <c r="C69" s="174">
        <f t="shared" ca="1" si="20"/>
        <v>693280</v>
      </c>
      <c r="D69" s="175">
        <f t="shared" ca="1" si="44"/>
        <v>693280</v>
      </c>
      <c r="E69" s="176">
        <f ca="1">IFERROR(__xludf.DUMMYFUNCTION("IMPORTRANGE(""https://docs.google.com/spreadsheets/d/1-uDff_7J0KD5mKrp0Vvzr7lt3OU09vwQwhkpOPPYv2Y/edit?usp=sharing"",""งบพรบ!FD69"")"),102200)</f>
        <v>102200</v>
      </c>
      <c r="F69" s="176">
        <f ca="1">IFERROR(__xludf.DUMMYFUNCTION("IMPORTRANGE(""https://docs.google.com/spreadsheets/d/1-uDff_7J0KD5mKrp0Vvzr7lt3OU09vwQwhkpOPPYv2Y/edit?usp=sharing"",""งบพรบ!FE69"")"),591080)</f>
        <v>591080</v>
      </c>
      <c r="G69" s="176">
        <f ca="1">IFERROR(__xludf.DUMMYFUNCTION("IMPORTRANGE(""https://docs.google.com/spreadsheets/d/1-uDff_7J0KD5mKrp0Vvzr7lt3OU09vwQwhkpOPPYv2Y/edit?usp=sharing"",""งบพรบ!FF69"")"),0)</f>
        <v>0</v>
      </c>
      <c r="H69" s="176">
        <f ca="1">IFERROR(__xludf.DUMMYFUNCTION("IMPORTRANGE(""https://docs.google.com/spreadsheets/d/1-uDff_7J0KD5mKrp0Vvzr7lt3OU09vwQwhkpOPPYv2Y/edit?usp=sharing"",""งบพรบ!FH69"")"),693280)</f>
        <v>693280</v>
      </c>
      <c r="I69" s="176">
        <f ca="1">IFERROR(__xludf.DUMMYFUNCTION("IMPORTRANGE(""https://docs.google.com/spreadsheets/d/1-uDff_7J0KD5mKrp0Vvzr7lt3OU09vwQwhkpOPPYv2Y/edit?usp=sharing"",""งบพรบ!FI69"")"),0)</f>
        <v>0</v>
      </c>
      <c r="J69" s="176">
        <f t="shared" ca="1" si="22"/>
        <v>249793.98</v>
      </c>
      <c r="K69" s="179">
        <f t="shared" ca="1" si="23"/>
        <v>36.030749480729284</v>
      </c>
      <c r="L69" s="176">
        <f ca="1">IFERROR(__xludf.DUMMYFUNCTION("IMPORTRANGE(""https://docs.google.com/spreadsheets/d/1-uDff_7J0KD5mKrp0Vvzr7lt3OU09vwQwhkpOPPYv2Y/edit?usp=sharing"",""งบพรบ!FJ69"")"),249793.98)</f>
        <v>249793.98</v>
      </c>
      <c r="M69" s="87">
        <f t="shared" ca="1" si="24"/>
        <v>36.030749480729284</v>
      </c>
      <c r="N69" s="87">
        <f t="shared" ca="1" si="25"/>
        <v>36.030749480729284</v>
      </c>
      <c r="O69" s="86">
        <f ca="1">IFERROR(__xludf.DUMMYFUNCTION("IMPORTRANGE(""https://docs.google.com/spreadsheets/d/1-uDff_7J0KD5mKrp0Vvzr7lt3OU09vwQwhkpOPPYv2Y/edit?usp=sharing"",""งบพรบ!FK69"")"),0)</f>
        <v>0</v>
      </c>
      <c r="P69" s="86">
        <f t="shared" ca="1" si="26"/>
        <v>0</v>
      </c>
      <c r="Q69" s="87">
        <f t="shared" ca="1" si="27"/>
        <v>0</v>
      </c>
      <c r="R69" s="353">
        <f ca="1">IFERROR(__xludf.DUMMYFUNCTION("IMPORTRANGE(""https://docs.google.com/spreadsheets/d/10oOiF7loTyfsTkbd4MpaIm0HQ9SwB7IYHdIUvt-U1Uc/edit?usp=sharing"",""สระแก้ว!I368"")"),3880)</f>
        <v>3880</v>
      </c>
      <c r="S69" s="177">
        <f ca="1">IFERROR(__xludf.DUMMYFUNCTION("IMPORTRANGE(""https://docs.google.com/spreadsheets/d/10oOiF7loTyfsTkbd4MpaIm0HQ9SwB7IYHdIUvt-U1Uc/edit?usp=sharing"",""สระแก้ว!J367"")"),116)</f>
        <v>116</v>
      </c>
      <c r="T69" s="354">
        <f ca="1">IFERROR(__xludf.DUMMYFUNCTION("IMPORTRANGE(""https://docs.google.com/spreadsheets/d/10oOiF7loTyfsTkbd4MpaIm0HQ9SwB7IYHdIUvt-U1Uc/edit?usp=sharing"",""สระแก้ว!J368"")"),1762.83)</f>
        <v>1762.83</v>
      </c>
      <c r="U69" s="375">
        <f t="shared" ca="1" si="29"/>
        <v>45.43376288659794</v>
      </c>
      <c r="V69" s="353">
        <f ca="1">IFERROR(__xludf.DUMMYFUNCTION("IMPORTRANGE(""https://docs.google.com/spreadsheets/d/10oOiF7loTyfsTkbd4MpaIm0HQ9SwB7IYHdIUvt-U1Uc/edit?usp=sharing"",""สระแก้ว!I369"")"),596)</f>
        <v>596</v>
      </c>
      <c r="W69" s="177">
        <f ca="1">IFERROR(__xludf.DUMMYFUNCTION("IMPORTRANGE(""https://docs.google.com/spreadsheets/d/10oOiF7loTyfsTkbd4MpaIm0HQ9SwB7IYHdIUvt-U1Uc/edit?usp=sharing"",""สระแก้ว!J369"")"),112)</f>
        <v>112</v>
      </c>
      <c r="X69" s="354">
        <f ca="1">IFERROR(__xludf.DUMMYFUNCTION("IMPORTRANGE(""https://docs.google.com/spreadsheets/d/10oOiF7loTyfsTkbd4MpaIm0HQ9SwB7IYHdIUvt-U1Uc/edit?usp=sharing"",""สระแก้ว!J370"")"),1871.42999999999)</f>
        <v>1871.4299999999901</v>
      </c>
      <c r="Y69" s="375">
        <f t="shared" ca="1" si="31"/>
        <v>18.791946308724832</v>
      </c>
      <c r="Z69" s="353">
        <f ca="1">IFERROR(__xludf.DUMMYFUNCTION("IMPORTRANGE(""https://docs.google.com/spreadsheets/d/10oOiF7loTyfsTkbd4MpaIm0HQ9SwB7IYHdIUvt-U1Uc/edit?usp=sharing"",""สระแก้ว!I371"")"),392)</f>
        <v>392</v>
      </c>
      <c r="AA69" s="177">
        <f ca="1">IFERROR(__xludf.DUMMYFUNCTION("IMPORTRANGE(""https://docs.google.com/spreadsheets/d/10oOiF7loTyfsTkbd4MpaIm0HQ9SwB7IYHdIUvt-U1Uc/edit?usp=sharing"",""สระแก้ว!J371"")"),3)</f>
        <v>3</v>
      </c>
      <c r="AB69" s="354">
        <f ca="1">IFERROR(__xludf.DUMMYFUNCTION("IMPORTRANGE(""https://docs.google.com/spreadsheets/d/10oOiF7loTyfsTkbd4MpaIm0HQ9SwB7IYHdIUvt-U1Uc/edit?usp=sharing"",""สระแก้ว!J372"")"),31.9)</f>
        <v>31.9</v>
      </c>
      <c r="AC69" s="375">
        <f t="shared" ca="1" si="33"/>
        <v>0.76530612244897955</v>
      </c>
    </row>
    <row r="70" spans="1:29" ht="21" customHeight="1" x14ac:dyDescent="0.3">
      <c r="A70" s="89">
        <v>18</v>
      </c>
      <c r="B70" s="90" t="s">
        <v>96</v>
      </c>
      <c r="C70" s="174">
        <f t="shared" ca="1" si="20"/>
        <v>559230</v>
      </c>
      <c r="D70" s="175">
        <f t="shared" ca="1" si="44"/>
        <v>559230</v>
      </c>
      <c r="E70" s="176">
        <f ca="1">IFERROR(__xludf.DUMMYFUNCTION("IMPORTRANGE(""https://docs.google.com/spreadsheets/d/1-uDff_7J0KD5mKrp0Vvzr7lt3OU09vwQwhkpOPPYv2Y/edit?usp=sharing"",""งบพรบ!FD70"")"),377300)</f>
        <v>377300</v>
      </c>
      <c r="F70" s="176">
        <f ca="1">IFERROR(__xludf.DUMMYFUNCTION("IMPORTRANGE(""https://docs.google.com/spreadsheets/d/1-uDff_7J0KD5mKrp0Vvzr7lt3OU09vwQwhkpOPPYv2Y/edit?usp=sharing"",""งบพรบ!FE70"")"),181930)</f>
        <v>181930</v>
      </c>
      <c r="G70" s="176">
        <f ca="1">IFERROR(__xludf.DUMMYFUNCTION("IMPORTRANGE(""https://docs.google.com/spreadsheets/d/1-uDff_7J0KD5mKrp0Vvzr7lt3OU09vwQwhkpOPPYv2Y/edit?usp=sharing"",""งบพรบ!FF70"")"),0)</f>
        <v>0</v>
      </c>
      <c r="H70" s="176">
        <f ca="1">IFERROR(__xludf.DUMMYFUNCTION("IMPORTRANGE(""https://docs.google.com/spreadsheets/d/1-uDff_7J0KD5mKrp0Vvzr7lt3OU09vwQwhkpOPPYv2Y/edit?usp=sharing"",""งบพรบ!FH70"")"),559230)</f>
        <v>559230</v>
      </c>
      <c r="I70" s="176">
        <f ca="1">IFERROR(__xludf.DUMMYFUNCTION("IMPORTRANGE(""https://docs.google.com/spreadsheets/d/1-uDff_7J0KD5mKrp0Vvzr7lt3OU09vwQwhkpOPPYv2Y/edit?usp=sharing"",""งบพรบ!FI70"")"),0)</f>
        <v>0</v>
      </c>
      <c r="J70" s="176">
        <f t="shared" ca="1" si="22"/>
        <v>226693.99</v>
      </c>
      <c r="K70" s="179">
        <f t="shared" ca="1" si="23"/>
        <v>40.536807753518232</v>
      </c>
      <c r="L70" s="176">
        <f ca="1">IFERROR(__xludf.DUMMYFUNCTION("IMPORTRANGE(""https://docs.google.com/spreadsheets/d/1-uDff_7J0KD5mKrp0Vvzr7lt3OU09vwQwhkpOPPYv2Y/edit?usp=sharing"",""งบพรบ!FJ70"")"),226693.99)</f>
        <v>226693.99</v>
      </c>
      <c r="M70" s="87">
        <f t="shared" ca="1" si="24"/>
        <v>40.536807753518232</v>
      </c>
      <c r="N70" s="87">
        <f t="shared" ca="1" si="25"/>
        <v>40.536807753518232</v>
      </c>
      <c r="O70" s="86">
        <f ca="1">IFERROR(__xludf.DUMMYFUNCTION("IMPORTRANGE(""https://docs.google.com/spreadsheets/d/1-uDff_7J0KD5mKrp0Vvzr7lt3OU09vwQwhkpOPPYv2Y/edit?usp=sharing"",""งบพรบ!FK70"")"),0)</f>
        <v>0</v>
      </c>
      <c r="P70" s="86">
        <f t="shared" ca="1" si="26"/>
        <v>0</v>
      </c>
      <c r="Q70" s="87">
        <f t="shared" ca="1" si="27"/>
        <v>0</v>
      </c>
      <c r="R70" s="353">
        <f ca="1">IFERROR(__xludf.DUMMYFUNCTION("IMPORTRANGE(""https://docs.google.com/spreadsheets/d/1xmPlrr1QbdSIKvl1dWUl9K4PjAfSL9oeMr_37QVzcxc/edit?usp=sharing"",""สระบุรี!I368"")"),565)</f>
        <v>565</v>
      </c>
      <c r="S70" s="177">
        <f ca="1">IFERROR(__xludf.DUMMYFUNCTION("IMPORTRANGE(""https://docs.google.com/spreadsheets/d/1xmPlrr1QbdSIKvl1dWUl9K4PjAfSL9oeMr_37QVzcxc/edit?usp=sharing"",""สระบุรี!J367"")"),56)</f>
        <v>56</v>
      </c>
      <c r="T70" s="354">
        <f ca="1">IFERROR(__xludf.DUMMYFUNCTION("IMPORTRANGE(""https://docs.google.com/spreadsheets/d/1xmPlrr1QbdSIKvl1dWUl9K4PjAfSL9oeMr_37QVzcxc/edit?usp=sharing"",""สระบุรี!J368"")"),736.829999999999)</f>
        <v>736.82999999999902</v>
      </c>
      <c r="U70" s="375">
        <f t="shared" ca="1" si="29"/>
        <v>130.41238938053078</v>
      </c>
      <c r="V70" s="353">
        <f ca="1">IFERROR(__xludf.DUMMYFUNCTION("IMPORTRANGE(""https://docs.google.com/spreadsheets/d/1xmPlrr1QbdSIKvl1dWUl9K4PjAfSL9oeMr_37QVzcxc/edit?usp=sharing"",""สระบุรี!I369"")"),103)</f>
        <v>103</v>
      </c>
      <c r="W70" s="177">
        <f ca="1">IFERROR(__xludf.DUMMYFUNCTION("IMPORTRANGE(""https://docs.google.com/spreadsheets/d/1xmPlrr1QbdSIKvl1dWUl9K4PjAfSL9oeMr_37QVzcxc/edit?usp=sharing"",""สระบุรี!J369"")"),34)</f>
        <v>34</v>
      </c>
      <c r="X70" s="354">
        <f ca="1">IFERROR(__xludf.DUMMYFUNCTION("IMPORTRANGE(""https://docs.google.com/spreadsheets/d/1xmPlrr1QbdSIKvl1dWUl9K4PjAfSL9oeMr_37QVzcxc/edit?usp=sharing"",""สระบุรี!J370"")"),639.41)</f>
        <v>639.41</v>
      </c>
      <c r="Y70" s="375">
        <f t="shared" ca="1" si="31"/>
        <v>33.009708737864081</v>
      </c>
      <c r="Z70" s="353">
        <f ca="1">IFERROR(__xludf.DUMMYFUNCTION("IMPORTRANGE(""https://docs.google.com/spreadsheets/d/1xmPlrr1QbdSIKvl1dWUl9K4PjAfSL9oeMr_37QVzcxc/edit?usp=sharing"",""สระบุรี!I371"")"),73)</f>
        <v>73</v>
      </c>
      <c r="AA70" s="177">
        <f ca="1">IFERROR(__xludf.DUMMYFUNCTION("IMPORTRANGE(""https://docs.google.com/spreadsheets/d/1xmPlrr1QbdSIKvl1dWUl9K4PjAfSL9oeMr_37QVzcxc/edit?usp=sharing"",""สระบุรี!J371"")"),34)</f>
        <v>34</v>
      </c>
      <c r="AB70" s="354">
        <f ca="1">IFERROR(__xludf.DUMMYFUNCTION("IMPORTRANGE(""https://docs.google.com/spreadsheets/d/1xmPlrr1QbdSIKvl1dWUl9K4PjAfSL9oeMr_37QVzcxc/edit?usp=sharing"",""สระบุรี!J372"")"),639.41)</f>
        <v>639.41</v>
      </c>
      <c r="AC70" s="375">
        <f t="shared" ca="1" si="33"/>
        <v>46.575342465753423</v>
      </c>
    </row>
    <row r="71" spans="1:29" ht="21" customHeight="1" x14ac:dyDescent="0.3">
      <c r="A71" s="89">
        <v>19</v>
      </c>
      <c r="B71" s="90" t="s">
        <v>97</v>
      </c>
      <c r="C71" s="174">
        <f t="shared" ca="1" si="20"/>
        <v>112985</v>
      </c>
      <c r="D71" s="175">
        <f t="shared" ca="1" si="44"/>
        <v>112985</v>
      </c>
      <c r="E71" s="176">
        <f ca="1">IFERROR(__xludf.DUMMYFUNCTION("IMPORTRANGE(""https://docs.google.com/spreadsheets/d/1-uDff_7J0KD5mKrp0Vvzr7lt3OU09vwQwhkpOPPYv2Y/edit?usp=sharing"",""งบพรบ!FD71"")"),91000)</f>
        <v>91000</v>
      </c>
      <c r="F71" s="176">
        <f ca="1">IFERROR(__xludf.DUMMYFUNCTION("IMPORTRANGE(""https://docs.google.com/spreadsheets/d/1-uDff_7J0KD5mKrp0Vvzr7lt3OU09vwQwhkpOPPYv2Y/edit?usp=sharing"",""งบพรบ!FE71"")"),21985)</f>
        <v>21985</v>
      </c>
      <c r="G71" s="176">
        <f ca="1">IFERROR(__xludf.DUMMYFUNCTION("IMPORTRANGE(""https://docs.google.com/spreadsheets/d/1-uDff_7J0KD5mKrp0Vvzr7lt3OU09vwQwhkpOPPYv2Y/edit?usp=sharing"",""งบพรบ!FF71"")"),0)</f>
        <v>0</v>
      </c>
      <c r="H71" s="176">
        <f ca="1">IFERROR(__xludf.DUMMYFUNCTION("IMPORTRANGE(""https://docs.google.com/spreadsheets/d/1-uDff_7J0KD5mKrp0Vvzr7lt3OU09vwQwhkpOPPYv2Y/edit?usp=sharing"",""งบพรบ!FH71"")"),112985)</f>
        <v>112985</v>
      </c>
      <c r="I71" s="176">
        <f ca="1">IFERROR(__xludf.DUMMYFUNCTION("IMPORTRANGE(""https://docs.google.com/spreadsheets/d/1-uDff_7J0KD5mKrp0Vvzr7lt3OU09vwQwhkpOPPYv2Y/edit?usp=sharing"",""งบพรบ!FI71"")"),0)</f>
        <v>0</v>
      </c>
      <c r="J71" s="176">
        <f t="shared" ca="1" si="22"/>
        <v>49768</v>
      </c>
      <c r="K71" s="179">
        <f t="shared" ca="1" si="23"/>
        <v>44.048324998893655</v>
      </c>
      <c r="L71" s="176">
        <f ca="1">IFERROR(__xludf.DUMMYFUNCTION("IMPORTRANGE(""https://docs.google.com/spreadsheets/d/1-uDff_7J0KD5mKrp0Vvzr7lt3OU09vwQwhkpOPPYv2Y/edit?usp=sharing"",""งบพรบ!FJ71"")"),49768)</f>
        <v>49768</v>
      </c>
      <c r="M71" s="87">
        <f t="shared" ca="1" si="24"/>
        <v>44.048324998893655</v>
      </c>
      <c r="N71" s="87">
        <f t="shared" ca="1" si="25"/>
        <v>44.048324998893655</v>
      </c>
      <c r="O71" s="86">
        <f ca="1">IFERROR(__xludf.DUMMYFUNCTION("IMPORTRANGE(""https://docs.google.com/spreadsheets/d/1-uDff_7J0KD5mKrp0Vvzr7lt3OU09vwQwhkpOPPYv2Y/edit?usp=sharing"",""งบพรบ!FK71"")"),0)</f>
        <v>0</v>
      </c>
      <c r="P71" s="86">
        <f t="shared" ca="1" si="26"/>
        <v>0</v>
      </c>
      <c r="Q71" s="87">
        <f t="shared" ca="1" si="27"/>
        <v>0</v>
      </c>
      <c r="R71" s="353">
        <f ca="1">IFERROR(__xludf.DUMMYFUNCTION("IMPORTRANGE(""https://docs.google.com/spreadsheets/d/1j51vR6CYVGhABJpv6tkstgok82RLpXieLzW1yOY5rHw/edit?usp=sharing"",""สิงห์บุรี!I368"")"),0)</f>
        <v>0</v>
      </c>
      <c r="S71" s="177">
        <f ca="1">IFERROR(__xludf.DUMMYFUNCTION("IMPORTRANGE(""https://docs.google.com/spreadsheets/d/1j51vR6CYVGhABJpv6tkstgok82RLpXieLzW1yOY5rHw/edit?usp=sharing"",""สิงห์บุรี!J367"")"),0)</f>
        <v>0</v>
      </c>
      <c r="T71" s="354">
        <f ca="1">IFERROR(__xludf.DUMMYFUNCTION("IMPORTRANGE(""https://docs.google.com/spreadsheets/d/1j51vR6CYVGhABJpv6tkstgok82RLpXieLzW1yOY5rHw/edit?usp=sharing"",""สิงห์บุรี!J368"")"),0)</f>
        <v>0</v>
      </c>
      <c r="U71" s="375">
        <f t="shared" ca="1" si="29"/>
        <v>0</v>
      </c>
      <c r="V71" s="353">
        <f ca="1">IFERROR(__xludf.DUMMYFUNCTION("IMPORTRANGE(""https://docs.google.com/spreadsheets/d/1j51vR6CYVGhABJpv6tkstgok82RLpXieLzW1yOY5rHw/edit?usp=sharing"",""สิงห์บุรี!I369"")"),0)</f>
        <v>0</v>
      </c>
      <c r="W71" s="177">
        <f ca="1">IFERROR(__xludf.DUMMYFUNCTION("IMPORTRANGE(""https://docs.google.com/spreadsheets/d/1j51vR6CYVGhABJpv6tkstgok82RLpXieLzW1yOY5rHw/edit?usp=sharing"",""สิงห์บุรี!J369"")"),0)</f>
        <v>0</v>
      </c>
      <c r="X71" s="354">
        <f ca="1">IFERROR(__xludf.DUMMYFUNCTION("IMPORTRANGE(""https://docs.google.com/spreadsheets/d/1j51vR6CYVGhABJpv6tkstgok82RLpXieLzW1yOY5rHw/edit?usp=sharing"",""สิงห์บุรี!J370"")"),0)</f>
        <v>0</v>
      </c>
      <c r="Y71" s="375">
        <f t="shared" ca="1" si="31"/>
        <v>0</v>
      </c>
      <c r="Z71" s="353">
        <f ca="1">IFERROR(__xludf.DUMMYFUNCTION("IMPORTRANGE(""https://docs.google.com/spreadsheets/d/1j51vR6CYVGhABJpv6tkstgok82RLpXieLzW1yOY5rHw/edit?usp=sharing"",""สิงห์บุรี!I371"")"),0)</f>
        <v>0</v>
      </c>
      <c r="AA71" s="177">
        <f ca="1">IFERROR(__xludf.DUMMYFUNCTION("IMPORTRANGE(""https://docs.google.com/spreadsheets/d/1j51vR6CYVGhABJpv6tkstgok82RLpXieLzW1yOY5rHw/edit?usp=sharing"",""สิงห์บุรี!J371"")"),0)</f>
        <v>0</v>
      </c>
      <c r="AB71" s="354">
        <f ca="1">IFERROR(__xludf.DUMMYFUNCTION("IMPORTRANGE(""https://docs.google.com/spreadsheets/d/1j51vR6CYVGhABJpv6tkstgok82RLpXieLzW1yOY5rHw/edit?usp=sharing"",""สิงห์บุรี!J372"")"),0)</f>
        <v>0</v>
      </c>
      <c r="AC71" s="375">
        <f t="shared" ca="1" si="33"/>
        <v>0</v>
      </c>
    </row>
    <row r="72" spans="1:29" ht="21" customHeight="1" x14ac:dyDescent="0.3">
      <c r="A72" s="89">
        <v>20</v>
      </c>
      <c r="B72" s="90" t="s">
        <v>98</v>
      </c>
      <c r="C72" s="174">
        <f t="shared" ca="1" si="20"/>
        <v>487565</v>
      </c>
      <c r="D72" s="175">
        <f t="shared" ca="1" si="44"/>
        <v>487565</v>
      </c>
      <c r="E72" s="176">
        <f ca="1">IFERROR(__xludf.DUMMYFUNCTION("IMPORTRANGE(""https://docs.google.com/spreadsheets/d/1-uDff_7J0KD5mKrp0Vvzr7lt3OU09vwQwhkpOPPYv2Y/edit?usp=sharing"",""งบพรบ!FD72"")"),290500)</f>
        <v>290500</v>
      </c>
      <c r="F72" s="176">
        <f ca="1">IFERROR(__xludf.DUMMYFUNCTION("IMPORTRANGE(""https://docs.google.com/spreadsheets/d/1-uDff_7J0KD5mKrp0Vvzr7lt3OU09vwQwhkpOPPYv2Y/edit?usp=sharing"",""งบพรบ!FE72"")"),197065)</f>
        <v>197065</v>
      </c>
      <c r="G72" s="176">
        <f ca="1">IFERROR(__xludf.DUMMYFUNCTION("IMPORTRANGE(""https://docs.google.com/spreadsheets/d/1-uDff_7J0KD5mKrp0Vvzr7lt3OU09vwQwhkpOPPYv2Y/edit?usp=sharing"",""งบพรบ!FF72"")"),0)</f>
        <v>0</v>
      </c>
      <c r="H72" s="176">
        <f ca="1">IFERROR(__xludf.DUMMYFUNCTION("IMPORTRANGE(""https://docs.google.com/spreadsheets/d/1-uDff_7J0KD5mKrp0Vvzr7lt3OU09vwQwhkpOPPYv2Y/edit?usp=sharing"",""งบพรบ!FH72"")"),494885)</f>
        <v>494885</v>
      </c>
      <c r="I72" s="176">
        <f ca="1">IFERROR(__xludf.DUMMYFUNCTION("IMPORTRANGE(""https://docs.google.com/spreadsheets/d/1-uDff_7J0KD5mKrp0Vvzr7lt3OU09vwQwhkpOPPYv2Y/edit?usp=sharing"",""งบพรบ!FI72"")"),0)</f>
        <v>0</v>
      </c>
      <c r="J72" s="176">
        <f t="shared" ca="1" si="22"/>
        <v>266536.39</v>
      </c>
      <c r="K72" s="179">
        <f t="shared" ca="1" si="23"/>
        <v>54.666842369735321</v>
      </c>
      <c r="L72" s="176">
        <f ca="1">IFERROR(__xludf.DUMMYFUNCTION("IMPORTRANGE(""https://docs.google.com/spreadsheets/d/1-uDff_7J0KD5mKrp0Vvzr7lt3OU09vwQwhkpOPPYv2Y/edit?usp=sharing"",""งบพรบ!FJ72"")"),266536.39)</f>
        <v>266536.39</v>
      </c>
      <c r="M72" s="87">
        <f t="shared" ca="1" si="24"/>
        <v>54.666842369735321</v>
      </c>
      <c r="N72" s="87">
        <f t="shared" ca="1" si="25"/>
        <v>53.858247875769116</v>
      </c>
      <c r="O72" s="86">
        <f ca="1">IFERROR(__xludf.DUMMYFUNCTION("IMPORTRANGE(""https://docs.google.com/spreadsheets/d/1-uDff_7J0KD5mKrp0Vvzr7lt3OU09vwQwhkpOPPYv2Y/edit?usp=sharing"",""งบพรบ!FK72"")"),0)</f>
        <v>0</v>
      </c>
      <c r="P72" s="86">
        <f t="shared" ca="1" si="26"/>
        <v>0</v>
      </c>
      <c r="Q72" s="87">
        <f t="shared" ca="1" si="27"/>
        <v>0</v>
      </c>
      <c r="R72" s="353">
        <f ca="1">IFERROR(__xludf.DUMMYFUNCTION("IMPORTRANGE(""https://docs.google.com/spreadsheets/d/1H1EalTWKUSzO4Z1-1CwzoDUaVffgrThEBe2sl74kKG0/edit?usp=sharing"",""สุพรรณบุรี!I368"")"),670)</f>
        <v>670</v>
      </c>
      <c r="S72" s="177">
        <f ca="1">IFERROR(__xludf.DUMMYFUNCTION("IMPORTRANGE(""https://docs.google.com/spreadsheets/d/1H1EalTWKUSzO4Z1-1CwzoDUaVffgrThEBe2sl74kKG0/edit?usp=sharing"",""สุพรรณบุรี!J367"")"),73)</f>
        <v>73</v>
      </c>
      <c r="T72" s="354">
        <f ca="1">IFERROR(__xludf.DUMMYFUNCTION("IMPORTRANGE(""https://docs.google.com/spreadsheets/d/1H1EalTWKUSzO4Z1-1CwzoDUaVffgrThEBe2sl74kKG0/edit?usp=sharing"",""สุพรรณบุรี!J368"")"),447.21)</f>
        <v>447.21</v>
      </c>
      <c r="U72" s="375">
        <f t="shared" ca="1" si="29"/>
        <v>66.747761194029849</v>
      </c>
      <c r="V72" s="353">
        <f ca="1">IFERROR(__xludf.DUMMYFUNCTION("IMPORTRANGE(""https://docs.google.com/spreadsheets/d/1H1EalTWKUSzO4Z1-1CwzoDUaVffgrThEBe2sl74kKG0/edit?usp=sharing"",""สุพรรณบุรี!I369"")"),116)</f>
        <v>116</v>
      </c>
      <c r="W72" s="177">
        <f ca="1">IFERROR(__xludf.DUMMYFUNCTION("IMPORTRANGE(""https://docs.google.com/spreadsheets/d/1H1EalTWKUSzO4Z1-1CwzoDUaVffgrThEBe2sl74kKG0/edit?usp=sharing"",""สุพรรณบุรี!J369"")"),16)</f>
        <v>16</v>
      </c>
      <c r="X72" s="354">
        <f ca="1">IFERROR(__xludf.DUMMYFUNCTION("IMPORTRANGE(""https://docs.google.com/spreadsheets/d/1H1EalTWKUSzO4Z1-1CwzoDUaVffgrThEBe2sl74kKG0/edit?usp=sharing"",""สุพรรณบุรี!J370"")"),181.76)</f>
        <v>181.76</v>
      </c>
      <c r="Y72" s="375">
        <f t="shared" ca="1" si="31"/>
        <v>13.793103448275861</v>
      </c>
      <c r="Z72" s="353">
        <f ca="1">IFERROR(__xludf.DUMMYFUNCTION("IMPORTRANGE(""https://docs.google.com/spreadsheets/d/1H1EalTWKUSzO4Z1-1CwzoDUaVffgrThEBe2sl74kKG0/edit?usp=sharing"",""สุพรรณบุรี!I371"")"),77)</f>
        <v>77</v>
      </c>
      <c r="AA72" s="177">
        <f ca="1">IFERROR(__xludf.DUMMYFUNCTION("IMPORTRANGE(""https://docs.google.com/spreadsheets/d/1H1EalTWKUSzO4Z1-1CwzoDUaVffgrThEBe2sl74kKG0/edit?usp=sharing"",""สุพรรณบุรี!J371"")"),15)</f>
        <v>15</v>
      </c>
      <c r="AB72" s="354">
        <f ca="1">IFERROR(__xludf.DUMMYFUNCTION("IMPORTRANGE(""https://docs.google.com/spreadsheets/d/1H1EalTWKUSzO4Z1-1CwzoDUaVffgrThEBe2sl74kKG0/edit?usp=sharing"",""สุพรรณบุรี!J372"")"),179.76)</f>
        <v>179.76</v>
      </c>
      <c r="AC72" s="375">
        <f t="shared" ca="1" si="33"/>
        <v>19.480519480519479</v>
      </c>
    </row>
    <row r="73" spans="1:29" ht="21" customHeight="1" x14ac:dyDescent="0.3">
      <c r="A73" s="100">
        <v>21</v>
      </c>
      <c r="B73" s="101" t="s">
        <v>99</v>
      </c>
      <c r="C73" s="182">
        <f t="shared" ca="1" si="20"/>
        <v>115055</v>
      </c>
      <c r="D73" s="183">
        <f t="shared" ca="1" si="44"/>
        <v>115055</v>
      </c>
      <c r="E73" s="184">
        <f ca="1">IFERROR(__xludf.DUMMYFUNCTION("IMPORTRANGE(""https://docs.google.com/spreadsheets/d/1-uDff_7J0KD5mKrp0Vvzr7lt3OU09vwQwhkpOPPYv2Y/edit?usp=sharing"",""งบพรบ!FD73"")"),91000)</f>
        <v>91000</v>
      </c>
      <c r="F73" s="184">
        <f ca="1">IFERROR(__xludf.DUMMYFUNCTION("IMPORTRANGE(""https://docs.google.com/spreadsheets/d/1-uDff_7J0KD5mKrp0Vvzr7lt3OU09vwQwhkpOPPYv2Y/edit?usp=sharing"",""งบพรบ!FE73"")"),24055)</f>
        <v>24055</v>
      </c>
      <c r="G73" s="184">
        <f ca="1">IFERROR(__xludf.DUMMYFUNCTION("IMPORTRANGE(""https://docs.google.com/spreadsheets/d/1-uDff_7J0KD5mKrp0Vvzr7lt3OU09vwQwhkpOPPYv2Y/edit?usp=sharing"",""งบพรบ!FF73"")"),0)</f>
        <v>0</v>
      </c>
      <c r="H73" s="184">
        <f ca="1">IFERROR(__xludf.DUMMYFUNCTION("IMPORTRANGE(""https://docs.google.com/spreadsheets/d/1-uDff_7J0KD5mKrp0Vvzr7lt3OU09vwQwhkpOPPYv2Y/edit?usp=sharing"",""งบพรบ!FH73"")"),115055)</f>
        <v>115055</v>
      </c>
      <c r="I73" s="184">
        <f ca="1">IFERROR(__xludf.DUMMYFUNCTION("IMPORTRANGE(""https://docs.google.com/spreadsheets/d/1-uDff_7J0KD5mKrp0Vvzr7lt3OU09vwQwhkpOPPYv2Y/edit?usp=sharing"",""งบพรบ!FI73"")"),0)</f>
        <v>0</v>
      </c>
      <c r="J73" s="184">
        <f t="shared" ca="1" si="22"/>
        <v>28998</v>
      </c>
      <c r="K73" s="185">
        <f t="shared" ca="1" si="23"/>
        <v>25.203598279083916</v>
      </c>
      <c r="L73" s="184">
        <f ca="1">IFERROR(__xludf.DUMMYFUNCTION("IMPORTRANGE(""https://docs.google.com/spreadsheets/d/1-uDff_7J0KD5mKrp0Vvzr7lt3OU09vwQwhkpOPPYv2Y/edit?usp=sharing"",""งบพรบ!FJ73"")"),28998)</f>
        <v>28998</v>
      </c>
      <c r="M73" s="109">
        <f t="shared" ca="1" si="24"/>
        <v>25.203598279083916</v>
      </c>
      <c r="N73" s="109">
        <f t="shared" ca="1" si="25"/>
        <v>25.203598279083916</v>
      </c>
      <c r="O73" s="108">
        <f ca="1">IFERROR(__xludf.DUMMYFUNCTION("IMPORTRANGE(""https://docs.google.com/spreadsheets/d/1-uDff_7J0KD5mKrp0Vvzr7lt3OU09vwQwhkpOPPYv2Y/edit?usp=sharing"",""งบพรบ!FK73"")"),0)</f>
        <v>0</v>
      </c>
      <c r="P73" s="108">
        <f t="shared" ca="1" si="26"/>
        <v>0</v>
      </c>
      <c r="Q73" s="109">
        <f t="shared" ca="1" si="27"/>
        <v>0</v>
      </c>
      <c r="R73" s="356">
        <f ca="1">IFERROR(__xludf.DUMMYFUNCTION("IMPORTRANGE(""https://docs.google.com/spreadsheets/d/1BmIruG_sIrJLYao_Pdr7zVArWsfoBt2692TMi6x_854/edit?usp=sharing"",""อ่างทอง!I368"")"),0)</f>
        <v>0</v>
      </c>
      <c r="S73" s="186">
        <f ca="1">IFERROR(__xludf.DUMMYFUNCTION("IMPORTRANGE(""https://docs.google.com/spreadsheets/d/1BmIruG_sIrJLYao_Pdr7zVArWsfoBt2692TMi6x_854/edit?usp=sharing"",""อ่างทอง!J367"")"),0)</f>
        <v>0</v>
      </c>
      <c r="T73" s="357">
        <f ca="1">IFERROR(__xludf.DUMMYFUNCTION("IMPORTRANGE(""https://docs.google.com/spreadsheets/d/1BmIruG_sIrJLYao_Pdr7zVArWsfoBt2692TMi6x_854/edit?usp=sharing"",""อ่างทอง!J368"")"),0)</f>
        <v>0</v>
      </c>
      <c r="U73" s="376">
        <f t="shared" ca="1" si="29"/>
        <v>0</v>
      </c>
      <c r="V73" s="356">
        <f ca="1">IFERROR(__xludf.DUMMYFUNCTION("IMPORTRANGE(""https://docs.google.com/spreadsheets/d/1BmIruG_sIrJLYao_Pdr7zVArWsfoBt2692TMi6x_854/edit?usp=sharing"",""อ่างทอง!I369"")"),0)</f>
        <v>0</v>
      </c>
      <c r="W73" s="186">
        <f ca="1">IFERROR(__xludf.DUMMYFUNCTION("IMPORTRANGE(""https://docs.google.com/spreadsheets/d/1BmIruG_sIrJLYao_Pdr7zVArWsfoBt2692TMi6x_854/edit?usp=sharing"",""อ่างทอง!J369"")"),0)</f>
        <v>0</v>
      </c>
      <c r="X73" s="357">
        <f ca="1">IFERROR(__xludf.DUMMYFUNCTION("IMPORTRANGE(""https://docs.google.com/spreadsheets/d/1BmIruG_sIrJLYao_Pdr7zVArWsfoBt2692TMi6x_854/edit?usp=sharing"",""อ่างทอง!J370"")"),0)</f>
        <v>0</v>
      </c>
      <c r="Y73" s="376">
        <f t="shared" ca="1" si="31"/>
        <v>0</v>
      </c>
      <c r="Z73" s="356">
        <f ca="1">IFERROR(__xludf.DUMMYFUNCTION("IMPORTRANGE(""https://docs.google.com/spreadsheets/d/1BmIruG_sIrJLYao_Pdr7zVArWsfoBt2692TMi6x_854/edit?usp=sharing"",""อ่างทอง!I371"")"),0)</f>
        <v>0</v>
      </c>
      <c r="AA73" s="186">
        <f ca="1">IFERROR(__xludf.DUMMYFUNCTION("IMPORTRANGE(""https://docs.google.com/spreadsheets/d/1BmIruG_sIrJLYao_Pdr7zVArWsfoBt2692TMi6x_854/edit?usp=sharing"",""อ่างทอง!J371"")"),0)</f>
        <v>0</v>
      </c>
      <c r="AB73" s="357">
        <f ca="1">IFERROR(__xludf.DUMMYFUNCTION("IMPORTRANGE(""https://docs.google.com/spreadsheets/d/1BmIruG_sIrJLYao_Pdr7zVArWsfoBt2692TMi6x_854/edit?usp=sharing"",""อ่างทอง!J372"")"),0)</f>
        <v>0</v>
      </c>
      <c r="AC73" s="376">
        <f t="shared" ca="1" si="33"/>
        <v>0</v>
      </c>
    </row>
    <row r="74" spans="1:29" ht="21" customHeight="1" x14ac:dyDescent="0.3">
      <c r="A74" s="624" t="s">
        <v>100</v>
      </c>
      <c r="B74" s="604"/>
      <c r="C74" s="161">
        <f t="shared" ca="1" si="20"/>
        <v>6318015</v>
      </c>
      <c r="D74" s="161">
        <f t="shared" ref="D74:I74" ca="1" si="45">SUM(D75:D88)</f>
        <v>6318015</v>
      </c>
      <c r="E74" s="161">
        <f t="shared" ca="1" si="45"/>
        <v>2919700</v>
      </c>
      <c r="F74" s="161">
        <f t="shared" ca="1" si="45"/>
        <v>3398315</v>
      </c>
      <c r="G74" s="161">
        <f t="shared" ca="1" si="45"/>
        <v>0</v>
      </c>
      <c r="H74" s="161">
        <f t="shared" ca="1" si="45"/>
        <v>6394615</v>
      </c>
      <c r="I74" s="161">
        <f t="shared" ca="1" si="45"/>
        <v>0</v>
      </c>
      <c r="J74" s="161">
        <f t="shared" ca="1" si="22"/>
        <v>2532607.13</v>
      </c>
      <c r="K74" s="162">
        <f t="shared" ca="1" si="23"/>
        <v>40.085487767914451</v>
      </c>
      <c r="L74" s="161">
        <f ca="1">SUM(L75:L88)</f>
        <v>2532607.13</v>
      </c>
      <c r="M74" s="40">
        <f t="shared" ca="1" si="24"/>
        <v>40.085487767914451</v>
      </c>
      <c r="N74" s="40">
        <f t="shared" ca="1" si="25"/>
        <v>39.605310562090132</v>
      </c>
      <c r="O74" s="39">
        <f ca="1">SUM(O75:O88)</f>
        <v>0</v>
      </c>
      <c r="P74" s="39">
        <f t="shared" ca="1" si="26"/>
        <v>0</v>
      </c>
      <c r="Q74" s="40">
        <f t="shared" ca="1" si="27"/>
        <v>0</v>
      </c>
      <c r="R74" s="348">
        <f t="shared" ref="R74:T74" ca="1" si="46">SUM(R75:R88)</f>
        <v>15810</v>
      </c>
      <c r="S74" s="161">
        <f t="shared" ca="1" si="46"/>
        <v>879</v>
      </c>
      <c r="T74" s="40">
        <f t="shared" ca="1" si="46"/>
        <v>8051.2900000000009</v>
      </c>
      <c r="U74" s="234">
        <f t="shared" ca="1" si="29"/>
        <v>50.925300442757752</v>
      </c>
      <c r="V74" s="348">
        <f t="shared" ref="V74:X74" ca="1" si="47">SUM(V75:V88)</f>
        <v>2675</v>
      </c>
      <c r="W74" s="161">
        <f t="shared" ca="1" si="47"/>
        <v>1792</v>
      </c>
      <c r="X74" s="40">
        <f t="shared" ca="1" si="47"/>
        <v>22846.25</v>
      </c>
      <c r="Y74" s="234">
        <f t="shared" ca="1" si="31"/>
        <v>66.99065420560747</v>
      </c>
      <c r="Z74" s="348">
        <f t="shared" ref="Z74:AB74" ca="1" si="48">SUM(Z75:Z88)</f>
        <v>1780</v>
      </c>
      <c r="AA74" s="161">
        <f t="shared" ca="1" si="48"/>
        <v>1367</v>
      </c>
      <c r="AB74" s="40">
        <f t="shared" ca="1" si="48"/>
        <v>18568.649999999991</v>
      </c>
      <c r="AC74" s="234">
        <f t="shared" ca="1" si="33"/>
        <v>76.797752808988761</v>
      </c>
    </row>
    <row r="75" spans="1:29" ht="21" customHeight="1" x14ac:dyDescent="0.3">
      <c r="A75" s="77">
        <v>1</v>
      </c>
      <c r="B75" s="78" t="s">
        <v>101</v>
      </c>
      <c r="C75" s="174">
        <f t="shared" ca="1" si="20"/>
        <v>584350</v>
      </c>
      <c r="D75" s="175">
        <f t="shared" ref="D75:D88" ca="1" si="49">+E75+F75</f>
        <v>584350</v>
      </c>
      <c r="E75" s="176">
        <f ca="1">IFERROR(__xludf.DUMMYFUNCTION("IMPORTRANGE(""https://docs.google.com/spreadsheets/d/1-uDff_7J0KD5mKrp0Vvzr7lt3OU09vwQwhkpOPPYv2Y/edit?usp=sharing"",""งบพรบ!FD75"")"),275100)</f>
        <v>275100</v>
      </c>
      <c r="F75" s="176">
        <f ca="1">IFERROR(__xludf.DUMMYFUNCTION("IMPORTRANGE(""https://docs.google.com/spreadsheets/d/1-uDff_7J0KD5mKrp0Vvzr7lt3OU09vwQwhkpOPPYv2Y/edit?usp=sharing"",""งบพรบ!FE75"")"),309250)</f>
        <v>309250</v>
      </c>
      <c r="G75" s="176">
        <f ca="1">IFERROR(__xludf.DUMMYFUNCTION("IMPORTRANGE(""https://docs.google.com/spreadsheets/d/1-uDff_7J0KD5mKrp0Vvzr7lt3OU09vwQwhkpOPPYv2Y/edit?usp=sharing"",""งบพรบ!FF75"")"),0)</f>
        <v>0</v>
      </c>
      <c r="H75" s="176">
        <f ca="1">IFERROR(__xludf.DUMMYFUNCTION("IMPORTRANGE(""https://docs.google.com/spreadsheets/d/1-uDff_7J0KD5mKrp0Vvzr7lt3OU09vwQwhkpOPPYv2Y/edit?usp=sharing"",""งบพรบ!FH75"")"),647150)</f>
        <v>647150</v>
      </c>
      <c r="I75" s="176">
        <f ca="1">IFERROR(__xludf.DUMMYFUNCTION("IMPORTRANGE(""https://docs.google.com/spreadsheets/d/1-uDff_7J0KD5mKrp0Vvzr7lt3OU09vwQwhkpOPPYv2Y/edit?usp=sharing"",""งบพรบ!FI75"")"),0)</f>
        <v>0</v>
      </c>
      <c r="J75" s="176">
        <f t="shared" ca="1" si="22"/>
        <v>291773.42</v>
      </c>
      <c r="K75" s="179">
        <f t="shared" ca="1" si="23"/>
        <v>49.931277487806966</v>
      </c>
      <c r="L75" s="176">
        <f ca="1">IFERROR(__xludf.DUMMYFUNCTION("IMPORTRANGE(""https://docs.google.com/spreadsheets/d/1-uDff_7J0KD5mKrp0Vvzr7lt3OU09vwQwhkpOPPYv2Y/edit?usp=sharing"",""งบพรบ!FJ75"")"),291773.42)</f>
        <v>291773.42</v>
      </c>
      <c r="M75" s="87">
        <f t="shared" ca="1" si="24"/>
        <v>49.931277487806966</v>
      </c>
      <c r="N75" s="87">
        <f t="shared" ca="1" si="25"/>
        <v>45.085902804604807</v>
      </c>
      <c r="O75" s="86">
        <f ca="1">IFERROR(__xludf.DUMMYFUNCTION("IMPORTRANGE(""https://docs.google.com/spreadsheets/d/1-uDff_7J0KD5mKrp0Vvzr7lt3OU09vwQwhkpOPPYv2Y/edit?usp=sharing"",""งบพรบ!FK75"")"),0)</f>
        <v>0</v>
      </c>
      <c r="P75" s="86">
        <f t="shared" ca="1" si="26"/>
        <v>0</v>
      </c>
      <c r="Q75" s="87">
        <f t="shared" ca="1" si="27"/>
        <v>0</v>
      </c>
      <c r="R75" s="353">
        <f ca="1">IFERROR(__xludf.DUMMYFUNCTION("IMPORTRANGE(""https://docs.google.com/spreadsheets/d/1kKUcYdkIfrgTSj8iHHHB2MD2FAtwyyocFgqGQn6ADyI/edit?usp=sharing"",""กระบี่!I368"")"),1750)</f>
        <v>1750</v>
      </c>
      <c r="S75" s="177">
        <f ca="1">IFERROR(__xludf.DUMMYFUNCTION("IMPORTRANGE(""https://docs.google.com/spreadsheets/d/1kKUcYdkIfrgTSj8iHHHB2MD2FAtwyyocFgqGQn6ADyI/edit?usp=sharing"",""กระบี่!J367"")"),108)</f>
        <v>108</v>
      </c>
      <c r="T75" s="354">
        <f ca="1">IFERROR(__xludf.DUMMYFUNCTION("IMPORTRANGE(""https://docs.google.com/spreadsheets/d/1kKUcYdkIfrgTSj8iHHHB2MD2FAtwyyocFgqGQn6ADyI/edit?usp=sharing"",""กระบี่!J368"")"),1049.76)</f>
        <v>1049.76</v>
      </c>
      <c r="U75" s="375">
        <f t="shared" ca="1" si="29"/>
        <v>59.986285714285714</v>
      </c>
      <c r="V75" s="353">
        <f ca="1">IFERROR(__xludf.DUMMYFUNCTION("IMPORTRANGE(""https://docs.google.com/spreadsheets/d/1kKUcYdkIfrgTSj8iHHHB2MD2FAtwyyocFgqGQn6ADyI/edit?usp=sharing"",""กระบี่!I369"")"),305)</f>
        <v>305</v>
      </c>
      <c r="W75" s="177">
        <f ca="1">IFERROR(__xludf.DUMMYFUNCTION("IMPORTRANGE(""https://docs.google.com/spreadsheets/d/1kKUcYdkIfrgTSj8iHHHB2MD2FAtwyyocFgqGQn6ADyI/edit?usp=sharing"",""กระบี่!J369"")"),230)</f>
        <v>230</v>
      </c>
      <c r="X75" s="354">
        <f ca="1">IFERROR(__xludf.DUMMYFUNCTION("IMPORTRANGE(""https://docs.google.com/spreadsheets/d/1kKUcYdkIfrgTSj8iHHHB2MD2FAtwyyocFgqGQn6ADyI/edit?usp=sharing"",""กระบี่!J370"")"),3451.79)</f>
        <v>3451.79</v>
      </c>
      <c r="Y75" s="375">
        <f t="shared" ca="1" si="31"/>
        <v>75.409836065573771</v>
      </c>
      <c r="Z75" s="353">
        <f ca="1">IFERROR(__xludf.DUMMYFUNCTION("IMPORTRANGE(""https://docs.google.com/spreadsheets/d/1kKUcYdkIfrgTSj8iHHHB2MD2FAtwyyocFgqGQn6ADyI/edit?usp=sharing"",""กระบี่!I371"")"),210)</f>
        <v>210</v>
      </c>
      <c r="AA75" s="177">
        <f ca="1">IFERROR(__xludf.DUMMYFUNCTION("IMPORTRANGE(""https://docs.google.com/spreadsheets/d/1kKUcYdkIfrgTSj8iHHHB2MD2FAtwyyocFgqGQn6ADyI/edit?usp=sharing"",""กระบี่!J371"")"),131)</f>
        <v>131</v>
      </c>
      <c r="AB75" s="354">
        <f ca="1">IFERROR(__xludf.DUMMYFUNCTION("IMPORTRANGE(""https://docs.google.com/spreadsheets/d/1kKUcYdkIfrgTSj8iHHHB2MD2FAtwyyocFgqGQn6ADyI/edit?usp=sharing"",""กระบี่!J372"")"),2019.33)</f>
        <v>2019.33</v>
      </c>
      <c r="AC75" s="375">
        <f t="shared" ca="1" si="33"/>
        <v>62.38095238095238</v>
      </c>
    </row>
    <row r="76" spans="1:29" ht="21" customHeight="1" x14ac:dyDescent="0.3">
      <c r="A76" s="89">
        <v>2</v>
      </c>
      <c r="B76" s="90" t="s">
        <v>102</v>
      </c>
      <c r="C76" s="174">
        <f t="shared" ca="1" si="20"/>
        <v>492430</v>
      </c>
      <c r="D76" s="175">
        <f t="shared" ca="1" si="49"/>
        <v>492430</v>
      </c>
      <c r="E76" s="176">
        <f ca="1">IFERROR(__xludf.DUMMYFUNCTION("IMPORTRANGE(""https://docs.google.com/spreadsheets/d/1-uDff_7J0KD5mKrp0Vvzr7lt3OU09vwQwhkpOPPYv2Y/edit?usp=sharing"",""งบพรบ!FD76"")"),208600)</f>
        <v>208600</v>
      </c>
      <c r="F76" s="176">
        <f ca="1">IFERROR(__xludf.DUMMYFUNCTION("IMPORTRANGE(""https://docs.google.com/spreadsheets/d/1-uDff_7J0KD5mKrp0Vvzr7lt3OU09vwQwhkpOPPYv2Y/edit?usp=sharing"",""งบพรบ!FE76"")"),283830)</f>
        <v>283830</v>
      </c>
      <c r="G76" s="176">
        <f ca="1">IFERROR(__xludf.DUMMYFUNCTION("IMPORTRANGE(""https://docs.google.com/spreadsheets/d/1-uDff_7J0KD5mKrp0Vvzr7lt3OU09vwQwhkpOPPYv2Y/edit?usp=sharing"",""งบพรบ!FF76"")"),0)</f>
        <v>0</v>
      </c>
      <c r="H76" s="176">
        <f ca="1">IFERROR(__xludf.DUMMYFUNCTION("IMPORTRANGE(""https://docs.google.com/spreadsheets/d/1-uDff_7J0KD5mKrp0Vvzr7lt3OU09vwQwhkpOPPYv2Y/edit?usp=sharing"",""งบพรบ!FH76"")"),492430)</f>
        <v>492430</v>
      </c>
      <c r="I76" s="176">
        <f ca="1">IFERROR(__xludf.DUMMYFUNCTION("IMPORTRANGE(""https://docs.google.com/spreadsheets/d/1-uDff_7J0KD5mKrp0Vvzr7lt3OU09vwQwhkpOPPYv2Y/edit?usp=sharing"",""งบพรบ!FI76"")"),0)</f>
        <v>0</v>
      </c>
      <c r="J76" s="176">
        <f t="shared" ca="1" si="22"/>
        <v>178340.47</v>
      </c>
      <c r="K76" s="179">
        <f t="shared" ca="1" si="23"/>
        <v>36.216410454277764</v>
      </c>
      <c r="L76" s="176">
        <f ca="1">IFERROR(__xludf.DUMMYFUNCTION("IMPORTRANGE(""https://docs.google.com/spreadsheets/d/1-uDff_7J0KD5mKrp0Vvzr7lt3OU09vwQwhkpOPPYv2Y/edit?usp=sharing"",""งบพรบ!FJ76"")"),178340.47)</f>
        <v>178340.47</v>
      </c>
      <c r="M76" s="87">
        <f t="shared" ca="1" si="24"/>
        <v>36.216410454277764</v>
      </c>
      <c r="N76" s="87">
        <f t="shared" ca="1" si="25"/>
        <v>36.216410454277764</v>
      </c>
      <c r="O76" s="86">
        <f ca="1">IFERROR(__xludf.DUMMYFUNCTION("IMPORTRANGE(""https://docs.google.com/spreadsheets/d/1-uDff_7J0KD5mKrp0Vvzr7lt3OU09vwQwhkpOPPYv2Y/edit?usp=sharing"",""งบพรบ!FK76"")"),0)</f>
        <v>0</v>
      </c>
      <c r="P76" s="86">
        <f t="shared" ca="1" si="26"/>
        <v>0</v>
      </c>
      <c r="Q76" s="87">
        <f t="shared" ca="1" si="27"/>
        <v>0</v>
      </c>
      <c r="R76" s="353">
        <f ca="1">IFERROR(__xludf.DUMMYFUNCTION("IMPORTRANGE(""https://docs.google.com/spreadsheets/d/1GwtLaSlNZkLk7iDqcyZz22giiy40b_usZZBXYciEN1U/edit?usp=sharing"",""ชุมพร!I368"")"),1625)</f>
        <v>1625</v>
      </c>
      <c r="S76" s="177">
        <f ca="1">IFERROR(__xludf.DUMMYFUNCTION("IMPORTRANGE(""https://docs.google.com/spreadsheets/d/1GwtLaSlNZkLk7iDqcyZz22giiy40b_usZZBXYciEN1U/edit?usp=sharing"",""ชุมพร!J367"")"),134)</f>
        <v>134</v>
      </c>
      <c r="T76" s="354">
        <f ca="1">IFERROR(__xludf.DUMMYFUNCTION("IMPORTRANGE(""https://docs.google.com/spreadsheets/d/1GwtLaSlNZkLk7iDqcyZz22giiy40b_usZZBXYciEN1U/edit?usp=sharing"",""ชุมพร!J368"")"),1152.61)</f>
        <v>1152.6099999999999</v>
      </c>
      <c r="U76" s="375">
        <f t="shared" ca="1" si="29"/>
        <v>70.929846153846142</v>
      </c>
      <c r="V76" s="353">
        <f ca="1">IFERROR(__xludf.DUMMYFUNCTION("IMPORTRANGE(""https://docs.google.com/spreadsheets/d/1GwtLaSlNZkLk7iDqcyZz22giiy40b_usZZBXYciEN1U/edit?usp=sharing"",""ชุมพร!I369"")"),280)</f>
        <v>280</v>
      </c>
      <c r="W76" s="177">
        <f ca="1">IFERROR(__xludf.DUMMYFUNCTION("IMPORTRANGE(""https://docs.google.com/spreadsheets/d/1GwtLaSlNZkLk7iDqcyZz22giiy40b_usZZBXYciEN1U/edit?usp=sharing"",""ชุมพร!J369"")"),241)</f>
        <v>241</v>
      </c>
      <c r="X76" s="354">
        <f ca="1">IFERROR(__xludf.DUMMYFUNCTION("IMPORTRANGE(""https://docs.google.com/spreadsheets/d/1GwtLaSlNZkLk7iDqcyZz22giiy40b_usZZBXYciEN1U/edit?usp=sharing"",""ชุมพร!J370"")"),2762.79)</f>
        <v>2762.79</v>
      </c>
      <c r="Y76" s="375">
        <f t="shared" ca="1" si="31"/>
        <v>86.071428571428569</v>
      </c>
      <c r="Z76" s="353">
        <f ca="1">IFERROR(__xludf.DUMMYFUNCTION("IMPORTRANGE(""https://docs.google.com/spreadsheets/d/1GwtLaSlNZkLk7iDqcyZz22giiy40b_usZZBXYciEN1U/edit?usp=sharing"",""ชุมพร!I371"")"),179)</f>
        <v>179</v>
      </c>
      <c r="AA76" s="177">
        <f ca="1">IFERROR(__xludf.DUMMYFUNCTION("IMPORTRANGE(""https://docs.google.com/spreadsheets/d/1GwtLaSlNZkLk7iDqcyZz22giiy40b_usZZBXYciEN1U/edit?usp=sharing"",""ชุมพร!J371"")"),185)</f>
        <v>185</v>
      </c>
      <c r="AB76" s="354">
        <f ca="1">IFERROR(__xludf.DUMMYFUNCTION("IMPORTRANGE(""https://docs.google.com/spreadsheets/d/1GwtLaSlNZkLk7iDqcyZz22giiy40b_usZZBXYciEN1U/edit?usp=sharing"",""ชุมพร!J372"")"),2205.06999999999)</f>
        <v>2205.0699999999902</v>
      </c>
      <c r="AC76" s="375">
        <f t="shared" ca="1" si="33"/>
        <v>103.35195530726257</v>
      </c>
    </row>
    <row r="77" spans="1:29" ht="21" customHeight="1" x14ac:dyDescent="0.3">
      <c r="A77" s="89">
        <v>3</v>
      </c>
      <c r="B77" s="90" t="s">
        <v>103</v>
      </c>
      <c r="C77" s="174">
        <f t="shared" ca="1" si="20"/>
        <v>498260</v>
      </c>
      <c r="D77" s="175">
        <f t="shared" ca="1" si="49"/>
        <v>498260</v>
      </c>
      <c r="E77" s="176">
        <f ca="1">IFERROR(__xludf.DUMMYFUNCTION("IMPORTRANGE(""https://docs.google.com/spreadsheets/d/1-uDff_7J0KD5mKrp0Vvzr7lt3OU09vwQwhkpOPPYv2Y/edit?usp=sharing"",""งบพรบ!FD77"")"),326200)</f>
        <v>326200</v>
      </c>
      <c r="F77" s="176">
        <f ca="1">IFERROR(__xludf.DUMMYFUNCTION("IMPORTRANGE(""https://docs.google.com/spreadsheets/d/1-uDff_7J0KD5mKrp0Vvzr7lt3OU09vwQwhkpOPPYv2Y/edit?usp=sharing"",""งบพรบ!FE77"")"),172060)</f>
        <v>172060</v>
      </c>
      <c r="G77" s="176">
        <f ca="1">IFERROR(__xludf.DUMMYFUNCTION("IMPORTRANGE(""https://docs.google.com/spreadsheets/d/1-uDff_7J0KD5mKrp0Vvzr7lt3OU09vwQwhkpOPPYv2Y/edit?usp=sharing"",""งบพรบ!FF77"")"),0)</f>
        <v>0</v>
      </c>
      <c r="H77" s="176">
        <f ca="1">IFERROR(__xludf.DUMMYFUNCTION("IMPORTRANGE(""https://docs.google.com/spreadsheets/d/1-uDff_7J0KD5mKrp0Vvzr7lt3OU09vwQwhkpOPPYv2Y/edit?usp=sharing"",""งบพรบ!FH77"")"),498260)</f>
        <v>498260</v>
      </c>
      <c r="I77" s="176">
        <f ca="1">IFERROR(__xludf.DUMMYFUNCTION("IMPORTRANGE(""https://docs.google.com/spreadsheets/d/1-uDff_7J0KD5mKrp0Vvzr7lt3OU09vwQwhkpOPPYv2Y/edit?usp=sharing"",""งบพรบ!FI77"")"),0)</f>
        <v>0</v>
      </c>
      <c r="J77" s="176">
        <f t="shared" ca="1" si="22"/>
        <v>159415.54999999999</v>
      </c>
      <c r="K77" s="179">
        <f t="shared" ca="1" si="23"/>
        <v>31.994450688395613</v>
      </c>
      <c r="L77" s="176">
        <f ca="1">IFERROR(__xludf.DUMMYFUNCTION("IMPORTRANGE(""https://docs.google.com/spreadsheets/d/1-uDff_7J0KD5mKrp0Vvzr7lt3OU09vwQwhkpOPPYv2Y/edit?usp=sharing"",""งบพรบ!FJ77"")"),159415.55)</f>
        <v>159415.54999999999</v>
      </c>
      <c r="M77" s="87">
        <f t="shared" ca="1" si="24"/>
        <v>31.994450688395613</v>
      </c>
      <c r="N77" s="87">
        <f t="shared" ca="1" si="25"/>
        <v>31.994450688395613</v>
      </c>
      <c r="O77" s="86">
        <f ca="1">IFERROR(__xludf.DUMMYFUNCTION("IMPORTRANGE(""https://docs.google.com/spreadsheets/d/1-uDff_7J0KD5mKrp0Vvzr7lt3OU09vwQwhkpOPPYv2Y/edit?usp=sharing"",""งบพรบ!FK77"")"),0)</f>
        <v>0</v>
      </c>
      <c r="P77" s="86">
        <f t="shared" ca="1" si="26"/>
        <v>0</v>
      </c>
      <c r="Q77" s="87">
        <f t="shared" ca="1" si="27"/>
        <v>0</v>
      </c>
      <c r="R77" s="353">
        <f ca="1">IFERROR(__xludf.DUMMYFUNCTION("IMPORTRANGE(""https://docs.google.com/spreadsheets/d/16pAz3pOhQEZBhvFNMa5KGgZS6iKWpsKX0pg6tQmwFpo/edit?usp=sharing"",""ตรัง!I368"")"),490)</f>
        <v>490</v>
      </c>
      <c r="S77" s="177">
        <f ca="1">IFERROR(__xludf.DUMMYFUNCTION("IMPORTRANGE(""https://docs.google.com/spreadsheets/d/16pAz3pOhQEZBhvFNMa5KGgZS6iKWpsKX0pg6tQmwFpo/edit?usp=sharing"",""ตรัง!J367"")"),92)</f>
        <v>92</v>
      </c>
      <c r="T77" s="354">
        <f ca="1">IFERROR(__xludf.DUMMYFUNCTION("IMPORTRANGE(""https://docs.google.com/spreadsheets/d/16pAz3pOhQEZBhvFNMa5KGgZS6iKWpsKX0pg6tQmwFpo/edit?usp=sharing"",""ตรัง!J368"")"),863.71)</f>
        <v>863.71</v>
      </c>
      <c r="U77" s="375">
        <f t="shared" ca="1" si="29"/>
        <v>176.26734693877552</v>
      </c>
      <c r="V77" s="353">
        <f ca="1">IFERROR(__xludf.DUMMYFUNCTION("IMPORTRANGE(""https://docs.google.com/spreadsheets/d/16pAz3pOhQEZBhvFNMa5KGgZS6iKWpsKX0pg6tQmwFpo/edit?usp=sharing"",""ตรัง!I369"")"),88)</f>
        <v>88</v>
      </c>
      <c r="W77" s="177">
        <f ca="1">IFERROR(__xludf.DUMMYFUNCTION("IMPORTRANGE(""https://docs.google.com/spreadsheets/d/16pAz3pOhQEZBhvFNMa5KGgZS6iKWpsKX0pg6tQmwFpo/edit?usp=sharing"",""ตรัง!J369"")"),47)</f>
        <v>47</v>
      </c>
      <c r="X77" s="354">
        <f ca="1">IFERROR(__xludf.DUMMYFUNCTION("IMPORTRANGE(""https://docs.google.com/spreadsheets/d/16pAz3pOhQEZBhvFNMa5KGgZS6iKWpsKX0pg6tQmwFpo/edit?usp=sharing"",""ตรัง!J370"")"),585.64)</f>
        <v>585.64</v>
      </c>
      <c r="Y77" s="375">
        <f t="shared" ca="1" si="31"/>
        <v>53.409090909090907</v>
      </c>
      <c r="Z77" s="353">
        <f ca="1">IFERROR(__xludf.DUMMYFUNCTION("IMPORTRANGE(""https://docs.google.com/spreadsheets/d/16pAz3pOhQEZBhvFNMa5KGgZS6iKWpsKX0pg6tQmwFpo/edit?usp=sharing"",""ตรัง!I371"")"),63)</f>
        <v>63</v>
      </c>
      <c r="AA77" s="177">
        <f ca="1">IFERROR(__xludf.DUMMYFUNCTION("IMPORTRANGE(""https://docs.google.com/spreadsheets/d/16pAz3pOhQEZBhvFNMa5KGgZS6iKWpsKX0pg6tQmwFpo/edit?usp=sharing"",""ตรัง!J371"")"),47)</f>
        <v>47</v>
      </c>
      <c r="AB77" s="354">
        <f ca="1">IFERROR(__xludf.DUMMYFUNCTION("IMPORTRANGE(""https://docs.google.com/spreadsheets/d/16pAz3pOhQEZBhvFNMa5KGgZS6iKWpsKX0pg6tQmwFpo/edit?usp=sharing"",""ตรัง!J372"")"),585.64)</f>
        <v>585.64</v>
      </c>
      <c r="AC77" s="375">
        <f t="shared" ca="1" si="33"/>
        <v>74.603174603174608</v>
      </c>
    </row>
    <row r="78" spans="1:29" ht="21" customHeight="1" x14ac:dyDescent="0.3">
      <c r="A78" s="89">
        <v>4</v>
      </c>
      <c r="B78" s="90" t="s">
        <v>104</v>
      </c>
      <c r="C78" s="174">
        <f t="shared" ca="1" si="20"/>
        <v>760985</v>
      </c>
      <c r="D78" s="175">
        <f t="shared" ca="1" si="49"/>
        <v>760985</v>
      </c>
      <c r="E78" s="176">
        <f ca="1">IFERROR(__xludf.DUMMYFUNCTION("IMPORTRANGE(""https://docs.google.com/spreadsheets/d/1-uDff_7J0KD5mKrp0Vvzr7lt3OU09vwQwhkpOPPYv2Y/edit?usp=sharing"",""งบพรบ!FD78"")"),208600)</f>
        <v>208600</v>
      </c>
      <c r="F78" s="176">
        <f ca="1">IFERROR(__xludf.DUMMYFUNCTION("IMPORTRANGE(""https://docs.google.com/spreadsheets/d/1-uDff_7J0KD5mKrp0Vvzr7lt3OU09vwQwhkpOPPYv2Y/edit?usp=sharing"",""งบพรบ!FE78"")"),552385)</f>
        <v>552385</v>
      </c>
      <c r="G78" s="176">
        <f ca="1">IFERROR(__xludf.DUMMYFUNCTION("IMPORTRANGE(""https://docs.google.com/spreadsheets/d/1-uDff_7J0KD5mKrp0Vvzr7lt3OU09vwQwhkpOPPYv2Y/edit?usp=sharing"",""งบพรบ!FF78"")"),0)</f>
        <v>0</v>
      </c>
      <c r="H78" s="176">
        <f ca="1">IFERROR(__xludf.DUMMYFUNCTION("IMPORTRANGE(""https://docs.google.com/spreadsheets/d/1-uDff_7J0KD5mKrp0Vvzr7lt3OU09vwQwhkpOPPYv2Y/edit?usp=sharing"",""งบพรบ!FH78"")"),760985)</f>
        <v>760985</v>
      </c>
      <c r="I78" s="176">
        <f ca="1">IFERROR(__xludf.DUMMYFUNCTION("IMPORTRANGE(""https://docs.google.com/spreadsheets/d/1-uDff_7J0KD5mKrp0Vvzr7lt3OU09vwQwhkpOPPYv2Y/edit?usp=sharing"",""งบพรบ!FI78"")"),0)</f>
        <v>0</v>
      </c>
      <c r="J78" s="176">
        <f t="shared" ca="1" si="22"/>
        <v>282779.40000000002</v>
      </c>
      <c r="K78" s="179">
        <f t="shared" ca="1" si="23"/>
        <v>37.159654920924858</v>
      </c>
      <c r="L78" s="176">
        <f ca="1">IFERROR(__xludf.DUMMYFUNCTION("IMPORTRANGE(""https://docs.google.com/spreadsheets/d/1-uDff_7J0KD5mKrp0Vvzr7lt3OU09vwQwhkpOPPYv2Y/edit?usp=sharing"",""งบพรบ!FJ78"")"),282779.4)</f>
        <v>282779.40000000002</v>
      </c>
      <c r="M78" s="87">
        <f t="shared" ca="1" si="24"/>
        <v>37.159654920924858</v>
      </c>
      <c r="N78" s="87">
        <f t="shared" ca="1" si="25"/>
        <v>37.159654920924858</v>
      </c>
      <c r="O78" s="86">
        <f ca="1">IFERROR(__xludf.DUMMYFUNCTION("IMPORTRANGE(""https://docs.google.com/spreadsheets/d/1-uDff_7J0KD5mKrp0Vvzr7lt3OU09vwQwhkpOPPYv2Y/edit?usp=sharing"",""งบพรบ!FK78"")"),0)</f>
        <v>0</v>
      </c>
      <c r="P78" s="86">
        <f t="shared" ca="1" si="26"/>
        <v>0</v>
      </c>
      <c r="Q78" s="87">
        <f t="shared" ca="1" si="27"/>
        <v>0</v>
      </c>
      <c r="R78" s="353">
        <f ca="1">IFERROR(__xludf.DUMMYFUNCTION("IMPORTRANGE(""https://docs.google.com/spreadsheets/d/1Dj4jcHCTV9JXKCaMoheSXS52JE63kDKyG7bPXnFogHk/edit?usp=sharing"",""นครศรีธรรมราช!I368"")"),4210)</f>
        <v>4210</v>
      </c>
      <c r="S78" s="177">
        <f ca="1">IFERROR(__xludf.DUMMYFUNCTION("IMPORTRANGE(""https://docs.google.com/spreadsheets/d/1Dj4jcHCTV9JXKCaMoheSXS52JE63kDKyG7bPXnFogHk/edit?usp=sharing"",""นครศรีธรรมราช!J367"")"),54)</f>
        <v>54</v>
      </c>
      <c r="T78" s="354">
        <f ca="1">IFERROR(__xludf.DUMMYFUNCTION("IMPORTRANGE(""https://docs.google.com/spreadsheets/d/1Dj4jcHCTV9JXKCaMoheSXS52JE63kDKyG7bPXnFogHk/edit?usp=sharing"",""นครศรีธรรมราช!J368"")"),277.72)</f>
        <v>277.72000000000003</v>
      </c>
      <c r="U78" s="375">
        <f t="shared" ca="1" si="29"/>
        <v>6.5966745843230417</v>
      </c>
      <c r="V78" s="353">
        <f ca="1">IFERROR(__xludf.DUMMYFUNCTION("IMPORTRANGE(""https://docs.google.com/spreadsheets/d/1Dj4jcHCTV9JXKCaMoheSXS52JE63kDKyG7bPXnFogHk/edit?usp=sharing"",""นครศรีธรรมราช!I369"")"),717)</f>
        <v>717</v>
      </c>
      <c r="W78" s="177">
        <f ca="1">IFERROR(__xludf.DUMMYFUNCTION("IMPORTRANGE(""https://docs.google.com/spreadsheets/d/1Dj4jcHCTV9JXKCaMoheSXS52JE63kDKyG7bPXnFogHk/edit?usp=sharing"",""นครศรีธรรมราช!J369"")"),126)</f>
        <v>126</v>
      </c>
      <c r="X78" s="354">
        <f ca="1">IFERROR(__xludf.DUMMYFUNCTION("IMPORTRANGE(""https://docs.google.com/spreadsheets/d/1Dj4jcHCTV9JXKCaMoheSXS52JE63kDKyG7bPXnFogHk/edit?usp=sharing"",""นครศรีธรรมราช!J370"")"),1262.78)</f>
        <v>1262.78</v>
      </c>
      <c r="Y78" s="375">
        <f t="shared" ca="1" si="31"/>
        <v>17.573221757322177</v>
      </c>
      <c r="Z78" s="353">
        <f ca="1">IFERROR(__xludf.DUMMYFUNCTION("IMPORTRANGE(""https://docs.google.com/spreadsheets/d/1Dj4jcHCTV9JXKCaMoheSXS52JE63kDKyG7bPXnFogHk/edit?usp=sharing"",""นครศรีธรรมราช!I371"")"),468)</f>
        <v>468</v>
      </c>
      <c r="AA78" s="177">
        <f ca="1">IFERROR(__xludf.DUMMYFUNCTION("IMPORTRANGE(""https://docs.google.com/spreadsheets/d/1Dj4jcHCTV9JXKCaMoheSXS52JE63kDKyG7bPXnFogHk/edit?usp=sharing"",""นครศรีธรรมราช!J371"")"),78)</f>
        <v>78</v>
      </c>
      <c r="AB78" s="354">
        <f ca="1">IFERROR(__xludf.DUMMYFUNCTION("IMPORTRANGE(""https://docs.google.com/spreadsheets/d/1Dj4jcHCTV9JXKCaMoheSXS52JE63kDKyG7bPXnFogHk/edit?usp=sharing"",""นครศรีธรรมราช!J372"")"),895.14)</f>
        <v>895.14</v>
      </c>
      <c r="AC78" s="375">
        <f t="shared" ca="1" si="33"/>
        <v>16.666666666666668</v>
      </c>
    </row>
    <row r="79" spans="1:29" ht="21" customHeight="1" x14ac:dyDescent="0.3">
      <c r="A79" s="89">
        <v>5</v>
      </c>
      <c r="B79" s="90" t="s">
        <v>105</v>
      </c>
      <c r="C79" s="174">
        <f t="shared" ca="1" si="20"/>
        <v>278755</v>
      </c>
      <c r="D79" s="175">
        <f t="shared" ca="1" si="49"/>
        <v>278755</v>
      </c>
      <c r="E79" s="176">
        <f ca="1">IFERROR(__xludf.DUMMYFUNCTION("IMPORTRANGE(""https://docs.google.com/spreadsheets/d/1-uDff_7J0KD5mKrp0Vvzr7lt3OU09vwQwhkpOPPYv2Y/edit?usp=sharing"",""งบพรบ!FD79"")"),142100)</f>
        <v>142100</v>
      </c>
      <c r="F79" s="176">
        <f ca="1">IFERROR(__xludf.DUMMYFUNCTION("IMPORTRANGE(""https://docs.google.com/spreadsheets/d/1-uDff_7J0KD5mKrp0Vvzr7lt3OU09vwQwhkpOPPYv2Y/edit?usp=sharing"",""งบพรบ!FE79"")"),136655)</f>
        <v>136655</v>
      </c>
      <c r="G79" s="176">
        <f ca="1">IFERROR(__xludf.DUMMYFUNCTION("IMPORTRANGE(""https://docs.google.com/spreadsheets/d/1-uDff_7J0KD5mKrp0Vvzr7lt3OU09vwQwhkpOPPYv2Y/edit?usp=sharing"",""งบพรบ!FF79"")"),0)</f>
        <v>0</v>
      </c>
      <c r="H79" s="176">
        <f ca="1">IFERROR(__xludf.DUMMYFUNCTION("IMPORTRANGE(""https://docs.google.com/spreadsheets/d/1-uDff_7J0KD5mKrp0Vvzr7lt3OU09vwQwhkpOPPYv2Y/edit?usp=sharing"",""งบพรบ!FH79"")"),278755)</f>
        <v>278755</v>
      </c>
      <c r="I79" s="176">
        <f ca="1">IFERROR(__xludf.DUMMYFUNCTION("IMPORTRANGE(""https://docs.google.com/spreadsheets/d/1-uDff_7J0KD5mKrp0Vvzr7lt3OU09vwQwhkpOPPYv2Y/edit?usp=sharing"",""งบพรบ!FI79"")"),0)</f>
        <v>0</v>
      </c>
      <c r="J79" s="176">
        <f t="shared" ca="1" si="22"/>
        <v>110060</v>
      </c>
      <c r="K79" s="179">
        <f t="shared" ca="1" si="23"/>
        <v>39.482699861885884</v>
      </c>
      <c r="L79" s="176">
        <f ca="1">IFERROR(__xludf.DUMMYFUNCTION("IMPORTRANGE(""https://docs.google.com/spreadsheets/d/1-uDff_7J0KD5mKrp0Vvzr7lt3OU09vwQwhkpOPPYv2Y/edit?usp=sharing"",""งบพรบ!FJ79"")"),110060)</f>
        <v>110060</v>
      </c>
      <c r="M79" s="87">
        <f t="shared" ca="1" si="24"/>
        <v>39.482699861885884</v>
      </c>
      <c r="N79" s="87">
        <f t="shared" ca="1" si="25"/>
        <v>39.482699861885884</v>
      </c>
      <c r="O79" s="86">
        <f ca="1">IFERROR(__xludf.DUMMYFUNCTION("IMPORTRANGE(""https://docs.google.com/spreadsheets/d/1-uDff_7J0KD5mKrp0Vvzr7lt3OU09vwQwhkpOPPYv2Y/edit?usp=sharing"",""งบพรบ!FK79"")"),0)</f>
        <v>0</v>
      </c>
      <c r="P79" s="86">
        <f t="shared" ca="1" si="26"/>
        <v>0</v>
      </c>
      <c r="Q79" s="87">
        <f t="shared" ca="1" si="27"/>
        <v>0</v>
      </c>
      <c r="R79" s="353">
        <f ca="1">IFERROR(__xludf.DUMMYFUNCTION("IMPORTRANGE(""https://docs.google.com/spreadsheets/d/1iodCdmuK2GR3jzUwk8tpccY2JHQQA-87DLOtJP-ooyU/edit?usp=sharing"",""นราธิวาส!I368"")"),120)</f>
        <v>120</v>
      </c>
      <c r="S79" s="177">
        <f ca="1">IFERROR(__xludf.DUMMYFUNCTION("IMPORTRANGE(""https://docs.google.com/spreadsheets/d/1iodCdmuK2GR3jzUwk8tpccY2JHQQA-87DLOtJP-ooyU/edit?usp=sharing"",""นราธิวาส!J367"")"),1)</f>
        <v>1</v>
      </c>
      <c r="T79" s="354">
        <f ca="1">IFERROR(__xludf.DUMMYFUNCTION("IMPORTRANGE(""https://docs.google.com/spreadsheets/d/1iodCdmuK2GR3jzUwk8tpccY2JHQQA-87DLOtJP-ooyU/edit?usp=sharing"",""นราธิวาส!J368"")"),41.1)</f>
        <v>41.1</v>
      </c>
      <c r="U79" s="375">
        <f t="shared" ca="1" si="29"/>
        <v>34.25</v>
      </c>
      <c r="V79" s="353">
        <f ca="1">IFERROR(__xludf.DUMMYFUNCTION("IMPORTRANGE(""https://docs.google.com/spreadsheets/d/1iodCdmuK2GR3jzUwk8tpccY2JHQQA-87DLOtJP-ooyU/edit?usp=sharing"",""นราธิวาส!I369"")"),31)</f>
        <v>31</v>
      </c>
      <c r="W79" s="177">
        <f ca="1">IFERROR(__xludf.DUMMYFUNCTION("IMPORTRANGE(""https://docs.google.com/spreadsheets/d/1iodCdmuK2GR3jzUwk8tpccY2JHQQA-87DLOtJP-ooyU/edit?usp=sharing"",""นราธิวาส!J369"")"),0)</f>
        <v>0</v>
      </c>
      <c r="X79" s="354">
        <f ca="1">IFERROR(__xludf.DUMMYFUNCTION("IMPORTRANGE(""https://docs.google.com/spreadsheets/d/1iodCdmuK2GR3jzUwk8tpccY2JHQQA-87DLOtJP-ooyU/edit?usp=sharing"",""นราธิวาส!J370"")"),0)</f>
        <v>0</v>
      </c>
      <c r="Y79" s="375">
        <f t="shared" ca="1" si="31"/>
        <v>0</v>
      </c>
      <c r="Z79" s="353">
        <f ca="1">IFERROR(__xludf.DUMMYFUNCTION("IMPORTRANGE(""https://docs.google.com/spreadsheets/d/1iodCdmuK2GR3jzUwk8tpccY2JHQQA-87DLOtJP-ooyU/edit?usp=sharing"",""นราธิวาส!I371"")"),19)</f>
        <v>19</v>
      </c>
      <c r="AA79" s="177">
        <f ca="1">IFERROR(__xludf.DUMMYFUNCTION("IMPORTRANGE(""https://docs.google.com/spreadsheets/d/1iodCdmuK2GR3jzUwk8tpccY2JHQQA-87DLOtJP-ooyU/edit?usp=sharing"",""นราธิวาส!J371"")"),0)</f>
        <v>0</v>
      </c>
      <c r="AB79" s="354">
        <f ca="1">IFERROR(__xludf.DUMMYFUNCTION("IMPORTRANGE(""https://docs.google.com/spreadsheets/d/1iodCdmuK2GR3jzUwk8tpccY2JHQQA-87DLOtJP-ooyU/edit?usp=sharing"",""นราธิวาส!J372"")"),0)</f>
        <v>0</v>
      </c>
      <c r="AC79" s="375">
        <f t="shared" ca="1" si="33"/>
        <v>0</v>
      </c>
    </row>
    <row r="80" spans="1:29" ht="21" customHeight="1" x14ac:dyDescent="0.3">
      <c r="A80" s="89">
        <v>6</v>
      </c>
      <c r="B80" s="90" t="s">
        <v>106</v>
      </c>
      <c r="C80" s="174">
        <f t="shared" ca="1" si="20"/>
        <v>535170</v>
      </c>
      <c r="D80" s="175">
        <f t="shared" ca="1" si="49"/>
        <v>535170</v>
      </c>
      <c r="E80" s="176">
        <f ca="1">IFERROR(__xludf.DUMMYFUNCTION("IMPORTRANGE(""https://docs.google.com/spreadsheets/d/1-uDff_7J0KD5mKrp0Vvzr7lt3OU09vwQwhkpOPPYv2Y/edit?usp=sharing"",""งบพรบ!FD80"")"),392700)</f>
        <v>392700</v>
      </c>
      <c r="F80" s="176">
        <f ca="1">IFERROR(__xludf.DUMMYFUNCTION("IMPORTRANGE(""https://docs.google.com/spreadsheets/d/1-uDff_7J0KD5mKrp0Vvzr7lt3OU09vwQwhkpOPPYv2Y/edit?usp=sharing"",""งบพรบ!FE80"")"),142470)</f>
        <v>142470</v>
      </c>
      <c r="G80" s="176">
        <f ca="1">IFERROR(__xludf.DUMMYFUNCTION("IMPORTRANGE(""https://docs.google.com/spreadsheets/d/1-uDff_7J0KD5mKrp0Vvzr7lt3OU09vwQwhkpOPPYv2Y/edit?usp=sharing"",""งบพรบ!FF80"")"),0)</f>
        <v>0</v>
      </c>
      <c r="H80" s="176">
        <f ca="1">IFERROR(__xludf.DUMMYFUNCTION("IMPORTRANGE(""https://docs.google.com/spreadsheets/d/1-uDff_7J0KD5mKrp0Vvzr7lt3OU09vwQwhkpOPPYv2Y/edit?usp=sharing"",""งบพรบ!FH80"")"),535170)</f>
        <v>535170</v>
      </c>
      <c r="I80" s="176">
        <f ca="1">IFERROR(__xludf.DUMMYFUNCTION("IMPORTRANGE(""https://docs.google.com/spreadsheets/d/1-uDff_7J0KD5mKrp0Vvzr7lt3OU09vwQwhkpOPPYv2Y/edit?usp=sharing"",""งบพรบ!FI80"")"),0)</f>
        <v>0</v>
      </c>
      <c r="J80" s="176">
        <f t="shared" ca="1" si="22"/>
        <v>195999.97</v>
      </c>
      <c r="K80" s="179">
        <f t="shared" ca="1" si="23"/>
        <v>36.623870919520897</v>
      </c>
      <c r="L80" s="176">
        <f ca="1">IFERROR(__xludf.DUMMYFUNCTION("IMPORTRANGE(""https://docs.google.com/spreadsheets/d/1-uDff_7J0KD5mKrp0Vvzr7lt3OU09vwQwhkpOPPYv2Y/edit?usp=sharing"",""งบพรบ!FJ80"")"),195999.97)</f>
        <v>195999.97</v>
      </c>
      <c r="M80" s="87">
        <f t="shared" ca="1" si="24"/>
        <v>36.623870919520897</v>
      </c>
      <c r="N80" s="87">
        <f t="shared" ca="1" si="25"/>
        <v>36.623870919520897</v>
      </c>
      <c r="O80" s="86">
        <f ca="1">IFERROR(__xludf.DUMMYFUNCTION("IMPORTRANGE(""https://docs.google.com/spreadsheets/d/1-uDff_7J0KD5mKrp0Vvzr7lt3OU09vwQwhkpOPPYv2Y/edit?usp=sharing"",""งบพรบ!FK80"")"),0)</f>
        <v>0</v>
      </c>
      <c r="P80" s="86">
        <f t="shared" ca="1" si="26"/>
        <v>0</v>
      </c>
      <c r="Q80" s="87">
        <f t="shared" ca="1" si="27"/>
        <v>0</v>
      </c>
      <c r="R80" s="355">
        <f ca="1">IFERROR(__xludf.DUMMYFUNCTION("IMPORTRANGE(""https://docs.google.com/spreadsheets/d/1SDNX3JhDdYRuIOsj0Wh2M-Qa_eaXl0NbWmhAOTbfQAs/edit?usp=sharing"",""ปัตตานี!I368"")"),230)</f>
        <v>230</v>
      </c>
      <c r="S80" s="177">
        <f ca="1">IFERROR(__xludf.DUMMYFUNCTION("IMPORTRANGE(""https://docs.google.com/spreadsheets/d/1SDNX3JhDdYRuIOsj0Wh2M-Qa_eaXl0NbWmhAOTbfQAs/edit?usp=sharing"",""ปัตตานี!J367"")"),15)</f>
        <v>15</v>
      </c>
      <c r="T80" s="354">
        <f ca="1">IFERROR(__xludf.DUMMYFUNCTION("IMPORTRANGE(""https://docs.google.com/spreadsheets/d/1SDNX3JhDdYRuIOsj0Wh2M-Qa_eaXl0NbWmhAOTbfQAs/edit?usp=sharing"",""ปัตตานี!J368"")"),60.29)</f>
        <v>60.29</v>
      </c>
      <c r="U80" s="375">
        <f t="shared" ca="1" si="29"/>
        <v>26.213043478260868</v>
      </c>
      <c r="V80" s="355">
        <f ca="1">IFERROR(__xludf.DUMMYFUNCTION("IMPORTRANGE(""https://docs.google.com/spreadsheets/d/1SDNX3JhDdYRuIOsj0Wh2M-Qa_eaXl0NbWmhAOTbfQAs/edit?usp=sharing"",""ปัตตานี!I369"")"),32)</f>
        <v>32</v>
      </c>
      <c r="W80" s="177">
        <f ca="1">IFERROR(__xludf.DUMMYFUNCTION("IMPORTRANGE(""https://docs.google.com/spreadsheets/d/1SDNX3JhDdYRuIOsj0Wh2M-Qa_eaXl0NbWmhAOTbfQAs/edit?usp=sharing"",""ปัตตานี!J369"")"),5)</f>
        <v>5</v>
      </c>
      <c r="X80" s="354">
        <f ca="1">IFERROR(__xludf.DUMMYFUNCTION("IMPORTRANGE(""https://docs.google.com/spreadsheets/d/1SDNX3JhDdYRuIOsj0Wh2M-Qa_eaXl0NbWmhAOTbfQAs/edit?usp=sharing"",""ปัตตานี!J370"")"),15.59)</f>
        <v>15.59</v>
      </c>
      <c r="Y80" s="375">
        <f t="shared" ca="1" si="31"/>
        <v>15.625</v>
      </c>
      <c r="Z80" s="355">
        <f ca="1">IFERROR(__xludf.DUMMYFUNCTION("IMPORTRANGE(""https://docs.google.com/spreadsheets/d/1SDNX3JhDdYRuIOsj0Wh2M-Qa_eaXl0NbWmhAOTbfQAs/edit?usp=sharing"",""ปัตตานี!I371"")"),25)</f>
        <v>25</v>
      </c>
      <c r="AA80" s="177">
        <f ca="1">IFERROR(__xludf.DUMMYFUNCTION("IMPORTRANGE(""https://docs.google.com/spreadsheets/d/1SDNX3JhDdYRuIOsj0Wh2M-Qa_eaXl0NbWmhAOTbfQAs/edit?usp=sharing"",""ปัตตานี!J371"")"),5)</f>
        <v>5</v>
      </c>
      <c r="AB80" s="354">
        <f ca="1">IFERROR(__xludf.DUMMYFUNCTION("IMPORTRANGE(""https://docs.google.com/spreadsheets/d/1SDNX3JhDdYRuIOsj0Wh2M-Qa_eaXl0NbWmhAOTbfQAs/edit?usp=sharing"",""ปัตตานี!J372"")"),15.59)</f>
        <v>15.59</v>
      </c>
      <c r="AC80" s="375">
        <f t="shared" ca="1" si="33"/>
        <v>20</v>
      </c>
    </row>
    <row r="81" spans="1:29" ht="21" customHeight="1" x14ac:dyDescent="0.3">
      <c r="A81" s="89">
        <v>7</v>
      </c>
      <c r="B81" s="90" t="s">
        <v>107</v>
      </c>
      <c r="C81" s="174">
        <f t="shared" ca="1" si="20"/>
        <v>427090</v>
      </c>
      <c r="D81" s="175">
        <f t="shared" ca="1" si="49"/>
        <v>427090</v>
      </c>
      <c r="E81" s="176">
        <f ca="1">IFERROR(__xludf.DUMMYFUNCTION("IMPORTRANGE(""https://docs.google.com/spreadsheets/d/1-uDff_7J0KD5mKrp0Vvzr7lt3OU09vwQwhkpOPPYv2Y/edit?usp=sharing"",""งบพรบ!FD81"")"),275100)</f>
        <v>275100</v>
      </c>
      <c r="F81" s="176">
        <f ca="1">IFERROR(__xludf.DUMMYFUNCTION("IMPORTRANGE(""https://docs.google.com/spreadsheets/d/1-uDff_7J0KD5mKrp0Vvzr7lt3OU09vwQwhkpOPPYv2Y/edit?usp=sharing"",""งบพรบ!FE81"")"),151990)</f>
        <v>151990</v>
      </c>
      <c r="G81" s="176">
        <f ca="1">IFERROR(__xludf.DUMMYFUNCTION("IMPORTRANGE(""https://docs.google.com/spreadsheets/d/1-uDff_7J0KD5mKrp0Vvzr7lt3OU09vwQwhkpOPPYv2Y/edit?usp=sharing"",""งบพรบ!FF81"")"),0)</f>
        <v>0</v>
      </c>
      <c r="H81" s="176">
        <f ca="1">IFERROR(__xludf.DUMMYFUNCTION("IMPORTRANGE(""https://docs.google.com/spreadsheets/d/1-uDff_7J0KD5mKrp0Vvzr7lt3OU09vwQwhkpOPPYv2Y/edit?usp=sharing"",""งบพรบ!FH81"")"),427090)</f>
        <v>427090</v>
      </c>
      <c r="I81" s="176">
        <f ca="1">IFERROR(__xludf.DUMMYFUNCTION("IMPORTRANGE(""https://docs.google.com/spreadsheets/d/1-uDff_7J0KD5mKrp0Vvzr7lt3OU09vwQwhkpOPPYv2Y/edit?usp=sharing"",""งบพรบ!FI81"")"),0)</f>
        <v>0</v>
      </c>
      <c r="J81" s="176">
        <f t="shared" ca="1" si="22"/>
        <v>157340.67000000001</v>
      </c>
      <c r="K81" s="179">
        <f t="shared" ca="1" si="23"/>
        <v>36.8401671778782</v>
      </c>
      <c r="L81" s="176">
        <f ca="1">IFERROR(__xludf.DUMMYFUNCTION("IMPORTRANGE(""https://docs.google.com/spreadsheets/d/1-uDff_7J0KD5mKrp0Vvzr7lt3OU09vwQwhkpOPPYv2Y/edit?usp=sharing"",""งบพรบ!FJ81"")"),157340.67)</f>
        <v>157340.67000000001</v>
      </c>
      <c r="M81" s="87">
        <f t="shared" ca="1" si="24"/>
        <v>36.8401671778782</v>
      </c>
      <c r="N81" s="87">
        <f t="shared" ca="1" si="25"/>
        <v>36.8401671778782</v>
      </c>
      <c r="O81" s="86">
        <f ca="1">IFERROR(__xludf.DUMMYFUNCTION("IMPORTRANGE(""https://docs.google.com/spreadsheets/d/1-uDff_7J0KD5mKrp0Vvzr7lt3OU09vwQwhkpOPPYv2Y/edit?usp=sharing"",""งบพรบ!FK81"")"),0)</f>
        <v>0</v>
      </c>
      <c r="P81" s="86">
        <f t="shared" ca="1" si="26"/>
        <v>0</v>
      </c>
      <c r="Q81" s="87">
        <f t="shared" ca="1" si="27"/>
        <v>0</v>
      </c>
      <c r="R81" s="353">
        <f ca="1">IFERROR(__xludf.DUMMYFUNCTION("IMPORTRANGE(""https://docs.google.com/spreadsheets/d/16JDLGguT8s5DsGCND1KcwHP_AWR_zDMTqLHPLJUKhaU/edit?usp=sharing"",""พังงา!I368"")"),310)</f>
        <v>310</v>
      </c>
      <c r="S81" s="177">
        <f ca="1">IFERROR(__xludf.DUMMYFUNCTION("IMPORTRANGE(""https://docs.google.com/spreadsheets/d/16JDLGguT8s5DsGCND1KcwHP_AWR_zDMTqLHPLJUKhaU/edit?usp=sharing"",""พังงา!J367"")"),0)</f>
        <v>0</v>
      </c>
      <c r="T81" s="354">
        <f ca="1">IFERROR(__xludf.DUMMYFUNCTION("IMPORTRANGE(""https://docs.google.com/spreadsheets/d/16JDLGguT8s5DsGCND1KcwHP_AWR_zDMTqLHPLJUKhaU/edit?usp=sharing"",""พังงา!J368"")"),0)</f>
        <v>0</v>
      </c>
      <c r="U81" s="375">
        <f t="shared" ca="1" si="29"/>
        <v>0</v>
      </c>
      <c r="V81" s="353">
        <f ca="1">IFERROR(__xludf.DUMMYFUNCTION("IMPORTRANGE(""https://docs.google.com/spreadsheets/d/16JDLGguT8s5DsGCND1KcwHP_AWR_zDMTqLHPLJUKhaU/edit?usp=sharing"",""พังงา!I369"")"),58)</f>
        <v>58</v>
      </c>
      <c r="W81" s="177">
        <f ca="1">IFERROR(__xludf.DUMMYFUNCTION("IMPORTRANGE(""https://docs.google.com/spreadsheets/d/16JDLGguT8s5DsGCND1KcwHP_AWR_zDMTqLHPLJUKhaU/edit?usp=sharing"",""พังงา!J369"")"),4)</f>
        <v>4</v>
      </c>
      <c r="X81" s="354">
        <f ca="1">IFERROR(__xludf.DUMMYFUNCTION("IMPORTRANGE(""https://docs.google.com/spreadsheets/d/16JDLGguT8s5DsGCND1KcwHP_AWR_zDMTqLHPLJUKhaU/edit?usp=sharing"",""พังงา!J370"")"),53.9)</f>
        <v>53.9</v>
      </c>
      <c r="Y81" s="375">
        <f t="shared" ca="1" si="31"/>
        <v>6.8965517241379306</v>
      </c>
      <c r="Z81" s="353">
        <f ca="1">IFERROR(__xludf.DUMMYFUNCTION("IMPORTRANGE(""https://docs.google.com/spreadsheets/d/16JDLGguT8s5DsGCND1KcwHP_AWR_zDMTqLHPLJUKhaU/edit?usp=sharing"",""พังงา!I371"")"),43)</f>
        <v>43</v>
      </c>
      <c r="AA81" s="177">
        <f ca="1">IFERROR(__xludf.DUMMYFUNCTION("IMPORTRANGE(""https://docs.google.com/spreadsheets/d/16JDLGguT8s5DsGCND1KcwHP_AWR_zDMTqLHPLJUKhaU/edit?usp=sharing"",""พังงา!J371"")"),4)</f>
        <v>4</v>
      </c>
      <c r="AB81" s="354">
        <f ca="1">IFERROR(__xludf.DUMMYFUNCTION("IMPORTRANGE(""https://docs.google.com/spreadsheets/d/16JDLGguT8s5DsGCND1KcwHP_AWR_zDMTqLHPLJUKhaU/edit?usp=sharing"",""พังงา!J372"")"),53.9)</f>
        <v>53.9</v>
      </c>
      <c r="AC81" s="375">
        <f t="shared" ca="1" si="33"/>
        <v>9.3023255813953494</v>
      </c>
    </row>
    <row r="82" spans="1:29" ht="21" customHeight="1" x14ac:dyDescent="0.3">
      <c r="A82" s="89">
        <v>8</v>
      </c>
      <c r="B82" s="90" t="s">
        <v>108</v>
      </c>
      <c r="C82" s="174">
        <f t="shared" ca="1" si="20"/>
        <v>241735</v>
      </c>
      <c r="D82" s="175">
        <f t="shared" ca="1" si="49"/>
        <v>241735</v>
      </c>
      <c r="E82" s="176">
        <f ca="1">IFERROR(__xludf.DUMMYFUNCTION("IMPORTRANGE(""https://docs.google.com/spreadsheets/d/1-uDff_7J0KD5mKrp0Vvzr7lt3OU09vwQwhkpOPPYv2Y/edit?usp=sharing"",""งบพรบ!FD82"")"),0)</f>
        <v>0</v>
      </c>
      <c r="F82" s="176">
        <f ca="1">IFERROR(__xludf.DUMMYFUNCTION("IMPORTRANGE(""https://docs.google.com/spreadsheets/d/1-uDff_7J0KD5mKrp0Vvzr7lt3OU09vwQwhkpOPPYv2Y/edit?usp=sharing"",""งบพรบ!FE82"")"),241735)</f>
        <v>241735</v>
      </c>
      <c r="G82" s="176">
        <f ca="1">IFERROR(__xludf.DUMMYFUNCTION("IMPORTRANGE(""https://docs.google.com/spreadsheets/d/1-uDff_7J0KD5mKrp0Vvzr7lt3OU09vwQwhkpOPPYv2Y/edit?usp=sharing"",""งบพรบ!FF82"")"),0)</f>
        <v>0</v>
      </c>
      <c r="H82" s="176">
        <f ca="1">IFERROR(__xludf.DUMMYFUNCTION("IMPORTRANGE(""https://docs.google.com/spreadsheets/d/1-uDff_7J0KD5mKrp0Vvzr7lt3OU09vwQwhkpOPPYv2Y/edit?usp=sharing"",""งบพรบ!FH82"")"),241735)</f>
        <v>241735</v>
      </c>
      <c r="I82" s="176">
        <f ca="1">IFERROR(__xludf.DUMMYFUNCTION("IMPORTRANGE(""https://docs.google.com/spreadsheets/d/1-uDff_7J0KD5mKrp0Vvzr7lt3OU09vwQwhkpOPPYv2Y/edit?usp=sharing"",""งบพรบ!FI82"")"),0)</f>
        <v>0</v>
      </c>
      <c r="J82" s="176">
        <f t="shared" ca="1" si="22"/>
        <v>72907.72</v>
      </c>
      <c r="K82" s="179">
        <f t="shared" ca="1" si="23"/>
        <v>30.160183672203033</v>
      </c>
      <c r="L82" s="176">
        <f ca="1">IFERROR(__xludf.DUMMYFUNCTION("IMPORTRANGE(""https://docs.google.com/spreadsheets/d/1-uDff_7J0KD5mKrp0Vvzr7lt3OU09vwQwhkpOPPYv2Y/edit?usp=sharing"",""งบพรบ!FJ82"")"),72907.72)</f>
        <v>72907.72</v>
      </c>
      <c r="M82" s="87">
        <f t="shared" ca="1" si="24"/>
        <v>30.160183672203033</v>
      </c>
      <c r="N82" s="87">
        <f t="shared" ca="1" si="25"/>
        <v>30.160183672203033</v>
      </c>
      <c r="O82" s="86">
        <f ca="1">IFERROR(__xludf.DUMMYFUNCTION("IMPORTRANGE(""https://docs.google.com/spreadsheets/d/1-uDff_7J0KD5mKrp0Vvzr7lt3OU09vwQwhkpOPPYv2Y/edit?usp=sharing"",""งบพรบ!FK82"")"),0)</f>
        <v>0</v>
      </c>
      <c r="P82" s="86">
        <f t="shared" ca="1" si="26"/>
        <v>0</v>
      </c>
      <c r="Q82" s="87">
        <f t="shared" ca="1" si="27"/>
        <v>0</v>
      </c>
      <c r="R82" s="353">
        <f ca="1">IFERROR(__xludf.DUMMYFUNCTION("IMPORTRANGE(""https://docs.google.com/spreadsheets/d/17ht0gPKzzT3PObBL1XJkeRmntBXI7wGjpLV7QorqlTk/edit?usp=sharing"",""พัทลุง!I368"")"),1150)</f>
        <v>1150</v>
      </c>
      <c r="S82" s="177">
        <f ca="1">IFERROR(__xludf.DUMMYFUNCTION("IMPORTRANGE(""https://docs.google.com/spreadsheets/d/17ht0gPKzzT3PObBL1XJkeRmntBXI7wGjpLV7QorqlTk/edit?usp=sharing"",""พัทลุง!J367"")"),41)</f>
        <v>41</v>
      </c>
      <c r="T82" s="354">
        <f ca="1">IFERROR(__xludf.DUMMYFUNCTION("IMPORTRANGE(""https://docs.google.com/spreadsheets/d/17ht0gPKzzT3PObBL1XJkeRmntBXI7wGjpLV7QorqlTk/edit?usp=sharing"",""พัทลุง!J368"")"),172.78)</f>
        <v>172.78</v>
      </c>
      <c r="U82" s="375">
        <f t="shared" ca="1" si="29"/>
        <v>15.024347826086956</v>
      </c>
      <c r="V82" s="353">
        <f ca="1">IFERROR(__xludf.DUMMYFUNCTION("IMPORTRANGE(""https://docs.google.com/spreadsheets/d/17ht0gPKzzT3PObBL1XJkeRmntBXI7wGjpLV7QorqlTk/edit?usp=sharing"",""พัทลุง!I369"")"),220)</f>
        <v>220</v>
      </c>
      <c r="W82" s="177">
        <f ca="1">IFERROR(__xludf.DUMMYFUNCTION("IMPORTRANGE(""https://docs.google.com/spreadsheets/d/17ht0gPKzzT3PObBL1XJkeRmntBXI7wGjpLV7QorqlTk/edit?usp=sharing"",""พัทลุง!J369"")"),80)</f>
        <v>80</v>
      </c>
      <c r="X82" s="354">
        <f ca="1">IFERROR(__xludf.DUMMYFUNCTION("IMPORTRANGE(""https://docs.google.com/spreadsheets/d/17ht0gPKzzT3PObBL1XJkeRmntBXI7wGjpLV7QorqlTk/edit?usp=sharing"",""พัทลุง!J370"")"),575.32)</f>
        <v>575.32000000000005</v>
      </c>
      <c r="Y82" s="375">
        <f t="shared" ca="1" si="31"/>
        <v>36.363636363636367</v>
      </c>
      <c r="Z82" s="353">
        <f ca="1">IFERROR(__xludf.DUMMYFUNCTION("IMPORTRANGE(""https://docs.google.com/spreadsheets/d/17ht0gPKzzT3PObBL1XJkeRmntBXI7wGjpLV7QorqlTk/edit?usp=sharing"",""พัทลุง!I371"")"),148)</f>
        <v>148</v>
      </c>
      <c r="AA82" s="177">
        <f ca="1">IFERROR(__xludf.DUMMYFUNCTION("IMPORTRANGE(""https://docs.google.com/spreadsheets/d/17ht0gPKzzT3PObBL1XJkeRmntBXI7wGjpLV7QorqlTk/edit?usp=sharing"",""พัทลุง!J371"")"),64)</f>
        <v>64</v>
      </c>
      <c r="AB82" s="354">
        <f ca="1">IFERROR(__xludf.DUMMYFUNCTION("IMPORTRANGE(""https://docs.google.com/spreadsheets/d/17ht0gPKzzT3PObBL1XJkeRmntBXI7wGjpLV7QorqlTk/edit?usp=sharing"",""พัทลุง!J372"")"),496.25)</f>
        <v>496.25</v>
      </c>
      <c r="AC82" s="375">
        <f t="shared" ca="1" si="33"/>
        <v>43.243243243243242</v>
      </c>
    </row>
    <row r="83" spans="1:29" ht="21" customHeight="1" x14ac:dyDescent="0.3">
      <c r="A83" s="89">
        <v>9</v>
      </c>
      <c r="B83" s="90" t="s">
        <v>109</v>
      </c>
      <c r="C83" s="174">
        <f t="shared" ca="1" si="20"/>
        <v>225445</v>
      </c>
      <c r="D83" s="175">
        <f t="shared" ca="1" si="49"/>
        <v>225445</v>
      </c>
      <c r="E83" s="176">
        <f ca="1">IFERROR(__xludf.DUMMYFUNCTION("IMPORTRANGE(""https://docs.google.com/spreadsheets/d/1-uDff_7J0KD5mKrp0Vvzr7lt3OU09vwQwhkpOPPYv2Y/edit?usp=sharing"",""งบพรบ!FD83"")"),91000)</f>
        <v>91000</v>
      </c>
      <c r="F83" s="176">
        <f ca="1">IFERROR(__xludf.DUMMYFUNCTION("IMPORTRANGE(""https://docs.google.com/spreadsheets/d/1-uDff_7J0KD5mKrp0Vvzr7lt3OU09vwQwhkpOPPYv2Y/edit?usp=sharing"",""งบพรบ!FE83"")"),134445)</f>
        <v>134445</v>
      </c>
      <c r="G83" s="176">
        <f ca="1">IFERROR(__xludf.DUMMYFUNCTION("IMPORTRANGE(""https://docs.google.com/spreadsheets/d/1-uDff_7J0KD5mKrp0Vvzr7lt3OU09vwQwhkpOPPYv2Y/edit?usp=sharing"",""งบพรบ!FF83"")"),0)</f>
        <v>0</v>
      </c>
      <c r="H83" s="176">
        <f ca="1">IFERROR(__xludf.DUMMYFUNCTION("IMPORTRANGE(""https://docs.google.com/spreadsheets/d/1-uDff_7J0KD5mKrp0Vvzr7lt3OU09vwQwhkpOPPYv2Y/edit?usp=sharing"",""งบพรบ!FH83"")"),225445)</f>
        <v>225445</v>
      </c>
      <c r="I83" s="176">
        <f ca="1">IFERROR(__xludf.DUMMYFUNCTION("IMPORTRANGE(""https://docs.google.com/spreadsheets/d/1-uDff_7J0KD5mKrp0Vvzr7lt3OU09vwQwhkpOPPYv2Y/edit?usp=sharing"",""งบพรบ!FI83"")"),0)</f>
        <v>0</v>
      </c>
      <c r="J83" s="176">
        <f t="shared" ca="1" si="22"/>
        <v>108470</v>
      </c>
      <c r="K83" s="179">
        <f t="shared" ca="1" si="23"/>
        <v>48.113730621659386</v>
      </c>
      <c r="L83" s="176">
        <f ca="1">IFERROR(__xludf.DUMMYFUNCTION("IMPORTRANGE(""https://docs.google.com/spreadsheets/d/1-uDff_7J0KD5mKrp0Vvzr7lt3OU09vwQwhkpOPPYv2Y/edit?usp=sharing"",""งบพรบ!FJ83"")"),108470)</f>
        <v>108470</v>
      </c>
      <c r="M83" s="87">
        <f t="shared" ca="1" si="24"/>
        <v>48.113730621659386</v>
      </c>
      <c r="N83" s="87">
        <f t="shared" ca="1" si="25"/>
        <v>48.113730621659386</v>
      </c>
      <c r="O83" s="86">
        <f ca="1">IFERROR(__xludf.DUMMYFUNCTION("IMPORTRANGE(""https://docs.google.com/spreadsheets/d/1-uDff_7J0KD5mKrp0Vvzr7lt3OU09vwQwhkpOPPYv2Y/edit?usp=sharing"",""งบพรบ!FK83"")"),0)</f>
        <v>0</v>
      </c>
      <c r="P83" s="86">
        <f t="shared" ca="1" si="26"/>
        <v>0</v>
      </c>
      <c r="Q83" s="87">
        <f t="shared" ca="1" si="27"/>
        <v>0</v>
      </c>
      <c r="R83" s="353">
        <f ca="1">IFERROR(__xludf.DUMMYFUNCTION("IMPORTRANGE(""https://docs.google.com/spreadsheets/d/1rd4qoM1q_hsgaolqNGfrim9gbsoLxQsda4-vOz5x_BM/edit?usp=sharing"",""ภูเก็ต!I368"")"),170)</f>
        <v>170</v>
      </c>
      <c r="S83" s="177">
        <f ca="1">IFERROR(__xludf.DUMMYFUNCTION("IMPORTRANGE(""https://docs.google.com/spreadsheets/d/1rd4qoM1q_hsgaolqNGfrim9gbsoLxQsda4-vOz5x_BM/edit?usp=sharing"",""ภูเก็ต!J367"")"),21)</f>
        <v>21</v>
      </c>
      <c r="T83" s="354">
        <f ca="1">IFERROR(__xludf.DUMMYFUNCTION("IMPORTRANGE(""https://docs.google.com/spreadsheets/d/1rd4qoM1q_hsgaolqNGfrim9gbsoLxQsda4-vOz5x_BM/edit?usp=sharing"",""ภูเก็ต!J368"")"),76.5)</f>
        <v>76.5</v>
      </c>
      <c r="U83" s="375">
        <f t="shared" ca="1" si="29"/>
        <v>45</v>
      </c>
      <c r="V83" s="353">
        <f ca="1">IFERROR(__xludf.DUMMYFUNCTION("IMPORTRANGE(""https://docs.google.com/spreadsheets/d/1rd4qoM1q_hsgaolqNGfrim9gbsoLxQsda4-vOz5x_BM/edit?usp=sharing"",""ภูเก็ต!I369"")"),31)</f>
        <v>31</v>
      </c>
      <c r="W83" s="177">
        <f ca="1">IFERROR(__xludf.DUMMYFUNCTION("IMPORTRANGE(""https://docs.google.com/spreadsheets/d/1rd4qoM1q_hsgaolqNGfrim9gbsoLxQsda4-vOz5x_BM/edit?usp=sharing"",""ภูเก็ต!J369"")"),32)</f>
        <v>32</v>
      </c>
      <c r="X83" s="354">
        <f ca="1">IFERROR(__xludf.DUMMYFUNCTION("IMPORTRANGE(""https://docs.google.com/spreadsheets/d/1rd4qoM1q_hsgaolqNGfrim9gbsoLxQsda4-vOz5x_BM/edit?usp=sharing"",""ภูเก็ต!J370"")"),185.37)</f>
        <v>185.37</v>
      </c>
      <c r="Y83" s="375">
        <f t="shared" ca="1" si="31"/>
        <v>103.2258064516129</v>
      </c>
      <c r="Z83" s="353">
        <f ca="1">IFERROR(__xludf.DUMMYFUNCTION("IMPORTRANGE(""https://docs.google.com/spreadsheets/d/1rd4qoM1q_hsgaolqNGfrim9gbsoLxQsda4-vOz5x_BM/edit?usp=sharing"",""ภูเก็ต!I371"")"),26)</f>
        <v>26</v>
      </c>
      <c r="AA83" s="177">
        <f ca="1">IFERROR(__xludf.DUMMYFUNCTION("IMPORTRANGE(""https://docs.google.com/spreadsheets/d/1rd4qoM1q_hsgaolqNGfrim9gbsoLxQsda4-vOz5x_BM/edit?usp=sharing"",""ภูเก็ต!J371"")"),32)</f>
        <v>32</v>
      </c>
      <c r="AB83" s="354">
        <f ca="1">IFERROR(__xludf.DUMMYFUNCTION("IMPORTRANGE(""https://docs.google.com/spreadsheets/d/1rd4qoM1q_hsgaolqNGfrim9gbsoLxQsda4-vOz5x_BM/edit?usp=sharing"",""ภูเก็ต!J372"")"),185.37)</f>
        <v>185.37</v>
      </c>
      <c r="AC83" s="375">
        <f t="shared" ca="1" si="33"/>
        <v>123.07692307692308</v>
      </c>
    </row>
    <row r="84" spans="1:29" ht="21" customHeight="1" x14ac:dyDescent="0.3">
      <c r="A84" s="89">
        <v>10</v>
      </c>
      <c r="B84" s="90" t="s">
        <v>110</v>
      </c>
      <c r="C84" s="174">
        <f t="shared" ca="1" si="20"/>
        <v>436105</v>
      </c>
      <c r="D84" s="175">
        <f t="shared" ca="1" si="49"/>
        <v>436105</v>
      </c>
      <c r="E84" s="176">
        <f ca="1">IFERROR(__xludf.DUMMYFUNCTION("IMPORTRANGE(""https://docs.google.com/spreadsheets/d/1-uDff_7J0KD5mKrp0Vvzr7lt3OU09vwQwhkpOPPYv2Y/edit?usp=sharing"",""งบพรบ!FD84"")"),275100)</f>
        <v>275100</v>
      </c>
      <c r="F84" s="176">
        <f ca="1">IFERROR(__xludf.DUMMYFUNCTION("IMPORTRANGE(""https://docs.google.com/spreadsheets/d/1-uDff_7J0KD5mKrp0Vvzr7lt3OU09vwQwhkpOPPYv2Y/edit?usp=sharing"",""งบพรบ!FE84"")"),161005)</f>
        <v>161005</v>
      </c>
      <c r="G84" s="176">
        <f ca="1">IFERROR(__xludf.DUMMYFUNCTION("IMPORTRANGE(""https://docs.google.com/spreadsheets/d/1-uDff_7J0KD5mKrp0Vvzr7lt3OU09vwQwhkpOPPYv2Y/edit?usp=sharing"",""งบพรบ!FF84"")"),0)</f>
        <v>0</v>
      </c>
      <c r="H84" s="176">
        <f ca="1">IFERROR(__xludf.DUMMYFUNCTION("IMPORTRANGE(""https://docs.google.com/spreadsheets/d/1-uDff_7J0KD5mKrp0Vvzr7lt3OU09vwQwhkpOPPYv2Y/edit?usp=sharing"",""งบพรบ!FH84"")"),436105)</f>
        <v>436105</v>
      </c>
      <c r="I84" s="176">
        <f ca="1">IFERROR(__xludf.DUMMYFUNCTION("IMPORTRANGE(""https://docs.google.com/spreadsheets/d/1-uDff_7J0KD5mKrp0Vvzr7lt3OU09vwQwhkpOPPYv2Y/edit?usp=sharing"",""งบพรบ!FI84"")"),0)</f>
        <v>0</v>
      </c>
      <c r="J84" s="176">
        <f t="shared" ca="1" si="22"/>
        <v>165864.82999999999</v>
      </c>
      <c r="K84" s="179">
        <f t="shared" ca="1" si="23"/>
        <v>38.033232822370756</v>
      </c>
      <c r="L84" s="176">
        <f ca="1">IFERROR(__xludf.DUMMYFUNCTION("IMPORTRANGE(""https://docs.google.com/spreadsheets/d/1-uDff_7J0KD5mKrp0Vvzr7lt3OU09vwQwhkpOPPYv2Y/edit?usp=sharing"",""งบพรบ!FJ84"")"),165864.83)</f>
        <v>165864.82999999999</v>
      </c>
      <c r="M84" s="87">
        <f t="shared" ca="1" si="24"/>
        <v>38.033232822370756</v>
      </c>
      <c r="N84" s="87">
        <f t="shared" ca="1" si="25"/>
        <v>38.033232822370756</v>
      </c>
      <c r="O84" s="86">
        <f ca="1">IFERROR(__xludf.DUMMYFUNCTION("IMPORTRANGE(""https://docs.google.com/spreadsheets/d/1-uDff_7J0KD5mKrp0Vvzr7lt3OU09vwQwhkpOPPYv2Y/edit?usp=sharing"",""งบพรบ!FK84"")"),0)</f>
        <v>0</v>
      </c>
      <c r="P84" s="86">
        <f t="shared" ca="1" si="26"/>
        <v>0</v>
      </c>
      <c r="Q84" s="87">
        <f t="shared" ca="1" si="27"/>
        <v>0</v>
      </c>
      <c r="R84" s="353">
        <f ca="1">IFERROR(__xludf.DUMMYFUNCTION("IMPORTRANGE(""https://docs.google.com/spreadsheets/d/1woKwKjgoLssDvPcPeVyezB5izizAn4X1JDrys69n6xI/edit?usp=sharing"",""ยะลา!I368"")"),460)</f>
        <v>460</v>
      </c>
      <c r="S84" s="177">
        <f ca="1">IFERROR(__xludf.DUMMYFUNCTION("IMPORTRANGE(""https://docs.google.com/spreadsheets/d/1woKwKjgoLssDvPcPeVyezB5izizAn4X1JDrys69n6xI/edit?usp=sharing"",""ยะลา!J367"")"),7)</f>
        <v>7</v>
      </c>
      <c r="T84" s="354">
        <f ca="1">IFERROR(__xludf.DUMMYFUNCTION("IMPORTRANGE(""https://docs.google.com/spreadsheets/d/1woKwKjgoLssDvPcPeVyezB5izizAn4X1JDrys69n6xI/edit?usp=sharing"",""ยะลา!J368"")"),76.84)</f>
        <v>76.84</v>
      </c>
      <c r="U84" s="375">
        <f t="shared" ca="1" si="29"/>
        <v>16.704347826086956</v>
      </c>
      <c r="V84" s="353">
        <f ca="1">IFERROR(__xludf.DUMMYFUNCTION("IMPORTRANGE(""https://docs.google.com/spreadsheets/d/1woKwKjgoLssDvPcPeVyezB5izizAn4X1JDrys69n6xI/edit?usp=sharing"",""ยะลา!I369"")"),59)</f>
        <v>59</v>
      </c>
      <c r="W84" s="177">
        <f ca="1">IFERROR(__xludf.DUMMYFUNCTION("IMPORTRANGE(""https://docs.google.com/spreadsheets/d/1woKwKjgoLssDvPcPeVyezB5izizAn4X1JDrys69n6xI/edit?usp=sharing"",""ยะลา!J369"")"),49)</f>
        <v>49</v>
      </c>
      <c r="X84" s="354">
        <f ca="1">IFERROR(__xludf.DUMMYFUNCTION("IMPORTRANGE(""https://docs.google.com/spreadsheets/d/1woKwKjgoLssDvPcPeVyezB5izizAn4X1JDrys69n6xI/edit?usp=sharing"",""ยะลา!J370"")"),306.16)</f>
        <v>306.16000000000003</v>
      </c>
      <c r="Y84" s="375">
        <f t="shared" ca="1" si="31"/>
        <v>83.050847457627114</v>
      </c>
      <c r="Z84" s="353">
        <f ca="1">IFERROR(__xludf.DUMMYFUNCTION("IMPORTRANGE(""https://docs.google.com/spreadsheets/d/1woKwKjgoLssDvPcPeVyezB5izizAn4X1JDrys69n6xI/edit?usp=sharing"",""ยะลา!I371"")"),42)</f>
        <v>42</v>
      </c>
      <c r="AA84" s="177">
        <f ca="1">IFERROR(__xludf.DUMMYFUNCTION("IMPORTRANGE(""https://docs.google.com/spreadsheets/d/1woKwKjgoLssDvPcPeVyezB5izizAn4X1JDrys69n6xI/edit?usp=sharing"",""ยะลา!J371"")"),0)</f>
        <v>0</v>
      </c>
      <c r="AB84" s="354">
        <f ca="1">IFERROR(__xludf.DUMMYFUNCTION("IMPORTRANGE(""https://docs.google.com/spreadsheets/d/1woKwKjgoLssDvPcPeVyezB5izizAn4X1JDrys69n6xI/edit?usp=sharing"",""ยะลา!J372"")"),0)</f>
        <v>0</v>
      </c>
      <c r="AC84" s="375">
        <f t="shared" ca="1" si="33"/>
        <v>0</v>
      </c>
    </row>
    <row r="85" spans="1:29" ht="21" customHeight="1" x14ac:dyDescent="0.3">
      <c r="A85" s="89">
        <v>11</v>
      </c>
      <c r="B85" s="90" t="s">
        <v>111</v>
      </c>
      <c r="C85" s="174">
        <f t="shared" ca="1" si="20"/>
        <v>341160</v>
      </c>
      <c r="D85" s="175">
        <f t="shared" ca="1" si="49"/>
        <v>341160</v>
      </c>
      <c r="E85" s="176">
        <f ca="1">IFERROR(__xludf.DUMMYFUNCTION("IMPORTRANGE(""https://docs.google.com/spreadsheets/d/1-uDff_7J0KD5mKrp0Vvzr7lt3OU09vwQwhkpOPPYv2Y/edit?usp=sharing"",""งบพรบ!FD85"")"),184100)</f>
        <v>184100</v>
      </c>
      <c r="F85" s="176">
        <f ca="1">IFERROR(__xludf.DUMMYFUNCTION("IMPORTRANGE(""https://docs.google.com/spreadsheets/d/1-uDff_7J0KD5mKrp0Vvzr7lt3OU09vwQwhkpOPPYv2Y/edit?usp=sharing"",""งบพรบ!FE85"")"),157060)</f>
        <v>157060</v>
      </c>
      <c r="G85" s="176">
        <f ca="1">IFERROR(__xludf.DUMMYFUNCTION("IMPORTRANGE(""https://docs.google.com/spreadsheets/d/1-uDff_7J0KD5mKrp0Vvzr7lt3OU09vwQwhkpOPPYv2Y/edit?usp=sharing"",""งบพรบ!FF85"")"),0)</f>
        <v>0</v>
      </c>
      <c r="H85" s="176">
        <f ca="1">IFERROR(__xludf.DUMMYFUNCTION("IMPORTRANGE(""https://docs.google.com/spreadsheets/d/1-uDff_7J0KD5mKrp0Vvzr7lt3OU09vwQwhkpOPPYv2Y/edit?usp=sharing"",""งบพรบ!FH85"")"),341160)</f>
        <v>341160</v>
      </c>
      <c r="I85" s="176">
        <f ca="1">IFERROR(__xludf.DUMMYFUNCTION("IMPORTRANGE(""https://docs.google.com/spreadsheets/d/1-uDff_7J0KD5mKrp0Vvzr7lt3OU09vwQwhkpOPPYv2Y/edit?usp=sharing"",""งบพรบ!FI85"")"),0)</f>
        <v>0</v>
      </c>
      <c r="J85" s="176">
        <f t="shared" ca="1" si="22"/>
        <v>132030.67000000001</v>
      </c>
      <c r="K85" s="179">
        <f t="shared" ca="1" si="23"/>
        <v>38.700512955797869</v>
      </c>
      <c r="L85" s="176">
        <f ca="1">IFERROR(__xludf.DUMMYFUNCTION("IMPORTRANGE(""https://docs.google.com/spreadsheets/d/1-uDff_7J0KD5mKrp0Vvzr7lt3OU09vwQwhkpOPPYv2Y/edit?usp=sharing"",""งบพรบ!FJ85"")"),132030.67)</f>
        <v>132030.67000000001</v>
      </c>
      <c r="M85" s="87">
        <f t="shared" ca="1" si="24"/>
        <v>38.700512955797869</v>
      </c>
      <c r="N85" s="87">
        <f t="shared" ca="1" si="25"/>
        <v>38.700512955797869</v>
      </c>
      <c r="O85" s="86">
        <f ca="1">IFERROR(__xludf.DUMMYFUNCTION("IMPORTRANGE(""https://docs.google.com/spreadsheets/d/1-uDff_7J0KD5mKrp0Vvzr7lt3OU09vwQwhkpOPPYv2Y/edit?usp=sharing"",""งบพรบ!FK85"")"),0)</f>
        <v>0</v>
      </c>
      <c r="P85" s="86">
        <f t="shared" ca="1" si="26"/>
        <v>0</v>
      </c>
      <c r="Q85" s="87">
        <f t="shared" ca="1" si="27"/>
        <v>0</v>
      </c>
      <c r="R85" s="353">
        <f ca="1">IFERROR(__xludf.DUMMYFUNCTION("IMPORTRANGE(""https://docs.google.com/spreadsheets/d/1qfrKjzMhm2HJfxQ-qVlJlJQ25Hne1d0khsySbZyGtPA/edit?usp=sharing"",""ระนอง!I368"")"),355)</f>
        <v>355</v>
      </c>
      <c r="S85" s="177">
        <f ca="1">IFERROR(__xludf.DUMMYFUNCTION("IMPORTRANGE(""https://docs.google.com/spreadsheets/d/1qfrKjzMhm2HJfxQ-qVlJlJQ25Hne1d0khsySbZyGtPA/edit?usp=sharing"",""ระนอง!J367"")"),13)</f>
        <v>13</v>
      </c>
      <c r="T85" s="354">
        <f ca="1">IFERROR(__xludf.DUMMYFUNCTION("IMPORTRANGE(""https://docs.google.com/spreadsheets/d/1qfrKjzMhm2HJfxQ-qVlJlJQ25Hne1d0khsySbZyGtPA/edit?usp=sharing"",""ระนอง!J368"")"),107.45)</f>
        <v>107.45</v>
      </c>
      <c r="U85" s="375">
        <f t="shared" ca="1" si="29"/>
        <v>30.267605633802816</v>
      </c>
      <c r="V85" s="353">
        <f ca="1">IFERROR(__xludf.DUMMYFUNCTION("IMPORTRANGE(""https://docs.google.com/spreadsheets/d/1qfrKjzMhm2HJfxQ-qVlJlJQ25Hne1d0khsySbZyGtPA/edit?usp=sharing"",""ระนอง!I369"")"),53)</f>
        <v>53</v>
      </c>
      <c r="W85" s="177">
        <f ca="1">IFERROR(__xludf.DUMMYFUNCTION("IMPORTRANGE(""https://docs.google.com/spreadsheets/d/1qfrKjzMhm2HJfxQ-qVlJlJQ25Hne1d0khsySbZyGtPA/edit?usp=sharing"",""ระนอง!J369"")"),48)</f>
        <v>48</v>
      </c>
      <c r="X85" s="354">
        <f ca="1">IFERROR(__xludf.DUMMYFUNCTION("IMPORTRANGE(""https://docs.google.com/spreadsheets/d/1qfrKjzMhm2HJfxQ-qVlJlJQ25Hne1d0khsySbZyGtPA/edit?usp=sharing"",""ระนอง!J370"")"),711.16)</f>
        <v>711.16</v>
      </c>
      <c r="Y85" s="375">
        <f t="shared" ca="1" si="31"/>
        <v>90.566037735849051</v>
      </c>
      <c r="Z85" s="353">
        <f ca="1">IFERROR(__xludf.DUMMYFUNCTION("IMPORTRANGE(""https://docs.google.com/spreadsheets/d/1qfrKjzMhm2HJfxQ-qVlJlJQ25Hne1d0khsySbZyGtPA/edit?usp=sharing"",""ระนอง!I371"")"),34)</f>
        <v>34</v>
      </c>
      <c r="AA85" s="177">
        <f ca="1">IFERROR(__xludf.DUMMYFUNCTION("IMPORTRANGE(""https://docs.google.com/spreadsheets/d/1qfrKjzMhm2HJfxQ-qVlJlJQ25Hne1d0khsySbZyGtPA/edit?usp=sharing"",""ระนอง!J371"")"),26)</f>
        <v>26</v>
      </c>
      <c r="AB85" s="354">
        <f ca="1">IFERROR(__xludf.DUMMYFUNCTION("IMPORTRANGE(""https://docs.google.com/spreadsheets/d/1qfrKjzMhm2HJfxQ-qVlJlJQ25Hne1d0khsySbZyGtPA/edit?usp=sharing"",""ระนอง!J372"")"),413.4)</f>
        <v>413.4</v>
      </c>
      <c r="AC85" s="375">
        <f t="shared" ca="1" si="33"/>
        <v>76.470588235294116</v>
      </c>
    </row>
    <row r="86" spans="1:29" ht="24" customHeight="1" x14ac:dyDescent="0.3">
      <c r="A86" s="89">
        <v>12</v>
      </c>
      <c r="B86" s="90" t="s">
        <v>112</v>
      </c>
      <c r="C86" s="174">
        <f t="shared" ca="1" si="20"/>
        <v>607245</v>
      </c>
      <c r="D86" s="175">
        <f t="shared" ca="1" si="49"/>
        <v>607245</v>
      </c>
      <c r="E86" s="176">
        <f ca="1">IFERROR(__xludf.DUMMYFUNCTION("IMPORTRANGE(""https://docs.google.com/spreadsheets/d/1-uDff_7J0KD5mKrp0Vvzr7lt3OU09vwQwhkpOPPYv2Y/edit?usp=sharing"",""งบพรบ!FD86"")"),341600)</f>
        <v>341600</v>
      </c>
      <c r="F86" s="176">
        <f ca="1">IFERROR(__xludf.DUMMYFUNCTION("IMPORTRANGE(""https://docs.google.com/spreadsheets/d/1-uDff_7J0KD5mKrp0Vvzr7lt3OU09vwQwhkpOPPYv2Y/edit?usp=sharing"",""งบพรบ!FE86"")"),265645)</f>
        <v>265645</v>
      </c>
      <c r="G86" s="176">
        <f ca="1">IFERROR(__xludf.DUMMYFUNCTION("IMPORTRANGE(""https://docs.google.com/spreadsheets/d/1-uDff_7J0KD5mKrp0Vvzr7lt3OU09vwQwhkpOPPYv2Y/edit?usp=sharing"",""งบพรบ!FF86"")"),0)</f>
        <v>0</v>
      </c>
      <c r="H86" s="176">
        <f ca="1">IFERROR(__xludf.DUMMYFUNCTION("IMPORTRANGE(""https://docs.google.com/spreadsheets/d/1-uDff_7J0KD5mKrp0Vvzr7lt3OU09vwQwhkpOPPYv2Y/edit?usp=sharing"",""งบพรบ!FH86"")"),621045)</f>
        <v>621045</v>
      </c>
      <c r="I86" s="176">
        <f ca="1">IFERROR(__xludf.DUMMYFUNCTION("IMPORTRANGE(""https://docs.google.com/spreadsheets/d/1-uDff_7J0KD5mKrp0Vvzr7lt3OU09vwQwhkpOPPYv2Y/edit?usp=sharing"",""งบพรบ!FI86"")"),0)</f>
        <v>0</v>
      </c>
      <c r="J86" s="176">
        <f t="shared" ca="1" si="22"/>
        <v>280157</v>
      </c>
      <c r="K86" s="179">
        <f t="shared" ca="1" si="23"/>
        <v>46.135744221854438</v>
      </c>
      <c r="L86" s="176">
        <f ca="1">IFERROR(__xludf.DUMMYFUNCTION("IMPORTRANGE(""https://docs.google.com/spreadsheets/d/1-uDff_7J0KD5mKrp0Vvzr7lt3OU09vwQwhkpOPPYv2Y/edit?usp=sharing"",""งบพรบ!FJ86"")"),280157)</f>
        <v>280157</v>
      </c>
      <c r="M86" s="87">
        <f t="shared" ca="1" si="24"/>
        <v>46.135744221854438</v>
      </c>
      <c r="N86" s="87">
        <f t="shared" ca="1" si="25"/>
        <v>45.110579748649457</v>
      </c>
      <c r="O86" s="86">
        <f ca="1">IFERROR(__xludf.DUMMYFUNCTION("IMPORTRANGE(""https://docs.google.com/spreadsheets/d/1-uDff_7J0KD5mKrp0Vvzr7lt3OU09vwQwhkpOPPYv2Y/edit?usp=sharing"",""งบพรบ!FK86"")"),0)</f>
        <v>0</v>
      </c>
      <c r="P86" s="86">
        <f t="shared" ca="1" si="26"/>
        <v>0</v>
      </c>
      <c r="Q86" s="87">
        <f t="shared" ca="1" si="27"/>
        <v>0</v>
      </c>
      <c r="R86" s="353">
        <f ca="1">IFERROR(__xludf.DUMMYFUNCTION("IMPORTRANGE(""https://docs.google.com/spreadsheets/d/1IbSCnFOKpZsnFogBHJnL_isstZVaOMnFiIN0fGTPZZw/edit?usp=sharing"",""สงขลา!I368"")"),1390)</f>
        <v>1390</v>
      </c>
      <c r="S86" s="177">
        <f ca="1">IFERROR(__xludf.DUMMYFUNCTION("IMPORTRANGE(""https://docs.google.com/spreadsheets/d/1IbSCnFOKpZsnFogBHJnL_isstZVaOMnFiIN0fGTPZZw/edit?usp=sharing"",""สงขลา!J367"")"),94)</f>
        <v>94</v>
      </c>
      <c r="T86" s="354">
        <f ca="1">IFERROR(__xludf.DUMMYFUNCTION("IMPORTRANGE(""https://docs.google.com/spreadsheets/d/1IbSCnFOKpZsnFogBHJnL_isstZVaOMnFiIN0fGTPZZw/edit?usp=sharing"",""สงขลา!J368"")"),726.93)</f>
        <v>726.93</v>
      </c>
      <c r="U86" s="375">
        <f t="shared" ca="1" si="29"/>
        <v>52.297122302158272</v>
      </c>
      <c r="V86" s="353">
        <f ca="1">IFERROR(__xludf.DUMMYFUNCTION("IMPORTRANGE(""https://docs.google.com/spreadsheets/d/1IbSCnFOKpZsnFogBHJnL_isstZVaOMnFiIN0fGTPZZw/edit?usp=sharing"",""สงขลา!I369"")"),242)</f>
        <v>242</v>
      </c>
      <c r="W86" s="177">
        <f ca="1">IFERROR(__xludf.DUMMYFUNCTION("IMPORTRANGE(""https://docs.google.com/spreadsheets/d/1IbSCnFOKpZsnFogBHJnL_isstZVaOMnFiIN0fGTPZZw/edit?usp=sharing"",""สงขลา!J369"")"),70)</f>
        <v>70</v>
      </c>
      <c r="X86" s="354">
        <f ca="1">IFERROR(__xludf.DUMMYFUNCTION("IMPORTRANGE(""https://docs.google.com/spreadsheets/d/1IbSCnFOKpZsnFogBHJnL_isstZVaOMnFiIN0fGTPZZw/edit?usp=sharing"",""สงขลา!J370"")"),737.27)</f>
        <v>737.27</v>
      </c>
      <c r="Y86" s="375">
        <f t="shared" ca="1" si="31"/>
        <v>28.925619834710744</v>
      </c>
      <c r="Z86" s="353">
        <f ca="1">IFERROR(__xludf.DUMMYFUNCTION("IMPORTRANGE(""https://docs.google.com/spreadsheets/d/1IbSCnFOKpZsnFogBHJnL_isstZVaOMnFiIN0fGTPZZw/edit?usp=sharing"",""สงขลา!I371"")"),154)</f>
        <v>154</v>
      </c>
      <c r="AA86" s="177">
        <f ca="1">IFERROR(__xludf.DUMMYFUNCTION("IMPORTRANGE(""https://docs.google.com/spreadsheets/d/1IbSCnFOKpZsnFogBHJnL_isstZVaOMnFiIN0fGTPZZw/edit?usp=sharing"",""สงขลา!J371"")"),56)</f>
        <v>56</v>
      </c>
      <c r="AB86" s="354">
        <f ca="1">IFERROR(__xludf.DUMMYFUNCTION("IMPORTRANGE(""https://docs.google.com/spreadsheets/d/1IbSCnFOKpZsnFogBHJnL_isstZVaOMnFiIN0fGTPZZw/edit?usp=sharing"",""สงขลา!J372"")"),630.46)</f>
        <v>630.46</v>
      </c>
      <c r="AC86" s="375">
        <f t="shared" ca="1" si="33"/>
        <v>36.363636363636367</v>
      </c>
    </row>
    <row r="87" spans="1:29" ht="24" customHeight="1" x14ac:dyDescent="0.3">
      <c r="A87" s="89">
        <v>13</v>
      </c>
      <c r="B87" s="90" t="s">
        <v>113</v>
      </c>
      <c r="C87" s="174">
        <f t="shared" ca="1" si="20"/>
        <v>142885</v>
      </c>
      <c r="D87" s="175">
        <f t="shared" ca="1" si="49"/>
        <v>142885</v>
      </c>
      <c r="E87" s="176">
        <f ca="1">IFERROR(__xludf.DUMMYFUNCTION("IMPORTRANGE(""https://docs.google.com/spreadsheets/d/1-uDff_7J0KD5mKrp0Vvzr7lt3OU09vwQwhkpOPPYv2Y/edit?usp=sharing"",""งบพรบ!FD87"")"),0)</f>
        <v>0</v>
      </c>
      <c r="F87" s="176">
        <f ca="1">IFERROR(__xludf.DUMMYFUNCTION("IMPORTRANGE(""https://docs.google.com/spreadsheets/d/1-uDff_7J0KD5mKrp0Vvzr7lt3OU09vwQwhkpOPPYv2Y/edit?usp=sharing"",""งบพรบ!FE87"")"),142885)</f>
        <v>142885</v>
      </c>
      <c r="G87" s="176">
        <f ca="1">IFERROR(__xludf.DUMMYFUNCTION("IMPORTRANGE(""https://docs.google.com/spreadsheets/d/1-uDff_7J0KD5mKrp0Vvzr7lt3OU09vwQwhkpOPPYv2Y/edit?usp=sharing"",""งบพรบ!FF87"")"),0)</f>
        <v>0</v>
      </c>
      <c r="H87" s="176">
        <f ca="1">IFERROR(__xludf.DUMMYFUNCTION("IMPORTRANGE(""https://docs.google.com/spreadsheets/d/1-uDff_7J0KD5mKrp0Vvzr7lt3OU09vwQwhkpOPPYv2Y/edit?usp=sharing"",""งบพรบ!FH87"")"),142885)</f>
        <v>142885</v>
      </c>
      <c r="I87" s="176">
        <f ca="1">IFERROR(__xludf.DUMMYFUNCTION("IMPORTRANGE(""https://docs.google.com/spreadsheets/d/1-uDff_7J0KD5mKrp0Vvzr7lt3OU09vwQwhkpOPPYv2Y/edit?usp=sharing"",""งบพรบ!FI87"")"),0)</f>
        <v>0</v>
      </c>
      <c r="J87" s="176">
        <f t="shared" ca="1" si="22"/>
        <v>34727.4</v>
      </c>
      <c r="K87" s="179">
        <f t="shared" ca="1" si="23"/>
        <v>24.304440634076354</v>
      </c>
      <c r="L87" s="176">
        <f ca="1">IFERROR(__xludf.DUMMYFUNCTION("IMPORTRANGE(""https://docs.google.com/spreadsheets/d/1-uDff_7J0KD5mKrp0Vvzr7lt3OU09vwQwhkpOPPYv2Y/edit?usp=sharing"",""งบพรบ!FJ87"")"),34727.4)</f>
        <v>34727.4</v>
      </c>
      <c r="M87" s="87">
        <f t="shared" ca="1" si="24"/>
        <v>24.304440634076354</v>
      </c>
      <c r="N87" s="87">
        <f t="shared" ca="1" si="25"/>
        <v>24.304440634076354</v>
      </c>
      <c r="O87" s="86">
        <f ca="1">IFERROR(__xludf.DUMMYFUNCTION("IMPORTRANGE(""https://docs.google.com/spreadsheets/d/1-uDff_7J0KD5mKrp0Vvzr7lt3OU09vwQwhkpOPPYv2Y/edit?usp=sharing"",""งบพรบ!FK87"")"),0)</f>
        <v>0</v>
      </c>
      <c r="P87" s="86">
        <f t="shared" ca="1" si="26"/>
        <v>0</v>
      </c>
      <c r="Q87" s="87">
        <f t="shared" ca="1" si="27"/>
        <v>0</v>
      </c>
      <c r="R87" s="353">
        <f ca="1">IFERROR(__xludf.DUMMYFUNCTION("IMPORTRANGE(""https://docs.google.com/spreadsheets/d/1q9nWasZJ-K8bFGvbE9n0qSRuKGA4Toe3Y89cKCiVtCU/edit?usp=sharing"",""สตูล!I368"")"),265)</f>
        <v>265</v>
      </c>
      <c r="S87" s="177">
        <f ca="1">IFERROR(__xludf.DUMMYFUNCTION("IMPORTRANGE(""https://docs.google.com/spreadsheets/d/1q9nWasZJ-K8bFGvbE9n0qSRuKGA4Toe3Y89cKCiVtCU/edit?usp=sharing"",""สตูล!J367"")"),16)</f>
        <v>16</v>
      </c>
      <c r="T87" s="354">
        <f ca="1">IFERROR(__xludf.DUMMYFUNCTION("IMPORTRANGE(""https://docs.google.com/spreadsheets/d/1q9nWasZJ-K8bFGvbE9n0qSRuKGA4Toe3Y89cKCiVtCU/edit?usp=sharing"",""สตูล!J368"")"),117.64)</f>
        <v>117.64</v>
      </c>
      <c r="U87" s="375">
        <f t="shared" ca="1" si="29"/>
        <v>44.392452830188681</v>
      </c>
      <c r="V87" s="353">
        <f ca="1">IFERROR(__xludf.DUMMYFUNCTION("IMPORTRANGE(""https://docs.google.com/spreadsheets/d/1q9nWasZJ-K8bFGvbE9n0qSRuKGA4Toe3Y89cKCiVtCU/edit?usp=sharing"",""สตูล!I369"")"),38)</f>
        <v>38</v>
      </c>
      <c r="W87" s="177">
        <f ca="1">IFERROR(__xludf.DUMMYFUNCTION("IMPORTRANGE(""https://docs.google.com/spreadsheets/d/1q9nWasZJ-K8bFGvbE9n0qSRuKGA4Toe3Y89cKCiVtCU/edit?usp=sharing"",""สตูล!J369"")"),35)</f>
        <v>35</v>
      </c>
      <c r="X87" s="354">
        <f ca="1">IFERROR(__xludf.DUMMYFUNCTION("IMPORTRANGE(""https://docs.google.com/spreadsheets/d/1q9nWasZJ-K8bFGvbE9n0qSRuKGA4Toe3Y89cKCiVtCU/edit?usp=sharing"",""สตูล!J370"")"),212.829999999999)</f>
        <v>212.82999999999899</v>
      </c>
      <c r="Y87" s="375">
        <f t="shared" ca="1" si="31"/>
        <v>92.10526315789474</v>
      </c>
      <c r="Z87" s="353">
        <f ca="1">IFERROR(__xludf.DUMMYFUNCTION("IMPORTRANGE(""https://docs.google.com/spreadsheets/d/1q9nWasZJ-K8bFGvbE9n0qSRuKGA4Toe3Y89cKCiVtCU/edit?usp=sharing"",""สตูล!I371"")"),28)</f>
        <v>28</v>
      </c>
      <c r="AA87" s="177">
        <f ca="1">IFERROR(__xludf.DUMMYFUNCTION("IMPORTRANGE(""https://docs.google.com/spreadsheets/d/1q9nWasZJ-K8bFGvbE9n0qSRuKGA4Toe3Y89cKCiVtCU/edit?usp=sharing"",""สตูล!J371"")"),19)</f>
        <v>19</v>
      </c>
      <c r="AB87" s="354">
        <f ca="1">IFERROR(__xludf.DUMMYFUNCTION("IMPORTRANGE(""https://docs.google.com/spreadsheets/d/1q9nWasZJ-K8bFGvbE9n0qSRuKGA4Toe3Y89cKCiVtCU/edit?usp=sharing"",""สตูล!J372"")"),95.19)</f>
        <v>95.19</v>
      </c>
      <c r="AC87" s="375">
        <f t="shared" ca="1" si="33"/>
        <v>67.857142857142861</v>
      </c>
    </row>
    <row r="88" spans="1:29" ht="24" customHeight="1" x14ac:dyDescent="0.3">
      <c r="A88" s="100">
        <v>14</v>
      </c>
      <c r="B88" s="101" t="s">
        <v>114</v>
      </c>
      <c r="C88" s="182">
        <f t="shared" ca="1" si="20"/>
        <v>746400</v>
      </c>
      <c r="D88" s="183">
        <f t="shared" ca="1" si="49"/>
        <v>746400</v>
      </c>
      <c r="E88" s="184">
        <f ca="1">IFERROR(__xludf.DUMMYFUNCTION("IMPORTRANGE(""https://docs.google.com/spreadsheets/d/1-uDff_7J0KD5mKrp0Vvzr7lt3OU09vwQwhkpOPPYv2Y/edit?usp=sharing"",""งบพรบ!FD88"")"),199500)</f>
        <v>199500</v>
      </c>
      <c r="F88" s="184">
        <f ca="1">IFERROR(__xludf.DUMMYFUNCTION("IMPORTRANGE(""https://docs.google.com/spreadsheets/d/1-uDff_7J0KD5mKrp0Vvzr7lt3OU09vwQwhkpOPPYv2Y/edit?usp=sharing"",""งบพรบ!FE88"")"),546900)</f>
        <v>546900</v>
      </c>
      <c r="G88" s="184">
        <f ca="1">IFERROR(__xludf.DUMMYFUNCTION("IMPORTRANGE(""https://docs.google.com/spreadsheets/d/1-uDff_7J0KD5mKrp0Vvzr7lt3OU09vwQwhkpOPPYv2Y/edit?usp=sharing"",""งบพรบ!FF88"")"),0)</f>
        <v>0</v>
      </c>
      <c r="H88" s="184">
        <f ca="1">IFERROR(__xludf.DUMMYFUNCTION("IMPORTRANGE(""https://docs.google.com/spreadsheets/d/1-uDff_7J0KD5mKrp0Vvzr7lt3OU09vwQwhkpOPPYv2Y/edit?usp=sharing"",""งบพรบ!FH88"")"),746400)</f>
        <v>746400</v>
      </c>
      <c r="I88" s="184">
        <f ca="1">IFERROR(__xludf.DUMMYFUNCTION("IMPORTRANGE(""https://docs.google.com/spreadsheets/d/1-uDff_7J0KD5mKrp0Vvzr7lt3OU09vwQwhkpOPPYv2Y/edit?usp=sharing"",""งบพรบ!FI88"")"),0)</f>
        <v>0</v>
      </c>
      <c r="J88" s="184">
        <f t="shared" ca="1" si="22"/>
        <v>362740.03</v>
      </c>
      <c r="K88" s="185">
        <f t="shared" ca="1" si="23"/>
        <v>48.598610664523044</v>
      </c>
      <c r="L88" s="184">
        <f ca="1">IFERROR(__xludf.DUMMYFUNCTION("IMPORTRANGE(""https://docs.google.com/spreadsheets/d/1-uDff_7J0KD5mKrp0Vvzr7lt3OU09vwQwhkpOPPYv2Y/edit?usp=sharing"",""งบพรบ!FJ88"")"),362740.03)</f>
        <v>362740.03</v>
      </c>
      <c r="M88" s="109">
        <f t="shared" ca="1" si="24"/>
        <v>48.598610664523044</v>
      </c>
      <c r="N88" s="109">
        <f t="shared" ca="1" si="25"/>
        <v>48.598610664523044</v>
      </c>
      <c r="O88" s="108">
        <f ca="1">IFERROR(__xludf.DUMMYFUNCTION("IMPORTRANGE(""https://docs.google.com/spreadsheets/d/1-uDff_7J0KD5mKrp0Vvzr7lt3OU09vwQwhkpOPPYv2Y/edit?usp=sharing"",""งบพรบ!FK88"")"),0)</f>
        <v>0</v>
      </c>
      <c r="P88" s="108">
        <f t="shared" ca="1" si="26"/>
        <v>0</v>
      </c>
      <c r="Q88" s="109">
        <f t="shared" ca="1" si="27"/>
        <v>0</v>
      </c>
      <c r="R88" s="356">
        <f ca="1">IFERROR(__xludf.DUMMYFUNCTION("IMPORTRANGE(""https://docs.google.com/spreadsheets/d/18T20gbkS_WBjdscyTOV05cvq_JqvqQ17C81mpxf7Ncs/edit?usp=sharing"",""สุราษฎร์ธานี!I368"")"),3285)</f>
        <v>3285</v>
      </c>
      <c r="S88" s="186">
        <f ca="1">IFERROR(__xludf.DUMMYFUNCTION("IMPORTRANGE(""https://docs.google.com/spreadsheets/d/18T20gbkS_WBjdscyTOV05cvq_JqvqQ17C81mpxf7Ncs/edit?usp=sharing"",""สุราษฎร์ธานี!J367"")"),283)</f>
        <v>283</v>
      </c>
      <c r="T88" s="357">
        <f ca="1">IFERROR(__xludf.DUMMYFUNCTION("IMPORTRANGE(""https://docs.google.com/spreadsheets/d/18T20gbkS_WBjdscyTOV05cvq_JqvqQ17C81mpxf7Ncs/edit?usp=sharing"",""สุราษฎร์ธานี!J368"")"),3327.96)</f>
        <v>3327.96</v>
      </c>
      <c r="U88" s="376">
        <f t="shared" ca="1" si="29"/>
        <v>101.30776255707762</v>
      </c>
      <c r="V88" s="356">
        <f ca="1">IFERROR(__xludf.DUMMYFUNCTION("IMPORTRANGE(""https://docs.google.com/spreadsheets/d/18T20gbkS_WBjdscyTOV05cvq_JqvqQ17C81mpxf7Ncs/edit?usp=sharing"",""สุราษฎร์ธานี!I369"")"),521)</f>
        <v>521</v>
      </c>
      <c r="W88" s="186">
        <f ca="1">IFERROR(__xludf.DUMMYFUNCTION("IMPORTRANGE(""https://docs.google.com/spreadsheets/d/18T20gbkS_WBjdscyTOV05cvq_JqvqQ17C81mpxf7Ncs/edit?usp=sharing"",""สุราษฎร์ธานี!J369"")"),825)</f>
        <v>825</v>
      </c>
      <c r="X88" s="357">
        <f ca="1">IFERROR(__xludf.DUMMYFUNCTION("IMPORTRANGE(""https://docs.google.com/spreadsheets/d/18T20gbkS_WBjdscyTOV05cvq_JqvqQ17C81mpxf7Ncs/edit?usp=sharing"",""สุราษฎร์ธานี!J370"")"),11985.65)</f>
        <v>11985.65</v>
      </c>
      <c r="Y88" s="376">
        <f t="shared" ca="1" si="31"/>
        <v>158.34932821497122</v>
      </c>
      <c r="Z88" s="356">
        <f ca="1">IFERROR(__xludf.DUMMYFUNCTION("IMPORTRANGE(""https://docs.google.com/spreadsheets/d/18T20gbkS_WBjdscyTOV05cvq_JqvqQ17C81mpxf7Ncs/edit?usp=sharing"",""สุราษฎร์ธานี!I371"")"),341)</f>
        <v>341</v>
      </c>
      <c r="AA88" s="186">
        <f ca="1">IFERROR(__xludf.DUMMYFUNCTION("IMPORTRANGE(""https://docs.google.com/spreadsheets/d/18T20gbkS_WBjdscyTOV05cvq_JqvqQ17C81mpxf7Ncs/edit?usp=sharing"",""สุราษฎร์ธานี!J371"")"),720)</f>
        <v>720</v>
      </c>
      <c r="AB88" s="357">
        <f ca="1">IFERROR(__xludf.DUMMYFUNCTION("IMPORTRANGE(""https://docs.google.com/spreadsheets/d/18T20gbkS_WBjdscyTOV05cvq_JqvqQ17C81mpxf7Ncs/edit?usp=sharing"",""สุราษฎร์ธานี!J372"")"),10973.31)</f>
        <v>10973.31</v>
      </c>
      <c r="AC88" s="376">
        <f t="shared" ca="1" si="33"/>
        <v>211.14369501466277</v>
      </c>
    </row>
    <row r="89" spans="1:29" ht="21" hidden="1" customHeight="1" x14ac:dyDescent="0.3">
      <c r="A89" s="632" t="s">
        <v>115</v>
      </c>
      <c r="B89" s="633"/>
      <c r="C89" s="46">
        <f t="shared" ref="C89:Q89" ca="1" si="50">SUM(C90:C106)</f>
        <v>25043055</v>
      </c>
      <c r="D89" s="45">
        <f t="shared" ca="1" si="50"/>
        <v>25043055</v>
      </c>
      <c r="E89" s="45">
        <f t="shared" ca="1" si="50"/>
        <v>15344200</v>
      </c>
      <c r="F89" s="45">
        <f t="shared" ca="1" si="50"/>
        <v>9698855</v>
      </c>
      <c r="G89" s="45">
        <f t="shared" ca="1" si="50"/>
        <v>0</v>
      </c>
      <c r="H89" s="45">
        <f t="shared" ca="1" si="50"/>
        <v>24372335</v>
      </c>
      <c r="I89" s="45">
        <f t="shared" ca="1" si="50"/>
        <v>0</v>
      </c>
      <c r="J89" s="45">
        <f t="shared" ca="1" si="50"/>
        <v>10178526.67</v>
      </c>
      <c r="K89" s="47">
        <f t="shared" ca="1" si="50"/>
        <v>1446.4555024571096</v>
      </c>
      <c r="L89" s="45">
        <f t="shared" ca="1" si="50"/>
        <v>10178526.67</v>
      </c>
      <c r="M89" s="47">
        <f t="shared" ca="1" si="50"/>
        <v>1446.4555024571096</v>
      </c>
      <c r="N89" s="47">
        <f t="shared" ca="1" si="50"/>
        <v>589.86491165732048</v>
      </c>
      <c r="O89" s="45">
        <f t="shared" ca="1" si="50"/>
        <v>0</v>
      </c>
      <c r="P89" s="45">
        <f t="shared" ca="1" si="50"/>
        <v>0</v>
      </c>
      <c r="Q89" s="45">
        <f t="shared" ca="1" si="50"/>
        <v>0</v>
      </c>
      <c r="R89" s="273"/>
      <c r="S89" s="273"/>
      <c r="T89" s="273"/>
      <c r="U89" s="237"/>
      <c r="V89" s="273"/>
      <c r="W89" s="273"/>
      <c r="X89" s="273"/>
      <c r="Y89" s="237"/>
      <c r="Z89" s="237"/>
      <c r="AA89" s="237"/>
      <c r="AB89" s="237"/>
      <c r="AC89" s="237"/>
    </row>
    <row r="90" spans="1:29" ht="24" hidden="1" customHeight="1" x14ac:dyDescent="0.3">
      <c r="A90" s="197"/>
      <c r="B90" s="125" t="s">
        <v>116</v>
      </c>
      <c r="C90" s="198">
        <f t="shared" ref="C90:C106" ca="1" si="51">D90+G90</f>
        <v>91000</v>
      </c>
      <c r="D90" s="199">
        <f t="shared" ref="D90:D106" ca="1" si="52">+E90+F90</f>
        <v>91000</v>
      </c>
      <c r="E90" s="81">
        <f ca="1">IFERROR(__xludf.DUMMYFUNCTION("IMPORTRANGE(""https://docs.google.com/spreadsheets/d/1-uDff_7J0KD5mKrp0Vvzr7lt3OU09vwQwhkpOPPYv2Y/edit?usp=sharing"",""งบพรบ!FD90"")"),91000)</f>
        <v>91000</v>
      </c>
      <c r="F90" s="81">
        <f ca="1">IFERROR(__xludf.DUMMYFUNCTION("IMPORTRANGE(""https://docs.google.com/spreadsheets/d/1-uDff_7J0KD5mKrp0Vvzr7lt3OU09vwQwhkpOPPYv2Y/edit?usp=sharing"",""งบพรบ!FE90"")"),0)</f>
        <v>0</v>
      </c>
      <c r="G90" s="81">
        <f ca="1">IFERROR(__xludf.DUMMYFUNCTION("IMPORTRANGE(""https://docs.google.com/spreadsheets/d/1-uDff_7J0KD5mKrp0Vvzr7lt3OU09vwQwhkpOPPYv2Y/edit?usp=sharing"",""งบพรบ!FF90"")"),0)</f>
        <v>0</v>
      </c>
      <c r="H90" s="81">
        <f ca="1">IFERROR(__xludf.DUMMYFUNCTION("IMPORTRANGE(""https://docs.google.com/spreadsheets/d/1-uDff_7J0KD5mKrp0Vvzr7lt3OU09vwQwhkpOPPYv2Y/edit?usp=sharing"",""งบพรบ!FH90"")"),91000)</f>
        <v>91000</v>
      </c>
      <c r="I90" s="81">
        <f ca="1">IFERROR(__xludf.DUMMYFUNCTION("IMPORTRANGE(""https://docs.google.com/spreadsheets/d/1-uDff_7J0KD5mKrp0Vvzr7lt3OU09vwQwhkpOPPYv2Y/edit?usp=sharing"",""งบพรบ!FI90"")"),0)</f>
        <v>0</v>
      </c>
      <c r="J90" s="81">
        <f t="shared" ref="J90:J106" ca="1" si="53">L90+O90</f>
        <v>36000</v>
      </c>
      <c r="K90" s="126">
        <f t="shared" ref="K90:K106" ca="1" si="54">IF(C90&gt;0,J90*100/C90,0)</f>
        <v>39.560439560439562</v>
      </c>
      <c r="L90" s="81">
        <f ca="1">IFERROR(__xludf.DUMMYFUNCTION("IMPORTRANGE(""https://docs.google.com/spreadsheets/d/1-uDff_7J0KD5mKrp0Vvzr7lt3OU09vwQwhkpOPPYv2Y/edit?usp=sharing"",""งบพรบ!FJ90"")"),36000)</f>
        <v>36000</v>
      </c>
      <c r="M90" s="84">
        <f t="shared" ref="M90:M106" ca="1" si="55">IF(D90&gt;0,L90*100/D90,0)</f>
        <v>39.560439560439562</v>
      </c>
      <c r="N90" s="84">
        <f t="shared" ref="N90:N106" ca="1" si="56">IF(H90&gt;0,L90*100/H90,0)</f>
        <v>39.560439560439562</v>
      </c>
      <c r="O90" s="85">
        <f ca="1">IFERROR(__xludf.DUMMYFUNCTION("IMPORTRANGE(""https://docs.google.com/spreadsheets/d/1-uDff_7J0KD5mKrp0Vvzr7lt3OU09vwQwhkpOPPYv2Y/edit?usp=sharing"",""งบพรบ!FK90"")"),0)</f>
        <v>0</v>
      </c>
      <c r="P90" s="85">
        <f t="shared" ref="P90:P106" ca="1" si="57">IF(G90&gt;0,O90*100/G90,0)</f>
        <v>0</v>
      </c>
      <c r="Q90" s="84">
        <f t="shared" ref="Q90:Q106" ca="1" si="58">IF(I90&gt;0,O90*100/I90,0)</f>
        <v>0</v>
      </c>
      <c r="R90" s="274"/>
      <c r="S90" s="274"/>
      <c r="T90" s="274"/>
      <c r="U90" s="243"/>
      <c r="V90" s="274"/>
      <c r="W90" s="274"/>
      <c r="X90" s="274"/>
      <c r="Y90" s="243"/>
      <c r="Z90" s="243"/>
      <c r="AA90" s="243"/>
      <c r="AB90" s="243"/>
      <c r="AC90" s="243"/>
    </row>
    <row r="91" spans="1:29" ht="24" hidden="1" customHeight="1" x14ac:dyDescent="0.3">
      <c r="A91" s="201"/>
      <c r="B91" s="129" t="s">
        <v>117</v>
      </c>
      <c r="C91" s="202">
        <f t="shared" ca="1" si="51"/>
        <v>91000</v>
      </c>
      <c r="D91" s="203">
        <f t="shared" ca="1" si="52"/>
        <v>91000</v>
      </c>
      <c r="E91" s="93">
        <f ca="1">IFERROR(__xludf.DUMMYFUNCTION("IMPORTRANGE(""https://docs.google.com/spreadsheets/d/1-uDff_7J0KD5mKrp0Vvzr7lt3OU09vwQwhkpOPPYv2Y/edit?usp=sharing"",""งบพรบ!FD91"")"),91000)</f>
        <v>91000</v>
      </c>
      <c r="F91" s="93">
        <f ca="1">IFERROR(__xludf.DUMMYFUNCTION("IMPORTRANGE(""https://docs.google.com/spreadsheets/d/1-uDff_7J0KD5mKrp0Vvzr7lt3OU09vwQwhkpOPPYv2Y/edit?usp=sharing"",""งบพรบ!FE91"")"),0)</f>
        <v>0</v>
      </c>
      <c r="G91" s="93">
        <f ca="1">IFERROR(__xludf.DUMMYFUNCTION("IMPORTRANGE(""https://docs.google.com/spreadsheets/d/1-uDff_7J0KD5mKrp0Vvzr7lt3OU09vwQwhkpOPPYv2Y/edit?usp=sharing"",""งบพรบ!FF91"")"),0)</f>
        <v>0</v>
      </c>
      <c r="H91" s="93">
        <f ca="1">IFERROR(__xludf.DUMMYFUNCTION("IMPORTRANGE(""https://docs.google.com/spreadsheets/d/1-uDff_7J0KD5mKrp0Vvzr7lt3OU09vwQwhkpOPPYv2Y/edit?usp=sharing"",""งบพรบ!FH91"")"),91000)</f>
        <v>91000</v>
      </c>
      <c r="I91" s="93">
        <f ca="1">IFERROR(__xludf.DUMMYFUNCTION("IMPORTRANGE(""https://docs.google.com/spreadsheets/d/1-uDff_7J0KD5mKrp0Vvzr7lt3OU09vwQwhkpOPPYv2Y/edit?usp=sharing"",""งบพรบ!FI91"")"),0)</f>
        <v>0</v>
      </c>
      <c r="J91" s="93">
        <f t="shared" ca="1" si="53"/>
        <v>44000</v>
      </c>
      <c r="K91" s="94">
        <f t="shared" ca="1" si="54"/>
        <v>48.35164835164835</v>
      </c>
      <c r="L91" s="93">
        <f ca="1">IFERROR(__xludf.DUMMYFUNCTION("IMPORTRANGE(""https://docs.google.com/spreadsheets/d/1-uDff_7J0KD5mKrp0Vvzr7lt3OU09vwQwhkpOPPYv2Y/edit?usp=sharing"",""งบพรบ!FJ91"")"),44000)</f>
        <v>44000</v>
      </c>
      <c r="M91" s="95">
        <f t="shared" ca="1" si="55"/>
        <v>48.35164835164835</v>
      </c>
      <c r="N91" s="95">
        <f t="shared" ca="1" si="56"/>
        <v>48.35164835164835</v>
      </c>
      <c r="O91" s="96">
        <f ca="1">IFERROR(__xludf.DUMMYFUNCTION("IMPORTRANGE(""https://docs.google.com/spreadsheets/d/1-uDff_7J0KD5mKrp0Vvzr7lt3OU09vwQwhkpOPPYv2Y/edit?usp=sharing"",""งบพรบ!FK91"")"),0)</f>
        <v>0</v>
      </c>
      <c r="P91" s="96">
        <f t="shared" ca="1" si="57"/>
        <v>0</v>
      </c>
      <c r="Q91" s="95">
        <f t="shared" ca="1" si="58"/>
        <v>0</v>
      </c>
      <c r="R91" s="274"/>
      <c r="S91" s="274"/>
      <c r="T91" s="274"/>
      <c r="U91" s="243"/>
      <c r="V91" s="274"/>
      <c r="W91" s="274"/>
      <c r="X91" s="274"/>
      <c r="Y91" s="243"/>
      <c r="Z91" s="243"/>
      <c r="AA91" s="243"/>
      <c r="AB91" s="243"/>
      <c r="AC91" s="243"/>
    </row>
    <row r="92" spans="1:29" ht="24" hidden="1" customHeight="1" x14ac:dyDescent="0.3">
      <c r="A92" s="201"/>
      <c r="B92" s="129" t="s">
        <v>118</v>
      </c>
      <c r="C92" s="202">
        <f t="shared" ca="1" si="51"/>
        <v>833600</v>
      </c>
      <c r="D92" s="203">
        <f t="shared" ca="1" si="52"/>
        <v>833600</v>
      </c>
      <c r="E92" s="93">
        <f ca="1">IFERROR(__xludf.DUMMYFUNCTION("IMPORTRANGE(""https://docs.google.com/spreadsheets/d/1-uDff_7J0KD5mKrp0Vvzr7lt3OU09vwQwhkpOPPYv2Y/edit?usp=sharing"",""งบพรบ!FD92"")"),833600)</f>
        <v>833600</v>
      </c>
      <c r="F92" s="93">
        <f ca="1">IFERROR(__xludf.DUMMYFUNCTION("IMPORTRANGE(""https://docs.google.com/spreadsheets/d/1-uDff_7J0KD5mKrp0Vvzr7lt3OU09vwQwhkpOPPYv2Y/edit?usp=sharing"",""งบพรบ!FE92"")"),0)</f>
        <v>0</v>
      </c>
      <c r="G92" s="93">
        <f ca="1">IFERROR(__xludf.DUMMYFUNCTION("IMPORTRANGE(""https://docs.google.com/spreadsheets/d/1-uDff_7J0KD5mKrp0Vvzr7lt3OU09vwQwhkpOPPYv2Y/edit?usp=sharing"",""งบพรบ!FF92"")"),0)</f>
        <v>0</v>
      </c>
      <c r="H92" s="93">
        <f ca="1">IFERROR(__xludf.DUMMYFUNCTION("IMPORTRANGE(""https://docs.google.com/spreadsheets/d/1-uDff_7J0KD5mKrp0Vvzr7lt3OU09vwQwhkpOPPYv2Y/edit?usp=sharing"",""งบพรบ!FH92"")"),833600)</f>
        <v>833600</v>
      </c>
      <c r="I92" s="93">
        <f ca="1">IFERROR(__xludf.DUMMYFUNCTION("IMPORTRANGE(""https://docs.google.com/spreadsheets/d/1-uDff_7J0KD5mKrp0Vvzr7lt3OU09vwQwhkpOPPYv2Y/edit?usp=sharing"",""งบพรบ!FI92"")"),0)</f>
        <v>0</v>
      </c>
      <c r="J92" s="93">
        <f t="shared" ca="1" si="53"/>
        <v>499083.04</v>
      </c>
      <c r="K92" s="94">
        <f t="shared" ca="1" si="54"/>
        <v>59.870806142034546</v>
      </c>
      <c r="L92" s="93">
        <f ca="1">IFERROR(__xludf.DUMMYFUNCTION("IMPORTRANGE(""https://docs.google.com/spreadsheets/d/1-uDff_7J0KD5mKrp0Vvzr7lt3OU09vwQwhkpOPPYv2Y/edit?usp=sharing"",""งบพรบ!FJ92"")"),499083.04)</f>
        <v>499083.04</v>
      </c>
      <c r="M92" s="95">
        <f t="shared" ca="1" si="55"/>
        <v>59.870806142034546</v>
      </c>
      <c r="N92" s="95">
        <f t="shared" ca="1" si="56"/>
        <v>59.870806142034546</v>
      </c>
      <c r="O92" s="96">
        <f ca="1">IFERROR(__xludf.DUMMYFUNCTION("IMPORTRANGE(""https://docs.google.com/spreadsheets/d/1-uDff_7J0KD5mKrp0Vvzr7lt3OU09vwQwhkpOPPYv2Y/edit?usp=sharing"",""งบพรบ!FK92"")"),0)</f>
        <v>0</v>
      </c>
      <c r="P92" s="96">
        <f t="shared" ca="1" si="57"/>
        <v>0</v>
      </c>
      <c r="Q92" s="95">
        <f t="shared" ca="1" si="58"/>
        <v>0</v>
      </c>
      <c r="R92" s="274"/>
      <c r="S92" s="274"/>
      <c r="T92" s="274"/>
      <c r="U92" s="243"/>
      <c r="V92" s="274"/>
      <c r="W92" s="274"/>
      <c r="X92" s="274"/>
      <c r="Y92" s="243"/>
      <c r="Z92" s="243"/>
      <c r="AA92" s="243"/>
      <c r="AB92" s="243"/>
      <c r="AC92" s="243"/>
    </row>
    <row r="93" spans="1:29" ht="24" hidden="1" customHeight="1" x14ac:dyDescent="0.3">
      <c r="A93" s="201"/>
      <c r="B93" s="129" t="s">
        <v>119</v>
      </c>
      <c r="C93" s="202">
        <f t="shared" ca="1" si="51"/>
        <v>4916700</v>
      </c>
      <c r="D93" s="203">
        <f t="shared" ca="1" si="52"/>
        <v>4916700</v>
      </c>
      <c r="E93" s="93">
        <f ca="1">IFERROR(__xludf.DUMMYFUNCTION("IMPORTRANGE(""https://docs.google.com/spreadsheets/d/1-uDff_7J0KD5mKrp0Vvzr7lt3OU09vwQwhkpOPPYv2Y/edit?usp=sharing"",""งบพรบ!FD93"")"),4916700)</f>
        <v>4916700</v>
      </c>
      <c r="F93" s="93">
        <f ca="1">IFERROR(__xludf.DUMMYFUNCTION("IMPORTRANGE(""https://docs.google.com/spreadsheets/d/1-uDff_7J0KD5mKrp0Vvzr7lt3OU09vwQwhkpOPPYv2Y/edit?usp=sharing"",""งบพรบ!FE93"")"),0)</f>
        <v>0</v>
      </c>
      <c r="G93" s="93">
        <f ca="1">IFERROR(__xludf.DUMMYFUNCTION("IMPORTRANGE(""https://docs.google.com/spreadsheets/d/1-uDff_7J0KD5mKrp0Vvzr7lt3OU09vwQwhkpOPPYv2Y/edit?usp=sharing"",""งบพรบ!FF93"")"),0)</f>
        <v>0</v>
      </c>
      <c r="H93" s="93">
        <f ca="1">IFERROR(__xludf.DUMMYFUNCTION("IMPORTRANGE(""https://docs.google.com/spreadsheets/d/1-uDff_7J0KD5mKrp0Vvzr7lt3OU09vwQwhkpOPPYv2Y/edit?usp=sharing"",""งบพรบ!FH93"")"),3405500)</f>
        <v>3405500</v>
      </c>
      <c r="I93" s="93">
        <f ca="1">IFERROR(__xludf.DUMMYFUNCTION("IMPORTRANGE(""https://docs.google.com/spreadsheets/d/1-uDff_7J0KD5mKrp0Vvzr7lt3OU09vwQwhkpOPPYv2Y/edit?usp=sharing"",""งบพรบ!FI93"")"),0)</f>
        <v>0</v>
      </c>
      <c r="J93" s="93">
        <f t="shared" ca="1" si="53"/>
        <v>1687282.08</v>
      </c>
      <c r="K93" s="94">
        <f t="shared" ca="1" si="54"/>
        <v>34.317368966990053</v>
      </c>
      <c r="L93" s="93">
        <f ca="1">IFERROR(__xludf.DUMMYFUNCTION("IMPORTRANGE(""https://docs.google.com/spreadsheets/d/1-uDff_7J0KD5mKrp0Vvzr7lt3OU09vwQwhkpOPPYv2Y/edit?usp=sharing"",""งบพรบ!FJ93"")"),1687282.08)</f>
        <v>1687282.08</v>
      </c>
      <c r="M93" s="95">
        <f t="shared" ca="1" si="55"/>
        <v>34.317368966990053</v>
      </c>
      <c r="N93" s="95">
        <f t="shared" ca="1" si="56"/>
        <v>49.545795918367347</v>
      </c>
      <c r="O93" s="96">
        <f ca="1">IFERROR(__xludf.DUMMYFUNCTION("IMPORTRANGE(""https://docs.google.com/spreadsheets/d/1-uDff_7J0KD5mKrp0Vvzr7lt3OU09vwQwhkpOPPYv2Y/edit?usp=sharing"",""งบพรบ!FK93"")"),0)</f>
        <v>0</v>
      </c>
      <c r="P93" s="96">
        <f t="shared" ca="1" si="57"/>
        <v>0</v>
      </c>
      <c r="Q93" s="95">
        <f t="shared" ca="1" si="58"/>
        <v>0</v>
      </c>
      <c r="R93" s="274"/>
      <c r="S93" s="274"/>
      <c r="T93" s="274"/>
      <c r="U93" s="243"/>
      <c r="V93" s="274"/>
      <c r="W93" s="274"/>
      <c r="X93" s="274"/>
      <c r="Y93" s="243"/>
      <c r="Z93" s="243"/>
      <c r="AA93" s="243"/>
      <c r="AB93" s="243"/>
      <c r="AC93" s="243"/>
    </row>
    <row r="94" spans="1:29" ht="24" hidden="1" customHeight="1" x14ac:dyDescent="0.3">
      <c r="A94" s="201"/>
      <c r="B94" s="129" t="s">
        <v>120</v>
      </c>
      <c r="C94" s="202">
        <f t="shared" ca="1" si="51"/>
        <v>1021100</v>
      </c>
      <c r="D94" s="203">
        <f t="shared" ca="1" si="52"/>
        <v>1021100</v>
      </c>
      <c r="E94" s="93">
        <f ca="1">IFERROR(__xludf.DUMMYFUNCTION("IMPORTRANGE(""https://docs.google.com/spreadsheets/d/1-uDff_7J0KD5mKrp0Vvzr7lt3OU09vwQwhkpOPPYv2Y/edit?usp=sharing"",""งบพรบ!FD94"")"),1021100)</f>
        <v>1021100</v>
      </c>
      <c r="F94" s="93">
        <f ca="1">IFERROR(__xludf.DUMMYFUNCTION("IMPORTRANGE(""https://docs.google.com/spreadsheets/d/1-uDff_7J0KD5mKrp0Vvzr7lt3OU09vwQwhkpOPPYv2Y/edit?usp=sharing"",""งบพรบ!FE94"")"),0)</f>
        <v>0</v>
      </c>
      <c r="G94" s="93">
        <f ca="1">IFERROR(__xludf.DUMMYFUNCTION("IMPORTRANGE(""https://docs.google.com/spreadsheets/d/1-uDff_7J0KD5mKrp0Vvzr7lt3OU09vwQwhkpOPPYv2Y/edit?usp=sharing"",""งบพรบ!FF94"")"),0)</f>
        <v>0</v>
      </c>
      <c r="H94" s="93">
        <f ca="1">IFERROR(__xludf.DUMMYFUNCTION("IMPORTRANGE(""https://docs.google.com/spreadsheets/d/1-uDff_7J0KD5mKrp0Vvzr7lt3OU09vwQwhkpOPPYv2Y/edit?usp=sharing"",""งบพรบ!FH94"")"),1021100)</f>
        <v>1021100</v>
      </c>
      <c r="I94" s="93">
        <f ca="1">IFERROR(__xludf.DUMMYFUNCTION("IMPORTRANGE(""https://docs.google.com/spreadsheets/d/1-uDff_7J0KD5mKrp0Vvzr7lt3OU09vwQwhkpOPPYv2Y/edit?usp=sharing"",""งบพรบ!FI94"")"),0)</f>
        <v>0</v>
      </c>
      <c r="J94" s="93">
        <f t="shared" ca="1" si="53"/>
        <v>593834.89</v>
      </c>
      <c r="K94" s="94">
        <f t="shared" ca="1" si="54"/>
        <v>58.156389188130447</v>
      </c>
      <c r="L94" s="93">
        <f ca="1">IFERROR(__xludf.DUMMYFUNCTION("IMPORTRANGE(""https://docs.google.com/spreadsheets/d/1-uDff_7J0KD5mKrp0Vvzr7lt3OU09vwQwhkpOPPYv2Y/edit?usp=sharing"",""งบพรบ!FJ94"")"),593834.89)</f>
        <v>593834.89</v>
      </c>
      <c r="M94" s="95">
        <f t="shared" ca="1" si="55"/>
        <v>58.156389188130447</v>
      </c>
      <c r="N94" s="95">
        <f t="shared" ca="1" si="56"/>
        <v>58.156389188130447</v>
      </c>
      <c r="O94" s="96">
        <f ca="1">IFERROR(__xludf.DUMMYFUNCTION("IMPORTRANGE(""https://docs.google.com/spreadsheets/d/1-uDff_7J0KD5mKrp0Vvzr7lt3OU09vwQwhkpOPPYv2Y/edit?usp=sharing"",""งบพรบ!FK94"")"),0)</f>
        <v>0</v>
      </c>
      <c r="P94" s="96">
        <f t="shared" ca="1" si="57"/>
        <v>0</v>
      </c>
      <c r="Q94" s="95">
        <f t="shared" ca="1" si="58"/>
        <v>0</v>
      </c>
      <c r="R94" s="274"/>
      <c r="S94" s="274"/>
      <c r="T94" s="274"/>
      <c r="U94" s="243"/>
      <c r="V94" s="274"/>
      <c r="W94" s="274"/>
      <c r="X94" s="274"/>
      <c r="Y94" s="243"/>
      <c r="Z94" s="243"/>
      <c r="AA94" s="243"/>
      <c r="AB94" s="243"/>
      <c r="AC94" s="243"/>
    </row>
    <row r="95" spans="1:29" ht="24" hidden="1" customHeight="1" x14ac:dyDescent="0.3">
      <c r="A95" s="201"/>
      <c r="B95" s="129" t="s">
        <v>121</v>
      </c>
      <c r="C95" s="202">
        <f t="shared" ca="1" si="51"/>
        <v>2968600</v>
      </c>
      <c r="D95" s="203">
        <f t="shared" ca="1" si="52"/>
        <v>2968600</v>
      </c>
      <c r="E95" s="93">
        <f ca="1">IFERROR(__xludf.DUMMYFUNCTION("IMPORTRANGE(""https://docs.google.com/spreadsheets/d/1-uDff_7J0KD5mKrp0Vvzr7lt3OU09vwQwhkpOPPYv2Y/edit?usp=sharing"",""งบพรบ!FD95"")"),2968600)</f>
        <v>2968600</v>
      </c>
      <c r="F95" s="93">
        <f ca="1">IFERROR(__xludf.DUMMYFUNCTION("IMPORTRANGE(""https://docs.google.com/spreadsheets/d/1-uDff_7J0KD5mKrp0Vvzr7lt3OU09vwQwhkpOPPYv2Y/edit?usp=sharing"",""งบพรบ!FE95"")"),0)</f>
        <v>0</v>
      </c>
      <c r="G95" s="93">
        <f ca="1">IFERROR(__xludf.DUMMYFUNCTION("IMPORTRANGE(""https://docs.google.com/spreadsheets/d/1-uDff_7J0KD5mKrp0Vvzr7lt3OU09vwQwhkpOPPYv2Y/edit?usp=sharing"",""งบพรบ!FF95"")"),0)</f>
        <v>0</v>
      </c>
      <c r="H95" s="93">
        <f ca="1">IFERROR(__xludf.DUMMYFUNCTION("IMPORTRANGE(""https://docs.google.com/spreadsheets/d/1-uDff_7J0KD5mKrp0Vvzr7lt3OU09vwQwhkpOPPYv2Y/edit?usp=sharing"",""งบพรบ!FH95"")"),2868600)</f>
        <v>2868600</v>
      </c>
      <c r="I95" s="93">
        <f ca="1">IFERROR(__xludf.DUMMYFUNCTION("IMPORTRANGE(""https://docs.google.com/spreadsheets/d/1-uDff_7J0KD5mKrp0Vvzr7lt3OU09vwQwhkpOPPYv2Y/edit?usp=sharing"",""งบพรบ!FI95"")"),0)</f>
        <v>0</v>
      </c>
      <c r="J95" s="93">
        <f t="shared" ca="1" si="53"/>
        <v>1414241.39</v>
      </c>
      <c r="K95" s="94">
        <f t="shared" ca="1" si="54"/>
        <v>47.640011790069394</v>
      </c>
      <c r="L95" s="93">
        <f ca="1">IFERROR(__xludf.DUMMYFUNCTION("IMPORTRANGE(""https://docs.google.com/spreadsheets/d/1-uDff_7J0KD5mKrp0Vvzr7lt3OU09vwQwhkpOPPYv2Y/edit?usp=sharing"",""งบพรบ!FJ95"")"),1414241.39)</f>
        <v>1414241.39</v>
      </c>
      <c r="M95" s="95">
        <f t="shared" ca="1" si="55"/>
        <v>47.640011790069394</v>
      </c>
      <c r="N95" s="95">
        <f t="shared" ca="1" si="56"/>
        <v>49.300752631945898</v>
      </c>
      <c r="O95" s="96">
        <f ca="1">IFERROR(__xludf.DUMMYFUNCTION("IMPORTRANGE(""https://docs.google.com/spreadsheets/d/1-uDff_7J0KD5mKrp0Vvzr7lt3OU09vwQwhkpOPPYv2Y/edit?usp=sharing"",""งบพรบ!FK95"")"),0)</f>
        <v>0</v>
      </c>
      <c r="P95" s="96">
        <f t="shared" ca="1" si="57"/>
        <v>0</v>
      </c>
      <c r="Q95" s="95">
        <f t="shared" ca="1" si="58"/>
        <v>0</v>
      </c>
      <c r="R95" s="274"/>
      <c r="S95" s="274"/>
      <c r="T95" s="274"/>
      <c r="U95" s="243"/>
      <c r="V95" s="274"/>
      <c r="W95" s="274"/>
      <c r="X95" s="274"/>
      <c r="Y95" s="243"/>
      <c r="Z95" s="243"/>
      <c r="AA95" s="243"/>
      <c r="AB95" s="243"/>
      <c r="AC95" s="243"/>
    </row>
    <row r="96" spans="1:29" ht="24" hidden="1" customHeight="1" x14ac:dyDescent="0.3">
      <c r="A96" s="201"/>
      <c r="B96" s="129" t="s">
        <v>122</v>
      </c>
      <c r="C96" s="202">
        <f t="shared" ca="1" si="51"/>
        <v>8136955</v>
      </c>
      <c r="D96" s="203">
        <f t="shared" ca="1" si="52"/>
        <v>8136955</v>
      </c>
      <c r="E96" s="93">
        <f ca="1">IFERROR(__xludf.DUMMYFUNCTION("IMPORTRANGE(""https://docs.google.com/spreadsheets/d/1-uDff_7J0KD5mKrp0Vvzr7lt3OU09vwQwhkpOPPYv2Y/edit?usp=sharing"",""งบพรบ!FD96"")"),992900)</f>
        <v>992900</v>
      </c>
      <c r="F96" s="93">
        <f ca="1">IFERROR(__xludf.DUMMYFUNCTION("IMPORTRANGE(""https://docs.google.com/spreadsheets/d/1-uDff_7J0KD5mKrp0Vvzr7lt3OU09vwQwhkpOPPYv2Y/edit?usp=sharing"",""งบพรบ!FE96"")"),7144055)</f>
        <v>7144055</v>
      </c>
      <c r="G96" s="93">
        <f ca="1">IFERROR(__xludf.DUMMYFUNCTION("IMPORTRANGE(""https://docs.google.com/spreadsheets/d/1-uDff_7J0KD5mKrp0Vvzr7lt3OU09vwQwhkpOPPYv2Y/edit?usp=sharing"",""งบพรบ!FF96"")"),0)</f>
        <v>0</v>
      </c>
      <c r="H96" s="93">
        <f ca="1">IFERROR(__xludf.DUMMYFUNCTION("IMPORTRANGE(""https://docs.google.com/spreadsheets/d/1-uDff_7J0KD5mKrp0Vvzr7lt3OU09vwQwhkpOPPYv2Y/edit?usp=sharing"",""งบพรบ!FH96"")"),6221735)</f>
        <v>6221735</v>
      </c>
      <c r="I96" s="93">
        <f ca="1">IFERROR(__xludf.DUMMYFUNCTION("IMPORTRANGE(""https://docs.google.com/spreadsheets/d/1-uDff_7J0KD5mKrp0Vvzr7lt3OU09vwQwhkpOPPYv2Y/edit?usp=sharing"",""งบพรบ!FI96"")"),0)</f>
        <v>0</v>
      </c>
      <c r="J96" s="93">
        <f t="shared" ca="1" si="53"/>
        <v>1132439.1000000001</v>
      </c>
      <c r="K96" s="94">
        <f t="shared" ca="1" si="54"/>
        <v>13.917234395421877</v>
      </c>
      <c r="L96" s="93">
        <f ca="1">IFERROR(__xludf.DUMMYFUNCTION("IMPORTRANGE(""https://docs.google.com/spreadsheets/d/1-uDff_7J0KD5mKrp0Vvzr7lt3OU09vwQwhkpOPPYv2Y/edit?usp=sharing"",""งบพรบ!FJ96"")"),1132439.1)</f>
        <v>1132439.1000000001</v>
      </c>
      <c r="M96" s="95">
        <f t="shared" ca="1" si="55"/>
        <v>13.917234395421877</v>
      </c>
      <c r="N96" s="95">
        <f t="shared" ca="1" si="56"/>
        <v>18.201339337017732</v>
      </c>
      <c r="O96" s="96">
        <f ca="1">IFERROR(__xludf.DUMMYFUNCTION("IMPORTRANGE(""https://docs.google.com/spreadsheets/d/1-uDff_7J0KD5mKrp0Vvzr7lt3OU09vwQwhkpOPPYv2Y/edit?usp=sharing"",""งบพรบ!FK96"")"),0)</f>
        <v>0</v>
      </c>
      <c r="P96" s="96">
        <f t="shared" ca="1" si="57"/>
        <v>0</v>
      </c>
      <c r="Q96" s="95">
        <f t="shared" ca="1" si="58"/>
        <v>0</v>
      </c>
      <c r="R96" s="274"/>
      <c r="S96" s="274"/>
      <c r="T96" s="274"/>
      <c r="U96" s="243"/>
      <c r="V96" s="274"/>
      <c r="W96" s="274"/>
      <c r="X96" s="274"/>
      <c r="Y96" s="243"/>
      <c r="Z96" s="243"/>
      <c r="AA96" s="243"/>
      <c r="AB96" s="243"/>
      <c r="AC96" s="243"/>
    </row>
    <row r="97" spans="1:29" ht="24" hidden="1" customHeight="1" x14ac:dyDescent="0.3">
      <c r="A97" s="201"/>
      <c r="B97" s="129" t="s">
        <v>123</v>
      </c>
      <c r="C97" s="202">
        <f t="shared" ca="1" si="51"/>
        <v>853000</v>
      </c>
      <c r="D97" s="203">
        <f t="shared" ca="1" si="52"/>
        <v>853000</v>
      </c>
      <c r="E97" s="93">
        <f ca="1">IFERROR(__xludf.DUMMYFUNCTION("IMPORTRANGE(""https://docs.google.com/spreadsheets/d/1-uDff_7J0KD5mKrp0Vvzr7lt3OU09vwQwhkpOPPYv2Y/edit?usp=sharing"",""งบพรบ!FD97"")"),853000)</f>
        <v>853000</v>
      </c>
      <c r="F97" s="93">
        <f ca="1">IFERROR(__xludf.DUMMYFUNCTION("IMPORTRANGE(""https://docs.google.com/spreadsheets/d/1-uDff_7J0KD5mKrp0Vvzr7lt3OU09vwQwhkpOPPYv2Y/edit?usp=sharing"",""งบพรบ!FE97"")"),0)</f>
        <v>0</v>
      </c>
      <c r="G97" s="93">
        <f ca="1">IFERROR(__xludf.DUMMYFUNCTION("IMPORTRANGE(""https://docs.google.com/spreadsheets/d/1-uDff_7J0KD5mKrp0Vvzr7lt3OU09vwQwhkpOPPYv2Y/edit?usp=sharing"",""งบพรบ!FF97"")"),0)</f>
        <v>0</v>
      </c>
      <c r="H97" s="93">
        <f ca="1">IFERROR(__xludf.DUMMYFUNCTION("IMPORTRANGE(""https://docs.google.com/spreadsheets/d/1-uDff_7J0KD5mKrp0Vvzr7lt3OU09vwQwhkpOPPYv2Y/edit?usp=sharing"",""งบพรบ!FH97"")"),853000)</f>
        <v>853000</v>
      </c>
      <c r="I97" s="93">
        <f ca="1">IFERROR(__xludf.DUMMYFUNCTION("IMPORTRANGE(""https://docs.google.com/spreadsheets/d/1-uDff_7J0KD5mKrp0Vvzr7lt3OU09vwQwhkpOPPYv2Y/edit?usp=sharing"",""งบพรบ!FI97"")"),0)</f>
        <v>0</v>
      </c>
      <c r="J97" s="93">
        <f t="shared" ca="1" si="53"/>
        <v>590427.81999999995</v>
      </c>
      <c r="K97" s="94">
        <f t="shared" ca="1" si="54"/>
        <v>69.217798358733873</v>
      </c>
      <c r="L97" s="93">
        <f ca="1">IFERROR(__xludf.DUMMYFUNCTION("IMPORTRANGE(""https://docs.google.com/spreadsheets/d/1-uDff_7J0KD5mKrp0Vvzr7lt3OU09vwQwhkpOPPYv2Y/edit?usp=sharing"",""งบพรบ!FJ97"")"),590427.82)</f>
        <v>590427.81999999995</v>
      </c>
      <c r="M97" s="95">
        <f t="shared" ca="1" si="55"/>
        <v>69.217798358733873</v>
      </c>
      <c r="N97" s="95">
        <f t="shared" ca="1" si="56"/>
        <v>69.217798358733873</v>
      </c>
      <c r="O97" s="96">
        <f ca="1">IFERROR(__xludf.DUMMYFUNCTION("IMPORTRANGE(""https://docs.google.com/spreadsheets/d/1-uDff_7J0KD5mKrp0Vvzr7lt3OU09vwQwhkpOPPYv2Y/edit?usp=sharing"",""งบพรบ!FK97"")"),0)</f>
        <v>0</v>
      </c>
      <c r="P97" s="96">
        <f t="shared" ca="1" si="57"/>
        <v>0</v>
      </c>
      <c r="Q97" s="95">
        <f t="shared" ca="1" si="58"/>
        <v>0</v>
      </c>
      <c r="R97" s="274"/>
      <c r="S97" s="274"/>
      <c r="T97" s="274"/>
      <c r="U97" s="243"/>
      <c r="V97" s="274"/>
      <c r="W97" s="274"/>
      <c r="X97" s="274"/>
      <c r="Y97" s="243"/>
      <c r="Z97" s="243"/>
      <c r="AA97" s="243"/>
      <c r="AB97" s="243"/>
      <c r="AC97" s="243"/>
    </row>
    <row r="98" spans="1:29" ht="24" hidden="1" customHeight="1" x14ac:dyDescent="0.3">
      <c r="A98" s="201"/>
      <c r="B98" s="129" t="s">
        <v>124</v>
      </c>
      <c r="C98" s="202">
        <f t="shared" ca="1" si="51"/>
        <v>1289700</v>
      </c>
      <c r="D98" s="203">
        <f t="shared" ca="1" si="52"/>
        <v>1289700</v>
      </c>
      <c r="E98" s="93">
        <f ca="1">IFERROR(__xludf.DUMMYFUNCTION("IMPORTRANGE(""https://docs.google.com/spreadsheets/d/1-uDff_7J0KD5mKrp0Vvzr7lt3OU09vwQwhkpOPPYv2Y/edit?usp=sharing"",""งบพรบ!FD98"")"),1289700)</f>
        <v>1289700</v>
      </c>
      <c r="F98" s="93">
        <f ca="1">IFERROR(__xludf.DUMMYFUNCTION("IMPORTRANGE(""https://docs.google.com/spreadsheets/d/1-uDff_7J0KD5mKrp0Vvzr7lt3OU09vwQwhkpOPPYv2Y/edit?usp=sharing"",""งบพรบ!FE98"")"),0)</f>
        <v>0</v>
      </c>
      <c r="G98" s="93">
        <f ca="1">IFERROR(__xludf.DUMMYFUNCTION("IMPORTRANGE(""https://docs.google.com/spreadsheets/d/1-uDff_7J0KD5mKrp0Vvzr7lt3OU09vwQwhkpOPPYv2Y/edit?usp=sharing"",""งบพรบ!FF98"")"),0)</f>
        <v>0</v>
      </c>
      <c r="H98" s="93">
        <f ca="1">IFERROR(__xludf.DUMMYFUNCTION("IMPORTRANGE(""https://docs.google.com/spreadsheets/d/1-uDff_7J0KD5mKrp0Vvzr7lt3OU09vwQwhkpOPPYv2Y/edit?usp=sharing"",""งบพรบ!FH98"")"),1289700)</f>
        <v>1289700</v>
      </c>
      <c r="I98" s="93">
        <f ca="1">IFERROR(__xludf.DUMMYFUNCTION("IMPORTRANGE(""https://docs.google.com/spreadsheets/d/1-uDff_7J0KD5mKrp0Vvzr7lt3OU09vwQwhkpOPPYv2Y/edit?usp=sharing"",""งบพรบ!FI98"")"),0)</f>
        <v>0</v>
      </c>
      <c r="J98" s="93">
        <f t="shared" ca="1" si="53"/>
        <v>601788.88</v>
      </c>
      <c r="K98" s="94">
        <f t="shared" ca="1" si="54"/>
        <v>46.661152205939366</v>
      </c>
      <c r="L98" s="93">
        <f ca="1">IFERROR(__xludf.DUMMYFUNCTION("IMPORTRANGE(""https://docs.google.com/spreadsheets/d/1-uDff_7J0KD5mKrp0Vvzr7lt3OU09vwQwhkpOPPYv2Y/edit?usp=sharing"",""งบพรบ!FJ98"")"),601788.88)</f>
        <v>601788.88</v>
      </c>
      <c r="M98" s="95">
        <f t="shared" ca="1" si="55"/>
        <v>46.661152205939366</v>
      </c>
      <c r="N98" s="95">
        <f t="shared" ca="1" si="56"/>
        <v>46.661152205939366</v>
      </c>
      <c r="O98" s="96">
        <f ca="1">IFERROR(__xludf.DUMMYFUNCTION("IMPORTRANGE(""https://docs.google.com/spreadsheets/d/1-uDff_7J0KD5mKrp0Vvzr7lt3OU09vwQwhkpOPPYv2Y/edit?usp=sharing"",""งบพรบ!FK98"")"),0)</f>
        <v>0</v>
      </c>
      <c r="P98" s="96">
        <f t="shared" ca="1" si="57"/>
        <v>0</v>
      </c>
      <c r="Q98" s="95">
        <f t="shared" ca="1" si="58"/>
        <v>0</v>
      </c>
      <c r="R98" s="274"/>
      <c r="S98" s="274"/>
      <c r="T98" s="274"/>
      <c r="U98" s="243"/>
      <c r="V98" s="274"/>
      <c r="W98" s="274"/>
      <c r="X98" s="274"/>
      <c r="Y98" s="243"/>
      <c r="Z98" s="243"/>
      <c r="AA98" s="243"/>
      <c r="AB98" s="243"/>
      <c r="AC98" s="243"/>
    </row>
    <row r="99" spans="1:29" ht="24" hidden="1" customHeight="1" x14ac:dyDescent="0.3">
      <c r="A99" s="201"/>
      <c r="B99" s="129" t="s">
        <v>125</v>
      </c>
      <c r="C99" s="202">
        <f t="shared" ca="1" si="51"/>
        <v>3018300</v>
      </c>
      <c r="D99" s="203">
        <f t="shared" ca="1" si="52"/>
        <v>3018300</v>
      </c>
      <c r="E99" s="93">
        <f ca="1">IFERROR(__xludf.DUMMYFUNCTION("IMPORTRANGE(""https://docs.google.com/spreadsheets/d/1-uDff_7J0KD5mKrp0Vvzr7lt3OU09vwQwhkpOPPYv2Y/edit?usp=sharing"",""งบพรบ!FD99"")"),771700)</f>
        <v>771700</v>
      </c>
      <c r="F99" s="93">
        <f ca="1">IFERROR(__xludf.DUMMYFUNCTION("IMPORTRANGE(""https://docs.google.com/spreadsheets/d/1-uDff_7J0KD5mKrp0Vvzr7lt3OU09vwQwhkpOPPYv2Y/edit?usp=sharing"",""งบพรบ!FE99"")"),2246600)</f>
        <v>2246600</v>
      </c>
      <c r="G99" s="93">
        <f ca="1">IFERROR(__xludf.DUMMYFUNCTION("IMPORTRANGE(""https://docs.google.com/spreadsheets/d/1-uDff_7J0KD5mKrp0Vvzr7lt3OU09vwQwhkpOPPYv2Y/edit?usp=sharing"",""งบพรบ!FF99"")"),0)</f>
        <v>0</v>
      </c>
      <c r="H99" s="93">
        <f ca="1">IFERROR(__xludf.DUMMYFUNCTION("IMPORTRANGE(""https://docs.google.com/spreadsheets/d/1-uDff_7J0KD5mKrp0Vvzr7lt3OU09vwQwhkpOPPYv2Y/edit?usp=sharing"",""งบพรบ!FH99"")"),3018300)</f>
        <v>3018300</v>
      </c>
      <c r="I99" s="93">
        <f ca="1">IFERROR(__xludf.DUMMYFUNCTION("IMPORTRANGE(""https://docs.google.com/spreadsheets/d/1-uDff_7J0KD5mKrp0Vvzr7lt3OU09vwQwhkpOPPYv2Y/edit?usp=sharing"",""งบพรบ!FI99"")"),0)</f>
        <v>0</v>
      </c>
      <c r="J99" s="93">
        <f t="shared" ca="1" si="53"/>
        <v>1536240.34</v>
      </c>
      <c r="K99" s="94">
        <f t="shared" ca="1" si="54"/>
        <v>50.897536361528012</v>
      </c>
      <c r="L99" s="93">
        <f ca="1">IFERROR(__xludf.DUMMYFUNCTION("IMPORTRANGE(""https://docs.google.com/spreadsheets/d/1-uDff_7J0KD5mKrp0Vvzr7lt3OU09vwQwhkpOPPYv2Y/edit?usp=sharing"",""งบพรบ!FJ99"")"),1536240.34)</f>
        <v>1536240.34</v>
      </c>
      <c r="M99" s="95">
        <f t="shared" ca="1" si="55"/>
        <v>50.897536361528012</v>
      </c>
      <c r="N99" s="95">
        <f t="shared" ca="1" si="56"/>
        <v>50.897536361528012</v>
      </c>
      <c r="O99" s="96">
        <f ca="1">IFERROR(__xludf.DUMMYFUNCTION("IMPORTRANGE(""https://docs.google.com/spreadsheets/d/1-uDff_7J0KD5mKrp0Vvzr7lt3OU09vwQwhkpOPPYv2Y/edit?usp=sharing"",""งบพรบ!FK99"")"),0)</f>
        <v>0</v>
      </c>
      <c r="P99" s="96">
        <f t="shared" ca="1" si="57"/>
        <v>0</v>
      </c>
      <c r="Q99" s="95">
        <f t="shared" ca="1" si="58"/>
        <v>0</v>
      </c>
      <c r="R99" s="274"/>
      <c r="S99" s="274"/>
      <c r="T99" s="274"/>
      <c r="U99" s="243"/>
      <c r="V99" s="274"/>
      <c r="W99" s="274"/>
      <c r="X99" s="274"/>
      <c r="Y99" s="243"/>
      <c r="Z99" s="243"/>
      <c r="AA99" s="243"/>
      <c r="AB99" s="243"/>
      <c r="AC99" s="243"/>
    </row>
    <row r="100" spans="1:29" ht="24" hidden="1" customHeight="1" x14ac:dyDescent="0.3">
      <c r="A100" s="201"/>
      <c r="B100" s="129" t="s">
        <v>126</v>
      </c>
      <c r="C100" s="202">
        <f t="shared" ca="1" si="51"/>
        <v>1741500</v>
      </c>
      <c r="D100" s="203">
        <f t="shared" ca="1" si="52"/>
        <v>1741500</v>
      </c>
      <c r="E100" s="93">
        <f ca="1">IFERROR(__xludf.DUMMYFUNCTION("IMPORTRANGE(""https://docs.google.com/spreadsheets/d/1-uDff_7J0KD5mKrp0Vvzr7lt3OU09vwQwhkpOPPYv2Y/edit?usp=sharing"",""งบพรบ!FD100"")"),1433300)</f>
        <v>1433300</v>
      </c>
      <c r="F100" s="93">
        <f ca="1">IFERROR(__xludf.DUMMYFUNCTION("IMPORTRANGE(""https://docs.google.com/spreadsheets/d/1-uDff_7J0KD5mKrp0Vvzr7lt3OU09vwQwhkpOPPYv2Y/edit?usp=sharing"",""งบพรบ!FE100"")"),308200)</f>
        <v>308200</v>
      </c>
      <c r="G100" s="93">
        <f ca="1">IFERROR(__xludf.DUMMYFUNCTION("IMPORTRANGE(""https://docs.google.com/spreadsheets/d/1-uDff_7J0KD5mKrp0Vvzr7lt3OU09vwQwhkpOPPYv2Y/edit?usp=sharing"",""งบพรบ!FF100"")"),0)</f>
        <v>0</v>
      </c>
      <c r="H100" s="93">
        <f ca="1">IFERROR(__xludf.DUMMYFUNCTION("IMPORTRANGE(""https://docs.google.com/spreadsheets/d/1-uDff_7J0KD5mKrp0Vvzr7lt3OU09vwQwhkpOPPYv2Y/edit?usp=sharing"",""งบพรบ!FH100"")"),1741500)</f>
        <v>1741500</v>
      </c>
      <c r="I100" s="93">
        <f ca="1">IFERROR(__xludf.DUMMYFUNCTION("IMPORTRANGE(""https://docs.google.com/spreadsheets/d/1-uDff_7J0KD5mKrp0Vvzr7lt3OU09vwQwhkpOPPYv2Y/edit?usp=sharing"",""งบพรบ!FI100"")"),0)</f>
        <v>0</v>
      </c>
      <c r="J100" s="93">
        <f t="shared" ca="1" si="53"/>
        <v>1306467.23</v>
      </c>
      <c r="K100" s="94">
        <f t="shared" ca="1" si="54"/>
        <v>75.019651449899513</v>
      </c>
      <c r="L100" s="93">
        <f ca="1">IFERROR(__xludf.DUMMYFUNCTION("IMPORTRANGE(""https://docs.google.com/spreadsheets/d/1-uDff_7J0KD5mKrp0Vvzr7lt3OU09vwQwhkpOPPYv2Y/edit?usp=sharing"",""งบพรบ!FJ100"")"),1306467.23)</f>
        <v>1306467.23</v>
      </c>
      <c r="M100" s="95">
        <f t="shared" ca="1" si="55"/>
        <v>75.019651449899513</v>
      </c>
      <c r="N100" s="95">
        <f t="shared" ca="1" si="56"/>
        <v>75.019651449899513</v>
      </c>
      <c r="O100" s="96">
        <f ca="1">IFERROR(__xludf.DUMMYFUNCTION("IMPORTRANGE(""https://docs.google.com/spreadsheets/d/1-uDff_7J0KD5mKrp0Vvzr7lt3OU09vwQwhkpOPPYv2Y/edit?usp=sharing"",""งบพรบ!FK100"")"),0)</f>
        <v>0</v>
      </c>
      <c r="P100" s="96">
        <f t="shared" ca="1" si="57"/>
        <v>0</v>
      </c>
      <c r="Q100" s="95">
        <f t="shared" ca="1" si="58"/>
        <v>0</v>
      </c>
      <c r="R100" s="274"/>
      <c r="S100" s="274"/>
      <c r="T100" s="274"/>
      <c r="U100" s="243"/>
      <c r="V100" s="274"/>
      <c r="W100" s="274"/>
      <c r="X100" s="274"/>
      <c r="Y100" s="243"/>
      <c r="Z100" s="243"/>
      <c r="AA100" s="243"/>
      <c r="AB100" s="243"/>
      <c r="AC100" s="243"/>
    </row>
    <row r="101" spans="1:29" ht="24" hidden="1" customHeight="1" x14ac:dyDescent="0.3">
      <c r="A101" s="201"/>
      <c r="B101" s="129" t="s">
        <v>127</v>
      </c>
      <c r="C101" s="202">
        <f t="shared" ca="1" si="51"/>
        <v>0</v>
      </c>
      <c r="D101" s="203">
        <f t="shared" ca="1" si="52"/>
        <v>0</v>
      </c>
      <c r="E101" s="93">
        <f ca="1">IFERROR(__xludf.DUMMYFUNCTION("IMPORTRANGE(""https://docs.google.com/spreadsheets/d/1-uDff_7J0KD5mKrp0Vvzr7lt3OU09vwQwhkpOPPYv2Y/edit?usp=sharing"",""งบพรบ!FD101"")"),0)</f>
        <v>0</v>
      </c>
      <c r="F101" s="93">
        <f ca="1">IFERROR(__xludf.DUMMYFUNCTION("IMPORTRANGE(""https://docs.google.com/spreadsheets/d/1-uDff_7J0KD5mKrp0Vvzr7lt3OU09vwQwhkpOPPYv2Y/edit?usp=sharing"",""งบพรบ!FE101"")"),0)</f>
        <v>0</v>
      </c>
      <c r="G101" s="93">
        <f ca="1">IFERROR(__xludf.DUMMYFUNCTION("IMPORTRANGE(""https://docs.google.com/spreadsheets/d/1-uDff_7J0KD5mKrp0Vvzr7lt3OU09vwQwhkpOPPYv2Y/edit?usp=sharing"",""งบพรบ!FF101"")"),0)</f>
        <v>0</v>
      </c>
      <c r="H101" s="93">
        <f ca="1">IFERROR(__xludf.DUMMYFUNCTION("IMPORTRANGE(""https://docs.google.com/spreadsheets/d/1-uDff_7J0KD5mKrp0Vvzr7lt3OU09vwQwhkpOPPYv2Y/edit?usp=sharing"",""งบพรบ!FH101"")"),0)</f>
        <v>0</v>
      </c>
      <c r="I101" s="93">
        <f ca="1">IFERROR(__xludf.DUMMYFUNCTION("IMPORTRANGE(""https://docs.google.com/spreadsheets/d/1-uDff_7J0KD5mKrp0Vvzr7lt3OU09vwQwhkpOPPYv2Y/edit?usp=sharing"",""งบพรบ!FI101"")"),0)</f>
        <v>0</v>
      </c>
      <c r="J101" s="93">
        <f t="shared" ca="1" si="53"/>
        <v>0</v>
      </c>
      <c r="K101" s="94">
        <f t="shared" ca="1" si="54"/>
        <v>0</v>
      </c>
      <c r="L101" s="93">
        <f ca="1">IFERROR(__xludf.DUMMYFUNCTION("IMPORTRANGE(""https://docs.google.com/spreadsheets/d/1-uDff_7J0KD5mKrp0Vvzr7lt3OU09vwQwhkpOPPYv2Y/edit?usp=sharing"",""งบพรบ!FJ101"")"),0)</f>
        <v>0</v>
      </c>
      <c r="M101" s="95">
        <f t="shared" ca="1" si="55"/>
        <v>0</v>
      </c>
      <c r="N101" s="95">
        <f t="shared" ca="1" si="56"/>
        <v>0</v>
      </c>
      <c r="O101" s="96">
        <f ca="1">IFERROR(__xludf.DUMMYFUNCTION("IMPORTRANGE(""https://docs.google.com/spreadsheets/d/1-uDff_7J0KD5mKrp0Vvzr7lt3OU09vwQwhkpOPPYv2Y/edit?usp=sharing"",""งบพรบ!FK101"")"),0)</f>
        <v>0</v>
      </c>
      <c r="P101" s="96">
        <f t="shared" ca="1" si="57"/>
        <v>0</v>
      </c>
      <c r="Q101" s="95">
        <f t="shared" ca="1" si="58"/>
        <v>0</v>
      </c>
      <c r="R101" s="274"/>
      <c r="S101" s="274"/>
      <c r="T101" s="274"/>
      <c r="U101" s="243"/>
      <c r="V101" s="274"/>
      <c r="W101" s="274"/>
      <c r="X101" s="274"/>
      <c r="Y101" s="243"/>
      <c r="Z101" s="243"/>
      <c r="AA101" s="243"/>
      <c r="AB101" s="243"/>
      <c r="AC101" s="243"/>
    </row>
    <row r="102" spans="1:29" ht="24" hidden="1" customHeight="1" x14ac:dyDescent="0.3">
      <c r="A102" s="201"/>
      <c r="B102" s="129" t="s">
        <v>128</v>
      </c>
      <c r="C102" s="202">
        <f t="shared" ca="1" si="51"/>
        <v>0</v>
      </c>
      <c r="D102" s="203">
        <f t="shared" ca="1" si="52"/>
        <v>0</v>
      </c>
      <c r="E102" s="93">
        <f ca="1">IFERROR(__xludf.DUMMYFUNCTION("IMPORTRANGE(""https://docs.google.com/spreadsheets/d/1-uDff_7J0KD5mKrp0Vvzr7lt3OU09vwQwhkpOPPYv2Y/edit?usp=sharing"",""งบพรบ!FD102"")"),0)</f>
        <v>0</v>
      </c>
      <c r="F102" s="93">
        <f ca="1">IFERROR(__xludf.DUMMYFUNCTION("IMPORTRANGE(""https://docs.google.com/spreadsheets/d/1-uDff_7J0KD5mKrp0Vvzr7lt3OU09vwQwhkpOPPYv2Y/edit?usp=sharing"",""งบพรบ!FE102"")"),0)</f>
        <v>0</v>
      </c>
      <c r="G102" s="93">
        <f ca="1">IFERROR(__xludf.DUMMYFUNCTION("IMPORTRANGE(""https://docs.google.com/spreadsheets/d/1-uDff_7J0KD5mKrp0Vvzr7lt3OU09vwQwhkpOPPYv2Y/edit?usp=sharing"",""งบพรบ!FF102"")"),0)</f>
        <v>0</v>
      </c>
      <c r="H102" s="93">
        <f ca="1">IFERROR(__xludf.DUMMYFUNCTION("IMPORTRANGE(""https://docs.google.com/spreadsheets/d/1-uDff_7J0KD5mKrp0Vvzr7lt3OU09vwQwhkpOPPYv2Y/edit?usp=sharing"",""งบพรบ!FH102"")"),0)</f>
        <v>0</v>
      </c>
      <c r="I102" s="93">
        <f ca="1">IFERROR(__xludf.DUMMYFUNCTION("IMPORTRANGE(""https://docs.google.com/spreadsheets/d/1-uDff_7J0KD5mKrp0Vvzr7lt3OU09vwQwhkpOPPYv2Y/edit?usp=sharing"",""งบพรบ!FI102"")"),0)</f>
        <v>0</v>
      </c>
      <c r="J102" s="93">
        <f t="shared" ca="1" si="53"/>
        <v>0</v>
      </c>
      <c r="K102" s="94">
        <f t="shared" ca="1" si="54"/>
        <v>0</v>
      </c>
      <c r="L102" s="93">
        <f ca="1">IFERROR(__xludf.DUMMYFUNCTION("IMPORTRANGE(""https://docs.google.com/spreadsheets/d/1-uDff_7J0KD5mKrp0Vvzr7lt3OU09vwQwhkpOPPYv2Y/edit?usp=sharing"",""งบพรบ!FJ102"")"),0)</f>
        <v>0</v>
      </c>
      <c r="M102" s="95">
        <f t="shared" ca="1" si="55"/>
        <v>0</v>
      </c>
      <c r="N102" s="95">
        <f t="shared" ca="1" si="56"/>
        <v>0</v>
      </c>
      <c r="O102" s="96">
        <f ca="1">IFERROR(__xludf.DUMMYFUNCTION("IMPORTRANGE(""https://docs.google.com/spreadsheets/d/1-uDff_7J0KD5mKrp0Vvzr7lt3OU09vwQwhkpOPPYv2Y/edit?usp=sharing"",""งบพรบ!FK102"")"),0)</f>
        <v>0</v>
      </c>
      <c r="P102" s="96">
        <f t="shared" ca="1" si="57"/>
        <v>0</v>
      </c>
      <c r="Q102" s="95">
        <f t="shared" ca="1" si="58"/>
        <v>0</v>
      </c>
      <c r="R102" s="274"/>
      <c r="S102" s="274"/>
      <c r="T102" s="274"/>
      <c r="U102" s="243"/>
      <c r="V102" s="274"/>
      <c r="W102" s="274"/>
      <c r="X102" s="274"/>
      <c r="Y102" s="243"/>
      <c r="Z102" s="243"/>
      <c r="AA102" s="243"/>
      <c r="AB102" s="243"/>
      <c r="AC102" s="243"/>
    </row>
    <row r="103" spans="1:29" ht="24" hidden="1" customHeight="1" x14ac:dyDescent="0.3">
      <c r="A103" s="201"/>
      <c r="B103" s="129" t="s">
        <v>129</v>
      </c>
      <c r="C103" s="202">
        <f t="shared" ca="1" si="51"/>
        <v>0</v>
      </c>
      <c r="D103" s="203">
        <f t="shared" ca="1" si="52"/>
        <v>0</v>
      </c>
      <c r="E103" s="93">
        <f ca="1">IFERROR(__xludf.DUMMYFUNCTION("IMPORTRANGE(""https://docs.google.com/spreadsheets/d/1-uDff_7J0KD5mKrp0Vvzr7lt3OU09vwQwhkpOPPYv2Y/edit?usp=sharing"",""งบพรบ!FD103"")"),0)</f>
        <v>0</v>
      </c>
      <c r="F103" s="93">
        <f ca="1">IFERROR(__xludf.DUMMYFUNCTION("IMPORTRANGE(""https://docs.google.com/spreadsheets/d/1-uDff_7J0KD5mKrp0Vvzr7lt3OU09vwQwhkpOPPYv2Y/edit?usp=sharing"",""งบพรบ!FE103"")"),0)</f>
        <v>0</v>
      </c>
      <c r="G103" s="93">
        <f ca="1">IFERROR(__xludf.DUMMYFUNCTION("IMPORTRANGE(""https://docs.google.com/spreadsheets/d/1-uDff_7J0KD5mKrp0Vvzr7lt3OU09vwQwhkpOPPYv2Y/edit?usp=sharing"",""งบพรบ!FF103"")"),0)</f>
        <v>0</v>
      </c>
      <c r="H103" s="93">
        <f ca="1">IFERROR(__xludf.DUMMYFUNCTION("IMPORTRANGE(""https://docs.google.com/spreadsheets/d/1-uDff_7J0KD5mKrp0Vvzr7lt3OU09vwQwhkpOPPYv2Y/edit?usp=sharing"",""งบพรบ!FH103"")"),0)</f>
        <v>0</v>
      </c>
      <c r="I103" s="93">
        <f ca="1">IFERROR(__xludf.DUMMYFUNCTION("IMPORTRANGE(""https://docs.google.com/spreadsheets/d/1-uDff_7J0KD5mKrp0Vvzr7lt3OU09vwQwhkpOPPYv2Y/edit?usp=sharing"",""งบพรบ!FI103"")"),0)</f>
        <v>0</v>
      </c>
      <c r="J103" s="93">
        <f t="shared" ca="1" si="53"/>
        <v>0</v>
      </c>
      <c r="K103" s="94">
        <f t="shared" ca="1" si="54"/>
        <v>0</v>
      </c>
      <c r="L103" s="93">
        <f ca="1">IFERROR(__xludf.DUMMYFUNCTION("IMPORTRANGE(""https://docs.google.com/spreadsheets/d/1-uDff_7J0KD5mKrp0Vvzr7lt3OU09vwQwhkpOPPYv2Y/edit?usp=sharing"",""งบพรบ!FJ103"")"),0)</f>
        <v>0</v>
      </c>
      <c r="M103" s="95">
        <f t="shared" ca="1" si="55"/>
        <v>0</v>
      </c>
      <c r="N103" s="95">
        <f t="shared" ca="1" si="56"/>
        <v>0</v>
      </c>
      <c r="O103" s="96">
        <f ca="1">IFERROR(__xludf.DUMMYFUNCTION("IMPORTRANGE(""https://docs.google.com/spreadsheets/d/1-uDff_7J0KD5mKrp0Vvzr7lt3OU09vwQwhkpOPPYv2Y/edit?usp=sharing"",""งบพรบ!FK103"")"),0)</f>
        <v>0</v>
      </c>
      <c r="P103" s="96">
        <f t="shared" ca="1" si="57"/>
        <v>0</v>
      </c>
      <c r="Q103" s="95">
        <f t="shared" ca="1" si="58"/>
        <v>0</v>
      </c>
      <c r="R103" s="275"/>
      <c r="S103" s="275"/>
      <c r="T103" s="275"/>
      <c r="U103" s="276"/>
      <c r="V103" s="275"/>
      <c r="W103" s="275"/>
      <c r="X103" s="275"/>
      <c r="Y103" s="276"/>
      <c r="Z103" s="276"/>
      <c r="AA103" s="276"/>
      <c r="AB103" s="276"/>
      <c r="AC103" s="276"/>
    </row>
    <row r="104" spans="1:29" ht="21" hidden="1" customHeight="1" x14ac:dyDescent="0.3">
      <c r="A104" s="369"/>
      <c r="B104" s="370" t="s">
        <v>130</v>
      </c>
      <c r="C104" s="377">
        <f t="shared" ca="1" si="51"/>
        <v>81600</v>
      </c>
      <c r="D104" s="377">
        <f t="shared" ca="1" si="52"/>
        <v>81600</v>
      </c>
      <c r="E104" s="364">
        <f ca="1">IFERROR(__xludf.DUMMYFUNCTION("IMPORTRANGE(""https://docs.google.com/spreadsheets/d/1-uDff_7J0KD5mKrp0Vvzr7lt3OU09vwQwhkpOPPYv2Y/edit?usp=sharing"",""งบพรบ!FD104"")"),81600)</f>
        <v>81600</v>
      </c>
      <c r="F104" s="364">
        <f ca="1">IFERROR(__xludf.DUMMYFUNCTION("IMPORTRANGE(""https://docs.google.com/spreadsheets/d/1-uDff_7J0KD5mKrp0Vvzr7lt3OU09vwQwhkpOPPYv2Y/edit?usp=sharing"",""งบพรบ!FE104"")"),0)</f>
        <v>0</v>
      </c>
      <c r="G104" s="364">
        <f ca="1">IFERROR(__xludf.DUMMYFUNCTION("IMPORTRANGE(""https://docs.google.com/spreadsheets/d/1-uDff_7J0KD5mKrp0Vvzr7lt3OU09vwQwhkpOPPYv2Y/edit?usp=sharing"",""งบพรบ!FF104"")"),0)</f>
        <v>0</v>
      </c>
      <c r="H104" s="364">
        <f ca="1">IFERROR(__xludf.DUMMYFUNCTION("IMPORTRANGE(""https://docs.google.com/spreadsheets/d/1-uDff_7J0KD5mKrp0Vvzr7lt3OU09vwQwhkpOPPYv2Y/edit?usp=sharing"",""งบพรบ!FH104"")"),2937300)</f>
        <v>2937300</v>
      </c>
      <c r="I104" s="364">
        <f ca="1">IFERROR(__xludf.DUMMYFUNCTION("IMPORTRANGE(""https://docs.google.com/spreadsheets/d/1-uDff_7J0KD5mKrp0Vvzr7lt3OU09vwQwhkpOPPYv2Y/edit?usp=sharing"",""งบพรบ!FI104"")"),0)</f>
        <v>0</v>
      </c>
      <c r="J104" s="364">
        <f t="shared" ca="1" si="53"/>
        <v>736721.9</v>
      </c>
      <c r="K104" s="371">
        <f t="shared" ca="1" si="54"/>
        <v>902.84546568627457</v>
      </c>
      <c r="L104" s="364">
        <f ca="1">IFERROR(__xludf.DUMMYFUNCTION("IMPORTRANGE(""https://docs.google.com/spreadsheets/d/1-uDff_7J0KD5mKrp0Vvzr7lt3OU09vwQwhkpOPPYv2Y/edit?usp=sharing"",""งบพรบ!FJ104"")"),736721.9)</f>
        <v>736721.9</v>
      </c>
      <c r="M104" s="372">
        <f t="shared" ca="1" si="55"/>
        <v>902.84546568627457</v>
      </c>
      <c r="N104" s="372">
        <f t="shared" ca="1" si="56"/>
        <v>25.081602151635856</v>
      </c>
      <c r="O104" s="373">
        <f ca="1">IFERROR(__xludf.DUMMYFUNCTION("IMPORTRANGE(""https://docs.google.com/spreadsheets/d/1-uDff_7J0KD5mKrp0Vvzr7lt3OU09vwQwhkpOPPYv2Y/edit?usp=sharing"",""งบพรบ!FK104"")"),0)</f>
        <v>0</v>
      </c>
      <c r="P104" s="373">
        <f t="shared" ca="1" si="57"/>
        <v>0</v>
      </c>
      <c r="Q104" s="372">
        <f t="shared" ca="1" si="58"/>
        <v>0</v>
      </c>
      <c r="R104" s="378"/>
      <c r="S104" s="378"/>
      <c r="T104" s="378"/>
      <c r="U104" s="378"/>
      <c r="V104" s="378"/>
      <c r="W104" s="378"/>
      <c r="X104" s="378"/>
      <c r="Y104" s="378"/>
      <c r="Z104" s="378"/>
      <c r="AA104" s="378"/>
      <c r="AB104" s="378"/>
      <c r="AC104" s="378"/>
    </row>
    <row r="105" spans="1:29" ht="24" hidden="1" customHeight="1" x14ac:dyDescent="0.3">
      <c r="A105" s="201"/>
      <c r="B105" s="133" t="s">
        <v>131</v>
      </c>
      <c r="C105" s="202">
        <f t="shared" ca="1" si="51"/>
        <v>0</v>
      </c>
      <c r="D105" s="203">
        <f t="shared" ca="1" si="52"/>
        <v>0</v>
      </c>
      <c r="E105" s="93">
        <f ca="1">IFERROR(__xludf.DUMMYFUNCTION("IMPORTRANGE(""https://docs.google.com/spreadsheets/d/1-uDff_7J0KD5mKrp0Vvzr7lt3OU09vwQwhkpOPPYv2Y/edit?usp=sharing"",""งบพรบ!FD105"")"),0)</f>
        <v>0</v>
      </c>
      <c r="F105" s="93">
        <f ca="1">IFERROR(__xludf.DUMMYFUNCTION("IMPORTRANGE(""https://docs.google.com/spreadsheets/d/1-uDff_7J0KD5mKrp0Vvzr7lt3OU09vwQwhkpOPPYv2Y/edit?usp=sharing"",""งบพรบ!FE105"")"),0)</f>
        <v>0</v>
      </c>
      <c r="G105" s="93">
        <f ca="1">IFERROR(__xludf.DUMMYFUNCTION("IMPORTRANGE(""https://docs.google.com/spreadsheets/d/1-uDff_7J0KD5mKrp0Vvzr7lt3OU09vwQwhkpOPPYv2Y/edit?usp=sharing"",""งบพรบ!FF105"")"),0)</f>
        <v>0</v>
      </c>
      <c r="H105" s="93">
        <f ca="1">IFERROR(__xludf.DUMMYFUNCTION("IMPORTRANGE(""https://docs.google.com/spreadsheets/d/1-uDff_7J0KD5mKrp0Vvzr7lt3OU09vwQwhkpOPPYv2Y/edit?usp=sharing"",""งบพรบ!FH105"")"),0)</f>
        <v>0</v>
      </c>
      <c r="I105" s="93">
        <f ca="1">IFERROR(__xludf.DUMMYFUNCTION("IMPORTRANGE(""https://docs.google.com/spreadsheets/d/1-uDff_7J0KD5mKrp0Vvzr7lt3OU09vwQwhkpOPPYv2Y/edit?usp=sharing"",""งบพรบ!FI105"")"),0)</f>
        <v>0</v>
      </c>
      <c r="J105" s="93">
        <f t="shared" ca="1" si="53"/>
        <v>0</v>
      </c>
      <c r="K105" s="94">
        <f t="shared" ca="1" si="54"/>
        <v>0</v>
      </c>
      <c r="L105" s="93">
        <f ca="1">IFERROR(__xludf.DUMMYFUNCTION("IMPORTRANGE(""https://docs.google.com/spreadsheets/d/1-uDff_7J0KD5mKrp0Vvzr7lt3OU09vwQwhkpOPPYv2Y/edit?usp=sharing"",""งบพรบ!FJ105"")"),0)</f>
        <v>0</v>
      </c>
      <c r="M105" s="95">
        <f t="shared" ca="1" si="55"/>
        <v>0</v>
      </c>
      <c r="N105" s="95">
        <f t="shared" ca="1" si="56"/>
        <v>0</v>
      </c>
      <c r="O105" s="96">
        <f ca="1">IFERROR(__xludf.DUMMYFUNCTION("IMPORTRANGE(""https://docs.google.com/spreadsheets/d/1-uDff_7J0KD5mKrp0Vvzr7lt3OU09vwQwhkpOPPYv2Y/edit?usp=sharing"",""งบพรบ!FK105"")"),0)</f>
        <v>0</v>
      </c>
      <c r="P105" s="96">
        <f t="shared" ca="1" si="57"/>
        <v>0</v>
      </c>
      <c r="Q105" s="95">
        <f t="shared" ca="1" si="58"/>
        <v>0</v>
      </c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</row>
    <row r="106" spans="1:29" ht="24" hidden="1" customHeight="1" x14ac:dyDescent="0.3">
      <c r="A106" s="205"/>
      <c r="B106" s="137" t="s">
        <v>132</v>
      </c>
      <c r="C106" s="206">
        <f t="shared" ca="1" si="51"/>
        <v>0</v>
      </c>
      <c r="D106" s="207">
        <f t="shared" ca="1" si="52"/>
        <v>0</v>
      </c>
      <c r="E106" s="104">
        <f ca="1">IFERROR(__xludf.DUMMYFUNCTION("IMPORTRANGE(""https://docs.google.com/spreadsheets/d/1-uDff_7J0KD5mKrp0Vvzr7lt3OU09vwQwhkpOPPYv2Y/edit?usp=sharing"",""งบพรบ!FD106"")"),0)</f>
        <v>0</v>
      </c>
      <c r="F106" s="104">
        <f ca="1">IFERROR(__xludf.DUMMYFUNCTION("IMPORTRANGE(""https://docs.google.com/spreadsheets/d/1-uDff_7J0KD5mKrp0Vvzr7lt3OU09vwQwhkpOPPYv2Y/edit?usp=sharing"",""งบพรบ!FE106"")"),0)</f>
        <v>0</v>
      </c>
      <c r="G106" s="104">
        <f ca="1">IFERROR(__xludf.DUMMYFUNCTION("IMPORTRANGE(""https://docs.google.com/spreadsheets/d/1-uDff_7J0KD5mKrp0Vvzr7lt3OU09vwQwhkpOPPYv2Y/edit?usp=sharing"",""งบพรบ!FF106"")"),0)</f>
        <v>0</v>
      </c>
      <c r="H106" s="104">
        <f ca="1">IFERROR(__xludf.DUMMYFUNCTION("IMPORTRANGE(""https://docs.google.com/spreadsheets/d/1-uDff_7J0KD5mKrp0Vvzr7lt3OU09vwQwhkpOPPYv2Y/edit?usp=sharing"",""งบพรบ!FH106"")"),0)</f>
        <v>0</v>
      </c>
      <c r="I106" s="104">
        <f ca="1">IFERROR(__xludf.DUMMYFUNCTION("IMPORTRANGE(""https://docs.google.com/spreadsheets/d/1-uDff_7J0KD5mKrp0Vvzr7lt3OU09vwQwhkpOPPYv2Y/edit?usp=sharing"",""งบพรบ!FI106"")"),0)</f>
        <v>0</v>
      </c>
      <c r="J106" s="104">
        <f t="shared" ca="1" si="53"/>
        <v>0</v>
      </c>
      <c r="K106" s="105">
        <f t="shared" ca="1" si="54"/>
        <v>0</v>
      </c>
      <c r="L106" s="104">
        <f ca="1">IFERROR(__xludf.DUMMYFUNCTION("IMPORTRANGE(""https://docs.google.com/spreadsheets/d/1-uDff_7J0KD5mKrp0Vvzr7lt3OU09vwQwhkpOPPYv2Y/edit?usp=sharing"",""งบพรบ!FJ106"")"),0)</f>
        <v>0</v>
      </c>
      <c r="M106" s="106">
        <f t="shared" ca="1" si="55"/>
        <v>0</v>
      </c>
      <c r="N106" s="106">
        <f t="shared" ca="1" si="56"/>
        <v>0</v>
      </c>
      <c r="O106" s="107">
        <f ca="1">IFERROR(__xludf.DUMMYFUNCTION("IMPORTRANGE(""https://docs.google.com/spreadsheets/d/1-uDff_7J0KD5mKrp0Vvzr7lt3OU09vwQwhkpOPPYv2Y/edit?usp=sharing"",""งบพรบ!FK106"")"),0)</f>
        <v>0</v>
      </c>
      <c r="P106" s="107">
        <f t="shared" ca="1" si="57"/>
        <v>0</v>
      </c>
      <c r="Q106" s="106">
        <f t="shared" ca="1" si="58"/>
        <v>0</v>
      </c>
      <c r="R106" s="279"/>
      <c r="S106" s="279"/>
      <c r="T106" s="279"/>
      <c r="U106" s="279"/>
      <c r="V106" s="279"/>
      <c r="W106" s="279"/>
      <c r="X106" s="279"/>
      <c r="Y106" s="279"/>
      <c r="Z106" s="279"/>
      <c r="AA106" s="279"/>
      <c r="AB106" s="279"/>
      <c r="AC106" s="279"/>
    </row>
  </sheetData>
  <mergeCells count="28">
    <mergeCell ref="R2:AC2"/>
    <mergeCell ref="C3:Q3"/>
    <mergeCell ref="R3:AC3"/>
    <mergeCell ref="C4:G4"/>
    <mergeCell ref="G5:G6"/>
    <mergeCell ref="AA5:AC5"/>
    <mergeCell ref="R4:U4"/>
    <mergeCell ref="V4:Y4"/>
    <mergeCell ref="Z4:AC4"/>
    <mergeCell ref="O5:Q5"/>
    <mergeCell ref="S5:U5"/>
    <mergeCell ref="W5:Y5"/>
    <mergeCell ref="A89:B89"/>
    <mergeCell ref="E5:E6"/>
    <mergeCell ref="F5:F6"/>
    <mergeCell ref="H4:I4"/>
    <mergeCell ref="J5:K5"/>
    <mergeCell ref="A2:B6"/>
    <mergeCell ref="C2:Q2"/>
    <mergeCell ref="A7:B7"/>
    <mergeCell ref="A13:B13"/>
    <mergeCell ref="A31:B31"/>
    <mergeCell ref="A52:B52"/>
    <mergeCell ref="A74:B74"/>
    <mergeCell ref="J4:Q4"/>
    <mergeCell ref="C5:C6"/>
    <mergeCell ref="D5:D6"/>
    <mergeCell ref="L5:N5"/>
  </mergeCells>
  <printOptions horizontalCentered="1"/>
  <pageMargins left="0.23622047244094491" right="0.23622047244094491" top="0.55118110236220474" bottom="0.55118110236220474" header="0" footer="0"/>
  <pageSetup paperSize="9" scale="50" fitToWidth="0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outlinePr summaryBelow="0" summaryRight="0"/>
    <pageSetUpPr fitToPage="1"/>
  </sheetPr>
  <dimension ref="A1:AE107"/>
  <sheetViews>
    <sheetView view="pageBreakPreview" zoomScale="60" zoomScaleNormal="70" workbookViewId="0">
      <selection activeCell="I6" sqref="H6:I6"/>
    </sheetView>
  </sheetViews>
  <sheetFormatPr defaultColWidth="12.5703125" defaultRowHeight="15.75" customHeight="1" x14ac:dyDescent="0.2"/>
  <cols>
    <col min="10" max="10" width="7.85546875" bestFit="1" customWidth="1"/>
    <col min="11" max="11" width="10.7109375" bestFit="1" customWidth="1"/>
    <col min="12" max="12" width="7.85546875" bestFit="1" customWidth="1"/>
    <col min="13" max="13" width="9.140625" bestFit="1" customWidth="1"/>
    <col min="14" max="14" width="10.42578125" bestFit="1" customWidth="1"/>
    <col min="15" max="15" width="7.85546875" bestFit="1" customWidth="1"/>
    <col min="16" max="16" width="9.140625" bestFit="1" customWidth="1"/>
    <col min="17" max="17" width="10.42578125" bestFit="1" customWidth="1"/>
    <col min="18" max="18" width="18.5703125" bestFit="1" customWidth="1"/>
    <col min="19" max="19" width="11" bestFit="1" customWidth="1"/>
    <col min="21" max="21" width="10.7109375" bestFit="1" customWidth="1"/>
    <col min="22" max="22" width="12" bestFit="1" customWidth="1"/>
    <col min="23" max="23" width="14.28515625" bestFit="1" customWidth="1"/>
    <col min="24" max="24" width="5.28515625" bestFit="1" customWidth="1"/>
    <col min="25" max="25" width="13.140625" bestFit="1" customWidth="1"/>
    <col min="26" max="26" width="14.28515625" bestFit="1" customWidth="1"/>
    <col min="27" max="27" width="6.7109375" bestFit="1" customWidth="1"/>
    <col min="28" max="28" width="4.42578125" bestFit="1" customWidth="1"/>
    <col min="29" max="29" width="14.28515625" bestFit="1" customWidth="1"/>
    <col min="30" max="30" width="13.140625" bestFit="1" customWidth="1"/>
    <col min="31" max="31" width="4.42578125" bestFit="1" customWidth="1"/>
  </cols>
  <sheetData>
    <row r="1" spans="1:31" ht="19.5" x14ac:dyDescent="0.3">
      <c r="A1" s="1" t="s">
        <v>0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  <c r="N1" s="141"/>
      <c r="O1" s="142"/>
      <c r="P1" s="142"/>
      <c r="Q1" s="142"/>
      <c r="R1" s="142"/>
      <c r="S1" s="142"/>
      <c r="T1" s="142"/>
      <c r="U1" s="142"/>
      <c r="V1" s="142"/>
      <c r="W1" s="139"/>
      <c r="X1" s="139"/>
      <c r="Y1" s="139"/>
      <c r="Z1" s="139"/>
      <c r="AA1" s="139"/>
      <c r="AB1" s="139"/>
      <c r="AC1" s="139"/>
      <c r="AD1" s="139"/>
      <c r="AE1" s="139"/>
    </row>
    <row r="2" spans="1:31" ht="19.5" x14ac:dyDescent="0.2">
      <c r="A2" s="639" t="s">
        <v>1</v>
      </c>
      <c r="B2" s="607"/>
      <c r="C2" s="642" t="s">
        <v>218</v>
      </c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3"/>
    </row>
    <row r="3" spans="1:31" ht="19.5" x14ac:dyDescent="0.2">
      <c r="A3" s="640"/>
      <c r="B3" s="590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584" t="s">
        <v>4</v>
      </c>
      <c r="S3" s="585"/>
      <c r="T3" s="585"/>
      <c r="U3" s="585"/>
      <c r="V3" s="585"/>
      <c r="W3" s="680" t="s">
        <v>219</v>
      </c>
      <c r="X3" s="585"/>
      <c r="Y3" s="585"/>
      <c r="Z3" s="585"/>
      <c r="AA3" s="585"/>
      <c r="AB3" s="585"/>
      <c r="AC3" s="585"/>
      <c r="AD3" s="585"/>
      <c r="AE3" s="607"/>
    </row>
    <row r="4" spans="1:31" ht="19.5" x14ac:dyDescent="0.3">
      <c r="A4" s="640"/>
      <c r="B4" s="590"/>
      <c r="C4" s="645" t="s">
        <v>7</v>
      </c>
      <c r="D4" s="592"/>
      <c r="E4" s="592"/>
      <c r="F4" s="592"/>
      <c r="G4" s="593"/>
      <c r="H4" s="646" t="s">
        <v>8</v>
      </c>
      <c r="I4" s="593"/>
      <c r="J4" s="644" t="s">
        <v>9</v>
      </c>
      <c r="K4" s="592"/>
      <c r="L4" s="592"/>
      <c r="M4" s="592"/>
      <c r="N4" s="592"/>
      <c r="O4" s="592"/>
      <c r="P4" s="592"/>
      <c r="Q4" s="593"/>
      <c r="R4" s="614" t="s">
        <v>10</v>
      </c>
      <c r="S4" s="615" t="s">
        <v>11</v>
      </c>
      <c r="T4" s="594" t="s">
        <v>12</v>
      </c>
      <c r="U4" s="752" t="s">
        <v>13</v>
      </c>
      <c r="V4" s="752" t="s">
        <v>14</v>
      </c>
      <c r="W4" s="682" t="s">
        <v>179</v>
      </c>
      <c r="X4" s="598"/>
      <c r="Y4" s="583"/>
      <c r="Z4" s="683" t="s">
        <v>220</v>
      </c>
      <c r="AA4" s="598"/>
      <c r="AB4" s="583"/>
      <c r="AC4" s="681" t="s">
        <v>221</v>
      </c>
      <c r="AD4" s="598"/>
      <c r="AE4" s="583"/>
    </row>
    <row r="5" spans="1:31" ht="19.5" x14ac:dyDescent="0.3">
      <c r="A5" s="640"/>
      <c r="B5" s="590"/>
      <c r="C5" s="733" t="s">
        <v>19</v>
      </c>
      <c r="D5" s="734" t="s">
        <v>20</v>
      </c>
      <c r="E5" s="735" t="s">
        <v>21</v>
      </c>
      <c r="F5" s="736" t="s">
        <v>22</v>
      </c>
      <c r="G5" s="737" t="s">
        <v>23</v>
      </c>
      <c r="H5" s="143" t="s">
        <v>24</v>
      </c>
      <c r="I5" s="143" t="s">
        <v>25</v>
      </c>
      <c r="J5" s="630" t="s">
        <v>26</v>
      </c>
      <c r="K5" s="593"/>
      <c r="L5" s="630" t="s">
        <v>24</v>
      </c>
      <c r="M5" s="592"/>
      <c r="N5" s="593"/>
      <c r="O5" s="631" t="s">
        <v>25</v>
      </c>
      <c r="P5" s="592"/>
      <c r="Q5" s="593"/>
      <c r="R5" s="595"/>
      <c r="S5" s="595"/>
      <c r="T5" s="595"/>
      <c r="U5" s="753"/>
      <c r="V5" s="753"/>
      <c r="W5" s="379" t="s">
        <v>27</v>
      </c>
      <c r="X5" s="684" t="s">
        <v>28</v>
      </c>
      <c r="Y5" s="583"/>
      <c r="Z5" s="380" t="s">
        <v>27</v>
      </c>
      <c r="AA5" s="678" t="s">
        <v>28</v>
      </c>
      <c r="AB5" s="593"/>
      <c r="AC5" s="381" t="s">
        <v>27</v>
      </c>
      <c r="AD5" s="679" t="s">
        <v>28</v>
      </c>
      <c r="AE5" s="593"/>
    </row>
    <row r="6" spans="1:31" ht="46.5" customHeight="1" x14ac:dyDescent="0.3">
      <c r="A6" s="641"/>
      <c r="B6" s="593"/>
      <c r="C6" s="738"/>
      <c r="D6" s="738"/>
      <c r="E6" s="738"/>
      <c r="F6" s="738"/>
      <c r="G6" s="738"/>
      <c r="H6" s="145"/>
      <c r="I6" s="145"/>
      <c r="J6" s="748" t="s">
        <v>29</v>
      </c>
      <c r="K6" s="749" t="s">
        <v>30</v>
      </c>
      <c r="L6" s="748" t="s">
        <v>29</v>
      </c>
      <c r="M6" s="750" t="s">
        <v>31</v>
      </c>
      <c r="N6" s="750" t="s">
        <v>32</v>
      </c>
      <c r="O6" s="751" t="s">
        <v>29</v>
      </c>
      <c r="P6" s="750" t="s">
        <v>31</v>
      </c>
      <c r="Q6" s="750" t="s">
        <v>32</v>
      </c>
      <c r="R6" s="596"/>
      <c r="S6" s="596"/>
      <c r="T6" s="596"/>
      <c r="U6" s="732"/>
      <c r="V6" s="732"/>
      <c r="W6" s="382" t="s">
        <v>136</v>
      </c>
      <c r="X6" s="383" t="s">
        <v>136</v>
      </c>
      <c r="Y6" s="383" t="s">
        <v>30</v>
      </c>
      <c r="Z6" s="384" t="s">
        <v>136</v>
      </c>
      <c r="AA6" s="385">
        <f t="shared" ref="AA6:AB6" ca="1" si="0">AA7</f>
        <v>0</v>
      </c>
      <c r="AB6" s="386">
        <f t="shared" ca="1" si="0"/>
        <v>0</v>
      </c>
      <c r="AC6" s="387" t="s">
        <v>136</v>
      </c>
      <c r="AD6" s="386">
        <f t="shared" ref="AD6:AE6" ca="1" si="1">AD7</f>
        <v>0</v>
      </c>
      <c r="AE6" s="386">
        <f t="shared" ca="1" si="1"/>
        <v>0</v>
      </c>
    </row>
    <row r="7" spans="1:31" ht="19.5" x14ac:dyDescent="0.3">
      <c r="A7" s="634" t="s">
        <v>289</v>
      </c>
      <c r="B7" s="635"/>
      <c r="C7" s="150">
        <f t="shared" ref="C7:C9" si="2">D7+G7</f>
        <v>0</v>
      </c>
      <c r="D7" s="151">
        <f t="shared" ref="D7:I7" si="3">D8+D9</f>
        <v>0</v>
      </c>
      <c r="E7" s="152">
        <f t="shared" si="3"/>
        <v>0</v>
      </c>
      <c r="F7" s="153">
        <f t="shared" si="3"/>
        <v>0</v>
      </c>
      <c r="G7" s="154">
        <f t="shared" si="3"/>
        <v>0</v>
      </c>
      <c r="H7" s="228">
        <f t="shared" si="3"/>
        <v>0</v>
      </c>
      <c r="I7" s="228">
        <f t="shared" si="3"/>
        <v>0</v>
      </c>
      <c r="J7" s="156">
        <f t="shared" ref="J7:J9" si="4">L7+O7</f>
        <v>0</v>
      </c>
      <c r="K7" s="157">
        <f t="shared" ref="K7:K9" si="5">IF(C7&gt;0,J7*100/C7,0)</f>
        <v>0</v>
      </c>
      <c r="L7" s="156">
        <f>L8+L9</f>
        <v>0</v>
      </c>
      <c r="M7" s="27">
        <f t="shared" ref="M7:M9" si="6">IF(D7&gt;0,L7*100/D7,0)</f>
        <v>0</v>
      </c>
      <c r="N7" s="27">
        <f t="shared" ref="N7:N9" si="7">IF(H7&gt;0,L7*100/H7,0)</f>
        <v>0</v>
      </c>
      <c r="O7" s="26">
        <f>O8+O9</f>
        <v>0</v>
      </c>
      <c r="P7" s="26">
        <f t="shared" ref="P7:P9" si="8">IF(G7&gt;0,O7*100/G7,0)</f>
        <v>0</v>
      </c>
      <c r="Q7" s="27">
        <f t="shared" ref="Q7:Q9" si="9">IF(I7&gt;0,O7*100/I7,0)</f>
        <v>0</v>
      </c>
      <c r="R7" s="26">
        <f t="shared" ref="R7:T7" ca="1" si="10">R8+R9</f>
        <v>25480300</v>
      </c>
      <c r="S7" s="26">
        <f t="shared" ca="1" si="10"/>
        <v>0</v>
      </c>
      <c r="T7" s="26">
        <f t="shared" ca="1" si="10"/>
        <v>0</v>
      </c>
      <c r="U7" s="27">
        <f t="shared" ref="U7:U9" ca="1" si="11">IF(R7&gt;0,T7*100/R7,0)</f>
        <v>0</v>
      </c>
      <c r="V7" s="27">
        <f t="shared" ref="V7:V9" ca="1" si="12">IF(S7&gt;0,T7*100/S7,0)</f>
        <v>0</v>
      </c>
      <c r="W7" s="388">
        <f ca="1">W8+W9</f>
        <v>350000</v>
      </c>
      <c r="X7" s="389">
        <f ca="1">X8</f>
        <v>0</v>
      </c>
      <c r="Y7" s="390">
        <f t="shared" ref="Y7:Y88" ca="1" si="13">IF(W7&gt;0,X7*100/W7,0)</f>
        <v>0</v>
      </c>
      <c r="Z7" s="391">
        <f ca="1">Z8+Z9</f>
        <v>134000</v>
      </c>
      <c r="AA7" s="392">
        <f t="shared" ref="AA7:AB7" ca="1" si="14">+AA12+AA30+AA51+AA73</f>
        <v>0</v>
      </c>
      <c r="AB7" s="392">
        <f t="shared" ca="1" si="14"/>
        <v>0</v>
      </c>
      <c r="AC7" s="393">
        <f ca="1">AC8+AC9</f>
        <v>216000</v>
      </c>
      <c r="AD7" s="392">
        <f t="shared" ref="AD7:AE7" ca="1" si="15">+AD12+AD30+AD51+AD73</f>
        <v>0</v>
      </c>
      <c r="AE7" s="392">
        <f t="shared" ca="1" si="15"/>
        <v>0</v>
      </c>
    </row>
    <row r="8" spans="1:31" ht="19.5" x14ac:dyDescent="0.3">
      <c r="A8" s="159" t="s">
        <v>37</v>
      </c>
      <c r="B8" s="160"/>
      <c r="C8" s="161">
        <f t="shared" si="2"/>
        <v>0</v>
      </c>
      <c r="D8" s="161">
        <f t="shared" ref="D8:I8" si="16">+D13+D31+D52+D74</f>
        <v>0</v>
      </c>
      <c r="E8" s="161">
        <f t="shared" si="16"/>
        <v>0</v>
      </c>
      <c r="F8" s="161">
        <f t="shared" si="16"/>
        <v>0</v>
      </c>
      <c r="G8" s="161">
        <f t="shared" si="16"/>
        <v>0</v>
      </c>
      <c r="H8" s="161">
        <f t="shared" si="16"/>
        <v>0</v>
      </c>
      <c r="I8" s="161">
        <f t="shared" si="16"/>
        <v>0</v>
      </c>
      <c r="J8" s="161">
        <f t="shared" si="4"/>
        <v>0</v>
      </c>
      <c r="K8" s="162">
        <f t="shared" si="5"/>
        <v>0</v>
      </c>
      <c r="L8" s="161">
        <f>+L13+L31+L52+L74</f>
        <v>0</v>
      </c>
      <c r="M8" s="40">
        <f t="shared" si="6"/>
        <v>0</v>
      </c>
      <c r="N8" s="40">
        <f t="shared" si="7"/>
        <v>0</v>
      </c>
      <c r="O8" s="39">
        <f>+O13+O31+O52+O74</f>
        <v>0</v>
      </c>
      <c r="P8" s="39">
        <f t="shared" si="8"/>
        <v>0</v>
      </c>
      <c r="Q8" s="40">
        <f t="shared" si="9"/>
        <v>0</v>
      </c>
      <c r="R8" s="39">
        <f t="shared" ref="R8:T8" ca="1" si="17">+R13+R31+R52+R74</f>
        <v>8375000</v>
      </c>
      <c r="S8" s="39">
        <f t="shared" ca="1" si="17"/>
        <v>0</v>
      </c>
      <c r="T8" s="39">
        <f t="shared" ca="1" si="17"/>
        <v>0</v>
      </c>
      <c r="U8" s="40">
        <f t="shared" ca="1" si="11"/>
        <v>0</v>
      </c>
      <c r="V8" s="40">
        <f t="shared" ca="1" si="12"/>
        <v>0</v>
      </c>
      <c r="W8" s="394">
        <f t="shared" ref="W8:X8" ca="1" si="18">+W13+W31+W52+W74</f>
        <v>350000</v>
      </c>
      <c r="X8" s="394">
        <f t="shared" ca="1" si="18"/>
        <v>0</v>
      </c>
      <c r="Y8" s="395">
        <f t="shared" ca="1" si="13"/>
        <v>0</v>
      </c>
      <c r="Z8" s="394">
        <f ca="1">+Z13+Z31+Z52+Z74</f>
        <v>134000</v>
      </c>
      <c r="AA8" s="35">
        <v>0</v>
      </c>
      <c r="AB8" s="35">
        <v>0</v>
      </c>
      <c r="AC8" s="396">
        <v>0</v>
      </c>
      <c r="AD8" s="35">
        <v>0</v>
      </c>
      <c r="AE8" s="35">
        <v>0</v>
      </c>
    </row>
    <row r="9" spans="1:31" ht="19.5" x14ac:dyDescent="0.3">
      <c r="A9" s="43" t="s">
        <v>38</v>
      </c>
      <c r="B9" s="163"/>
      <c r="C9" s="164">
        <f t="shared" si="2"/>
        <v>0</v>
      </c>
      <c r="D9" s="164">
        <f t="shared" ref="D9:I9" si="19">+D10+D11</f>
        <v>0</v>
      </c>
      <c r="E9" s="164">
        <f t="shared" si="19"/>
        <v>0</v>
      </c>
      <c r="F9" s="164">
        <f t="shared" si="19"/>
        <v>0</v>
      </c>
      <c r="G9" s="164">
        <f t="shared" si="19"/>
        <v>0</v>
      </c>
      <c r="H9" s="164">
        <f t="shared" si="19"/>
        <v>0</v>
      </c>
      <c r="I9" s="164">
        <f t="shared" si="19"/>
        <v>0</v>
      </c>
      <c r="J9" s="164">
        <f t="shared" si="4"/>
        <v>0</v>
      </c>
      <c r="K9" s="165">
        <f t="shared" si="5"/>
        <v>0</v>
      </c>
      <c r="L9" s="164">
        <f>+L10+L11</f>
        <v>0</v>
      </c>
      <c r="M9" s="51">
        <f t="shared" si="6"/>
        <v>0</v>
      </c>
      <c r="N9" s="51">
        <f t="shared" si="7"/>
        <v>0</v>
      </c>
      <c r="O9" s="50">
        <f>+O10+O11</f>
        <v>0</v>
      </c>
      <c r="P9" s="50">
        <f t="shared" si="8"/>
        <v>0</v>
      </c>
      <c r="Q9" s="51">
        <f t="shared" si="9"/>
        <v>0</v>
      </c>
      <c r="R9" s="50">
        <f ca="1">IFERROR(__xludf.DUMMYFUNCTION("IMPORTRANGE(""https://docs.google.com/spreadsheets/d/1ItG2mGa2ceCfYo0BwxsXqNm01IGEUdYcSSLTEv9YCik/edit?usp=sharing"",""เบิกจ่ายกองทุน!AY11"")"),17105300)</f>
        <v>17105300</v>
      </c>
      <c r="S9" s="50">
        <f ca="1">IFERROR(__xludf.DUMMYFUNCTION("IMPORTRANGE(""https://docs.google.com/spreadsheets/d/1ItG2mGa2ceCfYo0BwxsXqNm01IGEUdYcSSLTEv9YCik/edit?usp=sharing"",""เบิกจ่ายกองทุน!AZ11"")"),0)</f>
        <v>0</v>
      </c>
      <c r="T9" s="50">
        <f ca="1">IFERROR(__xludf.DUMMYFUNCTION("IMPORTRANGE(""https://docs.google.com/spreadsheets/d/1ItG2mGa2ceCfYo0BwxsXqNm01IGEUdYcSSLTEv9YCik/edit?usp=sharing"",""เบิกจ่ายกองทุน!BA11"")"),0)</f>
        <v>0</v>
      </c>
      <c r="U9" s="51">
        <f t="shared" ca="1" si="11"/>
        <v>0</v>
      </c>
      <c r="V9" s="51">
        <f t="shared" ca="1" si="12"/>
        <v>0</v>
      </c>
      <c r="W9" s="397">
        <v>0</v>
      </c>
      <c r="X9" s="397">
        <v>0</v>
      </c>
      <c r="Y9" s="398">
        <f t="shared" si="13"/>
        <v>0</v>
      </c>
      <c r="Z9" s="397">
        <v>0</v>
      </c>
      <c r="AA9" s="209"/>
      <c r="AB9" s="209"/>
      <c r="AC9" s="247">
        <f t="shared" ref="AC9:AD9" ca="1" si="20">AC13+AC31+AC52+AC74</f>
        <v>216000</v>
      </c>
      <c r="AD9" s="247">
        <f t="shared" ca="1" si="20"/>
        <v>0</v>
      </c>
      <c r="AE9" s="209"/>
    </row>
    <row r="10" spans="1:31" ht="19.5" hidden="1" x14ac:dyDescent="0.3">
      <c r="A10" s="166"/>
      <c r="B10" s="16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61"/>
      <c r="S10" s="61"/>
      <c r="T10" s="61"/>
      <c r="U10" s="62"/>
      <c r="V10" s="62"/>
      <c r="W10" s="399"/>
      <c r="X10" s="399"/>
      <c r="Y10" s="400">
        <f t="shared" si="13"/>
        <v>0</v>
      </c>
      <c r="Z10" s="399"/>
      <c r="AA10" s="56"/>
      <c r="AB10" s="56"/>
      <c r="AC10" s="350"/>
      <c r="AD10" s="56"/>
      <c r="AE10" s="56"/>
    </row>
    <row r="11" spans="1:31" ht="19.5" hidden="1" x14ac:dyDescent="0.3">
      <c r="A11" s="170"/>
      <c r="B11" s="16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61"/>
      <c r="S11" s="61"/>
      <c r="T11" s="61"/>
      <c r="U11" s="62"/>
      <c r="V11" s="62"/>
      <c r="W11" s="399"/>
      <c r="X11" s="399"/>
      <c r="Y11" s="400">
        <f t="shared" si="13"/>
        <v>0</v>
      </c>
      <c r="Z11" s="399"/>
      <c r="AA11" s="56"/>
      <c r="AB11" s="56"/>
      <c r="AC11" s="350"/>
      <c r="AD11" s="56"/>
      <c r="AE11" s="56"/>
    </row>
    <row r="12" spans="1:31" ht="19.5" hidden="1" x14ac:dyDescent="0.3">
      <c r="A12" s="166"/>
      <c r="B12" s="171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61"/>
      <c r="S12" s="61"/>
      <c r="T12" s="61"/>
      <c r="U12" s="62"/>
      <c r="V12" s="62"/>
      <c r="W12" s="401"/>
      <c r="X12" s="401"/>
      <c r="Y12" s="402">
        <f t="shared" si="13"/>
        <v>0</v>
      </c>
      <c r="Z12" s="401"/>
      <c r="AA12" s="67">
        <f t="shared" ref="AA12:AB12" ca="1" si="21">SUM(AA13:AA29)</f>
        <v>0</v>
      </c>
      <c r="AB12" s="67">
        <f t="shared" ca="1" si="21"/>
        <v>0</v>
      </c>
      <c r="AC12" s="350"/>
      <c r="AD12" s="67">
        <f t="shared" ref="AD12:AE12" ca="1" si="22">SUM(AD13:AD29)</f>
        <v>0</v>
      </c>
      <c r="AE12" s="67">
        <f t="shared" ca="1" si="22"/>
        <v>0</v>
      </c>
    </row>
    <row r="13" spans="1:31" ht="19.5" x14ac:dyDescent="0.3">
      <c r="A13" s="636" t="s">
        <v>39</v>
      </c>
      <c r="B13" s="633"/>
      <c r="C13" s="161">
        <f t="shared" ref="C13:C88" si="23">D13+G13</f>
        <v>0</v>
      </c>
      <c r="D13" s="161">
        <f t="shared" ref="D13:I13" si="24">SUM(D14:D30)</f>
        <v>0</v>
      </c>
      <c r="E13" s="161">
        <f t="shared" si="24"/>
        <v>0</v>
      </c>
      <c r="F13" s="161">
        <f t="shared" si="24"/>
        <v>0</v>
      </c>
      <c r="G13" s="161">
        <f t="shared" si="24"/>
        <v>0</v>
      </c>
      <c r="H13" s="161">
        <f t="shared" si="24"/>
        <v>0</v>
      </c>
      <c r="I13" s="161">
        <f t="shared" si="24"/>
        <v>0</v>
      </c>
      <c r="J13" s="161">
        <f t="shared" ref="J13:J88" si="25">L13+O13</f>
        <v>0</v>
      </c>
      <c r="K13" s="162">
        <f t="shared" ref="K13:K88" si="26">IF(C13&gt;0,J13*100/C13,0)</f>
        <v>0</v>
      </c>
      <c r="L13" s="161">
        <f>SUM(L14:L30)</f>
        <v>0</v>
      </c>
      <c r="M13" s="40">
        <f t="shared" ref="M13:M88" si="27">IF(D13&gt;0,L13*100/D13,0)</f>
        <v>0</v>
      </c>
      <c r="N13" s="40">
        <f t="shared" ref="N13:N88" si="28">IF(H13&gt;0,L13*100/H13,0)</f>
        <v>0</v>
      </c>
      <c r="O13" s="39">
        <f>SUM(O14:O30)</f>
        <v>0</v>
      </c>
      <c r="P13" s="39">
        <f t="shared" ref="P13:P88" si="29">IF(G13&gt;0,O13*100/G13,0)</f>
        <v>0</v>
      </c>
      <c r="Q13" s="40">
        <f t="shared" ref="Q13:Q88" si="30">IF(I13&gt;0,O13*100/I13,0)</f>
        <v>0</v>
      </c>
      <c r="R13" s="39">
        <f t="shared" ref="R13:T13" ca="1" si="31">SUM(R14:R30)</f>
        <v>2437500</v>
      </c>
      <c r="S13" s="39">
        <f t="shared" ca="1" si="31"/>
        <v>0</v>
      </c>
      <c r="T13" s="39">
        <f t="shared" ca="1" si="31"/>
        <v>0</v>
      </c>
      <c r="U13" s="40">
        <f t="shared" ref="U13:U106" ca="1" si="32">IF(R13&gt;0,T13*100/R13,0)</f>
        <v>0</v>
      </c>
      <c r="V13" s="40">
        <f t="shared" ref="V13:V106" ca="1" si="33">IF(S13&gt;0,T13*100/S13,0)</f>
        <v>0</v>
      </c>
      <c r="W13" s="71">
        <f t="shared" ref="W13:X13" ca="1" si="34">SUM(W14:W30)</f>
        <v>125400</v>
      </c>
      <c r="X13" s="71">
        <f t="shared" ca="1" si="34"/>
        <v>0</v>
      </c>
      <c r="Y13" s="113">
        <f t="shared" ca="1" si="13"/>
        <v>0</v>
      </c>
      <c r="Z13" s="71">
        <f ca="1">SUM(Z14:Z30)</f>
        <v>39000</v>
      </c>
      <c r="AA13" s="73">
        <f ca="1">IFERROR(__xludf.DUMMYFUNCTION("IMPORTRANGE(""https://docs.google.com/spreadsheets/d/1jTcq05yEiRwXcBMLjiodW9e4biSGYWAHcDj22rKWQ3s/edit?usp=sharing"",""กำแพงเพชร!J374"")"),0)</f>
        <v>0</v>
      </c>
      <c r="AB13" s="73">
        <f ca="1">IFERROR(__xludf.DUMMYFUNCTION("IMPORTRANGE(""https://docs.google.com/spreadsheets/d/1jTcq05yEiRwXcBMLjiodW9e4biSGYWAHcDj22rKWQ3s/edit?usp=sharing"",""กำแพงเพชร!J374"")"),0)</f>
        <v>0</v>
      </c>
      <c r="AC13" s="347">
        <f ca="1">SUM(AC14:AC30)</f>
        <v>86400</v>
      </c>
      <c r="AD13" s="73">
        <f ca="1">IFERROR(__xludf.DUMMYFUNCTION("IMPORTRANGE(""https://docs.google.com/spreadsheets/d/1jTcq05yEiRwXcBMLjiodW9e4biSGYWAHcDj22rKWQ3s/edit?usp=sharing"",""กำแพงเพชร!J374"")"),0)</f>
        <v>0</v>
      </c>
      <c r="AE13" s="73">
        <f ca="1">IFERROR(__xludf.DUMMYFUNCTION("IMPORTRANGE(""https://docs.google.com/spreadsheets/d/1jTcq05yEiRwXcBMLjiodW9e4biSGYWAHcDj22rKWQ3s/edit?usp=sharing"",""กำแพงเพชร!J374"")"),0)</f>
        <v>0</v>
      </c>
    </row>
    <row r="14" spans="1:31" ht="19.5" x14ac:dyDescent="0.3">
      <c r="A14" s="172">
        <v>1</v>
      </c>
      <c r="B14" s="173" t="s">
        <v>40</v>
      </c>
      <c r="C14" s="174">
        <f t="shared" si="23"/>
        <v>0</v>
      </c>
      <c r="D14" s="175">
        <f t="shared" ref="D14:D30" si="35">+E14+F14</f>
        <v>0</v>
      </c>
      <c r="E14" s="403">
        <v>0</v>
      </c>
      <c r="F14" s="403">
        <v>0</v>
      </c>
      <c r="G14" s="219">
        <v>0</v>
      </c>
      <c r="H14" s="219">
        <v>0</v>
      </c>
      <c r="I14" s="219">
        <v>0</v>
      </c>
      <c r="J14" s="177">
        <f t="shared" si="25"/>
        <v>0</v>
      </c>
      <c r="K14" s="178">
        <f t="shared" si="26"/>
        <v>0</v>
      </c>
      <c r="L14" s="219">
        <v>0</v>
      </c>
      <c r="M14" s="87">
        <f t="shared" si="27"/>
        <v>0</v>
      </c>
      <c r="N14" s="87">
        <f t="shared" si="28"/>
        <v>0</v>
      </c>
      <c r="O14" s="403">
        <v>0</v>
      </c>
      <c r="P14" s="86">
        <f t="shared" si="29"/>
        <v>0</v>
      </c>
      <c r="Q14" s="87">
        <f t="shared" si="30"/>
        <v>0</v>
      </c>
      <c r="R14" s="86">
        <f ca="1">IFERROR(__xludf.DUMMYFUNCTION("IMPORTRANGE(""https://docs.google.com/spreadsheets/d/1jTcq05yEiRwXcBMLjiodW9e4biSGYWAHcDj22rKWQ3s/edit?usp=sharing"",""กำแพงเพชร!Q375"")"),625000)</f>
        <v>625000</v>
      </c>
      <c r="S14" s="86">
        <f ca="1">IFERROR(__xludf.DUMMYFUNCTION("IMPORTRANGE(""https://docs.google.com/spreadsheets/d/1jTcq05yEiRwXcBMLjiodW9e4biSGYWAHcDj22rKWQ3s/edit?usp=sharing"",""กำแพงเพชร!R375"")"),0)</f>
        <v>0</v>
      </c>
      <c r="T14" s="86">
        <f ca="1">IFERROR(__xludf.DUMMYFUNCTION("IMPORTRANGE(""https://docs.google.com/spreadsheets/d/1jTcq05yEiRwXcBMLjiodW9e4biSGYWAHcDj22rKWQ3s/edit?usp=sharing"",""กำแพงเพชร!S375"")"),0)</f>
        <v>0</v>
      </c>
      <c r="U14" s="87">
        <f t="shared" ca="1" si="32"/>
        <v>0</v>
      </c>
      <c r="V14" s="87">
        <f t="shared" ca="1" si="33"/>
        <v>0</v>
      </c>
      <c r="W14" s="404">
        <f t="shared" ref="W14:W30" ca="1" si="36">Z14+AC14</f>
        <v>10000</v>
      </c>
      <c r="X14" s="404">
        <f ca="1">IFERROR(__xludf.DUMMYFUNCTION("IMPORTRANGE(""https://docs.google.com/spreadsheets/d/1jTcq05yEiRwXcBMLjiodW9e4biSGYWAHcDj22rKWQ3s/edit?usp=sharing"",""กำแพงเพชร!J374"")"),0)</f>
        <v>0</v>
      </c>
      <c r="Y14" s="405">
        <f t="shared" ca="1" si="13"/>
        <v>0</v>
      </c>
      <c r="Z14" s="404">
        <f ca="1">IFERROR(__xludf.DUMMYFUNCTION("IMPORTRANGE(""https://docs.google.com/spreadsheets/d/1jTcq05yEiRwXcBMLjiodW9e4biSGYWAHcDj22rKWQ3s/edit?usp=sharing"",""กำแพงเพชร!I386"")"),10000)</f>
        <v>10000</v>
      </c>
      <c r="AA14" s="81">
        <f ca="1">IFERROR(__xludf.DUMMYFUNCTION("IMPORTRANGE(""https://docs.google.com/spreadsheets/d/1KS0zmDSZPk8KnTAbGN-Xk6MtX1YRZD0ldgdt20K4CRk/edit?usp=sharing"",""เชียงราย!J374"")"),0)</f>
        <v>0</v>
      </c>
      <c r="AB14" s="81">
        <f ca="1">IFERROR(__xludf.DUMMYFUNCTION("IMPORTRANGE(""https://docs.google.com/spreadsheets/d/1KS0zmDSZPk8KnTAbGN-Xk6MtX1YRZD0ldgdt20K4CRk/edit?usp=sharing"",""เชียงราย!J374"")"),0)</f>
        <v>0</v>
      </c>
      <c r="AC14" s="406">
        <f ca="1">IFERROR(__xludf.DUMMYFUNCTION("IMPORTRANGE(""https://docs.google.com/spreadsheets/d/1jTcq05yEiRwXcBMLjiodW9e4biSGYWAHcDj22rKWQ3s/edit?usp=sharing"",""กำแพงเพชร!I388"")"),0)</f>
        <v>0</v>
      </c>
      <c r="AD14" s="81">
        <f ca="1">IFERROR(__xludf.DUMMYFUNCTION("IMPORTRANGE(""https://docs.google.com/spreadsheets/d/1KS0zmDSZPk8KnTAbGN-Xk6MtX1YRZD0ldgdt20K4CRk/edit?usp=sharing"",""เชียงราย!J374"")"),0)</f>
        <v>0</v>
      </c>
      <c r="AE14" s="81">
        <f ca="1">IFERROR(__xludf.DUMMYFUNCTION("IMPORTRANGE(""https://docs.google.com/spreadsheets/d/1KS0zmDSZPk8KnTAbGN-Xk6MtX1YRZD0ldgdt20K4CRk/edit?usp=sharing"",""เชียงราย!J374"")"),0)</f>
        <v>0</v>
      </c>
    </row>
    <row r="15" spans="1:31" ht="19.5" x14ac:dyDescent="0.3">
      <c r="A15" s="172">
        <v>2</v>
      </c>
      <c r="B15" s="173" t="s">
        <v>41</v>
      </c>
      <c r="C15" s="174">
        <f t="shared" si="23"/>
        <v>0</v>
      </c>
      <c r="D15" s="175">
        <f t="shared" si="35"/>
        <v>0</v>
      </c>
      <c r="E15" s="403">
        <v>0</v>
      </c>
      <c r="F15" s="403">
        <v>0</v>
      </c>
      <c r="G15" s="403">
        <v>0</v>
      </c>
      <c r="H15" s="403">
        <v>0</v>
      </c>
      <c r="I15" s="403">
        <v>0</v>
      </c>
      <c r="J15" s="176">
        <f t="shared" si="25"/>
        <v>0</v>
      </c>
      <c r="K15" s="179">
        <f t="shared" si="26"/>
        <v>0</v>
      </c>
      <c r="L15" s="403">
        <v>0</v>
      </c>
      <c r="M15" s="87">
        <f t="shared" si="27"/>
        <v>0</v>
      </c>
      <c r="N15" s="87">
        <f t="shared" si="28"/>
        <v>0</v>
      </c>
      <c r="O15" s="403">
        <v>0</v>
      </c>
      <c r="P15" s="86">
        <f t="shared" si="29"/>
        <v>0</v>
      </c>
      <c r="Q15" s="87">
        <f t="shared" si="30"/>
        <v>0</v>
      </c>
      <c r="R15" s="86">
        <f ca="1">IFERROR(__xludf.DUMMYFUNCTION("IMPORTRANGE(""https://docs.google.com/spreadsheets/d/1KS0zmDSZPk8KnTAbGN-Xk6MtX1YRZD0ldgdt20K4CRk/edit?usp=sharing"",""เชียงราย!Q375"")"),125000)</f>
        <v>125000</v>
      </c>
      <c r="S15" s="86">
        <f ca="1">IFERROR(__xludf.DUMMYFUNCTION("IMPORTRANGE(""https://docs.google.com/spreadsheets/d/1KS0zmDSZPk8KnTAbGN-Xk6MtX1YRZD0ldgdt20K4CRk/edit?usp=sharing"",""เชียงราย!R375"")"),0)</f>
        <v>0</v>
      </c>
      <c r="T15" s="86">
        <f ca="1">IFERROR(__xludf.DUMMYFUNCTION("IMPORTRANGE(""https://docs.google.com/spreadsheets/d/1KS0zmDSZPk8KnTAbGN-Xk6MtX1YRZD0ldgdt20K4CRk/edit?usp=sharing"",""เชียงราย!S375"")"),0)</f>
        <v>0</v>
      </c>
      <c r="U15" s="87">
        <f t="shared" ca="1" si="32"/>
        <v>0</v>
      </c>
      <c r="V15" s="87">
        <f t="shared" ca="1" si="33"/>
        <v>0</v>
      </c>
      <c r="W15" s="407">
        <f t="shared" ca="1" si="36"/>
        <v>2000</v>
      </c>
      <c r="X15" s="407">
        <f ca="1">IFERROR(__xludf.DUMMYFUNCTION("IMPORTRANGE(""https://docs.google.com/spreadsheets/d/1KS0zmDSZPk8KnTAbGN-Xk6MtX1YRZD0ldgdt20K4CRk/edit?usp=sharing"",""เชียงราย!J374"")"),0)</f>
        <v>0</v>
      </c>
      <c r="Y15" s="408">
        <f t="shared" ca="1" si="13"/>
        <v>0</v>
      </c>
      <c r="Z15" s="407">
        <f ca="1">IFERROR(__xludf.DUMMYFUNCTION("IMPORTRANGE(""https://docs.google.com/spreadsheets/d/1KS0zmDSZPk8KnTAbGN-Xk6MtX1YRZD0ldgdt20K4CRk/edit?usp=sharing"",""เชียงราย!I386"")"),2000)</f>
        <v>2000</v>
      </c>
      <c r="AA15" s="99">
        <f ca="1">IFERROR(__xludf.DUMMYFUNCTION("IMPORTRANGE(""https://docs.google.com/spreadsheets/d/1rEDxBtusbi64tE0zunoIbsTVV16HeL0oJ6trHQeQ7K8/edit?usp=sharing"",""เชียงใหม่!J374"")"),0)</f>
        <v>0</v>
      </c>
      <c r="AB15" s="99">
        <f ca="1">IFERROR(__xludf.DUMMYFUNCTION("IMPORTRANGE(""https://docs.google.com/spreadsheets/d/1rEDxBtusbi64tE0zunoIbsTVV16HeL0oJ6trHQeQ7K8/edit?usp=sharing"",""เชียงใหม่!J374"")"),0)</f>
        <v>0</v>
      </c>
      <c r="AC15" s="353">
        <f ca="1">IFERROR(__xludf.DUMMYFUNCTION("IMPORTRANGE(""https://docs.google.com/spreadsheets/d/1KS0zmDSZPk8KnTAbGN-Xk6MtX1YRZD0ldgdt20K4CRk/edit?usp=sharing"",""เชียงราย!I388"")"),0)</f>
        <v>0</v>
      </c>
      <c r="AD15" s="99">
        <f ca="1">IFERROR(__xludf.DUMMYFUNCTION("IMPORTRANGE(""https://docs.google.com/spreadsheets/d/1rEDxBtusbi64tE0zunoIbsTVV16HeL0oJ6trHQeQ7K8/edit?usp=sharing"",""เชียงใหม่!J374"")"),0)</f>
        <v>0</v>
      </c>
      <c r="AE15" s="99">
        <f ca="1">IFERROR(__xludf.DUMMYFUNCTION("IMPORTRANGE(""https://docs.google.com/spreadsheets/d/1rEDxBtusbi64tE0zunoIbsTVV16HeL0oJ6trHQeQ7K8/edit?usp=sharing"",""เชียงใหม่!J374"")"),0)</f>
        <v>0</v>
      </c>
    </row>
    <row r="16" spans="1:31" ht="19.5" x14ac:dyDescent="0.3">
      <c r="A16" s="172">
        <v>3</v>
      </c>
      <c r="B16" s="173" t="s">
        <v>42</v>
      </c>
      <c r="C16" s="174">
        <f t="shared" si="23"/>
        <v>0</v>
      </c>
      <c r="D16" s="175">
        <f t="shared" si="35"/>
        <v>0</v>
      </c>
      <c r="E16" s="403">
        <v>0</v>
      </c>
      <c r="F16" s="403">
        <v>0</v>
      </c>
      <c r="G16" s="403">
        <v>0</v>
      </c>
      <c r="H16" s="403">
        <v>0</v>
      </c>
      <c r="I16" s="403">
        <v>0</v>
      </c>
      <c r="J16" s="176">
        <f t="shared" si="25"/>
        <v>0</v>
      </c>
      <c r="K16" s="179">
        <f t="shared" si="26"/>
        <v>0</v>
      </c>
      <c r="L16" s="403">
        <v>0</v>
      </c>
      <c r="M16" s="87">
        <f t="shared" si="27"/>
        <v>0</v>
      </c>
      <c r="N16" s="87">
        <f t="shared" si="28"/>
        <v>0</v>
      </c>
      <c r="O16" s="403">
        <v>0</v>
      </c>
      <c r="P16" s="86">
        <f t="shared" si="29"/>
        <v>0</v>
      </c>
      <c r="Q16" s="87">
        <f t="shared" si="30"/>
        <v>0</v>
      </c>
      <c r="R16" s="86">
        <f ca="1">IFERROR(__xludf.DUMMYFUNCTION("IMPORTRANGE(""https://docs.google.com/spreadsheets/d/1rEDxBtusbi64tE0zunoIbsTVV16HeL0oJ6trHQeQ7K8/edit?usp=sharing"",""เชียงใหม่!Q375"")"),125000)</f>
        <v>125000</v>
      </c>
      <c r="S16" s="86">
        <f ca="1">IFERROR(__xludf.DUMMYFUNCTION("IMPORTRANGE(""https://docs.google.com/spreadsheets/d/1rEDxBtusbi64tE0zunoIbsTVV16HeL0oJ6trHQeQ7K8/edit?usp=sharing"",""เชียงใหม่!R375"")"),0)</f>
        <v>0</v>
      </c>
      <c r="T16" s="86">
        <f ca="1">IFERROR(__xludf.DUMMYFUNCTION("IMPORTRANGE(""https://docs.google.com/spreadsheets/d/1rEDxBtusbi64tE0zunoIbsTVV16HeL0oJ6trHQeQ7K8/edit?usp=sharing"",""เชียงใหม่!S375"")"),0)</f>
        <v>0</v>
      </c>
      <c r="U16" s="87">
        <f t="shared" ca="1" si="32"/>
        <v>0</v>
      </c>
      <c r="V16" s="87">
        <f t="shared" ca="1" si="33"/>
        <v>0</v>
      </c>
      <c r="W16" s="404">
        <f t="shared" ca="1" si="36"/>
        <v>2000</v>
      </c>
      <c r="X16" s="404">
        <f ca="1">IFERROR(__xludf.DUMMYFUNCTION("IMPORTRANGE(""https://docs.google.com/spreadsheets/d/1rEDxBtusbi64tE0zunoIbsTVV16HeL0oJ6trHQeQ7K8/edit?usp=sharing"",""เชียงใหม่!J374"")"),0)</f>
        <v>0</v>
      </c>
      <c r="Y16" s="405">
        <f t="shared" ca="1" si="13"/>
        <v>0</v>
      </c>
      <c r="Z16" s="404">
        <f ca="1">IFERROR(__xludf.DUMMYFUNCTION("IMPORTRANGE(""https://docs.google.com/spreadsheets/d/1rEDxBtusbi64tE0zunoIbsTVV16HeL0oJ6trHQeQ7K8/edit?usp=sharing"",""เชียงใหม่!I386"")"),2000)</f>
        <v>2000</v>
      </c>
      <c r="AA16" s="93">
        <f ca="1">IFERROR(__xludf.DUMMYFUNCTION("IMPORTRANGE(""https://docs.google.com/spreadsheets/d/1W6MnUbDkMi6xHnHko_XkFDO9kkuL6Wqyc-6OCDFjW9I/edit?usp=sharing"",""ตาก!J374"")"),0)</f>
        <v>0</v>
      </c>
      <c r="AB16" s="93">
        <f ca="1">IFERROR(__xludf.DUMMYFUNCTION("IMPORTRANGE(""https://docs.google.com/spreadsheets/d/1W6MnUbDkMi6xHnHko_XkFDO9kkuL6Wqyc-6OCDFjW9I/edit?usp=sharing"",""ตาก!J374"")"),0)</f>
        <v>0</v>
      </c>
      <c r="AC16" s="406">
        <f ca="1">IFERROR(__xludf.DUMMYFUNCTION("IMPORTRANGE(""https://docs.google.com/spreadsheets/d/1rEDxBtusbi64tE0zunoIbsTVV16HeL0oJ6trHQeQ7K8/edit?usp=sharing"",""เชียงใหม่!I388"")"),0)</f>
        <v>0</v>
      </c>
      <c r="AD16" s="93">
        <f ca="1">IFERROR(__xludf.DUMMYFUNCTION("IMPORTRANGE(""https://docs.google.com/spreadsheets/d/1W6MnUbDkMi6xHnHko_XkFDO9kkuL6Wqyc-6OCDFjW9I/edit?usp=sharing"",""ตาก!J374"")"),0)</f>
        <v>0</v>
      </c>
      <c r="AE16" s="93">
        <f ca="1">IFERROR(__xludf.DUMMYFUNCTION("IMPORTRANGE(""https://docs.google.com/spreadsheets/d/1W6MnUbDkMi6xHnHko_XkFDO9kkuL6Wqyc-6OCDFjW9I/edit?usp=sharing"",""ตาก!J374"")"),0)</f>
        <v>0</v>
      </c>
    </row>
    <row r="17" spans="1:31" ht="19.5" x14ac:dyDescent="0.3">
      <c r="A17" s="172">
        <v>4</v>
      </c>
      <c r="B17" s="173" t="s">
        <v>43</v>
      </c>
      <c r="C17" s="174">
        <f t="shared" si="23"/>
        <v>0</v>
      </c>
      <c r="D17" s="175">
        <f t="shared" si="35"/>
        <v>0</v>
      </c>
      <c r="E17" s="403">
        <v>0</v>
      </c>
      <c r="F17" s="403">
        <v>0</v>
      </c>
      <c r="G17" s="403">
        <v>0</v>
      </c>
      <c r="H17" s="403">
        <v>0</v>
      </c>
      <c r="I17" s="403">
        <v>0</v>
      </c>
      <c r="J17" s="176">
        <f t="shared" si="25"/>
        <v>0</v>
      </c>
      <c r="K17" s="179">
        <f t="shared" si="26"/>
        <v>0</v>
      </c>
      <c r="L17" s="403">
        <v>0</v>
      </c>
      <c r="M17" s="87">
        <f t="shared" si="27"/>
        <v>0</v>
      </c>
      <c r="N17" s="87">
        <f t="shared" si="28"/>
        <v>0</v>
      </c>
      <c r="O17" s="403">
        <v>0</v>
      </c>
      <c r="P17" s="86">
        <f t="shared" si="29"/>
        <v>0</v>
      </c>
      <c r="Q17" s="87">
        <f t="shared" si="30"/>
        <v>0</v>
      </c>
      <c r="R17" s="86">
        <f ca="1">IFERROR(__xludf.DUMMYFUNCTION("IMPORTRANGE(""https://docs.google.com/spreadsheets/d/1W6MnUbDkMi6xHnHko_XkFDO9kkuL6Wqyc-6OCDFjW9I/edit?usp=sharing"",""ตาก!Q375"")"),62500)</f>
        <v>62500</v>
      </c>
      <c r="S17" s="86">
        <f ca="1">IFERROR(__xludf.DUMMYFUNCTION("IMPORTRANGE(""https://docs.google.com/spreadsheets/d/1W6MnUbDkMi6xHnHko_XkFDO9kkuL6Wqyc-6OCDFjW9I/edit?usp=sharing"",""ตาก!R375"")"),0)</f>
        <v>0</v>
      </c>
      <c r="T17" s="86">
        <f ca="1">IFERROR(__xludf.DUMMYFUNCTION("IMPORTRANGE(""https://docs.google.com/spreadsheets/d/1W6MnUbDkMi6xHnHko_XkFDO9kkuL6Wqyc-6OCDFjW9I/edit?usp=sharing"",""ตาก!S375"")"),0)</f>
        <v>0</v>
      </c>
      <c r="U17" s="87">
        <f t="shared" ca="1" si="32"/>
        <v>0</v>
      </c>
      <c r="V17" s="87">
        <f t="shared" ca="1" si="33"/>
        <v>0</v>
      </c>
      <c r="W17" s="404">
        <f t="shared" ca="1" si="36"/>
        <v>1000</v>
      </c>
      <c r="X17" s="404">
        <f ca="1">IFERROR(__xludf.DUMMYFUNCTION("IMPORTRANGE(""https://docs.google.com/spreadsheets/d/1W6MnUbDkMi6xHnHko_XkFDO9kkuL6Wqyc-6OCDFjW9I/edit?usp=sharing"",""ตาก!J374"")"),0)</f>
        <v>0</v>
      </c>
      <c r="Y17" s="405">
        <f t="shared" ca="1" si="13"/>
        <v>0</v>
      </c>
      <c r="Z17" s="404">
        <f ca="1">IFERROR(__xludf.DUMMYFUNCTION("IMPORTRANGE(""https://docs.google.com/spreadsheets/d/1W6MnUbDkMi6xHnHko_XkFDO9kkuL6Wqyc-6OCDFjW9I/edit?usp=sharing"",""ตาก!I386"")"),1000)</f>
        <v>1000</v>
      </c>
      <c r="AA17" s="93">
        <f ca="1">IFERROR(__xludf.DUMMYFUNCTION("IMPORTRANGE(""https://docs.google.com/spreadsheets/d/1IQAWArduLkta9LpYo4a_ULsyqdta6-6aDDiwpUnQT6c/edit?usp=sharing"",""นครสวรรค์!J374"")"),0)</f>
        <v>0</v>
      </c>
      <c r="AB17" s="93">
        <f ca="1">IFERROR(__xludf.DUMMYFUNCTION("IMPORTRANGE(""https://docs.google.com/spreadsheets/d/1IQAWArduLkta9LpYo4a_ULsyqdta6-6aDDiwpUnQT6c/edit?usp=sharing"",""นครสวรรค์!J374"")"),0)</f>
        <v>0</v>
      </c>
      <c r="AC17" s="406">
        <f ca="1">IFERROR(__xludf.DUMMYFUNCTION("IMPORTRANGE(""https://docs.google.com/spreadsheets/d/1W6MnUbDkMi6xHnHko_XkFDO9kkuL6Wqyc-6OCDFjW9I/edit?usp=sharing"",""ตาก!I388"")"),0)</f>
        <v>0</v>
      </c>
      <c r="AD17" s="93">
        <f ca="1">IFERROR(__xludf.DUMMYFUNCTION("IMPORTRANGE(""https://docs.google.com/spreadsheets/d/1IQAWArduLkta9LpYo4a_ULsyqdta6-6aDDiwpUnQT6c/edit?usp=sharing"",""นครสวรรค์!J374"")"),0)</f>
        <v>0</v>
      </c>
      <c r="AE17" s="93">
        <f ca="1">IFERROR(__xludf.DUMMYFUNCTION("IMPORTRANGE(""https://docs.google.com/spreadsheets/d/1IQAWArduLkta9LpYo4a_ULsyqdta6-6aDDiwpUnQT6c/edit?usp=sharing"",""นครสวรรค์!J374"")"),0)</f>
        <v>0</v>
      </c>
    </row>
    <row r="18" spans="1:31" ht="19.5" x14ac:dyDescent="0.3">
      <c r="A18" s="172">
        <v>5</v>
      </c>
      <c r="B18" s="173" t="s">
        <v>44</v>
      </c>
      <c r="C18" s="174">
        <f t="shared" si="23"/>
        <v>0</v>
      </c>
      <c r="D18" s="175">
        <f t="shared" si="35"/>
        <v>0</v>
      </c>
      <c r="E18" s="403">
        <v>0</v>
      </c>
      <c r="F18" s="403">
        <v>0</v>
      </c>
      <c r="G18" s="403">
        <v>0</v>
      </c>
      <c r="H18" s="403">
        <v>0</v>
      </c>
      <c r="I18" s="403">
        <v>0</v>
      </c>
      <c r="J18" s="176">
        <f t="shared" si="25"/>
        <v>0</v>
      </c>
      <c r="K18" s="179">
        <f t="shared" si="26"/>
        <v>0</v>
      </c>
      <c r="L18" s="403">
        <v>0</v>
      </c>
      <c r="M18" s="87">
        <f t="shared" si="27"/>
        <v>0</v>
      </c>
      <c r="N18" s="87">
        <f t="shared" si="28"/>
        <v>0</v>
      </c>
      <c r="O18" s="403">
        <v>0</v>
      </c>
      <c r="P18" s="86">
        <f t="shared" si="29"/>
        <v>0</v>
      </c>
      <c r="Q18" s="87">
        <f t="shared" si="30"/>
        <v>0</v>
      </c>
      <c r="R18" s="86">
        <f ca="1">IFERROR(__xludf.DUMMYFUNCTION("IMPORTRANGE(""https://docs.google.com/spreadsheets/d/1IQAWArduLkta9LpYo4a_ULsyqdta6-6aDDiwpUnQT6c/edit?usp=sharing"",""นครสวรรค์!Q375"")"),125000)</f>
        <v>125000</v>
      </c>
      <c r="S18" s="86">
        <f ca="1">IFERROR(__xludf.DUMMYFUNCTION("IMPORTRANGE(""https://docs.google.com/spreadsheets/d/1IQAWArduLkta9LpYo4a_ULsyqdta6-6aDDiwpUnQT6c/edit?usp=sharing"",""นครสวรรค์!R375"")"),0)</f>
        <v>0</v>
      </c>
      <c r="T18" s="86">
        <f ca="1">IFERROR(__xludf.DUMMYFUNCTION("IMPORTRANGE(""https://docs.google.com/spreadsheets/d/1IQAWArduLkta9LpYo4a_ULsyqdta6-6aDDiwpUnQT6c/edit?usp=sharing"",""นครสวรรค์!S375"")"),0)</f>
        <v>0</v>
      </c>
      <c r="U18" s="87">
        <f t="shared" ca="1" si="32"/>
        <v>0</v>
      </c>
      <c r="V18" s="87">
        <f t="shared" ca="1" si="33"/>
        <v>0</v>
      </c>
      <c r="W18" s="404">
        <f t="shared" ca="1" si="36"/>
        <v>2000</v>
      </c>
      <c r="X18" s="404">
        <f ca="1">IFERROR(__xludf.DUMMYFUNCTION("IMPORTRANGE(""https://docs.google.com/spreadsheets/d/1IQAWArduLkta9LpYo4a_ULsyqdta6-6aDDiwpUnQT6c/edit?usp=sharing"",""นครสวรรค์!J374"")"),0)</f>
        <v>0</v>
      </c>
      <c r="Y18" s="405">
        <f t="shared" ca="1" si="13"/>
        <v>0</v>
      </c>
      <c r="Z18" s="404">
        <f ca="1">IFERROR(__xludf.DUMMYFUNCTION("IMPORTRANGE(""https://docs.google.com/spreadsheets/d/1IQAWArduLkta9LpYo4a_ULsyqdta6-6aDDiwpUnQT6c/edit?usp=sharing"",""นครสวรรค์!I386"")"),2000)</f>
        <v>2000</v>
      </c>
      <c r="AA18" s="93">
        <f ca="1">IFERROR(__xludf.DUMMYFUNCTION("IMPORTRANGE(""https://docs.google.com/spreadsheets/d/10s13Sk5xrltsiR-Zkbmk5DwIaDIKO8XlbJAfqyT7Gvg/edit?usp=sharing"",""น่าน!J374"")"),0)</f>
        <v>0</v>
      </c>
      <c r="AB18" s="93">
        <f ca="1">IFERROR(__xludf.DUMMYFUNCTION("IMPORTRANGE(""https://docs.google.com/spreadsheets/d/10s13Sk5xrltsiR-Zkbmk5DwIaDIKO8XlbJAfqyT7Gvg/edit?usp=sharing"",""น่าน!J374"")"),0)</f>
        <v>0</v>
      </c>
      <c r="AC18" s="406">
        <f ca="1">IFERROR(__xludf.DUMMYFUNCTION("IMPORTRANGE(""https://docs.google.com/spreadsheets/d/1IQAWArduLkta9LpYo4a_ULsyqdta6-6aDDiwpUnQT6c/edit?usp=sharing"",""นครสวรรค์!I388"")"),0)</f>
        <v>0</v>
      </c>
      <c r="AD18" s="93">
        <f ca="1">IFERROR(__xludf.DUMMYFUNCTION("IMPORTRANGE(""https://docs.google.com/spreadsheets/d/10s13Sk5xrltsiR-Zkbmk5DwIaDIKO8XlbJAfqyT7Gvg/edit?usp=sharing"",""น่าน!J374"")"),0)</f>
        <v>0</v>
      </c>
      <c r="AE18" s="93">
        <f ca="1">IFERROR(__xludf.DUMMYFUNCTION("IMPORTRANGE(""https://docs.google.com/spreadsheets/d/10s13Sk5xrltsiR-Zkbmk5DwIaDIKO8XlbJAfqyT7Gvg/edit?usp=sharing"",""น่าน!J374"")"),0)</f>
        <v>0</v>
      </c>
    </row>
    <row r="19" spans="1:31" ht="19.5" x14ac:dyDescent="0.3">
      <c r="A19" s="172">
        <v>6</v>
      </c>
      <c r="B19" s="173" t="s">
        <v>45</v>
      </c>
      <c r="C19" s="174">
        <f t="shared" si="23"/>
        <v>0</v>
      </c>
      <c r="D19" s="175">
        <f t="shared" si="35"/>
        <v>0</v>
      </c>
      <c r="E19" s="403">
        <v>0</v>
      </c>
      <c r="F19" s="403">
        <v>0</v>
      </c>
      <c r="G19" s="403">
        <v>0</v>
      </c>
      <c r="H19" s="403">
        <v>0</v>
      </c>
      <c r="I19" s="403">
        <v>0</v>
      </c>
      <c r="J19" s="176">
        <f t="shared" si="25"/>
        <v>0</v>
      </c>
      <c r="K19" s="179">
        <f t="shared" si="26"/>
        <v>0</v>
      </c>
      <c r="L19" s="403">
        <v>0</v>
      </c>
      <c r="M19" s="87">
        <f t="shared" si="27"/>
        <v>0</v>
      </c>
      <c r="N19" s="87">
        <f t="shared" si="28"/>
        <v>0</v>
      </c>
      <c r="O19" s="403">
        <v>0</v>
      </c>
      <c r="P19" s="86">
        <f t="shared" si="29"/>
        <v>0</v>
      </c>
      <c r="Q19" s="87">
        <f t="shared" si="30"/>
        <v>0</v>
      </c>
      <c r="R19" s="86">
        <f ca="1">IFERROR(__xludf.DUMMYFUNCTION("IMPORTRANGE(""https://docs.google.com/spreadsheets/d/10s13Sk5xrltsiR-Zkbmk5DwIaDIKO8XlbJAfqyT7Gvg/edit?usp=sharing"",""น่าน!Q375"")"),62500)</f>
        <v>62500</v>
      </c>
      <c r="S19" s="86">
        <f ca="1">IFERROR(__xludf.DUMMYFUNCTION("IMPORTRANGE(""https://docs.google.com/spreadsheets/d/10s13Sk5xrltsiR-Zkbmk5DwIaDIKO8XlbJAfqyT7Gvg/edit?usp=sharing"",""น่าน!R375"")"),0)</f>
        <v>0</v>
      </c>
      <c r="T19" s="86">
        <f ca="1">IFERROR(__xludf.DUMMYFUNCTION("IMPORTRANGE(""https://docs.google.com/spreadsheets/d/10s13Sk5xrltsiR-Zkbmk5DwIaDIKO8XlbJAfqyT7Gvg/edit?usp=sharing"",""น่าน!S375"")"),0)</f>
        <v>0</v>
      </c>
      <c r="U19" s="87">
        <f t="shared" ca="1" si="32"/>
        <v>0</v>
      </c>
      <c r="V19" s="87">
        <f t="shared" ca="1" si="33"/>
        <v>0</v>
      </c>
      <c r="W19" s="404">
        <f t="shared" ca="1" si="36"/>
        <v>1000</v>
      </c>
      <c r="X19" s="404">
        <f ca="1">IFERROR(__xludf.DUMMYFUNCTION("IMPORTRANGE(""https://docs.google.com/spreadsheets/d/10s13Sk5xrltsiR-Zkbmk5DwIaDIKO8XlbJAfqyT7Gvg/edit?usp=sharing"",""น่าน!J374"")"),0)</f>
        <v>0</v>
      </c>
      <c r="Y19" s="405">
        <f t="shared" ca="1" si="13"/>
        <v>0</v>
      </c>
      <c r="Z19" s="404">
        <f ca="1">IFERROR(__xludf.DUMMYFUNCTION("IMPORTRANGE(""https://docs.google.com/spreadsheets/d/10s13Sk5xrltsiR-Zkbmk5DwIaDIKO8XlbJAfqyT7Gvg/edit?usp=sharing"",""น่าน!I386"")"),1000)</f>
        <v>1000</v>
      </c>
      <c r="AA19" s="93">
        <f ca="1">IFERROR(__xludf.DUMMYFUNCTION("IMPORTRANGE(""https://docs.google.com/spreadsheets/d/1uu4nAn4Dbi1XREnLKKotUANlKXa7yCgRcgq8HEzQYW8/edit?usp=sharing"",""พะเยา!J374"")"),0)</f>
        <v>0</v>
      </c>
      <c r="AB19" s="93">
        <f ca="1">IFERROR(__xludf.DUMMYFUNCTION("IMPORTRANGE(""https://docs.google.com/spreadsheets/d/1uu4nAn4Dbi1XREnLKKotUANlKXa7yCgRcgq8HEzQYW8/edit?usp=sharing"",""พะเยา!J374"")"),0)</f>
        <v>0</v>
      </c>
      <c r="AC19" s="406">
        <f ca="1">IFERROR(__xludf.DUMMYFUNCTION("IMPORTRANGE(""https://docs.google.com/spreadsheets/d/10s13Sk5xrltsiR-Zkbmk5DwIaDIKO8XlbJAfqyT7Gvg/edit?usp=sharing"",""น่าน!I388"")"),0)</f>
        <v>0</v>
      </c>
      <c r="AD19" s="93">
        <f ca="1">IFERROR(__xludf.DUMMYFUNCTION("IMPORTRANGE(""https://docs.google.com/spreadsheets/d/1uu4nAn4Dbi1XREnLKKotUANlKXa7yCgRcgq8HEzQYW8/edit?usp=sharing"",""พะเยา!J374"")"),0)</f>
        <v>0</v>
      </c>
      <c r="AE19" s="93">
        <f ca="1">IFERROR(__xludf.DUMMYFUNCTION("IMPORTRANGE(""https://docs.google.com/spreadsheets/d/1uu4nAn4Dbi1XREnLKKotUANlKXa7yCgRcgq8HEzQYW8/edit?usp=sharing"",""พะเยา!J374"")"),0)</f>
        <v>0</v>
      </c>
    </row>
    <row r="20" spans="1:31" ht="19.5" x14ac:dyDescent="0.3">
      <c r="A20" s="172">
        <v>7</v>
      </c>
      <c r="B20" s="173" t="s">
        <v>46</v>
      </c>
      <c r="C20" s="174">
        <f t="shared" si="23"/>
        <v>0</v>
      </c>
      <c r="D20" s="175">
        <f t="shared" si="35"/>
        <v>0</v>
      </c>
      <c r="E20" s="403">
        <v>0</v>
      </c>
      <c r="F20" s="403">
        <v>0</v>
      </c>
      <c r="G20" s="403">
        <v>0</v>
      </c>
      <c r="H20" s="403">
        <v>0</v>
      </c>
      <c r="I20" s="403">
        <v>0</v>
      </c>
      <c r="J20" s="176">
        <f t="shared" si="25"/>
        <v>0</v>
      </c>
      <c r="K20" s="179">
        <f t="shared" si="26"/>
        <v>0</v>
      </c>
      <c r="L20" s="403">
        <v>0</v>
      </c>
      <c r="M20" s="87">
        <f t="shared" si="27"/>
        <v>0</v>
      </c>
      <c r="N20" s="87">
        <f t="shared" si="28"/>
        <v>0</v>
      </c>
      <c r="O20" s="403">
        <v>0</v>
      </c>
      <c r="P20" s="86">
        <f t="shared" si="29"/>
        <v>0</v>
      </c>
      <c r="Q20" s="87">
        <f t="shared" si="30"/>
        <v>0</v>
      </c>
      <c r="R20" s="86">
        <f ca="1">IFERROR(__xludf.DUMMYFUNCTION("IMPORTRANGE(""https://docs.google.com/spreadsheets/d/1uu4nAn4Dbi1XREnLKKotUANlKXa7yCgRcgq8HEzQYW8/edit?usp=sharing"",""พะเยา!Q375"")"),125000)</f>
        <v>125000</v>
      </c>
      <c r="S20" s="86">
        <f ca="1">IFERROR(__xludf.DUMMYFUNCTION("IMPORTRANGE(""https://docs.google.com/spreadsheets/d/1uu4nAn4Dbi1XREnLKKotUANlKXa7yCgRcgq8HEzQYW8/edit?usp=sharing"",""พะเยา!R375"")"),0)</f>
        <v>0</v>
      </c>
      <c r="T20" s="86">
        <f ca="1">IFERROR(__xludf.DUMMYFUNCTION("IMPORTRANGE(""https://docs.google.com/spreadsheets/d/1uu4nAn4Dbi1XREnLKKotUANlKXa7yCgRcgq8HEzQYW8/edit?usp=sharing"",""พะเยา!S375"")"),0)</f>
        <v>0</v>
      </c>
      <c r="U20" s="87">
        <f t="shared" ca="1" si="32"/>
        <v>0</v>
      </c>
      <c r="V20" s="87">
        <f t="shared" ca="1" si="33"/>
        <v>0</v>
      </c>
      <c r="W20" s="404">
        <f t="shared" ca="1" si="36"/>
        <v>88400</v>
      </c>
      <c r="X20" s="404">
        <f ca="1">IFERROR(__xludf.DUMMYFUNCTION("IMPORTRANGE(""https://docs.google.com/spreadsheets/d/1uu4nAn4Dbi1XREnLKKotUANlKXa7yCgRcgq8HEzQYW8/edit?usp=sharing"",""พะเยา!J374"")"),0)</f>
        <v>0</v>
      </c>
      <c r="Y20" s="405">
        <f t="shared" ca="1" si="13"/>
        <v>0</v>
      </c>
      <c r="Z20" s="404">
        <f ca="1">IFERROR(__xludf.DUMMYFUNCTION("IMPORTRANGE(""https://docs.google.com/spreadsheets/d/1uu4nAn4Dbi1XREnLKKotUANlKXa7yCgRcgq8HEzQYW8/edit?usp=sharing"",""พะเยา!I386"")"),2000)</f>
        <v>2000</v>
      </c>
      <c r="AA20" s="93">
        <f ca="1">IFERROR(__xludf.DUMMYFUNCTION("IMPORTRANGE(""https://docs.google.com/spreadsheets/d/1xfJKIQxVOaPDIICqsflNlLu3JacTDk1FP9RH4phX7mI/edit?usp=sharing"",""พิจิตร!J374"")"),0)</f>
        <v>0</v>
      </c>
      <c r="AB20" s="93">
        <f ca="1">IFERROR(__xludf.DUMMYFUNCTION("IMPORTRANGE(""https://docs.google.com/spreadsheets/d/1xfJKIQxVOaPDIICqsflNlLu3JacTDk1FP9RH4phX7mI/edit?usp=sharing"",""พิจิตร!J374"")"),0)</f>
        <v>0</v>
      </c>
      <c r="AC20" s="406">
        <f ca="1">IFERROR(__xludf.DUMMYFUNCTION("IMPORTRANGE(""https://docs.google.com/spreadsheets/d/1uu4nAn4Dbi1XREnLKKotUANlKXa7yCgRcgq8HEzQYW8/edit?usp=sharing"",""พะเยา!I388"")"),86400)</f>
        <v>86400</v>
      </c>
      <c r="AD20" s="93">
        <f ca="1">IFERROR(__xludf.DUMMYFUNCTION("IMPORTRANGE(""https://docs.google.com/spreadsheets/d/1xfJKIQxVOaPDIICqsflNlLu3JacTDk1FP9RH4phX7mI/edit?usp=sharing"",""พิจิตร!J374"")"),0)</f>
        <v>0</v>
      </c>
      <c r="AE20" s="93">
        <f ca="1">IFERROR(__xludf.DUMMYFUNCTION("IMPORTRANGE(""https://docs.google.com/spreadsheets/d/1xfJKIQxVOaPDIICqsflNlLu3JacTDk1FP9RH4phX7mI/edit?usp=sharing"",""พิจิตร!J374"")"),0)</f>
        <v>0</v>
      </c>
    </row>
    <row r="21" spans="1:31" ht="19.5" x14ac:dyDescent="0.3">
      <c r="A21" s="172">
        <v>8</v>
      </c>
      <c r="B21" s="173" t="s">
        <v>47</v>
      </c>
      <c r="C21" s="174">
        <f t="shared" si="23"/>
        <v>0</v>
      </c>
      <c r="D21" s="175">
        <f t="shared" si="35"/>
        <v>0</v>
      </c>
      <c r="E21" s="403">
        <v>0</v>
      </c>
      <c r="F21" s="403">
        <v>0</v>
      </c>
      <c r="G21" s="403">
        <v>0</v>
      </c>
      <c r="H21" s="403">
        <v>0</v>
      </c>
      <c r="I21" s="403">
        <v>0</v>
      </c>
      <c r="J21" s="176">
        <f t="shared" si="25"/>
        <v>0</v>
      </c>
      <c r="K21" s="179">
        <f t="shared" si="26"/>
        <v>0</v>
      </c>
      <c r="L21" s="403">
        <v>0</v>
      </c>
      <c r="M21" s="87">
        <f t="shared" si="27"/>
        <v>0</v>
      </c>
      <c r="N21" s="87">
        <f t="shared" si="28"/>
        <v>0</v>
      </c>
      <c r="O21" s="403">
        <v>0</v>
      </c>
      <c r="P21" s="86">
        <f t="shared" si="29"/>
        <v>0</v>
      </c>
      <c r="Q21" s="87">
        <f t="shared" si="30"/>
        <v>0</v>
      </c>
      <c r="R21" s="86">
        <f ca="1">IFERROR(__xludf.DUMMYFUNCTION("IMPORTRANGE(""https://docs.google.com/spreadsheets/d/1xfJKIQxVOaPDIICqsflNlLu3JacTDk1FP9RH4phX7mI/edit?usp=sharing"",""พิจิตร!Q375"")"),187500)</f>
        <v>187500</v>
      </c>
      <c r="S21" s="86">
        <f ca="1">IFERROR(__xludf.DUMMYFUNCTION("IMPORTRANGE(""https://docs.google.com/spreadsheets/d/1xfJKIQxVOaPDIICqsflNlLu3JacTDk1FP9RH4phX7mI/edit?usp=sharing"",""พิจิตร!R375"")"),0)</f>
        <v>0</v>
      </c>
      <c r="T21" s="86">
        <f ca="1">IFERROR(__xludf.DUMMYFUNCTION("IMPORTRANGE(""https://docs.google.com/spreadsheets/d/1xfJKIQxVOaPDIICqsflNlLu3JacTDk1FP9RH4phX7mI/edit?usp=sharing"",""พิจิตร!S375"")"),0)</f>
        <v>0</v>
      </c>
      <c r="U21" s="87">
        <f t="shared" ca="1" si="32"/>
        <v>0</v>
      </c>
      <c r="V21" s="87">
        <f t="shared" ca="1" si="33"/>
        <v>0</v>
      </c>
      <c r="W21" s="404">
        <f t="shared" ca="1" si="36"/>
        <v>3000</v>
      </c>
      <c r="X21" s="404">
        <f ca="1">IFERROR(__xludf.DUMMYFUNCTION("IMPORTRANGE(""https://docs.google.com/spreadsheets/d/1xfJKIQxVOaPDIICqsflNlLu3JacTDk1FP9RH4phX7mI/edit?usp=sharing"",""พิจิตร!J374"")"),0)</f>
        <v>0</v>
      </c>
      <c r="Y21" s="405">
        <f t="shared" ca="1" si="13"/>
        <v>0</v>
      </c>
      <c r="Z21" s="404">
        <f ca="1">IFERROR(__xludf.DUMMYFUNCTION("IMPORTRANGE(""https://docs.google.com/spreadsheets/d/1xfJKIQxVOaPDIICqsflNlLu3JacTDk1FP9RH4phX7mI/edit?usp=sharing"",""พิจิตร!I386"")"),3000)</f>
        <v>3000</v>
      </c>
      <c r="AA21" s="93">
        <f ca="1">IFERROR(__xludf.DUMMYFUNCTION("IMPORTRANGE(""https://docs.google.com/spreadsheets/d/1JtRfZkJMHtEhI5RdRHxYUG4FIZHqKDpNyIuN7A1Q0_k/edit?usp=sharing"",""พิษณุโลก!J374"")"),0)</f>
        <v>0</v>
      </c>
      <c r="AB21" s="93">
        <f ca="1">IFERROR(__xludf.DUMMYFUNCTION("IMPORTRANGE(""https://docs.google.com/spreadsheets/d/1JtRfZkJMHtEhI5RdRHxYUG4FIZHqKDpNyIuN7A1Q0_k/edit?usp=sharing"",""พิษณุโลก!J374"")"),0)</f>
        <v>0</v>
      </c>
      <c r="AC21" s="406">
        <f ca="1">IFERROR(__xludf.DUMMYFUNCTION("IMPORTRANGE(""https://docs.google.com/spreadsheets/d/1xfJKIQxVOaPDIICqsflNlLu3JacTDk1FP9RH4phX7mI/edit?usp=sharing"",""พิจิตร!I388"")"),0)</f>
        <v>0</v>
      </c>
      <c r="AD21" s="93">
        <f ca="1">IFERROR(__xludf.DUMMYFUNCTION("IMPORTRANGE(""https://docs.google.com/spreadsheets/d/1JtRfZkJMHtEhI5RdRHxYUG4FIZHqKDpNyIuN7A1Q0_k/edit?usp=sharing"",""พิษณุโลก!J374"")"),0)</f>
        <v>0</v>
      </c>
      <c r="AE21" s="93">
        <f ca="1">IFERROR(__xludf.DUMMYFUNCTION("IMPORTRANGE(""https://docs.google.com/spreadsheets/d/1JtRfZkJMHtEhI5RdRHxYUG4FIZHqKDpNyIuN7A1Q0_k/edit?usp=sharing"",""พิษณุโลก!J374"")"),0)</f>
        <v>0</v>
      </c>
    </row>
    <row r="22" spans="1:31" ht="19.5" x14ac:dyDescent="0.3">
      <c r="A22" s="172">
        <v>9</v>
      </c>
      <c r="B22" s="173" t="s">
        <v>48</v>
      </c>
      <c r="C22" s="174">
        <f t="shared" si="23"/>
        <v>0</v>
      </c>
      <c r="D22" s="175">
        <f t="shared" si="35"/>
        <v>0</v>
      </c>
      <c r="E22" s="403">
        <v>0</v>
      </c>
      <c r="F22" s="403">
        <v>0</v>
      </c>
      <c r="G22" s="403">
        <v>0</v>
      </c>
      <c r="H22" s="403">
        <v>0</v>
      </c>
      <c r="I22" s="403">
        <v>0</v>
      </c>
      <c r="J22" s="176">
        <f t="shared" si="25"/>
        <v>0</v>
      </c>
      <c r="K22" s="179">
        <f t="shared" si="26"/>
        <v>0</v>
      </c>
      <c r="L22" s="403">
        <v>0</v>
      </c>
      <c r="M22" s="87">
        <f t="shared" si="27"/>
        <v>0</v>
      </c>
      <c r="N22" s="87">
        <f t="shared" si="28"/>
        <v>0</v>
      </c>
      <c r="O22" s="403">
        <v>0</v>
      </c>
      <c r="P22" s="86">
        <f t="shared" si="29"/>
        <v>0</v>
      </c>
      <c r="Q22" s="87">
        <f t="shared" si="30"/>
        <v>0</v>
      </c>
      <c r="R22" s="86">
        <f ca="1">IFERROR(__xludf.DUMMYFUNCTION("IMPORTRANGE(""https://docs.google.com/spreadsheets/d/1JtRfZkJMHtEhI5RdRHxYUG4FIZHqKDpNyIuN7A1Q0_k/edit?usp=sharing"",""พิษณุโลก!Q375"")"),62500)</f>
        <v>62500</v>
      </c>
      <c r="S22" s="86">
        <f ca="1">IFERROR(__xludf.DUMMYFUNCTION("IMPORTRANGE(""https://docs.google.com/spreadsheets/d/1JtRfZkJMHtEhI5RdRHxYUG4FIZHqKDpNyIuN7A1Q0_k/edit?usp=sharing"",""พิษณุโลก!R375"")"),0)</f>
        <v>0</v>
      </c>
      <c r="T22" s="86">
        <f ca="1">IFERROR(__xludf.DUMMYFUNCTION("IMPORTRANGE(""https://docs.google.com/spreadsheets/d/1JtRfZkJMHtEhI5RdRHxYUG4FIZHqKDpNyIuN7A1Q0_k/edit?usp=sharing"",""พิษณุโลก!S375"")"),0)</f>
        <v>0</v>
      </c>
      <c r="U22" s="87">
        <f t="shared" ca="1" si="32"/>
        <v>0</v>
      </c>
      <c r="V22" s="87">
        <f t="shared" ca="1" si="33"/>
        <v>0</v>
      </c>
      <c r="W22" s="404">
        <f t="shared" ca="1" si="36"/>
        <v>1000</v>
      </c>
      <c r="X22" s="404">
        <f ca="1">IFERROR(__xludf.DUMMYFUNCTION("IMPORTRANGE(""https://docs.google.com/spreadsheets/d/1JtRfZkJMHtEhI5RdRHxYUG4FIZHqKDpNyIuN7A1Q0_k/edit?usp=sharing"",""พิษณุโลก!J374"")"),0)</f>
        <v>0</v>
      </c>
      <c r="Y22" s="405">
        <f t="shared" ca="1" si="13"/>
        <v>0</v>
      </c>
      <c r="Z22" s="404">
        <f ca="1">IFERROR(__xludf.DUMMYFUNCTION("IMPORTRANGE(""https://docs.google.com/spreadsheets/d/1JtRfZkJMHtEhI5RdRHxYUG4FIZHqKDpNyIuN7A1Q0_k/edit?usp=sharing"",""พิษณุโลก!I386"")"),1000)</f>
        <v>1000</v>
      </c>
      <c r="AA22" s="93">
        <f ca="1">IFERROR(__xludf.DUMMYFUNCTION("IMPORTRANGE(""https://docs.google.com/spreadsheets/d/1xlcVZWUNn6SuWm0c307h32SiGkd9BaeQWlAktfD3KO8/edit?usp=sharing"",""เพชรบูรณ์!J374"")"),0)</f>
        <v>0</v>
      </c>
      <c r="AB22" s="93">
        <f ca="1">IFERROR(__xludf.DUMMYFUNCTION("IMPORTRANGE(""https://docs.google.com/spreadsheets/d/1xlcVZWUNn6SuWm0c307h32SiGkd9BaeQWlAktfD3KO8/edit?usp=sharing"",""เพชรบูรณ์!J374"")"),0)</f>
        <v>0</v>
      </c>
      <c r="AC22" s="406">
        <f ca="1">IFERROR(__xludf.DUMMYFUNCTION("IMPORTRANGE(""https://docs.google.com/spreadsheets/d/1JtRfZkJMHtEhI5RdRHxYUG4FIZHqKDpNyIuN7A1Q0_k/edit?usp=sharing"",""พิษณุโลก!I388"")"),0)</f>
        <v>0</v>
      </c>
      <c r="AD22" s="93">
        <f ca="1">IFERROR(__xludf.DUMMYFUNCTION("IMPORTRANGE(""https://docs.google.com/spreadsheets/d/1xlcVZWUNn6SuWm0c307h32SiGkd9BaeQWlAktfD3KO8/edit?usp=sharing"",""เพชรบูรณ์!J374"")"),0)</f>
        <v>0</v>
      </c>
      <c r="AE22" s="93">
        <f ca="1">IFERROR(__xludf.DUMMYFUNCTION("IMPORTRANGE(""https://docs.google.com/spreadsheets/d/1xlcVZWUNn6SuWm0c307h32SiGkd9BaeQWlAktfD3KO8/edit?usp=sharing"",""เพชรบูรณ์!J374"")"),0)</f>
        <v>0</v>
      </c>
    </row>
    <row r="23" spans="1:31" ht="19.5" x14ac:dyDescent="0.3">
      <c r="A23" s="172">
        <v>10</v>
      </c>
      <c r="B23" s="173" t="s">
        <v>49</v>
      </c>
      <c r="C23" s="174">
        <f t="shared" si="23"/>
        <v>0</v>
      </c>
      <c r="D23" s="175">
        <f t="shared" si="35"/>
        <v>0</v>
      </c>
      <c r="E23" s="403">
        <v>0</v>
      </c>
      <c r="F23" s="403">
        <v>0</v>
      </c>
      <c r="G23" s="403">
        <v>0</v>
      </c>
      <c r="H23" s="403">
        <v>0</v>
      </c>
      <c r="I23" s="403">
        <v>0</v>
      </c>
      <c r="J23" s="176">
        <f t="shared" si="25"/>
        <v>0</v>
      </c>
      <c r="K23" s="179">
        <f t="shared" si="26"/>
        <v>0</v>
      </c>
      <c r="L23" s="403">
        <v>0</v>
      </c>
      <c r="M23" s="87">
        <f t="shared" si="27"/>
        <v>0</v>
      </c>
      <c r="N23" s="87">
        <f t="shared" si="28"/>
        <v>0</v>
      </c>
      <c r="O23" s="403">
        <v>0</v>
      </c>
      <c r="P23" s="86">
        <f t="shared" si="29"/>
        <v>0</v>
      </c>
      <c r="Q23" s="87">
        <f t="shared" si="30"/>
        <v>0</v>
      </c>
      <c r="R23" s="86">
        <f ca="1">IFERROR(__xludf.DUMMYFUNCTION("IMPORTRANGE(""https://docs.google.com/spreadsheets/d/1xlcVZWUNn6SuWm0c307h32SiGkd9BaeQWlAktfD3KO8/edit?usp=sharing"",""เพชรบูรณ์!Q375"")"),0)</f>
        <v>0</v>
      </c>
      <c r="S23" s="86">
        <f ca="1">IFERROR(__xludf.DUMMYFUNCTION("IMPORTRANGE(""https://docs.google.com/spreadsheets/d/1xlcVZWUNn6SuWm0c307h32SiGkd9BaeQWlAktfD3KO8/edit?usp=sharing"",""เพชรบูรณ์!R375"")"),0)</f>
        <v>0</v>
      </c>
      <c r="T23" s="86">
        <f ca="1">IFERROR(__xludf.DUMMYFUNCTION("IMPORTRANGE(""https://docs.google.com/spreadsheets/d/1xlcVZWUNn6SuWm0c307h32SiGkd9BaeQWlAktfD3KO8/edit?usp=sharing"",""เพชรบูรณ์!S375"")"),0)</f>
        <v>0</v>
      </c>
      <c r="U23" s="87">
        <f t="shared" ca="1" si="32"/>
        <v>0</v>
      </c>
      <c r="V23" s="87">
        <f t="shared" ca="1" si="33"/>
        <v>0</v>
      </c>
      <c r="W23" s="404">
        <f t="shared" ca="1" si="36"/>
        <v>0</v>
      </c>
      <c r="X23" s="404">
        <f ca="1">IFERROR(__xludf.DUMMYFUNCTION("IMPORTRANGE(""https://docs.google.com/spreadsheets/d/1xlcVZWUNn6SuWm0c307h32SiGkd9BaeQWlAktfD3KO8/edit?usp=sharing"",""เพชรบูรณ์!J374"")"),0)</f>
        <v>0</v>
      </c>
      <c r="Y23" s="405">
        <f t="shared" ca="1" si="13"/>
        <v>0</v>
      </c>
      <c r="Z23" s="404">
        <f ca="1">IFERROR(__xludf.DUMMYFUNCTION("IMPORTRANGE(""https://docs.google.com/spreadsheets/d/1xlcVZWUNn6SuWm0c307h32SiGkd9BaeQWlAktfD3KO8/edit?usp=sharing"",""เพชรบูรณ์!I386"")"),0)</f>
        <v>0</v>
      </c>
      <c r="AA23" s="93">
        <f ca="1">IFERROR(__xludf.DUMMYFUNCTION("IMPORTRANGE(""https://docs.google.com/spreadsheets/d/1lOVebEIsI9qjGXl6EX66luk7wiuP2tBaryw-wKvv4e0/edit?usp=sharing"",""แพร่!J374"")"),0)</f>
        <v>0</v>
      </c>
      <c r="AB23" s="93">
        <f ca="1">IFERROR(__xludf.DUMMYFUNCTION("IMPORTRANGE(""https://docs.google.com/spreadsheets/d/1lOVebEIsI9qjGXl6EX66luk7wiuP2tBaryw-wKvv4e0/edit?usp=sharing"",""แพร่!J374"")"),0)</f>
        <v>0</v>
      </c>
      <c r="AC23" s="406">
        <f ca="1">IFERROR(__xludf.DUMMYFUNCTION("IMPORTRANGE(""https://docs.google.com/spreadsheets/d/1xlcVZWUNn6SuWm0c307h32SiGkd9BaeQWlAktfD3KO8/edit?usp=sharing"",""เพชรบูรณ์!I388"")"),0)</f>
        <v>0</v>
      </c>
      <c r="AD23" s="93">
        <f ca="1">IFERROR(__xludf.DUMMYFUNCTION("IMPORTRANGE(""https://docs.google.com/spreadsheets/d/1lOVebEIsI9qjGXl6EX66luk7wiuP2tBaryw-wKvv4e0/edit?usp=sharing"",""แพร่!J374"")"),0)</f>
        <v>0</v>
      </c>
      <c r="AE23" s="93">
        <f ca="1">IFERROR(__xludf.DUMMYFUNCTION("IMPORTRANGE(""https://docs.google.com/spreadsheets/d/1lOVebEIsI9qjGXl6EX66luk7wiuP2tBaryw-wKvv4e0/edit?usp=sharing"",""แพร่!J374"")"),0)</f>
        <v>0</v>
      </c>
    </row>
    <row r="24" spans="1:31" ht="19.5" x14ac:dyDescent="0.3">
      <c r="A24" s="172">
        <v>11</v>
      </c>
      <c r="B24" s="173" t="s">
        <v>50</v>
      </c>
      <c r="C24" s="174">
        <f t="shared" si="23"/>
        <v>0</v>
      </c>
      <c r="D24" s="175">
        <f t="shared" si="35"/>
        <v>0</v>
      </c>
      <c r="E24" s="403">
        <v>0</v>
      </c>
      <c r="F24" s="403">
        <v>0</v>
      </c>
      <c r="G24" s="403">
        <v>0</v>
      </c>
      <c r="H24" s="403">
        <v>0</v>
      </c>
      <c r="I24" s="403">
        <v>0</v>
      </c>
      <c r="J24" s="176">
        <f t="shared" si="25"/>
        <v>0</v>
      </c>
      <c r="K24" s="179">
        <f t="shared" si="26"/>
        <v>0</v>
      </c>
      <c r="L24" s="403">
        <v>0</v>
      </c>
      <c r="M24" s="87">
        <f t="shared" si="27"/>
        <v>0</v>
      </c>
      <c r="N24" s="87">
        <f t="shared" si="28"/>
        <v>0</v>
      </c>
      <c r="O24" s="403">
        <v>0</v>
      </c>
      <c r="P24" s="86">
        <f t="shared" si="29"/>
        <v>0</v>
      </c>
      <c r="Q24" s="87">
        <f t="shared" si="30"/>
        <v>0</v>
      </c>
      <c r="R24" s="86">
        <f ca="1">IFERROR(__xludf.DUMMYFUNCTION("IMPORTRANGE(""https://docs.google.com/spreadsheets/d/1lOVebEIsI9qjGXl6EX66luk7wiuP2tBaryw-wKvv4e0/edit?usp=sharing"",""แพร่!Q375"")"),62500)</f>
        <v>62500</v>
      </c>
      <c r="S24" s="86">
        <f ca="1">IFERROR(__xludf.DUMMYFUNCTION("IMPORTRANGE(""https://docs.google.com/spreadsheets/d/1lOVebEIsI9qjGXl6EX66luk7wiuP2tBaryw-wKvv4e0/edit?usp=sharing"",""แพร่!R375"")"),0)</f>
        <v>0</v>
      </c>
      <c r="T24" s="86">
        <f ca="1">IFERROR(__xludf.DUMMYFUNCTION("IMPORTRANGE(""https://docs.google.com/spreadsheets/d/1lOVebEIsI9qjGXl6EX66luk7wiuP2tBaryw-wKvv4e0/edit?usp=sharing"",""แพร่!S375"")"),0)</f>
        <v>0</v>
      </c>
      <c r="U24" s="87">
        <f t="shared" ca="1" si="32"/>
        <v>0</v>
      </c>
      <c r="V24" s="87">
        <f t="shared" ca="1" si="33"/>
        <v>0</v>
      </c>
      <c r="W24" s="404">
        <f t="shared" ca="1" si="36"/>
        <v>1000</v>
      </c>
      <c r="X24" s="404">
        <f ca="1">IFERROR(__xludf.DUMMYFUNCTION("IMPORTRANGE(""https://docs.google.com/spreadsheets/d/1lOVebEIsI9qjGXl6EX66luk7wiuP2tBaryw-wKvv4e0/edit?usp=sharing"",""แพร่!J374"")"),0)</f>
        <v>0</v>
      </c>
      <c r="Y24" s="405">
        <f t="shared" ca="1" si="13"/>
        <v>0</v>
      </c>
      <c r="Z24" s="404">
        <f ca="1">IFERROR(__xludf.DUMMYFUNCTION("IMPORTRANGE(""https://docs.google.com/spreadsheets/d/1lOVebEIsI9qjGXl6EX66luk7wiuP2tBaryw-wKvv4e0/edit?usp=sharing"",""แพร่!I386"")"),1000)</f>
        <v>1000</v>
      </c>
      <c r="AA24" s="93">
        <f ca="1">IFERROR(__xludf.DUMMYFUNCTION("IMPORTRANGE(""https://docs.google.com/spreadsheets/d/1dQrvX0vEcN7Gu0fnZ0B5S90AeR19zth4XlExFBeExMY/edit?usp=sharing"",""แม่ฮ่องสอน!J374"")"),0)</f>
        <v>0</v>
      </c>
      <c r="AB24" s="93">
        <f ca="1">IFERROR(__xludf.DUMMYFUNCTION("IMPORTRANGE(""https://docs.google.com/spreadsheets/d/1dQrvX0vEcN7Gu0fnZ0B5S90AeR19zth4XlExFBeExMY/edit?usp=sharing"",""แม่ฮ่องสอน!J374"")"),0)</f>
        <v>0</v>
      </c>
      <c r="AC24" s="406">
        <f ca="1">IFERROR(__xludf.DUMMYFUNCTION("IMPORTRANGE(""https://docs.google.com/spreadsheets/d/1lOVebEIsI9qjGXl6EX66luk7wiuP2tBaryw-wKvv4e0/edit?usp=sharing"",""แพร่!I388"")"),0)</f>
        <v>0</v>
      </c>
      <c r="AD24" s="93">
        <f ca="1">IFERROR(__xludf.DUMMYFUNCTION("IMPORTRANGE(""https://docs.google.com/spreadsheets/d/1dQrvX0vEcN7Gu0fnZ0B5S90AeR19zth4XlExFBeExMY/edit?usp=sharing"",""แม่ฮ่องสอน!J374"")"),0)</f>
        <v>0</v>
      </c>
      <c r="AE24" s="93">
        <f ca="1">IFERROR(__xludf.DUMMYFUNCTION("IMPORTRANGE(""https://docs.google.com/spreadsheets/d/1dQrvX0vEcN7Gu0fnZ0B5S90AeR19zth4XlExFBeExMY/edit?usp=sharing"",""แม่ฮ่องสอน!J374"")"),0)</f>
        <v>0</v>
      </c>
    </row>
    <row r="25" spans="1:31" ht="19.5" x14ac:dyDescent="0.3">
      <c r="A25" s="172">
        <v>12</v>
      </c>
      <c r="B25" s="173" t="s">
        <v>51</v>
      </c>
      <c r="C25" s="174">
        <f t="shared" si="23"/>
        <v>0</v>
      </c>
      <c r="D25" s="175">
        <f t="shared" si="35"/>
        <v>0</v>
      </c>
      <c r="E25" s="403">
        <v>0</v>
      </c>
      <c r="F25" s="403">
        <v>0</v>
      </c>
      <c r="G25" s="403">
        <v>0</v>
      </c>
      <c r="H25" s="403">
        <v>0</v>
      </c>
      <c r="I25" s="403">
        <v>0</v>
      </c>
      <c r="J25" s="176">
        <f t="shared" si="25"/>
        <v>0</v>
      </c>
      <c r="K25" s="179">
        <f t="shared" si="26"/>
        <v>0</v>
      </c>
      <c r="L25" s="403">
        <v>0</v>
      </c>
      <c r="M25" s="87">
        <f t="shared" si="27"/>
        <v>0</v>
      </c>
      <c r="N25" s="87">
        <f t="shared" si="28"/>
        <v>0</v>
      </c>
      <c r="O25" s="403">
        <v>0</v>
      </c>
      <c r="P25" s="86">
        <f t="shared" si="29"/>
        <v>0</v>
      </c>
      <c r="Q25" s="87">
        <f t="shared" si="30"/>
        <v>0</v>
      </c>
      <c r="R25" s="86">
        <f ca="1">IFERROR(__xludf.DUMMYFUNCTION("IMPORTRANGE(""https://docs.google.com/spreadsheets/d/1dQrvX0vEcN7Gu0fnZ0B5S90AeR19zth4XlExFBeExMY/edit?usp=sharing"",""แม่ฮ่องสอน!Q375"")"),0)</f>
        <v>0</v>
      </c>
      <c r="S25" s="86">
        <f ca="1">IFERROR(__xludf.DUMMYFUNCTION("IMPORTRANGE(""https://docs.google.com/spreadsheets/d/1dQrvX0vEcN7Gu0fnZ0B5S90AeR19zth4XlExFBeExMY/edit?usp=sharing"",""แม่ฮ่องสอน!R375"")"),0)</f>
        <v>0</v>
      </c>
      <c r="T25" s="86">
        <f ca="1">IFERROR(__xludf.DUMMYFUNCTION("IMPORTRANGE(""https://docs.google.com/spreadsheets/d/1dQrvX0vEcN7Gu0fnZ0B5S90AeR19zth4XlExFBeExMY/edit?usp=sharing"",""แม่ฮ่องสอน!S375"")"),0)</f>
        <v>0</v>
      </c>
      <c r="U25" s="87">
        <f t="shared" ca="1" si="32"/>
        <v>0</v>
      </c>
      <c r="V25" s="87">
        <f t="shared" ca="1" si="33"/>
        <v>0</v>
      </c>
      <c r="W25" s="404">
        <f t="shared" ca="1" si="36"/>
        <v>0</v>
      </c>
      <c r="X25" s="404">
        <f ca="1">IFERROR(__xludf.DUMMYFUNCTION("IMPORTRANGE(""https://docs.google.com/spreadsheets/d/1dQrvX0vEcN7Gu0fnZ0B5S90AeR19zth4XlExFBeExMY/edit?usp=sharing"",""แม่ฮ่องสอน!J374"")"),0)</f>
        <v>0</v>
      </c>
      <c r="Y25" s="405">
        <f t="shared" ca="1" si="13"/>
        <v>0</v>
      </c>
      <c r="Z25" s="404">
        <f ca="1">IFERROR(__xludf.DUMMYFUNCTION("IMPORTRANGE(""https://docs.google.com/spreadsheets/d/1dQrvX0vEcN7Gu0fnZ0B5S90AeR19zth4XlExFBeExMY/edit?usp=sharing"",""แม่ฮ่องสอน!I386"")"),0)</f>
        <v>0</v>
      </c>
      <c r="AA25" s="93">
        <f ca="1">IFERROR(__xludf.DUMMYFUNCTION("IMPORTRANGE(""https://docs.google.com/spreadsheets/d/1DY4XTNNwjluuxqdfdn6qvOSlMRrZqUtmYcZR0ttFiG4/edit?usp=sharing"",""ลำปาง!J374"")"),0)</f>
        <v>0</v>
      </c>
      <c r="AB25" s="93">
        <f ca="1">IFERROR(__xludf.DUMMYFUNCTION("IMPORTRANGE(""https://docs.google.com/spreadsheets/d/1DY4XTNNwjluuxqdfdn6qvOSlMRrZqUtmYcZR0ttFiG4/edit?usp=sharing"",""ลำปาง!J374"")"),0)</f>
        <v>0</v>
      </c>
      <c r="AC25" s="406">
        <f ca="1">IFERROR(__xludf.DUMMYFUNCTION("IMPORTRANGE(""https://docs.google.com/spreadsheets/d/1dQrvX0vEcN7Gu0fnZ0B5S90AeR19zth4XlExFBeExMY/edit?usp=sharing"",""แม่ฮ่องสอน!I388"")"),0)</f>
        <v>0</v>
      </c>
      <c r="AD25" s="93">
        <f ca="1">IFERROR(__xludf.DUMMYFUNCTION("IMPORTRANGE(""https://docs.google.com/spreadsheets/d/1DY4XTNNwjluuxqdfdn6qvOSlMRrZqUtmYcZR0ttFiG4/edit?usp=sharing"",""ลำปาง!J374"")"),0)</f>
        <v>0</v>
      </c>
      <c r="AE25" s="93">
        <f ca="1">IFERROR(__xludf.DUMMYFUNCTION("IMPORTRANGE(""https://docs.google.com/spreadsheets/d/1DY4XTNNwjluuxqdfdn6qvOSlMRrZqUtmYcZR0ttFiG4/edit?usp=sharing"",""ลำปาง!J374"")"),0)</f>
        <v>0</v>
      </c>
    </row>
    <row r="26" spans="1:31" ht="19.5" x14ac:dyDescent="0.3">
      <c r="A26" s="172">
        <v>13</v>
      </c>
      <c r="B26" s="173" t="s">
        <v>52</v>
      </c>
      <c r="C26" s="174">
        <f t="shared" si="23"/>
        <v>0</v>
      </c>
      <c r="D26" s="175">
        <f t="shared" si="35"/>
        <v>0</v>
      </c>
      <c r="E26" s="403">
        <v>0</v>
      </c>
      <c r="F26" s="403">
        <v>0</v>
      </c>
      <c r="G26" s="403">
        <v>0</v>
      </c>
      <c r="H26" s="403">
        <v>0</v>
      </c>
      <c r="I26" s="403">
        <v>0</v>
      </c>
      <c r="J26" s="176">
        <f t="shared" si="25"/>
        <v>0</v>
      </c>
      <c r="K26" s="179">
        <f t="shared" si="26"/>
        <v>0</v>
      </c>
      <c r="L26" s="403">
        <v>0</v>
      </c>
      <c r="M26" s="87">
        <f t="shared" si="27"/>
        <v>0</v>
      </c>
      <c r="N26" s="87">
        <f t="shared" si="28"/>
        <v>0</v>
      </c>
      <c r="O26" s="403">
        <v>0</v>
      </c>
      <c r="P26" s="86">
        <f t="shared" si="29"/>
        <v>0</v>
      </c>
      <c r="Q26" s="87">
        <f t="shared" si="30"/>
        <v>0</v>
      </c>
      <c r="R26" s="86">
        <f ca="1">IFERROR(__xludf.DUMMYFUNCTION("IMPORTRANGE(""https://docs.google.com/spreadsheets/d/1DY4XTNNwjluuxqdfdn6qvOSlMRrZqUtmYcZR0ttFiG4/edit?usp=sharing"",""ลำปาง!Q375"")"),125000)</f>
        <v>125000</v>
      </c>
      <c r="S26" s="86">
        <f ca="1">IFERROR(__xludf.DUMMYFUNCTION("IMPORTRANGE(""https://docs.google.com/spreadsheets/d/1DY4XTNNwjluuxqdfdn6qvOSlMRrZqUtmYcZR0ttFiG4/edit?usp=sharing"",""ลำปาง!R375"")"),0)</f>
        <v>0</v>
      </c>
      <c r="T26" s="86">
        <f ca="1">IFERROR(__xludf.DUMMYFUNCTION("IMPORTRANGE(""https://docs.google.com/spreadsheets/d/1DY4XTNNwjluuxqdfdn6qvOSlMRrZqUtmYcZR0ttFiG4/edit?usp=sharing"",""ลำปาง!S375"")"),0)</f>
        <v>0</v>
      </c>
      <c r="U26" s="87">
        <f t="shared" ca="1" si="32"/>
        <v>0</v>
      </c>
      <c r="V26" s="87">
        <f t="shared" ca="1" si="33"/>
        <v>0</v>
      </c>
      <c r="W26" s="404">
        <f t="shared" ca="1" si="36"/>
        <v>2000</v>
      </c>
      <c r="X26" s="404">
        <f ca="1">IFERROR(__xludf.DUMMYFUNCTION("IMPORTRANGE(""https://docs.google.com/spreadsheets/d/1DY4XTNNwjluuxqdfdn6qvOSlMRrZqUtmYcZR0ttFiG4/edit?usp=sharing"",""ลำปาง!J374"")"),0)</f>
        <v>0</v>
      </c>
      <c r="Y26" s="405">
        <f t="shared" ca="1" si="13"/>
        <v>0</v>
      </c>
      <c r="Z26" s="404">
        <f ca="1">IFERROR(__xludf.DUMMYFUNCTION("IMPORTRANGE(""https://docs.google.com/spreadsheets/d/1DY4XTNNwjluuxqdfdn6qvOSlMRrZqUtmYcZR0ttFiG4/edit?usp=sharing"",""ลำปาง!I386"")"),2000)</f>
        <v>2000</v>
      </c>
      <c r="AA26" s="93">
        <f ca="1">IFERROR(__xludf.DUMMYFUNCTION("IMPORTRANGE(""https://docs.google.com/spreadsheets/d/1ICwG78r0OFT8biBlxnBF8r7she7gNSzOvJ958PWT09c/edit?usp=sharing"",""ลำพูน!J374"")"),0)</f>
        <v>0</v>
      </c>
      <c r="AB26" s="93">
        <f ca="1">IFERROR(__xludf.DUMMYFUNCTION("IMPORTRANGE(""https://docs.google.com/spreadsheets/d/1ICwG78r0OFT8biBlxnBF8r7she7gNSzOvJ958PWT09c/edit?usp=sharing"",""ลำพูน!J374"")"),0)</f>
        <v>0</v>
      </c>
      <c r="AC26" s="406">
        <f ca="1">IFERROR(__xludf.DUMMYFUNCTION("IMPORTRANGE(""https://docs.google.com/spreadsheets/d/1DY4XTNNwjluuxqdfdn6qvOSlMRrZqUtmYcZR0ttFiG4/edit?usp=sharing"",""ลำปาง!I388"")"),0)</f>
        <v>0</v>
      </c>
      <c r="AD26" s="93">
        <f ca="1">IFERROR(__xludf.DUMMYFUNCTION("IMPORTRANGE(""https://docs.google.com/spreadsheets/d/1ICwG78r0OFT8biBlxnBF8r7she7gNSzOvJ958PWT09c/edit?usp=sharing"",""ลำพูน!J374"")"),0)</f>
        <v>0</v>
      </c>
      <c r="AE26" s="93">
        <f ca="1">IFERROR(__xludf.DUMMYFUNCTION("IMPORTRANGE(""https://docs.google.com/spreadsheets/d/1ICwG78r0OFT8biBlxnBF8r7she7gNSzOvJ958PWT09c/edit?usp=sharing"",""ลำพูน!J374"")"),0)</f>
        <v>0</v>
      </c>
    </row>
    <row r="27" spans="1:31" ht="19.5" x14ac:dyDescent="0.3">
      <c r="A27" s="172">
        <v>14</v>
      </c>
      <c r="B27" s="173" t="s">
        <v>53</v>
      </c>
      <c r="C27" s="174">
        <f t="shared" si="23"/>
        <v>0</v>
      </c>
      <c r="D27" s="175">
        <f t="shared" si="35"/>
        <v>0</v>
      </c>
      <c r="E27" s="403">
        <v>0</v>
      </c>
      <c r="F27" s="403">
        <v>0</v>
      </c>
      <c r="G27" s="403">
        <v>0</v>
      </c>
      <c r="H27" s="403">
        <v>0</v>
      </c>
      <c r="I27" s="403">
        <v>0</v>
      </c>
      <c r="J27" s="176">
        <f t="shared" si="25"/>
        <v>0</v>
      </c>
      <c r="K27" s="179">
        <f t="shared" si="26"/>
        <v>0</v>
      </c>
      <c r="L27" s="403">
        <v>0</v>
      </c>
      <c r="M27" s="87">
        <f t="shared" si="27"/>
        <v>0</v>
      </c>
      <c r="N27" s="87">
        <f t="shared" si="28"/>
        <v>0</v>
      </c>
      <c r="O27" s="403">
        <v>0</v>
      </c>
      <c r="P27" s="86">
        <f t="shared" si="29"/>
        <v>0</v>
      </c>
      <c r="Q27" s="87">
        <f t="shared" si="30"/>
        <v>0</v>
      </c>
      <c r="R27" s="86">
        <f ca="1">IFERROR(__xludf.DUMMYFUNCTION("IMPORTRANGE(""https://docs.google.com/spreadsheets/d/1ICwG78r0OFT8biBlxnBF8r7she7gNSzOvJ958PWT09c/edit?usp=sharing"",""ลำพูน!Q375"")"),62500)</f>
        <v>62500</v>
      </c>
      <c r="S27" s="86">
        <f ca="1">IFERROR(__xludf.DUMMYFUNCTION("IMPORTRANGE(""https://docs.google.com/spreadsheets/d/1ICwG78r0OFT8biBlxnBF8r7she7gNSzOvJ958PWT09c/edit?usp=sharing"",""ลำพูน!R375"")"),0)</f>
        <v>0</v>
      </c>
      <c r="T27" s="86">
        <f ca="1">IFERROR(__xludf.DUMMYFUNCTION("IMPORTRANGE(""https://docs.google.com/spreadsheets/d/1ICwG78r0OFT8biBlxnBF8r7she7gNSzOvJ958PWT09c/edit?usp=sharing"",""ลำพูน!S375"")"),0)</f>
        <v>0</v>
      </c>
      <c r="U27" s="87">
        <f t="shared" ca="1" si="32"/>
        <v>0</v>
      </c>
      <c r="V27" s="87">
        <f t="shared" ca="1" si="33"/>
        <v>0</v>
      </c>
      <c r="W27" s="404">
        <f t="shared" ca="1" si="36"/>
        <v>1000</v>
      </c>
      <c r="X27" s="404">
        <f ca="1">IFERROR(__xludf.DUMMYFUNCTION("IMPORTRANGE(""https://docs.google.com/spreadsheets/d/1ICwG78r0OFT8biBlxnBF8r7she7gNSzOvJ958PWT09c/edit?usp=sharing"",""ลำพูน!J374"")"),0)</f>
        <v>0</v>
      </c>
      <c r="Y27" s="405">
        <f t="shared" ca="1" si="13"/>
        <v>0</v>
      </c>
      <c r="Z27" s="404">
        <f ca="1">IFERROR(__xludf.DUMMYFUNCTION("IMPORTRANGE(""https://docs.google.com/spreadsheets/d/1ICwG78r0OFT8biBlxnBF8r7she7gNSzOvJ958PWT09c/edit?usp=sharing"",""ลำพูน!I386"")"),1000)</f>
        <v>1000</v>
      </c>
      <c r="AA27" s="93">
        <f ca="1">IFERROR(__xludf.DUMMYFUNCTION("IMPORTRANGE(""https://docs.google.com/spreadsheets/d/1B0f2xJpZUC6Z0xXnqKlZtEPzsf6L84eP1r1Q15seqRM/edit?usp=sharing"",""สุโขทัย!J374"")"),0)</f>
        <v>0</v>
      </c>
      <c r="AB27" s="93">
        <f ca="1">IFERROR(__xludf.DUMMYFUNCTION("IMPORTRANGE(""https://docs.google.com/spreadsheets/d/1B0f2xJpZUC6Z0xXnqKlZtEPzsf6L84eP1r1Q15seqRM/edit?usp=sharing"",""สุโขทัย!J374"")"),0)</f>
        <v>0</v>
      </c>
      <c r="AC27" s="406">
        <f ca="1">IFERROR(__xludf.DUMMYFUNCTION("IMPORTRANGE(""https://docs.google.com/spreadsheets/d/1ICwG78r0OFT8biBlxnBF8r7she7gNSzOvJ958PWT09c/edit?usp=sharing"",""ลำพูน!I388"")"),0)</f>
        <v>0</v>
      </c>
      <c r="AD27" s="93">
        <f ca="1">IFERROR(__xludf.DUMMYFUNCTION("IMPORTRANGE(""https://docs.google.com/spreadsheets/d/1B0f2xJpZUC6Z0xXnqKlZtEPzsf6L84eP1r1Q15seqRM/edit?usp=sharing"",""สุโขทัย!J374"")"),0)</f>
        <v>0</v>
      </c>
      <c r="AE27" s="93">
        <f ca="1">IFERROR(__xludf.DUMMYFUNCTION("IMPORTRANGE(""https://docs.google.com/spreadsheets/d/1B0f2xJpZUC6Z0xXnqKlZtEPzsf6L84eP1r1Q15seqRM/edit?usp=sharing"",""สุโขทัย!J374"")"),0)</f>
        <v>0</v>
      </c>
    </row>
    <row r="28" spans="1:31" ht="19.5" x14ac:dyDescent="0.3">
      <c r="A28" s="172">
        <v>15</v>
      </c>
      <c r="B28" s="173" t="s">
        <v>54</v>
      </c>
      <c r="C28" s="174">
        <f t="shared" si="23"/>
        <v>0</v>
      </c>
      <c r="D28" s="175">
        <f t="shared" si="35"/>
        <v>0</v>
      </c>
      <c r="E28" s="403">
        <v>0</v>
      </c>
      <c r="F28" s="403">
        <v>0</v>
      </c>
      <c r="G28" s="403">
        <v>0</v>
      </c>
      <c r="H28" s="403">
        <v>0</v>
      </c>
      <c r="I28" s="403">
        <v>0</v>
      </c>
      <c r="J28" s="176">
        <f t="shared" si="25"/>
        <v>0</v>
      </c>
      <c r="K28" s="179">
        <f t="shared" si="26"/>
        <v>0</v>
      </c>
      <c r="L28" s="403">
        <v>0</v>
      </c>
      <c r="M28" s="87">
        <f t="shared" si="27"/>
        <v>0</v>
      </c>
      <c r="N28" s="87">
        <f t="shared" si="28"/>
        <v>0</v>
      </c>
      <c r="O28" s="403">
        <v>0</v>
      </c>
      <c r="P28" s="86">
        <f t="shared" si="29"/>
        <v>0</v>
      </c>
      <c r="Q28" s="87">
        <f t="shared" si="30"/>
        <v>0</v>
      </c>
      <c r="R28" s="86">
        <f ca="1">IFERROR(__xludf.DUMMYFUNCTION("IMPORTRANGE(""https://docs.google.com/spreadsheets/d/1B0f2xJpZUC6Z0xXnqKlZtEPzsf6L84eP1r1Q15seqRM/edit?usp=sharing"",""สุโขทัย!Q375"")"),125000)</f>
        <v>125000</v>
      </c>
      <c r="S28" s="86">
        <f ca="1">IFERROR(__xludf.DUMMYFUNCTION("IMPORTRANGE(""https://docs.google.com/spreadsheets/d/1B0f2xJpZUC6Z0xXnqKlZtEPzsf6L84eP1r1Q15seqRM/edit?usp=sharing"",""สุโขทัย!R375"")"),0)</f>
        <v>0</v>
      </c>
      <c r="T28" s="86">
        <f ca="1">IFERROR(__xludf.DUMMYFUNCTION("IMPORTRANGE(""https://docs.google.com/spreadsheets/d/1B0f2xJpZUC6Z0xXnqKlZtEPzsf6L84eP1r1Q15seqRM/edit?usp=sharing"",""สุโขทัย!S375"")"),0)</f>
        <v>0</v>
      </c>
      <c r="U28" s="87">
        <f t="shared" ca="1" si="32"/>
        <v>0</v>
      </c>
      <c r="V28" s="87">
        <f t="shared" ca="1" si="33"/>
        <v>0</v>
      </c>
      <c r="W28" s="404">
        <f t="shared" ca="1" si="36"/>
        <v>2000</v>
      </c>
      <c r="X28" s="404">
        <f ca="1">IFERROR(__xludf.DUMMYFUNCTION("IMPORTRANGE(""https://docs.google.com/spreadsheets/d/1B0f2xJpZUC6Z0xXnqKlZtEPzsf6L84eP1r1Q15seqRM/edit?usp=sharing"",""สุโขทัย!J374"")"),0)</f>
        <v>0</v>
      </c>
      <c r="Y28" s="405">
        <f t="shared" ca="1" si="13"/>
        <v>0</v>
      </c>
      <c r="Z28" s="404">
        <f ca="1">IFERROR(__xludf.DUMMYFUNCTION("IMPORTRANGE(""https://docs.google.com/spreadsheets/d/1B0f2xJpZUC6Z0xXnqKlZtEPzsf6L84eP1r1Q15seqRM/edit?usp=sharing"",""สุโขทัย!I386"")"),2000)</f>
        <v>2000</v>
      </c>
      <c r="AA28" s="93">
        <f ca="1">IFERROR(__xludf.DUMMYFUNCTION("IMPORTRANGE(""https://docs.google.com/spreadsheets/d/1v0b9pFQCsKUVExMei7AgY2yQkdeNQvtOssygGsXbiKo/edit?usp=sharing"",""อุตรดิตถ์!J374"")"),0)</f>
        <v>0</v>
      </c>
      <c r="AB28" s="93">
        <f ca="1">IFERROR(__xludf.DUMMYFUNCTION("IMPORTRANGE(""https://docs.google.com/spreadsheets/d/1v0b9pFQCsKUVExMei7AgY2yQkdeNQvtOssygGsXbiKo/edit?usp=sharing"",""อุตรดิตถ์!J374"")"),0)</f>
        <v>0</v>
      </c>
      <c r="AC28" s="406">
        <f ca="1">IFERROR(__xludf.DUMMYFUNCTION("IMPORTRANGE(""https://docs.google.com/spreadsheets/d/1B0f2xJpZUC6Z0xXnqKlZtEPzsf6L84eP1r1Q15seqRM/edit?usp=sharing"",""สุโขทัย!I388"")"),0)</f>
        <v>0</v>
      </c>
      <c r="AD28" s="93">
        <f ca="1">IFERROR(__xludf.DUMMYFUNCTION("IMPORTRANGE(""https://docs.google.com/spreadsheets/d/1v0b9pFQCsKUVExMei7AgY2yQkdeNQvtOssygGsXbiKo/edit?usp=sharing"",""อุตรดิตถ์!J374"")"),0)</f>
        <v>0</v>
      </c>
      <c r="AE28" s="93">
        <f ca="1">IFERROR(__xludf.DUMMYFUNCTION("IMPORTRANGE(""https://docs.google.com/spreadsheets/d/1v0b9pFQCsKUVExMei7AgY2yQkdeNQvtOssygGsXbiKo/edit?usp=sharing"",""อุตรดิตถ์!J374"")"),0)</f>
        <v>0</v>
      </c>
    </row>
    <row r="29" spans="1:31" ht="19.5" x14ac:dyDescent="0.3">
      <c r="A29" s="172">
        <v>16</v>
      </c>
      <c r="B29" s="173" t="s">
        <v>55</v>
      </c>
      <c r="C29" s="174">
        <f t="shared" si="23"/>
        <v>0</v>
      </c>
      <c r="D29" s="175">
        <f t="shared" si="35"/>
        <v>0</v>
      </c>
      <c r="E29" s="403">
        <v>0</v>
      </c>
      <c r="F29" s="403">
        <v>0</v>
      </c>
      <c r="G29" s="403">
        <v>0</v>
      </c>
      <c r="H29" s="403">
        <v>0</v>
      </c>
      <c r="I29" s="403">
        <v>0</v>
      </c>
      <c r="J29" s="176">
        <f t="shared" si="25"/>
        <v>0</v>
      </c>
      <c r="K29" s="179">
        <f t="shared" si="26"/>
        <v>0</v>
      </c>
      <c r="L29" s="403">
        <v>0</v>
      </c>
      <c r="M29" s="87">
        <f t="shared" si="27"/>
        <v>0</v>
      </c>
      <c r="N29" s="87">
        <f t="shared" si="28"/>
        <v>0</v>
      </c>
      <c r="O29" s="403">
        <v>0</v>
      </c>
      <c r="P29" s="86">
        <f t="shared" si="29"/>
        <v>0</v>
      </c>
      <c r="Q29" s="87">
        <f t="shared" si="30"/>
        <v>0</v>
      </c>
      <c r="R29" s="86">
        <f ca="1">IFERROR(__xludf.DUMMYFUNCTION("IMPORTRANGE(""https://docs.google.com/spreadsheets/d/1v0b9pFQCsKUVExMei7AgY2yQkdeNQvtOssygGsXbiKo/edit?usp=sharing"",""อุตรดิตถ์!Q375"")"),312500)</f>
        <v>312500</v>
      </c>
      <c r="S29" s="86">
        <f ca="1">IFERROR(__xludf.DUMMYFUNCTION("IMPORTRANGE(""https://docs.google.com/spreadsheets/d/1v0b9pFQCsKUVExMei7AgY2yQkdeNQvtOssygGsXbiKo/edit?usp=sharing"",""อุตรดิตถ์!R375"")"),0)</f>
        <v>0</v>
      </c>
      <c r="T29" s="86">
        <f ca="1">IFERROR(__xludf.DUMMYFUNCTION("IMPORTRANGE(""https://docs.google.com/spreadsheets/d/1v0b9pFQCsKUVExMei7AgY2yQkdeNQvtOssygGsXbiKo/edit?usp=sharing"",""อุตรดิตถ์!S375"")"),0)</f>
        <v>0</v>
      </c>
      <c r="U29" s="87">
        <f t="shared" ca="1" si="32"/>
        <v>0</v>
      </c>
      <c r="V29" s="87">
        <f t="shared" ca="1" si="33"/>
        <v>0</v>
      </c>
      <c r="W29" s="404">
        <f t="shared" ca="1" si="36"/>
        <v>5000</v>
      </c>
      <c r="X29" s="404">
        <f ca="1">IFERROR(__xludf.DUMMYFUNCTION("IMPORTRANGE(""https://docs.google.com/spreadsheets/d/1v0b9pFQCsKUVExMei7AgY2yQkdeNQvtOssygGsXbiKo/edit?usp=sharing"",""อุตรดิตถ์!J374"")"),0)</f>
        <v>0</v>
      </c>
      <c r="Y29" s="405">
        <f t="shared" ca="1" si="13"/>
        <v>0</v>
      </c>
      <c r="Z29" s="404">
        <f ca="1">IFERROR(__xludf.DUMMYFUNCTION("IMPORTRANGE(""https://docs.google.com/spreadsheets/d/1v0b9pFQCsKUVExMei7AgY2yQkdeNQvtOssygGsXbiKo/edit?usp=sharing"",""อุตรดิตถ์!I386"")"),5000)</f>
        <v>5000</v>
      </c>
      <c r="AA29" s="93">
        <f ca="1">IFERROR(__xludf.DUMMYFUNCTION("IMPORTRANGE(""https://docs.google.com/spreadsheets/d/1UsNK1e-WWiCo2PvGqdNfdme4m17_Ezd3J69EeeiQPD0/edit?usp=sharing"",""อุทัยธานี!J374"")"),0)</f>
        <v>0</v>
      </c>
      <c r="AB29" s="93">
        <f ca="1">IFERROR(__xludf.DUMMYFUNCTION("IMPORTRANGE(""https://docs.google.com/spreadsheets/d/1UsNK1e-WWiCo2PvGqdNfdme4m17_Ezd3J69EeeiQPD0/edit?usp=sharing"",""อุทัยธานี!J374"")"),0)</f>
        <v>0</v>
      </c>
      <c r="AC29" s="406">
        <f ca="1">IFERROR(__xludf.DUMMYFUNCTION("IMPORTRANGE(""https://docs.google.com/spreadsheets/d/1v0b9pFQCsKUVExMei7AgY2yQkdeNQvtOssygGsXbiKo/edit?usp=sharing"",""อุตรดิตถ์!I388"")"),0)</f>
        <v>0</v>
      </c>
      <c r="AD29" s="93">
        <f ca="1">IFERROR(__xludf.DUMMYFUNCTION("IMPORTRANGE(""https://docs.google.com/spreadsheets/d/1UsNK1e-WWiCo2PvGqdNfdme4m17_Ezd3J69EeeiQPD0/edit?usp=sharing"",""อุทัยธานี!J374"")"),0)</f>
        <v>0</v>
      </c>
      <c r="AE29" s="93">
        <f ca="1">IFERROR(__xludf.DUMMYFUNCTION("IMPORTRANGE(""https://docs.google.com/spreadsheets/d/1UsNK1e-WWiCo2PvGqdNfdme4m17_Ezd3J69EeeiQPD0/edit?usp=sharing"",""อุทัยธานี!J374"")"),0)</f>
        <v>0</v>
      </c>
    </row>
    <row r="30" spans="1:31" ht="19.5" x14ac:dyDescent="0.3">
      <c r="A30" s="180">
        <v>17</v>
      </c>
      <c r="B30" s="181" t="s">
        <v>56</v>
      </c>
      <c r="C30" s="182">
        <f t="shared" si="23"/>
        <v>0</v>
      </c>
      <c r="D30" s="183">
        <f t="shared" si="35"/>
        <v>0</v>
      </c>
      <c r="E30" s="409">
        <v>0</v>
      </c>
      <c r="F30" s="409">
        <v>0</v>
      </c>
      <c r="G30" s="409">
        <v>0</v>
      </c>
      <c r="H30" s="409">
        <v>0</v>
      </c>
      <c r="I30" s="409">
        <v>0</v>
      </c>
      <c r="J30" s="184">
        <f t="shared" si="25"/>
        <v>0</v>
      </c>
      <c r="K30" s="185">
        <f t="shared" si="26"/>
        <v>0</v>
      </c>
      <c r="L30" s="409">
        <v>0</v>
      </c>
      <c r="M30" s="109">
        <f t="shared" si="27"/>
        <v>0</v>
      </c>
      <c r="N30" s="109">
        <f t="shared" si="28"/>
        <v>0</v>
      </c>
      <c r="O30" s="409">
        <v>0</v>
      </c>
      <c r="P30" s="108">
        <f t="shared" si="29"/>
        <v>0</v>
      </c>
      <c r="Q30" s="109">
        <f t="shared" si="30"/>
        <v>0</v>
      </c>
      <c r="R30" s="108">
        <f ca="1">IFERROR(__xludf.DUMMYFUNCTION("IMPORTRANGE(""https://docs.google.com/spreadsheets/d/1UsNK1e-WWiCo2PvGqdNfdme4m17_Ezd3J69EeeiQPD0/edit?usp=sharing"",""อุทัยธานี!Q375"")"),250000)</f>
        <v>250000</v>
      </c>
      <c r="S30" s="108">
        <f ca="1">IFERROR(__xludf.DUMMYFUNCTION("IMPORTRANGE(""https://docs.google.com/spreadsheets/d/1UsNK1e-WWiCo2PvGqdNfdme4m17_Ezd3J69EeeiQPD0/edit?usp=sharing"",""อุทัยธานี!R375"")"),0)</f>
        <v>0</v>
      </c>
      <c r="T30" s="108">
        <f ca="1">IFERROR(__xludf.DUMMYFUNCTION("IMPORTRANGE(""https://docs.google.com/spreadsheets/d/1UsNK1e-WWiCo2PvGqdNfdme4m17_Ezd3J69EeeiQPD0/edit?usp=sharing"",""อุทัยธานี!S375"")"),0)</f>
        <v>0</v>
      </c>
      <c r="U30" s="109">
        <f t="shared" ca="1" si="32"/>
        <v>0</v>
      </c>
      <c r="V30" s="109">
        <f t="shared" ca="1" si="33"/>
        <v>0</v>
      </c>
      <c r="W30" s="410">
        <f t="shared" ca="1" si="36"/>
        <v>4000</v>
      </c>
      <c r="X30" s="410">
        <f ca="1">IFERROR(__xludf.DUMMYFUNCTION("IMPORTRANGE(""https://docs.google.com/spreadsheets/d/1UsNK1e-WWiCo2PvGqdNfdme4m17_Ezd3J69EeeiQPD0/edit?usp=sharing"",""อุทัยธานี!J374"")"),0)</f>
        <v>0</v>
      </c>
      <c r="Y30" s="411">
        <f t="shared" ca="1" si="13"/>
        <v>0</v>
      </c>
      <c r="Z30" s="410">
        <f ca="1">IFERROR(__xludf.DUMMYFUNCTION("IMPORTRANGE(""https://docs.google.com/spreadsheets/d/1UsNK1e-WWiCo2PvGqdNfdme4m17_Ezd3J69EeeiQPD0/edit?usp=sharing"",""อุทัยธานี!I386"")"),4000)</f>
        <v>4000</v>
      </c>
      <c r="AA30" s="104">
        <f t="shared" ref="AA30:AB30" ca="1" si="37">SUM(AA31:AA50)</f>
        <v>0</v>
      </c>
      <c r="AB30" s="104">
        <f t="shared" ca="1" si="37"/>
        <v>0</v>
      </c>
      <c r="AC30" s="412">
        <f ca="1">IFERROR(__xludf.DUMMYFUNCTION("IMPORTRANGE(""https://docs.google.com/spreadsheets/d/1UsNK1e-WWiCo2PvGqdNfdme4m17_Ezd3J69EeeiQPD0/edit?usp=sharing"",""อุทัยธานี!I388"")"),0)</f>
        <v>0</v>
      </c>
      <c r="AD30" s="104">
        <f t="shared" ref="AD30:AE30" ca="1" si="38">SUM(AD31:AD50)</f>
        <v>0</v>
      </c>
      <c r="AE30" s="104">
        <f t="shared" ca="1" si="38"/>
        <v>0</v>
      </c>
    </row>
    <row r="31" spans="1:31" ht="19.5" x14ac:dyDescent="0.3">
      <c r="A31" s="636" t="s">
        <v>57</v>
      </c>
      <c r="B31" s="633"/>
      <c r="C31" s="161">
        <f t="shared" si="23"/>
        <v>0</v>
      </c>
      <c r="D31" s="161">
        <f t="shared" ref="D31:I31" si="39">SUM(D32:D51)</f>
        <v>0</v>
      </c>
      <c r="E31" s="161">
        <f t="shared" si="39"/>
        <v>0</v>
      </c>
      <c r="F31" s="161">
        <f t="shared" si="39"/>
        <v>0</v>
      </c>
      <c r="G31" s="161">
        <f t="shared" si="39"/>
        <v>0</v>
      </c>
      <c r="H31" s="161">
        <f t="shared" si="39"/>
        <v>0</v>
      </c>
      <c r="I31" s="161">
        <f t="shared" si="39"/>
        <v>0</v>
      </c>
      <c r="J31" s="161">
        <f t="shared" si="25"/>
        <v>0</v>
      </c>
      <c r="K31" s="162">
        <f t="shared" si="26"/>
        <v>0</v>
      </c>
      <c r="L31" s="161">
        <f>SUM(L32:L51)</f>
        <v>0</v>
      </c>
      <c r="M31" s="40">
        <f t="shared" si="27"/>
        <v>0</v>
      </c>
      <c r="N31" s="40">
        <f t="shared" si="28"/>
        <v>0</v>
      </c>
      <c r="O31" s="39">
        <f>SUM(O32:O51)</f>
        <v>0</v>
      </c>
      <c r="P31" s="39">
        <f t="shared" si="29"/>
        <v>0</v>
      </c>
      <c r="Q31" s="40">
        <f t="shared" si="30"/>
        <v>0</v>
      </c>
      <c r="R31" s="39">
        <f t="shared" ref="R31:T31" ca="1" si="40">SUM(R32:R51)</f>
        <v>4456250</v>
      </c>
      <c r="S31" s="39">
        <f t="shared" ca="1" si="40"/>
        <v>0</v>
      </c>
      <c r="T31" s="39">
        <f t="shared" ca="1" si="40"/>
        <v>0</v>
      </c>
      <c r="U31" s="40">
        <f t="shared" ca="1" si="32"/>
        <v>0</v>
      </c>
      <c r="V31" s="40">
        <f t="shared" ca="1" si="33"/>
        <v>0</v>
      </c>
      <c r="W31" s="394">
        <f t="shared" ref="W31:X31" ca="1" si="41">SUM(W32:W51)</f>
        <v>200900</v>
      </c>
      <c r="X31" s="394">
        <f t="shared" ca="1" si="41"/>
        <v>0</v>
      </c>
      <c r="Y31" s="395">
        <f t="shared" ca="1" si="13"/>
        <v>0</v>
      </c>
      <c r="Z31" s="394">
        <f ca="1">SUM(Z32:Z51)</f>
        <v>71300</v>
      </c>
      <c r="AA31" s="71">
        <f ca="1">IFERROR(__xludf.DUMMYFUNCTION("IMPORTRANGE(""https://docs.google.com/spreadsheets/d/1yhBcrRPreicbMKl9Bu_Snb2-OcQAF62RKfhTLhJ2eAA/edit?usp=sharing"",""กาฬสินธุ์!J374"")"),0)</f>
        <v>0</v>
      </c>
      <c r="AB31" s="71">
        <f ca="1">IFERROR(__xludf.DUMMYFUNCTION("IMPORTRANGE(""https://docs.google.com/spreadsheets/d/1yhBcrRPreicbMKl9Bu_Snb2-OcQAF62RKfhTLhJ2eAA/edit?usp=sharing"",""กาฬสินธุ์!J374"")"),0)</f>
        <v>0</v>
      </c>
      <c r="AC31" s="347">
        <f ca="1">SUM(AC32:AC51)</f>
        <v>129600</v>
      </c>
      <c r="AD31" s="71">
        <f ca="1">IFERROR(__xludf.DUMMYFUNCTION("IMPORTRANGE(""https://docs.google.com/spreadsheets/d/1yhBcrRPreicbMKl9Bu_Snb2-OcQAF62RKfhTLhJ2eAA/edit?usp=sharing"",""กาฬสินธุ์!J374"")"),0)</f>
        <v>0</v>
      </c>
      <c r="AE31" s="71">
        <f ca="1">IFERROR(__xludf.DUMMYFUNCTION("IMPORTRANGE(""https://docs.google.com/spreadsheets/d/1yhBcrRPreicbMKl9Bu_Snb2-OcQAF62RKfhTLhJ2eAA/edit?usp=sharing"",""กาฬสินธุ์!J374"")"),0)</f>
        <v>0</v>
      </c>
    </row>
    <row r="32" spans="1:31" ht="19.5" x14ac:dyDescent="0.3">
      <c r="A32" s="172">
        <v>1</v>
      </c>
      <c r="B32" s="173" t="s">
        <v>58</v>
      </c>
      <c r="C32" s="174">
        <f t="shared" si="23"/>
        <v>0</v>
      </c>
      <c r="D32" s="175">
        <f t="shared" ref="D32:D51" si="42">+E32+F32</f>
        <v>0</v>
      </c>
      <c r="E32" s="403">
        <v>0</v>
      </c>
      <c r="F32" s="403">
        <v>0</v>
      </c>
      <c r="G32" s="219">
        <v>0</v>
      </c>
      <c r="H32" s="219">
        <v>0</v>
      </c>
      <c r="I32" s="219">
        <v>0</v>
      </c>
      <c r="J32" s="177">
        <f t="shared" si="25"/>
        <v>0</v>
      </c>
      <c r="K32" s="178">
        <f t="shared" si="26"/>
        <v>0</v>
      </c>
      <c r="L32" s="219">
        <v>0</v>
      </c>
      <c r="M32" s="87">
        <f t="shared" si="27"/>
        <v>0</v>
      </c>
      <c r="N32" s="87">
        <f t="shared" si="28"/>
        <v>0</v>
      </c>
      <c r="O32" s="403">
        <v>0</v>
      </c>
      <c r="P32" s="86">
        <f t="shared" si="29"/>
        <v>0</v>
      </c>
      <c r="Q32" s="87">
        <f t="shared" si="30"/>
        <v>0</v>
      </c>
      <c r="R32" s="86">
        <f ca="1">IFERROR(__xludf.DUMMYFUNCTION("IMPORTRANGE(""https://docs.google.com/spreadsheets/d/1yhBcrRPreicbMKl9Bu_Snb2-OcQAF62RKfhTLhJ2eAA/edit?usp=sharing"",""กาฬสินธุ์!Q375"")"),62500)</f>
        <v>62500</v>
      </c>
      <c r="S32" s="86">
        <f ca="1">IFERROR(__xludf.DUMMYFUNCTION("IMPORTRANGE(""https://docs.google.com/spreadsheets/d/1yhBcrRPreicbMKl9Bu_Snb2-OcQAF62RKfhTLhJ2eAA/edit?usp=sharing"",""กาฬสินธุ์!R375"")"),0)</f>
        <v>0</v>
      </c>
      <c r="T32" s="86">
        <f ca="1">IFERROR(__xludf.DUMMYFUNCTION("IMPORTRANGE(""https://docs.google.com/spreadsheets/d/1yhBcrRPreicbMKl9Bu_Snb2-OcQAF62RKfhTLhJ2eAA/edit?usp=sharing"",""กาฬสินธุ์!S375"")"),0)</f>
        <v>0</v>
      </c>
      <c r="U32" s="87">
        <f t="shared" ca="1" si="32"/>
        <v>0</v>
      </c>
      <c r="V32" s="87">
        <f t="shared" ca="1" si="33"/>
        <v>0</v>
      </c>
      <c r="W32" s="404">
        <f t="shared" ref="W32:W51" ca="1" si="43">Z32+AC32</f>
        <v>1000</v>
      </c>
      <c r="X32" s="404">
        <f ca="1">IFERROR(__xludf.DUMMYFUNCTION("IMPORTRANGE(""https://docs.google.com/spreadsheets/d/1yhBcrRPreicbMKl9Bu_Snb2-OcQAF62RKfhTLhJ2eAA/edit?usp=sharing"",""กาฬสินธุ์!J374"")"),0)</f>
        <v>0</v>
      </c>
      <c r="Y32" s="405">
        <f t="shared" ca="1" si="13"/>
        <v>0</v>
      </c>
      <c r="Z32" s="404">
        <f ca="1">IFERROR(__xludf.DUMMYFUNCTION("IMPORTRANGE(""https://docs.google.com/spreadsheets/d/1yhBcrRPreicbMKl9Bu_Snb2-OcQAF62RKfhTLhJ2eAA/edit?usp=sharing"",""กาฬสินธุ์!I386"")"),1000)</f>
        <v>1000</v>
      </c>
      <c r="AA32" s="81">
        <f ca="1">IFERROR(__xludf.DUMMYFUNCTION("IMPORTRANGE(""https://docs.google.com/spreadsheets/d/1aHkj4IaQMThhwWwevcOymEh837vdxeC_PycurhTbGFA/edit?usp=sharing"",""ขอนแก่น!J374"")"),0)</f>
        <v>0</v>
      </c>
      <c r="AB32" s="81">
        <f ca="1">IFERROR(__xludf.DUMMYFUNCTION("IMPORTRANGE(""https://docs.google.com/spreadsheets/d/1aHkj4IaQMThhwWwevcOymEh837vdxeC_PycurhTbGFA/edit?usp=sharing"",""ขอนแก่น!J374"")"),0)</f>
        <v>0</v>
      </c>
      <c r="AC32" s="406">
        <f ca="1">IFERROR(__xludf.DUMMYFUNCTION("IMPORTRANGE(""https://docs.google.com/spreadsheets/d/1yhBcrRPreicbMKl9Bu_Snb2-OcQAF62RKfhTLhJ2eAA/edit?usp=sharing"",""กาฬสินธุ์!I388"")"),0)</f>
        <v>0</v>
      </c>
      <c r="AD32" s="81">
        <f ca="1">IFERROR(__xludf.DUMMYFUNCTION("IMPORTRANGE(""https://docs.google.com/spreadsheets/d/1aHkj4IaQMThhwWwevcOymEh837vdxeC_PycurhTbGFA/edit?usp=sharing"",""ขอนแก่น!J374"")"),0)</f>
        <v>0</v>
      </c>
      <c r="AE32" s="81">
        <f ca="1">IFERROR(__xludf.DUMMYFUNCTION("IMPORTRANGE(""https://docs.google.com/spreadsheets/d/1aHkj4IaQMThhwWwevcOymEh837vdxeC_PycurhTbGFA/edit?usp=sharing"",""ขอนแก่น!J374"")"),0)</f>
        <v>0</v>
      </c>
    </row>
    <row r="33" spans="1:31" ht="19.5" x14ac:dyDescent="0.3">
      <c r="A33" s="172">
        <v>2</v>
      </c>
      <c r="B33" s="173" t="s">
        <v>59</v>
      </c>
      <c r="C33" s="174">
        <f t="shared" si="23"/>
        <v>0</v>
      </c>
      <c r="D33" s="175">
        <f t="shared" si="42"/>
        <v>0</v>
      </c>
      <c r="E33" s="403">
        <v>0</v>
      </c>
      <c r="F33" s="403">
        <v>0</v>
      </c>
      <c r="G33" s="403">
        <v>0</v>
      </c>
      <c r="H33" s="403">
        <v>0</v>
      </c>
      <c r="I33" s="403">
        <v>0</v>
      </c>
      <c r="J33" s="176">
        <f t="shared" si="25"/>
        <v>0</v>
      </c>
      <c r="K33" s="179">
        <f t="shared" si="26"/>
        <v>0</v>
      </c>
      <c r="L33" s="403">
        <v>0</v>
      </c>
      <c r="M33" s="87">
        <f t="shared" si="27"/>
        <v>0</v>
      </c>
      <c r="N33" s="87">
        <f t="shared" si="28"/>
        <v>0</v>
      </c>
      <c r="O33" s="403">
        <v>0</v>
      </c>
      <c r="P33" s="86">
        <f t="shared" si="29"/>
        <v>0</v>
      </c>
      <c r="Q33" s="87">
        <f t="shared" si="30"/>
        <v>0</v>
      </c>
      <c r="R33" s="86">
        <f ca="1">IFERROR(__xludf.DUMMYFUNCTION("IMPORTRANGE(""https://docs.google.com/spreadsheets/d/1aHkj4IaQMThhwWwevcOymEh837vdxeC_PycurhTbGFA/edit?usp=sharing"",""ขอนแก่น!Q375"")"),62500)</f>
        <v>62500</v>
      </c>
      <c r="S33" s="86">
        <f ca="1">IFERROR(__xludf.DUMMYFUNCTION("IMPORTRANGE(""https://docs.google.com/spreadsheets/d/1aHkj4IaQMThhwWwevcOymEh837vdxeC_PycurhTbGFA/edit?usp=sharing"",""ขอนแก่น!R375"")"),0)</f>
        <v>0</v>
      </c>
      <c r="T33" s="86">
        <f ca="1">IFERROR(__xludf.DUMMYFUNCTION("IMPORTRANGE(""https://docs.google.com/spreadsheets/d/1aHkj4IaQMThhwWwevcOymEh837vdxeC_PycurhTbGFA/edit?usp=sharing"",""ขอนแก่น!S375"")"),0)</f>
        <v>0</v>
      </c>
      <c r="U33" s="87">
        <f t="shared" ca="1" si="32"/>
        <v>0</v>
      </c>
      <c r="V33" s="87">
        <f t="shared" ca="1" si="33"/>
        <v>0</v>
      </c>
      <c r="W33" s="404">
        <f t="shared" ca="1" si="43"/>
        <v>1000</v>
      </c>
      <c r="X33" s="404">
        <f ca="1">IFERROR(__xludf.DUMMYFUNCTION("IMPORTRANGE(""https://docs.google.com/spreadsheets/d/1aHkj4IaQMThhwWwevcOymEh837vdxeC_PycurhTbGFA/edit?usp=sharing"",""ขอนแก่น!J374"")"),0)</f>
        <v>0</v>
      </c>
      <c r="Y33" s="405">
        <f t="shared" ca="1" si="13"/>
        <v>0</v>
      </c>
      <c r="Z33" s="404">
        <f ca="1">IFERROR(__xludf.DUMMYFUNCTION("IMPORTRANGE(""https://docs.google.com/spreadsheets/d/1aHkj4IaQMThhwWwevcOymEh837vdxeC_PycurhTbGFA/edit?usp=sharing"",""ขอนแก่น!I386"")"),1000)</f>
        <v>1000</v>
      </c>
      <c r="AA33" s="93">
        <f ca="1">IFERROR(__xludf.DUMMYFUNCTION("IMPORTRANGE(""https://docs.google.com/spreadsheets/d/1FvTu2DsIWUjP6WCWra38Bkj_oOl_sOMf14r5Fg5srxU/edit?usp=sharing"",""ชัยภูมิ!J374"")"),0)</f>
        <v>0</v>
      </c>
      <c r="AB33" s="93">
        <f ca="1">IFERROR(__xludf.DUMMYFUNCTION("IMPORTRANGE(""https://docs.google.com/spreadsheets/d/1FvTu2DsIWUjP6WCWra38Bkj_oOl_sOMf14r5Fg5srxU/edit?usp=sharing"",""ชัยภูมิ!J374"")"),0)</f>
        <v>0</v>
      </c>
      <c r="AC33" s="406">
        <f ca="1">IFERROR(__xludf.DUMMYFUNCTION("IMPORTRANGE(""https://docs.google.com/spreadsheets/d/1aHkj4IaQMThhwWwevcOymEh837vdxeC_PycurhTbGFA/edit?usp=sharing"",""ขอนแก่น!I388"")"),0)</f>
        <v>0</v>
      </c>
      <c r="AD33" s="93">
        <f ca="1">IFERROR(__xludf.DUMMYFUNCTION("IMPORTRANGE(""https://docs.google.com/spreadsheets/d/1FvTu2DsIWUjP6WCWra38Bkj_oOl_sOMf14r5Fg5srxU/edit?usp=sharing"",""ชัยภูมิ!J374"")"),0)</f>
        <v>0</v>
      </c>
      <c r="AE33" s="93">
        <f ca="1">IFERROR(__xludf.DUMMYFUNCTION("IMPORTRANGE(""https://docs.google.com/spreadsheets/d/1FvTu2DsIWUjP6WCWra38Bkj_oOl_sOMf14r5Fg5srxU/edit?usp=sharing"",""ชัยภูมิ!J374"")"),0)</f>
        <v>0</v>
      </c>
    </row>
    <row r="34" spans="1:31" ht="19.5" x14ac:dyDescent="0.3">
      <c r="A34" s="172">
        <v>3</v>
      </c>
      <c r="B34" s="173" t="s">
        <v>60</v>
      </c>
      <c r="C34" s="174">
        <f t="shared" si="23"/>
        <v>0</v>
      </c>
      <c r="D34" s="175">
        <f t="shared" si="42"/>
        <v>0</v>
      </c>
      <c r="E34" s="403">
        <v>0</v>
      </c>
      <c r="F34" s="403">
        <v>0</v>
      </c>
      <c r="G34" s="403">
        <v>0</v>
      </c>
      <c r="H34" s="403">
        <v>0</v>
      </c>
      <c r="I34" s="403">
        <v>0</v>
      </c>
      <c r="J34" s="176">
        <f t="shared" si="25"/>
        <v>0</v>
      </c>
      <c r="K34" s="179">
        <f t="shared" si="26"/>
        <v>0</v>
      </c>
      <c r="L34" s="403">
        <v>0</v>
      </c>
      <c r="M34" s="87">
        <f t="shared" si="27"/>
        <v>0</v>
      </c>
      <c r="N34" s="87">
        <f t="shared" si="28"/>
        <v>0</v>
      </c>
      <c r="O34" s="403">
        <v>0</v>
      </c>
      <c r="P34" s="86">
        <f t="shared" si="29"/>
        <v>0</v>
      </c>
      <c r="Q34" s="87">
        <f t="shared" si="30"/>
        <v>0</v>
      </c>
      <c r="R34" s="86">
        <f ca="1">IFERROR(__xludf.DUMMYFUNCTION("IMPORTRANGE(""https://docs.google.com/spreadsheets/d/1FvTu2DsIWUjP6WCWra38Bkj_oOl_sOMf14r5Fg5srxU/edit?usp=sharing"",""ชัยภูมิ!Q375"")"),0)</f>
        <v>0</v>
      </c>
      <c r="S34" s="86">
        <f ca="1">IFERROR(__xludf.DUMMYFUNCTION("IMPORTRANGE(""https://docs.google.com/spreadsheets/d/1FvTu2DsIWUjP6WCWra38Bkj_oOl_sOMf14r5Fg5srxU/edit?usp=sharing"",""ชัยภูมิ!R375"")"),0)</f>
        <v>0</v>
      </c>
      <c r="T34" s="86">
        <f ca="1">IFERROR(__xludf.DUMMYFUNCTION("IMPORTRANGE(""https://docs.google.com/spreadsheets/d/1FvTu2DsIWUjP6WCWra38Bkj_oOl_sOMf14r5Fg5srxU/edit?usp=sharing"",""ชัยภูมิ!S375"")"),0)</f>
        <v>0</v>
      </c>
      <c r="U34" s="87">
        <f t="shared" ca="1" si="32"/>
        <v>0</v>
      </c>
      <c r="V34" s="87">
        <f t="shared" ca="1" si="33"/>
        <v>0</v>
      </c>
      <c r="W34" s="404">
        <f t="shared" ca="1" si="43"/>
        <v>0</v>
      </c>
      <c r="X34" s="404">
        <f ca="1">IFERROR(__xludf.DUMMYFUNCTION("IMPORTRANGE(""https://docs.google.com/spreadsheets/d/1FvTu2DsIWUjP6WCWra38Bkj_oOl_sOMf14r5Fg5srxU/edit?usp=sharing"",""ชัยภูมิ!J374"")"),0)</f>
        <v>0</v>
      </c>
      <c r="Y34" s="405">
        <f t="shared" ca="1" si="13"/>
        <v>0</v>
      </c>
      <c r="Z34" s="404">
        <f ca="1">IFERROR(__xludf.DUMMYFUNCTION("IMPORTRANGE(""https://docs.google.com/spreadsheets/d/1FvTu2DsIWUjP6WCWra38Bkj_oOl_sOMf14r5Fg5srxU/edit?usp=sharing"",""ชัยภูมิ!I386"")"),0)</f>
        <v>0</v>
      </c>
      <c r="AA34" s="93">
        <f ca="1">IFERROR(__xludf.DUMMYFUNCTION("IMPORTRANGE(""https://docs.google.com/spreadsheets/d/1XVB7oCJ3pr-vBUdflwPQ8Z2LlzhnCvZaaYjAfP-647E/edit?usp=sharing"",""นครพนม!J374"")"),0)</f>
        <v>0</v>
      </c>
      <c r="AB34" s="93">
        <f ca="1">IFERROR(__xludf.DUMMYFUNCTION("IMPORTRANGE(""https://docs.google.com/spreadsheets/d/1XVB7oCJ3pr-vBUdflwPQ8Z2LlzhnCvZaaYjAfP-647E/edit?usp=sharing"",""นครพนม!J374"")"),0)</f>
        <v>0</v>
      </c>
      <c r="AC34" s="406">
        <f ca="1">IFERROR(__xludf.DUMMYFUNCTION("IMPORTRANGE(""https://docs.google.com/spreadsheets/d/1FvTu2DsIWUjP6WCWra38Bkj_oOl_sOMf14r5Fg5srxU/edit?usp=sharing"",""ชัยภูมิ!I388"")"),0)</f>
        <v>0</v>
      </c>
      <c r="AD34" s="93">
        <f ca="1">IFERROR(__xludf.DUMMYFUNCTION("IMPORTRANGE(""https://docs.google.com/spreadsheets/d/1XVB7oCJ3pr-vBUdflwPQ8Z2LlzhnCvZaaYjAfP-647E/edit?usp=sharing"",""นครพนม!J374"")"),0)</f>
        <v>0</v>
      </c>
      <c r="AE34" s="93">
        <f ca="1">IFERROR(__xludf.DUMMYFUNCTION("IMPORTRANGE(""https://docs.google.com/spreadsheets/d/1XVB7oCJ3pr-vBUdflwPQ8Z2LlzhnCvZaaYjAfP-647E/edit?usp=sharing"",""นครพนม!J374"")"),0)</f>
        <v>0</v>
      </c>
    </row>
    <row r="35" spans="1:31" ht="19.5" x14ac:dyDescent="0.3">
      <c r="A35" s="172">
        <v>4</v>
      </c>
      <c r="B35" s="173" t="s">
        <v>61</v>
      </c>
      <c r="C35" s="174">
        <f t="shared" si="23"/>
        <v>0</v>
      </c>
      <c r="D35" s="175">
        <f t="shared" si="42"/>
        <v>0</v>
      </c>
      <c r="E35" s="403">
        <v>0</v>
      </c>
      <c r="F35" s="403">
        <v>0</v>
      </c>
      <c r="G35" s="403">
        <v>0</v>
      </c>
      <c r="H35" s="403">
        <v>0</v>
      </c>
      <c r="I35" s="403">
        <v>0</v>
      </c>
      <c r="J35" s="176">
        <f t="shared" si="25"/>
        <v>0</v>
      </c>
      <c r="K35" s="179">
        <f t="shared" si="26"/>
        <v>0</v>
      </c>
      <c r="L35" s="403">
        <v>0</v>
      </c>
      <c r="M35" s="87">
        <f t="shared" si="27"/>
        <v>0</v>
      </c>
      <c r="N35" s="87">
        <f t="shared" si="28"/>
        <v>0</v>
      </c>
      <c r="O35" s="403">
        <v>0</v>
      </c>
      <c r="P35" s="86">
        <f t="shared" si="29"/>
        <v>0</v>
      </c>
      <c r="Q35" s="87">
        <f t="shared" si="30"/>
        <v>0</v>
      </c>
      <c r="R35" s="86">
        <f ca="1">IFERROR(__xludf.DUMMYFUNCTION("IMPORTRANGE(""https://docs.google.com/spreadsheets/d/1XVB7oCJ3pr-vBUdflwPQ8Z2LlzhnCvZaaYjAfP-647E/edit?usp=sharing"",""นครพนม!Q375"")"),62500)</f>
        <v>62500</v>
      </c>
      <c r="S35" s="86">
        <f ca="1">IFERROR(__xludf.DUMMYFUNCTION("IMPORTRANGE(""https://docs.google.com/spreadsheets/d/1XVB7oCJ3pr-vBUdflwPQ8Z2LlzhnCvZaaYjAfP-647E/edit?usp=sharing"",""นครพนม!R375"")"),0)</f>
        <v>0</v>
      </c>
      <c r="T35" s="86">
        <f ca="1">IFERROR(__xludf.DUMMYFUNCTION("IMPORTRANGE(""https://docs.google.com/spreadsheets/d/1XVB7oCJ3pr-vBUdflwPQ8Z2LlzhnCvZaaYjAfP-647E/edit?usp=sharing"",""นครพนม!S375"")"),0)</f>
        <v>0</v>
      </c>
      <c r="U35" s="87">
        <f t="shared" ca="1" si="32"/>
        <v>0</v>
      </c>
      <c r="V35" s="87">
        <f t="shared" ca="1" si="33"/>
        <v>0</v>
      </c>
      <c r="W35" s="404">
        <f t="shared" ca="1" si="43"/>
        <v>1000</v>
      </c>
      <c r="X35" s="404">
        <f ca="1">IFERROR(__xludf.DUMMYFUNCTION("IMPORTRANGE(""https://docs.google.com/spreadsheets/d/1XVB7oCJ3pr-vBUdflwPQ8Z2LlzhnCvZaaYjAfP-647E/edit?usp=sharing"",""นครพนม!J374"")"),0)</f>
        <v>0</v>
      </c>
      <c r="Y35" s="405">
        <f t="shared" ca="1" si="13"/>
        <v>0</v>
      </c>
      <c r="Z35" s="404">
        <f ca="1">IFERROR(__xludf.DUMMYFUNCTION("IMPORTRANGE(""https://docs.google.com/spreadsheets/d/1XVB7oCJ3pr-vBUdflwPQ8Z2LlzhnCvZaaYjAfP-647E/edit?usp=sharing"",""นครพนม!I386"")"),1000)</f>
        <v>1000</v>
      </c>
      <c r="AA35" s="93">
        <f ca="1">IFERROR(__xludf.DUMMYFUNCTION("IMPORTRANGE(""https://docs.google.com/spreadsheets/d/1Mnpb-8PYAgn85W6KOTD40hc_Xc55CaLfHoGAbrZ8tls/edit?usp=sharing"",""นครราชสีมา!J374"")"),0)</f>
        <v>0</v>
      </c>
      <c r="AB35" s="93">
        <f ca="1">IFERROR(__xludf.DUMMYFUNCTION("IMPORTRANGE(""https://docs.google.com/spreadsheets/d/1Mnpb-8PYAgn85W6KOTD40hc_Xc55CaLfHoGAbrZ8tls/edit?usp=sharing"",""นครราชสีมา!J374"")"),0)</f>
        <v>0</v>
      </c>
      <c r="AC35" s="406">
        <f ca="1">IFERROR(__xludf.DUMMYFUNCTION("IMPORTRANGE(""https://docs.google.com/spreadsheets/d/1XVB7oCJ3pr-vBUdflwPQ8Z2LlzhnCvZaaYjAfP-647E/edit?usp=sharing"",""นครพนม!I388"")"),0)</f>
        <v>0</v>
      </c>
      <c r="AD35" s="93">
        <f ca="1">IFERROR(__xludf.DUMMYFUNCTION("IMPORTRANGE(""https://docs.google.com/spreadsheets/d/1Mnpb-8PYAgn85W6KOTD40hc_Xc55CaLfHoGAbrZ8tls/edit?usp=sharing"",""นครราชสีมา!J374"")"),0)</f>
        <v>0</v>
      </c>
      <c r="AE35" s="93">
        <f ca="1">IFERROR(__xludf.DUMMYFUNCTION("IMPORTRANGE(""https://docs.google.com/spreadsheets/d/1Mnpb-8PYAgn85W6KOTD40hc_Xc55CaLfHoGAbrZ8tls/edit?usp=sharing"",""นครราชสีมา!J374"")"),0)</f>
        <v>0</v>
      </c>
    </row>
    <row r="36" spans="1:31" ht="19.5" x14ac:dyDescent="0.3">
      <c r="A36" s="172">
        <v>5</v>
      </c>
      <c r="B36" s="173" t="s">
        <v>62</v>
      </c>
      <c r="C36" s="174">
        <f t="shared" si="23"/>
        <v>0</v>
      </c>
      <c r="D36" s="175">
        <f t="shared" si="42"/>
        <v>0</v>
      </c>
      <c r="E36" s="403">
        <v>0</v>
      </c>
      <c r="F36" s="403">
        <v>0</v>
      </c>
      <c r="G36" s="403">
        <v>0</v>
      </c>
      <c r="H36" s="403">
        <v>0</v>
      </c>
      <c r="I36" s="403">
        <v>0</v>
      </c>
      <c r="J36" s="176">
        <f t="shared" si="25"/>
        <v>0</v>
      </c>
      <c r="K36" s="179">
        <f t="shared" si="26"/>
        <v>0</v>
      </c>
      <c r="L36" s="403">
        <v>0</v>
      </c>
      <c r="M36" s="87">
        <f t="shared" si="27"/>
        <v>0</v>
      </c>
      <c r="N36" s="87">
        <f t="shared" si="28"/>
        <v>0</v>
      </c>
      <c r="O36" s="403">
        <v>0</v>
      </c>
      <c r="P36" s="86">
        <f t="shared" si="29"/>
        <v>0</v>
      </c>
      <c r="Q36" s="87">
        <f t="shared" si="30"/>
        <v>0</v>
      </c>
      <c r="R36" s="86">
        <f ca="1">IFERROR(__xludf.DUMMYFUNCTION("IMPORTRANGE(""https://docs.google.com/spreadsheets/d/1Mnpb-8PYAgn85W6KOTD40hc_Xc55CaLfHoGAbrZ8tls/edit?usp=sharing"",""นครราชสีมา!Q375"")"),750000)</f>
        <v>750000</v>
      </c>
      <c r="S36" s="86">
        <f ca="1">IFERROR(__xludf.DUMMYFUNCTION("IMPORTRANGE(""https://docs.google.com/spreadsheets/d/1Mnpb-8PYAgn85W6KOTD40hc_Xc55CaLfHoGAbrZ8tls/edit?usp=sharing"",""นครราชสีมา!R375"")"),0)</f>
        <v>0</v>
      </c>
      <c r="T36" s="86">
        <f ca="1">IFERROR(__xludf.DUMMYFUNCTION("IMPORTRANGE(""https://docs.google.com/spreadsheets/d/1Mnpb-8PYAgn85W6KOTD40hc_Xc55CaLfHoGAbrZ8tls/edit?usp=sharing"",""นครราชสีมา!S375"")"),0)</f>
        <v>0</v>
      </c>
      <c r="U36" s="87">
        <f t="shared" ca="1" si="32"/>
        <v>0</v>
      </c>
      <c r="V36" s="87">
        <f t="shared" ca="1" si="33"/>
        <v>0</v>
      </c>
      <c r="W36" s="404">
        <f t="shared" ca="1" si="43"/>
        <v>98400</v>
      </c>
      <c r="X36" s="404">
        <f ca="1">IFERROR(__xludf.DUMMYFUNCTION("IMPORTRANGE(""https://docs.google.com/spreadsheets/d/1Mnpb-8PYAgn85W6KOTD40hc_Xc55CaLfHoGAbrZ8tls/edit?usp=sharing"",""นครราชสีมา!J374"")"),0)</f>
        <v>0</v>
      </c>
      <c r="Y36" s="405">
        <f t="shared" ca="1" si="13"/>
        <v>0</v>
      </c>
      <c r="Z36" s="404">
        <f ca="1">IFERROR(__xludf.DUMMYFUNCTION("IMPORTRANGE(""https://docs.google.com/spreadsheets/d/1Mnpb-8PYAgn85W6KOTD40hc_Xc55CaLfHoGAbrZ8tls/edit?usp=sharing"",""นครราชสีมา!I386"")"),12000)</f>
        <v>12000</v>
      </c>
      <c r="AA36" s="93">
        <f ca="1">IFERROR(__xludf.DUMMYFUNCTION("IMPORTRANGE(""https://docs.google.com/spreadsheets/d/1xoDLGBv9CYbyosIhki0kTq6IpYNj-gpjxfobnaDiut0/edit?usp=sharing"",""บึงกาฬ!J374"")"),0)</f>
        <v>0</v>
      </c>
      <c r="AB36" s="93">
        <f ca="1">IFERROR(__xludf.DUMMYFUNCTION("IMPORTRANGE(""https://docs.google.com/spreadsheets/d/1xoDLGBv9CYbyosIhki0kTq6IpYNj-gpjxfobnaDiut0/edit?usp=sharing"",""บึงกาฬ!J374"")"),0)</f>
        <v>0</v>
      </c>
      <c r="AC36" s="406">
        <f ca="1">IFERROR(__xludf.DUMMYFUNCTION("IMPORTRANGE(""https://docs.google.com/spreadsheets/d/1Mnpb-8PYAgn85W6KOTD40hc_Xc55CaLfHoGAbrZ8tls/edit?usp=sharing"",""นครราชสีมา!I388"")"),86400)</f>
        <v>86400</v>
      </c>
      <c r="AD36" s="93">
        <f ca="1">IFERROR(__xludf.DUMMYFUNCTION("IMPORTRANGE(""https://docs.google.com/spreadsheets/d/1xoDLGBv9CYbyosIhki0kTq6IpYNj-gpjxfobnaDiut0/edit?usp=sharing"",""บึงกาฬ!J374"")"),0)</f>
        <v>0</v>
      </c>
      <c r="AE36" s="93">
        <f ca="1">IFERROR(__xludf.DUMMYFUNCTION("IMPORTRANGE(""https://docs.google.com/spreadsheets/d/1xoDLGBv9CYbyosIhki0kTq6IpYNj-gpjxfobnaDiut0/edit?usp=sharing"",""บึงกาฬ!J374"")"),0)</f>
        <v>0</v>
      </c>
    </row>
    <row r="37" spans="1:31" ht="19.5" x14ac:dyDescent="0.3">
      <c r="A37" s="172">
        <v>6</v>
      </c>
      <c r="B37" s="173" t="s">
        <v>63</v>
      </c>
      <c r="C37" s="174">
        <f t="shared" si="23"/>
        <v>0</v>
      </c>
      <c r="D37" s="175">
        <f t="shared" si="42"/>
        <v>0</v>
      </c>
      <c r="E37" s="403">
        <v>0</v>
      </c>
      <c r="F37" s="403">
        <v>0</v>
      </c>
      <c r="G37" s="403">
        <v>0</v>
      </c>
      <c r="H37" s="403">
        <v>0</v>
      </c>
      <c r="I37" s="403">
        <v>0</v>
      </c>
      <c r="J37" s="176">
        <f t="shared" si="25"/>
        <v>0</v>
      </c>
      <c r="K37" s="179">
        <f t="shared" si="26"/>
        <v>0</v>
      </c>
      <c r="L37" s="403">
        <v>0</v>
      </c>
      <c r="M37" s="87">
        <f t="shared" si="27"/>
        <v>0</v>
      </c>
      <c r="N37" s="87">
        <f t="shared" si="28"/>
        <v>0</v>
      </c>
      <c r="O37" s="403">
        <v>0</v>
      </c>
      <c r="P37" s="86">
        <f t="shared" si="29"/>
        <v>0</v>
      </c>
      <c r="Q37" s="87">
        <f t="shared" si="30"/>
        <v>0</v>
      </c>
      <c r="R37" s="86">
        <f ca="1">IFERROR(__xludf.DUMMYFUNCTION("IMPORTRANGE(""https://docs.google.com/spreadsheets/d/1xoDLGBv9CYbyosIhki0kTq6IpYNj-gpjxfobnaDiut0/edit?usp=sharing"",""บึงกาฬ!Q375"")"),250000)</f>
        <v>250000</v>
      </c>
      <c r="S37" s="86">
        <f ca="1">IFERROR(__xludf.DUMMYFUNCTION("IMPORTRANGE(""https://docs.google.com/spreadsheets/d/1xoDLGBv9CYbyosIhki0kTq6IpYNj-gpjxfobnaDiut0/edit?usp=sharing"",""บึงกาฬ!R375"")"),0)</f>
        <v>0</v>
      </c>
      <c r="T37" s="86">
        <f ca="1">IFERROR(__xludf.DUMMYFUNCTION("IMPORTRANGE(""https://docs.google.com/spreadsheets/d/1xoDLGBv9CYbyosIhki0kTq6IpYNj-gpjxfobnaDiut0/edit?usp=sharing"",""บึงกาฬ!S375"")"),0)</f>
        <v>0</v>
      </c>
      <c r="U37" s="87">
        <f t="shared" ca="1" si="32"/>
        <v>0</v>
      </c>
      <c r="V37" s="87">
        <f t="shared" ca="1" si="33"/>
        <v>0</v>
      </c>
      <c r="W37" s="404">
        <f t="shared" ca="1" si="43"/>
        <v>4000</v>
      </c>
      <c r="X37" s="404">
        <f ca="1">IFERROR(__xludf.DUMMYFUNCTION("IMPORTRANGE(""https://docs.google.com/spreadsheets/d/1xoDLGBv9CYbyosIhki0kTq6IpYNj-gpjxfobnaDiut0/edit?usp=sharing"",""บึงกาฬ!J374"")"),0)</f>
        <v>0</v>
      </c>
      <c r="Y37" s="405">
        <f t="shared" ca="1" si="13"/>
        <v>0</v>
      </c>
      <c r="Z37" s="404">
        <f ca="1">IFERROR(__xludf.DUMMYFUNCTION("IMPORTRANGE(""https://docs.google.com/spreadsheets/d/1xoDLGBv9CYbyosIhki0kTq6IpYNj-gpjxfobnaDiut0/edit?usp=sharing"",""บึงกาฬ!I386"")"),4000)</f>
        <v>4000</v>
      </c>
      <c r="AA37" s="93">
        <f ca="1">IFERROR(__xludf.DUMMYFUNCTION("IMPORTRANGE(""https://docs.google.com/spreadsheets/d/1MMPq-JyI6DSgQETxuSiXkesP-P7JHuemnE6QJIa-Nlw/edit?usp=sharing"",""บุรีรัมย์!J374"")"),0)</f>
        <v>0</v>
      </c>
      <c r="AB37" s="93">
        <f ca="1">IFERROR(__xludf.DUMMYFUNCTION("IMPORTRANGE(""https://docs.google.com/spreadsheets/d/1MMPq-JyI6DSgQETxuSiXkesP-P7JHuemnE6QJIa-Nlw/edit?usp=sharing"",""บุรีรัมย์!J374"")"),0)</f>
        <v>0</v>
      </c>
      <c r="AC37" s="406">
        <f ca="1">IFERROR(__xludf.DUMMYFUNCTION("IMPORTRANGE(""https://docs.google.com/spreadsheets/d/1xoDLGBv9CYbyosIhki0kTq6IpYNj-gpjxfobnaDiut0/edit?usp=sharing"",""บึงกาฬ!I388"")"),0)</f>
        <v>0</v>
      </c>
      <c r="AD37" s="93">
        <f ca="1">IFERROR(__xludf.DUMMYFUNCTION("IMPORTRANGE(""https://docs.google.com/spreadsheets/d/1MMPq-JyI6DSgQETxuSiXkesP-P7JHuemnE6QJIa-Nlw/edit?usp=sharing"",""บุรีรัมย์!J374"")"),0)</f>
        <v>0</v>
      </c>
      <c r="AE37" s="93">
        <f ca="1">IFERROR(__xludf.DUMMYFUNCTION("IMPORTRANGE(""https://docs.google.com/spreadsheets/d/1MMPq-JyI6DSgQETxuSiXkesP-P7JHuemnE6QJIa-Nlw/edit?usp=sharing"",""บุรีรัมย์!J374"")"),0)</f>
        <v>0</v>
      </c>
    </row>
    <row r="38" spans="1:31" ht="19.5" x14ac:dyDescent="0.3">
      <c r="A38" s="172">
        <v>7</v>
      </c>
      <c r="B38" s="173" t="s">
        <v>64</v>
      </c>
      <c r="C38" s="174">
        <f t="shared" si="23"/>
        <v>0</v>
      </c>
      <c r="D38" s="175">
        <f t="shared" si="42"/>
        <v>0</v>
      </c>
      <c r="E38" s="403">
        <v>0</v>
      </c>
      <c r="F38" s="403">
        <v>0</v>
      </c>
      <c r="G38" s="403">
        <v>0</v>
      </c>
      <c r="H38" s="403">
        <v>0</v>
      </c>
      <c r="I38" s="403">
        <v>0</v>
      </c>
      <c r="J38" s="176">
        <f t="shared" si="25"/>
        <v>0</v>
      </c>
      <c r="K38" s="179">
        <f t="shared" si="26"/>
        <v>0</v>
      </c>
      <c r="L38" s="403">
        <v>0</v>
      </c>
      <c r="M38" s="87">
        <f t="shared" si="27"/>
        <v>0</v>
      </c>
      <c r="N38" s="87">
        <f t="shared" si="28"/>
        <v>0</v>
      </c>
      <c r="O38" s="403">
        <v>0</v>
      </c>
      <c r="P38" s="86">
        <f t="shared" si="29"/>
        <v>0</v>
      </c>
      <c r="Q38" s="87">
        <f t="shared" si="30"/>
        <v>0</v>
      </c>
      <c r="R38" s="86">
        <f ca="1">IFERROR(__xludf.DUMMYFUNCTION("IMPORTRANGE(""https://docs.google.com/spreadsheets/d/1MMPq-JyI6DSgQETxuSiXkesP-P7JHuemnE6QJIa-Nlw/edit?usp=sharing"",""บุรีรัมย์!Q375"")"),125000)</f>
        <v>125000</v>
      </c>
      <c r="S38" s="86">
        <f ca="1">IFERROR(__xludf.DUMMYFUNCTION("IMPORTRANGE(""https://docs.google.com/spreadsheets/d/1MMPq-JyI6DSgQETxuSiXkesP-P7JHuemnE6QJIa-Nlw/edit?usp=sharing"",""บุรีรัมย์!R375"")"),0)</f>
        <v>0</v>
      </c>
      <c r="T38" s="86">
        <f ca="1">IFERROR(__xludf.DUMMYFUNCTION("IMPORTRANGE(""https://docs.google.com/spreadsheets/d/1MMPq-JyI6DSgQETxuSiXkesP-P7JHuemnE6QJIa-Nlw/edit?usp=sharing"",""บุรีรัมย์!S375"")"),0)</f>
        <v>0</v>
      </c>
      <c r="U38" s="87">
        <f t="shared" ca="1" si="32"/>
        <v>0</v>
      </c>
      <c r="V38" s="87">
        <f t="shared" ca="1" si="33"/>
        <v>0</v>
      </c>
      <c r="W38" s="413">
        <f t="shared" ca="1" si="43"/>
        <v>2000</v>
      </c>
      <c r="X38" s="413">
        <f ca="1">IFERROR(__xludf.DUMMYFUNCTION("IMPORTRANGE(""https://docs.google.com/spreadsheets/d/1MMPq-JyI6DSgQETxuSiXkesP-P7JHuemnE6QJIa-Nlw/edit?usp=sharing"",""บุรีรัมย์!J374"")"),0)</f>
        <v>0</v>
      </c>
      <c r="Y38" s="414">
        <f t="shared" ca="1" si="13"/>
        <v>0</v>
      </c>
      <c r="Z38" s="413">
        <f ca="1">IFERROR(__xludf.DUMMYFUNCTION("IMPORTRANGE(""https://docs.google.com/spreadsheets/d/1MMPq-JyI6DSgQETxuSiXkesP-P7JHuemnE6QJIa-Nlw/edit?usp=sharing"",""บุรีรัมย์!I386"")"),2000)</f>
        <v>2000</v>
      </c>
      <c r="AA38" s="97">
        <f ca="1">IFERROR(__xludf.DUMMYFUNCTION("IMPORTRANGE(""https://docs.google.com/spreadsheets/d/1l6IZ8xUPgMrESzcTYwhA1k_tPjeQjJPTqlm8Gd9eU5g/edit?usp=sharing"",""มหาสารคาม!J374"")"),0)</f>
        <v>0</v>
      </c>
      <c r="AB38" s="97">
        <f ca="1">IFERROR(__xludf.DUMMYFUNCTION("IMPORTRANGE(""https://docs.google.com/spreadsheets/d/1l6IZ8xUPgMrESzcTYwhA1k_tPjeQjJPTqlm8Gd9eU5g/edit?usp=sharing"",""มหาสารคาม!J374"")"),0)</f>
        <v>0</v>
      </c>
      <c r="AC38" s="353">
        <f ca="1">IFERROR(__xludf.DUMMYFUNCTION("IMPORTRANGE(""https://docs.google.com/spreadsheets/d/1MMPq-JyI6DSgQETxuSiXkesP-P7JHuemnE6QJIa-Nlw/edit?usp=sharing"",""บุรีรัมย์!I388"")"),0)</f>
        <v>0</v>
      </c>
      <c r="AD38" s="97">
        <f ca="1">IFERROR(__xludf.DUMMYFUNCTION("IMPORTRANGE(""https://docs.google.com/spreadsheets/d/1l6IZ8xUPgMrESzcTYwhA1k_tPjeQjJPTqlm8Gd9eU5g/edit?usp=sharing"",""มหาสารคาม!J374"")"),0)</f>
        <v>0</v>
      </c>
      <c r="AE38" s="97">
        <f ca="1">IFERROR(__xludf.DUMMYFUNCTION("IMPORTRANGE(""https://docs.google.com/spreadsheets/d/1l6IZ8xUPgMrESzcTYwhA1k_tPjeQjJPTqlm8Gd9eU5g/edit?usp=sharing"",""มหาสารคาม!J374"")"),0)</f>
        <v>0</v>
      </c>
    </row>
    <row r="39" spans="1:31" ht="19.5" x14ac:dyDescent="0.3">
      <c r="A39" s="172">
        <v>8</v>
      </c>
      <c r="B39" s="173" t="s">
        <v>65</v>
      </c>
      <c r="C39" s="174">
        <f t="shared" si="23"/>
        <v>0</v>
      </c>
      <c r="D39" s="175">
        <f t="shared" si="42"/>
        <v>0</v>
      </c>
      <c r="E39" s="403">
        <v>0</v>
      </c>
      <c r="F39" s="403">
        <v>0</v>
      </c>
      <c r="G39" s="403">
        <v>0</v>
      </c>
      <c r="H39" s="403">
        <v>0</v>
      </c>
      <c r="I39" s="403">
        <v>0</v>
      </c>
      <c r="J39" s="176">
        <f t="shared" si="25"/>
        <v>0</v>
      </c>
      <c r="K39" s="179">
        <f t="shared" si="26"/>
        <v>0</v>
      </c>
      <c r="L39" s="403">
        <v>0</v>
      </c>
      <c r="M39" s="87">
        <f t="shared" si="27"/>
        <v>0</v>
      </c>
      <c r="N39" s="87">
        <f t="shared" si="28"/>
        <v>0</v>
      </c>
      <c r="O39" s="403">
        <v>0</v>
      </c>
      <c r="P39" s="86">
        <f t="shared" si="29"/>
        <v>0</v>
      </c>
      <c r="Q39" s="87">
        <f t="shared" si="30"/>
        <v>0</v>
      </c>
      <c r="R39" s="86">
        <f ca="1">IFERROR(__xludf.DUMMYFUNCTION("IMPORTRANGE(""https://docs.google.com/spreadsheets/d/1l6IZ8xUPgMrESzcTYwhA1k_tPjeQjJPTqlm8Gd9eU5g/edit?usp=sharing"",""มหาสารคาม!Q375"")"),62500)</f>
        <v>62500</v>
      </c>
      <c r="S39" s="86">
        <f ca="1">IFERROR(__xludf.DUMMYFUNCTION("IMPORTRANGE(""https://docs.google.com/spreadsheets/d/1l6IZ8xUPgMrESzcTYwhA1k_tPjeQjJPTqlm8Gd9eU5g/edit?usp=sharing"",""มหาสารคาม!R375"")"),0)</f>
        <v>0</v>
      </c>
      <c r="T39" s="86">
        <f ca="1">IFERROR(__xludf.DUMMYFUNCTION("IMPORTRANGE(""https://docs.google.com/spreadsheets/d/1l6IZ8xUPgMrESzcTYwhA1k_tPjeQjJPTqlm8Gd9eU5g/edit?usp=sharing"",""มหาสารคาม!S375"")"),0)</f>
        <v>0</v>
      </c>
      <c r="U39" s="87">
        <f t="shared" ca="1" si="32"/>
        <v>0</v>
      </c>
      <c r="V39" s="87">
        <f t="shared" ca="1" si="33"/>
        <v>0</v>
      </c>
      <c r="W39" s="413">
        <f t="shared" ca="1" si="43"/>
        <v>1000</v>
      </c>
      <c r="X39" s="413">
        <f ca="1">IFERROR(__xludf.DUMMYFUNCTION("IMPORTRANGE(""https://docs.google.com/spreadsheets/d/1l6IZ8xUPgMrESzcTYwhA1k_tPjeQjJPTqlm8Gd9eU5g/edit?usp=sharing"",""มหาสารคาม!J374"")"),0)</f>
        <v>0</v>
      </c>
      <c r="Y39" s="414">
        <f t="shared" ca="1" si="13"/>
        <v>0</v>
      </c>
      <c r="Z39" s="413">
        <f ca="1">IFERROR(__xludf.DUMMYFUNCTION("IMPORTRANGE(""https://docs.google.com/spreadsheets/d/1l6IZ8xUPgMrESzcTYwhA1k_tPjeQjJPTqlm8Gd9eU5g/edit?usp=sharing"",""มหาสารคาม!I386"")"),1000)</f>
        <v>1000</v>
      </c>
      <c r="AA39" s="97">
        <f ca="1">IFERROR(__xludf.DUMMYFUNCTION("IMPORTRANGE(""https://docs.google.com/spreadsheets/d/1uB74YLqNjWX6FObjekfB2NtSYigTQyR2rq9u4Ub2Sq4/edit?usp=sharing"",""มุกดาหาร!J374"")"),0)</f>
        <v>0</v>
      </c>
      <c r="AB39" s="97">
        <f ca="1">IFERROR(__xludf.DUMMYFUNCTION("IMPORTRANGE(""https://docs.google.com/spreadsheets/d/1uB74YLqNjWX6FObjekfB2NtSYigTQyR2rq9u4Ub2Sq4/edit?usp=sharing"",""มุกดาหาร!J374"")"),0)</f>
        <v>0</v>
      </c>
      <c r="AC39" s="353">
        <f ca="1">IFERROR(__xludf.DUMMYFUNCTION("IMPORTRANGE(""https://docs.google.com/spreadsheets/d/1l6IZ8xUPgMrESzcTYwhA1k_tPjeQjJPTqlm8Gd9eU5g/edit?usp=sharing"",""มหาสารคาม!I388"")"),0)</f>
        <v>0</v>
      </c>
      <c r="AD39" s="97">
        <f ca="1">IFERROR(__xludf.DUMMYFUNCTION("IMPORTRANGE(""https://docs.google.com/spreadsheets/d/1uB74YLqNjWX6FObjekfB2NtSYigTQyR2rq9u4Ub2Sq4/edit?usp=sharing"",""มุกดาหาร!J374"")"),0)</f>
        <v>0</v>
      </c>
      <c r="AE39" s="97">
        <f ca="1">IFERROR(__xludf.DUMMYFUNCTION("IMPORTRANGE(""https://docs.google.com/spreadsheets/d/1uB74YLqNjWX6FObjekfB2NtSYigTQyR2rq9u4Ub2Sq4/edit?usp=sharing"",""มุกดาหาร!J374"")"),0)</f>
        <v>0</v>
      </c>
    </row>
    <row r="40" spans="1:31" ht="19.5" x14ac:dyDescent="0.3">
      <c r="A40" s="172">
        <v>9</v>
      </c>
      <c r="B40" s="173" t="s">
        <v>66</v>
      </c>
      <c r="C40" s="174">
        <f t="shared" si="23"/>
        <v>0</v>
      </c>
      <c r="D40" s="175">
        <f t="shared" si="42"/>
        <v>0</v>
      </c>
      <c r="E40" s="403">
        <v>0</v>
      </c>
      <c r="F40" s="403">
        <v>0</v>
      </c>
      <c r="G40" s="403">
        <v>0</v>
      </c>
      <c r="H40" s="403">
        <v>0</v>
      </c>
      <c r="I40" s="403">
        <v>0</v>
      </c>
      <c r="J40" s="176">
        <f t="shared" si="25"/>
        <v>0</v>
      </c>
      <c r="K40" s="179">
        <f t="shared" si="26"/>
        <v>0</v>
      </c>
      <c r="L40" s="403">
        <v>0</v>
      </c>
      <c r="M40" s="87">
        <f t="shared" si="27"/>
        <v>0</v>
      </c>
      <c r="N40" s="87">
        <f t="shared" si="28"/>
        <v>0</v>
      </c>
      <c r="O40" s="403">
        <v>0</v>
      </c>
      <c r="P40" s="86">
        <f t="shared" si="29"/>
        <v>0</v>
      </c>
      <c r="Q40" s="87">
        <f t="shared" si="30"/>
        <v>0</v>
      </c>
      <c r="R40" s="86">
        <f ca="1">IFERROR(__xludf.DUMMYFUNCTION("IMPORTRANGE(""https://docs.google.com/spreadsheets/d/1uB74YLqNjWX6FObjekfB2NtSYigTQyR2rq9u4Ub2Sq4/edit?usp=sharing"",""มุกดาหาร!Q375"")"),125000)</f>
        <v>125000</v>
      </c>
      <c r="S40" s="86">
        <f ca="1">IFERROR(__xludf.DUMMYFUNCTION("IMPORTRANGE(""https://docs.google.com/spreadsheets/d/1uB74YLqNjWX6FObjekfB2NtSYigTQyR2rq9u4Ub2Sq4/edit?usp=sharing"",""มุกดาหาร!R375"")"),0)</f>
        <v>0</v>
      </c>
      <c r="T40" s="86">
        <f ca="1">IFERROR(__xludf.DUMMYFUNCTION("IMPORTRANGE(""https://docs.google.com/spreadsheets/d/1uB74YLqNjWX6FObjekfB2NtSYigTQyR2rq9u4Ub2Sq4/edit?usp=sharing"",""มุกดาหาร!S375"")"),0)</f>
        <v>0</v>
      </c>
      <c r="U40" s="87">
        <f t="shared" ca="1" si="32"/>
        <v>0</v>
      </c>
      <c r="V40" s="87">
        <f t="shared" ca="1" si="33"/>
        <v>0</v>
      </c>
      <c r="W40" s="413">
        <f t="shared" ca="1" si="43"/>
        <v>2000</v>
      </c>
      <c r="X40" s="413">
        <f ca="1">IFERROR(__xludf.DUMMYFUNCTION("IMPORTRANGE(""https://docs.google.com/spreadsheets/d/1uB74YLqNjWX6FObjekfB2NtSYigTQyR2rq9u4Ub2Sq4/edit?usp=sharing"",""มุกดาหาร!J374"")"),0)</f>
        <v>0</v>
      </c>
      <c r="Y40" s="414">
        <f t="shared" ca="1" si="13"/>
        <v>0</v>
      </c>
      <c r="Z40" s="413">
        <f ca="1">IFERROR(__xludf.DUMMYFUNCTION("IMPORTRANGE(""https://docs.google.com/spreadsheets/d/1uB74YLqNjWX6FObjekfB2NtSYigTQyR2rq9u4Ub2Sq4/edit?usp=sharing"",""มุกดาหาร!I386"")"),2000)</f>
        <v>2000</v>
      </c>
      <c r="AA40" s="97">
        <f ca="1">IFERROR(__xludf.DUMMYFUNCTION("IMPORTRANGE(""https://docs.google.com/spreadsheets/d/1NexK3geCPxCTO1fzNF8dPec7yZyUx3OaWkFBC9HsQOo/edit?usp=sharing"",""ยโสธร!J374"")"),0)</f>
        <v>0</v>
      </c>
      <c r="AB40" s="97">
        <f ca="1">IFERROR(__xludf.DUMMYFUNCTION("IMPORTRANGE(""https://docs.google.com/spreadsheets/d/1NexK3geCPxCTO1fzNF8dPec7yZyUx3OaWkFBC9HsQOo/edit?usp=sharing"",""ยโสธร!J374"")"),0)</f>
        <v>0</v>
      </c>
      <c r="AC40" s="353">
        <f ca="1">IFERROR(__xludf.DUMMYFUNCTION("IMPORTRANGE(""https://docs.google.com/spreadsheets/d/1uB74YLqNjWX6FObjekfB2NtSYigTQyR2rq9u4Ub2Sq4/edit?usp=sharing"",""มุกดาหาร!I388"")"),0)</f>
        <v>0</v>
      </c>
      <c r="AD40" s="97">
        <f ca="1">IFERROR(__xludf.DUMMYFUNCTION("IMPORTRANGE(""https://docs.google.com/spreadsheets/d/1NexK3geCPxCTO1fzNF8dPec7yZyUx3OaWkFBC9HsQOo/edit?usp=sharing"",""ยโสธร!J374"")"),0)</f>
        <v>0</v>
      </c>
      <c r="AE40" s="97">
        <f ca="1">IFERROR(__xludf.DUMMYFUNCTION("IMPORTRANGE(""https://docs.google.com/spreadsheets/d/1NexK3geCPxCTO1fzNF8dPec7yZyUx3OaWkFBC9HsQOo/edit?usp=sharing"",""ยโสธร!J374"")"),0)</f>
        <v>0</v>
      </c>
    </row>
    <row r="41" spans="1:31" ht="19.5" x14ac:dyDescent="0.3">
      <c r="A41" s="172">
        <v>10</v>
      </c>
      <c r="B41" s="173" t="s">
        <v>67</v>
      </c>
      <c r="C41" s="174">
        <f t="shared" si="23"/>
        <v>0</v>
      </c>
      <c r="D41" s="175">
        <f t="shared" si="42"/>
        <v>0</v>
      </c>
      <c r="E41" s="403">
        <v>0</v>
      </c>
      <c r="F41" s="403">
        <v>0</v>
      </c>
      <c r="G41" s="403">
        <v>0</v>
      </c>
      <c r="H41" s="403">
        <v>0</v>
      </c>
      <c r="I41" s="403">
        <v>0</v>
      </c>
      <c r="J41" s="176">
        <f t="shared" si="25"/>
        <v>0</v>
      </c>
      <c r="K41" s="179">
        <f t="shared" si="26"/>
        <v>0</v>
      </c>
      <c r="L41" s="403">
        <v>0</v>
      </c>
      <c r="M41" s="87">
        <f t="shared" si="27"/>
        <v>0</v>
      </c>
      <c r="N41" s="87">
        <f t="shared" si="28"/>
        <v>0</v>
      </c>
      <c r="O41" s="403">
        <v>0</v>
      </c>
      <c r="P41" s="86">
        <f t="shared" si="29"/>
        <v>0</v>
      </c>
      <c r="Q41" s="87">
        <f t="shared" si="30"/>
        <v>0</v>
      </c>
      <c r="R41" s="86">
        <f ca="1">IFERROR(__xludf.DUMMYFUNCTION("IMPORTRANGE(""https://docs.google.com/spreadsheets/d/1NexK3geCPxCTO1fzNF8dPec7yZyUx3OaWkFBC9HsQOo/edit?usp=sharing"",""ยโสธร!Q375"")"),93750)</f>
        <v>93750</v>
      </c>
      <c r="S41" s="86">
        <f ca="1">IFERROR(__xludf.DUMMYFUNCTION("IMPORTRANGE(""https://docs.google.com/spreadsheets/d/1NexK3geCPxCTO1fzNF8dPec7yZyUx3OaWkFBC9HsQOo/edit?usp=sharing"",""ยโสธร!R375"")"),0)</f>
        <v>0</v>
      </c>
      <c r="T41" s="86">
        <f ca="1">IFERROR(__xludf.DUMMYFUNCTION("IMPORTRANGE(""https://docs.google.com/spreadsheets/d/1NexK3geCPxCTO1fzNF8dPec7yZyUx3OaWkFBC9HsQOo/edit?usp=sharing"",""ยโสธร!S375"")"),0)</f>
        <v>0</v>
      </c>
      <c r="U41" s="87">
        <f t="shared" ca="1" si="32"/>
        <v>0</v>
      </c>
      <c r="V41" s="87">
        <f t="shared" ca="1" si="33"/>
        <v>0</v>
      </c>
      <c r="W41" s="413">
        <f t="shared" ca="1" si="43"/>
        <v>1500</v>
      </c>
      <c r="X41" s="413">
        <f ca="1">IFERROR(__xludf.DUMMYFUNCTION("IMPORTRANGE(""https://docs.google.com/spreadsheets/d/1NexK3geCPxCTO1fzNF8dPec7yZyUx3OaWkFBC9HsQOo/edit?usp=sharing"",""ยโสธร!J374"")"),0)</f>
        <v>0</v>
      </c>
      <c r="Y41" s="414">
        <f t="shared" ca="1" si="13"/>
        <v>0</v>
      </c>
      <c r="Z41" s="413">
        <f ca="1">IFERROR(__xludf.DUMMYFUNCTION("IMPORTRANGE(""https://docs.google.com/spreadsheets/d/1NexK3geCPxCTO1fzNF8dPec7yZyUx3OaWkFBC9HsQOo/edit?usp=sharing"",""ยโสธร!I386"")"),1500)</f>
        <v>1500</v>
      </c>
      <c r="AA41" s="97">
        <f ca="1">IFERROR(__xludf.DUMMYFUNCTION("IMPORTRANGE(""https://docs.google.com/spreadsheets/d/1v_cJrbBlyqmnHPReHk44g9NrMRdENNlSy_E_c5M9fIg/edit?usp=sharing"",""ร้อยเอ็ด!J374"")"),0)</f>
        <v>0</v>
      </c>
      <c r="AB41" s="97">
        <f ca="1">IFERROR(__xludf.DUMMYFUNCTION("IMPORTRANGE(""https://docs.google.com/spreadsheets/d/1v_cJrbBlyqmnHPReHk44g9NrMRdENNlSy_E_c5M9fIg/edit?usp=sharing"",""ร้อยเอ็ด!J374"")"),0)</f>
        <v>0</v>
      </c>
      <c r="AC41" s="353">
        <f ca="1">IFERROR(__xludf.DUMMYFUNCTION("IMPORTRANGE(""https://docs.google.com/spreadsheets/d/1NexK3geCPxCTO1fzNF8dPec7yZyUx3OaWkFBC9HsQOo/edit?usp=sharing"",""ยโสธร!I388"")"),0)</f>
        <v>0</v>
      </c>
      <c r="AD41" s="97">
        <f ca="1">IFERROR(__xludf.DUMMYFUNCTION("IMPORTRANGE(""https://docs.google.com/spreadsheets/d/1v_cJrbBlyqmnHPReHk44g9NrMRdENNlSy_E_c5M9fIg/edit?usp=sharing"",""ร้อยเอ็ด!J374"")"),0)</f>
        <v>0</v>
      </c>
      <c r="AE41" s="97">
        <f ca="1">IFERROR(__xludf.DUMMYFUNCTION("IMPORTRANGE(""https://docs.google.com/spreadsheets/d/1v_cJrbBlyqmnHPReHk44g9NrMRdENNlSy_E_c5M9fIg/edit?usp=sharing"",""ร้อยเอ็ด!J374"")"),0)</f>
        <v>0</v>
      </c>
    </row>
    <row r="42" spans="1:31" ht="19.5" x14ac:dyDescent="0.3">
      <c r="A42" s="172">
        <v>11</v>
      </c>
      <c r="B42" s="173" t="s">
        <v>68</v>
      </c>
      <c r="C42" s="174">
        <f t="shared" si="23"/>
        <v>0</v>
      </c>
      <c r="D42" s="175">
        <f t="shared" si="42"/>
        <v>0</v>
      </c>
      <c r="E42" s="403">
        <v>0</v>
      </c>
      <c r="F42" s="403">
        <v>0</v>
      </c>
      <c r="G42" s="403">
        <v>0</v>
      </c>
      <c r="H42" s="403">
        <v>0</v>
      </c>
      <c r="I42" s="403">
        <v>0</v>
      </c>
      <c r="J42" s="176">
        <f t="shared" si="25"/>
        <v>0</v>
      </c>
      <c r="K42" s="179">
        <f t="shared" si="26"/>
        <v>0</v>
      </c>
      <c r="L42" s="403">
        <v>0</v>
      </c>
      <c r="M42" s="87">
        <f t="shared" si="27"/>
        <v>0</v>
      </c>
      <c r="N42" s="87">
        <f t="shared" si="28"/>
        <v>0</v>
      </c>
      <c r="O42" s="403">
        <v>0</v>
      </c>
      <c r="P42" s="86">
        <f t="shared" si="29"/>
        <v>0</v>
      </c>
      <c r="Q42" s="87">
        <f t="shared" si="30"/>
        <v>0</v>
      </c>
      <c r="R42" s="86">
        <f ca="1">IFERROR(__xludf.DUMMYFUNCTION("IMPORTRANGE(""https://docs.google.com/spreadsheets/d/1v_cJrbBlyqmnHPReHk44g9NrMRdENNlSy_E_c5M9fIg/edit?usp=sharing"",""ร้อยเอ็ด!Q375"")"),343750)</f>
        <v>343750</v>
      </c>
      <c r="S42" s="86">
        <f ca="1">IFERROR(__xludf.DUMMYFUNCTION("IMPORTRANGE(""https://docs.google.com/spreadsheets/d/1v_cJrbBlyqmnHPReHk44g9NrMRdENNlSy_E_c5M9fIg/edit?usp=sharing"",""ร้อยเอ็ด!R375"")"),0)</f>
        <v>0</v>
      </c>
      <c r="T42" s="86">
        <f ca="1">IFERROR(__xludf.DUMMYFUNCTION("IMPORTRANGE(""https://docs.google.com/spreadsheets/d/1v_cJrbBlyqmnHPReHk44g9NrMRdENNlSy_E_c5M9fIg/edit?usp=sharing"",""ร้อยเอ็ด!S375"")"),0)</f>
        <v>0</v>
      </c>
      <c r="U42" s="87">
        <f t="shared" ca="1" si="32"/>
        <v>0</v>
      </c>
      <c r="V42" s="87">
        <f t="shared" ca="1" si="33"/>
        <v>0</v>
      </c>
      <c r="W42" s="404">
        <f t="shared" ca="1" si="43"/>
        <v>5500</v>
      </c>
      <c r="X42" s="404">
        <f ca="1">IFERROR(__xludf.DUMMYFUNCTION("IMPORTRANGE(""https://docs.google.com/spreadsheets/d/1v_cJrbBlyqmnHPReHk44g9NrMRdENNlSy_E_c5M9fIg/edit?usp=sharing"",""ร้อยเอ็ด!J374"")"),0)</f>
        <v>0</v>
      </c>
      <c r="Y42" s="405">
        <f t="shared" ca="1" si="13"/>
        <v>0</v>
      </c>
      <c r="Z42" s="404">
        <f ca="1">IFERROR(__xludf.DUMMYFUNCTION("IMPORTRANGE(""https://docs.google.com/spreadsheets/d/1v_cJrbBlyqmnHPReHk44g9NrMRdENNlSy_E_c5M9fIg/edit?usp=sharing"",""ร้อยเอ็ด!I386"")"),5500)</f>
        <v>5500</v>
      </c>
      <c r="AA42" s="93">
        <f ca="1">IFERROR(__xludf.DUMMYFUNCTION("IMPORTRANGE(""https://docs.google.com/spreadsheets/d/1Ul4RCpCX66NxYADU1QpwAPjOmBzW64SsT11s1wzXw_c/edit?usp=sharing"",""เลย!J374"")"),0)</f>
        <v>0</v>
      </c>
      <c r="AB42" s="93">
        <f ca="1">IFERROR(__xludf.DUMMYFUNCTION("IMPORTRANGE(""https://docs.google.com/spreadsheets/d/1Ul4RCpCX66NxYADU1QpwAPjOmBzW64SsT11s1wzXw_c/edit?usp=sharing"",""เลย!J374"")"),0)</f>
        <v>0</v>
      </c>
      <c r="AC42" s="406">
        <f ca="1">IFERROR(__xludf.DUMMYFUNCTION("IMPORTRANGE(""https://docs.google.com/spreadsheets/d/1v_cJrbBlyqmnHPReHk44g9NrMRdENNlSy_E_c5M9fIg/edit?usp=sharing"",""ร้อยเอ็ด!I388"")"),0)</f>
        <v>0</v>
      </c>
      <c r="AD42" s="93">
        <f ca="1">IFERROR(__xludf.DUMMYFUNCTION("IMPORTRANGE(""https://docs.google.com/spreadsheets/d/1Ul4RCpCX66NxYADU1QpwAPjOmBzW64SsT11s1wzXw_c/edit?usp=sharing"",""เลย!J374"")"),0)</f>
        <v>0</v>
      </c>
      <c r="AE42" s="93">
        <f ca="1">IFERROR(__xludf.DUMMYFUNCTION("IMPORTRANGE(""https://docs.google.com/spreadsheets/d/1Ul4RCpCX66NxYADU1QpwAPjOmBzW64SsT11s1wzXw_c/edit?usp=sharing"",""เลย!J374"")"),0)</f>
        <v>0</v>
      </c>
    </row>
    <row r="43" spans="1:31" ht="19.5" x14ac:dyDescent="0.3">
      <c r="A43" s="172">
        <v>12</v>
      </c>
      <c r="B43" s="173" t="s">
        <v>69</v>
      </c>
      <c r="C43" s="174">
        <f t="shared" si="23"/>
        <v>0</v>
      </c>
      <c r="D43" s="175">
        <f t="shared" si="42"/>
        <v>0</v>
      </c>
      <c r="E43" s="403">
        <v>0</v>
      </c>
      <c r="F43" s="403">
        <v>0</v>
      </c>
      <c r="G43" s="403">
        <v>0</v>
      </c>
      <c r="H43" s="403">
        <v>0</v>
      </c>
      <c r="I43" s="403">
        <v>0</v>
      </c>
      <c r="J43" s="176">
        <f t="shared" si="25"/>
        <v>0</v>
      </c>
      <c r="K43" s="179">
        <f t="shared" si="26"/>
        <v>0</v>
      </c>
      <c r="L43" s="403">
        <v>0</v>
      </c>
      <c r="M43" s="87">
        <f t="shared" si="27"/>
        <v>0</v>
      </c>
      <c r="N43" s="87">
        <f t="shared" si="28"/>
        <v>0</v>
      </c>
      <c r="O43" s="403">
        <v>0</v>
      </c>
      <c r="P43" s="86">
        <f t="shared" si="29"/>
        <v>0</v>
      </c>
      <c r="Q43" s="87">
        <f t="shared" si="30"/>
        <v>0</v>
      </c>
      <c r="R43" s="86">
        <f ca="1">IFERROR(__xludf.DUMMYFUNCTION("IMPORTRANGE(""https://docs.google.com/spreadsheets/d/1Ul4RCpCX66NxYADU1QpwAPjOmBzW64SsT11s1wzXw_c/edit?usp=sharing"",""เลย!Q375"")"),312500)</f>
        <v>312500</v>
      </c>
      <c r="S43" s="86">
        <f ca="1">IFERROR(__xludf.DUMMYFUNCTION("IMPORTRANGE(""https://docs.google.com/spreadsheets/d/1Ul4RCpCX66NxYADU1QpwAPjOmBzW64SsT11s1wzXw_c/edit?usp=sharing"",""เลย!R375"")"),0)</f>
        <v>0</v>
      </c>
      <c r="T43" s="86">
        <f ca="1">IFERROR(__xludf.DUMMYFUNCTION("IMPORTRANGE(""https://docs.google.com/spreadsheets/d/1Ul4RCpCX66NxYADU1QpwAPjOmBzW64SsT11s1wzXw_c/edit?usp=sharing"",""เลย!S375"")"),0)</f>
        <v>0</v>
      </c>
      <c r="U43" s="87">
        <f t="shared" ca="1" si="32"/>
        <v>0</v>
      </c>
      <c r="V43" s="87">
        <f t="shared" ca="1" si="33"/>
        <v>0</v>
      </c>
      <c r="W43" s="404">
        <f t="shared" ca="1" si="43"/>
        <v>5000</v>
      </c>
      <c r="X43" s="404">
        <f ca="1">IFERROR(__xludf.DUMMYFUNCTION("IMPORTRANGE(""https://docs.google.com/spreadsheets/d/1Ul4RCpCX66NxYADU1QpwAPjOmBzW64SsT11s1wzXw_c/edit?usp=sharing"",""เลย!J374"")"),0)</f>
        <v>0</v>
      </c>
      <c r="Y43" s="405">
        <f t="shared" ca="1" si="13"/>
        <v>0</v>
      </c>
      <c r="Z43" s="404">
        <f ca="1">IFERROR(__xludf.DUMMYFUNCTION("IMPORTRANGE(""https://docs.google.com/spreadsheets/d/1Ul4RCpCX66NxYADU1QpwAPjOmBzW64SsT11s1wzXw_c/edit?usp=sharing"",""เลย!I386"")"),5000)</f>
        <v>5000</v>
      </c>
      <c r="AA43" s="93">
        <f ca="1">IFERROR(__xludf.DUMMYFUNCTION("IMPORTRANGE(""https://docs.google.com/spreadsheets/d/1bRrNKwbHDVktQG10isr5vbWRtt5spIZPpkOSWgbT5ug/edit?usp=sharing"",""ศรีสะเกษ!J374"")"),0)</f>
        <v>0</v>
      </c>
      <c r="AB43" s="93">
        <f ca="1">IFERROR(__xludf.DUMMYFUNCTION("IMPORTRANGE(""https://docs.google.com/spreadsheets/d/1bRrNKwbHDVktQG10isr5vbWRtt5spIZPpkOSWgbT5ug/edit?usp=sharing"",""ศรีสะเกษ!J374"")"),0)</f>
        <v>0</v>
      </c>
      <c r="AC43" s="406">
        <f ca="1">IFERROR(__xludf.DUMMYFUNCTION("IMPORTRANGE(""https://docs.google.com/spreadsheets/d/1Ul4RCpCX66NxYADU1QpwAPjOmBzW64SsT11s1wzXw_c/edit?usp=sharing"",""เลย!I388"")"),0)</f>
        <v>0</v>
      </c>
      <c r="AD43" s="93">
        <f ca="1">IFERROR(__xludf.DUMMYFUNCTION("IMPORTRANGE(""https://docs.google.com/spreadsheets/d/1bRrNKwbHDVktQG10isr5vbWRtt5spIZPpkOSWgbT5ug/edit?usp=sharing"",""ศรีสะเกษ!J374"")"),0)</f>
        <v>0</v>
      </c>
      <c r="AE43" s="93">
        <f ca="1">IFERROR(__xludf.DUMMYFUNCTION("IMPORTRANGE(""https://docs.google.com/spreadsheets/d/1bRrNKwbHDVktQG10isr5vbWRtt5spIZPpkOSWgbT5ug/edit?usp=sharing"",""ศรีสะเกษ!J374"")"),0)</f>
        <v>0</v>
      </c>
    </row>
    <row r="44" spans="1:31" ht="19.5" x14ac:dyDescent="0.3">
      <c r="A44" s="172">
        <v>13</v>
      </c>
      <c r="B44" s="173" t="s">
        <v>70</v>
      </c>
      <c r="C44" s="174">
        <f t="shared" si="23"/>
        <v>0</v>
      </c>
      <c r="D44" s="175">
        <f t="shared" si="42"/>
        <v>0</v>
      </c>
      <c r="E44" s="403">
        <v>0</v>
      </c>
      <c r="F44" s="403">
        <v>0</v>
      </c>
      <c r="G44" s="403">
        <v>0</v>
      </c>
      <c r="H44" s="403">
        <v>0</v>
      </c>
      <c r="I44" s="403">
        <v>0</v>
      </c>
      <c r="J44" s="176">
        <f t="shared" si="25"/>
        <v>0</v>
      </c>
      <c r="K44" s="179">
        <f t="shared" si="26"/>
        <v>0</v>
      </c>
      <c r="L44" s="403">
        <v>0</v>
      </c>
      <c r="M44" s="87">
        <f t="shared" si="27"/>
        <v>0</v>
      </c>
      <c r="N44" s="87">
        <f t="shared" si="28"/>
        <v>0</v>
      </c>
      <c r="O44" s="403">
        <v>0</v>
      </c>
      <c r="P44" s="86">
        <f t="shared" si="29"/>
        <v>0</v>
      </c>
      <c r="Q44" s="87">
        <f t="shared" si="30"/>
        <v>0</v>
      </c>
      <c r="R44" s="86">
        <f ca="1">IFERROR(__xludf.DUMMYFUNCTION("IMPORTRANGE(""https://docs.google.com/spreadsheets/d/1bRrNKwbHDVktQG10isr5vbWRtt5spIZPpkOSWgbT5ug/edit?usp=sharing"",""ศรีสะเกษ!Q375"")"),93750)</f>
        <v>93750</v>
      </c>
      <c r="S44" s="86">
        <f ca="1">IFERROR(__xludf.DUMMYFUNCTION("IMPORTRANGE(""https://docs.google.com/spreadsheets/d/1bRrNKwbHDVktQG10isr5vbWRtt5spIZPpkOSWgbT5ug/edit?usp=sharing"",""ศรีสะเกษ!R375"")"),0)</f>
        <v>0</v>
      </c>
      <c r="T44" s="86">
        <f ca="1">IFERROR(__xludf.DUMMYFUNCTION("IMPORTRANGE(""https://docs.google.com/spreadsheets/d/1bRrNKwbHDVktQG10isr5vbWRtt5spIZPpkOSWgbT5ug/edit?usp=sharing"",""ศรีสะเกษ!S375"")"),0)</f>
        <v>0</v>
      </c>
      <c r="U44" s="87">
        <f t="shared" ca="1" si="32"/>
        <v>0</v>
      </c>
      <c r="V44" s="87">
        <f t="shared" ca="1" si="33"/>
        <v>0</v>
      </c>
      <c r="W44" s="404">
        <f t="shared" ca="1" si="43"/>
        <v>1500</v>
      </c>
      <c r="X44" s="404">
        <f ca="1">IFERROR(__xludf.DUMMYFUNCTION("IMPORTRANGE(""https://docs.google.com/spreadsheets/d/1bRrNKwbHDVktQG10isr5vbWRtt5spIZPpkOSWgbT5ug/edit?usp=sharing"",""ศรีสะเกษ!J374"")"),0)</f>
        <v>0</v>
      </c>
      <c r="Y44" s="405">
        <f t="shared" ca="1" si="13"/>
        <v>0</v>
      </c>
      <c r="Z44" s="404">
        <f ca="1">IFERROR(__xludf.DUMMYFUNCTION("IMPORTRANGE(""https://docs.google.com/spreadsheets/d/1bRrNKwbHDVktQG10isr5vbWRtt5spIZPpkOSWgbT5ug/edit?usp=sharing"",""ศรีสะเกษ!I386"")"),1500)</f>
        <v>1500</v>
      </c>
      <c r="AA44" s="93">
        <f ca="1">IFERROR(__xludf.DUMMYFUNCTION("IMPORTRANGE(""https://docs.google.com/spreadsheets/d/17P34_Ow5kFBfdQD0qspb2UuPX5zpi6WMrQzslghyvrI/edit?usp=sharing"",""สกลนคร!J374"")"),0)</f>
        <v>0</v>
      </c>
      <c r="AB44" s="93">
        <f ca="1">IFERROR(__xludf.DUMMYFUNCTION("IMPORTRANGE(""https://docs.google.com/spreadsheets/d/17P34_Ow5kFBfdQD0qspb2UuPX5zpi6WMrQzslghyvrI/edit?usp=sharing"",""สกลนคร!J374"")"),0)</f>
        <v>0</v>
      </c>
      <c r="AC44" s="406">
        <f ca="1">IFERROR(__xludf.DUMMYFUNCTION("IMPORTRANGE(""https://docs.google.com/spreadsheets/d/1bRrNKwbHDVktQG10isr5vbWRtt5spIZPpkOSWgbT5ug/edit?usp=sharing"",""ศรีสะเกษ!I388"")"),0)</f>
        <v>0</v>
      </c>
      <c r="AD44" s="93">
        <f ca="1">IFERROR(__xludf.DUMMYFUNCTION("IMPORTRANGE(""https://docs.google.com/spreadsheets/d/17P34_Ow5kFBfdQD0qspb2UuPX5zpi6WMrQzslghyvrI/edit?usp=sharing"",""สกลนคร!J374"")"),0)</f>
        <v>0</v>
      </c>
      <c r="AE44" s="93">
        <f ca="1">IFERROR(__xludf.DUMMYFUNCTION("IMPORTRANGE(""https://docs.google.com/spreadsheets/d/17P34_Ow5kFBfdQD0qspb2UuPX5zpi6WMrQzslghyvrI/edit?usp=sharing"",""สกลนคร!J374"")"),0)</f>
        <v>0</v>
      </c>
    </row>
    <row r="45" spans="1:31" ht="19.5" x14ac:dyDescent="0.3">
      <c r="A45" s="172">
        <v>14</v>
      </c>
      <c r="B45" s="173" t="s">
        <v>71</v>
      </c>
      <c r="C45" s="174">
        <f t="shared" si="23"/>
        <v>0</v>
      </c>
      <c r="D45" s="175">
        <f t="shared" si="42"/>
        <v>0</v>
      </c>
      <c r="E45" s="403">
        <v>0</v>
      </c>
      <c r="F45" s="403">
        <v>0</v>
      </c>
      <c r="G45" s="403">
        <v>0</v>
      </c>
      <c r="H45" s="403">
        <v>0</v>
      </c>
      <c r="I45" s="403">
        <v>0</v>
      </c>
      <c r="J45" s="176">
        <f t="shared" si="25"/>
        <v>0</v>
      </c>
      <c r="K45" s="179">
        <f t="shared" si="26"/>
        <v>0</v>
      </c>
      <c r="L45" s="403">
        <v>0</v>
      </c>
      <c r="M45" s="87">
        <f t="shared" si="27"/>
        <v>0</v>
      </c>
      <c r="N45" s="87">
        <f t="shared" si="28"/>
        <v>0</v>
      </c>
      <c r="O45" s="403">
        <v>0</v>
      </c>
      <c r="P45" s="86">
        <f t="shared" si="29"/>
        <v>0</v>
      </c>
      <c r="Q45" s="87">
        <f t="shared" si="30"/>
        <v>0</v>
      </c>
      <c r="R45" s="86">
        <f ca="1">IFERROR(__xludf.DUMMYFUNCTION("IMPORTRANGE(""https://docs.google.com/spreadsheets/d/17P34_Ow5kFBfdQD0qspb2UuPX5zpi6WMrQzslghyvrI/edit?usp=sharing"",""สกลนคร!Q375"")"),487500)</f>
        <v>487500</v>
      </c>
      <c r="S45" s="86">
        <f ca="1">IFERROR(__xludf.DUMMYFUNCTION("IMPORTRANGE(""https://docs.google.com/spreadsheets/d/17P34_Ow5kFBfdQD0qspb2UuPX5zpi6WMrQzslghyvrI/edit?usp=sharing"",""สกลนคร!R375"")"),0)</f>
        <v>0</v>
      </c>
      <c r="T45" s="86">
        <f ca="1">IFERROR(__xludf.DUMMYFUNCTION("IMPORTRANGE(""https://docs.google.com/spreadsheets/d/17P34_Ow5kFBfdQD0qspb2UuPX5zpi6WMrQzslghyvrI/edit?usp=sharing"",""สกลนคร!S375"")"),0)</f>
        <v>0</v>
      </c>
      <c r="U45" s="87">
        <f t="shared" ca="1" si="32"/>
        <v>0</v>
      </c>
      <c r="V45" s="87">
        <f t="shared" ca="1" si="33"/>
        <v>0</v>
      </c>
      <c r="W45" s="404">
        <f t="shared" ca="1" si="43"/>
        <v>7800</v>
      </c>
      <c r="X45" s="404">
        <f ca="1">IFERROR(__xludf.DUMMYFUNCTION("IMPORTRANGE(""https://docs.google.com/spreadsheets/d/17P34_Ow5kFBfdQD0qspb2UuPX5zpi6WMrQzslghyvrI/edit?usp=sharing"",""สกลนคร!J374"")"),0)</f>
        <v>0</v>
      </c>
      <c r="Y45" s="405">
        <f t="shared" ca="1" si="13"/>
        <v>0</v>
      </c>
      <c r="Z45" s="404">
        <f ca="1">IFERROR(__xludf.DUMMYFUNCTION("IMPORTRANGE(""https://docs.google.com/spreadsheets/d/17P34_Ow5kFBfdQD0qspb2UuPX5zpi6WMrQzslghyvrI/edit?usp=sharing"",""สกลนคร!I386"")"),7800)</f>
        <v>7800</v>
      </c>
      <c r="AA45" s="93">
        <f ca="1">IFERROR(__xludf.DUMMYFUNCTION("IMPORTRANGE(""https://docs.google.com/spreadsheets/d/1yswqbM3-AEpThF3ZSUa1AcmHnmRTF1vlJ1CZGcJ8YuU/edit?usp=sharing"",""สุรินทร์!J374"")"),0)</f>
        <v>0</v>
      </c>
      <c r="AB45" s="93">
        <f ca="1">IFERROR(__xludf.DUMMYFUNCTION("IMPORTRANGE(""https://docs.google.com/spreadsheets/d/1yswqbM3-AEpThF3ZSUa1AcmHnmRTF1vlJ1CZGcJ8YuU/edit?usp=sharing"",""สุรินทร์!J374"")"),0)</f>
        <v>0</v>
      </c>
      <c r="AC45" s="406">
        <f ca="1">IFERROR(__xludf.DUMMYFUNCTION("IMPORTRANGE(""https://docs.google.com/spreadsheets/d/17P34_Ow5kFBfdQD0qspb2UuPX5zpi6WMrQzslghyvrI/edit?usp=sharing"",""สกลนคร!I388"")"),0)</f>
        <v>0</v>
      </c>
      <c r="AD45" s="93">
        <f ca="1">IFERROR(__xludf.DUMMYFUNCTION("IMPORTRANGE(""https://docs.google.com/spreadsheets/d/1yswqbM3-AEpThF3ZSUa1AcmHnmRTF1vlJ1CZGcJ8YuU/edit?usp=sharing"",""สุรินทร์!J374"")"),0)</f>
        <v>0</v>
      </c>
      <c r="AE45" s="93">
        <f ca="1">IFERROR(__xludf.DUMMYFUNCTION("IMPORTRANGE(""https://docs.google.com/spreadsheets/d/1yswqbM3-AEpThF3ZSUa1AcmHnmRTF1vlJ1CZGcJ8YuU/edit?usp=sharing"",""สุรินทร์!J374"")"),0)</f>
        <v>0</v>
      </c>
    </row>
    <row r="46" spans="1:31" ht="19.5" x14ac:dyDescent="0.3">
      <c r="A46" s="172">
        <v>15</v>
      </c>
      <c r="B46" s="173" t="s">
        <v>72</v>
      </c>
      <c r="C46" s="174">
        <f t="shared" si="23"/>
        <v>0</v>
      </c>
      <c r="D46" s="175">
        <f t="shared" si="42"/>
        <v>0</v>
      </c>
      <c r="E46" s="403">
        <v>0</v>
      </c>
      <c r="F46" s="403">
        <v>0</v>
      </c>
      <c r="G46" s="403">
        <v>0</v>
      </c>
      <c r="H46" s="403">
        <v>0</v>
      </c>
      <c r="I46" s="403">
        <v>0</v>
      </c>
      <c r="J46" s="176">
        <f t="shared" si="25"/>
        <v>0</v>
      </c>
      <c r="K46" s="179">
        <f t="shared" si="26"/>
        <v>0</v>
      </c>
      <c r="L46" s="403">
        <v>0</v>
      </c>
      <c r="M46" s="87">
        <f t="shared" si="27"/>
        <v>0</v>
      </c>
      <c r="N46" s="87">
        <f t="shared" si="28"/>
        <v>0</v>
      </c>
      <c r="O46" s="403">
        <v>0</v>
      </c>
      <c r="P46" s="86">
        <f t="shared" si="29"/>
        <v>0</v>
      </c>
      <c r="Q46" s="87">
        <f t="shared" si="30"/>
        <v>0</v>
      </c>
      <c r="R46" s="86">
        <f ca="1">IFERROR(__xludf.DUMMYFUNCTION("IMPORTRANGE(""https://docs.google.com/spreadsheets/d/1yswqbM3-AEpThF3ZSUa1AcmHnmRTF1vlJ1CZGcJ8YuU/edit?usp=sharing"",""สุรินทร์!Q375"")"),312500)</f>
        <v>312500</v>
      </c>
      <c r="S46" s="86">
        <f ca="1">IFERROR(__xludf.DUMMYFUNCTION("IMPORTRANGE(""https://docs.google.com/spreadsheets/d/1yswqbM3-AEpThF3ZSUa1AcmHnmRTF1vlJ1CZGcJ8YuU/edit?usp=sharing"",""สุรินทร์!R375"")"),0)</f>
        <v>0</v>
      </c>
      <c r="T46" s="86">
        <f ca="1">IFERROR(__xludf.DUMMYFUNCTION("IMPORTRANGE(""https://docs.google.com/spreadsheets/d/1yswqbM3-AEpThF3ZSUa1AcmHnmRTF1vlJ1CZGcJ8YuU/edit?usp=sharing"",""สุรินทร์!S375"")"),0)</f>
        <v>0</v>
      </c>
      <c r="U46" s="87">
        <f t="shared" ca="1" si="32"/>
        <v>0</v>
      </c>
      <c r="V46" s="87">
        <f t="shared" ca="1" si="33"/>
        <v>0</v>
      </c>
      <c r="W46" s="404">
        <f t="shared" ca="1" si="43"/>
        <v>5000</v>
      </c>
      <c r="X46" s="404">
        <f ca="1">IFERROR(__xludf.DUMMYFUNCTION("IMPORTRANGE(""https://docs.google.com/spreadsheets/d/1yswqbM3-AEpThF3ZSUa1AcmHnmRTF1vlJ1CZGcJ8YuU/edit?usp=sharing"",""สุรินทร์!J374"")"),0)</f>
        <v>0</v>
      </c>
      <c r="Y46" s="405">
        <f t="shared" ca="1" si="13"/>
        <v>0</v>
      </c>
      <c r="Z46" s="404">
        <f ca="1">IFERROR(__xludf.DUMMYFUNCTION("IMPORTRANGE(""https://docs.google.com/spreadsheets/d/1yswqbM3-AEpThF3ZSUa1AcmHnmRTF1vlJ1CZGcJ8YuU/edit?usp=sharing"",""สุรินทร์!I386"")"),5000)</f>
        <v>5000</v>
      </c>
      <c r="AA46" s="93">
        <f ca="1">IFERROR(__xludf.DUMMYFUNCTION("IMPORTRANGE(""https://docs.google.com/spreadsheets/d/13JHU_EFbsQOUQ0JSQ3dWy1VTRosIWcDq6Nc99z2qzdc/edit?usp=sharing"",""หนองคาย!J374"")"),0)</f>
        <v>0</v>
      </c>
      <c r="AB46" s="93">
        <f ca="1">IFERROR(__xludf.DUMMYFUNCTION("IMPORTRANGE(""https://docs.google.com/spreadsheets/d/13JHU_EFbsQOUQ0JSQ3dWy1VTRosIWcDq6Nc99z2qzdc/edit?usp=sharing"",""หนองคาย!J374"")"),0)</f>
        <v>0</v>
      </c>
      <c r="AC46" s="406">
        <f ca="1">IFERROR(__xludf.DUMMYFUNCTION("IMPORTRANGE(""https://docs.google.com/spreadsheets/d/1yswqbM3-AEpThF3ZSUa1AcmHnmRTF1vlJ1CZGcJ8YuU/edit?usp=sharing"",""สุรินทร์!I388"")"),0)</f>
        <v>0</v>
      </c>
      <c r="AD46" s="93">
        <f ca="1">IFERROR(__xludf.DUMMYFUNCTION("IMPORTRANGE(""https://docs.google.com/spreadsheets/d/13JHU_EFbsQOUQ0JSQ3dWy1VTRosIWcDq6Nc99z2qzdc/edit?usp=sharing"",""หนองคาย!J374"")"),0)</f>
        <v>0</v>
      </c>
      <c r="AE46" s="93">
        <f ca="1">IFERROR(__xludf.DUMMYFUNCTION("IMPORTRANGE(""https://docs.google.com/spreadsheets/d/13JHU_EFbsQOUQ0JSQ3dWy1VTRosIWcDq6Nc99z2qzdc/edit?usp=sharing"",""หนองคาย!J374"")"),0)</f>
        <v>0</v>
      </c>
    </row>
    <row r="47" spans="1:31" ht="19.5" x14ac:dyDescent="0.3">
      <c r="A47" s="172">
        <v>16</v>
      </c>
      <c r="B47" s="173" t="s">
        <v>73</v>
      </c>
      <c r="C47" s="174">
        <f t="shared" si="23"/>
        <v>0</v>
      </c>
      <c r="D47" s="175">
        <f t="shared" si="42"/>
        <v>0</v>
      </c>
      <c r="E47" s="403">
        <v>0</v>
      </c>
      <c r="F47" s="403">
        <v>0</v>
      </c>
      <c r="G47" s="403">
        <v>0</v>
      </c>
      <c r="H47" s="403">
        <v>0</v>
      </c>
      <c r="I47" s="403">
        <v>0</v>
      </c>
      <c r="J47" s="176">
        <f t="shared" si="25"/>
        <v>0</v>
      </c>
      <c r="K47" s="179">
        <f t="shared" si="26"/>
        <v>0</v>
      </c>
      <c r="L47" s="403">
        <v>0</v>
      </c>
      <c r="M47" s="87">
        <f t="shared" si="27"/>
        <v>0</v>
      </c>
      <c r="N47" s="87">
        <f t="shared" si="28"/>
        <v>0</v>
      </c>
      <c r="O47" s="403">
        <v>0</v>
      </c>
      <c r="P47" s="86">
        <f t="shared" si="29"/>
        <v>0</v>
      </c>
      <c r="Q47" s="87">
        <f t="shared" si="30"/>
        <v>0</v>
      </c>
      <c r="R47" s="86">
        <f ca="1">IFERROR(__xludf.DUMMYFUNCTION("IMPORTRANGE(""https://docs.google.com/spreadsheets/d/13JHU_EFbsQOUQ0JSQ3dWy1VTRosIWcDq6Nc99z2qzdc/edit?usp=sharing"",""หนองคาย!Q375"")"),62500)</f>
        <v>62500</v>
      </c>
      <c r="S47" s="86">
        <f ca="1">IFERROR(__xludf.DUMMYFUNCTION("IMPORTRANGE(""https://docs.google.com/spreadsheets/d/13JHU_EFbsQOUQ0JSQ3dWy1VTRosIWcDq6Nc99z2qzdc/edit?usp=sharing"",""หนองคาย!R375"")"),0)</f>
        <v>0</v>
      </c>
      <c r="T47" s="86">
        <f ca="1">IFERROR(__xludf.DUMMYFUNCTION("IMPORTRANGE(""https://docs.google.com/spreadsheets/d/13JHU_EFbsQOUQ0JSQ3dWy1VTRosIWcDq6Nc99z2qzdc/edit?usp=sharing"",""หนองคาย!S375"")"),0)</f>
        <v>0</v>
      </c>
      <c r="U47" s="87">
        <f t="shared" ca="1" si="32"/>
        <v>0</v>
      </c>
      <c r="V47" s="87">
        <f t="shared" ca="1" si="33"/>
        <v>0</v>
      </c>
      <c r="W47" s="404">
        <f t="shared" ca="1" si="43"/>
        <v>1000</v>
      </c>
      <c r="X47" s="404">
        <f ca="1">IFERROR(__xludf.DUMMYFUNCTION("IMPORTRANGE(""https://docs.google.com/spreadsheets/d/13JHU_EFbsQOUQ0JSQ3dWy1VTRosIWcDq6Nc99z2qzdc/edit?usp=sharing"",""หนองคาย!J374"")"),0)</f>
        <v>0</v>
      </c>
      <c r="Y47" s="405">
        <f t="shared" ca="1" si="13"/>
        <v>0</v>
      </c>
      <c r="Z47" s="404">
        <f ca="1">IFERROR(__xludf.DUMMYFUNCTION("IMPORTRANGE(""https://docs.google.com/spreadsheets/d/13JHU_EFbsQOUQ0JSQ3dWy1VTRosIWcDq6Nc99z2qzdc/edit?usp=sharing"",""หนองคาย!I386"")"),1000)</f>
        <v>1000</v>
      </c>
      <c r="AA47" s="93">
        <f ca="1">IFERROR(__xludf.DUMMYFUNCTION("IMPORTRANGE(""https://docs.google.com/spreadsheets/d/1Hx73zIEgVdDZZaYSTc46Dqv64atFhpr3GelxLbaIN8A/edit?usp=sharing"",""หนองบัวลำภู!J374"")"),0)</f>
        <v>0</v>
      </c>
      <c r="AB47" s="93">
        <f ca="1">IFERROR(__xludf.DUMMYFUNCTION("IMPORTRANGE(""https://docs.google.com/spreadsheets/d/1Hx73zIEgVdDZZaYSTc46Dqv64atFhpr3GelxLbaIN8A/edit?usp=sharing"",""หนองบัวลำภู!J374"")"),0)</f>
        <v>0</v>
      </c>
      <c r="AC47" s="406">
        <f ca="1">IFERROR(__xludf.DUMMYFUNCTION("IMPORTRANGE(""https://docs.google.com/spreadsheets/d/13JHU_EFbsQOUQ0JSQ3dWy1VTRosIWcDq6Nc99z2qzdc/edit?usp=sharing"",""หนองคาย!I388"")"),0)</f>
        <v>0</v>
      </c>
      <c r="AD47" s="93">
        <f ca="1">IFERROR(__xludf.DUMMYFUNCTION("IMPORTRANGE(""https://docs.google.com/spreadsheets/d/1Hx73zIEgVdDZZaYSTc46Dqv64atFhpr3GelxLbaIN8A/edit?usp=sharing"",""หนองบัวลำภู!J374"")"),0)</f>
        <v>0</v>
      </c>
      <c r="AE47" s="93">
        <f ca="1">IFERROR(__xludf.DUMMYFUNCTION("IMPORTRANGE(""https://docs.google.com/spreadsheets/d/1Hx73zIEgVdDZZaYSTc46Dqv64atFhpr3GelxLbaIN8A/edit?usp=sharing"",""หนองบัวลำภู!J374"")"),0)</f>
        <v>0</v>
      </c>
    </row>
    <row r="48" spans="1:31" ht="19.5" x14ac:dyDescent="0.3">
      <c r="A48" s="172">
        <v>17</v>
      </c>
      <c r="B48" s="173" t="s">
        <v>74</v>
      </c>
      <c r="C48" s="174">
        <f t="shared" si="23"/>
        <v>0</v>
      </c>
      <c r="D48" s="175">
        <f t="shared" si="42"/>
        <v>0</v>
      </c>
      <c r="E48" s="403">
        <v>0</v>
      </c>
      <c r="F48" s="403">
        <v>0</v>
      </c>
      <c r="G48" s="403">
        <v>0</v>
      </c>
      <c r="H48" s="403">
        <v>0</v>
      </c>
      <c r="I48" s="403">
        <v>0</v>
      </c>
      <c r="J48" s="176">
        <f t="shared" si="25"/>
        <v>0</v>
      </c>
      <c r="K48" s="179">
        <f t="shared" si="26"/>
        <v>0</v>
      </c>
      <c r="L48" s="403">
        <v>0</v>
      </c>
      <c r="M48" s="87">
        <f t="shared" si="27"/>
        <v>0</v>
      </c>
      <c r="N48" s="87">
        <f t="shared" si="28"/>
        <v>0</v>
      </c>
      <c r="O48" s="403">
        <v>0</v>
      </c>
      <c r="P48" s="86">
        <f t="shared" si="29"/>
        <v>0</v>
      </c>
      <c r="Q48" s="87">
        <f t="shared" si="30"/>
        <v>0</v>
      </c>
      <c r="R48" s="86">
        <f ca="1">IFERROR(__xludf.DUMMYFUNCTION("IMPORTRANGE(""https://docs.google.com/spreadsheets/d/1Hx73zIEgVdDZZaYSTc46Dqv64atFhpr3GelxLbaIN8A/edit?usp=sharing"",""หนองบัวลำภู!Q375"")"),437500)</f>
        <v>437500</v>
      </c>
      <c r="S48" s="86">
        <f ca="1">IFERROR(__xludf.DUMMYFUNCTION("IMPORTRANGE(""https://docs.google.com/spreadsheets/d/1Hx73zIEgVdDZZaYSTc46Dqv64atFhpr3GelxLbaIN8A/edit?usp=sharing"",""หนองบัวลำภู!R375"")"),0)</f>
        <v>0</v>
      </c>
      <c r="T48" s="86">
        <f ca="1">IFERROR(__xludf.DUMMYFUNCTION("IMPORTRANGE(""https://docs.google.com/spreadsheets/d/1Hx73zIEgVdDZZaYSTc46Dqv64atFhpr3GelxLbaIN8A/edit?usp=sharing"",""หนองบัวลำภู!S375"")"),0)</f>
        <v>0</v>
      </c>
      <c r="U48" s="87">
        <f t="shared" ca="1" si="32"/>
        <v>0</v>
      </c>
      <c r="V48" s="87">
        <f t="shared" ca="1" si="33"/>
        <v>0</v>
      </c>
      <c r="W48" s="404">
        <f t="shared" ca="1" si="43"/>
        <v>50200</v>
      </c>
      <c r="X48" s="404">
        <f ca="1">IFERROR(__xludf.DUMMYFUNCTION("IMPORTRANGE(""https://docs.google.com/spreadsheets/d/1Hx73zIEgVdDZZaYSTc46Dqv64atFhpr3GelxLbaIN8A/edit?usp=sharing"",""หนองบัวลำภู!J374"")"),0)</f>
        <v>0</v>
      </c>
      <c r="Y48" s="405">
        <f t="shared" ca="1" si="13"/>
        <v>0</v>
      </c>
      <c r="Z48" s="404">
        <f ca="1">IFERROR(__xludf.DUMMYFUNCTION("IMPORTRANGE(""https://docs.google.com/spreadsheets/d/1Hx73zIEgVdDZZaYSTc46Dqv64atFhpr3GelxLbaIN8A/edit?usp=sharing"",""หนองบัวลำภู!I386"")"),7000)</f>
        <v>7000</v>
      </c>
      <c r="AA48" s="93">
        <f ca="1">IFERROR(__xludf.DUMMYFUNCTION("IMPORTRANGE(""https://docs.google.com/spreadsheets/d/1lFxr3ctmjFN90yc-xV6jrQ9Ty8BKYVBWnAZ15wcNIJc/edit?usp=sharing"",""อำนาจเจริญ!J374"")"),0)</f>
        <v>0</v>
      </c>
      <c r="AB48" s="93">
        <f ca="1">IFERROR(__xludf.DUMMYFUNCTION("IMPORTRANGE(""https://docs.google.com/spreadsheets/d/1lFxr3ctmjFN90yc-xV6jrQ9Ty8BKYVBWnAZ15wcNIJc/edit?usp=sharing"",""อำนาจเจริญ!J374"")"),0)</f>
        <v>0</v>
      </c>
      <c r="AC48" s="406">
        <f ca="1">IFERROR(__xludf.DUMMYFUNCTION("IMPORTRANGE(""https://docs.google.com/spreadsheets/d/1Hx73zIEgVdDZZaYSTc46Dqv64atFhpr3GelxLbaIN8A/edit?usp=sharing"",""หนองบัวลำภู!I388"")"),43200)</f>
        <v>43200</v>
      </c>
      <c r="AD48" s="93">
        <f ca="1">IFERROR(__xludf.DUMMYFUNCTION("IMPORTRANGE(""https://docs.google.com/spreadsheets/d/1lFxr3ctmjFN90yc-xV6jrQ9Ty8BKYVBWnAZ15wcNIJc/edit?usp=sharing"",""อำนาจเจริญ!J374"")"),0)</f>
        <v>0</v>
      </c>
      <c r="AE48" s="93">
        <f ca="1">IFERROR(__xludf.DUMMYFUNCTION("IMPORTRANGE(""https://docs.google.com/spreadsheets/d/1lFxr3ctmjFN90yc-xV6jrQ9Ty8BKYVBWnAZ15wcNIJc/edit?usp=sharing"",""อำนาจเจริญ!J374"")"),0)</f>
        <v>0</v>
      </c>
    </row>
    <row r="49" spans="1:31" ht="19.5" x14ac:dyDescent="0.3">
      <c r="A49" s="172">
        <v>18</v>
      </c>
      <c r="B49" s="173" t="s">
        <v>75</v>
      </c>
      <c r="C49" s="174">
        <f t="shared" si="23"/>
        <v>0</v>
      </c>
      <c r="D49" s="175">
        <f t="shared" si="42"/>
        <v>0</v>
      </c>
      <c r="E49" s="403">
        <v>0</v>
      </c>
      <c r="F49" s="403">
        <v>0</v>
      </c>
      <c r="G49" s="403">
        <v>0</v>
      </c>
      <c r="H49" s="403">
        <v>0</v>
      </c>
      <c r="I49" s="403">
        <v>0</v>
      </c>
      <c r="J49" s="176">
        <f t="shared" si="25"/>
        <v>0</v>
      </c>
      <c r="K49" s="179">
        <f t="shared" si="26"/>
        <v>0</v>
      </c>
      <c r="L49" s="403">
        <v>0</v>
      </c>
      <c r="M49" s="87">
        <f t="shared" si="27"/>
        <v>0</v>
      </c>
      <c r="N49" s="87">
        <f t="shared" si="28"/>
        <v>0</v>
      </c>
      <c r="O49" s="403">
        <v>0</v>
      </c>
      <c r="P49" s="86">
        <f t="shared" si="29"/>
        <v>0</v>
      </c>
      <c r="Q49" s="87">
        <f t="shared" si="30"/>
        <v>0</v>
      </c>
      <c r="R49" s="86">
        <f ca="1">IFERROR(__xludf.DUMMYFUNCTION("IMPORTRANGE(""https://docs.google.com/spreadsheets/d/1lFxr3ctmjFN90yc-xV6jrQ9Ty8BKYVBWnAZ15wcNIJc/edit?usp=sharing"",""อำนาจเจริญ!Q375"")"),62500)</f>
        <v>62500</v>
      </c>
      <c r="S49" s="86">
        <f ca="1">IFERROR(__xludf.DUMMYFUNCTION("IMPORTRANGE(""https://docs.google.com/spreadsheets/d/1lFxr3ctmjFN90yc-xV6jrQ9Ty8BKYVBWnAZ15wcNIJc/edit?usp=sharing"",""อำนาจเจริญ!R375"")"),0)</f>
        <v>0</v>
      </c>
      <c r="T49" s="86">
        <f ca="1">IFERROR(__xludf.DUMMYFUNCTION("IMPORTRANGE(""https://docs.google.com/spreadsheets/d/1lFxr3ctmjFN90yc-xV6jrQ9Ty8BKYVBWnAZ15wcNIJc/edit?usp=sharing"",""อำนาจเจริญ!S375"")"),0)</f>
        <v>0</v>
      </c>
      <c r="U49" s="87">
        <f t="shared" ca="1" si="32"/>
        <v>0</v>
      </c>
      <c r="V49" s="87">
        <f t="shared" ca="1" si="33"/>
        <v>0</v>
      </c>
      <c r="W49" s="404">
        <f t="shared" ca="1" si="43"/>
        <v>1000</v>
      </c>
      <c r="X49" s="404">
        <f ca="1">IFERROR(__xludf.DUMMYFUNCTION("IMPORTRANGE(""https://docs.google.com/spreadsheets/d/1lFxr3ctmjFN90yc-xV6jrQ9Ty8BKYVBWnAZ15wcNIJc/edit?usp=sharing"",""อำนาจเจริญ!J374"")"),0)</f>
        <v>0</v>
      </c>
      <c r="Y49" s="405">
        <f t="shared" ca="1" si="13"/>
        <v>0</v>
      </c>
      <c r="Z49" s="404">
        <f ca="1">IFERROR(__xludf.DUMMYFUNCTION("IMPORTRANGE(""https://docs.google.com/spreadsheets/d/1lFxr3ctmjFN90yc-xV6jrQ9Ty8BKYVBWnAZ15wcNIJc/edit?usp=sharing"",""อำนาจเจริญ!I386"")"),1000)</f>
        <v>1000</v>
      </c>
      <c r="AA49" s="93">
        <f ca="1">IFERROR(__xludf.DUMMYFUNCTION("IMPORTRANGE(""https://docs.google.com/spreadsheets/d/1gF7RJpRnL-1oyjyeWxs5SFWEH7y8ahOZsQlyp2A2e-A/edit?usp=sharing"",""อุดรธานี!J374"")"),0)</f>
        <v>0</v>
      </c>
      <c r="AB49" s="93">
        <f ca="1">IFERROR(__xludf.DUMMYFUNCTION("IMPORTRANGE(""https://docs.google.com/spreadsheets/d/1gF7RJpRnL-1oyjyeWxs5SFWEH7y8ahOZsQlyp2A2e-A/edit?usp=sharing"",""อุดรธานี!J374"")"),0)</f>
        <v>0</v>
      </c>
      <c r="AC49" s="406">
        <f ca="1">IFERROR(__xludf.DUMMYFUNCTION("IMPORTRANGE(""https://docs.google.com/spreadsheets/d/1lFxr3ctmjFN90yc-xV6jrQ9Ty8BKYVBWnAZ15wcNIJc/edit?usp=sharing"",""อำนาจเจริญ!I388"")"),0)</f>
        <v>0</v>
      </c>
      <c r="AD49" s="93">
        <f ca="1">IFERROR(__xludf.DUMMYFUNCTION("IMPORTRANGE(""https://docs.google.com/spreadsheets/d/1gF7RJpRnL-1oyjyeWxs5SFWEH7y8ahOZsQlyp2A2e-A/edit?usp=sharing"",""อุดรธานี!J374"")"),0)</f>
        <v>0</v>
      </c>
      <c r="AE49" s="93">
        <f ca="1">IFERROR(__xludf.DUMMYFUNCTION("IMPORTRANGE(""https://docs.google.com/spreadsheets/d/1gF7RJpRnL-1oyjyeWxs5SFWEH7y8ahOZsQlyp2A2e-A/edit?usp=sharing"",""อุดรธานี!J374"")"),0)</f>
        <v>0</v>
      </c>
    </row>
    <row r="50" spans="1:31" ht="19.5" x14ac:dyDescent="0.3">
      <c r="A50" s="172">
        <v>19</v>
      </c>
      <c r="B50" s="173" t="s">
        <v>76</v>
      </c>
      <c r="C50" s="174">
        <f t="shared" si="23"/>
        <v>0</v>
      </c>
      <c r="D50" s="175">
        <f t="shared" si="42"/>
        <v>0</v>
      </c>
      <c r="E50" s="403">
        <v>0</v>
      </c>
      <c r="F50" s="403">
        <v>0</v>
      </c>
      <c r="G50" s="403">
        <v>0</v>
      </c>
      <c r="H50" s="403">
        <v>0</v>
      </c>
      <c r="I50" s="403">
        <v>0</v>
      </c>
      <c r="J50" s="176">
        <f t="shared" si="25"/>
        <v>0</v>
      </c>
      <c r="K50" s="179">
        <f t="shared" si="26"/>
        <v>0</v>
      </c>
      <c r="L50" s="403">
        <v>0</v>
      </c>
      <c r="M50" s="87">
        <f t="shared" si="27"/>
        <v>0</v>
      </c>
      <c r="N50" s="87">
        <f t="shared" si="28"/>
        <v>0</v>
      </c>
      <c r="O50" s="403">
        <v>0</v>
      </c>
      <c r="P50" s="86">
        <f t="shared" si="29"/>
        <v>0</v>
      </c>
      <c r="Q50" s="87">
        <f t="shared" si="30"/>
        <v>0</v>
      </c>
      <c r="R50" s="86">
        <f ca="1">IFERROR(__xludf.DUMMYFUNCTION("IMPORTRANGE(""https://docs.google.com/spreadsheets/d/1gF7RJpRnL-1oyjyeWxs5SFWEH7y8ahOZsQlyp2A2e-A/edit?usp=sharing"",""อุดรธานี!Q375"")"),125000)</f>
        <v>125000</v>
      </c>
      <c r="S50" s="86">
        <f ca="1">IFERROR(__xludf.DUMMYFUNCTION("IMPORTRANGE(""https://docs.google.com/spreadsheets/d/1gF7RJpRnL-1oyjyeWxs5SFWEH7y8ahOZsQlyp2A2e-A/edit?usp=sharing"",""อุดรธานี!R375"")"),0)</f>
        <v>0</v>
      </c>
      <c r="T50" s="86">
        <f ca="1">IFERROR(__xludf.DUMMYFUNCTION("IMPORTRANGE(""https://docs.google.com/spreadsheets/d/1gF7RJpRnL-1oyjyeWxs5SFWEH7y8ahOZsQlyp2A2e-A/edit?usp=sharing"",""อุดรธานี!S375"")"),0)</f>
        <v>0</v>
      </c>
      <c r="U50" s="87">
        <f t="shared" ca="1" si="32"/>
        <v>0</v>
      </c>
      <c r="V50" s="87">
        <f t="shared" ca="1" si="33"/>
        <v>0</v>
      </c>
      <c r="W50" s="404">
        <f t="shared" ca="1" si="43"/>
        <v>2000</v>
      </c>
      <c r="X50" s="404">
        <f ca="1">IFERROR(__xludf.DUMMYFUNCTION("IMPORTRANGE(""https://docs.google.com/spreadsheets/d/1gF7RJpRnL-1oyjyeWxs5SFWEH7y8ahOZsQlyp2A2e-A/edit?usp=sharing"",""อุดรธานี!J374"")"),0)</f>
        <v>0</v>
      </c>
      <c r="Y50" s="405">
        <f t="shared" ca="1" si="13"/>
        <v>0</v>
      </c>
      <c r="Z50" s="404">
        <f ca="1">IFERROR(__xludf.DUMMYFUNCTION("IMPORTRANGE(""https://docs.google.com/spreadsheets/d/1gF7RJpRnL-1oyjyeWxs5SFWEH7y8ahOZsQlyp2A2e-A/edit?usp=sharing"",""อุดรธานี!I386"")"),2000)</f>
        <v>2000</v>
      </c>
      <c r="AA50" s="93">
        <f ca="1">IFERROR(__xludf.DUMMYFUNCTION("IMPORTRANGE(""https://docs.google.com/spreadsheets/d/1kfLP0j3INXRa8bTDpcEmoWewMBV61jlFlfzczfjWIgc/edit?usp=sharing"",""อุบลราชธานี!J374"")"),0)</f>
        <v>0</v>
      </c>
      <c r="AB50" s="93">
        <f ca="1">IFERROR(__xludf.DUMMYFUNCTION("IMPORTRANGE(""https://docs.google.com/spreadsheets/d/1kfLP0j3INXRa8bTDpcEmoWewMBV61jlFlfzczfjWIgc/edit?usp=sharing"",""อุบลราชธานี!J374"")"),0)</f>
        <v>0</v>
      </c>
      <c r="AC50" s="406">
        <f ca="1">IFERROR(__xludf.DUMMYFUNCTION("IMPORTRANGE(""https://docs.google.com/spreadsheets/d/1gF7RJpRnL-1oyjyeWxs5SFWEH7y8ahOZsQlyp2A2e-A/edit?usp=sharing"",""อุดรธานี!I388"")"),0)</f>
        <v>0</v>
      </c>
      <c r="AD50" s="93">
        <f ca="1">IFERROR(__xludf.DUMMYFUNCTION("IMPORTRANGE(""https://docs.google.com/spreadsheets/d/1kfLP0j3INXRa8bTDpcEmoWewMBV61jlFlfzczfjWIgc/edit?usp=sharing"",""อุบลราชธานี!J374"")"),0)</f>
        <v>0</v>
      </c>
      <c r="AE50" s="93">
        <f ca="1">IFERROR(__xludf.DUMMYFUNCTION("IMPORTRANGE(""https://docs.google.com/spreadsheets/d/1kfLP0j3INXRa8bTDpcEmoWewMBV61jlFlfzczfjWIgc/edit?usp=sharing"",""อุบลราชธานี!J374"")"),0)</f>
        <v>0</v>
      </c>
    </row>
    <row r="51" spans="1:31" ht="19.5" x14ac:dyDescent="0.3">
      <c r="A51" s="187">
        <v>20</v>
      </c>
      <c r="B51" s="188" t="s">
        <v>77</v>
      </c>
      <c r="C51" s="189">
        <f t="shared" si="23"/>
        <v>0</v>
      </c>
      <c r="D51" s="190">
        <f t="shared" si="42"/>
        <v>0</v>
      </c>
      <c r="E51" s="415">
        <v>0</v>
      </c>
      <c r="F51" s="415">
        <v>0</v>
      </c>
      <c r="G51" s="415">
        <v>0</v>
      </c>
      <c r="H51" s="415">
        <v>0</v>
      </c>
      <c r="I51" s="415">
        <v>0</v>
      </c>
      <c r="J51" s="191">
        <f t="shared" si="25"/>
        <v>0</v>
      </c>
      <c r="K51" s="192">
        <f t="shared" si="26"/>
        <v>0</v>
      </c>
      <c r="L51" s="415">
        <v>0</v>
      </c>
      <c r="M51" s="118">
        <f t="shared" si="27"/>
        <v>0</v>
      </c>
      <c r="N51" s="118">
        <f t="shared" si="28"/>
        <v>0</v>
      </c>
      <c r="O51" s="415">
        <v>0</v>
      </c>
      <c r="P51" s="117">
        <f t="shared" si="29"/>
        <v>0</v>
      </c>
      <c r="Q51" s="118">
        <f t="shared" si="30"/>
        <v>0</v>
      </c>
      <c r="R51" s="117">
        <f ca="1">IFERROR(__xludf.DUMMYFUNCTION("IMPORTRANGE(""https://docs.google.com/spreadsheets/d/1kfLP0j3INXRa8bTDpcEmoWewMBV61jlFlfzczfjWIgc/edit?usp=sharing"",""อุบลราชธานี!Q375"")"),625000)</f>
        <v>625000</v>
      </c>
      <c r="S51" s="117">
        <f ca="1">IFERROR(__xludf.DUMMYFUNCTION("IMPORTRANGE(""https://docs.google.com/spreadsheets/d/1kfLP0j3INXRa8bTDpcEmoWewMBV61jlFlfzczfjWIgc/edit?usp=sharing"",""อุบลราชธานี!R375"")"),0)</f>
        <v>0</v>
      </c>
      <c r="T51" s="117">
        <f ca="1">IFERROR(__xludf.DUMMYFUNCTION("IMPORTRANGE(""https://docs.google.com/spreadsheets/d/1kfLP0j3INXRa8bTDpcEmoWewMBV61jlFlfzczfjWIgc/edit?usp=sharing"",""อุบลราชธานี!S375"")"),0)</f>
        <v>0</v>
      </c>
      <c r="U51" s="118">
        <f t="shared" ca="1" si="32"/>
        <v>0</v>
      </c>
      <c r="V51" s="118">
        <f t="shared" ca="1" si="33"/>
        <v>0</v>
      </c>
      <c r="W51" s="416">
        <f t="shared" ca="1" si="43"/>
        <v>10000</v>
      </c>
      <c r="X51" s="416">
        <f ca="1">IFERROR(__xludf.DUMMYFUNCTION("IMPORTRANGE(""https://docs.google.com/spreadsheets/d/1kfLP0j3INXRa8bTDpcEmoWewMBV61jlFlfzczfjWIgc/edit?usp=sharing"",""อุบลราชธานี!J374"")"),0)</f>
        <v>0</v>
      </c>
      <c r="Y51" s="417">
        <f t="shared" ca="1" si="13"/>
        <v>0</v>
      </c>
      <c r="Z51" s="416">
        <f ca="1">IFERROR(__xludf.DUMMYFUNCTION("IMPORTRANGE(""https://docs.google.com/spreadsheets/d/1kfLP0j3INXRa8bTDpcEmoWewMBV61jlFlfzczfjWIgc/edit?usp=sharing"",""อุบลราชธานี!I386"")"),10000)</f>
        <v>10000</v>
      </c>
      <c r="AA51" s="104">
        <f t="shared" ref="AA51:AB51" ca="1" si="44">SUM(AA52:AA72)</f>
        <v>0</v>
      </c>
      <c r="AB51" s="104">
        <f t="shared" ca="1" si="44"/>
        <v>0</v>
      </c>
      <c r="AC51" s="412">
        <f ca="1">IFERROR(__xludf.DUMMYFUNCTION("IMPORTRANGE(""https://docs.google.com/spreadsheets/d/1kfLP0j3INXRa8bTDpcEmoWewMBV61jlFlfzczfjWIgc/edit?usp=sharing"",""อุบลราชธานี!I388"")"),0)</f>
        <v>0</v>
      </c>
      <c r="AD51" s="104">
        <f t="shared" ref="AD51:AE51" ca="1" si="45">SUM(AD52:AD72)</f>
        <v>0</v>
      </c>
      <c r="AE51" s="104">
        <f t="shared" ca="1" si="45"/>
        <v>0</v>
      </c>
    </row>
    <row r="52" spans="1:31" ht="19.5" x14ac:dyDescent="0.3">
      <c r="A52" s="637" t="s">
        <v>78</v>
      </c>
      <c r="B52" s="583"/>
      <c r="C52" s="194">
        <f t="shared" si="23"/>
        <v>0</v>
      </c>
      <c r="D52" s="194">
        <f t="shared" ref="D52:I52" si="46">SUM(D53:D73)</f>
        <v>0</v>
      </c>
      <c r="E52" s="194">
        <f t="shared" si="46"/>
        <v>0</v>
      </c>
      <c r="F52" s="194">
        <f t="shared" si="46"/>
        <v>0</v>
      </c>
      <c r="G52" s="194">
        <f t="shared" si="46"/>
        <v>0</v>
      </c>
      <c r="H52" s="194">
        <f t="shared" si="46"/>
        <v>0</v>
      </c>
      <c r="I52" s="194">
        <f t="shared" si="46"/>
        <v>0</v>
      </c>
      <c r="J52" s="194">
        <f t="shared" si="25"/>
        <v>0</v>
      </c>
      <c r="K52" s="195">
        <f t="shared" si="26"/>
        <v>0</v>
      </c>
      <c r="L52" s="194">
        <f>SUM(L53:L73)</f>
        <v>0</v>
      </c>
      <c r="M52" s="120">
        <f t="shared" si="27"/>
        <v>0</v>
      </c>
      <c r="N52" s="120">
        <f t="shared" si="28"/>
        <v>0</v>
      </c>
      <c r="O52" s="119">
        <f>SUM(O53:O73)</f>
        <v>0</v>
      </c>
      <c r="P52" s="119">
        <f t="shared" si="29"/>
        <v>0</v>
      </c>
      <c r="Q52" s="120">
        <f t="shared" si="30"/>
        <v>0</v>
      </c>
      <c r="R52" s="119">
        <f t="shared" ref="R52:T52" ca="1" si="47">SUM(R53:R73)</f>
        <v>862500</v>
      </c>
      <c r="S52" s="119">
        <f t="shared" ca="1" si="47"/>
        <v>0</v>
      </c>
      <c r="T52" s="119">
        <f t="shared" ca="1" si="47"/>
        <v>0</v>
      </c>
      <c r="U52" s="120">
        <f t="shared" ca="1" si="32"/>
        <v>0</v>
      </c>
      <c r="V52" s="120">
        <f t="shared" ca="1" si="33"/>
        <v>0</v>
      </c>
      <c r="W52" s="71">
        <f t="shared" ref="W52:X52" ca="1" si="48">SUM(W53:W73)</f>
        <v>13800</v>
      </c>
      <c r="X52" s="71">
        <f t="shared" ca="1" si="48"/>
        <v>0</v>
      </c>
      <c r="Y52" s="113">
        <f t="shared" ca="1" si="13"/>
        <v>0</v>
      </c>
      <c r="Z52" s="71">
        <f ca="1">SUM(Z53:Z73)</f>
        <v>13800</v>
      </c>
      <c r="AA52" s="71" t="str">
        <f ca="1">IFERROR(__xludf.DUMMYFUNCTION("IMPORTRANGE(""https://docs.google.com/spreadsheets/d/13wPX838HrBrQMCywv1BsuMkt4PEKTChp52zj44s2izQ/edit?usp=sharing"",""กาญจนบุรี!J374"")"),"")</f>
        <v/>
      </c>
      <c r="AB52" s="71" t="str">
        <f ca="1">IFERROR(__xludf.DUMMYFUNCTION("IMPORTRANGE(""https://docs.google.com/spreadsheets/d/13wPX838HrBrQMCywv1BsuMkt4PEKTChp52zj44s2izQ/edit?usp=sharing"",""กาญจนบุรี!J374"")"),"")</f>
        <v/>
      </c>
      <c r="AC52" s="347">
        <f ca="1">SUM(AC53:AC73)</f>
        <v>0</v>
      </c>
      <c r="AD52" s="71">
        <v>0</v>
      </c>
      <c r="AE52" s="71" t="str">
        <f ca="1">IFERROR(__xludf.DUMMYFUNCTION("IMPORTRANGE(""https://docs.google.com/spreadsheets/d/13wPX838HrBrQMCywv1BsuMkt4PEKTChp52zj44s2izQ/edit?usp=sharing"",""กาญจนบุรี!J374"")"),"")</f>
        <v/>
      </c>
    </row>
    <row r="53" spans="1:31" ht="19.5" x14ac:dyDescent="0.3">
      <c r="A53" s="172">
        <v>1</v>
      </c>
      <c r="B53" s="173" t="s">
        <v>79</v>
      </c>
      <c r="C53" s="174">
        <f t="shared" si="23"/>
        <v>0</v>
      </c>
      <c r="D53" s="175">
        <f t="shared" ref="D53:D73" si="49">+E53+F53</f>
        <v>0</v>
      </c>
      <c r="E53" s="403">
        <v>0</v>
      </c>
      <c r="F53" s="403">
        <v>0</v>
      </c>
      <c r="G53" s="219">
        <v>0</v>
      </c>
      <c r="H53" s="219">
        <v>0</v>
      </c>
      <c r="I53" s="219">
        <v>0</v>
      </c>
      <c r="J53" s="177">
        <f t="shared" si="25"/>
        <v>0</v>
      </c>
      <c r="K53" s="178">
        <f t="shared" si="26"/>
        <v>0</v>
      </c>
      <c r="L53" s="219">
        <v>0</v>
      </c>
      <c r="M53" s="87">
        <f t="shared" si="27"/>
        <v>0</v>
      </c>
      <c r="N53" s="87">
        <f t="shared" si="28"/>
        <v>0</v>
      </c>
      <c r="O53" s="403">
        <v>0</v>
      </c>
      <c r="P53" s="86">
        <f t="shared" si="29"/>
        <v>0</v>
      </c>
      <c r="Q53" s="87">
        <f t="shared" si="30"/>
        <v>0</v>
      </c>
      <c r="R53" s="86">
        <f ca="1">IFERROR(__xludf.DUMMYFUNCTION("IMPORTRANGE(""https://docs.google.com/spreadsheets/d/13wPX838HrBrQMCywv1BsuMkt4PEKTChp52zj44s2izQ/edit?usp=sharing"",""กาญจนบุรี!Q375"")"),0)</f>
        <v>0</v>
      </c>
      <c r="S53" s="86">
        <f ca="1">IFERROR(__xludf.DUMMYFUNCTION("IMPORTRANGE(""https://docs.google.com/spreadsheets/d/13wPX838HrBrQMCywv1BsuMkt4PEKTChp52zj44s2izQ/edit?usp=sharing"",""กาญจนบุรี!R375"")"),0)</f>
        <v>0</v>
      </c>
      <c r="T53" s="86">
        <f ca="1">IFERROR(__xludf.DUMMYFUNCTION("IMPORTRANGE(""https://docs.google.com/spreadsheets/d/13wPX838HrBrQMCywv1BsuMkt4PEKTChp52zj44s2izQ/edit?usp=sharing"",""กาญจนบุรี!S375"")"),0)</f>
        <v>0</v>
      </c>
      <c r="U53" s="87">
        <f t="shared" ca="1" si="32"/>
        <v>0</v>
      </c>
      <c r="V53" s="87">
        <f t="shared" ca="1" si="33"/>
        <v>0</v>
      </c>
      <c r="W53" s="404">
        <f t="shared" ref="W53:W73" si="50">Z53+AC53</f>
        <v>0</v>
      </c>
      <c r="X53" s="404">
        <v>0</v>
      </c>
      <c r="Y53" s="405">
        <f t="shared" si="13"/>
        <v>0</v>
      </c>
      <c r="Z53" s="404">
        <v>0</v>
      </c>
      <c r="AA53" s="81">
        <f ca="1">IFERROR(__xludf.DUMMYFUNCTION("IMPORTRANGE(""https://docs.google.com/spreadsheets/d/1ddFKvqj1W1NEiWytbGlB1zMx_ykJDVtmfEQ-6-lIUBA/edit?usp=sharing"",""จันทบุรี!J374"")"),0)</f>
        <v>0</v>
      </c>
      <c r="AB53" s="81">
        <f ca="1">IFERROR(__xludf.DUMMYFUNCTION("IMPORTRANGE(""https://docs.google.com/spreadsheets/d/1ddFKvqj1W1NEiWytbGlB1zMx_ykJDVtmfEQ-6-lIUBA/edit?usp=sharing"",""จันทบุรี!J374"")"),0)</f>
        <v>0</v>
      </c>
      <c r="AC53" s="294">
        <v>0</v>
      </c>
      <c r="AD53" s="81">
        <f ca="1">IFERROR(__xludf.DUMMYFUNCTION("IMPORTRANGE(""https://docs.google.com/spreadsheets/d/1ddFKvqj1W1NEiWytbGlB1zMx_ykJDVtmfEQ-6-lIUBA/edit?usp=sharing"",""จันทบุรี!J374"")"),0)</f>
        <v>0</v>
      </c>
      <c r="AE53" s="81">
        <f ca="1">IFERROR(__xludf.DUMMYFUNCTION("IMPORTRANGE(""https://docs.google.com/spreadsheets/d/1ddFKvqj1W1NEiWytbGlB1zMx_ykJDVtmfEQ-6-lIUBA/edit?usp=sharing"",""จันทบุรี!J374"")"),0)</f>
        <v>0</v>
      </c>
    </row>
    <row r="54" spans="1:31" ht="19.5" x14ac:dyDescent="0.3">
      <c r="A54" s="172">
        <v>2</v>
      </c>
      <c r="B54" s="173" t="s">
        <v>80</v>
      </c>
      <c r="C54" s="174">
        <f t="shared" si="23"/>
        <v>0</v>
      </c>
      <c r="D54" s="175">
        <f t="shared" si="49"/>
        <v>0</v>
      </c>
      <c r="E54" s="403">
        <v>0</v>
      </c>
      <c r="F54" s="403">
        <v>0</v>
      </c>
      <c r="G54" s="403">
        <v>0</v>
      </c>
      <c r="H54" s="403">
        <v>0</v>
      </c>
      <c r="I54" s="403">
        <v>0</v>
      </c>
      <c r="J54" s="176">
        <f t="shared" si="25"/>
        <v>0</v>
      </c>
      <c r="K54" s="179">
        <f t="shared" si="26"/>
        <v>0</v>
      </c>
      <c r="L54" s="403">
        <v>0</v>
      </c>
      <c r="M54" s="87">
        <f t="shared" si="27"/>
        <v>0</v>
      </c>
      <c r="N54" s="87">
        <f t="shared" si="28"/>
        <v>0</v>
      </c>
      <c r="O54" s="403">
        <v>0</v>
      </c>
      <c r="P54" s="86">
        <f t="shared" si="29"/>
        <v>0</v>
      </c>
      <c r="Q54" s="87">
        <f t="shared" si="30"/>
        <v>0</v>
      </c>
      <c r="R54" s="86">
        <f ca="1">IFERROR(__xludf.DUMMYFUNCTION("IMPORTRANGE(""https://docs.google.com/spreadsheets/d/1ddFKvqj1W1NEiWytbGlB1zMx_ykJDVtmfEQ-6-lIUBA/edit?usp=sharing"",""จันทบุรี!Q375"")"),62500)</f>
        <v>62500</v>
      </c>
      <c r="S54" s="86">
        <f ca="1">IFERROR(__xludf.DUMMYFUNCTION("IMPORTRANGE(""https://docs.google.com/spreadsheets/d/1ddFKvqj1W1NEiWytbGlB1zMx_ykJDVtmfEQ-6-lIUBA/edit?usp=sharing"",""จันทบุรี!R375"")"),0)</f>
        <v>0</v>
      </c>
      <c r="T54" s="86">
        <f ca="1">IFERROR(__xludf.DUMMYFUNCTION("IMPORTRANGE(""https://docs.google.com/spreadsheets/d/1ddFKvqj1W1NEiWytbGlB1zMx_ykJDVtmfEQ-6-lIUBA/edit?usp=sharing"",""จันทบุรี!S375"")"),0)</f>
        <v>0</v>
      </c>
      <c r="U54" s="87">
        <f t="shared" ca="1" si="32"/>
        <v>0</v>
      </c>
      <c r="V54" s="87">
        <f t="shared" ca="1" si="33"/>
        <v>0</v>
      </c>
      <c r="W54" s="404">
        <f t="shared" ca="1" si="50"/>
        <v>1000</v>
      </c>
      <c r="X54" s="404">
        <f ca="1">IFERROR(__xludf.DUMMYFUNCTION("IMPORTRANGE(""https://docs.google.com/spreadsheets/d/1ddFKvqj1W1NEiWytbGlB1zMx_ykJDVtmfEQ-6-lIUBA/edit?usp=sharing"",""จันทบุรี!J374"")"),0)</f>
        <v>0</v>
      </c>
      <c r="Y54" s="405">
        <f t="shared" ca="1" si="13"/>
        <v>0</v>
      </c>
      <c r="Z54" s="404">
        <f ca="1">IFERROR(__xludf.DUMMYFUNCTION("IMPORTRANGE(""https://docs.google.com/spreadsheets/d/1ddFKvqj1W1NEiWytbGlB1zMx_ykJDVtmfEQ-6-lIUBA/edit?usp=sharing"",""จันทบุรี!I386"")"),1000)</f>
        <v>1000</v>
      </c>
      <c r="AA54" s="93">
        <f ca="1">IFERROR(__xludf.DUMMYFUNCTION("IMPORTRANGE(""https://docs.google.com/spreadsheets/d/1T1PQvRODqOBZk8BRht_U031fIS1beLA0Ub2CEytj2q0/edit?usp=sharing"",""ฉะเชิงเทรา!J374"")"),0)</f>
        <v>0</v>
      </c>
      <c r="AB54" s="93">
        <f ca="1">IFERROR(__xludf.DUMMYFUNCTION("IMPORTRANGE(""https://docs.google.com/spreadsheets/d/1T1PQvRODqOBZk8BRht_U031fIS1beLA0Ub2CEytj2q0/edit?usp=sharing"",""ฉะเชิงเทรา!J374"")"),0)</f>
        <v>0</v>
      </c>
      <c r="AC54" s="406">
        <f ca="1">IFERROR(__xludf.DUMMYFUNCTION("IMPORTRANGE(""https://docs.google.com/spreadsheets/d/1ddFKvqj1W1NEiWytbGlB1zMx_ykJDVtmfEQ-6-lIUBA/edit?usp=sharing"",""จันทบุรี!I388"")"),0)</f>
        <v>0</v>
      </c>
      <c r="AD54" s="93">
        <f ca="1">IFERROR(__xludf.DUMMYFUNCTION("IMPORTRANGE(""https://docs.google.com/spreadsheets/d/1T1PQvRODqOBZk8BRht_U031fIS1beLA0Ub2CEytj2q0/edit?usp=sharing"",""ฉะเชิงเทรา!J374"")"),0)</f>
        <v>0</v>
      </c>
      <c r="AE54" s="93">
        <f ca="1">IFERROR(__xludf.DUMMYFUNCTION("IMPORTRANGE(""https://docs.google.com/spreadsheets/d/1T1PQvRODqOBZk8BRht_U031fIS1beLA0Ub2CEytj2q0/edit?usp=sharing"",""ฉะเชิงเทรา!J374"")"),0)</f>
        <v>0</v>
      </c>
    </row>
    <row r="55" spans="1:31" ht="19.5" x14ac:dyDescent="0.3">
      <c r="A55" s="172">
        <v>3</v>
      </c>
      <c r="B55" s="173" t="s">
        <v>81</v>
      </c>
      <c r="C55" s="174">
        <f t="shared" si="23"/>
        <v>0</v>
      </c>
      <c r="D55" s="175">
        <f t="shared" si="49"/>
        <v>0</v>
      </c>
      <c r="E55" s="403">
        <v>0</v>
      </c>
      <c r="F55" s="403">
        <v>0</v>
      </c>
      <c r="G55" s="403">
        <v>0</v>
      </c>
      <c r="H55" s="403">
        <v>0</v>
      </c>
      <c r="I55" s="403">
        <v>0</v>
      </c>
      <c r="J55" s="176">
        <f t="shared" si="25"/>
        <v>0</v>
      </c>
      <c r="K55" s="179">
        <f t="shared" si="26"/>
        <v>0</v>
      </c>
      <c r="L55" s="403">
        <v>0</v>
      </c>
      <c r="M55" s="87">
        <f t="shared" si="27"/>
        <v>0</v>
      </c>
      <c r="N55" s="87">
        <f t="shared" si="28"/>
        <v>0</v>
      </c>
      <c r="O55" s="403">
        <v>0</v>
      </c>
      <c r="P55" s="86">
        <f t="shared" si="29"/>
        <v>0</v>
      </c>
      <c r="Q55" s="87">
        <f t="shared" si="30"/>
        <v>0</v>
      </c>
      <c r="R55" s="86">
        <f ca="1">IFERROR(__xludf.DUMMYFUNCTION("IMPORTRANGE(""https://docs.google.com/spreadsheets/d/1T1PQvRODqOBZk8BRht_U031fIS1beLA0Ub2CEytj2q0/edit?usp=sharing"",""ฉะเชิงเทรา!Q375"")"),62500)</f>
        <v>62500</v>
      </c>
      <c r="S55" s="86">
        <f ca="1">IFERROR(__xludf.DUMMYFUNCTION("IMPORTRANGE(""https://docs.google.com/spreadsheets/d/1T1PQvRODqOBZk8BRht_U031fIS1beLA0Ub2CEytj2q0/edit?usp=sharing"",""ฉะเชิงเทรา!R375"")"),0)</f>
        <v>0</v>
      </c>
      <c r="T55" s="86">
        <f ca="1">IFERROR(__xludf.DUMMYFUNCTION("IMPORTRANGE(""https://docs.google.com/spreadsheets/d/1T1PQvRODqOBZk8BRht_U031fIS1beLA0Ub2CEytj2q0/edit?usp=sharing"",""ฉะเชิงเทรา!S375"")"),0)</f>
        <v>0</v>
      </c>
      <c r="U55" s="87">
        <f t="shared" ca="1" si="32"/>
        <v>0</v>
      </c>
      <c r="V55" s="87">
        <f t="shared" ca="1" si="33"/>
        <v>0</v>
      </c>
      <c r="W55" s="404">
        <f t="shared" ca="1" si="50"/>
        <v>1000</v>
      </c>
      <c r="X55" s="404">
        <f ca="1">IFERROR(__xludf.DUMMYFUNCTION("IMPORTRANGE(""https://docs.google.com/spreadsheets/d/1T1PQvRODqOBZk8BRht_U031fIS1beLA0Ub2CEytj2q0/edit?usp=sharing"",""ฉะเชิงเทรา!J374"")"),0)</f>
        <v>0</v>
      </c>
      <c r="Y55" s="405">
        <f t="shared" ca="1" si="13"/>
        <v>0</v>
      </c>
      <c r="Z55" s="404">
        <f ca="1">IFERROR(__xludf.DUMMYFUNCTION("IMPORTRANGE(""https://docs.google.com/spreadsheets/d/1T1PQvRODqOBZk8BRht_U031fIS1beLA0Ub2CEytj2q0/edit?usp=sharing"",""ฉะเชิงเทรา!I386"")"),1000)</f>
        <v>1000</v>
      </c>
      <c r="AA55" s="93">
        <f ca="1">IFERROR(__xludf.DUMMYFUNCTION("IMPORTRANGE(""https://docs.google.com/spreadsheets/d/11tr1B-Bhyr79v2bkwVh5h_fR-PStkgjlZtkrZpYurG0/edit?usp=sharing"",""ชลบุรี!J374"")"),0)</f>
        <v>0</v>
      </c>
      <c r="AB55" s="93">
        <f ca="1">IFERROR(__xludf.DUMMYFUNCTION("IMPORTRANGE(""https://docs.google.com/spreadsheets/d/11tr1B-Bhyr79v2bkwVh5h_fR-PStkgjlZtkrZpYurG0/edit?usp=sharing"",""ชลบุรี!J374"")"),0)</f>
        <v>0</v>
      </c>
      <c r="AC55" s="406">
        <f ca="1">IFERROR(__xludf.DUMMYFUNCTION("IMPORTRANGE(""https://docs.google.com/spreadsheets/d/1T1PQvRODqOBZk8BRht_U031fIS1beLA0Ub2CEytj2q0/edit?usp=sharing"",""ฉะเชิงเทรา!I388"")"),0)</f>
        <v>0</v>
      </c>
      <c r="AD55" s="93">
        <f ca="1">IFERROR(__xludf.DUMMYFUNCTION("IMPORTRANGE(""https://docs.google.com/spreadsheets/d/11tr1B-Bhyr79v2bkwVh5h_fR-PStkgjlZtkrZpYurG0/edit?usp=sharing"",""ชลบุรี!J374"")"),0)</f>
        <v>0</v>
      </c>
      <c r="AE55" s="93">
        <f ca="1">IFERROR(__xludf.DUMMYFUNCTION("IMPORTRANGE(""https://docs.google.com/spreadsheets/d/11tr1B-Bhyr79v2bkwVh5h_fR-PStkgjlZtkrZpYurG0/edit?usp=sharing"",""ชลบุรี!J374"")"),0)</f>
        <v>0</v>
      </c>
    </row>
    <row r="56" spans="1:31" ht="19.5" x14ac:dyDescent="0.3">
      <c r="A56" s="172">
        <v>4</v>
      </c>
      <c r="B56" s="173" t="s">
        <v>82</v>
      </c>
      <c r="C56" s="174">
        <f t="shared" si="23"/>
        <v>0</v>
      </c>
      <c r="D56" s="175">
        <f t="shared" si="49"/>
        <v>0</v>
      </c>
      <c r="E56" s="403">
        <v>0</v>
      </c>
      <c r="F56" s="403">
        <v>0</v>
      </c>
      <c r="G56" s="403">
        <v>0</v>
      </c>
      <c r="H56" s="403">
        <v>0</v>
      </c>
      <c r="I56" s="403">
        <v>0</v>
      </c>
      <c r="J56" s="176">
        <f t="shared" si="25"/>
        <v>0</v>
      </c>
      <c r="K56" s="179">
        <f t="shared" si="26"/>
        <v>0</v>
      </c>
      <c r="L56" s="403">
        <v>0</v>
      </c>
      <c r="M56" s="87">
        <f t="shared" si="27"/>
        <v>0</v>
      </c>
      <c r="N56" s="87">
        <f t="shared" si="28"/>
        <v>0</v>
      </c>
      <c r="O56" s="403">
        <v>0</v>
      </c>
      <c r="P56" s="86">
        <f t="shared" si="29"/>
        <v>0</v>
      </c>
      <c r="Q56" s="87">
        <f t="shared" si="30"/>
        <v>0</v>
      </c>
      <c r="R56" s="86">
        <f ca="1">IFERROR(__xludf.DUMMYFUNCTION("IMPORTRANGE(""https://docs.google.com/spreadsheets/d/11tr1B-Bhyr79v2bkwVh5h_fR-PStkgjlZtkrZpYurG0/edit?usp=sharing"",""ชลบุรี!Q375"")"),62500)</f>
        <v>62500</v>
      </c>
      <c r="S56" s="86">
        <f ca="1">IFERROR(__xludf.DUMMYFUNCTION("IMPORTRANGE(""https://docs.google.com/spreadsheets/d/11tr1B-Bhyr79v2bkwVh5h_fR-PStkgjlZtkrZpYurG0/edit?usp=sharing"",""ชลบุรี!R375"")"),0)</f>
        <v>0</v>
      </c>
      <c r="T56" s="86">
        <f ca="1">IFERROR(__xludf.DUMMYFUNCTION("IMPORTRANGE(""https://docs.google.com/spreadsheets/d/11tr1B-Bhyr79v2bkwVh5h_fR-PStkgjlZtkrZpYurG0/edit?usp=sharing"",""ชลบุรี!S375"")"),0)</f>
        <v>0</v>
      </c>
      <c r="U56" s="87">
        <f t="shared" ca="1" si="32"/>
        <v>0</v>
      </c>
      <c r="V56" s="87">
        <f t="shared" ca="1" si="33"/>
        <v>0</v>
      </c>
      <c r="W56" s="404">
        <f t="shared" ca="1" si="50"/>
        <v>1000</v>
      </c>
      <c r="X56" s="404">
        <f ca="1">IFERROR(__xludf.DUMMYFUNCTION("IMPORTRANGE(""https://docs.google.com/spreadsheets/d/11tr1B-Bhyr79v2bkwVh5h_fR-PStkgjlZtkrZpYurG0/edit?usp=sharing"",""ชลบุรี!J374"")"),0)</f>
        <v>0</v>
      </c>
      <c r="Y56" s="405">
        <f t="shared" ca="1" si="13"/>
        <v>0</v>
      </c>
      <c r="Z56" s="404">
        <f ca="1">IFERROR(__xludf.DUMMYFUNCTION("IMPORTRANGE(""https://docs.google.com/spreadsheets/d/11tr1B-Bhyr79v2bkwVh5h_fR-PStkgjlZtkrZpYurG0/edit?usp=sharing"",""ชลบุรี!I386"")"),1000)</f>
        <v>1000</v>
      </c>
      <c r="AA56" s="93">
        <f ca="1">IFERROR(__xludf.DUMMYFUNCTION("IMPORTRANGE(""https://docs.google.com/spreadsheets/d/1hh-FVnSX0vozXhGluamEcS54Dw9_zqW0N7qJUWgJ0Sw/edit?usp=sharing"",""ชัยนาท!J374"")"),0)</f>
        <v>0</v>
      </c>
      <c r="AB56" s="93">
        <f ca="1">IFERROR(__xludf.DUMMYFUNCTION("IMPORTRANGE(""https://docs.google.com/spreadsheets/d/1hh-FVnSX0vozXhGluamEcS54Dw9_zqW0N7qJUWgJ0Sw/edit?usp=sharing"",""ชัยนาท!J374"")"),0)</f>
        <v>0</v>
      </c>
      <c r="AC56" s="406">
        <f ca="1">IFERROR(__xludf.DUMMYFUNCTION("IMPORTRANGE(""https://docs.google.com/spreadsheets/d/11tr1B-Bhyr79v2bkwVh5h_fR-PStkgjlZtkrZpYurG0/edit?usp=sharing"",""ชลบุรี!I388"")"),0)</f>
        <v>0</v>
      </c>
      <c r="AD56" s="93">
        <f ca="1">IFERROR(__xludf.DUMMYFUNCTION("IMPORTRANGE(""https://docs.google.com/spreadsheets/d/1hh-FVnSX0vozXhGluamEcS54Dw9_zqW0N7qJUWgJ0Sw/edit?usp=sharing"",""ชัยนาท!J374"")"),0)</f>
        <v>0</v>
      </c>
      <c r="AE56" s="93">
        <f ca="1">IFERROR(__xludf.DUMMYFUNCTION("IMPORTRANGE(""https://docs.google.com/spreadsheets/d/1hh-FVnSX0vozXhGluamEcS54Dw9_zqW0N7qJUWgJ0Sw/edit?usp=sharing"",""ชัยนาท!J374"")"),0)</f>
        <v>0</v>
      </c>
    </row>
    <row r="57" spans="1:31" ht="19.5" x14ac:dyDescent="0.3">
      <c r="A57" s="172">
        <v>5</v>
      </c>
      <c r="B57" s="173" t="s">
        <v>83</v>
      </c>
      <c r="C57" s="174">
        <f t="shared" si="23"/>
        <v>0</v>
      </c>
      <c r="D57" s="175">
        <f t="shared" si="49"/>
        <v>0</v>
      </c>
      <c r="E57" s="403">
        <v>0</v>
      </c>
      <c r="F57" s="403">
        <v>0</v>
      </c>
      <c r="G57" s="403">
        <v>0</v>
      </c>
      <c r="H57" s="403">
        <v>0</v>
      </c>
      <c r="I57" s="403">
        <v>0</v>
      </c>
      <c r="J57" s="176">
        <f t="shared" si="25"/>
        <v>0</v>
      </c>
      <c r="K57" s="179">
        <f t="shared" si="26"/>
        <v>0</v>
      </c>
      <c r="L57" s="403">
        <v>0</v>
      </c>
      <c r="M57" s="87">
        <f t="shared" si="27"/>
        <v>0</v>
      </c>
      <c r="N57" s="87">
        <f t="shared" si="28"/>
        <v>0</v>
      </c>
      <c r="O57" s="403">
        <v>0</v>
      </c>
      <c r="P57" s="86">
        <f t="shared" si="29"/>
        <v>0</v>
      </c>
      <c r="Q57" s="87">
        <f t="shared" si="30"/>
        <v>0</v>
      </c>
      <c r="R57" s="86">
        <f ca="1">IFERROR(__xludf.DUMMYFUNCTION("IMPORTRANGE(""https://docs.google.com/spreadsheets/d/1hh-FVnSX0vozXhGluamEcS54Dw9_zqW0N7qJUWgJ0Sw/edit?usp=sharing"",""ชัยนาท!Q375"")"),0)</f>
        <v>0</v>
      </c>
      <c r="S57" s="86">
        <f ca="1">IFERROR(__xludf.DUMMYFUNCTION("IMPORTRANGE(""https://docs.google.com/spreadsheets/d/1hh-FVnSX0vozXhGluamEcS54Dw9_zqW0N7qJUWgJ0Sw/edit?usp=sharing"",""ชัยนาท!R375"")"),0)</f>
        <v>0</v>
      </c>
      <c r="T57" s="86">
        <f ca="1">IFERROR(__xludf.DUMMYFUNCTION("IMPORTRANGE(""https://docs.google.com/spreadsheets/d/1hh-FVnSX0vozXhGluamEcS54Dw9_zqW0N7qJUWgJ0Sw/edit?usp=sharing"",""ชัยนาท!S375"")"),0)</f>
        <v>0</v>
      </c>
      <c r="U57" s="87">
        <f t="shared" ca="1" si="32"/>
        <v>0</v>
      </c>
      <c r="V57" s="87">
        <f t="shared" ca="1" si="33"/>
        <v>0</v>
      </c>
      <c r="W57" s="404">
        <f t="shared" ca="1" si="50"/>
        <v>0</v>
      </c>
      <c r="X57" s="404">
        <f ca="1">IFERROR(__xludf.DUMMYFUNCTION("IMPORTRANGE(""https://docs.google.com/spreadsheets/d/1hh-FVnSX0vozXhGluamEcS54Dw9_zqW0N7qJUWgJ0Sw/edit?usp=sharing"",""ชัยนาท!J374"")"),0)</f>
        <v>0</v>
      </c>
      <c r="Y57" s="405">
        <f t="shared" ca="1" si="13"/>
        <v>0</v>
      </c>
      <c r="Z57" s="404">
        <f ca="1">IFERROR(__xludf.DUMMYFUNCTION("IMPORTRANGE(""https://docs.google.com/spreadsheets/d/1hh-FVnSX0vozXhGluamEcS54Dw9_zqW0N7qJUWgJ0Sw/edit?usp=sharing"",""ชัยนาท!I386"")"),0)</f>
        <v>0</v>
      </c>
      <c r="AA57" s="93">
        <f ca="1">IFERROR(__xludf.DUMMYFUNCTION("IMPORTRANGE(""https://docs.google.com/spreadsheets/d/1jkqa6GXxSacMcY1eN8AHjMNJ_7dDXMJVRLDlaFSOdPM/edit?usp=sharing"",""ตราด!J374"")"),0)</f>
        <v>0</v>
      </c>
      <c r="AB57" s="93">
        <f ca="1">IFERROR(__xludf.DUMMYFUNCTION("IMPORTRANGE(""https://docs.google.com/spreadsheets/d/1jkqa6GXxSacMcY1eN8AHjMNJ_7dDXMJVRLDlaFSOdPM/edit?usp=sharing"",""ตราด!J374"")"),0)</f>
        <v>0</v>
      </c>
      <c r="AC57" s="406">
        <f ca="1">IFERROR(__xludf.DUMMYFUNCTION("IMPORTRANGE(""https://docs.google.com/spreadsheets/d/1hh-FVnSX0vozXhGluamEcS54Dw9_zqW0N7qJUWgJ0Sw/edit?usp=sharing"",""ชัยนาท!I388"")"),0)</f>
        <v>0</v>
      </c>
      <c r="AD57" s="93">
        <f ca="1">IFERROR(__xludf.DUMMYFUNCTION("IMPORTRANGE(""https://docs.google.com/spreadsheets/d/1jkqa6GXxSacMcY1eN8AHjMNJ_7dDXMJVRLDlaFSOdPM/edit?usp=sharing"",""ตราด!J374"")"),0)</f>
        <v>0</v>
      </c>
      <c r="AE57" s="93">
        <f ca="1">IFERROR(__xludf.DUMMYFUNCTION("IMPORTRANGE(""https://docs.google.com/spreadsheets/d/1jkqa6GXxSacMcY1eN8AHjMNJ_7dDXMJVRLDlaFSOdPM/edit?usp=sharing"",""ตราด!J374"")"),0)</f>
        <v>0</v>
      </c>
    </row>
    <row r="58" spans="1:31" ht="19.5" x14ac:dyDescent="0.3">
      <c r="A58" s="172">
        <v>6</v>
      </c>
      <c r="B58" s="173" t="s">
        <v>84</v>
      </c>
      <c r="C58" s="174">
        <f t="shared" si="23"/>
        <v>0</v>
      </c>
      <c r="D58" s="175">
        <f t="shared" si="49"/>
        <v>0</v>
      </c>
      <c r="E58" s="403">
        <v>0</v>
      </c>
      <c r="F58" s="403">
        <v>0</v>
      </c>
      <c r="G58" s="403">
        <v>0</v>
      </c>
      <c r="H58" s="403">
        <v>0</v>
      </c>
      <c r="I58" s="403">
        <v>0</v>
      </c>
      <c r="J58" s="176">
        <f t="shared" si="25"/>
        <v>0</v>
      </c>
      <c r="K58" s="179">
        <f t="shared" si="26"/>
        <v>0</v>
      </c>
      <c r="L58" s="403">
        <v>0</v>
      </c>
      <c r="M58" s="87">
        <f t="shared" si="27"/>
        <v>0</v>
      </c>
      <c r="N58" s="87">
        <f t="shared" si="28"/>
        <v>0</v>
      </c>
      <c r="O58" s="403">
        <v>0</v>
      </c>
      <c r="P58" s="86">
        <f t="shared" si="29"/>
        <v>0</v>
      </c>
      <c r="Q58" s="87">
        <f t="shared" si="30"/>
        <v>0</v>
      </c>
      <c r="R58" s="86">
        <f ca="1">IFERROR(__xludf.DUMMYFUNCTION("IMPORTRANGE(""https://docs.google.com/spreadsheets/d/1jkqa6GXxSacMcY1eN8AHjMNJ_7dDXMJVRLDlaFSOdPM/edit?usp=sharing"",""ตราด!Q375"")"),62500)</f>
        <v>62500</v>
      </c>
      <c r="S58" s="86">
        <f ca="1">IFERROR(__xludf.DUMMYFUNCTION("IMPORTRANGE(""https://docs.google.com/spreadsheets/d/1jkqa6GXxSacMcY1eN8AHjMNJ_7dDXMJVRLDlaFSOdPM/edit?usp=sharing"",""ตราด!R375"")"),0)</f>
        <v>0</v>
      </c>
      <c r="T58" s="86">
        <f ca="1">IFERROR(__xludf.DUMMYFUNCTION("IMPORTRANGE(""https://docs.google.com/spreadsheets/d/1jkqa6GXxSacMcY1eN8AHjMNJ_7dDXMJVRLDlaFSOdPM/edit?usp=sharing"",""ตราด!S375"")"),0)</f>
        <v>0</v>
      </c>
      <c r="U58" s="87">
        <f t="shared" ca="1" si="32"/>
        <v>0</v>
      </c>
      <c r="V58" s="87">
        <f t="shared" ca="1" si="33"/>
        <v>0</v>
      </c>
      <c r="W58" s="404">
        <f t="shared" ca="1" si="50"/>
        <v>1000</v>
      </c>
      <c r="X58" s="404">
        <f ca="1">IFERROR(__xludf.DUMMYFUNCTION("IMPORTRANGE(""https://docs.google.com/spreadsheets/d/1jkqa6GXxSacMcY1eN8AHjMNJ_7dDXMJVRLDlaFSOdPM/edit?usp=sharing"",""ตราด!J374"")"),0)</f>
        <v>0</v>
      </c>
      <c r="Y58" s="405">
        <f t="shared" ca="1" si="13"/>
        <v>0</v>
      </c>
      <c r="Z58" s="404">
        <f ca="1">IFERROR(__xludf.DUMMYFUNCTION("IMPORTRANGE(""https://docs.google.com/spreadsheets/d/1jkqa6GXxSacMcY1eN8AHjMNJ_7dDXMJVRLDlaFSOdPM/edit?usp=sharing"",""ตราด!I386"")"),1000)</f>
        <v>1000</v>
      </c>
      <c r="AA58" s="93">
        <f ca="1">IFERROR(__xludf.DUMMYFUNCTION("IMPORTRANGE(""https://docs.google.com/spreadsheets/d/18hSgUJ3VwClqi_qtULmmW3cLr0oe3OKaSYoKzdpTsYQ/edit?usp=sharing"",""นครนายก!J374"")"),0)</f>
        <v>0</v>
      </c>
      <c r="AB58" s="93">
        <f ca="1">IFERROR(__xludf.DUMMYFUNCTION("IMPORTRANGE(""https://docs.google.com/spreadsheets/d/18hSgUJ3VwClqi_qtULmmW3cLr0oe3OKaSYoKzdpTsYQ/edit?usp=sharing"",""นครนายก!J374"")"),0)</f>
        <v>0</v>
      </c>
      <c r="AC58" s="406">
        <f ca="1">IFERROR(__xludf.DUMMYFUNCTION("IMPORTRANGE(""https://docs.google.com/spreadsheets/d/1jkqa6GXxSacMcY1eN8AHjMNJ_7dDXMJVRLDlaFSOdPM/edit?usp=sharing"",""ตราด!I388"")"),0)</f>
        <v>0</v>
      </c>
      <c r="AD58" s="93">
        <f ca="1">IFERROR(__xludf.DUMMYFUNCTION("IMPORTRANGE(""https://docs.google.com/spreadsheets/d/18hSgUJ3VwClqi_qtULmmW3cLr0oe3OKaSYoKzdpTsYQ/edit?usp=sharing"",""นครนายก!J374"")"),0)</f>
        <v>0</v>
      </c>
      <c r="AE58" s="93">
        <f ca="1">IFERROR(__xludf.DUMMYFUNCTION("IMPORTRANGE(""https://docs.google.com/spreadsheets/d/18hSgUJ3VwClqi_qtULmmW3cLr0oe3OKaSYoKzdpTsYQ/edit?usp=sharing"",""นครนายก!J374"")"),0)</f>
        <v>0</v>
      </c>
    </row>
    <row r="59" spans="1:31" ht="19.5" x14ac:dyDescent="0.3">
      <c r="A59" s="172">
        <v>7</v>
      </c>
      <c r="B59" s="173" t="s">
        <v>85</v>
      </c>
      <c r="C59" s="174">
        <f t="shared" si="23"/>
        <v>0</v>
      </c>
      <c r="D59" s="175">
        <f t="shared" si="49"/>
        <v>0</v>
      </c>
      <c r="E59" s="403">
        <v>0</v>
      </c>
      <c r="F59" s="403">
        <v>0</v>
      </c>
      <c r="G59" s="403">
        <v>0</v>
      </c>
      <c r="H59" s="403">
        <v>0</v>
      </c>
      <c r="I59" s="403">
        <v>0</v>
      </c>
      <c r="J59" s="176">
        <f t="shared" si="25"/>
        <v>0</v>
      </c>
      <c r="K59" s="179">
        <f t="shared" si="26"/>
        <v>0</v>
      </c>
      <c r="L59" s="403">
        <v>0</v>
      </c>
      <c r="M59" s="87">
        <f t="shared" si="27"/>
        <v>0</v>
      </c>
      <c r="N59" s="87">
        <f t="shared" si="28"/>
        <v>0</v>
      </c>
      <c r="O59" s="403">
        <v>0</v>
      </c>
      <c r="P59" s="86">
        <f t="shared" si="29"/>
        <v>0</v>
      </c>
      <c r="Q59" s="87">
        <f t="shared" si="30"/>
        <v>0</v>
      </c>
      <c r="R59" s="86">
        <f ca="1">IFERROR(__xludf.DUMMYFUNCTION("IMPORTRANGE(""https://docs.google.com/spreadsheets/d/18hSgUJ3VwClqi_qtULmmW3cLr0oe3OKaSYoKzdpTsYQ/edit?usp=sharing"",""นครนายก!Q375"")"),0)</f>
        <v>0</v>
      </c>
      <c r="S59" s="86">
        <f ca="1">IFERROR(__xludf.DUMMYFUNCTION("IMPORTRANGE(""https://docs.google.com/spreadsheets/d/18hSgUJ3VwClqi_qtULmmW3cLr0oe3OKaSYoKzdpTsYQ/edit?usp=sharing"",""นครนายก!R375"")"),0)</f>
        <v>0</v>
      </c>
      <c r="T59" s="86">
        <f ca="1">IFERROR(__xludf.DUMMYFUNCTION("IMPORTRANGE(""https://docs.google.com/spreadsheets/d/18hSgUJ3VwClqi_qtULmmW3cLr0oe3OKaSYoKzdpTsYQ/edit?usp=sharing"",""นครนายก!S375"")"),0)</f>
        <v>0</v>
      </c>
      <c r="U59" s="87">
        <f t="shared" ca="1" si="32"/>
        <v>0</v>
      </c>
      <c r="V59" s="87">
        <f t="shared" ca="1" si="33"/>
        <v>0</v>
      </c>
      <c r="W59" s="404">
        <f t="shared" ca="1" si="50"/>
        <v>0</v>
      </c>
      <c r="X59" s="404">
        <f ca="1">IFERROR(__xludf.DUMMYFUNCTION("IMPORTRANGE(""https://docs.google.com/spreadsheets/d/18hSgUJ3VwClqi_qtULmmW3cLr0oe3OKaSYoKzdpTsYQ/edit?usp=sharing"",""นครนายก!J374"")"),0)</f>
        <v>0</v>
      </c>
      <c r="Y59" s="405">
        <f t="shared" ca="1" si="13"/>
        <v>0</v>
      </c>
      <c r="Z59" s="404">
        <f ca="1">IFERROR(__xludf.DUMMYFUNCTION("IMPORTRANGE(""https://docs.google.com/spreadsheets/d/18hSgUJ3VwClqi_qtULmmW3cLr0oe3OKaSYoKzdpTsYQ/edit?usp=sharing"",""นครนายก!I386"")"),0)</f>
        <v>0</v>
      </c>
      <c r="AA59" s="93">
        <f ca="1">IFERROR(__xludf.DUMMYFUNCTION("IMPORTRANGE(""https://docs.google.com/spreadsheets/d/1YTZo6WM2dQ6Ix6FSdnL5P7uVnVKu40sxZu975tgG10E/edit?usp=sharing"",""นครปฐม!J374"")"),0)</f>
        <v>0</v>
      </c>
      <c r="AB59" s="93">
        <f ca="1">IFERROR(__xludf.DUMMYFUNCTION("IMPORTRANGE(""https://docs.google.com/spreadsheets/d/1YTZo6WM2dQ6Ix6FSdnL5P7uVnVKu40sxZu975tgG10E/edit?usp=sharing"",""นครปฐม!J374"")"),0)</f>
        <v>0</v>
      </c>
      <c r="AC59" s="406">
        <f ca="1">IFERROR(__xludf.DUMMYFUNCTION("IMPORTRANGE(""https://docs.google.com/spreadsheets/d/18hSgUJ3VwClqi_qtULmmW3cLr0oe3OKaSYoKzdpTsYQ/edit?usp=sharing"",""นครนายก!I388"")"),0)</f>
        <v>0</v>
      </c>
      <c r="AD59" s="93">
        <f ca="1">IFERROR(__xludf.DUMMYFUNCTION("IMPORTRANGE(""https://docs.google.com/spreadsheets/d/1YTZo6WM2dQ6Ix6FSdnL5P7uVnVKu40sxZu975tgG10E/edit?usp=sharing"",""นครปฐม!J374"")"),0)</f>
        <v>0</v>
      </c>
      <c r="AE59" s="93">
        <f ca="1">IFERROR(__xludf.DUMMYFUNCTION("IMPORTRANGE(""https://docs.google.com/spreadsheets/d/1YTZo6WM2dQ6Ix6FSdnL5P7uVnVKu40sxZu975tgG10E/edit?usp=sharing"",""นครปฐม!J374"")"),0)</f>
        <v>0</v>
      </c>
    </row>
    <row r="60" spans="1:31" ht="19.5" x14ac:dyDescent="0.3">
      <c r="A60" s="172">
        <v>8</v>
      </c>
      <c r="B60" s="173" t="s">
        <v>86</v>
      </c>
      <c r="C60" s="174">
        <f t="shared" si="23"/>
        <v>0</v>
      </c>
      <c r="D60" s="175">
        <f t="shared" si="49"/>
        <v>0</v>
      </c>
      <c r="E60" s="403">
        <v>0</v>
      </c>
      <c r="F60" s="403">
        <v>0</v>
      </c>
      <c r="G60" s="403">
        <v>0</v>
      </c>
      <c r="H60" s="403">
        <v>0</v>
      </c>
      <c r="I60" s="403">
        <v>0</v>
      </c>
      <c r="J60" s="176">
        <f t="shared" si="25"/>
        <v>0</v>
      </c>
      <c r="K60" s="179">
        <f t="shared" si="26"/>
        <v>0</v>
      </c>
      <c r="L60" s="403">
        <v>0</v>
      </c>
      <c r="M60" s="87">
        <f t="shared" si="27"/>
        <v>0</v>
      </c>
      <c r="N60" s="87">
        <f t="shared" si="28"/>
        <v>0</v>
      </c>
      <c r="O60" s="403">
        <v>0</v>
      </c>
      <c r="P60" s="86">
        <f t="shared" si="29"/>
        <v>0</v>
      </c>
      <c r="Q60" s="87">
        <f t="shared" si="30"/>
        <v>0</v>
      </c>
      <c r="R60" s="86">
        <f ca="1">IFERROR(__xludf.DUMMYFUNCTION("IMPORTRANGE(""https://docs.google.com/spreadsheets/d/1YTZo6WM2dQ6Ix6FSdnL5P7uVnVKu40sxZu975tgG10E/edit?usp=sharing"",""นครปฐม!Q375"")"),0)</f>
        <v>0</v>
      </c>
      <c r="S60" s="86">
        <f ca="1">IFERROR(__xludf.DUMMYFUNCTION("IMPORTRANGE(""https://docs.google.com/spreadsheets/d/1YTZo6WM2dQ6Ix6FSdnL5P7uVnVKu40sxZu975tgG10E/edit?usp=sharing"",""นครปฐม!R375"")"),0)</f>
        <v>0</v>
      </c>
      <c r="T60" s="86">
        <f ca="1">IFERROR(__xludf.DUMMYFUNCTION("IMPORTRANGE(""https://docs.google.com/spreadsheets/d/1YTZo6WM2dQ6Ix6FSdnL5P7uVnVKu40sxZu975tgG10E/edit?usp=sharing"",""นครปฐม!S375"")"),0)</f>
        <v>0</v>
      </c>
      <c r="U60" s="87">
        <f t="shared" ca="1" si="32"/>
        <v>0</v>
      </c>
      <c r="V60" s="87">
        <f t="shared" ca="1" si="33"/>
        <v>0</v>
      </c>
      <c r="W60" s="404">
        <f t="shared" ca="1" si="50"/>
        <v>0</v>
      </c>
      <c r="X60" s="404">
        <f ca="1">IFERROR(__xludf.DUMMYFUNCTION("IMPORTRANGE(""https://docs.google.com/spreadsheets/d/1YTZo6WM2dQ6Ix6FSdnL5P7uVnVKu40sxZu975tgG10E/edit?usp=sharing"",""นครปฐม!J374"")"),0)</f>
        <v>0</v>
      </c>
      <c r="Y60" s="405">
        <f t="shared" ca="1" si="13"/>
        <v>0</v>
      </c>
      <c r="Z60" s="404">
        <f ca="1">IFERROR(__xludf.DUMMYFUNCTION("IMPORTRANGE(""https://docs.google.com/spreadsheets/d/1YTZo6WM2dQ6Ix6FSdnL5P7uVnVKu40sxZu975tgG10E/edit?usp=sharing"",""นครปฐม!I386"")"),0)</f>
        <v>0</v>
      </c>
      <c r="AA60" s="93">
        <f ca="1">IFERROR(__xludf.DUMMYFUNCTION("IMPORTRANGE(""https://docs.google.com/spreadsheets/d/1OYoGg4WDg5RIzwGeB10padOxJF9E_Vljuvvct_M7RDo/edit?usp=sharing"",""ปทุมธานี!J374"")"),0)</f>
        <v>0</v>
      </c>
      <c r="AB60" s="93">
        <f ca="1">IFERROR(__xludf.DUMMYFUNCTION("IMPORTRANGE(""https://docs.google.com/spreadsheets/d/1OYoGg4WDg5RIzwGeB10padOxJF9E_Vljuvvct_M7RDo/edit?usp=sharing"",""ปทุมธานี!J374"")"),0)</f>
        <v>0</v>
      </c>
      <c r="AC60" s="406">
        <f ca="1">IFERROR(__xludf.DUMMYFUNCTION("IMPORTRANGE(""https://docs.google.com/spreadsheets/d/1YTZo6WM2dQ6Ix6FSdnL5P7uVnVKu40sxZu975tgG10E/edit?usp=sharing"",""นครปฐม!I388"")"),0)</f>
        <v>0</v>
      </c>
      <c r="AD60" s="93">
        <f ca="1">IFERROR(__xludf.DUMMYFUNCTION("IMPORTRANGE(""https://docs.google.com/spreadsheets/d/1OYoGg4WDg5RIzwGeB10padOxJF9E_Vljuvvct_M7RDo/edit?usp=sharing"",""ปทุมธานี!J374"")"),0)</f>
        <v>0</v>
      </c>
      <c r="AE60" s="93">
        <f ca="1">IFERROR(__xludf.DUMMYFUNCTION("IMPORTRANGE(""https://docs.google.com/spreadsheets/d/1OYoGg4WDg5RIzwGeB10padOxJF9E_Vljuvvct_M7RDo/edit?usp=sharing"",""ปทุมธานี!J374"")"),0)</f>
        <v>0</v>
      </c>
    </row>
    <row r="61" spans="1:31" ht="19.5" x14ac:dyDescent="0.3">
      <c r="A61" s="172">
        <v>9</v>
      </c>
      <c r="B61" s="173" t="s">
        <v>87</v>
      </c>
      <c r="C61" s="174">
        <f t="shared" si="23"/>
        <v>0</v>
      </c>
      <c r="D61" s="175">
        <f t="shared" si="49"/>
        <v>0</v>
      </c>
      <c r="E61" s="403">
        <v>0</v>
      </c>
      <c r="F61" s="403">
        <v>0</v>
      </c>
      <c r="G61" s="403">
        <v>0</v>
      </c>
      <c r="H61" s="403">
        <v>0</v>
      </c>
      <c r="I61" s="403">
        <v>0</v>
      </c>
      <c r="J61" s="176">
        <f t="shared" si="25"/>
        <v>0</v>
      </c>
      <c r="K61" s="179">
        <f t="shared" si="26"/>
        <v>0</v>
      </c>
      <c r="L61" s="403">
        <v>0</v>
      </c>
      <c r="M61" s="87">
        <f t="shared" si="27"/>
        <v>0</v>
      </c>
      <c r="N61" s="87">
        <f t="shared" si="28"/>
        <v>0</v>
      </c>
      <c r="O61" s="403">
        <v>0</v>
      </c>
      <c r="P61" s="86">
        <f t="shared" si="29"/>
        <v>0</v>
      </c>
      <c r="Q61" s="87">
        <f t="shared" si="30"/>
        <v>0</v>
      </c>
      <c r="R61" s="86">
        <f ca="1">IFERROR(__xludf.DUMMYFUNCTION("IMPORTRANGE(""https://docs.google.com/spreadsheets/d/1OYoGg4WDg5RIzwGeB10padOxJF9E_Vljuvvct_M7RDo/edit?usp=sharing"",""ปทุมธานี!Q375"")"),0)</f>
        <v>0</v>
      </c>
      <c r="S61" s="86">
        <f ca="1">IFERROR(__xludf.DUMMYFUNCTION("IMPORTRANGE(""https://docs.google.com/spreadsheets/d/1OYoGg4WDg5RIzwGeB10padOxJF9E_Vljuvvct_M7RDo/edit?usp=sharing"",""ปทุมธานี!R375"")"),0)</f>
        <v>0</v>
      </c>
      <c r="T61" s="86">
        <f ca="1">IFERROR(__xludf.DUMMYFUNCTION("IMPORTRANGE(""https://docs.google.com/spreadsheets/d/1OYoGg4WDg5RIzwGeB10padOxJF9E_Vljuvvct_M7RDo/edit?usp=sharing"",""ปทุมธานี!S375"")"),0)</f>
        <v>0</v>
      </c>
      <c r="U61" s="87">
        <f t="shared" ca="1" si="32"/>
        <v>0</v>
      </c>
      <c r="V61" s="87">
        <f t="shared" ca="1" si="33"/>
        <v>0</v>
      </c>
      <c r="W61" s="404">
        <f t="shared" ca="1" si="50"/>
        <v>0</v>
      </c>
      <c r="X61" s="404">
        <f ca="1">IFERROR(__xludf.DUMMYFUNCTION("IMPORTRANGE(""https://docs.google.com/spreadsheets/d/1OYoGg4WDg5RIzwGeB10padOxJF9E_Vljuvvct_M7RDo/edit?usp=sharing"",""ปทุมธานี!J374"")"),0)</f>
        <v>0</v>
      </c>
      <c r="Y61" s="405">
        <f t="shared" ca="1" si="13"/>
        <v>0</v>
      </c>
      <c r="Z61" s="404">
        <f ca="1">IFERROR(__xludf.DUMMYFUNCTION("IMPORTRANGE(""https://docs.google.com/spreadsheets/d/1OYoGg4WDg5RIzwGeB10padOxJF9E_Vljuvvct_M7RDo/edit?usp=sharing"",""ปทุมธานี!I386"")"),0)</f>
        <v>0</v>
      </c>
      <c r="AA61" s="93">
        <f ca="1">IFERROR(__xludf.DUMMYFUNCTION("IMPORTRANGE(""https://docs.google.com/spreadsheets/d/1GbCIE4D4wk9FUozzqk7SxfDMxDVBwVmI5zcaVUSzKAc/edit?usp=sharing"",""ประจวบคีรีขันธ์!J374"")"),0)</f>
        <v>0</v>
      </c>
      <c r="AB61" s="93">
        <f ca="1">IFERROR(__xludf.DUMMYFUNCTION("IMPORTRANGE(""https://docs.google.com/spreadsheets/d/1GbCIE4D4wk9FUozzqk7SxfDMxDVBwVmI5zcaVUSzKAc/edit?usp=sharing"",""ประจวบคีรีขันธ์!J374"")"),0)</f>
        <v>0</v>
      </c>
      <c r="AC61" s="406">
        <f ca="1">IFERROR(__xludf.DUMMYFUNCTION("IMPORTRANGE(""https://docs.google.com/spreadsheets/d/1OYoGg4WDg5RIzwGeB10padOxJF9E_Vljuvvct_M7RDo/edit?usp=sharing"",""ปทุมธานี!I388"")"),0)</f>
        <v>0</v>
      </c>
      <c r="AD61" s="93">
        <f ca="1">IFERROR(__xludf.DUMMYFUNCTION("IMPORTRANGE(""https://docs.google.com/spreadsheets/d/1GbCIE4D4wk9FUozzqk7SxfDMxDVBwVmI5zcaVUSzKAc/edit?usp=sharing"",""ประจวบคีรีขันธ์!J374"")"),0)</f>
        <v>0</v>
      </c>
      <c r="AE61" s="93">
        <f ca="1">IFERROR(__xludf.DUMMYFUNCTION("IMPORTRANGE(""https://docs.google.com/spreadsheets/d/1GbCIE4D4wk9FUozzqk7SxfDMxDVBwVmI5zcaVUSzKAc/edit?usp=sharing"",""ประจวบคีรีขันธ์!J374"")"),0)</f>
        <v>0</v>
      </c>
    </row>
    <row r="62" spans="1:31" ht="19.5" x14ac:dyDescent="0.3">
      <c r="A62" s="172">
        <v>10</v>
      </c>
      <c r="B62" s="173" t="s">
        <v>88</v>
      </c>
      <c r="C62" s="174">
        <f t="shared" si="23"/>
        <v>0</v>
      </c>
      <c r="D62" s="175">
        <f t="shared" si="49"/>
        <v>0</v>
      </c>
      <c r="E62" s="403">
        <v>0</v>
      </c>
      <c r="F62" s="403">
        <v>0</v>
      </c>
      <c r="G62" s="403">
        <v>0</v>
      </c>
      <c r="H62" s="403">
        <v>0</v>
      </c>
      <c r="I62" s="403">
        <v>0</v>
      </c>
      <c r="J62" s="176">
        <f t="shared" si="25"/>
        <v>0</v>
      </c>
      <c r="K62" s="179">
        <f t="shared" si="26"/>
        <v>0</v>
      </c>
      <c r="L62" s="403">
        <v>0</v>
      </c>
      <c r="M62" s="87">
        <f t="shared" si="27"/>
        <v>0</v>
      </c>
      <c r="N62" s="87">
        <f t="shared" si="28"/>
        <v>0</v>
      </c>
      <c r="O62" s="403">
        <v>0</v>
      </c>
      <c r="P62" s="86">
        <f t="shared" si="29"/>
        <v>0</v>
      </c>
      <c r="Q62" s="87">
        <f t="shared" si="30"/>
        <v>0</v>
      </c>
      <c r="R62" s="86">
        <f ca="1">IFERROR(__xludf.DUMMYFUNCTION("IMPORTRANGE(""https://docs.google.com/spreadsheets/d/1GbCIE4D4wk9FUozzqk7SxfDMxDVBwVmI5zcaVUSzKAc/edit?usp=sharing"",""ประจวบคีรีขันธ์!Q375"")"),18750)</f>
        <v>18750</v>
      </c>
      <c r="S62" s="86">
        <f ca="1">IFERROR(__xludf.DUMMYFUNCTION("IMPORTRANGE(""https://docs.google.com/spreadsheets/d/1GbCIE4D4wk9FUozzqk7SxfDMxDVBwVmI5zcaVUSzKAc/edit?usp=sharing"",""ประจวบคีรีขันธ์!R375"")"),0)</f>
        <v>0</v>
      </c>
      <c r="T62" s="86">
        <f ca="1">IFERROR(__xludf.DUMMYFUNCTION("IMPORTRANGE(""https://docs.google.com/spreadsheets/d/1GbCIE4D4wk9FUozzqk7SxfDMxDVBwVmI5zcaVUSzKAc/edit?usp=sharing"",""ประจวบคีรีขันธ์!S375"")"),0)</f>
        <v>0</v>
      </c>
      <c r="U62" s="87">
        <f t="shared" ca="1" si="32"/>
        <v>0</v>
      </c>
      <c r="V62" s="87">
        <f t="shared" ca="1" si="33"/>
        <v>0</v>
      </c>
      <c r="W62" s="404">
        <f t="shared" ca="1" si="50"/>
        <v>300</v>
      </c>
      <c r="X62" s="404">
        <f ca="1">IFERROR(__xludf.DUMMYFUNCTION("IMPORTRANGE(""https://docs.google.com/spreadsheets/d/1GbCIE4D4wk9FUozzqk7SxfDMxDVBwVmI5zcaVUSzKAc/edit?usp=sharing"",""ประจวบคีรีขันธ์!J374"")"),0)</f>
        <v>0</v>
      </c>
      <c r="Y62" s="405">
        <f t="shared" ca="1" si="13"/>
        <v>0</v>
      </c>
      <c r="Z62" s="404">
        <f ca="1">IFERROR(__xludf.DUMMYFUNCTION("IMPORTRANGE(""https://docs.google.com/spreadsheets/d/1GbCIE4D4wk9FUozzqk7SxfDMxDVBwVmI5zcaVUSzKAc/edit?usp=sharing"",""ประจวบคีรีขันธ์!I386"")"),300)</f>
        <v>300</v>
      </c>
      <c r="AA62" s="93">
        <f ca="1">IFERROR(__xludf.DUMMYFUNCTION("IMPORTRANGE(""https://docs.google.com/spreadsheets/d/1vVf6wykvW_lAyu7Yo9L4hUTqHqIeP_qcVuxCtosJEbg/edit?usp=sharing"",""ปราจีนบุรี!J374"")"),0)</f>
        <v>0</v>
      </c>
      <c r="AB62" s="93">
        <f ca="1">IFERROR(__xludf.DUMMYFUNCTION("IMPORTRANGE(""https://docs.google.com/spreadsheets/d/1vVf6wykvW_lAyu7Yo9L4hUTqHqIeP_qcVuxCtosJEbg/edit?usp=sharing"",""ปราจีนบุรี!J374"")"),0)</f>
        <v>0</v>
      </c>
      <c r="AC62" s="406">
        <f ca="1">IFERROR(__xludf.DUMMYFUNCTION("IMPORTRANGE(""https://docs.google.com/spreadsheets/d/1GbCIE4D4wk9FUozzqk7SxfDMxDVBwVmI5zcaVUSzKAc/edit?usp=sharing"",""ประจวบคีรีขันธ์!I388"")"),0)</f>
        <v>0</v>
      </c>
      <c r="AD62" s="93">
        <f ca="1">IFERROR(__xludf.DUMMYFUNCTION("IMPORTRANGE(""https://docs.google.com/spreadsheets/d/1vVf6wykvW_lAyu7Yo9L4hUTqHqIeP_qcVuxCtosJEbg/edit?usp=sharing"",""ปราจีนบุรี!J374"")"),0)</f>
        <v>0</v>
      </c>
      <c r="AE62" s="93">
        <f ca="1">IFERROR(__xludf.DUMMYFUNCTION("IMPORTRANGE(""https://docs.google.com/spreadsheets/d/1vVf6wykvW_lAyu7Yo9L4hUTqHqIeP_qcVuxCtosJEbg/edit?usp=sharing"",""ปราจีนบุรี!J374"")"),0)</f>
        <v>0</v>
      </c>
    </row>
    <row r="63" spans="1:31" ht="19.5" x14ac:dyDescent="0.3">
      <c r="A63" s="172">
        <v>11</v>
      </c>
      <c r="B63" s="173" t="s">
        <v>89</v>
      </c>
      <c r="C63" s="174">
        <f t="shared" si="23"/>
        <v>0</v>
      </c>
      <c r="D63" s="175">
        <f t="shared" si="49"/>
        <v>0</v>
      </c>
      <c r="E63" s="403">
        <v>0</v>
      </c>
      <c r="F63" s="403">
        <v>0</v>
      </c>
      <c r="G63" s="403">
        <v>0</v>
      </c>
      <c r="H63" s="403">
        <v>0</v>
      </c>
      <c r="I63" s="403">
        <v>0</v>
      </c>
      <c r="J63" s="176">
        <f t="shared" si="25"/>
        <v>0</v>
      </c>
      <c r="K63" s="179">
        <f t="shared" si="26"/>
        <v>0</v>
      </c>
      <c r="L63" s="403">
        <v>0</v>
      </c>
      <c r="M63" s="87">
        <f t="shared" si="27"/>
        <v>0</v>
      </c>
      <c r="N63" s="87">
        <f t="shared" si="28"/>
        <v>0</v>
      </c>
      <c r="O63" s="403">
        <v>0</v>
      </c>
      <c r="P63" s="86">
        <f t="shared" si="29"/>
        <v>0</v>
      </c>
      <c r="Q63" s="87">
        <f t="shared" si="30"/>
        <v>0</v>
      </c>
      <c r="R63" s="86">
        <f ca="1">IFERROR(__xludf.DUMMYFUNCTION("IMPORTRANGE(""https://docs.google.com/spreadsheets/d/1vVf6wykvW_lAyu7Yo9L4hUTqHqIeP_qcVuxCtosJEbg/edit?usp=sharing"",""ปราจีนบุรี!Q375"")"),125000)</f>
        <v>125000</v>
      </c>
      <c r="S63" s="86">
        <f ca="1">IFERROR(__xludf.DUMMYFUNCTION("IMPORTRANGE(""https://docs.google.com/spreadsheets/d/1vVf6wykvW_lAyu7Yo9L4hUTqHqIeP_qcVuxCtosJEbg/edit?usp=sharing"",""ปราจีนบุรี!R375"")"),0)</f>
        <v>0</v>
      </c>
      <c r="T63" s="86">
        <f ca="1">IFERROR(__xludf.DUMMYFUNCTION("IMPORTRANGE(""https://docs.google.com/spreadsheets/d/1vVf6wykvW_lAyu7Yo9L4hUTqHqIeP_qcVuxCtosJEbg/edit?usp=sharing"",""ปราจีนบุรี!S375"")"),0)</f>
        <v>0</v>
      </c>
      <c r="U63" s="87">
        <f t="shared" ca="1" si="32"/>
        <v>0</v>
      </c>
      <c r="V63" s="87">
        <f t="shared" ca="1" si="33"/>
        <v>0</v>
      </c>
      <c r="W63" s="404">
        <f t="shared" ca="1" si="50"/>
        <v>2000</v>
      </c>
      <c r="X63" s="404">
        <f ca="1">IFERROR(__xludf.DUMMYFUNCTION("IMPORTRANGE(""https://docs.google.com/spreadsheets/d/1vVf6wykvW_lAyu7Yo9L4hUTqHqIeP_qcVuxCtosJEbg/edit?usp=sharing"",""ปราจีนบุรี!J374"")"),0)</f>
        <v>0</v>
      </c>
      <c r="Y63" s="405">
        <f t="shared" ca="1" si="13"/>
        <v>0</v>
      </c>
      <c r="Z63" s="404">
        <f ca="1">IFERROR(__xludf.DUMMYFUNCTION("IMPORTRANGE(""https://docs.google.com/spreadsheets/d/1vVf6wykvW_lAyu7Yo9L4hUTqHqIeP_qcVuxCtosJEbg/edit?usp=sharing"",""ปราจีนบุรี!I386"")"),2000)</f>
        <v>2000</v>
      </c>
      <c r="AA63" s="93">
        <f ca="1">IFERROR(__xludf.DUMMYFUNCTION("IMPORTRANGE(""https://docs.google.com/spreadsheets/d/1BIDqLLg5jk3v59G8NlR8rk5xfQDKne0sAvZHSj7TI6I/edit?usp=sharing"",""พระนครศรีอยุธยา!J374"")"),0)</f>
        <v>0</v>
      </c>
      <c r="AB63" s="93">
        <f ca="1">IFERROR(__xludf.DUMMYFUNCTION("IMPORTRANGE(""https://docs.google.com/spreadsheets/d/1BIDqLLg5jk3v59G8NlR8rk5xfQDKne0sAvZHSj7TI6I/edit?usp=sharing"",""พระนครศรีอยุธยา!J374"")"),0)</f>
        <v>0</v>
      </c>
      <c r="AC63" s="406">
        <f ca="1">IFERROR(__xludf.DUMMYFUNCTION("IMPORTRANGE(""https://docs.google.com/spreadsheets/d/1vVf6wykvW_lAyu7Yo9L4hUTqHqIeP_qcVuxCtosJEbg/edit?usp=sharing"",""ปราจีนบุรี!I388"")"),0)</f>
        <v>0</v>
      </c>
      <c r="AD63" s="93">
        <f ca="1">IFERROR(__xludf.DUMMYFUNCTION("IMPORTRANGE(""https://docs.google.com/spreadsheets/d/1BIDqLLg5jk3v59G8NlR8rk5xfQDKne0sAvZHSj7TI6I/edit?usp=sharing"",""พระนครศรีอยุธยา!J374"")"),0)</f>
        <v>0</v>
      </c>
      <c r="AE63" s="93">
        <f ca="1">IFERROR(__xludf.DUMMYFUNCTION("IMPORTRANGE(""https://docs.google.com/spreadsheets/d/1BIDqLLg5jk3v59G8NlR8rk5xfQDKne0sAvZHSj7TI6I/edit?usp=sharing"",""พระนครศรีอยุธยา!J374"")"),0)</f>
        <v>0</v>
      </c>
    </row>
    <row r="64" spans="1:31" ht="19.5" x14ac:dyDescent="0.3">
      <c r="A64" s="172">
        <v>12</v>
      </c>
      <c r="B64" s="173" t="s">
        <v>90</v>
      </c>
      <c r="C64" s="174">
        <f t="shared" si="23"/>
        <v>0</v>
      </c>
      <c r="D64" s="175">
        <f t="shared" si="49"/>
        <v>0</v>
      </c>
      <c r="E64" s="403">
        <v>0</v>
      </c>
      <c r="F64" s="403">
        <v>0</v>
      </c>
      <c r="G64" s="403">
        <v>0</v>
      </c>
      <c r="H64" s="403">
        <v>0</v>
      </c>
      <c r="I64" s="403">
        <v>0</v>
      </c>
      <c r="J64" s="176">
        <f t="shared" si="25"/>
        <v>0</v>
      </c>
      <c r="K64" s="179">
        <f t="shared" si="26"/>
        <v>0</v>
      </c>
      <c r="L64" s="403">
        <v>0</v>
      </c>
      <c r="M64" s="87">
        <f t="shared" si="27"/>
        <v>0</v>
      </c>
      <c r="N64" s="87">
        <f t="shared" si="28"/>
        <v>0</v>
      </c>
      <c r="O64" s="403">
        <v>0</v>
      </c>
      <c r="P64" s="86">
        <f t="shared" si="29"/>
        <v>0</v>
      </c>
      <c r="Q64" s="87">
        <f t="shared" si="30"/>
        <v>0</v>
      </c>
      <c r="R64" s="86">
        <f ca="1">IFERROR(__xludf.DUMMYFUNCTION("IMPORTRANGE(""https://docs.google.com/spreadsheets/d/1BIDqLLg5jk3v59G8NlR8rk5xfQDKne0sAvZHSj7TI6I/edit?usp=sharing"",""พระนครศรีอยุธยา!Q375"")"),0)</f>
        <v>0</v>
      </c>
      <c r="S64" s="86">
        <f ca="1">IFERROR(__xludf.DUMMYFUNCTION("IMPORTRANGE(""https://docs.google.com/spreadsheets/d/1BIDqLLg5jk3v59G8NlR8rk5xfQDKne0sAvZHSj7TI6I/edit?usp=sharing"",""พระนครศรีอยุธยา!R375"")"),0)</f>
        <v>0</v>
      </c>
      <c r="T64" s="86">
        <f ca="1">IFERROR(__xludf.DUMMYFUNCTION("IMPORTRANGE(""https://docs.google.com/spreadsheets/d/1BIDqLLg5jk3v59G8NlR8rk5xfQDKne0sAvZHSj7TI6I/edit?usp=sharing"",""พระนครศรีอยุธยา!S375"")"),0)</f>
        <v>0</v>
      </c>
      <c r="U64" s="87">
        <f t="shared" ca="1" si="32"/>
        <v>0</v>
      </c>
      <c r="V64" s="87">
        <f t="shared" ca="1" si="33"/>
        <v>0</v>
      </c>
      <c r="W64" s="404">
        <f t="shared" ca="1" si="50"/>
        <v>0</v>
      </c>
      <c r="X64" s="404">
        <f ca="1">IFERROR(__xludf.DUMMYFUNCTION("IMPORTRANGE(""https://docs.google.com/spreadsheets/d/1BIDqLLg5jk3v59G8NlR8rk5xfQDKne0sAvZHSj7TI6I/edit?usp=sharing"",""พระนครศรีอยุธยา!J374"")"),0)</f>
        <v>0</v>
      </c>
      <c r="Y64" s="405">
        <f t="shared" ca="1" si="13"/>
        <v>0</v>
      </c>
      <c r="Z64" s="404">
        <f ca="1">IFERROR(__xludf.DUMMYFUNCTION("IMPORTRANGE(""https://docs.google.com/spreadsheets/d/1BIDqLLg5jk3v59G8NlR8rk5xfQDKne0sAvZHSj7TI6I/edit?usp=sharing"",""พระนครศรีอยุธยา!I386"")"),0)</f>
        <v>0</v>
      </c>
      <c r="AA64" s="93">
        <f ca="1">IFERROR(__xludf.DUMMYFUNCTION("IMPORTRANGE(""https://docs.google.com/spreadsheets/d/1YXvxf8Yu6_rV4hTBrwMqAcAnv6DfhUxh5emyM3CJp_w/edit?usp=sharing"",""เพชรบุรี!J374"")"),0)</f>
        <v>0</v>
      </c>
      <c r="AB64" s="93">
        <f ca="1">IFERROR(__xludf.DUMMYFUNCTION("IMPORTRANGE(""https://docs.google.com/spreadsheets/d/1YXvxf8Yu6_rV4hTBrwMqAcAnv6DfhUxh5emyM3CJp_w/edit?usp=sharing"",""เพชรบุรี!J374"")"),0)</f>
        <v>0</v>
      </c>
      <c r="AC64" s="406">
        <f ca="1">IFERROR(__xludf.DUMMYFUNCTION("IMPORTRANGE(""https://docs.google.com/spreadsheets/d/1BIDqLLg5jk3v59G8NlR8rk5xfQDKne0sAvZHSj7TI6I/edit?usp=sharing"",""พระนครศรีอยุธยา!I388"")"),0)</f>
        <v>0</v>
      </c>
      <c r="AD64" s="93">
        <f ca="1">IFERROR(__xludf.DUMMYFUNCTION("IMPORTRANGE(""https://docs.google.com/spreadsheets/d/1YXvxf8Yu6_rV4hTBrwMqAcAnv6DfhUxh5emyM3CJp_w/edit?usp=sharing"",""เพชรบุรี!J374"")"),0)</f>
        <v>0</v>
      </c>
      <c r="AE64" s="93">
        <f ca="1">IFERROR(__xludf.DUMMYFUNCTION("IMPORTRANGE(""https://docs.google.com/spreadsheets/d/1YXvxf8Yu6_rV4hTBrwMqAcAnv6DfhUxh5emyM3CJp_w/edit?usp=sharing"",""เพชรบุรี!J374"")"),0)</f>
        <v>0</v>
      </c>
    </row>
    <row r="65" spans="1:31" ht="19.5" x14ac:dyDescent="0.3">
      <c r="A65" s="172">
        <v>13</v>
      </c>
      <c r="B65" s="173" t="s">
        <v>91</v>
      </c>
      <c r="C65" s="174">
        <f t="shared" si="23"/>
        <v>0</v>
      </c>
      <c r="D65" s="175">
        <f t="shared" si="49"/>
        <v>0</v>
      </c>
      <c r="E65" s="403">
        <v>0</v>
      </c>
      <c r="F65" s="403">
        <v>0</v>
      </c>
      <c r="G65" s="403">
        <v>0</v>
      </c>
      <c r="H65" s="403">
        <v>0</v>
      </c>
      <c r="I65" s="403">
        <v>0</v>
      </c>
      <c r="J65" s="176">
        <f t="shared" si="25"/>
        <v>0</v>
      </c>
      <c r="K65" s="179">
        <f t="shared" si="26"/>
        <v>0</v>
      </c>
      <c r="L65" s="403">
        <v>0</v>
      </c>
      <c r="M65" s="87">
        <f t="shared" si="27"/>
        <v>0</v>
      </c>
      <c r="N65" s="87">
        <f t="shared" si="28"/>
        <v>0</v>
      </c>
      <c r="O65" s="403">
        <v>0</v>
      </c>
      <c r="P65" s="86">
        <f t="shared" si="29"/>
        <v>0</v>
      </c>
      <c r="Q65" s="87">
        <f t="shared" si="30"/>
        <v>0</v>
      </c>
      <c r="R65" s="86">
        <f ca="1">IFERROR(__xludf.DUMMYFUNCTION("IMPORTRANGE(""https://docs.google.com/spreadsheets/d/1YXvxf8Yu6_rV4hTBrwMqAcAnv6DfhUxh5emyM3CJp_w/edit?usp=sharing"",""เพชรบุรี!Q375"")"),0)</f>
        <v>0</v>
      </c>
      <c r="S65" s="86">
        <f ca="1">IFERROR(__xludf.DUMMYFUNCTION("IMPORTRANGE(""https://docs.google.com/spreadsheets/d/1YXvxf8Yu6_rV4hTBrwMqAcAnv6DfhUxh5emyM3CJp_w/edit?usp=sharing"",""เพชรบุรี!R375"")"),0)</f>
        <v>0</v>
      </c>
      <c r="T65" s="86">
        <f ca="1">IFERROR(__xludf.DUMMYFUNCTION("IMPORTRANGE(""https://docs.google.com/spreadsheets/d/1YXvxf8Yu6_rV4hTBrwMqAcAnv6DfhUxh5emyM3CJp_w/edit?usp=sharing"",""เพชรบุรี!S375"")"),0)</f>
        <v>0</v>
      </c>
      <c r="U65" s="87">
        <f t="shared" ca="1" si="32"/>
        <v>0</v>
      </c>
      <c r="V65" s="87">
        <f t="shared" ca="1" si="33"/>
        <v>0</v>
      </c>
      <c r="W65" s="404">
        <f t="shared" ca="1" si="50"/>
        <v>0</v>
      </c>
      <c r="X65" s="404">
        <f ca="1">IFERROR(__xludf.DUMMYFUNCTION("IMPORTRANGE(""https://docs.google.com/spreadsheets/d/1YXvxf8Yu6_rV4hTBrwMqAcAnv6DfhUxh5emyM3CJp_w/edit?usp=sharing"",""เพชรบุรี!J374"")"),0)</f>
        <v>0</v>
      </c>
      <c r="Y65" s="405">
        <f t="shared" ca="1" si="13"/>
        <v>0</v>
      </c>
      <c r="Z65" s="404">
        <f ca="1">IFERROR(__xludf.DUMMYFUNCTION("IMPORTRANGE(""https://docs.google.com/spreadsheets/d/1YXvxf8Yu6_rV4hTBrwMqAcAnv6DfhUxh5emyM3CJp_w/edit?usp=sharing"",""เพชรบุรี!I386"")"),0)</f>
        <v>0</v>
      </c>
      <c r="AA65" s="93">
        <f ca="1">IFERROR(__xludf.DUMMYFUNCTION("IMPORTRANGE(""https://docs.google.com/spreadsheets/d/19KBlQQs7uwvsao6t2n-KvW3Ax8J8uRRfZPq1zPbXgKc/edit?usp=sharing"",""ระยอง!J374"")"),0)</f>
        <v>0</v>
      </c>
      <c r="AB65" s="93">
        <f ca="1">IFERROR(__xludf.DUMMYFUNCTION("IMPORTRANGE(""https://docs.google.com/spreadsheets/d/19KBlQQs7uwvsao6t2n-KvW3Ax8J8uRRfZPq1zPbXgKc/edit?usp=sharing"",""ระยอง!J374"")"),0)</f>
        <v>0</v>
      </c>
      <c r="AC65" s="406">
        <f ca="1">IFERROR(__xludf.DUMMYFUNCTION("IMPORTRANGE(""https://docs.google.com/spreadsheets/d/1YXvxf8Yu6_rV4hTBrwMqAcAnv6DfhUxh5emyM3CJp_w/edit?usp=sharing"",""เพชรบุรี!I388"")"),0)</f>
        <v>0</v>
      </c>
      <c r="AD65" s="93">
        <f ca="1">IFERROR(__xludf.DUMMYFUNCTION("IMPORTRANGE(""https://docs.google.com/spreadsheets/d/19KBlQQs7uwvsao6t2n-KvW3Ax8J8uRRfZPq1zPbXgKc/edit?usp=sharing"",""ระยอง!J374"")"),0)</f>
        <v>0</v>
      </c>
      <c r="AE65" s="93">
        <f ca="1">IFERROR(__xludf.DUMMYFUNCTION("IMPORTRANGE(""https://docs.google.com/spreadsheets/d/19KBlQQs7uwvsao6t2n-KvW3Ax8J8uRRfZPq1zPbXgKc/edit?usp=sharing"",""ระยอง!J374"")"),0)</f>
        <v>0</v>
      </c>
    </row>
    <row r="66" spans="1:31" ht="19.5" x14ac:dyDescent="0.3">
      <c r="A66" s="172">
        <v>14</v>
      </c>
      <c r="B66" s="173" t="s">
        <v>92</v>
      </c>
      <c r="C66" s="174">
        <f t="shared" si="23"/>
        <v>0</v>
      </c>
      <c r="D66" s="175">
        <f t="shared" si="49"/>
        <v>0</v>
      </c>
      <c r="E66" s="403">
        <v>0</v>
      </c>
      <c r="F66" s="403">
        <v>0</v>
      </c>
      <c r="G66" s="403">
        <v>0</v>
      </c>
      <c r="H66" s="403">
        <v>0</v>
      </c>
      <c r="I66" s="403">
        <v>0</v>
      </c>
      <c r="J66" s="176">
        <f t="shared" si="25"/>
        <v>0</v>
      </c>
      <c r="K66" s="179">
        <f t="shared" si="26"/>
        <v>0</v>
      </c>
      <c r="L66" s="403">
        <v>0</v>
      </c>
      <c r="M66" s="87">
        <f t="shared" si="27"/>
        <v>0</v>
      </c>
      <c r="N66" s="87">
        <f t="shared" si="28"/>
        <v>0</v>
      </c>
      <c r="O66" s="403">
        <v>0</v>
      </c>
      <c r="P66" s="86">
        <f t="shared" si="29"/>
        <v>0</v>
      </c>
      <c r="Q66" s="87">
        <f t="shared" si="30"/>
        <v>0</v>
      </c>
      <c r="R66" s="86">
        <f ca="1">IFERROR(__xludf.DUMMYFUNCTION("IMPORTRANGE(""https://docs.google.com/spreadsheets/d/19KBlQQs7uwvsao6t2n-KvW3Ax8J8uRRfZPq1zPbXgKc/edit?usp=sharing"",""ระยอง!Q375"")"),31250)</f>
        <v>31250</v>
      </c>
      <c r="S66" s="86">
        <f ca="1">IFERROR(__xludf.DUMMYFUNCTION("IMPORTRANGE(""https://docs.google.com/spreadsheets/d/19KBlQQs7uwvsao6t2n-KvW3Ax8J8uRRfZPq1zPbXgKc/edit?usp=sharing"",""ระยอง!R375"")"),0)</f>
        <v>0</v>
      </c>
      <c r="T66" s="86">
        <f ca="1">IFERROR(__xludf.DUMMYFUNCTION("IMPORTRANGE(""https://docs.google.com/spreadsheets/d/19KBlQQs7uwvsao6t2n-KvW3Ax8J8uRRfZPq1zPbXgKc/edit?usp=sharing"",""ระยอง!S375"")"),0)</f>
        <v>0</v>
      </c>
      <c r="U66" s="87">
        <f t="shared" ca="1" si="32"/>
        <v>0</v>
      </c>
      <c r="V66" s="87">
        <f t="shared" ca="1" si="33"/>
        <v>0</v>
      </c>
      <c r="W66" s="404">
        <f t="shared" ca="1" si="50"/>
        <v>500</v>
      </c>
      <c r="X66" s="404">
        <f ca="1">IFERROR(__xludf.DUMMYFUNCTION("IMPORTRANGE(""https://docs.google.com/spreadsheets/d/19KBlQQs7uwvsao6t2n-KvW3Ax8J8uRRfZPq1zPbXgKc/edit?usp=sharing"",""ระยอง!J374"")"),0)</f>
        <v>0</v>
      </c>
      <c r="Y66" s="405">
        <f t="shared" ca="1" si="13"/>
        <v>0</v>
      </c>
      <c r="Z66" s="404">
        <f ca="1">IFERROR(__xludf.DUMMYFUNCTION("IMPORTRANGE(""https://docs.google.com/spreadsheets/d/19KBlQQs7uwvsao6t2n-KvW3Ax8J8uRRfZPq1zPbXgKc/edit?usp=sharing"",""ระยอง!I386"")"),500)</f>
        <v>500</v>
      </c>
      <c r="AA66" s="93">
        <f ca="1">IFERROR(__xludf.DUMMYFUNCTION("IMPORTRANGE(""https://docs.google.com/spreadsheets/d/1jQ6P4QcrGM89YfqcC_PxOHGCMq5ezhucwJd8ci-NHng/edit?usp=sharing"",""ราชบุรี!J374"")"),0)</f>
        <v>0</v>
      </c>
      <c r="AB66" s="93">
        <f ca="1">IFERROR(__xludf.DUMMYFUNCTION("IMPORTRANGE(""https://docs.google.com/spreadsheets/d/1jQ6P4QcrGM89YfqcC_PxOHGCMq5ezhucwJd8ci-NHng/edit?usp=sharing"",""ราชบุรี!J374"")"),0)</f>
        <v>0</v>
      </c>
      <c r="AC66" s="406">
        <f ca="1">IFERROR(__xludf.DUMMYFUNCTION("IMPORTRANGE(""https://docs.google.com/spreadsheets/d/19KBlQQs7uwvsao6t2n-KvW3Ax8J8uRRfZPq1zPbXgKc/edit?usp=sharing"",""ระยอง!I388"")"),0)</f>
        <v>0</v>
      </c>
      <c r="AD66" s="93">
        <f ca="1">IFERROR(__xludf.DUMMYFUNCTION("IMPORTRANGE(""https://docs.google.com/spreadsheets/d/1jQ6P4QcrGM89YfqcC_PxOHGCMq5ezhucwJd8ci-NHng/edit?usp=sharing"",""ราชบุรี!J374"")"),0)</f>
        <v>0</v>
      </c>
      <c r="AE66" s="93">
        <f ca="1">IFERROR(__xludf.DUMMYFUNCTION("IMPORTRANGE(""https://docs.google.com/spreadsheets/d/1jQ6P4QcrGM89YfqcC_PxOHGCMq5ezhucwJd8ci-NHng/edit?usp=sharing"",""ราชบุรี!J374"")"),0)</f>
        <v>0</v>
      </c>
    </row>
    <row r="67" spans="1:31" ht="19.5" x14ac:dyDescent="0.3">
      <c r="A67" s="172">
        <v>15</v>
      </c>
      <c r="B67" s="173" t="s">
        <v>93</v>
      </c>
      <c r="C67" s="174">
        <f t="shared" si="23"/>
        <v>0</v>
      </c>
      <c r="D67" s="175">
        <f t="shared" si="49"/>
        <v>0</v>
      </c>
      <c r="E67" s="403">
        <v>0</v>
      </c>
      <c r="F67" s="403">
        <v>0</v>
      </c>
      <c r="G67" s="403">
        <v>0</v>
      </c>
      <c r="H67" s="403">
        <v>0</v>
      </c>
      <c r="I67" s="403">
        <v>0</v>
      </c>
      <c r="J67" s="176">
        <f t="shared" si="25"/>
        <v>0</v>
      </c>
      <c r="K67" s="179">
        <f t="shared" si="26"/>
        <v>0</v>
      </c>
      <c r="L67" s="403">
        <v>0</v>
      </c>
      <c r="M67" s="87">
        <f t="shared" si="27"/>
        <v>0</v>
      </c>
      <c r="N67" s="87">
        <f t="shared" si="28"/>
        <v>0</v>
      </c>
      <c r="O67" s="403">
        <v>0</v>
      </c>
      <c r="P67" s="86">
        <f t="shared" si="29"/>
        <v>0</v>
      </c>
      <c r="Q67" s="87">
        <f t="shared" si="30"/>
        <v>0</v>
      </c>
      <c r="R67" s="86">
        <f ca="1">IFERROR(__xludf.DUMMYFUNCTION("IMPORTRANGE(""https://docs.google.com/spreadsheets/d/1jQ6P4QcrGM89YfqcC_PxOHGCMq5ezhucwJd8ci-NHng/edit?usp=sharing"",""ราชบุรี!Q375"")"),62500)</f>
        <v>62500</v>
      </c>
      <c r="S67" s="86">
        <f ca="1">IFERROR(__xludf.DUMMYFUNCTION("IMPORTRANGE(""https://docs.google.com/spreadsheets/d/1jQ6P4QcrGM89YfqcC_PxOHGCMq5ezhucwJd8ci-NHng/edit?usp=sharing"",""ราชบุรี!R375"")"),0)</f>
        <v>0</v>
      </c>
      <c r="T67" s="86">
        <f ca="1">IFERROR(__xludf.DUMMYFUNCTION("IMPORTRANGE(""https://docs.google.com/spreadsheets/d/1jQ6P4QcrGM89YfqcC_PxOHGCMq5ezhucwJd8ci-NHng/edit?usp=sharing"",""ราชบุรี!S375"")"),0)</f>
        <v>0</v>
      </c>
      <c r="U67" s="87">
        <f t="shared" ca="1" si="32"/>
        <v>0</v>
      </c>
      <c r="V67" s="87">
        <f t="shared" ca="1" si="33"/>
        <v>0</v>
      </c>
      <c r="W67" s="404">
        <f t="shared" ca="1" si="50"/>
        <v>1000</v>
      </c>
      <c r="X67" s="404">
        <f ca="1">IFERROR(__xludf.DUMMYFUNCTION("IMPORTRANGE(""https://docs.google.com/spreadsheets/d/1jQ6P4QcrGM89YfqcC_PxOHGCMq5ezhucwJd8ci-NHng/edit?usp=sharing"",""ราชบุรี!J374"")"),0)</f>
        <v>0</v>
      </c>
      <c r="Y67" s="405">
        <f t="shared" ca="1" si="13"/>
        <v>0</v>
      </c>
      <c r="Z67" s="404">
        <f ca="1">IFERROR(__xludf.DUMMYFUNCTION("IMPORTRANGE(""https://docs.google.com/spreadsheets/d/1jQ6P4QcrGM89YfqcC_PxOHGCMq5ezhucwJd8ci-NHng/edit?usp=sharing"",""ราชบุรี!I386"")"),1000)</f>
        <v>1000</v>
      </c>
      <c r="AA67" s="93">
        <f ca="1">IFERROR(__xludf.DUMMYFUNCTION("IMPORTRANGE(""https://docs.google.com/spreadsheets/d/1lufeA2cfFqM-elVq2hznhDzC6Pr7wkJ9ZG_sYNGCMCU/edit?usp=sharing"",""ลพบุรี!J374"")"),0)</f>
        <v>0</v>
      </c>
      <c r="AB67" s="93">
        <f ca="1">IFERROR(__xludf.DUMMYFUNCTION("IMPORTRANGE(""https://docs.google.com/spreadsheets/d/1lufeA2cfFqM-elVq2hznhDzC6Pr7wkJ9ZG_sYNGCMCU/edit?usp=sharing"",""ลพบุรี!J374"")"),0)</f>
        <v>0</v>
      </c>
      <c r="AC67" s="406">
        <f ca="1">IFERROR(__xludf.DUMMYFUNCTION("IMPORTRANGE(""https://docs.google.com/spreadsheets/d/1jQ6P4QcrGM89YfqcC_PxOHGCMq5ezhucwJd8ci-NHng/edit?usp=sharing"",""ราชบุรี!I388"")"),0)</f>
        <v>0</v>
      </c>
      <c r="AD67" s="93">
        <f ca="1">IFERROR(__xludf.DUMMYFUNCTION("IMPORTRANGE(""https://docs.google.com/spreadsheets/d/1lufeA2cfFqM-elVq2hznhDzC6Pr7wkJ9ZG_sYNGCMCU/edit?usp=sharing"",""ลพบุรี!J374"")"),0)</f>
        <v>0</v>
      </c>
      <c r="AE67" s="93">
        <f ca="1">IFERROR(__xludf.DUMMYFUNCTION("IMPORTRANGE(""https://docs.google.com/spreadsheets/d/1lufeA2cfFqM-elVq2hznhDzC6Pr7wkJ9ZG_sYNGCMCU/edit?usp=sharing"",""ลพบุรี!J374"")"),0)</f>
        <v>0</v>
      </c>
    </row>
    <row r="68" spans="1:31" ht="19.5" x14ac:dyDescent="0.3">
      <c r="A68" s="172">
        <v>16</v>
      </c>
      <c r="B68" s="173" t="s">
        <v>94</v>
      </c>
      <c r="C68" s="174">
        <f t="shared" si="23"/>
        <v>0</v>
      </c>
      <c r="D68" s="175">
        <f t="shared" si="49"/>
        <v>0</v>
      </c>
      <c r="E68" s="403">
        <v>0</v>
      </c>
      <c r="F68" s="403">
        <v>0</v>
      </c>
      <c r="G68" s="403">
        <v>0</v>
      </c>
      <c r="H68" s="403">
        <v>0</v>
      </c>
      <c r="I68" s="403">
        <v>0</v>
      </c>
      <c r="J68" s="176">
        <f t="shared" si="25"/>
        <v>0</v>
      </c>
      <c r="K68" s="179">
        <f t="shared" si="26"/>
        <v>0</v>
      </c>
      <c r="L68" s="403">
        <v>0</v>
      </c>
      <c r="M68" s="87">
        <f t="shared" si="27"/>
        <v>0</v>
      </c>
      <c r="N68" s="87">
        <f t="shared" si="28"/>
        <v>0</v>
      </c>
      <c r="O68" s="403">
        <v>0</v>
      </c>
      <c r="P68" s="86">
        <f t="shared" si="29"/>
        <v>0</v>
      </c>
      <c r="Q68" s="87">
        <f t="shared" si="30"/>
        <v>0</v>
      </c>
      <c r="R68" s="86">
        <f ca="1">IFERROR(__xludf.DUMMYFUNCTION("IMPORTRANGE(""https://docs.google.com/spreadsheets/d/1lufeA2cfFqM-elVq2hznhDzC6Pr7wkJ9ZG_sYNGCMCU/edit?usp=sharing"",""ลพบุรี!Q375"")"),187500)</f>
        <v>187500</v>
      </c>
      <c r="S68" s="86">
        <f ca="1">IFERROR(__xludf.DUMMYFUNCTION("IMPORTRANGE(""https://docs.google.com/spreadsheets/d/1lufeA2cfFqM-elVq2hznhDzC6Pr7wkJ9ZG_sYNGCMCU/edit?usp=sharing"",""ลพบุรี!R375"")"),0)</f>
        <v>0</v>
      </c>
      <c r="T68" s="86">
        <f ca="1">IFERROR(__xludf.DUMMYFUNCTION("IMPORTRANGE(""https://docs.google.com/spreadsheets/d/1lufeA2cfFqM-elVq2hznhDzC6Pr7wkJ9ZG_sYNGCMCU/edit?usp=sharing"",""ลพบุรี!S375"")"),0)</f>
        <v>0</v>
      </c>
      <c r="U68" s="87">
        <f t="shared" ca="1" si="32"/>
        <v>0</v>
      </c>
      <c r="V68" s="87">
        <f t="shared" ca="1" si="33"/>
        <v>0</v>
      </c>
      <c r="W68" s="413">
        <f t="shared" ca="1" si="50"/>
        <v>3000</v>
      </c>
      <c r="X68" s="413">
        <f ca="1">IFERROR(__xludf.DUMMYFUNCTION("IMPORTRANGE(""https://docs.google.com/spreadsheets/d/1lufeA2cfFqM-elVq2hznhDzC6Pr7wkJ9ZG_sYNGCMCU/edit?usp=sharing"",""ลพบุรี!J374"")"),0)</f>
        <v>0</v>
      </c>
      <c r="Y68" s="414">
        <f t="shared" ca="1" si="13"/>
        <v>0</v>
      </c>
      <c r="Z68" s="413">
        <f ca="1">IFERROR(__xludf.DUMMYFUNCTION("IMPORTRANGE(""https://docs.google.com/spreadsheets/d/1lufeA2cfFqM-elVq2hznhDzC6Pr7wkJ9ZG_sYNGCMCU/edit?usp=sharing"",""ลพบุรี!I386"")"),3000)</f>
        <v>3000</v>
      </c>
      <c r="AA68" s="97">
        <f ca="1">IFERROR(__xludf.DUMMYFUNCTION("IMPORTRANGE(""https://docs.google.com/spreadsheets/d/10oOiF7loTyfsTkbd4MpaIm0HQ9SwB7IYHdIUvt-U1Uc/edit?usp=sharing"",""สระแก้ว!J374"")"),0)</f>
        <v>0</v>
      </c>
      <c r="AB68" s="97">
        <f ca="1">IFERROR(__xludf.DUMMYFUNCTION("IMPORTRANGE(""https://docs.google.com/spreadsheets/d/10oOiF7loTyfsTkbd4MpaIm0HQ9SwB7IYHdIUvt-U1Uc/edit?usp=sharing"",""สระแก้ว!J374"")"),0)</f>
        <v>0</v>
      </c>
      <c r="AC68" s="353">
        <f ca="1">IFERROR(__xludf.DUMMYFUNCTION("IMPORTRANGE(""https://docs.google.com/spreadsheets/d/1lufeA2cfFqM-elVq2hznhDzC6Pr7wkJ9ZG_sYNGCMCU/edit?usp=sharing"",""ลพบุรี!I388"")"),0)</f>
        <v>0</v>
      </c>
      <c r="AD68" s="97">
        <f ca="1">IFERROR(__xludf.DUMMYFUNCTION("IMPORTRANGE(""https://docs.google.com/spreadsheets/d/10oOiF7loTyfsTkbd4MpaIm0HQ9SwB7IYHdIUvt-U1Uc/edit?usp=sharing"",""สระแก้ว!J374"")"),0)</f>
        <v>0</v>
      </c>
      <c r="AE68" s="97">
        <f ca="1">IFERROR(__xludf.DUMMYFUNCTION("IMPORTRANGE(""https://docs.google.com/spreadsheets/d/10oOiF7loTyfsTkbd4MpaIm0HQ9SwB7IYHdIUvt-U1Uc/edit?usp=sharing"",""สระแก้ว!J374"")"),0)</f>
        <v>0</v>
      </c>
    </row>
    <row r="69" spans="1:31" ht="19.5" x14ac:dyDescent="0.3">
      <c r="A69" s="172">
        <v>17</v>
      </c>
      <c r="B69" s="173" t="s">
        <v>95</v>
      </c>
      <c r="C69" s="174">
        <f t="shared" si="23"/>
        <v>0</v>
      </c>
      <c r="D69" s="175">
        <f t="shared" si="49"/>
        <v>0</v>
      </c>
      <c r="E69" s="403">
        <v>0</v>
      </c>
      <c r="F69" s="403">
        <v>0</v>
      </c>
      <c r="G69" s="403">
        <v>0</v>
      </c>
      <c r="H69" s="403">
        <v>0</v>
      </c>
      <c r="I69" s="403">
        <v>0</v>
      </c>
      <c r="J69" s="176">
        <f t="shared" si="25"/>
        <v>0</v>
      </c>
      <c r="K69" s="179">
        <f t="shared" si="26"/>
        <v>0</v>
      </c>
      <c r="L69" s="403">
        <v>0</v>
      </c>
      <c r="M69" s="87">
        <f t="shared" si="27"/>
        <v>0</v>
      </c>
      <c r="N69" s="87">
        <f t="shared" si="28"/>
        <v>0</v>
      </c>
      <c r="O69" s="403">
        <v>0</v>
      </c>
      <c r="P69" s="86">
        <f t="shared" si="29"/>
        <v>0</v>
      </c>
      <c r="Q69" s="87">
        <f t="shared" si="30"/>
        <v>0</v>
      </c>
      <c r="R69" s="86">
        <f ca="1">IFERROR(__xludf.DUMMYFUNCTION("IMPORTRANGE(""https://docs.google.com/spreadsheets/d/10oOiF7loTyfsTkbd4MpaIm0HQ9SwB7IYHdIUvt-U1Uc/edit?usp=sharing"",""สระแก้ว!Q375"")"),0)</f>
        <v>0</v>
      </c>
      <c r="S69" s="86">
        <f ca="1">IFERROR(__xludf.DUMMYFUNCTION("IMPORTRANGE(""https://docs.google.com/spreadsheets/d/10oOiF7loTyfsTkbd4MpaIm0HQ9SwB7IYHdIUvt-U1Uc/edit?usp=sharing"",""สระแก้ว!R375"")"),0)</f>
        <v>0</v>
      </c>
      <c r="T69" s="86">
        <f ca="1">IFERROR(__xludf.DUMMYFUNCTION("IMPORTRANGE(""https://docs.google.com/spreadsheets/d/10oOiF7loTyfsTkbd4MpaIm0HQ9SwB7IYHdIUvt-U1Uc/edit?usp=sharing"",""สระแก้ว!S375"")"),0)</f>
        <v>0</v>
      </c>
      <c r="U69" s="87">
        <f t="shared" ca="1" si="32"/>
        <v>0</v>
      </c>
      <c r="V69" s="87">
        <f t="shared" ca="1" si="33"/>
        <v>0</v>
      </c>
      <c r="W69" s="404">
        <f t="shared" ca="1" si="50"/>
        <v>0</v>
      </c>
      <c r="X69" s="404">
        <f ca="1">IFERROR(__xludf.DUMMYFUNCTION("IMPORTRANGE(""https://docs.google.com/spreadsheets/d/10oOiF7loTyfsTkbd4MpaIm0HQ9SwB7IYHdIUvt-U1Uc/edit?usp=sharing"",""สระแก้ว!J374"")"),0)</f>
        <v>0</v>
      </c>
      <c r="Y69" s="405">
        <f t="shared" ca="1" si="13"/>
        <v>0</v>
      </c>
      <c r="Z69" s="404">
        <f ca="1">IFERROR(__xludf.DUMMYFUNCTION("IMPORTRANGE(""https://docs.google.com/spreadsheets/d/10oOiF7loTyfsTkbd4MpaIm0HQ9SwB7IYHdIUvt-U1Uc/edit?usp=sharing"",""สระแก้ว!I386"")"),0)</f>
        <v>0</v>
      </c>
      <c r="AA69" s="93">
        <f ca="1">IFERROR(__xludf.DUMMYFUNCTION("IMPORTRANGE(""https://docs.google.com/spreadsheets/d/1xmPlrr1QbdSIKvl1dWUl9K4PjAfSL9oeMr_37QVzcxc/edit?usp=sharing"",""สระบุรี!J374"")"),0)</f>
        <v>0</v>
      </c>
      <c r="AB69" s="93">
        <f ca="1">IFERROR(__xludf.DUMMYFUNCTION("IMPORTRANGE(""https://docs.google.com/spreadsheets/d/1xmPlrr1QbdSIKvl1dWUl9K4PjAfSL9oeMr_37QVzcxc/edit?usp=sharing"",""สระบุรี!J374"")"),0)</f>
        <v>0</v>
      </c>
      <c r="AC69" s="406">
        <f ca="1">IFERROR(__xludf.DUMMYFUNCTION("IMPORTRANGE(""https://docs.google.com/spreadsheets/d/10oOiF7loTyfsTkbd4MpaIm0HQ9SwB7IYHdIUvt-U1Uc/edit?usp=sharing"",""สระแก้ว!I388"")"),0)</f>
        <v>0</v>
      </c>
      <c r="AD69" s="93">
        <f ca="1">IFERROR(__xludf.DUMMYFUNCTION("IMPORTRANGE(""https://docs.google.com/spreadsheets/d/1xmPlrr1QbdSIKvl1dWUl9K4PjAfSL9oeMr_37QVzcxc/edit?usp=sharing"",""สระบุรี!J374"")"),0)</f>
        <v>0</v>
      </c>
      <c r="AE69" s="93">
        <f ca="1">IFERROR(__xludf.DUMMYFUNCTION("IMPORTRANGE(""https://docs.google.com/spreadsheets/d/1xmPlrr1QbdSIKvl1dWUl9K4PjAfSL9oeMr_37QVzcxc/edit?usp=sharing"",""สระบุรี!J374"")"),0)</f>
        <v>0</v>
      </c>
    </row>
    <row r="70" spans="1:31" ht="19.5" x14ac:dyDescent="0.3">
      <c r="A70" s="172">
        <v>18</v>
      </c>
      <c r="B70" s="173" t="s">
        <v>96</v>
      </c>
      <c r="C70" s="174">
        <f t="shared" si="23"/>
        <v>0</v>
      </c>
      <c r="D70" s="175">
        <f t="shared" si="49"/>
        <v>0</v>
      </c>
      <c r="E70" s="403">
        <v>0</v>
      </c>
      <c r="F70" s="403">
        <v>0</v>
      </c>
      <c r="G70" s="403">
        <v>0</v>
      </c>
      <c r="H70" s="403">
        <v>0</v>
      </c>
      <c r="I70" s="403">
        <v>0</v>
      </c>
      <c r="J70" s="176">
        <f t="shared" si="25"/>
        <v>0</v>
      </c>
      <c r="K70" s="179">
        <f t="shared" si="26"/>
        <v>0</v>
      </c>
      <c r="L70" s="403">
        <v>0</v>
      </c>
      <c r="M70" s="87">
        <f t="shared" si="27"/>
        <v>0</v>
      </c>
      <c r="N70" s="87">
        <f t="shared" si="28"/>
        <v>0</v>
      </c>
      <c r="O70" s="403">
        <v>0</v>
      </c>
      <c r="P70" s="86">
        <f t="shared" si="29"/>
        <v>0</v>
      </c>
      <c r="Q70" s="87">
        <f t="shared" si="30"/>
        <v>0</v>
      </c>
      <c r="R70" s="86">
        <f ca="1">IFERROR(__xludf.DUMMYFUNCTION("IMPORTRANGE(""https://docs.google.com/spreadsheets/d/1xmPlrr1QbdSIKvl1dWUl9K4PjAfSL9oeMr_37QVzcxc/edit?usp=sharing"",""สระบุรี!Q375"")"),125000)</f>
        <v>125000</v>
      </c>
      <c r="S70" s="86">
        <f ca="1">IFERROR(__xludf.DUMMYFUNCTION("IMPORTRANGE(""https://docs.google.com/spreadsheets/d/1xmPlrr1QbdSIKvl1dWUl9K4PjAfSL9oeMr_37QVzcxc/edit?usp=sharing"",""สระบุรี!R375"")"),0)</f>
        <v>0</v>
      </c>
      <c r="T70" s="86">
        <f ca="1">IFERROR(__xludf.DUMMYFUNCTION("IMPORTRANGE(""https://docs.google.com/spreadsheets/d/1xmPlrr1QbdSIKvl1dWUl9K4PjAfSL9oeMr_37QVzcxc/edit?usp=sharing"",""สระบุรี!S375"")"),0)</f>
        <v>0</v>
      </c>
      <c r="U70" s="87">
        <f t="shared" ca="1" si="32"/>
        <v>0</v>
      </c>
      <c r="V70" s="87">
        <f t="shared" ca="1" si="33"/>
        <v>0</v>
      </c>
      <c r="W70" s="404">
        <f t="shared" ca="1" si="50"/>
        <v>2000</v>
      </c>
      <c r="X70" s="404">
        <f ca="1">IFERROR(__xludf.DUMMYFUNCTION("IMPORTRANGE(""https://docs.google.com/spreadsheets/d/1xmPlrr1QbdSIKvl1dWUl9K4PjAfSL9oeMr_37QVzcxc/edit?usp=sharing"",""สระบุรี!J374"")"),0)</f>
        <v>0</v>
      </c>
      <c r="Y70" s="405">
        <f t="shared" ca="1" si="13"/>
        <v>0</v>
      </c>
      <c r="Z70" s="404">
        <f ca="1">IFERROR(__xludf.DUMMYFUNCTION("IMPORTRANGE(""https://docs.google.com/spreadsheets/d/1xmPlrr1QbdSIKvl1dWUl9K4PjAfSL9oeMr_37QVzcxc/edit?usp=sharing"",""สระบุรี!I386"")"),2000)</f>
        <v>2000</v>
      </c>
      <c r="AA70" s="93">
        <f ca="1">IFERROR(__xludf.DUMMYFUNCTION("IMPORTRANGE(""https://docs.google.com/spreadsheets/d/1j51vR6CYVGhABJpv6tkstgok82RLpXieLzW1yOY5rHw/edit?usp=sharing"",""สิงห์บุรี!J374"")"),0)</f>
        <v>0</v>
      </c>
      <c r="AB70" s="93">
        <f ca="1">IFERROR(__xludf.DUMMYFUNCTION("IMPORTRANGE(""https://docs.google.com/spreadsheets/d/1j51vR6CYVGhABJpv6tkstgok82RLpXieLzW1yOY5rHw/edit?usp=sharing"",""สิงห์บุรี!J374"")"),0)</f>
        <v>0</v>
      </c>
      <c r="AC70" s="406">
        <f ca="1">IFERROR(__xludf.DUMMYFUNCTION("IMPORTRANGE(""https://docs.google.com/spreadsheets/d/1xmPlrr1QbdSIKvl1dWUl9K4PjAfSL9oeMr_37QVzcxc/edit?usp=sharing"",""สระบุรี!I388"")"),0)</f>
        <v>0</v>
      </c>
      <c r="AD70" s="93">
        <f ca="1">IFERROR(__xludf.DUMMYFUNCTION("IMPORTRANGE(""https://docs.google.com/spreadsheets/d/1j51vR6CYVGhABJpv6tkstgok82RLpXieLzW1yOY5rHw/edit?usp=sharing"",""สิงห์บุรี!J374"")"),0)</f>
        <v>0</v>
      </c>
      <c r="AE70" s="93">
        <f ca="1">IFERROR(__xludf.DUMMYFUNCTION("IMPORTRANGE(""https://docs.google.com/spreadsheets/d/1j51vR6CYVGhABJpv6tkstgok82RLpXieLzW1yOY5rHw/edit?usp=sharing"",""สิงห์บุรี!J374"")"),0)</f>
        <v>0</v>
      </c>
    </row>
    <row r="71" spans="1:31" ht="19.5" x14ac:dyDescent="0.3">
      <c r="A71" s="172">
        <v>19</v>
      </c>
      <c r="B71" s="173" t="s">
        <v>97</v>
      </c>
      <c r="C71" s="174">
        <f t="shared" si="23"/>
        <v>0</v>
      </c>
      <c r="D71" s="175">
        <f t="shared" si="49"/>
        <v>0</v>
      </c>
      <c r="E71" s="403">
        <v>0</v>
      </c>
      <c r="F71" s="403">
        <v>0</v>
      </c>
      <c r="G71" s="403">
        <v>0</v>
      </c>
      <c r="H71" s="403">
        <v>0</v>
      </c>
      <c r="I71" s="403">
        <v>0</v>
      </c>
      <c r="J71" s="176">
        <f t="shared" si="25"/>
        <v>0</v>
      </c>
      <c r="K71" s="179">
        <f t="shared" si="26"/>
        <v>0</v>
      </c>
      <c r="L71" s="403">
        <v>0</v>
      </c>
      <c r="M71" s="87">
        <f t="shared" si="27"/>
        <v>0</v>
      </c>
      <c r="N71" s="87">
        <f t="shared" si="28"/>
        <v>0</v>
      </c>
      <c r="O71" s="403">
        <v>0</v>
      </c>
      <c r="P71" s="86">
        <f t="shared" si="29"/>
        <v>0</v>
      </c>
      <c r="Q71" s="87">
        <f t="shared" si="30"/>
        <v>0</v>
      </c>
      <c r="R71" s="86">
        <f ca="1">IFERROR(__xludf.DUMMYFUNCTION("IMPORTRANGE(""https://docs.google.com/spreadsheets/d/1j51vR6CYVGhABJpv6tkstgok82RLpXieLzW1yOY5rHw/edit?usp=sharing"",""สิงห์บุรี!Q375"")"),0)</f>
        <v>0</v>
      </c>
      <c r="S71" s="86">
        <f ca="1">IFERROR(__xludf.DUMMYFUNCTION("IMPORTRANGE(""https://docs.google.com/spreadsheets/d/1j51vR6CYVGhABJpv6tkstgok82RLpXieLzW1yOY5rHw/edit?usp=sharing"",""สิงห์บุรี!R375"")"),0)</f>
        <v>0</v>
      </c>
      <c r="T71" s="86">
        <f ca="1">IFERROR(__xludf.DUMMYFUNCTION("IMPORTRANGE(""https://docs.google.com/spreadsheets/d/1j51vR6CYVGhABJpv6tkstgok82RLpXieLzW1yOY5rHw/edit?usp=sharing"",""สิงห์บุรี!S375"")"),0)</f>
        <v>0</v>
      </c>
      <c r="U71" s="87">
        <f t="shared" ca="1" si="32"/>
        <v>0</v>
      </c>
      <c r="V71" s="87">
        <f t="shared" ca="1" si="33"/>
        <v>0</v>
      </c>
      <c r="W71" s="404">
        <f t="shared" ca="1" si="50"/>
        <v>0</v>
      </c>
      <c r="X71" s="404">
        <f ca="1">IFERROR(__xludf.DUMMYFUNCTION("IMPORTRANGE(""https://docs.google.com/spreadsheets/d/1j51vR6CYVGhABJpv6tkstgok82RLpXieLzW1yOY5rHw/edit?usp=sharing"",""สิงห์บุรี!J374"")"),0)</f>
        <v>0</v>
      </c>
      <c r="Y71" s="405">
        <f t="shared" ca="1" si="13"/>
        <v>0</v>
      </c>
      <c r="Z71" s="404">
        <f ca="1">IFERROR(__xludf.DUMMYFUNCTION("IMPORTRANGE(""https://docs.google.com/spreadsheets/d/1j51vR6CYVGhABJpv6tkstgok82RLpXieLzW1yOY5rHw/edit?usp=sharing"",""สิงห์บุรี!I386"")"),0)</f>
        <v>0</v>
      </c>
      <c r="AA71" s="93">
        <f ca="1">IFERROR(__xludf.DUMMYFUNCTION("IMPORTRANGE(""https://docs.google.com/spreadsheets/d/1H1EalTWKUSzO4Z1-1CwzoDUaVffgrThEBe2sl74kKG0/edit?usp=sharing"",""สุพรรณบุรี!J374"")"),0)</f>
        <v>0</v>
      </c>
      <c r="AB71" s="93">
        <f ca="1">IFERROR(__xludf.DUMMYFUNCTION("IMPORTRANGE(""https://docs.google.com/spreadsheets/d/1H1EalTWKUSzO4Z1-1CwzoDUaVffgrThEBe2sl74kKG0/edit?usp=sharing"",""สุพรรณบุรี!J374"")"),0)</f>
        <v>0</v>
      </c>
      <c r="AC71" s="406">
        <f ca="1">IFERROR(__xludf.DUMMYFUNCTION("IMPORTRANGE(""https://docs.google.com/spreadsheets/d/1j51vR6CYVGhABJpv6tkstgok82RLpXieLzW1yOY5rHw/edit?usp=sharing"",""สิงห์บุรี!I388"")"),0)</f>
        <v>0</v>
      </c>
      <c r="AD71" s="93">
        <f ca="1">IFERROR(__xludf.DUMMYFUNCTION("IMPORTRANGE(""https://docs.google.com/spreadsheets/d/1H1EalTWKUSzO4Z1-1CwzoDUaVffgrThEBe2sl74kKG0/edit?usp=sharing"",""สุพรรณบุรี!J374"")"),0)</f>
        <v>0</v>
      </c>
      <c r="AE71" s="93">
        <f ca="1">IFERROR(__xludf.DUMMYFUNCTION("IMPORTRANGE(""https://docs.google.com/spreadsheets/d/1H1EalTWKUSzO4Z1-1CwzoDUaVffgrThEBe2sl74kKG0/edit?usp=sharing"",""สุพรรณบุรี!J374"")"),0)</f>
        <v>0</v>
      </c>
    </row>
    <row r="72" spans="1:31" ht="19.5" x14ac:dyDescent="0.3">
      <c r="A72" s="172">
        <v>20</v>
      </c>
      <c r="B72" s="173" t="s">
        <v>98</v>
      </c>
      <c r="C72" s="174">
        <f t="shared" si="23"/>
        <v>0</v>
      </c>
      <c r="D72" s="175">
        <f t="shared" si="49"/>
        <v>0</v>
      </c>
      <c r="E72" s="403">
        <v>0</v>
      </c>
      <c r="F72" s="403">
        <v>0</v>
      </c>
      <c r="G72" s="403">
        <v>0</v>
      </c>
      <c r="H72" s="403">
        <v>0</v>
      </c>
      <c r="I72" s="403">
        <v>0</v>
      </c>
      <c r="J72" s="176">
        <f t="shared" si="25"/>
        <v>0</v>
      </c>
      <c r="K72" s="179">
        <f t="shared" si="26"/>
        <v>0</v>
      </c>
      <c r="L72" s="403">
        <v>0</v>
      </c>
      <c r="M72" s="87">
        <f t="shared" si="27"/>
        <v>0</v>
      </c>
      <c r="N72" s="87">
        <f t="shared" si="28"/>
        <v>0</v>
      </c>
      <c r="O72" s="403">
        <v>0</v>
      </c>
      <c r="P72" s="86">
        <f t="shared" si="29"/>
        <v>0</v>
      </c>
      <c r="Q72" s="87">
        <f t="shared" si="30"/>
        <v>0</v>
      </c>
      <c r="R72" s="86">
        <f ca="1">IFERROR(__xludf.DUMMYFUNCTION("IMPORTRANGE(""https://docs.google.com/spreadsheets/d/1H1EalTWKUSzO4Z1-1CwzoDUaVffgrThEBe2sl74kKG0/edit?usp=sharing"",""สุพรรณบุรี!Q375"")"),62500)</f>
        <v>62500</v>
      </c>
      <c r="S72" s="86">
        <f ca="1">IFERROR(__xludf.DUMMYFUNCTION("IMPORTRANGE(""https://docs.google.com/spreadsheets/d/1H1EalTWKUSzO4Z1-1CwzoDUaVffgrThEBe2sl74kKG0/edit?usp=sharing"",""สุพรรณบุรี!R375"")"),0)</f>
        <v>0</v>
      </c>
      <c r="T72" s="86">
        <f ca="1">IFERROR(__xludf.DUMMYFUNCTION("IMPORTRANGE(""https://docs.google.com/spreadsheets/d/1H1EalTWKUSzO4Z1-1CwzoDUaVffgrThEBe2sl74kKG0/edit?usp=sharing"",""สุพรรณบุรี!S375"")"),0)</f>
        <v>0</v>
      </c>
      <c r="U72" s="87">
        <f t="shared" ca="1" si="32"/>
        <v>0</v>
      </c>
      <c r="V72" s="87">
        <f t="shared" ca="1" si="33"/>
        <v>0</v>
      </c>
      <c r="W72" s="404">
        <f t="shared" ca="1" si="50"/>
        <v>1000</v>
      </c>
      <c r="X72" s="404">
        <f ca="1">IFERROR(__xludf.DUMMYFUNCTION("IMPORTRANGE(""https://docs.google.com/spreadsheets/d/1H1EalTWKUSzO4Z1-1CwzoDUaVffgrThEBe2sl74kKG0/edit?usp=sharing"",""สุพรรณบุรี!J374"")"),0)</f>
        <v>0</v>
      </c>
      <c r="Y72" s="405">
        <f t="shared" ca="1" si="13"/>
        <v>0</v>
      </c>
      <c r="Z72" s="404">
        <f ca="1">IFERROR(__xludf.DUMMYFUNCTION("IMPORTRANGE(""https://docs.google.com/spreadsheets/d/1H1EalTWKUSzO4Z1-1CwzoDUaVffgrThEBe2sl74kKG0/edit?usp=sharing"",""สุพรรณบุรี!I386"")"),1000)</f>
        <v>1000</v>
      </c>
      <c r="AA72" s="93">
        <f ca="1">IFERROR(__xludf.DUMMYFUNCTION("IMPORTRANGE(""https://docs.google.com/spreadsheets/d/1BmIruG_sIrJLYao_Pdr7zVArWsfoBt2692TMi6x_854/edit?usp=sharing"",""อ่างทอง!J374"")"),0)</f>
        <v>0</v>
      </c>
      <c r="AB72" s="93">
        <f ca="1">IFERROR(__xludf.DUMMYFUNCTION("IMPORTRANGE(""https://docs.google.com/spreadsheets/d/1BmIruG_sIrJLYao_Pdr7zVArWsfoBt2692TMi6x_854/edit?usp=sharing"",""อ่างทอง!J374"")"),0)</f>
        <v>0</v>
      </c>
      <c r="AC72" s="406">
        <f ca="1">IFERROR(__xludf.DUMMYFUNCTION("IMPORTRANGE(""https://docs.google.com/spreadsheets/d/1H1EalTWKUSzO4Z1-1CwzoDUaVffgrThEBe2sl74kKG0/edit?usp=sharing"",""สุพรรณบุรี!I388"")"),0)</f>
        <v>0</v>
      </c>
      <c r="AD72" s="93">
        <f ca="1">IFERROR(__xludf.DUMMYFUNCTION("IMPORTRANGE(""https://docs.google.com/spreadsheets/d/1BmIruG_sIrJLYao_Pdr7zVArWsfoBt2692TMi6x_854/edit?usp=sharing"",""อ่างทอง!J374"")"),0)</f>
        <v>0</v>
      </c>
      <c r="AE72" s="93">
        <f ca="1">IFERROR(__xludf.DUMMYFUNCTION("IMPORTRANGE(""https://docs.google.com/spreadsheets/d/1BmIruG_sIrJLYao_Pdr7zVArWsfoBt2692TMi6x_854/edit?usp=sharing"",""อ่างทอง!J374"")"),0)</f>
        <v>0</v>
      </c>
    </row>
    <row r="73" spans="1:31" ht="19.5" x14ac:dyDescent="0.3">
      <c r="A73" s="180">
        <v>21</v>
      </c>
      <c r="B73" s="181" t="s">
        <v>99</v>
      </c>
      <c r="C73" s="182">
        <f t="shared" si="23"/>
        <v>0</v>
      </c>
      <c r="D73" s="183">
        <f t="shared" si="49"/>
        <v>0</v>
      </c>
      <c r="E73" s="409">
        <v>0</v>
      </c>
      <c r="F73" s="409">
        <v>0</v>
      </c>
      <c r="G73" s="409">
        <v>0</v>
      </c>
      <c r="H73" s="409">
        <v>0</v>
      </c>
      <c r="I73" s="409">
        <v>0</v>
      </c>
      <c r="J73" s="184">
        <f t="shared" si="25"/>
        <v>0</v>
      </c>
      <c r="K73" s="185">
        <f t="shared" si="26"/>
        <v>0</v>
      </c>
      <c r="L73" s="409">
        <v>0</v>
      </c>
      <c r="M73" s="109">
        <f t="shared" si="27"/>
        <v>0</v>
      </c>
      <c r="N73" s="109">
        <f t="shared" si="28"/>
        <v>0</v>
      </c>
      <c r="O73" s="409">
        <v>0</v>
      </c>
      <c r="P73" s="108">
        <f t="shared" si="29"/>
        <v>0</v>
      </c>
      <c r="Q73" s="109">
        <f t="shared" si="30"/>
        <v>0</v>
      </c>
      <c r="R73" s="108">
        <f ca="1">IFERROR(__xludf.DUMMYFUNCTION("IMPORTRANGE(""https://docs.google.com/spreadsheets/d/1BmIruG_sIrJLYao_Pdr7zVArWsfoBt2692TMi6x_854/edit?usp=sharing"",""อ่างทอง!Q375"")"),0)</f>
        <v>0</v>
      </c>
      <c r="S73" s="108">
        <f ca="1">IFERROR(__xludf.DUMMYFUNCTION("IMPORTRANGE(""https://docs.google.com/spreadsheets/d/1BmIruG_sIrJLYao_Pdr7zVArWsfoBt2692TMi6x_854/edit?usp=sharing"",""อ่างทอง!R375"")"),0)</f>
        <v>0</v>
      </c>
      <c r="T73" s="108">
        <f ca="1">IFERROR(__xludf.DUMMYFUNCTION("IMPORTRANGE(""https://docs.google.com/spreadsheets/d/1BmIruG_sIrJLYao_Pdr7zVArWsfoBt2692TMi6x_854/edit?usp=sharing"",""อ่างทอง!S375"")"),0)</f>
        <v>0</v>
      </c>
      <c r="U73" s="109">
        <f t="shared" ca="1" si="32"/>
        <v>0</v>
      </c>
      <c r="V73" s="109">
        <f t="shared" ca="1" si="33"/>
        <v>0</v>
      </c>
      <c r="W73" s="410">
        <f t="shared" ca="1" si="50"/>
        <v>0</v>
      </c>
      <c r="X73" s="410">
        <f ca="1">IFERROR(__xludf.DUMMYFUNCTION("IMPORTRANGE(""https://docs.google.com/spreadsheets/d/1BmIruG_sIrJLYao_Pdr7zVArWsfoBt2692TMi6x_854/edit?usp=sharing"",""อ่างทอง!J374"")"),0)</f>
        <v>0</v>
      </c>
      <c r="Y73" s="411">
        <f t="shared" ca="1" si="13"/>
        <v>0</v>
      </c>
      <c r="Z73" s="410">
        <f ca="1">IFERROR(__xludf.DUMMYFUNCTION("IMPORTRANGE(""https://docs.google.com/spreadsheets/d/1BmIruG_sIrJLYao_Pdr7zVArWsfoBt2692TMi6x_854/edit?usp=sharing"",""อ่างทอง!I386"")"),0)</f>
        <v>0</v>
      </c>
      <c r="AA73" s="104">
        <f t="shared" ref="AA73:AB73" ca="1" si="51">SUM(AA74:AA87)</f>
        <v>0</v>
      </c>
      <c r="AB73" s="104">
        <f t="shared" ca="1" si="51"/>
        <v>0</v>
      </c>
      <c r="AC73" s="412">
        <f ca="1">IFERROR(__xludf.DUMMYFUNCTION("IMPORTRANGE(""https://docs.google.com/spreadsheets/d/1BmIruG_sIrJLYao_Pdr7zVArWsfoBt2692TMi6x_854/edit?usp=sharing"",""อ่างทอง!I388"")"),0)</f>
        <v>0</v>
      </c>
      <c r="AD73" s="104">
        <f t="shared" ref="AD73:AE73" ca="1" si="52">SUM(AD74:AD87)</f>
        <v>0</v>
      </c>
      <c r="AE73" s="104">
        <f t="shared" ca="1" si="52"/>
        <v>0</v>
      </c>
    </row>
    <row r="74" spans="1:31" ht="19.5" x14ac:dyDescent="0.3">
      <c r="A74" s="636" t="s">
        <v>100</v>
      </c>
      <c r="B74" s="633"/>
      <c r="C74" s="161">
        <f t="shared" si="23"/>
        <v>0</v>
      </c>
      <c r="D74" s="161">
        <f t="shared" ref="D74:I74" si="53">SUM(D75:D88)</f>
        <v>0</v>
      </c>
      <c r="E74" s="161">
        <f t="shared" si="53"/>
        <v>0</v>
      </c>
      <c r="F74" s="161">
        <f t="shared" si="53"/>
        <v>0</v>
      </c>
      <c r="G74" s="161">
        <f t="shared" si="53"/>
        <v>0</v>
      </c>
      <c r="H74" s="161">
        <f t="shared" si="53"/>
        <v>0</v>
      </c>
      <c r="I74" s="161">
        <f t="shared" si="53"/>
        <v>0</v>
      </c>
      <c r="J74" s="161">
        <f t="shared" si="25"/>
        <v>0</v>
      </c>
      <c r="K74" s="162">
        <f t="shared" si="26"/>
        <v>0</v>
      </c>
      <c r="L74" s="161">
        <f>SUM(L75:L88)</f>
        <v>0</v>
      </c>
      <c r="M74" s="40">
        <f t="shared" si="27"/>
        <v>0</v>
      </c>
      <c r="N74" s="40">
        <f t="shared" si="28"/>
        <v>0</v>
      </c>
      <c r="O74" s="39">
        <f>SUM(O75:O88)</f>
        <v>0</v>
      </c>
      <c r="P74" s="39">
        <f t="shared" si="29"/>
        <v>0</v>
      </c>
      <c r="Q74" s="40">
        <f t="shared" si="30"/>
        <v>0</v>
      </c>
      <c r="R74" s="39">
        <f t="shared" ref="R74:T74" ca="1" si="54">SUM(R75:R88)</f>
        <v>618750</v>
      </c>
      <c r="S74" s="39">
        <f t="shared" ca="1" si="54"/>
        <v>0</v>
      </c>
      <c r="T74" s="39">
        <f t="shared" ca="1" si="54"/>
        <v>0</v>
      </c>
      <c r="U74" s="40">
        <f t="shared" ca="1" si="32"/>
        <v>0</v>
      </c>
      <c r="V74" s="40">
        <f t="shared" ca="1" si="33"/>
        <v>0</v>
      </c>
      <c r="W74" s="394">
        <f t="shared" ref="W74:X74" ca="1" si="55">SUM(W75:W88)</f>
        <v>9900</v>
      </c>
      <c r="X74" s="394">
        <f t="shared" ca="1" si="55"/>
        <v>0</v>
      </c>
      <c r="Y74" s="395">
        <f t="shared" ca="1" si="13"/>
        <v>0</v>
      </c>
      <c r="Z74" s="394">
        <f ca="1">SUM(Z75:Z88)</f>
        <v>9900</v>
      </c>
      <c r="AA74" s="71">
        <f ca="1">IFERROR(__xludf.DUMMYFUNCTION("IMPORTRANGE(""https://docs.google.com/spreadsheets/d/1kKUcYdkIfrgTSj8iHHHB2MD2FAtwyyocFgqGQn6ADyI/edit?usp=sharing"",""กระบี่!J374"")"),0)</f>
        <v>0</v>
      </c>
      <c r="AB74" s="71">
        <f ca="1">IFERROR(__xludf.DUMMYFUNCTION("IMPORTRANGE(""https://docs.google.com/spreadsheets/d/1kKUcYdkIfrgTSj8iHHHB2MD2FAtwyyocFgqGQn6ADyI/edit?usp=sharing"",""กระบี่!J374"")"),0)</f>
        <v>0</v>
      </c>
      <c r="AC74" s="347">
        <f ca="1">SUM(AC75:AC88)</f>
        <v>0</v>
      </c>
      <c r="AD74" s="71">
        <f ca="1">IFERROR(__xludf.DUMMYFUNCTION("IMPORTRANGE(""https://docs.google.com/spreadsheets/d/1kKUcYdkIfrgTSj8iHHHB2MD2FAtwyyocFgqGQn6ADyI/edit?usp=sharing"",""กระบี่!J374"")"),0)</f>
        <v>0</v>
      </c>
      <c r="AE74" s="71">
        <f ca="1">IFERROR(__xludf.DUMMYFUNCTION("IMPORTRANGE(""https://docs.google.com/spreadsheets/d/1kKUcYdkIfrgTSj8iHHHB2MD2FAtwyyocFgqGQn6ADyI/edit?usp=sharing"",""กระบี่!J374"")"),0)</f>
        <v>0</v>
      </c>
    </row>
    <row r="75" spans="1:31" ht="19.5" x14ac:dyDescent="0.3">
      <c r="A75" s="172">
        <v>1</v>
      </c>
      <c r="B75" s="173" t="s">
        <v>101</v>
      </c>
      <c r="C75" s="174">
        <f t="shared" si="23"/>
        <v>0</v>
      </c>
      <c r="D75" s="175">
        <f t="shared" ref="D75:D88" si="56">+E75+F75</f>
        <v>0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176">
        <f t="shared" si="25"/>
        <v>0</v>
      </c>
      <c r="K75" s="179">
        <f t="shared" si="26"/>
        <v>0</v>
      </c>
      <c r="L75" s="403">
        <v>0</v>
      </c>
      <c r="M75" s="87">
        <f t="shared" si="27"/>
        <v>0</v>
      </c>
      <c r="N75" s="87">
        <f t="shared" si="28"/>
        <v>0</v>
      </c>
      <c r="O75" s="403">
        <v>0</v>
      </c>
      <c r="P75" s="86">
        <f t="shared" si="29"/>
        <v>0</v>
      </c>
      <c r="Q75" s="87">
        <f t="shared" si="30"/>
        <v>0</v>
      </c>
      <c r="R75" s="86">
        <f ca="1">IFERROR(__xludf.DUMMYFUNCTION("IMPORTRANGE(""https://docs.google.com/spreadsheets/d/1kKUcYdkIfrgTSj8iHHHB2MD2FAtwyyocFgqGQn6ADyI/edit?usp=sharing"",""กระบี่!Q375"")"),62500)</f>
        <v>62500</v>
      </c>
      <c r="S75" s="86">
        <f ca="1">IFERROR(__xludf.DUMMYFUNCTION("IMPORTRANGE(""https://docs.google.com/spreadsheets/d/1kKUcYdkIfrgTSj8iHHHB2MD2FAtwyyocFgqGQn6ADyI/edit?usp=sharing"",""กระบี่!R375"")"),0)</f>
        <v>0</v>
      </c>
      <c r="T75" s="86">
        <f ca="1">IFERROR(__xludf.DUMMYFUNCTION("IMPORTRANGE(""https://docs.google.com/spreadsheets/d/1kKUcYdkIfrgTSj8iHHHB2MD2FAtwyyocFgqGQn6ADyI/edit?usp=sharing"",""กระบี่!S375"")"),0)</f>
        <v>0</v>
      </c>
      <c r="U75" s="87">
        <f t="shared" ca="1" si="32"/>
        <v>0</v>
      </c>
      <c r="V75" s="87">
        <f t="shared" ca="1" si="33"/>
        <v>0</v>
      </c>
      <c r="W75" s="404">
        <f t="shared" ref="W75:W88" ca="1" si="57">Z75+AC75</f>
        <v>1000</v>
      </c>
      <c r="X75" s="404">
        <f ca="1">IFERROR(__xludf.DUMMYFUNCTION("IMPORTRANGE(""https://docs.google.com/spreadsheets/d/1kKUcYdkIfrgTSj8iHHHB2MD2FAtwyyocFgqGQn6ADyI/edit?usp=sharing"",""กระบี่!J374"")"),0)</f>
        <v>0</v>
      </c>
      <c r="Y75" s="405">
        <f t="shared" ca="1" si="13"/>
        <v>0</v>
      </c>
      <c r="Z75" s="404">
        <f ca="1">IFERROR(__xludf.DUMMYFUNCTION("IMPORTRANGE(""https://docs.google.com/spreadsheets/d/1kKUcYdkIfrgTSj8iHHHB2MD2FAtwyyocFgqGQn6ADyI/edit?usp=sharing"",""กระบี่!I386"")"),1000)</f>
        <v>1000</v>
      </c>
      <c r="AA75" s="81">
        <f ca="1">IFERROR(__xludf.DUMMYFUNCTION("IMPORTRANGE(""https://docs.google.com/spreadsheets/d/1GwtLaSlNZkLk7iDqcyZz22giiy40b_usZZBXYciEN1U/edit?usp=sharing"",""ชุมพร!J374"")"),0)</f>
        <v>0</v>
      </c>
      <c r="AB75" s="81">
        <f ca="1">IFERROR(__xludf.DUMMYFUNCTION("IMPORTRANGE(""https://docs.google.com/spreadsheets/d/1GwtLaSlNZkLk7iDqcyZz22giiy40b_usZZBXYciEN1U/edit?usp=sharing"",""ชุมพร!J374"")"),0)</f>
        <v>0</v>
      </c>
      <c r="AC75" s="406">
        <f ca="1">IFERROR(__xludf.DUMMYFUNCTION("IMPORTRANGE(""https://docs.google.com/spreadsheets/d/1kKUcYdkIfrgTSj8iHHHB2MD2FAtwyyocFgqGQn6ADyI/edit?usp=sharing"",""กระบี่!I388"")"),0)</f>
        <v>0</v>
      </c>
      <c r="AD75" s="81">
        <f ca="1">IFERROR(__xludf.DUMMYFUNCTION("IMPORTRANGE(""https://docs.google.com/spreadsheets/d/1GwtLaSlNZkLk7iDqcyZz22giiy40b_usZZBXYciEN1U/edit?usp=sharing"",""ชุมพร!J374"")"),0)</f>
        <v>0</v>
      </c>
      <c r="AE75" s="81">
        <f ca="1">IFERROR(__xludf.DUMMYFUNCTION("IMPORTRANGE(""https://docs.google.com/spreadsheets/d/1GwtLaSlNZkLk7iDqcyZz22giiy40b_usZZBXYciEN1U/edit?usp=sharing"",""ชุมพร!J374"")"),0)</f>
        <v>0</v>
      </c>
    </row>
    <row r="76" spans="1:31" ht="19.5" x14ac:dyDescent="0.3">
      <c r="A76" s="172">
        <v>2</v>
      </c>
      <c r="B76" s="173" t="s">
        <v>102</v>
      </c>
      <c r="C76" s="174">
        <f t="shared" si="23"/>
        <v>0</v>
      </c>
      <c r="D76" s="175">
        <f t="shared" si="56"/>
        <v>0</v>
      </c>
      <c r="E76" s="403">
        <v>0</v>
      </c>
      <c r="F76" s="403">
        <v>0</v>
      </c>
      <c r="G76" s="403">
        <v>0</v>
      </c>
      <c r="H76" s="403">
        <v>0</v>
      </c>
      <c r="I76" s="403">
        <v>0</v>
      </c>
      <c r="J76" s="176">
        <f t="shared" si="25"/>
        <v>0</v>
      </c>
      <c r="K76" s="179">
        <f t="shared" si="26"/>
        <v>0</v>
      </c>
      <c r="L76" s="403">
        <v>0</v>
      </c>
      <c r="M76" s="87">
        <f t="shared" si="27"/>
        <v>0</v>
      </c>
      <c r="N76" s="87">
        <f t="shared" si="28"/>
        <v>0</v>
      </c>
      <c r="O76" s="403">
        <v>0</v>
      </c>
      <c r="P76" s="86">
        <f t="shared" si="29"/>
        <v>0</v>
      </c>
      <c r="Q76" s="87">
        <f t="shared" si="30"/>
        <v>0</v>
      </c>
      <c r="R76" s="86">
        <f ca="1">IFERROR(__xludf.DUMMYFUNCTION("IMPORTRANGE(""https://docs.google.com/spreadsheets/d/1GwtLaSlNZkLk7iDqcyZz22giiy40b_usZZBXYciEN1U/edit?usp=sharing"",""ชุมพร!Q375"")"),125000)</f>
        <v>125000</v>
      </c>
      <c r="S76" s="86">
        <f ca="1">IFERROR(__xludf.DUMMYFUNCTION("IMPORTRANGE(""https://docs.google.com/spreadsheets/d/1GwtLaSlNZkLk7iDqcyZz22giiy40b_usZZBXYciEN1U/edit?usp=sharing"",""ชุมพร!R375"")"),0)</f>
        <v>0</v>
      </c>
      <c r="T76" s="86">
        <f ca="1">IFERROR(__xludf.DUMMYFUNCTION("IMPORTRANGE(""https://docs.google.com/spreadsheets/d/1GwtLaSlNZkLk7iDqcyZz22giiy40b_usZZBXYciEN1U/edit?usp=sharing"",""ชุมพร!S375"")"),0)</f>
        <v>0</v>
      </c>
      <c r="U76" s="87">
        <f t="shared" ca="1" si="32"/>
        <v>0</v>
      </c>
      <c r="V76" s="87">
        <f t="shared" ca="1" si="33"/>
        <v>0</v>
      </c>
      <c r="W76" s="404">
        <f t="shared" ca="1" si="57"/>
        <v>2000</v>
      </c>
      <c r="X76" s="404">
        <f ca="1">IFERROR(__xludf.DUMMYFUNCTION("IMPORTRANGE(""https://docs.google.com/spreadsheets/d/1GwtLaSlNZkLk7iDqcyZz22giiy40b_usZZBXYciEN1U/edit?usp=sharing"",""ชุมพร!J374"")"),0)</f>
        <v>0</v>
      </c>
      <c r="Y76" s="405">
        <f t="shared" ca="1" si="13"/>
        <v>0</v>
      </c>
      <c r="Z76" s="404">
        <f ca="1">IFERROR(__xludf.DUMMYFUNCTION("IMPORTRANGE(""https://docs.google.com/spreadsheets/d/1GwtLaSlNZkLk7iDqcyZz22giiy40b_usZZBXYciEN1U/edit?usp=sharing"",""ชุมพร!I386"")"),2000)</f>
        <v>2000</v>
      </c>
      <c r="AA76" s="93">
        <f ca="1">IFERROR(__xludf.DUMMYFUNCTION("IMPORTRANGE(""https://docs.google.com/spreadsheets/d/16pAz3pOhQEZBhvFNMa5KGgZS6iKWpsKX0pg6tQmwFpo/edit?usp=sharing"",""ตรัง!J374"")"),0)</f>
        <v>0</v>
      </c>
      <c r="AB76" s="93">
        <f ca="1">IFERROR(__xludf.DUMMYFUNCTION("IMPORTRANGE(""https://docs.google.com/spreadsheets/d/16pAz3pOhQEZBhvFNMa5KGgZS6iKWpsKX0pg6tQmwFpo/edit?usp=sharing"",""ตรัง!J374"")"),0)</f>
        <v>0</v>
      </c>
      <c r="AC76" s="406">
        <f ca="1">IFERROR(__xludf.DUMMYFUNCTION("IMPORTRANGE(""https://docs.google.com/spreadsheets/d/1GwtLaSlNZkLk7iDqcyZz22giiy40b_usZZBXYciEN1U/edit?usp=sharing"",""ชุมพร!I388"")"),0)</f>
        <v>0</v>
      </c>
      <c r="AD76" s="93">
        <f ca="1">IFERROR(__xludf.DUMMYFUNCTION("IMPORTRANGE(""https://docs.google.com/spreadsheets/d/16pAz3pOhQEZBhvFNMa5KGgZS6iKWpsKX0pg6tQmwFpo/edit?usp=sharing"",""ตรัง!J374"")"),0)</f>
        <v>0</v>
      </c>
      <c r="AE76" s="93">
        <f ca="1">IFERROR(__xludf.DUMMYFUNCTION("IMPORTRANGE(""https://docs.google.com/spreadsheets/d/16pAz3pOhQEZBhvFNMa5KGgZS6iKWpsKX0pg6tQmwFpo/edit?usp=sharing"",""ตรัง!J374"")"),0)</f>
        <v>0</v>
      </c>
    </row>
    <row r="77" spans="1:31" ht="19.5" x14ac:dyDescent="0.3">
      <c r="A77" s="172">
        <v>3</v>
      </c>
      <c r="B77" s="173" t="s">
        <v>103</v>
      </c>
      <c r="C77" s="174">
        <f t="shared" si="23"/>
        <v>0</v>
      </c>
      <c r="D77" s="175">
        <f t="shared" si="56"/>
        <v>0</v>
      </c>
      <c r="E77" s="403">
        <v>0</v>
      </c>
      <c r="F77" s="403">
        <v>0</v>
      </c>
      <c r="G77" s="403">
        <v>0</v>
      </c>
      <c r="H77" s="403">
        <v>0</v>
      </c>
      <c r="I77" s="403">
        <v>0</v>
      </c>
      <c r="J77" s="176">
        <f t="shared" si="25"/>
        <v>0</v>
      </c>
      <c r="K77" s="179">
        <f t="shared" si="26"/>
        <v>0</v>
      </c>
      <c r="L77" s="403">
        <v>0</v>
      </c>
      <c r="M77" s="87">
        <f t="shared" si="27"/>
        <v>0</v>
      </c>
      <c r="N77" s="87">
        <f t="shared" si="28"/>
        <v>0</v>
      </c>
      <c r="O77" s="403">
        <v>0</v>
      </c>
      <c r="P77" s="86">
        <f t="shared" si="29"/>
        <v>0</v>
      </c>
      <c r="Q77" s="87">
        <f t="shared" si="30"/>
        <v>0</v>
      </c>
      <c r="R77" s="86">
        <f ca="1">IFERROR(__xludf.DUMMYFUNCTION("IMPORTRANGE(""https://docs.google.com/spreadsheets/d/16pAz3pOhQEZBhvFNMa5KGgZS6iKWpsKX0pg6tQmwFpo/edit?usp=sharing"",""ตรัง!Q375"")"),62500)</f>
        <v>62500</v>
      </c>
      <c r="S77" s="86">
        <f ca="1">IFERROR(__xludf.DUMMYFUNCTION("IMPORTRANGE(""https://docs.google.com/spreadsheets/d/16pAz3pOhQEZBhvFNMa5KGgZS6iKWpsKX0pg6tQmwFpo/edit?usp=sharing"",""ตรัง!R375"")"),0)</f>
        <v>0</v>
      </c>
      <c r="T77" s="86">
        <f ca="1">IFERROR(__xludf.DUMMYFUNCTION("IMPORTRANGE(""https://docs.google.com/spreadsheets/d/16pAz3pOhQEZBhvFNMa5KGgZS6iKWpsKX0pg6tQmwFpo/edit?usp=sharing"",""ตรัง!S375"")"),0)</f>
        <v>0</v>
      </c>
      <c r="U77" s="87">
        <f t="shared" ca="1" si="32"/>
        <v>0</v>
      </c>
      <c r="V77" s="87">
        <f t="shared" ca="1" si="33"/>
        <v>0</v>
      </c>
      <c r="W77" s="404">
        <f t="shared" ca="1" si="57"/>
        <v>1000</v>
      </c>
      <c r="X77" s="404">
        <f ca="1">IFERROR(__xludf.DUMMYFUNCTION("IMPORTRANGE(""https://docs.google.com/spreadsheets/d/16pAz3pOhQEZBhvFNMa5KGgZS6iKWpsKX0pg6tQmwFpo/edit?usp=sharing"",""ตรัง!J374"")"),0)</f>
        <v>0</v>
      </c>
      <c r="Y77" s="405">
        <f t="shared" ca="1" si="13"/>
        <v>0</v>
      </c>
      <c r="Z77" s="404">
        <f ca="1">IFERROR(__xludf.DUMMYFUNCTION("IMPORTRANGE(""https://docs.google.com/spreadsheets/d/16pAz3pOhQEZBhvFNMa5KGgZS6iKWpsKX0pg6tQmwFpo/edit?usp=sharing"",""ตรัง!I386"")"),1000)</f>
        <v>1000</v>
      </c>
      <c r="AA77" s="93">
        <f ca="1">IFERROR(__xludf.DUMMYFUNCTION("IMPORTRANGE(""https://docs.google.com/spreadsheets/d/1Dj4jcHCTV9JXKCaMoheSXS52JE63kDKyG7bPXnFogHk/edit?usp=sharing"",""นครศรีธรรมราช!J374"")"),0)</f>
        <v>0</v>
      </c>
      <c r="AB77" s="93">
        <f ca="1">IFERROR(__xludf.DUMMYFUNCTION("IMPORTRANGE(""https://docs.google.com/spreadsheets/d/1Dj4jcHCTV9JXKCaMoheSXS52JE63kDKyG7bPXnFogHk/edit?usp=sharing"",""นครศรีธรรมราช!J374"")"),0)</f>
        <v>0</v>
      </c>
      <c r="AC77" s="406">
        <f ca="1">IFERROR(__xludf.DUMMYFUNCTION("IMPORTRANGE(""https://docs.google.com/spreadsheets/d/16pAz3pOhQEZBhvFNMa5KGgZS6iKWpsKX0pg6tQmwFpo/edit?usp=sharing"",""ตรัง!I388"")"),0)</f>
        <v>0</v>
      </c>
      <c r="AD77" s="93">
        <f ca="1">IFERROR(__xludf.DUMMYFUNCTION("IMPORTRANGE(""https://docs.google.com/spreadsheets/d/1Dj4jcHCTV9JXKCaMoheSXS52JE63kDKyG7bPXnFogHk/edit?usp=sharing"",""นครศรีธรรมราช!J374"")"),0)</f>
        <v>0</v>
      </c>
      <c r="AE77" s="93">
        <f ca="1">IFERROR(__xludf.DUMMYFUNCTION("IMPORTRANGE(""https://docs.google.com/spreadsheets/d/1Dj4jcHCTV9JXKCaMoheSXS52JE63kDKyG7bPXnFogHk/edit?usp=sharing"",""นครศรีธรรมราช!J374"")"),0)</f>
        <v>0</v>
      </c>
    </row>
    <row r="78" spans="1:31" ht="19.5" x14ac:dyDescent="0.3">
      <c r="A78" s="172">
        <v>4</v>
      </c>
      <c r="B78" s="173" t="s">
        <v>104</v>
      </c>
      <c r="C78" s="174">
        <f t="shared" si="23"/>
        <v>0</v>
      </c>
      <c r="D78" s="175">
        <f t="shared" si="56"/>
        <v>0</v>
      </c>
      <c r="E78" s="403">
        <v>0</v>
      </c>
      <c r="F78" s="403">
        <v>0</v>
      </c>
      <c r="G78" s="403">
        <v>0</v>
      </c>
      <c r="H78" s="403">
        <v>0</v>
      </c>
      <c r="I78" s="403">
        <v>0</v>
      </c>
      <c r="J78" s="176">
        <f t="shared" si="25"/>
        <v>0</v>
      </c>
      <c r="K78" s="179">
        <f t="shared" si="26"/>
        <v>0</v>
      </c>
      <c r="L78" s="403">
        <v>0</v>
      </c>
      <c r="M78" s="87">
        <f t="shared" si="27"/>
        <v>0</v>
      </c>
      <c r="N78" s="87">
        <f t="shared" si="28"/>
        <v>0</v>
      </c>
      <c r="O78" s="403">
        <v>0</v>
      </c>
      <c r="P78" s="86">
        <f t="shared" si="29"/>
        <v>0</v>
      </c>
      <c r="Q78" s="87">
        <f t="shared" si="30"/>
        <v>0</v>
      </c>
      <c r="R78" s="86">
        <f ca="1">IFERROR(__xludf.DUMMYFUNCTION("IMPORTRANGE(""https://docs.google.com/spreadsheets/d/1Dj4jcHCTV9JXKCaMoheSXS52JE63kDKyG7bPXnFogHk/edit?usp=sharing"",""นครศรีธรรมราช!Q375"")"),62500)</f>
        <v>62500</v>
      </c>
      <c r="S78" s="86">
        <f ca="1">IFERROR(__xludf.DUMMYFUNCTION("IMPORTRANGE(""https://docs.google.com/spreadsheets/d/1Dj4jcHCTV9JXKCaMoheSXS52JE63kDKyG7bPXnFogHk/edit?usp=sharing"",""นครศรีธรรมราช!R375"")"),0)</f>
        <v>0</v>
      </c>
      <c r="T78" s="86">
        <f ca="1">IFERROR(__xludf.DUMMYFUNCTION("IMPORTRANGE(""https://docs.google.com/spreadsheets/d/1Dj4jcHCTV9JXKCaMoheSXS52JE63kDKyG7bPXnFogHk/edit?usp=sharing"",""นครศรีธรรมราช!S375"")"),0)</f>
        <v>0</v>
      </c>
      <c r="U78" s="87">
        <f t="shared" ca="1" si="32"/>
        <v>0</v>
      </c>
      <c r="V78" s="87">
        <f t="shared" ca="1" si="33"/>
        <v>0</v>
      </c>
      <c r="W78" s="404">
        <f t="shared" ca="1" si="57"/>
        <v>1000</v>
      </c>
      <c r="X78" s="404">
        <f ca="1">IFERROR(__xludf.DUMMYFUNCTION("IMPORTRANGE(""https://docs.google.com/spreadsheets/d/1Dj4jcHCTV9JXKCaMoheSXS52JE63kDKyG7bPXnFogHk/edit?usp=sharing"",""นครศรีธรรมราช!J374"")"),0)</f>
        <v>0</v>
      </c>
      <c r="Y78" s="405">
        <f t="shared" ca="1" si="13"/>
        <v>0</v>
      </c>
      <c r="Z78" s="404">
        <f ca="1">IFERROR(__xludf.DUMMYFUNCTION("IMPORTRANGE(""https://docs.google.com/spreadsheets/d/1Dj4jcHCTV9JXKCaMoheSXS52JE63kDKyG7bPXnFogHk/edit?usp=sharing"",""นครศรีธรรมราช!I386"")"),1000)</f>
        <v>1000</v>
      </c>
      <c r="AA78" s="93">
        <f ca="1">IFERROR(__xludf.DUMMYFUNCTION("IMPORTRANGE(""https://docs.google.com/spreadsheets/d/1iodCdmuK2GR3jzUwk8tpccY2JHQQA-87DLOtJP-ooyU/edit?usp=sharing"",""นราธิวาส!J374"")"),0)</f>
        <v>0</v>
      </c>
      <c r="AB78" s="93">
        <f ca="1">IFERROR(__xludf.DUMMYFUNCTION("IMPORTRANGE(""https://docs.google.com/spreadsheets/d/1iodCdmuK2GR3jzUwk8tpccY2JHQQA-87DLOtJP-ooyU/edit?usp=sharing"",""นราธิวาส!J374"")"),0)</f>
        <v>0</v>
      </c>
      <c r="AC78" s="406">
        <f ca="1">IFERROR(__xludf.DUMMYFUNCTION("IMPORTRANGE(""https://docs.google.com/spreadsheets/d/1Dj4jcHCTV9JXKCaMoheSXS52JE63kDKyG7bPXnFogHk/edit?usp=sharing"",""นครศรีธรรมราช!I388"")"),0)</f>
        <v>0</v>
      </c>
      <c r="AD78" s="93">
        <f ca="1">IFERROR(__xludf.DUMMYFUNCTION("IMPORTRANGE(""https://docs.google.com/spreadsheets/d/1iodCdmuK2GR3jzUwk8tpccY2JHQQA-87DLOtJP-ooyU/edit?usp=sharing"",""นราธิวาส!J374"")"),0)</f>
        <v>0</v>
      </c>
      <c r="AE78" s="93">
        <f ca="1">IFERROR(__xludf.DUMMYFUNCTION("IMPORTRANGE(""https://docs.google.com/spreadsheets/d/1iodCdmuK2GR3jzUwk8tpccY2JHQQA-87DLOtJP-ooyU/edit?usp=sharing"",""นราธิวาส!J374"")"),0)</f>
        <v>0</v>
      </c>
    </row>
    <row r="79" spans="1:31" ht="19.5" x14ac:dyDescent="0.3">
      <c r="A79" s="172">
        <v>5</v>
      </c>
      <c r="B79" s="173" t="s">
        <v>105</v>
      </c>
      <c r="C79" s="174">
        <f t="shared" si="23"/>
        <v>0</v>
      </c>
      <c r="D79" s="175">
        <f t="shared" si="56"/>
        <v>0</v>
      </c>
      <c r="E79" s="403">
        <v>0</v>
      </c>
      <c r="F79" s="403">
        <v>0</v>
      </c>
      <c r="G79" s="403">
        <v>0</v>
      </c>
      <c r="H79" s="403">
        <v>0</v>
      </c>
      <c r="I79" s="403">
        <v>0</v>
      </c>
      <c r="J79" s="176">
        <f t="shared" si="25"/>
        <v>0</v>
      </c>
      <c r="K79" s="179">
        <f t="shared" si="26"/>
        <v>0</v>
      </c>
      <c r="L79" s="403">
        <v>0</v>
      </c>
      <c r="M79" s="87">
        <f t="shared" si="27"/>
        <v>0</v>
      </c>
      <c r="N79" s="87">
        <f t="shared" si="28"/>
        <v>0</v>
      </c>
      <c r="O79" s="403">
        <v>0</v>
      </c>
      <c r="P79" s="86">
        <f t="shared" si="29"/>
        <v>0</v>
      </c>
      <c r="Q79" s="87">
        <f t="shared" si="30"/>
        <v>0</v>
      </c>
      <c r="R79" s="86">
        <f ca="1">IFERROR(__xludf.DUMMYFUNCTION("IMPORTRANGE(""https://docs.google.com/spreadsheets/d/1iodCdmuK2GR3jzUwk8tpccY2JHQQA-87DLOtJP-ooyU/edit?usp=sharing"",""นราธิวาส!Q375"")"),62500)</f>
        <v>62500</v>
      </c>
      <c r="S79" s="86">
        <f ca="1">IFERROR(__xludf.DUMMYFUNCTION("IMPORTRANGE(""https://docs.google.com/spreadsheets/d/1iodCdmuK2GR3jzUwk8tpccY2JHQQA-87DLOtJP-ooyU/edit?usp=sharing"",""นราธิวาส!R375"")"),0)</f>
        <v>0</v>
      </c>
      <c r="T79" s="86">
        <f ca="1">IFERROR(__xludf.DUMMYFUNCTION("IMPORTRANGE(""https://docs.google.com/spreadsheets/d/1iodCdmuK2GR3jzUwk8tpccY2JHQQA-87DLOtJP-ooyU/edit?usp=sharing"",""นราธิวาส!S375"")"),0)</f>
        <v>0</v>
      </c>
      <c r="U79" s="87">
        <f t="shared" ca="1" si="32"/>
        <v>0</v>
      </c>
      <c r="V79" s="87">
        <f t="shared" ca="1" si="33"/>
        <v>0</v>
      </c>
      <c r="W79" s="404">
        <f t="shared" ca="1" si="57"/>
        <v>1000</v>
      </c>
      <c r="X79" s="404">
        <f ca="1">IFERROR(__xludf.DUMMYFUNCTION("IMPORTRANGE(""https://docs.google.com/spreadsheets/d/1iodCdmuK2GR3jzUwk8tpccY2JHQQA-87DLOtJP-ooyU/edit?usp=sharing"",""นราธิวาส!J374"")"),0)</f>
        <v>0</v>
      </c>
      <c r="Y79" s="405">
        <f t="shared" ca="1" si="13"/>
        <v>0</v>
      </c>
      <c r="Z79" s="404">
        <f ca="1">IFERROR(__xludf.DUMMYFUNCTION("IMPORTRANGE(""https://docs.google.com/spreadsheets/d/1iodCdmuK2GR3jzUwk8tpccY2JHQQA-87DLOtJP-ooyU/edit?usp=sharing"",""นราธิวาส!I386"")"),1000)</f>
        <v>1000</v>
      </c>
      <c r="AA79" s="93">
        <f ca="1">IFERROR(__xludf.DUMMYFUNCTION("IMPORTRANGE(""https://docs.google.com/spreadsheets/d/1SDNX3JhDdYRuIOsj0Wh2M-Qa_eaXl0NbWmhAOTbfQAs/edit?usp=sharing"",""ปัตตานี!J374"")"),0)</f>
        <v>0</v>
      </c>
      <c r="AB79" s="93">
        <f ca="1">IFERROR(__xludf.DUMMYFUNCTION("IMPORTRANGE(""https://docs.google.com/spreadsheets/d/1SDNX3JhDdYRuIOsj0Wh2M-Qa_eaXl0NbWmhAOTbfQAs/edit?usp=sharing"",""ปัตตานี!J374"")"),0)</f>
        <v>0</v>
      </c>
      <c r="AC79" s="406">
        <f ca="1">IFERROR(__xludf.DUMMYFUNCTION("IMPORTRANGE(""https://docs.google.com/spreadsheets/d/1iodCdmuK2GR3jzUwk8tpccY2JHQQA-87DLOtJP-ooyU/edit?usp=sharing"",""นราธิวาส!I388"")"),0)</f>
        <v>0</v>
      </c>
      <c r="AD79" s="93">
        <f ca="1">IFERROR(__xludf.DUMMYFUNCTION("IMPORTRANGE(""https://docs.google.com/spreadsheets/d/1SDNX3JhDdYRuIOsj0Wh2M-Qa_eaXl0NbWmhAOTbfQAs/edit?usp=sharing"",""ปัตตานี!J374"")"),0)</f>
        <v>0</v>
      </c>
      <c r="AE79" s="93">
        <f ca="1">IFERROR(__xludf.DUMMYFUNCTION("IMPORTRANGE(""https://docs.google.com/spreadsheets/d/1SDNX3JhDdYRuIOsj0Wh2M-Qa_eaXl0NbWmhAOTbfQAs/edit?usp=sharing"",""ปัตตานี!J374"")"),0)</f>
        <v>0</v>
      </c>
    </row>
    <row r="80" spans="1:31" ht="19.5" x14ac:dyDescent="0.3">
      <c r="A80" s="172">
        <v>6</v>
      </c>
      <c r="B80" s="173" t="s">
        <v>106</v>
      </c>
      <c r="C80" s="174">
        <f t="shared" si="23"/>
        <v>0</v>
      </c>
      <c r="D80" s="175">
        <f t="shared" si="56"/>
        <v>0</v>
      </c>
      <c r="E80" s="403">
        <v>0</v>
      </c>
      <c r="F80" s="403">
        <v>0</v>
      </c>
      <c r="G80" s="403">
        <v>0</v>
      </c>
      <c r="H80" s="403">
        <v>0</v>
      </c>
      <c r="I80" s="403">
        <v>0</v>
      </c>
      <c r="J80" s="176">
        <f t="shared" si="25"/>
        <v>0</v>
      </c>
      <c r="K80" s="179">
        <f t="shared" si="26"/>
        <v>0</v>
      </c>
      <c r="L80" s="403">
        <v>0</v>
      </c>
      <c r="M80" s="87">
        <f t="shared" si="27"/>
        <v>0</v>
      </c>
      <c r="N80" s="87">
        <f t="shared" si="28"/>
        <v>0</v>
      </c>
      <c r="O80" s="403">
        <v>0</v>
      </c>
      <c r="P80" s="86">
        <f t="shared" si="29"/>
        <v>0</v>
      </c>
      <c r="Q80" s="87">
        <f t="shared" si="30"/>
        <v>0</v>
      </c>
      <c r="R80" s="86">
        <f ca="1">IFERROR(__xludf.DUMMYFUNCTION("IMPORTRANGE(""https://docs.google.com/spreadsheets/d/1SDNX3JhDdYRuIOsj0Wh2M-Qa_eaXl0NbWmhAOTbfQAs/edit?usp=sharing"",""ปัตตานี!Q375"")"),18750)</f>
        <v>18750</v>
      </c>
      <c r="S80" s="86">
        <f ca="1">IFERROR(__xludf.DUMMYFUNCTION("IMPORTRANGE(""https://docs.google.com/spreadsheets/d/1SDNX3JhDdYRuIOsj0Wh2M-Qa_eaXl0NbWmhAOTbfQAs/edit?usp=sharing"",""ปัตตานี!R375"")"),0)</f>
        <v>0</v>
      </c>
      <c r="T80" s="86">
        <f ca="1">IFERROR(__xludf.DUMMYFUNCTION("IMPORTRANGE(""https://docs.google.com/spreadsheets/d/1SDNX3JhDdYRuIOsj0Wh2M-Qa_eaXl0NbWmhAOTbfQAs/edit?usp=sharing"",""ปัตตานี!S375"")"),0)</f>
        <v>0</v>
      </c>
      <c r="U80" s="87">
        <f t="shared" ca="1" si="32"/>
        <v>0</v>
      </c>
      <c r="V80" s="87">
        <f t="shared" ca="1" si="33"/>
        <v>0</v>
      </c>
      <c r="W80" s="404">
        <f t="shared" ca="1" si="57"/>
        <v>300</v>
      </c>
      <c r="X80" s="404">
        <f ca="1">IFERROR(__xludf.DUMMYFUNCTION("IMPORTRANGE(""https://docs.google.com/spreadsheets/d/1SDNX3JhDdYRuIOsj0Wh2M-Qa_eaXl0NbWmhAOTbfQAs/edit?usp=sharing"",""ปัตตานี!J374"")"),0)</f>
        <v>0</v>
      </c>
      <c r="Y80" s="405">
        <f t="shared" ca="1" si="13"/>
        <v>0</v>
      </c>
      <c r="Z80" s="404">
        <f ca="1">IFERROR(__xludf.DUMMYFUNCTION("IMPORTRANGE(""https://docs.google.com/spreadsheets/d/1SDNX3JhDdYRuIOsj0Wh2M-Qa_eaXl0NbWmhAOTbfQAs/edit?usp=sharing"",""ปัตตานี!I386"")"),300)</f>
        <v>300</v>
      </c>
      <c r="AA80" s="93">
        <f ca="1">IFERROR(__xludf.DUMMYFUNCTION("IMPORTRANGE(""https://docs.google.com/spreadsheets/d/16JDLGguT8s5DsGCND1KcwHP_AWR_zDMTqLHPLJUKhaU/edit?usp=sharing"",""พังงา!J374"")"),0)</f>
        <v>0</v>
      </c>
      <c r="AB80" s="93">
        <f ca="1">IFERROR(__xludf.DUMMYFUNCTION("IMPORTRANGE(""https://docs.google.com/spreadsheets/d/16JDLGguT8s5DsGCND1KcwHP_AWR_zDMTqLHPLJUKhaU/edit?usp=sharing"",""พังงา!J374"")"),0)</f>
        <v>0</v>
      </c>
      <c r="AC80" s="406">
        <f ca="1">IFERROR(__xludf.DUMMYFUNCTION("IMPORTRANGE(""https://docs.google.com/spreadsheets/d/1SDNX3JhDdYRuIOsj0Wh2M-Qa_eaXl0NbWmhAOTbfQAs/edit?usp=sharing"",""ปัตตานี!I388"")"),0)</f>
        <v>0</v>
      </c>
      <c r="AD80" s="93">
        <f ca="1">IFERROR(__xludf.DUMMYFUNCTION("IMPORTRANGE(""https://docs.google.com/spreadsheets/d/16JDLGguT8s5DsGCND1KcwHP_AWR_zDMTqLHPLJUKhaU/edit?usp=sharing"",""พังงา!J374"")"),0)</f>
        <v>0</v>
      </c>
      <c r="AE80" s="93">
        <f ca="1">IFERROR(__xludf.DUMMYFUNCTION("IMPORTRANGE(""https://docs.google.com/spreadsheets/d/16JDLGguT8s5DsGCND1KcwHP_AWR_zDMTqLHPLJUKhaU/edit?usp=sharing"",""พังงา!J374"")"),0)</f>
        <v>0</v>
      </c>
    </row>
    <row r="81" spans="1:31" ht="19.5" x14ac:dyDescent="0.3">
      <c r="A81" s="172">
        <v>7</v>
      </c>
      <c r="B81" s="173" t="s">
        <v>107</v>
      </c>
      <c r="C81" s="174">
        <f t="shared" si="23"/>
        <v>0</v>
      </c>
      <c r="D81" s="175">
        <f t="shared" si="56"/>
        <v>0</v>
      </c>
      <c r="E81" s="403">
        <v>0</v>
      </c>
      <c r="F81" s="403">
        <v>0</v>
      </c>
      <c r="G81" s="403">
        <v>0</v>
      </c>
      <c r="H81" s="403">
        <v>0</v>
      </c>
      <c r="I81" s="403">
        <v>0</v>
      </c>
      <c r="J81" s="176">
        <f t="shared" si="25"/>
        <v>0</v>
      </c>
      <c r="K81" s="179">
        <f t="shared" si="26"/>
        <v>0</v>
      </c>
      <c r="L81" s="403">
        <v>0</v>
      </c>
      <c r="M81" s="87">
        <f t="shared" si="27"/>
        <v>0</v>
      </c>
      <c r="N81" s="87">
        <f t="shared" si="28"/>
        <v>0</v>
      </c>
      <c r="O81" s="403">
        <v>0</v>
      </c>
      <c r="P81" s="86">
        <f t="shared" si="29"/>
        <v>0</v>
      </c>
      <c r="Q81" s="87">
        <f t="shared" si="30"/>
        <v>0</v>
      </c>
      <c r="R81" s="86">
        <f ca="1">IFERROR(__xludf.DUMMYFUNCTION("IMPORTRANGE(""https://docs.google.com/spreadsheets/d/16JDLGguT8s5DsGCND1KcwHP_AWR_zDMTqLHPLJUKhaU/edit?usp=sharing"",""พังงา!Q375"")"),50000)</f>
        <v>50000</v>
      </c>
      <c r="S81" s="86">
        <f ca="1">IFERROR(__xludf.DUMMYFUNCTION("IMPORTRANGE(""https://docs.google.com/spreadsheets/d/16JDLGguT8s5DsGCND1KcwHP_AWR_zDMTqLHPLJUKhaU/edit?usp=sharing"",""พังงา!R375"")"),0)</f>
        <v>0</v>
      </c>
      <c r="T81" s="86">
        <f ca="1">IFERROR(__xludf.DUMMYFUNCTION("IMPORTRANGE(""https://docs.google.com/spreadsheets/d/16JDLGguT8s5DsGCND1KcwHP_AWR_zDMTqLHPLJUKhaU/edit?usp=sharing"",""พังงา!S375"")"),0)</f>
        <v>0</v>
      </c>
      <c r="U81" s="87">
        <f t="shared" ca="1" si="32"/>
        <v>0</v>
      </c>
      <c r="V81" s="87">
        <f t="shared" ca="1" si="33"/>
        <v>0</v>
      </c>
      <c r="W81" s="404">
        <f t="shared" ca="1" si="57"/>
        <v>800</v>
      </c>
      <c r="X81" s="404">
        <f ca="1">IFERROR(__xludf.DUMMYFUNCTION("IMPORTRANGE(""https://docs.google.com/spreadsheets/d/16JDLGguT8s5DsGCND1KcwHP_AWR_zDMTqLHPLJUKhaU/edit?usp=sharing"",""พังงา!J374"")"),0)</f>
        <v>0</v>
      </c>
      <c r="Y81" s="405">
        <f t="shared" ca="1" si="13"/>
        <v>0</v>
      </c>
      <c r="Z81" s="404">
        <f ca="1">IFERROR(__xludf.DUMMYFUNCTION("IMPORTRANGE(""https://docs.google.com/spreadsheets/d/16JDLGguT8s5DsGCND1KcwHP_AWR_zDMTqLHPLJUKhaU/edit?usp=sharing"",""พังงา!I386"")"),800)</f>
        <v>800</v>
      </c>
      <c r="AA81" s="93">
        <f ca="1">IFERROR(__xludf.DUMMYFUNCTION("IMPORTRANGE(""https://docs.google.com/spreadsheets/d/17ht0gPKzzT3PObBL1XJkeRmntBXI7wGjpLV7QorqlTk/edit?usp=sharing"",""พัทลุง!J374"")"),0)</f>
        <v>0</v>
      </c>
      <c r="AB81" s="93">
        <f ca="1">IFERROR(__xludf.DUMMYFUNCTION("IMPORTRANGE(""https://docs.google.com/spreadsheets/d/17ht0gPKzzT3PObBL1XJkeRmntBXI7wGjpLV7QorqlTk/edit?usp=sharing"",""พัทลุง!J374"")"),0)</f>
        <v>0</v>
      </c>
      <c r="AC81" s="406">
        <f ca="1">IFERROR(__xludf.DUMMYFUNCTION("IMPORTRANGE(""https://docs.google.com/spreadsheets/d/16JDLGguT8s5DsGCND1KcwHP_AWR_zDMTqLHPLJUKhaU/edit?usp=sharing"",""พังงา!I388"")"),0)</f>
        <v>0</v>
      </c>
      <c r="AD81" s="93">
        <f ca="1">IFERROR(__xludf.DUMMYFUNCTION("IMPORTRANGE(""https://docs.google.com/spreadsheets/d/17ht0gPKzzT3PObBL1XJkeRmntBXI7wGjpLV7QorqlTk/edit?usp=sharing"",""พัทลุง!J374"")"),0)</f>
        <v>0</v>
      </c>
      <c r="AE81" s="93">
        <f ca="1">IFERROR(__xludf.DUMMYFUNCTION("IMPORTRANGE(""https://docs.google.com/spreadsheets/d/17ht0gPKzzT3PObBL1XJkeRmntBXI7wGjpLV7QorqlTk/edit?usp=sharing"",""พัทลุง!J374"")"),0)</f>
        <v>0</v>
      </c>
    </row>
    <row r="82" spans="1:31" ht="19.5" x14ac:dyDescent="0.3">
      <c r="A82" s="172">
        <v>8</v>
      </c>
      <c r="B82" s="173" t="s">
        <v>108</v>
      </c>
      <c r="C82" s="174">
        <f t="shared" si="23"/>
        <v>0</v>
      </c>
      <c r="D82" s="175">
        <f t="shared" si="56"/>
        <v>0</v>
      </c>
      <c r="E82" s="403">
        <v>0</v>
      </c>
      <c r="F82" s="403">
        <v>0</v>
      </c>
      <c r="G82" s="403">
        <v>0</v>
      </c>
      <c r="H82" s="403">
        <v>0</v>
      </c>
      <c r="I82" s="403">
        <v>0</v>
      </c>
      <c r="J82" s="176">
        <f t="shared" si="25"/>
        <v>0</v>
      </c>
      <c r="K82" s="179">
        <f t="shared" si="26"/>
        <v>0</v>
      </c>
      <c r="L82" s="403">
        <v>0</v>
      </c>
      <c r="M82" s="87">
        <f t="shared" si="27"/>
        <v>0</v>
      </c>
      <c r="N82" s="87">
        <f t="shared" si="28"/>
        <v>0</v>
      </c>
      <c r="O82" s="403">
        <v>0</v>
      </c>
      <c r="P82" s="86">
        <f t="shared" si="29"/>
        <v>0</v>
      </c>
      <c r="Q82" s="87">
        <f t="shared" si="30"/>
        <v>0</v>
      </c>
      <c r="R82" s="86">
        <f ca="1">IFERROR(__xludf.DUMMYFUNCTION("IMPORTRANGE(""https://docs.google.com/spreadsheets/d/17ht0gPKzzT3PObBL1XJkeRmntBXI7wGjpLV7QorqlTk/edit?usp=sharing"",""พัทลุง!Q375"")"),0)</f>
        <v>0</v>
      </c>
      <c r="S82" s="86">
        <f ca="1">IFERROR(__xludf.DUMMYFUNCTION("IMPORTRANGE(""https://docs.google.com/spreadsheets/d/17ht0gPKzzT3PObBL1XJkeRmntBXI7wGjpLV7QorqlTk/edit?usp=sharing"",""พัทลุง!R375"")"),0)</f>
        <v>0</v>
      </c>
      <c r="T82" s="86">
        <f ca="1">IFERROR(__xludf.DUMMYFUNCTION("IMPORTRANGE(""https://docs.google.com/spreadsheets/d/17ht0gPKzzT3PObBL1XJkeRmntBXI7wGjpLV7QorqlTk/edit?usp=sharing"",""พัทลุง!S375"")"),0)</f>
        <v>0</v>
      </c>
      <c r="U82" s="87">
        <f t="shared" ca="1" si="32"/>
        <v>0</v>
      </c>
      <c r="V82" s="87">
        <f t="shared" ca="1" si="33"/>
        <v>0</v>
      </c>
      <c r="W82" s="404">
        <f t="shared" ca="1" si="57"/>
        <v>0</v>
      </c>
      <c r="X82" s="404">
        <f ca="1">IFERROR(__xludf.DUMMYFUNCTION("IMPORTRANGE(""https://docs.google.com/spreadsheets/d/17ht0gPKzzT3PObBL1XJkeRmntBXI7wGjpLV7QorqlTk/edit?usp=sharing"",""พัทลุง!J374"")"),0)</f>
        <v>0</v>
      </c>
      <c r="Y82" s="405">
        <f t="shared" ca="1" si="13"/>
        <v>0</v>
      </c>
      <c r="Z82" s="404">
        <v>0</v>
      </c>
      <c r="AA82" s="93">
        <f ca="1">IFERROR(__xludf.DUMMYFUNCTION("IMPORTRANGE(""https://docs.google.com/spreadsheets/d/1rd4qoM1q_hsgaolqNGfrim9gbsoLxQsda4-vOz5x_BM/edit?usp=sharing"",""ภูเก็ต!J374"")"),0)</f>
        <v>0</v>
      </c>
      <c r="AB82" s="93">
        <f ca="1">IFERROR(__xludf.DUMMYFUNCTION("IMPORTRANGE(""https://docs.google.com/spreadsheets/d/1rd4qoM1q_hsgaolqNGfrim9gbsoLxQsda4-vOz5x_BM/edit?usp=sharing"",""ภูเก็ต!J374"")"),0)</f>
        <v>0</v>
      </c>
      <c r="AC82" s="294">
        <f ca="1">IFERROR(__xludf.DUMMYFUNCTION("IMPORTRANGE(""https://docs.google.com/spreadsheets/d/17ht0gPKzzT3PObBL1XJkeRmntBXI7wGjpLV7QorqlTk/edit?usp=sharing"",""พัทลุง!I388"")"),0)</f>
        <v>0</v>
      </c>
      <c r="AD82" s="93">
        <f ca="1">IFERROR(__xludf.DUMMYFUNCTION("IMPORTRANGE(""https://docs.google.com/spreadsheets/d/1rd4qoM1q_hsgaolqNGfrim9gbsoLxQsda4-vOz5x_BM/edit?usp=sharing"",""ภูเก็ต!J374"")"),0)</f>
        <v>0</v>
      </c>
      <c r="AE82" s="93">
        <f ca="1">IFERROR(__xludf.DUMMYFUNCTION("IMPORTRANGE(""https://docs.google.com/spreadsheets/d/1rd4qoM1q_hsgaolqNGfrim9gbsoLxQsda4-vOz5x_BM/edit?usp=sharing"",""ภูเก็ต!J374"")"),0)</f>
        <v>0</v>
      </c>
    </row>
    <row r="83" spans="1:31" ht="19.5" x14ac:dyDescent="0.3">
      <c r="A83" s="172">
        <v>9</v>
      </c>
      <c r="B83" s="173" t="s">
        <v>109</v>
      </c>
      <c r="C83" s="174">
        <f t="shared" si="23"/>
        <v>0</v>
      </c>
      <c r="D83" s="175">
        <f t="shared" si="56"/>
        <v>0</v>
      </c>
      <c r="E83" s="403">
        <v>0</v>
      </c>
      <c r="F83" s="403">
        <v>0</v>
      </c>
      <c r="G83" s="403">
        <v>0</v>
      </c>
      <c r="H83" s="403">
        <v>0</v>
      </c>
      <c r="I83" s="403">
        <v>0</v>
      </c>
      <c r="J83" s="176">
        <f t="shared" si="25"/>
        <v>0</v>
      </c>
      <c r="K83" s="179">
        <f t="shared" si="26"/>
        <v>0</v>
      </c>
      <c r="L83" s="403">
        <v>0</v>
      </c>
      <c r="M83" s="87">
        <f t="shared" si="27"/>
        <v>0</v>
      </c>
      <c r="N83" s="87">
        <f t="shared" si="28"/>
        <v>0</v>
      </c>
      <c r="O83" s="403">
        <v>0</v>
      </c>
      <c r="P83" s="86">
        <f t="shared" si="29"/>
        <v>0</v>
      </c>
      <c r="Q83" s="87">
        <f t="shared" si="30"/>
        <v>0</v>
      </c>
      <c r="R83" s="86">
        <f ca="1">IFERROR(__xludf.DUMMYFUNCTION("IMPORTRANGE(""https://docs.google.com/spreadsheets/d/1rd4qoM1q_hsgaolqNGfrim9gbsoLxQsda4-vOz5x_BM/edit?usp=sharing"",""ภูเก็ต!Q375"")"),12500)</f>
        <v>12500</v>
      </c>
      <c r="S83" s="86">
        <f ca="1">IFERROR(__xludf.DUMMYFUNCTION("IMPORTRANGE(""https://docs.google.com/spreadsheets/d/1rd4qoM1q_hsgaolqNGfrim9gbsoLxQsda4-vOz5x_BM/edit?usp=sharing"",""ภูเก็ต!R375"")"),0)</f>
        <v>0</v>
      </c>
      <c r="T83" s="86">
        <f ca="1">IFERROR(__xludf.DUMMYFUNCTION("IMPORTRANGE(""https://docs.google.com/spreadsheets/d/1rd4qoM1q_hsgaolqNGfrim9gbsoLxQsda4-vOz5x_BM/edit?usp=sharing"",""ภูเก็ต!S375"")"),0)</f>
        <v>0</v>
      </c>
      <c r="U83" s="87">
        <f t="shared" ca="1" si="32"/>
        <v>0</v>
      </c>
      <c r="V83" s="87">
        <f t="shared" ca="1" si="33"/>
        <v>0</v>
      </c>
      <c r="W83" s="404">
        <f t="shared" ca="1" si="57"/>
        <v>200</v>
      </c>
      <c r="X83" s="404">
        <f ca="1">IFERROR(__xludf.DUMMYFUNCTION("IMPORTRANGE(""https://docs.google.com/spreadsheets/d/1rd4qoM1q_hsgaolqNGfrim9gbsoLxQsda4-vOz5x_BM/edit?usp=sharing"",""ภูเก็ต!J374"")"),0)</f>
        <v>0</v>
      </c>
      <c r="Y83" s="405">
        <f t="shared" ca="1" si="13"/>
        <v>0</v>
      </c>
      <c r="Z83" s="404">
        <f ca="1">IFERROR(__xludf.DUMMYFUNCTION("IMPORTRANGE(""https://docs.google.com/spreadsheets/d/1rd4qoM1q_hsgaolqNGfrim9gbsoLxQsda4-vOz5x_BM/edit?usp=sharing"",""ภูเก็ต!I386"")"),200)</f>
        <v>200</v>
      </c>
      <c r="AA83" s="93">
        <f ca="1">IFERROR(__xludf.DUMMYFUNCTION("IMPORTRANGE(""https://docs.google.com/spreadsheets/d/1woKwKjgoLssDvPcPeVyezB5izizAn4X1JDrys69n6xI/edit?usp=sharing"",""ยะลา!J374"")"),0)</f>
        <v>0</v>
      </c>
      <c r="AB83" s="93">
        <f ca="1">IFERROR(__xludf.DUMMYFUNCTION("IMPORTRANGE(""https://docs.google.com/spreadsheets/d/1woKwKjgoLssDvPcPeVyezB5izizAn4X1JDrys69n6xI/edit?usp=sharing"",""ยะลา!J374"")"),0)</f>
        <v>0</v>
      </c>
      <c r="AC83" s="406">
        <f ca="1">IFERROR(__xludf.DUMMYFUNCTION("IMPORTRANGE(""https://docs.google.com/spreadsheets/d/1rd4qoM1q_hsgaolqNGfrim9gbsoLxQsda4-vOz5x_BM/edit?usp=sharing"",""ภูเก็ต!I388"")"),0)</f>
        <v>0</v>
      </c>
      <c r="AD83" s="93">
        <f ca="1">IFERROR(__xludf.DUMMYFUNCTION("IMPORTRANGE(""https://docs.google.com/spreadsheets/d/1woKwKjgoLssDvPcPeVyezB5izizAn4X1JDrys69n6xI/edit?usp=sharing"",""ยะลา!J374"")"),0)</f>
        <v>0</v>
      </c>
      <c r="AE83" s="93">
        <f ca="1">IFERROR(__xludf.DUMMYFUNCTION("IMPORTRANGE(""https://docs.google.com/spreadsheets/d/1woKwKjgoLssDvPcPeVyezB5izizAn4X1JDrys69n6xI/edit?usp=sharing"",""ยะลา!J374"")"),0)</f>
        <v>0</v>
      </c>
    </row>
    <row r="84" spans="1:31" ht="19.5" x14ac:dyDescent="0.3">
      <c r="A84" s="172">
        <v>10</v>
      </c>
      <c r="B84" s="173" t="s">
        <v>110</v>
      </c>
      <c r="C84" s="174">
        <f t="shared" si="23"/>
        <v>0</v>
      </c>
      <c r="D84" s="175">
        <f t="shared" si="56"/>
        <v>0</v>
      </c>
      <c r="E84" s="403">
        <v>0</v>
      </c>
      <c r="F84" s="403">
        <v>0</v>
      </c>
      <c r="G84" s="403">
        <v>0</v>
      </c>
      <c r="H84" s="403">
        <v>0</v>
      </c>
      <c r="I84" s="403">
        <v>0</v>
      </c>
      <c r="J84" s="176">
        <f t="shared" si="25"/>
        <v>0</v>
      </c>
      <c r="K84" s="179">
        <f t="shared" si="26"/>
        <v>0</v>
      </c>
      <c r="L84" s="403">
        <v>0</v>
      </c>
      <c r="M84" s="87">
        <f t="shared" si="27"/>
        <v>0</v>
      </c>
      <c r="N84" s="87">
        <f t="shared" si="28"/>
        <v>0</v>
      </c>
      <c r="O84" s="403">
        <v>0</v>
      </c>
      <c r="P84" s="86">
        <f t="shared" si="29"/>
        <v>0</v>
      </c>
      <c r="Q84" s="87">
        <f t="shared" si="30"/>
        <v>0</v>
      </c>
      <c r="R84" s="86">
        <f ca="1">IFERROR(__xludf.DUMMYFUNCTION("IMPORTRANGE(""https://docs.google.com/spreadsheets/d/1woKwKjgoLssDvPcPeVyezB5izizAn4X1JDrys69n6xI/edit?usp=sharing"",""ยะลา!Q375"")"),9375)</f>
        <v>9375</v>
      </c>
      <c r="S84" s="86">
        <f ca="1">IFERROR(__xludf.DUMMYFUNCTION("IMPORTRANGE(""https://docs.google.com/spreadsheets/d/1woKwKjgoLssDvPcPeVyezB5izizAn4X1JDrys69n6xI/edit?usp=sharing"",""ยะลา!R375"")"),0)</f>
        <v>0</v>
      </c>
      <c r="T84" s="86">
        <f ca="1">IFERROR(__xludf.DUMMYFUNCTION("IMPORTRANGE(""https://docs.google.com/spreadsheets/d/1woKwKjgoLssDvPcPeVyezB5izizAn4X1JDrys69n6xI/edit?usp=sharing"",""ยะลา!S375"")"),0)</f>
        <v>0</v>
      </c>
      <c r="U84" s="87">
        <f t="shared" ca="1" si="32"/>
        <v>0</v>
      </c>
      <c r="V84" s="87">
        <f t="shared" ca="1" si="33"/>
        <v>0</v>
      </c>
      <c r="W84" s="404">
        <f t="shared" ca="1" si="57"/>
        <v>150</v>
      </c>
      <c r="X84" s="404">
        <f ca="1">IFERROR(__xludf.DUMMYFUNCTION("IMPORTRANGE(""https://docs.google.com/spreadsheets/d/1woKwKjgoLssDvPcPeVyezB5izizAn4X1JDrys69n6xI/edit?usp=sharing"",""ยะลา!J374"")"),0)</f>
        <v>0</v>
      </c>
      <c r="Y84" s="405">
        <f t="shared" ca="1" si="13"/>
        <v>0</v>
      </c>
      <c r="Z84" s="404">
        <f ca="1">IFERROR(__xludf.DUMMYFUNCTION("IMPORTRANGE(""https://docs.google.com/spreadsheets/d/1woKwKjgoLssDvPcPeVyezB5izizAn4X1JDrys69n6xI/edit?usp=sharing"",""ยะลา!I386"")"),150)</f>
        <v>150</v>
      </c>
      <c r="AA84" s="93">
        <f ca="1">IFERROR(__xludf.DUMMYFUNCTION("IMPORTRANGE(""https://docs.google.com/spreadsheets/d/1qfrKjzMhm2HJfxQ-qVlJlJQ25Hne1d0khsySbZyGtPA/edit?usp=sharing"",""ระนอง!J374"")"),0)</f>
        <v>0</v>
      </c>
      <c r="AB84" s="93">
        <f ca="1">IFERROR(__xludf.DUMMYFUNCTION("IMPORTRANGE(""https://docs.google.com/spreadsheets/d/1qfrKjzMhm2HJfxQ-qVlJlJQ25Hne1d0khsySbZyGtPA/edit?usp=sharing"",""ระนอง!J374"")"),0)</f>
        <v>0</v>
      </c>
      <c r="AC84" s="406">
        <f ca="1">IFERROR(__xludf.DUMMYFUNCTION("IMPORTRANGE(""https://docs.google.com/spreadsheets/d/1woKwKjgoLssDvPcPeVyezB5izizAn4X1JDrys69n6xI/edit?usp=sharing"",""ยะลา!I388"")"),0)</f>
        <v>0</v>
      </c>
      <c r="AD84" s="93">
        <f ca="1">IFERROR(__xludf.DUMMYFUNCTION("IMPORTRANGE(""https://docs.google.com/spreadsheets/d/1qfrKjzMhm2HJfxQ-qVlJlJQ25Hne1d0khsySbZyGtPA/edit?usp=sharing"",""ระนอง!J374"")"),0)</f>
        <v>0</v>
      </c>
      <c r="AE84" s="93">
        <f ca="1">IFERROR(__xludf.DUMMYFUNCTION("IMPORTRANGE(""https://docs.google.com/spreadsheets/d/1qfrKjzMhm2HJfxQ-qVlJlJQ25Hne1d0khsySbZyGtPA/edit?usp=sharing"",""ระนอง!J374"")"),0)</f>
        <v>0</v>
      </c>
    </row>
    <row r="85" spans="1:31" ht="19.5" x14ac:dyDescent="0.3">
      <c r="A85" s="172">
        <v>11</v>
      </c>
      <c r="B85" s="173" t="s">
        <v>111</v>
      </c>
      <c r="C85" s="174">
        <f t="shared" si="23"/>
        <v>0</v>
      </c>
      <c r="D85" s="175">
        <f t="shared" si="56"/>
        <v>0</v>
      </c>
      <c r="E85" s="403">
        <v>0</v>
      </c>
      <c r="F85" s="403">
        <v>0</v>
      </c>
      <c r="G85" s="403">
        <v>0</v>
      </c>
      <c r="H85" s="403">
        <v>0</v>
      </c>
      <c r="I85" s="403">
        <v>0</v>
      </c>
      <c r="J85" s="176">
        <f t="shared" si="25"/>
        <v>0</v>
      </c>
      <c r="K85" s="179">
        <f t="shared" si="26"/>
        <v>0</v>
      </c>
      <c r="L85" s="403">
        <v>0</v>
      </c>
      <c r="M85" s="87">
        <f t="shared" si="27"/>
        <v>0</v>
      </c>
      <c r="N85" s="87">
        <f t="shared" si="28"/>
        <v>0</v>
      </c>
      <c r="O85" s="403">
        <v>0</v>
      </c>
      <c r="P85" s="86">
        <f t="shared" si="29"/>
        <v>0</v>
      </c>
      <c r="Q85" s="87">
        <f t="shared" si="30"/>
        <v>0</v>
      </c>
      <c r="R85" s="86">
        <f ca="1">IFERROR(__xludf.DUMMYFUNCTION("IMPORTRANGE(""https://docs.google.com/spreadsheets/d/1qfrKjzMhm2HJfxQ-qVlJlJQ25Hne1d0khsySbZyGtPA/edit?usp=sharing"",""ระนอง!Q375"")"),18750)</f>
        <v>18750</v>
      </c>
      <c r="S85" s="86">
        <f ca="1">IFERROR(__xludf.DUMMYFUNCTION("IMPORTRANGE(""https://docs.google.com/spreadsheets/d/1qfrKjzMhm2HJfxQ-qVlJlJQ25Hne1d0khsySbZyGtPA/edit?usp=sharing"",""ระนอง!R375"")"),0)</f>
        <v>0</v>
      </c>
      <c r="T85" s="86">
        <f ca="1">IFERROR(__xludf.DUMMYFUNCTION("IMPORTRANGE(""https://docs.google.com/spreadsheets/d/1qfrKjzMhm2HJfxQ-qVlJlJQ25Hne1d0khsySbZyGtPA/edit?usp=sharing"",""ระนอง!S375"")"),0)</f>
        <v>0</v>
      </c>
      <c r="U85" s="87">
        <f t="shared" ca="1" si="32"/>
        <v>0</v>
      </c>
      <c r="V85" s="87">
        <f t="shared" ca="1" si="33"/>
        <v>0</v>
      </c>
      <c r="W85" s="404">
        <f t="shared" ca="1" si="57"/>
        <v>300</v>
      </c>
      <c r="X85" s="404">
        <f ca="1">IFERROR(__xludf.DUMMYFUNCTION("IMPORTRANGE(""https://docs.google.com/spreadsheets/d/1qfrKjzMhm2HJfxQ-qVlJlJQ25Hne1d0khsySbZyGtPA/edit?usp=sharing"",""ระนอง!J374"")"),0)</f>
        <v>0</v>
      </c>
      <c r="Y85" s="405">
        <f t="shared" ca="1" si="13"/>
        <v>0</v>
      </c>
      <c r="Z85" s="404">
        <f ca="1">IFERROR(__xludf.DUMMYFUNCTION("IMPORTRANGE(""https://docs.google.com/spreadsheets/d/1qfrKjzMhm2HJfxQ-qVlJlJQ25Hne1d0khsySbZyGtPA/edit?usp=sharing"",""ระนอง!I386"")"),300)</f>
        <v>300</v>
      </c>
      <c r="AA85" s="93">
        <f ca="1">IFERROR(__xludf.DUMMYFUNCTION("IMPORTRANGE(""https://docs.google.com/spreadsheets/d/1IbSCnFOKpZsnFogBHJnL_isstZVaOMnFiIN0fGTPZZw/edit?usp=sharing"",""สงขลา!J374"")"),0)</f>
        <v>0</v>
      </c>
      <c r="AB85" s="93">
        <f ca="1">IFERROR(__xludf.DUMMYFUNCTION("IMPORTRANGE(""https://docs.google.com/spreadsheets/d/1IbSCnFOKpZsnFogBHJnL_isstZVaOMnFiIN0fGTPZZw/edit?usp=sharing"",""สงขลา!J374"")"),0)</f>
        <v>0</v>
      </c>
      <c r="AC85" s="406">
        <f ca="1">IFERROR(__xludf.DUMMYFUNCTION("IMPORTRANGE(""https://docs.google.com/spreadsheets/d/1qfrKjzMhm2HJfxQ-qVlJlJQ25Hne1d0khsySbZyGtPA/edit?usp=sharing"",""ระนอง!I388"")"),0)</f>
        <v>0</v>
      </c>
      <c r="AD85" s="93">
        <f ca="1">IFERROR(__xludf.DUMMYFUNCTION("IMPORTRANGE(""https://docs.google.com/spreadsheets/d/1IbSCnFOKpZsnFogBHJnL_isstZVaOMnFiIN0fGTPZZw/edit?usp=sharing"",""สงขลา!J374"")"),0)</f>
        <v>0</v>
      </c>
      <c r="AE85" s="93">
        <f ca="1">IFERROR(__xludf.DUMMYFUNCTION("IMPORTRANGE(""https://docs.google.com/spreadsheets/d/1IbSCnFOKpZsnFogBHJnL_isstZVaOMnFiIN0fGTPZZw/edit?usp=sharing"",""สงขลา!J374"")"),0)</f>
        <v>0</v>
      </c>
    </row>
    <row r="86" spans="1:31" ht="19.5" x14ac:dyDescent="0.3">
      <c r="A86" s="172">
        <v>12</v>
      </c>
      <c r="B86" s="173" t="s">
        <v>112</v>
      </c>
      <c r="C86" s="174">
        <f t="shared" si="23"/>
        <v>0</v>
      </c>
      <c r="D86" s="175">
        <f t="shared" si="56"/>
        <v>0</v>
      </c>
      <c r="E86" s="403">
        <v>0</v>
      </c>
      <c r="F86" s="403">
        <v>0</v>
      </c>
      <c r="G86" s="403">
        <v>0</v>
      </c>
      <c r="H86" s="403">
        <v>0</v>
      </c>
      <c r="I86" s="403">
        <v>0</v>
      </c>
      <c r="J86" s="176">
        <f t="shared" si="25"/>
        <v>0</v>
      </c>
      <c r="K86" s="179">
        <f t="shared" si="26"/>
        <v>0</v>
      </c>
      <c r="L86" s="403">
        <v>0</v>
      </c>
      <c r="M86" s="87">
        <f t="shared" si="27"/>
        <v>0</v>
      </c>
      <c r="N86" s="87">
        <f t="shared" si="28"/>
        <v>0</v>
      </c>
      <c r="O86" s="403">
        <v>0</v>
      </c>
      <c r="P86" s="86">
        <f t="shared" si="29"/>
        <v>0</v>
      </c>
      <c r="Q86" s="87">
        <f t="shared" si="30"/>
        <v>0</v>
      </c>
      <c r="R86" s="86">
        <f ca="1">IFERROR(__xludf.DUMMYFUNCTION("IMPORTRANGE(""https://docs.google.com/spreadsheets/d/1IbSCnFOKpZsnFogBHJnL_isstZVaOMnFiIN0fGTPZZw/edit?usp=sharing"",""สงขลา!Q375"")"),62500)</f>
        <v>62500</v>
      </c>
      <c r="S86" s="86">
        <f ca="1">IFERROR(__xludf.DUMMYFUNCTION("IMPORTRANGE(""https://docs.google.com/spreadsheets/d/1IbSCnFOKpZsnFogBHJnL_isstZVaOMnFiIN0fGTPZZw/edit?usp=sharing"",""สงขลา!R375"")"),0)</f>
        <v>0</v>
      </c>
      <c r="T86" s="86">
        <f ca="1">IFERROR(__xludf.DUMMYFUNCTION("IMPORTRANGE(""https://docs.google.com/spreadsheets/d/1IbSCnFOKpZsnFogBHJnL_isstZVaOMnFiIN0fGTPZZw/edit?usp=sharing"",""สงขลา!S375"")"),0)</f>
        <v>0</v>
      </c>
      <c r="U86" s="87">
        <f t="shared" ca="1" si="32"/>
        <v>0</v>
      </c>
      <c r="V86" s="87">
        <f t="shared" ca="1" si="33"/>
        <v>0</v>
      </c>
      <c r="W86" s="404">
        <f t="shared" ca="1" si="57"/>
        <v>1000</v>
      </c>
      <c r="X86" s="404">
        <f ca="1">IFERROR(__xludf.DUMMYFUNCTION("IMPORTRANGE(""https://docs.google.com/spreadsheets/d/1IbSCnFOKpZsnFogBHJnL_isstZVaOMnFiIN0fGTPZZw/edit?usp=sharing"",""สงขลา!J374"")"),0)</f>
        <v>0</v>
      </c>
      <c r="Y86" s="405">
        <f t="shared" ca="1" si="13"/>
        <v>0</v>
      </c>
      <c r="Z86" s="404">
        <f ca="1">IFERROR(__xludf.DUMMYFUNCTION("IMPORTRANGE(""https://docs.google.com/spreadsheets/d/1IbSCnFOKpZsnFogBHJnL_isstZVaOMnFiIN0fGTPZZw/edit?usp=sharing"",""สงขลา!I386"")"),1000)</f>
        <v>1000</v>
      </c>
      <c r="AA86" s="93">
        <f ca="1">IFERROR(__xludf.DUMMYFUNCTION("IMPORTRANGE(""https://docs.google.com/spreadsheets/d/1q9nWasZJ-K8bFGvbE9n0qSRuKGA4Toe3Y89cKCiVtCU/edit?usp=sharing"",""สตูล!J374"")"),0)</f>
        <v>0</v>
      </c>
      <c r="AB86" s="93">
        <f ca="1">IFERROR(__xludf.DUMMYFUNCTION("IMPORTRANGE(""https://docs.google.com/spreadsheets/d/1q9nWasZJ-K8bFGvbE9n0qSRuKGA4Toe3Y89cKCiVtCU/edit?usp=sharing"",""สตูล!J374"")"),0)</f>
        <v>0</v>
      </c>
      <c r="AC86" s="406">
        <f ca="1">IFERROR(__xludf.DUMMYFUNCTION("IMPORTRANGE(""https://docs.google.com/spreadsheets/d/1IbSCnFOKpZsnFogBHJnL_isstZVaOMnFiIN0fGTPZZw/edit?usp=sharing"",""สงขลา!I388"")"),0)</f>
        <v>0</v>
      </c>
      <c r="AD86" s="93">
        <f ca="1">IFERROR(__xludf.DUMMYFUNCTION("IMPORTRANGE(""https://docs.google.com/spreadsheets/d/1q9nWasZJ-K8bFGvbE9n0qSRuKGA4Toe3Y89cKCiVtCU/edit?usp=sharing"",""สตูล!J374"")"),0)</f>
        <v>0</v>
      </c>
      <c r="AE86" s="93">
        <f ca="1">IFERROR(__xludf.DUMMYFUNCTION("IMPORTRANGE(""https://docs.google.com/spreadsheets/d/1q9nWasZJ-K8bFGvbE9n0qSRuKGA4Toe3Y89cKCiVtCU/edit?usp=sharing"",""สตูล!J374"")"),0)</f>
        <v>0</v>
      </c>
    </row>
    <row r="87" spans="1:31" ht="19.5" x14ac:dyDescent="0.3">
      <c r="A87" s="172">
        <v>13</v>
      </c>
      <c r="B87" s="173" t="s">
        <v>113</v>
      </c>
      <c r="C87" s="174">
        <f t="shared" si="23"/>
        <v>0</v>
      </c>
      <c r="D87" s="175">
        <f t="shared" si="56"/>
        <v>0</v>
      </c>
      <c r="E87" s="403">
        <v>0</v>
      </c>
      <c r="F87" s="403">
        <v>0</v>
      </c>
      <c r="G87" s="403">
        <v>0</v>
      </c>
      <c r="H87" s="403">
        <v>0</v>
      </c>
      <c r="I87" s="403">
        <v>0</v>
      </c>
      <c r="J87" s="176">
        <f t="shared" si="25"/>
        <v>0</v>
      </c>
      <c r="K87" s="179">
        <f t="shared" si="26"/>
        <v>0</v>
      </c>
      <c r="L87" s="403">
        <v>0</v>
      </c>
      <c r="M87" s="87">
        <f t="shared" si="27"/>
        <v>0</v>
      </c>
      <c r="N87" s="87">
        <f t="shared" si="28"/>
        <v>0</v>
      </c>
      <c r="O87" s="403">
        <v>0</v>
      </c>
      <c r="P87" s="86">
        <f t="shared" si="29"/>
        <v>0</v>
      </c>
      <c r="Q87" s="87">
        <f t="shared" si="30"/>
        <v>0</v>
      </c>
      <c r="R87" s="86">
        <f ca="1">IFERROR(__xludf.DUMMYFUNCTION("IMPORTRANGE(""https://docs.google.com/spreadsheets/d/1q9nWasZJ-K8bFGvbE9n0qSRuKGA4Toe3Y89cKCiVtCU/edit?usp=sharing"",""สตูล!Q375"")"),9375)</f>
        <v>9375</v>
      </c>
      <c r="S87" s="86">
        <f ca="1">IFERROR(__xludf.DUMMYFUNCTION("IMPORTRANGE(""https://docs.google.com/spreadsheets/d/1q9nWasZJ-K8bFGvbE9n0qSRuKGA4Toe3Y89cKCiVtCU/edit?usp=sharing"",""สตูล!R375"")"),0)</f>
        <v>0</v>
      </c>
      <c r="T87" s="86">
        <f ca="1">IFERROR(__xludf.DUMMYFUNCTION("IMPORTRANGE(""https://docs.google.com/spreadsheets/d/1q9nWasZJ-K8bFGvbE9n0qSRuKGA4Toe3Y89cKCiVtCU/edit?usp=sharing"",""สตูล!S375"")"),0)</f>
        <v>0</v>
      </c>
      <c r="U87" s="87">
        <f t="shared" ca="1" si="32"/>
        <v>0</v>
      </c>
      <c r="V87" s="87">
        <f t="shared" ca="1" si="33"/>
        <v>0</v>
      </c>
      <c r="W87" s="404">
        <f t="shared" ca="1" si="57"/>
        <v>150</v>
      </c>
      <c r="X87" s="404">
        <f ca="1">IFERROR(__xludf.DUMMYFUNCTION("IMPORTRANGE(""https://docs.google.com/spreadsheets/d/1q9nWasZJ-K8bFGvbE9n0qSRuKGA4Toe3Y89cKCiVtCU/edit?usp=sharing"",""สตูล!J374"")"),0)</f>
        <v>0</v>
      </c>
      <c r="Y87" s="405">
        <f t="shared" ca="1" si="13"/>
        <v>0</v>
      </c>
      <c r="Z87" s="404">
        <f ca="1">IFERROR(__xludf.DUMMYFUNCTION("IMPORTRANGE(""https://docs.google.com/spreadsheets/d/1q9nWasZJ-K8bFGvbE9n0qSRuKGA4Toe3Y89cKCiVtCU/edit?usp=sharing"",""สตูล!I386"")"),150)</f>
        <v>150</v>
      </c>
      <c r="AA87" s="93">
        <f ca="1">IFERROR(__xludf.DUMMYFUNCTION("IMPORTRANGE(""https://docs.google.com/spreadsheets/d/18T20gbkS_WBjdscyTOV05cvq_JqvqQ17C81mpxf7Ncs/edit?usp=sharing"",""สุราษฎร์ธานี!J374"")"),0)</f>
        <v>0</v>
      </c>
      <c r="AB87" s="93">
        <f ca="1">IFERROR(__xludf.DUMMYFUNCTION("IMPORTRANGE(""https://docs.google.com/spreadsheets/d/18T20gbkS_WBjdscyTOV05cvq_JqvqQ17C81mpxf7Ncs/edit?usp=sharing"",""สุราษฎร์ธานี!J374"")"),0)</f>
        <v>0</v>
      </c>
      <c r="AC87" s="406">
        <f ca="1">IFERROR(__xludf.DUMMYFUNCTION("IMPORTRANGE(""https://docs.google.com/spreadsheets/d/1q9nWasZJ-K8bFGvbE9n0qSRuKGA4Toe3Y89cKCiVtCU/edit?usp=sharing"",""สตูล!I388"")"),0)</f>
        <v>0</v>
      </c>
      <c r="AD87" s="93">
        <f ca="1">IFERROR(__xludf.DUMMYFUNCTION("IMPORTRANGE(""https://docs.google.com/spreadsheets/d/18T20gbkS_WBjdscyTOV05cvq_JqvqQ17C81mpxf7Ncs/edit?usp=sharing"",""สุราษฎร์ธานี!J374"")"),0)</f>
        <v>0</v>
      </c>
      <c r="AE87" s="93">
        <f ca="1">IFERROR(__xludf.DUMMYFUNCTION("IMPORTRANGE(""https://docs.google.com/spreadsheets/d/18T20gbkS_WBjdscyTOV05cvq_JqvqQ17C81mpxf7Ncs/edit?usp=sharing"",""สุราษฎร์ธานี!J374"")"),0)</f>
        <v>0</v>
      </c>
    </row>
    <row r="88" spans="1:31" ht="19.5" x14ac:dyDescent="0.3">
      <c r="A88" s="180">
        <v>14</v>
      </c>
      <c r="B88" s="181" t="s">
        <v>114</v>
      </c>
      <c r="C88" s="182">
        <f t="shared" si="23"/>
        <v>0</v>
      </c>
      <c r="D88" s="183">
        <f t="shared" si="56"/>
        <v>0</v>
      </c>
      <c r="E88" s="409">
        <v>0</v>
      </c>
      <c r="F88" s="409">
        <v>0</v>
      </c>
      <c r="G88" s="409">
        <v>0</v>
      </c>
      <c r="H88" s="409">
        <v>0</v>
      </c>
      <c r="I88" s="409">
        <v>0</v>
      </c>
      <c r="J88" s="184">
        <f t="shared" si="25"/>
        <v>0</v>
      </c>
      <c r="K88" s="185">
        <f t="shared" si="26"/>
        <v>0</v>
      </c>
      <c r="L88" s="409">
        <v>0</v>
      </c>
      <c r="M88" s="109">
        <f t="shared" si="27"/>
        <v>0</v>
      </c>
      <c r="N88" s="109">
        <f t="shared" si="28"/>
        <v>0</v>
      </c>
      <c r="O88" s="409">
        <v>0</v>
      </c>
      <c r="P88" s="108">
        <f t="shared" si="29"/>
        <v>0</v>
      </c>
      <c r="Q88" s="109">
        <f t="shared" si="30"/>
        <v>0</v>
      </c>
      <c r="R88" s="108">
        <f ca="1">IFERROR(__xludf.DUMMYFUNCTION("IMPORTRANGE(""https://docs.google.com/spreadsheets/d/18T20gbkS_WBjdscyTOV05cvq_JqvqQ17C81mpxf7Ncs/edit?usp=sharing"",""สุราษฎร์ธานี!Q375"")"),62500)</f>
        <v>62500</v>
      </c>
      <c r="S88" s="108">
        <f ca="1">IFERROR(__xludf.DUMMYFUNCTION("IMPORTRANGE(""https://docs.google.com/spreadsheets/d/18T20gbkS_WBjdscyTOV05cvq_JqvqQ17C81mpxf7Ncs/edit?usp=sharing"",""สุราษฎร์ธานี!R375"")"),0)</f>
        <v>0</v>
      </c>
      <c r="T88" s="108">
        <f ca="1">IFERROR(__xludf.DUMMYFUNCTION("IMPORTRANGE(""https://docs.google.com/spreadsheets/d/18T20gbkS_WBjdscyTOV05cvq_JqvqQ17C81mpxf7Ncs/edit?usp=sharing"",""สุราษฎร์ธานี!S375"")"),0)</f>
        <v>0</v>
      </c>
      <c r="U88" s="109">
        <f t="shared" ca="1" si="32"/>
        <v>0</v>
      </c>
      <c r="V88" s="109">
        <f t="shared" ca="1" si="33"/>
        <v>0</v>
      </c>
      <c r="W88" s="410">
        <f t="shared" ca="1" si="57"/>
        <v>1000</v>
      </c>
      <c r="X88" s="410">
        <f ca="1">IFERROR(__xludf.DUMMYFUNCTION("IMPORTRANGE(""https://docs.google.com/spreadsheets/d/18T20gbkS_WBjdscyTOV05cvq_JqvqQ17C81mpxf7Ncs/edit?usp=sharing"",""สุราษฎร์ธานี!J374"")"),0)</f>
        <v>0</v>
      </c>
      <c r="Y88" s="411">
        <f t="shared" ca="1" si="13"/>
        <v>0</v>
      </c>
      <c r="Z88" s="410">
        <f ca="1">IFERROR(__xludf.DUMMYFUNCTION("IMPORTRANGE(""https://docs.google.com/spreadsheets/d/18T20gbkS_WBjdscyTOV05cvq_JqvqQ17C81mpxf7Ncs/edit?usp=sharing"",""สุราษฎร์ธานี!I386"")"),1000)</f>
        <v>1000</v>
      </c>
      <c r="AA88" s="104">
        <f ca="1">IFERROR(__xludf.DUMMYFUNCTION("IMPORTRANGE(""https://docs.google.com/spreadsheets/d/18T20gbkS_WBjdscyTOV05cvq_JqvqQ17C81mpxf7Ncs/edit?usp=sharing"",""สุราษฎร์ธานี!I127"")"),50)</f>
        <v>50</v>
      </c>
      <c r="AB88" s="104">
        <f ca="1">IFERROR(__xludf.DUMMYFUNCTION("IMPORTRANGE(""https://docs.google.com/spreadsheets/d/18T20gbkS_WBjdscyTOV05cvq_JqvqQ17C81mpxf7Ncs/edit?usp=sharing"",""สุราษฎร์ธานี!J127"")"),0)</f>
        <v>0</v>
      </c>
      <c r="AC88" s="412">
        <f ca="1">IFERROR(__xludf.DUMMYFUNCTION("IMPORTRANGE(""https://docs.google.com/spreadsheets/d/18T20gbkS_WBjdscyTOV05cvq_JqvqQ17C81mpxf7Ncs/edit?usp=sharing"",""สุราษฎร์ธานี!I388"")"),0)</f>
        <v>0</v>
      </c>
      <c r="AD88" s="104">
        <f ca="1">IFERROR(__xludf.DUMMYFUNCTION("IMPORTRANGE(""https://docs.google.com/spreadsheets/d/18T20gbkS_WBjdscyTOV05cvq_JqvqQ17C81mpxf7Ncs/edit?usp=sharing"",""สุราษฎร์ธานี!I129"")"),20)</f>
        <v>20</v>
      </c>
      <c r="AE88" s="104">
        <f ca="1">IFERROR(__xludf.DUMMYFUNCTION("IMPORTRANGE(""https://docs.google.com/spreadsheets/d/18T20gbkS_WBjdscyTOV05cvq_JqvqQ17C81mpxf7Ncs/edit?usp=sharing"",""สุราษฎร์ธานี!J129"")"),0)</f>
        <v>0</v>
      </c>
    </row>
    <row r="89" spans="1:31" ht="19.5" hidden="1" x14ac:dyDescent="0.3">
      <c r="A89" s="632" t="s">
        <v>115</v>
      </c>
      <c r="B89" s="633"/>
      <c r="C89" s="46">
        <f t="shared" ref="C89:T89" si="58">SUM(C90:C106)</f>
        <v>0</v>
      </c>
      <c r="D89" s="45">
        <f t="shared" si="58"/>
        <v>0</v>
      </c>
      <c r="E89" s="45">
        <f t="shared" si="58"/>
        <v>0</v>
      </c>
      <c r="F89" s="45">
        <f t="shared" si="58"/>
        <v>0</v>
      </c>
      <c r="G89" s="45">
        <f t="shared" si="58"/>
        <v>0</v>
      </c>
      <c r="H89" s="45">
        <f t="shared" si="58"/>
        <v>0</v>
      </c>
      <c r="I89" s="45">
        <f t="shared" si="58"/>
        <v>0</v>
      </c>
      <c r="J89" s="45">
        <f t="shared" si="58"/>
        <v>0</v>
      </c>
      <c r="K89" s="47">
        <f t="shared" si="58"/>
        <v>0</v>
      </c>
      <c r="L89" s="45">
        <f t="shared" si="58"/>
        <v>0</v>
      </c>
      <c r="M89" s="47">
        <f t="shared" si="58"/>
        <v>0</v>
      </c>
      <c r="N89" s="47">
        <f t="shared" si="58"/>
        <v>0</v>
      </c>
      <c r="O89" s="45">
        <f t="shared" si="58"/>
        <v>0</v>
      </c>
      <c r="P89" s="45">
        <f t="shared" si="58"/>
        <v>0</v>
      </c>
      <c r="Q89" s="45">
        <f t="shared" si="58"/>
        <v>0</v>
      </c>
      <c r="R89" s="45">
        <f t="shared" si="58"/>
        <v>0</v>
      </c>
      <c r="S89" s="45">
        <f t="shared" si="58"/>
        <v>0</v>
      </c>
      <c r="T89" s="45">
        <f t="shared" si="58"/>
        <v>0</v>
      </c>
      <c r="U89" s="45">
        <f t="shared" si="32"/>
        <v>0</v>
      </c>
      <c r="V89" s="45">
        <f t="shared" si="33"/>
        <v>0</v>
      </c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 ht="19.5" hidden="1" x14ac:dyDescent="0.3">
      <c r="A90" s="197"/>
      <c r="B90" s="125" t="s">
        <v>116</v>
      </c>
      <c r="C90" s="198">
        <f t="shared" ref="C90:C106" si="59">D90+G90</f>
        <v>0</v>
      </c>
      <c r="D90" s="199">
        <f t="shared" ref="D90:D106" si="60">+E90+F90</f>
        <v>0</v>
      </c>
      <c r="E90" s="215">
        <v>0</v>
      </c>
      <c r="F90" s="215">
        <v>0</v>
      </c>
      <c r="G90" s="215">
        <v>0</v>
      </c>
      <c r="H90" s="215">
        <v>0</v>
      </c>
      <c r="I90" s="215">
        <v>0</v>
      </c>
      <c r="J90" s="81">
        <f t="shared" ref="J90:J106" si="61">L90+O90</f>
        <v>0</v>
      </c>
      <c r="K90" s="126">
        <f t="shared" ref="K90:K106" si="62">IF(C90&gt;0,J90*100/C90,0)</f>
        <v>0</v>
      </c>
      <c r="L90" s="215">
        <v>0</v>
      </c>
      <c r="M90" s="84">
        <f t="shared" ref="M90:M106" si="63">IF(D90&gt;0,L90*100/D90,0)</f>
        <v>0</v>
      </c>
      <c r="N90" s="84">
        <f t="shared" ref="N90:N106" si="64">IF(H90&gt;0,L90*100/H90,0)</f>
        <v>0</v>
      </c>
      <c r="O90" s="418">
        <v>0</v>
      </c>
      <c r="P90" s="85">
        <f t="shared" ref="P90:P106" si="65">IF(G90&gt;0,O90*100/G90,0)</f>
        <v>0</v>
      </c>
      <c r="Q90" s="84">
        <f t="shared" ref="Q90:Q106" si="66">IF(I90&gt;0,O90*100/I90,0)</f>
        <v>0</v>
      </c>
      <c r="R90" s="127">
        <v>0</v>
      </c>
      <c r="S90" s="127">
        <v>0</v>
      </c>
      <c r="T90" s="127">
        <v>0</v>
      </c>
      <c r="U90" s="84">
        <f t="shared" si="32"/>
        <v>0</v>
      </c>
      <c r="V90" s="84">
        <f t="shared" si="33"/>
        <v>0</v>
      </c>
      <c r="W90" s="81"/>
      <c r="X90" s="81"/>
      <c r="Y90" s="81"/>
      <c r="Z90" s="81"/>
      <c r="AA90" s="81"/>
      <c r="AB90" s="81"/>
      <c r="AC90" s="81"/>
      <c r="AD90" s="81"/>
      <c r="AE90" s="81"/>
    </row>
    <row r="91" spans="1:31" ht="19.5" hidden="1" x14ac:dyDescent="0.3">
      <c r="A91" s="201"/>
      <c r="B91" s="129" t="s">
        <v>117</v>
      </c>
      <c r="C91" s="202">
        <f t="shared" si="59"/>
        <v>0</v>
      </c>
      <c r="D91" s="203">
        <f t="shared" si="60"/>
        <v>0</v>
      </c>
      <c r="E91" s="216">
        <v>0</v>
      </c>
      <c r="F91" s="216">
        <v>0</v>
      </c>
      <c r="G91" s="216">
        <v>0</v>
      </c>
      <c r="H91" s="216">
        <v>0</v>
      </c>
      <c r="I91" s="216">
        <v>0</v>
      </c>
      <c r="J91" s="93">
        <f t="shared" si="61"/>
        <v>0</v>
      </c>
      <c r="K91" s="94">
        <f t="shared" si="62"/>
        <v>0</v>
      </c>
      <c r="L91" s="216">
        <v>0</v>
      </c>
      <c r="M91" s="95">
        <f t="shared" si="63"/>
        <v>0</v>
      </c>
      <c r="N91" s="95">
        <f t="shared" si="64"/>
        <v>0</v>
      </c>
      <c r="O91" s="419">
        <v>0</v>
      </c>
      <c r="P91" s="96">
        <f t="shared" si="65"/>
        <v>0</v>
      </c>
      <c r="Q91" s="95">
        <f t="shared" si="66"/>
        <v>0</v>
      </c>
      <c r="R91" s="130">
        <v>0</v>
      </c>
      <c r="S91" s="130">
        <v>0</v>
      </c>
      <c r="T91" s="130">
        <v>0</v>
      </c>
      <c r="U91" s="95">
        <f t="shared" si="32"/>
        <v>0</v>
      </c>
      <c r="V91" s="95">
        <f t="shared" si="33"/>
        <v>0</v>
      </c>
      <c r="W91" s="93"/>
      <c r="X91" s="93"/>
      <c r="Y91" s="93"/>
      <c r="Z91" s="93"/>
      <c r="AA91" s="93"/>
      <c r="AB91" s="93"/>
      <c r="AC91" s="93"/>
      <c r="AD91" s="93"/>
      <c r="AE91" s="93"/>
    </row>
    <row r="92" spans="1:31" ht="19.5" hidden="1" x14ac:dyDescent="0.3">
      <c r="A92" s="201"/>
      <c r="B92" s="129" t="s">
        <v>118</v>
      </c>
      <c r="C92" s="202">
        <f t="shared" si="59"/>
        <v>0</v>
      </c>
      <c r="D92" s="203">
        <f t="shared" si="60"/>
        <v>0</v>
      </c>
      <c r="E92" s="216">
        <v>0</v>
      </c>
      <c r="F92" s="216">
        <v>0</v>
      </c>
      <c r="G92" s="216">
        <v>0</v>
      </c>
      <c r="H92" s="216">
        <v>0</v>
      </c>
      <c r="I92" s="216">
        <v>0</v>
      </c>
      <c r="J92" s="93">
        <f t="shared" si="61"/>
        <v>0</v>
      </c>
      <c r="K92" s="94">
        <f t="shared" si="62"/>
        <v>0</v>
      </c>
      <c r="L92" s="216">
        <v>0</v>
      </c>
      <c r="M92" s="95">
        <f t="shared" si="63"/>
        <v>0</v>
      </c>
      <c r="N92" s="95">
        <f t="shared" si="64"/>
        <v>0</v>
      </c>
      <c r="O92" s="419">
        <v>0</v>
      </c>
      <c r="P92" s="96">
        <f t="shared" si="65"/>
        <v>0</v>
      </c>
      <c r="Q92" s="95">
        <f t="shared" si="66"/>
        <v>0</v>
      </c>
      <c r="R92" s="130">
        <v>0</v>
      </c>
      <c r="S92" s="130">
        <v>0</v>
      </c>
      <c r="T92" s="130">
        <v>0</v>
      </c>
      <c r="U92" s="95">
        <f t="shared" si="32"/>
        <v>0</v>
      </c>
      <c r="V92" s="95">
        <f t="shared" si="33"/>
        <v>0</v>
      </c>
      <c r="W92" s="93"/>
      <c r="X92" s="93"/>
      <c r="Y92" s="93"/>
      <c r="Z92" s="93"/>
      <c r="AA92" s="93"/>
      <c r="AB92" s="93"/>
      <c r="AC92" s="93"/>
      <c r="AD92" s="93"/>
      <c r="AE92" s="93"/>
    </row>
    <row r="93" spans="1:31" ht="19.5" hidden="1" x14ac:dyDescent="0.3">
      <c r="A93" s="201"/>
      <c r="B93" s="129" t="s">
        <v>119</v>
      </c>
      <c r="C93" s="202">
        <f t="shared" si="59"/>
        <v>0</v>
      </c>
      <c r="D93" s="203">
        <f t="shared" si="60"/>
        <v>0</v>
      </c>
      <c r="E93" s="216">
        <v>0</v>
      </c>
      <c r="F93" s="216">
        <v>0</v>
      </c>
      <c r="G93" s="216">
        <v>0</v>
      </c>
      <c r="H93" s="216">
        <v>0</v>
      </c>
      <c r="I93" s="216">
        <v>0</v>
      </c>
      <c r="J93" s="93">
        <f t="shared" si="61"/>
        <v>0</v>
      </c>
      <c r="K93" s="94">
        <f t="shared" si="62"/>
        <v>0</v>
      </c>
      <c r="L93" s="216">
        <v>0</v>
      </c>
      <c r="M93" s="95">
        <f t="shared" si="63"/>
        <v>0</v>
      </c>
      <c r="N93" s="95">
        <f t="shared" si="64"/>
        <v>0</v>
      </c>
      <c r="O93" s="419">
        <v>0</v>
      </c>
      <c r="P93" s="96">
        <f t="shared" si="65"/>
        <v>0</v>
      </c>
      <c r="Q93" s="95">
        <f t="shared" si="66"/>
        <v>0</v>
      </c>
      <c r="R93" s="130">
        <v>0</v>
      </c>
      <c r="S93" s="130">
        <v>0</v>
      </c>
      <c r="T93" s="130">
        <v>0</v>
      </c>
      <c r="U93" s="95">
        <f t="shared" si="32"/>
        <v>0</v>
      </c>
      <c r="V93" s="95">
        <f t="shared" si="33"/>
        <v>0</v>
      </c>
      <c r="W93" s="93"/>
      <c r="X93" s="93"/>
      <c r="Y93" s="93"/>
      <c r="Z93" s="93"/>
      <c r="AA93" s="93"/>
      <c r="AB93" s="93"/>
      <c r="AC93" s="93"/>
      <c r="AD93" s="93"/>
      <c r="AE93" s="93"/>
    </row>
    <row r="94" spans="1:31" ht="19.5" hidden="1" x14ac:dyDescent="0.3">
      <c r="A94" s="201"/>
      <c r="B94" s="129" t="s">
        <v>120</v>
      </c>
      <c r="C94" s="202">
        <f t="shared" si="59"/>
        <v>0</v>
      </c>
      <c r="D94" s="203">
        <f t="shared" si="60"/>
        <v>0</v>
      </c>
      <c r="E94" s="216">
        <v>0</v>
      </c>
      <c r="F94" s="216">
        <v>0</v>
      </c>
      <c r="G94" s="216">
        <v>0</v>
      </c>
      <c r="H94" s="216">
        <v>0</v>
      </c>
      <c r="I94" s="216">
        <v>0</v>
      </c>
      <c r="J94" s="93">
        <f t="shared" si="61"/>
        <v>0</v>
      </c>
      <c r="K94" s="94">
        <f t="shared" si="62"/>
        <v>0</v>
      </c>
      <c r="L94" s="216">
        <v>0</v>
      </c>
      <c r="M94" s="95">
        <f t="shared" si="63"/>
        <v>0</v>
      </c>
      <c r="N94" s="95">
        <f t="shared" si="64"/>
        <v>0</v>
      </c>
      <c r="O94" s="419">
        <v>0</v>
      </c>
      <c r="P94" s="96">
        <f t="shared" si="65"/>
        <v>0</v>
      </c>
      <c r="Q94" s="95">
        <f t="shared" si="66"/>
        <v>0</v>
      </c>
      <c r="R94" s="130">
        <v>0</v>
      </c>
      <c r="S94" s="130">
        <v>0</v>
      </c>
      <c r="T94" s="130">
        <v>0</v>
      </c>
      <c r="U94" s="95">
        <f t="shared" si="32"/>
        <v>0</v>
      </c>
      <c r="V94" s="95">
        <f t="shared" si="33"/>
        <v>0</v>
      </c>
      <c r="W94" s="93"/>
      <c r="X94" s="93"/>
      <c r="Y94" s="93"/>
      <c r="Z94" s="93"/>
      <c r="AA94" s="93"/>
      <c r="AB94" s="93"/>
      <c r="AC94" s="93"/>
      <c r="AD94" s="93"/>
      <c r="AE94" s="93"/>
    </row>
    <row r="95" spans="1:31" ht="19.5" hidden="1" x14ac:dyDescent="0.3">
      <c r="A95" s="201"/>
      <c r="B95" s="129" t="s">
        <v>121</v>
      </c>
      <c r="C95" s="202">
        <f t="shared" si="59"/>
        <v>0</v>
      </c>
      <c r="D95" s="203">
        <f t="shared" si="60"/>
        <v>0</v>
      </c>
      <c r="E95" s="216">
        <v>0</v>
      </c>
      <c r="F95" s="216">
        <v>0</v>
      </c>
      <c r="G95" s="216">
        <v>0</v>
      </c>
      <c r="H95" s="216">
        <v>0</v>
      </c>
      <c r="I95" s="216">
        <v>0</v>
      </c>
      <c r="J95" s="93">
        <f t="shared" si="61"/>
        <v>0</v>
      </c>
      <c r="K95" s="94">
        <f t="shared" si="62"/>
        <v>0</v>
      </c>
      <c r="L95" s="216">
        <v>0</v>
      </c>
      <c r="M95" s="95">
        <f t="shared" si="63"/>
        <v>0</v>
      </c>
      <c r="N95" s="95">
        <f t="shared" si="64"/>
        <v>0</v>
      </c>
      <c r="O95" s="419">
        <v>0</v>
      </c>
      <c r="P95" s="96">
        <f t="shared" si="65"/>
        <v>0</v>
      </c>
      <c r="Q95" s="95">
        <f t="shared" si="66"/>
        <v>0</v>
      </c>
      <c r="R95" s="130">
        <v>0</v>
      </c>
      <c r="S95" s="130">
        <v>0</v>
      </c>
      <c r="T95" s="130">
        <v>0</v>
      </c>
      <c r="U95" s="95">
        <f t="shared" si="32"/>
        <v>0</v>
      </c>
      <c r="V95" s="95">
        <f t="shared" si="33"/>
        <v>0</v>
      </c>
      <c r="W95" s="93"/>
      <c r="X95" s="93"/>
      <c r="Y95" s="93"/>
      <c r="Z95" s="93"/>
      <c r="AA95" s="93"/>
      <c r="AB95" s="93"/>
      <c r="AC95" s="93"/>
      <c r="AD95" s="93"/>
      <c r="AE95" s="93"/>
    </row>
    <row r="96" spans="1:31" ht="19.5" hidden="1" x14ac:dyDescent="0.3">
      <c r="A96" s="201"/>
      <c r="B96" s="129" t="s">
        <v>122</v>
      </c>
      <c r="C96" s="202">
        <f t="shared" si="59"/>
        <v>0</v>
      </c>
      <c r="D96" s="203">
        <f t="shared" si="60"/>
        <v>0</v>
      </c>
      <c r="E96" s="216">
        <v>0</v>
      </c>
      <c r="F96" s="216">
        <v>0</v>
      </c>
      <c r="G96" s="216">
        <v>0</v>
      </c>
      <c r="H96" s="216">
        <v>0</v>
      </c>
      <c r="I96" s="216">
        <v>0</v>
      </c>
      <c r="J96" s="93">
        <f t="shared" si="61"/>
        <v>0</v>
      </c>
      <c r="K96" s="94">
        <f t="shared" si="62"/>
        <v>0</v>
      </c>
      <c r="L96" s="216">
        <v>0</v>
      </c>
      <c r="M96" s="95">
        <f t="shared" si="63"/>
        <v>0</v>
      </c>
      <c r="N96" s="95">
        <f t="shared" si="64"/>
        <v>0</v>
      </c>
      <c r="O96" s="419">
        <v>0</v>
      </c>
      <c r="P96" s="96">
        <f t="shared" si="65"/>
        <v>0</v>
      </c>
      <c r="Q96" s="95">
        <f t="shared" si="66"/>
        <v>0</v>
      </c>
      <c r="R96" s="130">
        <v>0</v>
      </c>
      <c r="S96" s="130">
        <v>0</v>
      </c>
      <c r="T96" s="130">
        <v>0</v>
      </c>
      <c r="U96" s="95">
        <f t="shared" si="32"/>
        <v>0</v>
      </c>
      <c r="V96" s="95">
        <f t="shared" si="33"/>
        <v>0</v>
      </c>
      <c r="W96" s="93"/>
      <c r="X96" s="93"/>
      <c r="Y96" s="93"/>
      <c r="Z96" s="93"/>
      <c r="AA96" s="93"/>
      <c r="AB96" s="93"/>
      <c r="AC96" s="93"/>
      <c r="AD96" s="93"/>
      <c r="AE96" s="93"/>
    </row>
    <row r="97" spans="1:31" ht="19.5" hidden="1" x14ac:dyDescent="0.3">
      <c r="A97" s="201"/>
      <c r="B97" s="129" t="s">
        <v>123</v>
      </c>
      <c r="C97" s="202">
        <f t="shared" si="59"/>
        <v>0</v>
      </c>
      <c r="D97" s="203">
        <f t="shared" si="60"/>
        <v>0</v>
      </c>
      <c r="E97" s="216">
        <v>0</v>
      </c>
      <c r="F97" s="216">
        <v>0</v>
      </c>
      <c r="G97" s="216">
        <v>0</v>
      </c>
      <c r="H97" s="216">
        <v>0</v>
      </c>
      <c r="I97" s="216">
        <v>0</v>
      </c>
      <c r="J97" s="93">
        <f t="shared" si="61"/>
        <v>0</v>
      </c>
      <c r="K97" s="94">
        <f t="shared" si="62"/>
        <v>0</v>
      </c>
      <c r="L97" s="216">
        <v>0</v>
      </c>
      <c r="M97" s="95">
        <f t="shared" si="63"/>
        <v>0</v>
      </c>
      <c r="N97" s="95">
        <f t="shared" si="64"/>
        <v>0</v>
      </c>
      <c r="O97" s="419">
        <v>0</v>
      </c>
      <c r="P97" s="96">
        <f t="shared" si="65"/>
        <v>0</v>
      </c>
      <c r="Q97" s="95">
        <f t="shared" si="66"/>
        <v>0</v>
      </c>
      <c r="R97" s="130">
        <v>0</v>
      </c>
      <c r="S97" s="130">
        <v>0</v>
      </c>
      <c r="T97" s="130">
        <v>0</v>
      </c>
      <c r="U97" s="95">
        <f t="shared" si="32"/>
        <v>0</v>
      </c>
      <c r="V97" s="95">
        <f t="shared" si="33"/>
        <v>0</v>
      </c>
      <c r="W97" s="93"/>
      <c r="X97" s="93"/>
      <c r="Y97" s="93"/>
      <c r="Z97" s="93"/>
      <c r="AA97" s="93"/>
      <c r="AB97" s="93"/>
      <c r="AC97" s="93"/>
      <c r="AD97" s="93"/>
      <c r="AE97" s="93"/>
    </row>
    <row r="98" spans="1:31" ht="19.5" hidden="1" x14ac:dyDescent="0.3">
      <c r="A98" s="201"/>
      <c r="B98" s="129" t="s">
        <v>124</v>
      </c>
      <c r="C98" s="202">
        <f t="shared" si="59"/>
        <v>0</v>
      </c>
      <c r="D98" s="203">
        <f t="shared" si="60"/>
        <v>0</v>
      </c>
      <c r="E98" s="216">
        <v>0</v>
      </c>
      <c r="F98" s="216">
        <v>0</v>
      </c>
      <c r="G98" s="216">
        <v>0</v>
      </c>
      <c r="H98" s="216">
        <v>0</v>
      </c>
      <c r="I98" s="216">
        <v>0</v>
      </c>
      <c r="J98" s="93">
        <f t="shared" si="61"/>
        <v>0</v>
      </c>
      <c r="K98" s="94">
        <f t="shared" si="62"/>
        <v>0</v>
      </c>
      <c r="L98" s="216">
        <v>0</v>
      </c>
      <c r="M98" s="95">
        <f t="shared" si="63"/>
        <v>0</v>
      </c>
      <c r="N98" s="95">
        <f t="shared" si="64"/>
        <v>0</v>
      </c>
      <c r="O98" s="419">
        <v>0</v>
      </c>
      <c r="P98" s="96">
        <f t="shared" si="65"/>
        <v>0</v>
      </c>
      <c r="Q98" s="95">
        <f t="shared" si="66"/>
        <v>0</v>
      </c>
      <c r="R98" s="130">
        <v>0</v>
      </c>
      <c r="S98" s="130">
        <v>0</v>
      </c>
      <c r="T98" s="130">
        <v>0</v>
      </c>
      <c r="U98" s="95">
        <f t="shared" si="32"/>
        <v>0</v>
      </c>
      <c r="V98" s="95">
        <f t="shared" si="33"/>
        <v>0</v>
      </c>
      <c r="W98" s="93"/>
      <c r="X98" s="93"/>
      <c r="Y98" s="93"/>
      <c r="Z98" s="93"/>
      <c r="AA98" s="93"/>
      <c r="AB98" s="93"/>
      <c r="AC98" s="93"/>
      <c r="AD98" s="93"/>
      <c r="AE98" s="93"/>
    </row>
    <row r="99" spans="1:31" ht="19.5" hidden="1" x14ac:dyDescent="0.3">
      <c r="A99" s="201"/>
      <c r="B99" s="129" t="s">
        <v>125</v>
      </c>
      <c r="C99" s="202">
        <f t="shared" si="59"/>
        <v>0</v>
      </c>
      <c r="D99" s="203">
        <f t="shared" si="60"/>
        <v>0</v>
      </c>
      <c r="E99" s="216">
        <v>0</v>
      </c>
      <c r="F99" s="216">
        <v>0</v>
      </c>
      <c r="G99" s="216">
        <v>0</v>
      </c>
      <c r="H99" s="216">
        <v>0</v>
      </c>
      <c r="I99" s="216">
        <v>0</v>
      </c>
      <c r="J99" s="93">
        <f t="shared" si="61"/>
        <v>0</v>
      </c>
      <c r="K99" s="94">
        <f t="shared" si="62"/>
        <v>0</v>
      </c>
      <c r="L99" s="216">
        <v>0</v>
      </c>
      <c r="M99" s="95">
        <f t="shared" si="63"/>
        <v>0</v>
      </c>
      <c r="N99" s="95">
        <f t="shared" si="64"/>
        <v>0</v>
      </c>
      <c r="O99" s="419">
        <v>0</v>
      </c>
      <c r="P99" s="96">
        <f t="shared" si="65"/>
        <v>0</v>
      </c>
      <c r="Q99" s="95">
        <f t="shared" si="66"/>
        <v>0</v>
      </c>
      <c r="R99" s="130">
        <v>0</v>
      </c>
      <c r="S99" s="130">
        <v>0</v>
      </c>
      <c r="T99" s="130">
        <v>0</v>
      </c>
      <c r="U99" s="95">
        <f t="shared" si="32"/>
        <v>0</v>
      </c>
      <c r="V99" s="95">
        <f t="shared" si="33"/>
        <v>0</v>
      </c>
      <c r="W99" s="93"/>
      <c r="X99" s="93"/>
      <c r="Y99" s="93"/>
      <c r="Z99" s="93"/>
      <c r="AA99" s="93"/>
      <c r="AB99" s="93"/>
      <c r="AC99" s="93"/>
      <c r="AD99" s="93"/>
      <c r="AE99" s="93"/>
    </row>
    <row r="100" spans="1:31" ht="19.5" hidden="1" x14ac:dyDescent="0.3">
      <c r="A100" s="201"/>
      <c r="B100" s="129" t="s">
        <v>126</v>
      </c>
      <c r="C100" s="202">
        <f t="shared" si="59"/>
        <v>0</v>
      </c>
      <c r="D100" s="203">
        <f t="shared" si="60"/>
        <v>0</v>
      </c>
      <c r="E100" s="216">
        <v>0</v>
      </c>
      <c r="F100" s="216">
        <v>0</v>
      </c>
      <c r="G100" s="216">
        <v>0</v>
      </c>
      <c r="H100" s="216">
        <v>0</v>
      </c>
      <c r="I100" s="216">
        <v>0</v>
      </c>
      <c r="J100" s="93">
        <f t="shared" si="61"/>
        <v>0</v>
      </c>
      <c r="K100" s="94">
        <f t="shared" si="62"/>
        <v>0</v>
      </c>
      <c r="L100" s="216">
        <v>0</v>
      </c>
      <c r="M100" s="95">
        <f t="shared" si="63"/>
        <v>0</v>
      </c>
      <c r="N100" s="95">
        <f t="shared" si="64"/>
        <v>0</v>
      </c>
      <c r="O100" s="419">
        <v>0</v>
      </c>
      <c r="P100" s="96">
        <f t="shared" si="65"/>
        <v>0</v>
      </c>
      <c r="Q100" s="95">
        <f t="shared" si="66"/>
        <v>0</v>
      </c>
      <c r="R100" s="130">
        <v>0</v>
      </c>
      <c r="S100" s="130">
        <v>0</v>
      </c>
      <c r="T100" s="130">
        <v>0</v>
      </c>
      <c r="U100" s="95">
        <f t="shared" si="32"/>
        <v>0</v>
      </c>
      <c r="V100" s="95">
        <f t="shared" si="33"/>
        <v>0</v>
      </c>
      <c r="W100" s="93"/>
      <c r="X100" s="93"/>
      <c r="Y100" s="93"/>
      <c r="Z100" s="93"/>
      <c r="AA100" s="93"/>
      <c r="AB100" s="93"/>
      <c r="AC100" s="93"/>
      <c r="AD100" s="93"/>
      <c r="AE100" s="93"/>
    </row>
    <row r="101" spans="1:31" ht="19.5" hidden="1" x14ac:dyDescent="0.3">
      <c r="A101" s="201"/>
      <c r="B101" s="129" t="s">
        <v>127</v>
      </c>
      <c r="C101" s="202">
        <f t="shared" si="59"/>
        <v>0</v>
      </c>
      <c r="D101" s="203">
        <f t="shared" si="60"/>
        <v>0</v>
      </c>
      <c r="E101" s="216">
        <v>0</v>
      </c>
      <c r="F101" s="216">
        <v>0</v>
      </c>
      <c r="G101" s="216">
        <v>0</v>
      </c>
      <c r="H101" s="216">
        <v>0</v>
      </c>
      <c r="I101" s="216">
        <v>0</v>
      </c>
      <c r="J101" s="93">
        <f t="shared" si="61"/>
        <v>0</v>
      </c>
      <c r="K101" s="94">
        <f t="shared" si="62"/>
        <v>0</v>
      </c>
      <c r="L101" s="216">
        <v>0</v>
      </c>
      <c r="M101" s="95">
        <f t="shared" si="63"/>
        <v>0</v>
      </c>
      <c r="N101" s="95">
        <f t="shared" si="64"/>
        <v>0</v>
      </c>
      <c r="O101" s="419">
        <v>0</v>
      </c>
      <c r="P101" s="96">
        <f t="shared" si="65"/>
        <v>0</v>
      </c>
      <c r="Q101" s="95">
        <f t="shared" si="66"/>
        <v>0</v>
      </c>
      <c r="R101" s="130">
        <v>0</v>
      </c>
      <c r="S101" s="130">
        <v>0</v>
      </c>
      <c r="T101" s="130">
        <v>0</v>
      </c>
      <c r="U101" s="95">
        <f t="shared" si="32"/>
        <v>0</v>
      </c>
      <c r="V101" s="95">
        <f t="shared" si="33"/>
        <v>0</v>
      </c>
      <c r="W101" s="93"/>
      <c r="X101" s="93"/>
      <c r="Y101" s="93"/>
      <c r="Z101" s="93"/>
      <c r="AA101" s="93"/>
      <c r="AB101" s="93"/>
      <c r="AC101" s="93"/>
      <c r="AD101" s="93"/>
      <c r="AE101" s="93"/>
    </row>
    <row r="102" spans="1:31" ht="19.5" hidden="1" x14ac:dyDescent="0.3">
      <c r="A102" s="201"/>
      <c r="B102" s="129" t="s">
        <v>128</v>
      </c>
      <c r="C102" s="202">
        <f t="shared" si="59"/>
        <v>0</v>
      </c>
      <c r="D102" s="203">
        <f t="shared" si="60"/>
        <v>0</v>
      </c>
      <c r="E102" s="216">
        <v>0</v>
      </c>
      <c r="F102" s="216">
        <v>0</v>
      </c>
      <c r="G102" s="216">
        <v>0</v>
      </c>
      <c r="H102" s="216">
        <v>0</v>
      </c>
      <c r="I102" s="216">
        <v>0</v>
      </c>
      <c r="J102" s="93">
        <f t="shared" si="61"/>
        <v>0</v>
      </c>
      <c r="K102" s="94">
        <f t="shared" si="62"/>
        <v>0</v>
      </c>
      <c r="L102" s="216">
        <v>0</v>
      </c>
      <c r="M102" s="95">
        <f t="shared" si="63"/>
        <v>0</v>
      </c>
      <c r="N102" s="95">
        <f t="shared" si="64"/>
        <v>0</v>
      </c>
      <c r="O102" s="419">
        <v>0</v>
      </c>
      <c r="P102" s="96">
        <f t="shared" si="65"/>
        <v>0</v>
      </c>
      <c r="Q102" s="95">
        <f t="shared" si="66"/>
        <v>0</v>
      </c>
      <c r="R102" s="130">
        <v>0</v>
      </c>
      <c r="S102" s="130">
        <v>0</v>
      </c>
      <c r="T102" s="130">
        <v>0</v>
      </c>
      <c r="U102" s="95">
        <f t="shared" si="32"/>
        <v>0</v>
      </c>
      <c r="V102" s="95">
        <f t="shared" si="33"/>
        <v>0</v>
      </c>
      <c r="W102" s="93"/>
      <c r="X102" s="93"/>
      <c r="Y102" s="93"/>
      <c r="Z102" s="93"/>
      <c r="AA102" s="93"/>
      <c r="AB102" s="93"/>
      <c r="AC102" s="93"/>
      <c r="AD102" s="93"/>
      <c r="AE102" s="93"/>
    </row>
    <row r="103" spans="1:31" ht="19.5" hidden="1" x14ac:dyDescent="0.3">
      <c r="A103" s="201"/>
      <c r="B103" s="129" t="s">
        <v>129</v>
      </c>
      <c r="C103" s="202">
        <f t="shared" si="59"/>
        <v>0</v>
      </c>
      <c r="D103" s="203">
        <f t="shared" si="60"/>
        <v>0</v>
      </c>
      <c r="E103" s="216">
        <v>0</v>
      </c>
      <c r="F103" s="216">
        <v>0</v>
      </c>
      <c r="G103" s="216">
        <v>0</v>
      </c>
      <c r="H103" s="216">
        <v>0</v>
      </c>
      <c r="I103" s="216">
        <v>0</v>
      </c>
      <c r="J103" s="93">
        <f t="shared" si="61"/>
        <v>0</v>
      </c>
      <c r="K103" s="94">
        <f t="shared" si="62"/>
        <v>0</v>
      </c>
      <c r="L103" s="216">
        <v>0</v>
      </c>
      <c r="M103" s="95">
        <f t="shared" si="63"/>
        <v>0</v>
      </c>
      <c r="N103" s="95">
        <f t="shared" si="64"/>
        <v>0</v>
      </c>
      <c r="O103" s="419">
        <v>0</v>
      </c>
      <c r="P103" s="96">
        <f t="shared" si="65"/>
        <v>0</v>
      </c>
      <c r="Q103" s="95">
        <f t="shared" si="66"/>
        <v>0</v>
      </c>
      <c r="R103" s="131">
        <v>0</v>
      </c>
      <c r="S103" s="131">
        <v>0</v>
      </c>
      <c r="T103" s="131">
        <v>0</v>
      </c>
      <c r="U103" s="132">
        <f t="shared" si="32"/>
        <v>0</v>
      </c>
      <c r="V103" s="132">
        <f t="shared" si="33"/>
        <v>0</v>
      </c>
      <c r="W103" s="249"/>
      <c r="X103" s="249"/>
      <c r="Y103" s="249"/>
      <c r="Z103" s="249"/>
      <c r="AA103" s="93"/>
      <c r="AB103" s="93"/>
      <c r="AC103" s="93"/>
      <c r="AD103" s="93"/>
      <c r="AE103" s="93"/>
    </row>
    <row r="104" spans="1:31" ht="19.5" hidden="1" x14ac:dyDescent="0.3">
      <c r="A104" s="201"/>
      <c r="B104" s="129" t="s">
        <v>130</v>
      </c>
      <c r="C104" s="202">
        <f t="shared" si="59"/>
        <v>0</v>
      </c>
      <c r="D104" s="203">
        <f t="shared" si="60"/>
        <v>0</v>
      </c>
      <c r="E104" s="216">
        <v>0</v>
      </c>
      <c r="F104" s="216">
        <v>0</v>
      </c>
      <c r="G104" s="216">
        <v>0</v>
      </c>
      <c r="H104" s="216">
        <v>0</v>
      </c>
      <c r="I104" s="216">
        <v>0</v>
      </c>
      <c r="J104" s="93">
        <f t="shared" si="61"/>
        <v>0</v>
      </c>
      <c r="K104" s="94">
        <f t="shared" si="62"/>
        <v>0</v>
      </c>
      <c r="L104" s="216">
        <v>0</v>
      </c>
      <c r="M104" s="95">
        <f t="shared" si="63"/>
        <v>0</v>
      </c>
      <c r="N104" s="95">
        <f t="shared" si="64"/>
        <v>0</v>
      </c>
      <c r="O104" s="419">
        <v>0</v>
      </c>
      <c r="P104" s="96">
        <f t="shared" si="65"/>
        <v>0</v>
      </c>
      <c r="Q104" s="95">
        <f t="shared" si="66"/>
        <v>0</v>
      </c>
      <c r="R104" s="130">
        <v>0</v>
      </c>
      <c r="S104" s="130">
        <v>0</v>
      </c>
      <c r="T104" s="130">
        <v>0</v>
      </c>
      <c r="U104" s="95">
        <f t="shared" si="32"/>
        <v>0</v>
      </c>
      <c r="V104" s="95">
        <f t="shared" si="33"/>
        <v>0</v>
      </c>
      <c r="W104" s="93"/>
      <c r="X104" s="93"/>
      <c r="Y104" s="93"/>
      <c r="Z104" s="93"/>
      <c r="AA104" s="93"/>
      <c r="AB104" s="93"/>
      <c r="AC104" s="93"/>
      <c r="AD104" s="93"/>
      <c r="AE104" s="93"/>
    </row>
    <row r="105" spans="1:31" ht="19.5" hidden="1" x14ac:dyDescent="0.3">
      <c r="A105" s="201"/>
      <c r="B105" s="133" t="s">
        <v>131</v>
      </c>
      <c r="C105" s="202">
        <f t="shared" si="59"/>
        <v>0</v>
      </c>
      <c r="D105" s="203">
        <f t="shared" si="60"/>
        <v>0</v>
      </c>
      <c r="E105" s="216">
        <v>0</v>
      </c>
      <c r="F105" s="216">
        <v>0</v>
      </c>
      <c r="G105" s="216">
        <v>0</v>
      </c>
      <c r="H105" s="216">
        <v>0</v>
      </c>
      <c r="I105" s="216">
        <v>0</v>
      </c>
      <c r="J105" s="93">
        <f t="shared" si="61"/>
        <v>0</v>
      </c>
      <c r="K105" s="94">
        <f t="shared" si="62"/>
        <v>0</v>
      </c>
      <c r="L105" s="216">
        <v>0</v>
      </c>
      <c r="M105" s="95">
        <f t="shared" si="63"/>
        <v>0</v>
      </c>
      <c r="N105" s="95">
        <f t="shared" si="64"/>
        <v>0</v>
      </c>
      <c r="O105" s="419">
        <v>0</v>
      </c>
      <c r="P105" s="96">
        <f t="shared" si="65"/>
        <v>0</v>
      </c>
      <c r="Q105" s="95">
        <f t="shared" si="66"/>
        <v>0</v>
      </c>
      <c r="R105" s="134">
        <v>0</v>
      </c>
      <c r="S105" s="134">
        <v>0</v>
      </c>
      <c r="T105" s="134">
        <v>0</v>
      </c>
      <c r="U105" s="135">
        <f t="shared" si="32"/>
        <v>0</v>
      </c>
      <c r="V105" s="135">
        <f t="shared" si="33"/>
        <v>0</v>
      </c>
      <c r="W105" s="122"/>
      <c r="X105" s="122"/>
      <c r="Y105" s="122"/>
      <c r="Z105" s="122"/>
      <c r="AA105" s="93"/>
      <c r="AB105" s="93"/>
      <c r="AC105" s="93"/>
      <c r="AD105" s="93"/>
      <c r="AE105" s="93"/>
    </row>
    <row r="106" spans="1:31" ht="19.5" hidden="1" x14ac:dyDescent="0.3">
      <c r="A106" s="205"/>
      <c r="B106" s="137" t="s">
        <v>132</v>
      </c>
      <c r="C106" s="206">
        <f t="shared" si="59"/>
        <v>0</v>
      </c>
      <c r="D106" s="207">
        <f t="shared" si="60"/>
        <v>0</v>
      </c>
      <c r="E106" s="217">
        <v>0</v>
      </c>
      <c r="F106" s="217">
        <v>0</v>
      </c>
      <c r="G106" s="217">
        <v>0</v>
      </c>
      <c r="H106" s="217">
        <v>0</v>
      </c>
      <c r="I106" s="217">
        <v>0</v>
      </c>
      <c r="J106" s="104">
        <f t="shared" si="61"/>
        <v>0</v>
      </c>
      <c r="K106" s="105">
        <f t="shared" si="62"/>
        <v>0</v>
      </c>
      <c r="L106" s="217">
        <v>0</v>
      </c>
      <c r="M106" s="106">
        <f t="shared" si="63"/>
        <v>0</v>
      </c>
      <c r="N106" s="106">
        <f t="shared" si="64"/>
        <v>0</v>
      </c>
      <c r="O106" s="420">
        <v>0</v>
      </c>
      <c r="P106" s="107">
        <f t="shared" si="65"/>
        <v>0</v>
      </c>
      <c r="Q106" s="106">
        <f t="shared" si="66"/>
        <v>0</v>
      </c>
      <c r="R106" s="138">
        <v>0</v>
      </c>
      <c r="S106" s="138">
        <v>0</v>
      </c>
      <c r="T106" s="138">
        <v>0</v>
      </c>
      <c r="U106" s="106">
        <f t="shared" si="32"/>
        <v>0</v>
      </c>
      <c r="V106" s="106">
        <f t="shared" si="33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</row>
    <row r="107" spans="1:31" ht="19.5" x14ac:dyDescent="0.3">
      <c r="C107" s="223" t="s">
        <v>142</v>
      </c>
    </row>
  </sheetData>
  <mergeCells count="33">
    <mergeCell ref="A74:B74"/>
    <mergeCell ref="A89:B89"/>
    <mergeCell ref="C5:C6"/>
    <mergeCell ref="D5:D6"/>
    <mergeCell ref="E5:E6"/>
    <mergeCell ref="A2:B6"/>
    <mergeCell ref="A7:B7"/>
    <mergeCell ref="A13:B13"/>
    <mergeCell ref="A31:B31"/>
    <mergeCell ref="A52:B52"/>
    <mergeCell ref="AD5:AE5"/>
    <mergeCell ref="C2:AE2"/>
    <mergeCell ref="C3:Q3"/>
    <mergeCell ref="W3:AE3"/>
    <mergeCell ref="C4:G4"/>
    <mergeCell ref="H4:I4"/>
    <mergeCell ref="J4:Q4"/>
    <mergeCell ref="AC4:AE4"/>
    <mergeCell ref="F5:F6"/>
    <mergeCell ref="G5:G6"/>
    <mergeCell ref="J5:K5"/>
    <mergeCell ref="L5:N5"/>
    <mergeCell ref="O5:Q5"/>
    <mergeCell ref="W4:Y4"/>
    <mergeCell ref="Z4:AB4"/>
    <mergeCell ref="X5:Y5"/>
    <mergeCell ref="AA5:AB5"/>
    <mergeCell ref="R3:V3"/>
    <mergeCell ref="R4:R6"/>
    <mergeCell ref="S4:S6"/>
    <mergeCell ref="T4:T6"/>
    <mergeCell ref="U4:U6"/>
    <mergeCell ref="V4:V6"/>
  </mergeCells>
  <printOptions horizontalCentered="1"/>
  <pageMargins left="0.23622047244094491" right="0.23622047244094491" top="0.55118110236220474" bottom="0.55118110236220474" header="0" footer="0"/>
  <pageSetup paperSize="9" scale="42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outlinePr summaryBelow="0" summaryRight="0"/>
  </sheetPr>
  <dimension ref="A1:AE107"/>
  <sheetViews>
    <sheetView view="pageBreakPreview" zoomScale="60" zoomScaleNormal="55" workbookViewId="0">
      <pane xSplit="2" ySplit="7" topLeftCell="C8" activePane="bottomRight" state="frozen"/>
      <selection activeCell="A13" sqref="A13:B13"/>
      <selection pane="topRight" activeCell="A13" sqref="A13:B13"/>
      <selection pane="bottomLeft" activeCell="A13" sqref="A13:B13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5.140625" bestFit="1" customWidth="1"/>
    <col min="9" max="9" width="10.28515625" customWidth="1"/>
    <col min="10" max="10" width="15.140625" customWidth="1"/>
    <col min="11" max="11" width="12.5703125" customWidth="1"/>
    <col min="12" max="12" width="15.140625" customWidth="1"/>
    <col min="13" max="13" width="12.7109375" customWidth="1"/>
    <col min="14" max="14" width="10.42578125" bestFit="1" customWidth="1"/>
    <col min="15" max="15" width="7.85546875" bestFit="1" customWidth="1"/>
    <col min="16" max="16" width="10.85546875" customWidth="1"/>
    <col min="17" max="17" width="10.42578125" bestFit="1" customWidth="1"/>
    <col min="18" max="18" width="20.28515625" bestFit="1" customWidth="1"/>
    <col min="19" max="19" width="11" bestFit="1" customWidth="1"/>
    <col min="20" max="20" width="15.140625" customWidth="1"/>
    <col min="21" max="21" width="10.7109375" bestFit="1" customWidth="1"/>
    <col min="22" max="22" width="12" bestFit="1" customWidth="1"/>
    <col min="23" max="31" width="24.42578125" customWidth="1"/>
  </cols>
  <sheetData>
    <row r="1" spans="1:31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4"/>
    </row>
    <row r="2" spans="1:31" ht="24" customHeight="1" x14ac:dyDescent="0.2">
      <c r="A2" s="616" t="s">
        <v>1</v>
      </c>
      <c r="B2" s="617"/>
      <c r="C2" s="600" t="s">
        <v>198</v>
      </c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2"/>
    </row>
    <row r="3" spans="1:31" ht="30" customHeight="1" x14ac:dyDescent="0.2">
      <c r="A3" s="618"/>
      <c r="B3" s="619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584" t="s">
        <v>4</v>
      </c>
      <c r="S3" s="585"/>
      <c r="T3" s="585"/>
      <c r="U3" s="585"/>
      <c r="V3" s="585"/>
      <c r="W3" s="685" t="s">
        <v>222</v>
      </c>
      <c r="X3" s="585"/>
      <c r="Y3" s="585"/>
      <c r="Z3" s="585"/>
      <c r="AA3" s="585"/>
      <c r="AB3" s="585"/>
      <c r="AC3" s="585"/>
      <c r="AD3" s="585"/>
      <c r="AE3" s="607"/>
    </row>
    <row r="4" spans="1:31" ht="45" customHeight="1" x14ac:dyDescent="0.2">
      <c r="A4" s="618"/>
      <c r="B4" s="619"/>
      <c r="C4" s="609" t="s">
        <v>7</v>
      </c>
      <c r="D4" s="598"/>
      <c r="E4" s="598"/>
      <c r="F4" s="598"/>
      <c r="G4" s="583"/>
      <c r="H4" s="612" t="s">
        <v>8</v>
      </c>
      <c r="I4" s="583"/>
      <c r="J4" s="613" t="s">
        <v>9</v>
      </c>
      <c r="K4" s="598"/>
      <c r="L4" s="598"/>
      <c r="M4" s="598"/>
      <c r="N4" s="598"/>
      <c r="O4" s="598"/>
      <c r="P4" s="598"/>
      <c r="Q4" s="583"/>
      <c r="R4" s="614" t="s">
        <v>10</v>
      </c>
      <c r="S4" s="615" t="s">
        <v>11</v>
      </c>
      <c r="T4" s="594" t="s">
        <v>12</v>
      </c>
      <c r="U4" s="752" t="s">
        <v>13</v>
      </c>
      <c r="V4" s="752" t="s">
        <v>14</v>
      </c>
      <c r="W4" s="686" t="s">
        <v>27</v>
      </c>
      <c r="X4" s="687" t="s">
        <v>223</v>
      </c>
      <c r="Y4" s="607"/>
      <c r="Z4" s="688" t="s">
        <v>224</v>
      </c>
      <c r="AA4" s="688" t="s">
        <v>225</v>
      </c>
      <c r="AB4" s="688" t="s">
        <v>226</v>
      </c>
      <c r="AC4" s="688" t="s">
        <v>227</v>
      </c>
      <c r="AD4" s="688" t="s">
        <v>228</v>
      </c>
      <c r="AE4" s="688" t="s">
        <v>6</v>
      </c>
    </row>
    <row r="5" spans="1:31" ht="45" customHeight="1" x14ac:dyDescent="0.2">
      <c r="A5" s="618"/>
      <c r="B5" s="619"/>
      <c r="C5" s="726" t="s">
        <v>19</v>
      </c>
      <c r="D5" s="727" t="s">
        <v>20</v>
      </c>
      <c r="E5" s="728" t="s">
        <v>21</v>
      </c>
      <c r="F5" s="729" t="s">
        <v>22</v>
      </c>
      <c r="G5" s="730" t="s">
        <v>23</v>
      </c>
      <c r="H5" s="774" t="s">
        <v>24</v>
      </c>
      <c r="I5" s="774" t="s">
        <v>25</v>
      </c>
      <c r="J5" s="589" t="s">
        <v>26</v>
      </c>
      <c r="K5" s="590"/>
      <c r="L5" s="591" t="s">
        <v>24</v>
      </c>
      <c r="M5" s="592"/>
      <c r="N5" s="593"/>
      <c r="O5" s="611" t="s">
        <v>25</v>
      </c>
      <c r="P5" s="592"/>
      <c r="Q5" s="593"/>
      <c r="R5" s="595"/>
      <c r="S5" s="595"/>
      <c r="T5" s="595"/>
      <c r="U5" s="753"/>
      <c r="V5" s="753"/>
      <c r="W5" s="668"/>
      <c r="X5" s="608"/>
      <c r="Y5" s="593"/>
      <c r="Z5" s="668"/>
      <c r="AA5" s="668"/>
      <c r="AB5" s="668"/>
      <c r="AC5" s="668"/>
      <c r="AD5" s="668"/>
      <c r="AE5" s="668"/>
    </row>
    <row r="6" spans="1:31" ht="46.5" customHeight="1" x14ac:dyDescent="0.2">
      <c r="A6" s="620"/>
      <c r="B6" s="621"/>
      <c r="C6" s="731"/>
      <c r="D6" s="732"/>
      <c r="E6" s="732"/>
      <c r="F6" s="732"/>
      <c r="G6" s="732"/>
      <c r="H6" s="775"/>
      <c r="I6" s="775"/>
      <c r="J6" s="739" t="s">
        <v>29</v>
      </c>
      <c r="K6" s="740" t="s">
        <v>30</v>
      </c>
      <c r="L6" s="739" t="s">
        <v>29</v>
      </c>
      <c r="M6" s="741" t="s">
        <v>31</v>
      </c>
      <c r="N6" s="742" t="s">
        <v>32</v>
      </c>
      <c r="O6" s="743" t="s">
        <v>29</v>
      </c>
      <c r="P6" s="741" t="s">
        <v>31</v>
      </c>
      <c r="Q6" s="742" t="s">
        <v>32</v>
      </c>
      <c r="R6" s="596"/>
      <c r="S6" s="596"/>
      <c r="T6" s="596"/>
      <c r="U6" s="732"/>
      <c r="V6" s="732"/>
      <c r="W6" s="13" t="s">
        <v>34</v>
      </c>
      <c r="X6" s="421" t="s">
        <v>34</v>
      </c>
      <c r="Y6" s="422" t="s">
        <v>30</v>
      </c>
      <c r="Z6" s="423" t="s">
        <v>34</v>
      </c>
      <c r="AA6" s="423" t="s">
        <v>34</v>
      </c>
      <c r="AB6" s="423" t="s">
        <v>34</v>
      </c>
      <c r="AC6" s="423" t="s">
        <v>34</v>
      </c>
      <c r="AD6" s="423" t="s">
        <v>34</v>
      </c>
      <c r="AE6" s="423" t="s">
        <v>34</v>
      </c>
    </row>
    <row r="7" spans="1:31" ht="24" customHeight="1" x14ac:dyDescent="0.3">
      <c r="A7" s="651" t="s">
        <v>289</v>
      </c>
      <c r="B7" s="629"/>
      <c r="C7" s="150">
        <f t="shared" ref="C7:C9" si="0">D7+G7</f>
        <v>0</v>
      </c>
      <c r="D7" s="151">
        <f t="shared" ref="D7:I7" si="1">D8+D9</f>
        <v>0</v>
      </c>
      <c r="E7" s="152">
        <f t="shared" si="1"/>
        <v>0</v>
      </c>
      <c r="F7" s="153">
        <f t="shared" si="1"/>
        <v>0</v>
      </c>
      <c r="G7" s="154">
        <f t="shared" si="1"/>
        <v>0</v>
      </c>
      <c r="H7" s="228">
        <f t="shared" si="1"/>
        <v>0</v>
      </c>
      <c r="I7" s="228">
        <f t="shared" si="1"/>
        <v>0</v>
      </c>
      <c r="J7" s="156">
        <f t="shared" ref="J7:J9" si="2">L7+O7</f>
        <v>0</v>
      </c>
      <c r="K7" s="157">
        <f t="shared" ref="K7:K9" si="3">IF(C7&gt;0,J7*100/C7,0)</f>
        <v>0</v>
      </c>
      <c r="L7" s="156">
        <f>L8+L9</f>
        <v>0</v>
      </c>
      <c r="M7" s="27">
        <f t="shared" ref="M7:M9" si="4">IF(D7&gt;0,L7*100/D7,0)</f>
        <v>0</v>
      </c>
      <c r="N7" s="27">
        <f t="shared" ref="N7:N9" si="5">IF(H7&gt;0,L7*100/H7,0)</f>
        <v>0</v>
      </c>
      <c r="O7" s="26">
        <f>O8+O9</f>
        <v>0</v>
      </c>
      <c r="P7" s="26">
        <f t="shared" ref="P7:P9" si="6">IF(G7&gt;0,O7*100/G7,0)</f>
        <v>0</v>
      </c>
      <c r="Q7" s="27">
        <f t="shared" ref="Q7:Q9" si="7">IF(I7&gt;0,O7*100/I7,0)</f>
        <v>0</v>
      </c>
      <c r="R7" s="27">
        <f t="shared" ref="R7:T7" ca="1" si="8">R8+R9</f>
        <v>8192000</v>
      </c>
      <c r="S7" s="27">
        <f t="shared" ca="1" si="8"/>
        <v>0</v>
      </c>
      <c r="T7" s="27">
        <f t="shared" ca="1" si="8"/>
        <v>2770</v>
      </c>
      <c r="U7" s="27">
        <f t="shared" ref="U7:U9" ca="1" si="9">IF(R7&gt;0,T7*100/R7,0)</f>
        <v>3.38134765625E-2</v>
      </c>
      <c r="V7" s="27">
        <f t="shared" ref="V7:V9" ca="1" si="10">IF(S7&gt;0,T7*100/S7,0)</f>
        <v>0</v>
      </c>
      <c r="W7" s="343">
        <f t="shared" ref="W7:X7" ca="1" si="11">W8</f>
        <v>500</v>
      </c>
      <c r="X7" s="424">
        <f t="shared" ca="1" si="11"/>
        <v>0</v>
      </c>
      <c r="Y7" s="425">
        <f t="shared" ref="Y7:Y8" ca="1" si="12">IF(W7&gt;0,X7*100/W7,0)</f>
        <v>0</v>
      </c>
      <c r="Z7" s="344">
        <f t="shared" ref="Z7:AE7" ca="1" si="13">Z8</f>
        <v>0</v>
      </c>
      <c r="AA7" s="344">
        <f t="shared" ca="1" si="13"/>
        <v>0</v>
      </c>
      <c r="AB7" s="344">
        <f t="shared" ca="1" si="13"/>
        <v>0</v>
      </c>
      <c r="AC7" s="344">
        <f t="shared" ca="1" si="13"/>
        <v>0</v>
      </c>
      <c r="AD7" s="344">
        <f t="shared" ca="1" si="13"/>
        <v>0</v>
      </c>
      <c r="AE7" s="344">
        <f t="shared" ca="1" si="13"/>
        <v>0</v>
      </c>
    </row>
    <row r="8" spans="1:31" ht="28.5" customHeight="1" x14ac:dyDescent="0.3">
      <c r="A8" s="31" t="s">
        <v>37</v>
      </c>
      <c r="B8" s="32"/>
      <c r="C8" s="161">
        <f t="shared" si="0"/>
        <v>0</v>
      </c>
      <c r="D8" s="161">
        <f t="shared" ref="D8:I8" si="14">+D13+D31+D52+D74</f>
        <v>0</v>
      </c>
      <c r="E8" s="161">
        <f t="shared" si="14"/>
        <v>0</v>
      </c>
      <c r="F8" s="161">
        <f t="shared" si="14"/>
        <v>0</v>
      </c>
      <c r="G8" s="161">
        <f t="shared" si="14"/>
        <v>0</v>
      </c>
      <c r="H8" s="161">
        <f t="shared" si="14"/>
        <v>0</v>
      </c>
      <c r="I8" s="161">
        <f t="shared" si="14"/>
        <v>0</v>
      </c>
      <c r="J8" s="161">
        <f t="shared" si="2"/>
        <v>0</v>
      </c>
      <c r="K8" s="162">
        <f t="shared" si="3"/>
        <v>0</v>
      </c>
      <c r="L8" s="161">
        <f>+L13+L31+L52+L74</f>
        <v>0</v>
      </c>
      <c r="M8" s="40">
        <f t="shared" si="4"/>
        <v>0</v>
      </c>
      <c r="N8" s="40">
        <f t="shared" si="5"/>
        <v>0</v>
      </c>
      <c r="O8" s="39">
        <f>+O13+O31+O52+O74</f>
        <v>0</v>
      </c>
      <c r="P8" s="39">
        <f t="shared" si="6"/>
        <v>0</v>
      </c>
      <c r="Q8" s="40">
        <f t="shared" si="7"/>
        <v>0</v>
      </c>
      <c r="R8" s="40">
        <f t="shared" ref="R8:T8" ca="1" si="15">+R13+R31+R52+R74</f>
        <v>6780400</v>
      </c>
      <c r="S8" s="40">
        <f t="shared" ca="1" si="15"/>
        <v>0</v>
      </c>
      <c r="T8" s="40">
        <f t="shared" ca="1" si="15"/>
        <v>2770</v>
      </c>
      <c r="U8" s="40">
        <f t="shared" ca="1" si="9"/>
        <v>4.0853047017875052E-2</v>
      </c>
      <c r="V8" s="40">
        <f t="shared" ca="1" si="10"/>
        <v>0</v>
      </c>
      <c r="W8" s="348">
        <f t="shared" ref="W8:X8" ca="1" si="16">+W13+W31+W52+W74</f>
        <v>500</v>
      </c>
      <c r="X8" s="161">
        <f t="shared" ca="1" si="16"/>
        <v>0</v>
      </c>
      <c r="Y8" s="40">
        <f t="shared" ca="1" si="12"/>
        <v>0</v>
      </c>
      <c r="Z8" s="161">
        <f t="shared" ref="Z8:AE8" ca="1" si="17">+Z13+Z31+Z52+Z74</f>
        <v>0</v>
      </c>
      <c r="AA8" s="161">
        <f t="shared" ca="1" si="17"/>
        <v>0</v>
      </c>
      <c r="AB8" s="161">
        <f t="shared" ca="1" si="17"/>
        <v>0</v>
      </c>
      <c r="AC8" s="161">
        <f t="shared" ca="1" si="17"/>
        <v>0</v>
      </c>
      <c r="AD8" s="161">
        <f t="shared" ca="1" si="17"/>
        <v>0</v>
      </c>
      <c r="AE8" s="161">
        <f t="shared" ca="1" si="17"/>
        <v>0</v>
      </c>
    </row>
    <row r="9" spans="1:31" ht="28.5" customHeight="1" x14ac:dyDescent="0.3">
      <c r="A9" s="43" t="s">
        <v>38</v>
      </c>
      <c r="B9" s="44"/>
      <c r="C9" s="164">
        <f t="shared" si="0"/>
        <v>0</v>
      </c>
      <c r="D9" s="164">
        <f t="shared" ref="D9:I9" si="18">+D10+D11</f>
        <v>0</v>
      </c>
      <c r="E9" s="164">
        <f t="shared" si="18"/>
        <v>0</v>
      </c>
      <c r="F9" s="164">
        <f t="shared" si="18"/>
        <v>0</v>
      </c>
      <c r="G9" s="164">
        <f t="shared" si="18"/>
        <v>0</v>
      </c>
      <c r="H9" s="164">
        <f t="shared" si="18"/>
        <v>0</v>
      </c>
      <c r="I9" s="164">
        <f t="shared" si="18"/>
        <v>0</v>
      </c>
      <c r="J9" s="164">
        <f t="shared" si="2"/>
        <v>0</v>
      </c>
      <c r="K9" s="165">
        <f t="shared" si="3"/>
        <v>0</v>
      </c>
      <c r="L9" s="164">
        <f>+L10+L11</f>
        <v>0</v>
      </c>
      <c r="M9" s="51">
        <f t="shared" si="4"/>
        <v>0</v>
      </c>
      <c r="N9" s="51">
        <f t="shared" si="5"/>
        <v>0</v>
      </c>
      <c r="O9" s="50">
        <f>+O10+O11</f>
        <v>0</v>
      </c>
      <c r="P9" s="50">
        <f t="shared" si="6"/>
        <v>0</v>
      </c>
      <c r="Q9" s="51">
        <f t="shared" si="7"/>
        <v>0</v>
      </c>
      <c r="R9" s="51">
        <f ca="1">IFERROR(__xludf.DUMMYFUNCTION("IMPORTRANGE(""https://docs.google.com/spreadsheets/d/1ItG2mGa2ceCfYo0BwxsXqNm01IGEUdYcSSLTEv9YCik/edit?usp=sharing"",""เบิกจ่ายกองทุน!X11"")"),1411600)</f>
        <v>1411600</v>
      </c>
      <c r="S9" s="51">
        <f ca="1">IFERROR(__xludf.DUMMYFUNCTION("IMPORTRANGE(""https://docs.google.com/spreadsheets/d/1ItG2mGa2ceCfYo0BwxsXqNm01IGEUdYcSSLTEv9YCik/edit?usp=sharing"",""เบิกจ่ายกองทุน!Y11"")"),0)</f>
        <v>0</v>
      </c>
      <c r="T9" s="51">
        <f ca="1">IFERROR(__xludf.DUMMYFUNCTION("IMPORTRANGE(""https://docs.google.com/spreadsheets/d/1ItG2mGa2ceCfYo0BwxsXqNm01IGEUdYcSSLTEv9YCik/edit?usp=sharing"",""เบิกจ่ายกองทุน!Z11"")"),0)</f>
        <v>0</v>
      </c>
      <c r="U9" s="51">
        <f t="shared" ca="1" si="9"/>
        <v>0</v>
      </c>
      <c r="V9" s="51">
        <f t="shared" ca="1" si="10"/>
        <v>0</v>
      </c>
      <c r="W9" s="293"/>
      <c r="X9" s="196"/>
      <c r="Y9" s="349"/>
      <c r="Z9" s="196"/>
      <c r="AA9" s="196"/>
      <c r="AB9" s="196"/>
      <c r="AC9" s="196"/>
      <c r="AD9" s="196"/>
      <c r="AE9" s="196"/>
    </row>
    <row r="10" spans="1:31" ht="28.5" hidden="1" customHeight="1" x14ac:dyDescent="0.3">
      <c r="A10" s="54"/>
      <c r="B10" s="55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62"/>
      <c r="S10" s="62"/>
      <c r="T10" s="62"/>
      <c r="U10" s="62"/>
      <c r="V10" s="62"/>
      <c r="W10" s="350"/>
      <c r="X10" s="351"/>
      <c r="Y10" s="352"/>
      <c r="Z10" s="351"/>
      <c r="AA10" s="351"/>
      <c r="AB10" s="351"/>
      <c r="AC10" s="351"/>
      <c r="AD10" s="351"/>
      <c r="AE10" s="351"/>
    </row>
    <row r="11" spans="1:31" ht="28.5" hidden="1" customHeight="1" x14ac:dyDescent="0.3">
      <c r="A11" s="65"/>
      <c r="B11" s="55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62"/>
      <c r="S11" s="62"/>
      <c r="T11" s="62"/>
      <c r="U11" s="62"/>
      <c r="V11" s="62"/>
      <c r="W11" s="350"/>
      <c r="X11" s="351"/>
      <c r="Y11" s="352"/>
      <c r="Z11" s="351"/>
      <c r="AA11" s="351"/>
      <c r="AB11" s="351"/>
      <c r="AC11" s="351"/>
      <c r="AD11" s="351"/>
      <c r="AE11" s="351"/>
    </row>
    <row r="12" spans="1:31" ht="28.5" hidden="1" customHeight="1" x14ac:dyDescent="0.3">
      <c r="A12" s="54"/>
      <c r="B12" s="55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62"/>
      <c r="S12" s="62"/>
      <c r="T12" s="62"/>
      <c r="U12" s="62"/>
      <c r="V12" s="62"/>
      <c r="W12" s="350"/>
      <c r="X12" s="351"/>
      <c r="Y12" s="352"/>
      <c r="Z12" s="351"/>
      <c r="AA12" s="351"/>
      <c r="AB12" s="351"/>
      <c r="AC12" s="351"/>
      <c r="AD12" s="351"/>
      <c r="AE12" s="351"/>
    </row>
    <row r="13" spans="1:31" ht="28.5" customHeight="1" x14ac:dyDescent="0.3">
      <c r="A13" s="624" t="s">
        <v>39</v>
      </c>
      <c r="B13" s="583"/>
      <c r="C13" s="161">
        <f t="shared" ref="C13:C88" si="19">D13+G13</f>
        <v>0</v>
      </c>
      <c r="D13" s="161">
        <f t="shared" ref="D13:I13" si="20">SUM(D14:D30)</f>
        <v>0</v>
      </c>
      <c r="E13" s="161">
        <f t="shared" si="20"/>
        <v>0</v>
      </c>
      <c r="F13" s="161">
        <f t="shared" si="20"/>
        <v>0</v>
      </c>
      <c r="G13" s="161">
        <f t="shared" si="20"/>
        <v>0</v>
      </c>
      <c r="H13" s="161">
        <f t="shared" si="20"/>
        <v>0</v>
      </c>
      <c r="I13" s="161">
        <f t="shared" si="20"/>
        <v>0</v>
      </c>
      <c r="J13" s="161">
        <f t="shared" ref="J13:J88" si="21">L13+O13</f>
        <v>0</v>
      </c>
      <c r="K13" s="162">
        <f t="shared" ref="K13:K88" si="22">IF(C13&gt;0,J13*100/C13,0)</f>
        <v>0</v>
      </c>
      <c r="L13" s="161">
        <f>SUM(L14:L30)</f>
        <v>0</v>
      </c>
      <c r="M13" s="40">
        <f t="shared" ref="M13:M88" si="23">IF(D13&gt;0,L13*100/D13,0)</f>
        <v>0</v>
      </c>
      <c r="N13" s="40">
        <f t="shared" ref="N13:N88" si="24">IF(H13&gt;0,L13*100/H13,0)</f>
        <v>0</v>
      </c>
      <c r="O13" s="39">
        <f>SUM(O14:O30)</f>
        <v>0</v>
      </c>
      <c r="P13" s="39">
        <f t="shared" ref="P13:P88" si="25">IF(G13&gt;0,O13*100/G13,0)</f>
        <v>0</v>
      </c>
      <c r="Q13" s="40">
        <f t="shared" ref="Q13:Q88" si="26">IF(I13&gt;0,O13*100/I13,0)</f>
        <v>0</v>
      </c>
      <c r="R13" s="40">
        <f t="shared" ref="R13:T13" ca="1" si="27">SUM(R14:R30)</f>
        <v>741945</v>
      </c>
      <c r="S13" s="40">
        <f t="shared" ca="1" si="27"/>
        <v>0</v>
      </c>
      <c r="T13" s="40">
        <f t="shared" ca="1" si="27"/>
        <v>0</v>
      </c>
      <c r="U13" s="40">
        <f t="shared" ref="U13:U106" ca="1" si="28">IF(R13&gt;0,T13*100/R13,0)</f>
        <v>0</v>
      </c>
      <c r="V13" s="40">
        <f t="shared" ref="V13:V106" ca="1" si="29">IF(S13&gt;0,T13*100/S13,0)</f>
        <v>0</v>
      </c>
      <c r="W13" s="348">
        <f t="shared" ref="W13:X13" ca="1" si="30">SUM(W14:W30)</f>
        <v>60</v>
      </c>
      <c r="X13" s="161">
        <f t="shared" ca="1" si="30"/>
        <v>0</v>
      </c>
      <c r="Y13" s="40">
        <f t="shared" ref="Y13:Y88" ca="1" si="31">IF(W13&gt;0,X13*100/W13,0)</f>
        <v>0</v>
      </c>
      <c r="Z13" s="161">
        <f t="shared" ref="Z13:AE13" ca="1" si="32">SUM(Z14:Z30)</f>
        <v>0</v>
      </c>
      <c r="AA13" s="161">
        <f t="shared" ca="1" si="32"/>
        <v>0</v>
      </c>
      <c r="AB13" s="161">
        <f t="shared" ca="1" si="32"/>
        <v>0</v>
      </c>
      <c r="AC13" s="161">
        <f t="shared" ca="1" si="32"/>
        <v>0</v>
      </c>
      <c r="AD13" s="161">
        <f t="shared" ca="1" si="32"/>
        <v>0</v>
      </c>
      <c r="AE13" s="161">
        <f t="shared" ca="1" si="32"/>
        <v>0</v>
      </c>
    </row>
    <row r="14" spans="1:31" ht="24" customHeight="1" x14ac:dyDescent="0.3">
      <c r="A14" s="77">
        <v>1</v>
      </c>
      <c r="B14" s="78" t="s">
        <v>40</v>
      </c>
      <c r="C14" s="174">
        <f t="shared" si="19"/>
        <v>0</v>
      </c>
      <c r="D14" s="175">
        <f t="shared" ref="D14:D30" si="33">+E14+F14</f>
        <v>0</v>
      </c>
      <c r="E14" s="403">
        <v>0</v>
      </c>
      <c r="F14" s="403">
        <v>0</v>
      </c>
      <c r="G14" s="219">
        <v>0</v>
      </c>
      <c r="H14" s="219">
        <v>0</v>
      </c>
      <c r="I14" s="219">
        <v>0</v>
      </c>
      <c r="J14" s="177">
        <f t="shared" si="21"/>
        <v>0</v>
      </c>
      <c r="K14" s="178">
        <f t="shared" si="22"/>
        <v>0</v>
      </c>
      <c r="L14" s="219">
        <v>0</v>
      </c>
      <c r="M14" s="87">
        <f t="shared" si="23"/>
        <v>0</v>
      </c>
      <c r="N14" s="87">
        <f t="shared" si="24"/>
        <v>0</v>
      </c>
      <c r="O14" s="403">
        <v>0</v>
      </c>
      <c r="P14" s="86">
        <f t="shared" si="25"/>
        <v>0</v>
      </c>
      <c r="Q14" s="87">
        <f t="shared" si="26"/>
        <v>0</v>
      </c>
      <c r="R14" s="87">
        <f ca="1">IFERROR(__xludf.DUMMYFUNCTION("IMPORTRANGE(""https://docs.google.com/spreadsheets/d/1jTcq05yEiRwXcBMLjiodW9e4biSGYWAHcDj22rKWQ3s/edit?usp=sharing"",""กำแพงเพชร!Q498"")"),0)</f>
        <v>0</v>
      </c>
      <c r="S14" s="87">
        <f ca="1">IFERROR(__xludf.DUMMYFUNCTION("IMPORTRANGE(""https://docs.google.com/spreadsheets/d/1jTcq05yEiRwXcBMLjiodW9e4biSGYWAHcDj22rKWQ3s/edit?usp=sharing"",""กำแพงเพชร!R498"")"),0)</f>
        <v>0</v>
      </c>
      <c r="T14" s="87">
        <f ca="1">IFERROR(__xludf.DUMMYFUNCTION("IMPORTRANGE(""https://docs.google.com/spreadsheets/d/1jTcq05yEiRwXcBMLjiodW9e4biSGYWAHcDj22rKWQ3s/edit?usp=sharing"",""กำแพงเพชร!S498"")"),0)</f>
        <v>0</v>
      </c>
      <c r="U14" s="87">
        <f t="shared" ca="1" si="28"/>
        <v>0</v>
      </c>
      <c r="V14" s="87">
        <f t="shared" ca="1" si="29"/>
        <v>0</v>
      </c>
      <c r="W14" s="353">
        <f ca="1">IFERROR(__xludf.DUMMYFUNCTION("IMPORTRANGE(""https://docs.google.com/spreadsheets/d/1jTcq05yEiRwXcBMLjiodW9e4biSGYWAHcDj22rKWQ3s/edit?usp=sharing"",""กำแพงเพชร!I503"")"),0)</f>
        <v>0</v>
      </c>
      <c r="X14" s="177">
        <f ca="1">IFERROR(__xludf.DUMMYFUNCTION("IMPORTRANGE(""https://docs.google.com/spreadsheets/d/1jTcq05yEiRwXcBMLjiodW9e4biSGYWAHcDj22rKWQ3s/edit?usp=sharing"",""กำแพงเพชร!J503"")"),0)</f>
        <v>0</v>
      </c>
      <c r="Y14" s="354">
        <f t="shared" ca="1" si="31"/>
        <v>0</v>
      </c>
      <c r="Z14" s="177">
        <f ca="1">IFERROR(__xludf.DUMMYFUNCTION("IMPORTRANGE(""https://docs.google.com/spreadsheets/d/1jTcq05yEiRwXcBMLjiodW9e4biSGYWAHcDj22rKWQ3s/edit?usp=sharing"",""กำแพงเพชร!J504"")"),0)</f>
        <v>0</v>
      </c>
      <c r="AA14" s="177">
        <f ca="1">IFERROR(__xludf.DUMMYFUNCTION("IMPORTRANGE(""https://docs.google.com/spreadsheets/d/1jTcq05yEiRwXcBMLjiodW9e4biSGYWAHcDj22rKWQ3s/edit?usp=sharing"",""กำแพงเพชร!J505"")"),0)</f>
        <v>0</v>
      </c>
      <c r="AB14" s="177">
        <f ca="1">IFERROR(__xludf.DUMMYFUNCTION("IMPORTRANGE(""https://docs.google.com/spreadsheets/d/1jTcq05yEiRwXcBMLjiodW9e4biSGYWAHcDj22rKWQ3s/edit?usp=sharing"",""กำแพงเพชร!J506"")"),0)</f>
        <v>0</v>
      </c>
      <c r="AC14" s="177">
        <f ca="1">IFERROR(__xludf.DUMMYFUNCTION("IMPORTRANGE(""https://docs.google.com/spreadsheets/d/1jTcq05yEiRwXcBMLjiodW9e4biSGYWAHcDj22rKWQ3s/edit?usp=sharing"",""กำแพงเพชร!J507"")"),0)</f>
        <v>0</v>
      </c>
      <c r="AD14" s="177">
        <f ca="1">IFERROR(__xludf.DUMMYFUNCTION("IMPORTRANGE(""https://docs.google.com/spreadsheets/d/1jTcq05yEiRwXcBMLjiodW9e4biSGYWAHcDj22rKWQ3s/edit?usp=sharing"",""กำแพงเพชร!J508"")"),0)</f>
        <v>0</v>
      </c>
      <c r="AE14" s="177">
        <f ca="1">IFERROR(__xludf.DUMMYFUNCTION("IMPORTRANGE(""https://docs.google.com/spreadsheets/d/1jTcq05yEiRwXcBMLjiodW9e4biSGYWAHcDj22rKWQ3s/edit?usp=sharing"",""กำแพงเพชร!J509"")"),0)</f>
        <v>0</v>
      </c>
    </row>
    <row r="15" spans="1:31" ht="24" customHeight="1" x14ac:dyDescent="0.3">
      <c r="A15" s="89">
        <v>2</v>
      </c>
      <c r="B15" s="90" t="s">
        <v>41</v>
      </c>
      <c r="C15" s="174">
        <f t="shared" si="19"/>
        <v>0</v>
      </c>
      <c r="D15" s="175">
        <f t="shared" si="33"/>
        <v>0</v>
      </c>
      <c r="E15" s="403">
        <v>0</v>
      </c>
      <c r="F15" s="403">
        <v>0</v>
      </c>
      <c r="G15" s="403">
        <v>0</v>
      </c>
      <c r="H15" s="403">
        <v>0</v>
      </c>
      <c r="I15" s="403">
        <v>0</v>
      </c>
      <c r="J15" s="176">
        <f t="shared" si="21"/>
        <v>0</v>
      </c>
      <c r="K15" s="179">
        <f t="shared" si="22"/>
        <v>0</v>
      </c>
      <c r="L15" s="403">
        <v>0</v>
      </c>
      <c r="M15" s="87">
        <f t="shared" si="23"/>
        <v>0</v>
      </c>
      <c r="N15" s="87">
        <f t="shared" si="24"/>
        <v>0</v>
      </c>
      <c r="O15" s="403">
        <v>0</v>
      </c>
      <c r="P15" s="86">
        <f t="shared" si="25"/>
        <v>0</v>
      </c>
      <c r="Q15" s="87">
        <f t="shared" si="26"/>
        <v>0</v>
      </c>
      <c r="R15" s="87">
        <f ca="1">IFERROR(__xludf.DUMMYFUNCTION("IMPORTRANGE(""https://docs.google.com/spreadsheets/d/1KS0zmDSZPk8KnTAbGN-Xk6MtX1YRZD0ldgdt20K4CRk/edit?usp=sharing"",""เชียงราย!Q498"")"),0)</f>
        <v>0</v>
      </c>
      <c r="S15" s="87">
        <f ca="1">IFERROR(__xludf.DUMMYFUNCTION("IMPORTRANGE(""https://docs.google.com/spreadsheets/d/1KS0zmDSZPk8KnTAbGN-Xk6MtX1YRZD0ldgdt20K4CRk/edit?usp=sharing"",""เชียงราย!R498"")"),0)</f>
        <v>0</v>
      </c>
      <c r="T15" s="87">
        <f ca="1">IFERROR(__xludf.DUMMYFUNCTION("IMPORTRANGE(""https://docs.google.com/spreadsheets/d/1KS0zmDSZPk8KnTAbGN-Xk6MtX1YRZD0ldgdt20K4CRk/edit?usp=sharing"",""เชียงราย!S498"")"),0)</f>
        <v>0</v>
      </c>
      <c r="U15" s="87">
        <f t="shared" ca="1" si="28"/>
        <v>0</v>
      </c>
      <c r="V15" s="87">
        <f t="shared" ca="1" si="29"/>
        <v>0</v>
      </c>
      <c r="W15" s="353">
        <f ca="1">IFERROR(__xludf.DUMMYFUNCTION("IMPORTRANGE(""https://docs.google.com/spreadsheets/d/1KS0zmDSZPk8KnTAbGN-Xk6MtX1YRZD0ldgdt20K4CRk/edit?usp=sharing"",""เชียงราย!I503"")"),0)</f>
        <v>0</v>
      </c>
      <c r="X15" s="177">
        <f ca="1">IFERROR(__xludf.DUMMYFUNCTION("IMPORTRANGE(""https://docs.google.com/spreadsheets/d/1KS0zmDSZPk8KnTAbGN-Xk6MtX1YRZD0ldgdt20K4CRk/edit?usp=sharing"",""เชียงราย!J503"")"),0)</f>
        <v>0</v>
      </c>
      <c r="Y15" s="354">
        <f t="shared" ca="1" si="31"/>
        <v>0</v>
      </c>
      <c r="Z15" s="177">
        <f ca="1">IFERROR(__xludf.DUMMYFUNCTION("IMPORTRANGE(""https://docs.google.com/spreadsheets/d/1KS0zmDSZPk8KnTAbGN-Xk6MtX1YRZD0ldgdt20K4CRk/edit?usp=sharing"",""เชียงราย!J504"")"),0)</f>
        <v>0</v>
      </c>
      <c r="AA15" s="177">
        <f ca="1">IFERROR(__xludf.DUMMYFUNCTION("IMPORTRANGE(""https://docs.google.com/spreadsheets/d/1KS0zmDSZPk8KnTAbGN-Xk6MtX1YRZD0ldgdt20K4CRk/edit?usp=sharing"",""เชียงราย!J505"")"),0)</f>
        <v>0</v>
      </c>
      <c r="AB15" s="177">
        <f ca="1">IFERROR(__xludf.DUMMYFUNCTION("IMPORTRANGE(""https://docs.google.com/spreadsheets/d/1KS0zmDSZPk8KnTAbGN-Xk6MtX1YRZD0ldgdt20K4CRk/edit?usp=sharing"",""เชียงราย!J506"")"),0)</f>
        <v>0</v>
      </c>
      <c r="AC15" s="177">
        <f ca="1">IFERROR(__xludf.DUMMYFUNCTION("IMPORTRANGE(""https://docs.google.com/spreadsheets/d/1KS0zmDSZPk8KnTAbGN-Xk6MtX1YRZD0ldgdt20K4CRk/edit?usp=sharing"",""เชียงราย!J507"")"),0)</f>
        <v>0</v>
      </c>
      <c r="AD15" s="177">
        <f ca="1">IFERROR(__xludf.DUMMYFUNCTION("IMPORTRANGE(""https://docs.google.com/spreadsheets/d/1KS0zmDSZPk8KnTAbGN-Xk6MtX1YRZD0ldgdt20K4CRk/edit?usp=sharing"",""เชียงราย!J508"")"),0)</f>
        <v>0</v>
      </c>
      <c r="AE15" s="177">
        <f ca="1">IFERROR(__xludf.DUMMYFUNCTION("IMPORTRANGE(""https://docs.google.com/spreadsheets/d/1KS0zmDSZPk8KnTAbGN-Xk6MtX1YRZD0ldgdt20K4CRk/edit?usp=sharing"",""เชียงราย!J509"")"),0)</f>
        <v>0</v>
      </c>
    </row>
    <row r="16" spans="1:31" ht="24" customHeight="1" x14ac:dyDescent="0.3">
      <c r="A16" s="89">
        <v>3</v>
      </c>
      <c r="B16" s="90" t="s">
        <v>42</v>
      </c>
      <c r="C16" s="174">
        <f t="shared" si="19"/>
        <v>0</v>
      </c>
      <c r="D16" s="175">
        <f t="shared" si="33"/>
        <v>0</v>
      </c>
      <c r="E16" s="403">
        <v>0</v>
      </c>
      <c r="F16" s="403">
        <v>0</v>
      </c>
      <c r="G16" s="403">
        <v>0</v>
      </c>
      <c r="H16" s="403">
        <v>0</v>
      </c>
      <c r="I16" s="403">
        <v>0</v>
      </c>
      <c r="J16" s="176">
        <f t="shared" si="21"/>
        <v>0</v>
      </c>
      <c r="K16" s="179">
        <f t="shared" si="22"/>
        <v>0</v>
      </c>
      <c r="L16" s="403">
        <v>0</v>
      </c>
      <c r="M16" s="87">
        <f t="shared" si="23"/>
        <v>0</v>
      </c>
      <c r="N16" s="87">
        <f t="shared" si="24"/>
        <v>0</v>
      </c>
      <c r="O16" s="403">
        <v>0</v>
      </c>
      <c r="P16" s="86">
        <f t="shared" si="25"/>
        <v>0</v>
      </c>
      <c r="Q16" s="87">
        <f t="shared" si="26"/>
        <v>0</v>
      </c>
      <c r="R16" s="87">
        <f ca="1">IFERROR(__xludf.DUMMYFUNCTION("IMPORTRANGE(""https://docs.google.com/spreadsheets/d/1rEDxBtusbi64tE0zunoIbsTVV16HeL0oJ6trHQeQ7K8/edit?usp=sharing"",""เชียงใหม่!Q498"")"),0)</f>
        <v>0</v>
      </c>
      <c r="S16" s="87">
        <f ca="1">IFERROR(__xludf.DUMMYFUNCTION("IMPORTRANGE(""https://docs.google.com/spreadsheets/d/1rEDxBtusbi64tE0zunoIbsTVV16HeL0oJ6trHQeQ7K8/edit?usp=sharing"",""เชียงใหม่!R498"")"),0)</f>
        <v>0</v>
      </c>
      <c r="T16" s="87">
        <f ca="1">IFERROR(__xludf.DUMMYFUNCTION("IMPORTRANGE(""https://docs.google.com/spreadsheets/d/1rEDxBtusbi64tE0zunoIbsTVV16HeL0oJ6trHQeQ7K8/edit?usp=sharing"",""เชียงใหม่!S498"")"),0)</f>
        <v>0</v>
      </c>
      <c r="U16" s="87">
        <f t="shared" ca="1" si="28"/>
        <v>0</v>
      </c>
      <c r="V16" s="87">
        <f t="shared" ca="1" si="29"/>
        <v>0</v>
      </c>
      <c r="W16" s="353">
        <f ca="1">IFERROR(__xludf.DUMMYFUNCTION("IMPORTRANGE(""https://docs.google.com/spreadsheets/d/1rEDxBtusbi64tE0zunoIbsTVV16HeL0oJ6trHQeQ7K8/edit?usp=sharing"",""เชียงใหม่!I503"")"),0)</f>
        <v>0</v>
      </c>
      <c r="X16" s="177">
        <f ca="1">IFERROR(__xludf.DUMMYFUNCTION("IMPORTRANGE(""https://docs.google.com/spreadsheets/d/1rEDxBtusbi64tE0zunoIbsTVV16HeL0oJ6trHQeQ7K8/edit?usp=sharing"",""เชียงใหม่!J503"")"),0)</f>
        <v>0</v>
      </c>
      <c r="Y16" s="354">
        <f t="shared" ca="1" si="31"/>
        <v>0</v>
      </c>
      <c r="Z16" s="177">
        <f ca="1">IFERROR(__xludf.DUMMYFUNCTION("IMPORTRANGE(""https://docs.google.com/spreadsheets/d/1rEDxBtusbi64tE0zunoIbsTVV16HeL0oJ6trHQeQ7K8/edit?usp=sharing"",""เชียงใหม่!J504"")"),0)</f>
        <v>0</v>
      </c>
      <c r="AA16" s="177">
        <f ca="1">IFERROR(__xludf.DUMMYFUNCTION("IMPORTRANGE(""https://docs.google.com/spreadsheets/d/1rEDxBtusbi64tE0zunoIbsTVV16HeL0oJ6trHQeQ7K8/edit?usp=sharing"",""เชียงใหม่!J505"")"),0)</f>
        <v>0</v>
      </c>
      <c r="AB16" s="177">
        <f ca="1">IFERROR(__xludf.DUMMYFUNCTION("IMPORTRANGE(""https://docs.google.com/spreadsheets/d/1rEDxBtusbi64tE0zunoIbsTVV16HeL0oJ6trHQeQ7K8/edit?usp=sharing"",""เชียงใหม่!J506"")"),0)</f>
        <v>0</v>
      </c>
      <c r="AC16" s="177">
        <f ca="1">IFERROR(__xludf.DUMMYFUNCTION("IMPORTRANGE(""https://docs.google.com/spreadsheets/d/1rEDxBtusbi64tE0zunoIbsTVV16HeL0oJ6trHQeQ7K8/edit?usp=sharing"",""เชียงใหม่!J507"")"),0)</f>
        <v>0</v>
      </c>
      <c r="AD16" s="177">
        <f ca="1">IFERROR(__xludf.DUMMYFUNCTION("IMPORTRANGE(""https://docs.google.com/spreadsheets/d/1rEDxBtusbi64tE0zunoIbsTVV16HeL0oJ6trHQeQ7K8/edit?usp=sharing"",""เชียงใหม่!J508"")"),0)</f>
        <v>0</v>
      </c>
      <c r="AE16" s="177">
        <f ca="1">IFERROR(__xludf.DUMMYFUNCTION("IMPORTRANGE(""https://docs.google.com/spreadsheets/d/1rEDxBtusbi64tE0zunoIbsTVV16HeL0oJ6trHQeQ7K8/edit?usp=sharing"",""เชียงใหม่!J509"")"),0)</f>
        <v>0</v>
      </c>
    </row>
    <row r="17" spans="1:31" ht="24" customHeight="1" x14ac:dyDescent="0.3">
      <c r="A17" s="89">
        <v>4</v>
      </c>
      <c r="B17" s="90" t="s">
        <v>43</v>
      </c>
      <c r="C17" s="174">
        <f t="shared" si="19"/>
        <v>0</v>
      </c>
      <c r="D17" s="175">
        <f t="shared" si="33"/>
        <v>0</v>
      </c>
      <c r="E17" s="403">
        <v>0</v>
      </c>
      <c r="F17" s="403">
        <v>0</v>
      </c>
      <c r="G17" s="403">
        <v>0</v>
      </c>
      <c r="H17" s="403">
        <v>0</v>
      </c>
      <c r="I17" s="403">
        <v>0</v>
      </c>
      <c r="J17" s="176">
        <f t="shared" si="21"/>
        <v>0</v>
      </c>
      <c r="K17" s="179">
        <f t="shared" si="22"/>
        <v>0</v>
      </c>
      <c r="L17" s="403">
        <v>0</v>
      </c>
      <c r="M17" s="87">
        <f t="shared" si="23"/>
        <v>0</v>
      </c>
      <c r="N17" s="87">
        <f t="shared" si="24"/>
        <v>0</v>
      </c>
      <c r="O17" s="403">
        <v>0</v>
      </c>
      <c r="P17" s="86">
        <f t="shared" si="25"/>
        <v>0</v>
      </c>
      <c r="Q17" s="87">
        <f t="shared" si="26"/>
        <v>0</v>
      </c>
      <c r="R17" s="87">
        <f ca="1">IFERROR(__xludf.DUMMYFUNCTION("IMPORTRANGE(""https://docs.google.com/spreadsheets/d/1W6MnUbDkMi6xHnHko_XkFDO9kkuL6Wqyc-6OCDFjW9I/edit?usp=sharing"",""ตาก!Q498"")"),0)</f>
        <v>0</v>
      </c>
      <c r="S17" s="87">
        <f ca="1">IFERROR(__xludf.DUMMYFUNCTION("IMPORTRANGE(""https://docs.google.com/spreadsheets/d/1W6MnUbDkMi6xHnHko_XkFDO9kkuL6Wqyc-6OCDFjW9I/edit?usp=sharing"",""ตาก!R498"")"),0)</f>
        <v>0</v>
      </c>
      <c r="T17" s="87">
        <f ca="1">IFERROR(__xludf.DUMMYFUNCTION("IMPORTRANGE(""https://docs.google.com/spreadsheets/d/1W6MnUbDkMi6xHnHko_XkFDO9kkuL6Wqyc-6OCDFjW9I/edit?usp=sharing"",""ตาก!S498"")"),0)</f>
        <v>0</v>
      </c>
      <c r="U17" s="87">
        <f t="shared" ca="1" si="28"/>
        <v>0</v>
      </c>
      <c r="V17" s="87">
        <f t="shared" ca="1" si="29"/>
        <v>0</v>
      </c>
      <c r="W17" s="353">
        <f ca="1">IFERROR(__xludf.DUMMYFUNCTION("IMPORTRANGE(""https://docs.google.com/spreadsheets/d/1W6MnUbDkMi6xHnHko_XkFDO9kkuL6Wqyc-6OCDFjW9I/edit?usp=sharing"",""ตาก!I503"")"),0)</f>
        <v>0</v>
      </c>
      <c r="X17" s="177">
        <f ca="1">IFERROR(__xludf.DUMMYFUNCTION("IMPORTRANGE(""https://docs.google.com/spreadsheets/d/1W6MnUbDkMi6xHnHko_XkFDO9kkuL6Wqyc-6OCDFjW9I/edit?usp=sharing"",""ตาก!J503"")"),0)</f>
        <v>0</v>
      </c>
      <c r="Y17" s="354">
        <f t="shared" ca="1" si="31"/>
        <v>0</v>
      </c>
      <c r="Z17" s="177">
        <f ca="1">IFERROR(__xludf.DUMMYFUNCTION("IMPORTRANGE(""https://docs.google.com/spreadsheets/d/1W6MnUbDkMi6xHnHko_XkFDO9kkuL6Wqyc-6OCDFjW9I/edit?usp=sharing"",""ตาก!J504"")"),0)</f>
        <v>0</v>
      </c>
      <c r="AA17" s="177">
        <f ca="1">IFERROR(__xludf.DUMMYFUNCTION("IMPORTRANGE(""https://docs.google.com/spreadsheets/d/1W6MnUbDkMi6xHnHko_XkFDO9kkuL6Wqyc-6OCDFjW9I/edit?usp=sharing"",""ตาก!J505"")"),0)</f>
        <v>0</v>
      </c>
      <c r="AB17" s="177">
        <f ca="1">IFERROR(__xludf.DUMMYFUNCTION("IMPORTRANGE(""https://docs.google.com/spreadsheets/d/1W6MnUbDkMi6xHnHko_XkFDO9kkuL6Wqyc-6OCDFjW9I/edit?usp=sharing"",""ตาก!J506"")"),0)</f>
        <v>0</v>
      </c>
      <c r="AC17" s="177">
        <f ca="1">IFERROR(__xludf.DUMMYFUNCTION("IMPORTRANGE(""https://docs.google.com/spreadsheets/d/1W6MnUbDkMi6xHnHko_XkFDO9kkuL6Wqyc-6OCDFjW9I/edit?usp=sharing"",""ตาก!J507"")"),0)</f>
        <v>0</v>
      </c>
      <c r="AD17" s="177">
        <f ca="1">IFERROR(__xludf.DUMMYFUNCTION("IMPORTRANGE(""https://docs.google.com/spreadsheets/d/1W6MnUbDkMi6xHnHko_XkFDO9kkuL6Wqyc-6OCDFjW9I/edit?usp=sharing"",""ตาก!J508"")"),0)</f>
        <v>0</v>
      </c>
      <c r="AE17" s="177">
        <f ca="1">IFERROR(__xludf.DUMMYFUNCTION("IMPORTRANGE(""https://docs.google.com/spreadsheets/d/1W6MnUbDkMi6xHnHko_XkFDO9kkuL6Wqyc-6OCDFjW9I/edit?usp=sharing"",""ตาก!J509"")"),0)</f>
        <v>0</v>
      </c>
    </row>
    <row r="18" spans="1:31" ht="24" customHeight="1" x14ac:dyDescent="0.3">
      <c r="A18" s="89">
        <v>5</v>
      </c>
      <c r="B18" s="90" t="s">
        <v>44</v>
      </c>
      <c r="C18" s="174">
        <f t="shared" si="19"/>
        <v>0</v>
      </c>
      <c r="D18" s="175">
        <f t="shared" si="33"/>
        <v>0</v>
      </c>
      <c r="E18" s="403">
        <v>0</v>
      </c>
      <c r="F18" s="403">
        <v>0</v>
      </c>
      <c r="G18" s="403">
        <v>0</v>
      </c>
      <c r="H18" s="403">
        <v>0</v>
      </c>
      <c r="I18" s="403">
        <v>0</v>
      </c>
      <c r="J18" s="176">
        <f t="shared" si="21"/>
        <v>0</v>
      </c>
      <c r="K18" s="179">
        <f t="shared" si="22"/>
        <v>0</v>
      </c>
      <c r="L18" s="403">
        <v>0</v>
      </c>
      <c r="M18" s="87">
        <f t="shared" si="23"/>
        <v>0</v>
      </c>
      <c r="N18" s="87">
        <f t="shared" si="24"/>
        <v>0</v>
      </c>
      <c r="O18" s="403">
        <v>0</v>
      </c>
      <c r="P18" s="86">
        <f t="shared" si="25"/>
        <v>0</v>
      </c>
      <c r="Q18" s="87">
        <f t="shared" si="26"/>
        <v>0</v>
      </c>
      <c r="R18" s="87">
        <f ca="1">IFERROR(__xludf.DUMMYFUNCTION("IMPORTRANGE(""https://docs.google.com/spreadsheets/d/1IQAWArduLkta9LpYo4a_ULsyqdta6-6aDDiwpUnQT6c/edit?usp=sharing"",""นครสวรรค์!Q498"")"),0)</f>
        <v>0</v>
      </c>
      <c r="S18" s="87">
        <f ca="1">IFERROR(__xludf.DUMMYFUNCTION("IMPORTRANGE(""https://docs.google.com/spreadsheets/d/1IQAWArduLkta9LpYo4a_ULsyqdta6-6aDDiwpUnQT6c/edit?usp=sharing"",""นครสวรรค์!R498"")"),0)</f>
        <v>0</v>
      </c>
      <c r="T18" s="87">
        <f ca="1">IFERROR(__xludf.DUMMYFUNCTION("IMPORTRANGE(""https://docs.google.com/spreadsheets/d/1IQAWArduLkta9LpYo4a_ULsyqdta6-6aDDiwpUnQT6c/edit?usp=sharing"",""นครสวรรค์!S498"")"),0)</f>
        <v>0</v>
      </c>
      <c r="U18" s="87">
        <f t="shared" ca="1" si="28"/>
        <v>0</v>
      </c>
      <c r="V18" s="87">
        <f t="shared" ca="1" si="29"/>
        <v>0</v>
      </c>
      <c r="W18" s="353">
        <f ca="1">IFERROR(__xludf.DUMMYFUNCTION("IMPORTRANGE(""https://docs.google.com/spreadsheets/d/1IQAWArduLkta9LpYo4a_ULsyqdta6-6aDDiwpUnQT6c/edit?usp=sharing"",""นครสวรรค์!I503"")"),0)</f>
        <v>0</v>
      </c>
      <c r="X18" s="177">
        <f ca="1">IFERROR(__xludf.DUMMYFUNCTION("IMPORTRANGE(""https://docs.google.com/spreadsheets/d/1IQAWArduLkta9LpYo4a_ULsyqdta6-6aDDiwpUnQT6c/edit?usp=sharing"",""นครสวรรค์!J503"")"),0)</f>
        <v>0</v>
      </c>
      <c r="Y18" s="354">
        <f t="shared" ca="1" si="31"/>
        <v>0</v>
      </c>
      <c r="Z18" s="177">
        <f ca="1">IFERROR(__xludf.DUMMYFUNCTION("IMPORTRANGE(""https://docs.google.com/spreadsheets/d/1IQAWArduLkta9LpYo4a_ULsyqdta6-6aDDiwpUnQT6c/edit?usp=sharing"",""นครสวรรค์!J504"")"),0)</f>
        <v>0</v>
      </c>
      <c r="AA18" s="177">
        <f ca="1">IFERROR(__xludf.DUMMYFUNCTION("IMPORTRANGE(""https://docs.google.com/spreadsheets/d/1IQAWArduLkta9LpYo4a_ULsyqdta6-6aDDiwpUnQT6c/edit?usp=sharing"",""นครสวรรค์!J505"")"),0)</f>
        <v>0</v>
      </c>
      <c r="AB18" s="177">
        <f ca="1">IFERROR(__xludf.DUMMYFUNCTION("IMPORTRANGE(""https://docs.google.com/spreadsheets/d/1IQAWArduLkta9LpYo4a_ULsyqdta6-6aDDiwpUnQT6c/edit?usp=sharing"",""นครสวรรค์!J506"")"),0)</f>
        <v>0</v>
      </c>
      <c r="AC18" s="177">
        <f ca="1">IFERROR(__xludf.DUMMYFUNCTION("IMPORTRANGE(""https://docs.google.com/spreadsheets/d/1IQAWArduLkta9LpYo4a_ULsyqdta6-6aDDiwpUnQT6c/edit?usp=sharing"",""นครสวรรค์!J507"")"),0)</f>
        <v>0</v>
      </c>
      <c r="AD18" s="177">
        <f ca="1">IFERROR(__xludf.DUMMYFUNCTION("IMPORTRANGE(""https://docs.google.com/spreadsheets/d/1IQAWArduLkta9LpYo4a_ULsyqdta6-6aDDiwpUnQT6c/edit?usp=sharing"",""นครสวรรค์!J508"")"),0)</f>
        <v>0</v>
      </c>
      <c r="AE18" s="177">
        <f ca="1">IFERROR(__xludf.DUMMYFUNCTION("IMPORTRANGE(""https://docs.google.com/spreadsheets/d/1IQAWArduLkta9LpYo4a_ULsyqdta6-6aDDiwpUnQT6c/edit?usp=sharing"",""นครสวรรค์!J509"")"),0)</f>
        <v>0</v>
      </c>
    </row>
    <row r="19" spans="1:31" ht="24" customHeight="1" x14ac:dyDescent="0.3">
      <c r="A19" s="89">
        <v>6</v>
      </c>
      <c r="B19" s="90" t="s">
        <v>45</v>
      </c>
      <c r="C19" s="174">
        <f t="shared" si="19"/>
        <v>0</v>
      </c>
      <c r="D19" s="175">
        <f t="shared" si="33"/>
        <v>0</v>
      </c>
      <c r="E19" s="403">
        <v>0</v>
      </c>
      <c r="F19" s="403">
        <v>0</v>
      </c>
      <c r="G19" s="403">
        <v>0</v>
      </c>
      <c r="H19" s="403">
        <v>0</v>
      </c>
      <c r="I19" s="403">
        <v>0</v>
      </c>
      <c r="J19" s="176">
        <f t="shared" si="21"/>
        <v>0</v>
      </c>
      <c r="K19" s="179">
        <f t="shared" si="22"/>
        <v>0</v>
      </c>
      <c r="L19" s="403">
        <v>0</v>
      </c>
      <c r="M19" s="87">
        <f t="shared" si="23"/>
        <v>0</v>
      </c>
      <c r="N19" s="87">
        <f t="shared" si="24"/>
        <v>0</v>
      </c>
      <c r="O19" s="403">
        <v>0</v>
      </c>
      <c r="P19" s="86">
        <f t="shared" si="25"/>
        <v>0</v>
      </c>
      <c r="Q19" s="87">
        <f t="shared" si="26"/>
        <v>0</v>
      </c>
      <c r="R19" s="87">
        <f ca="1">IFERROR(__xludf.DUMMYFUNCTION("IMPORTRANGE(""https://docs.google.com/spreadsheets/d/10s13Sk5xrltsiR-Zkbmk5DwIaDIKO8XlbJAfqyT7Gvg/edit?usp=sharing"",""น่าน!Q498"")"),0)</f>
        <v>0</v>
      </c>
      <c r="S19" s="87">
        <f ca="1">IFERROR(__xludf.DUMMYFUNCTION("IMPORTRANGE(""https://docs.google.com/spreadsheets/d/10s13Sk5xrltsiR-Zkbmk5DwIaDIKO8XlbJAfqyT7Gvg/edit?usp=sharing"",""น่าน!R498"")"),0)</f>
        <v>0</v>
      </c>
      <c r="T19" s="87">
        <f ca="1">IFERROR(__xludf.DUMMYFUNCTION("IMPORTRANGE(""https://docs.google.com/spreadsheets/d/10s13Sk5xrltsiR-Zkbmk5DwIaDIKO8XlbJAfqyT7Gvg/edit?usp=sharing"",""น่าน!S498"")"),0)</f>
        <v>0</v>
      </c>
      <c r="U19" s="87">
        <f t="shared" ca="1" si="28"/>
        <v>0</v>
      </c>
      <c r="V19" s="87">
        <f t="shared" ca="1" si="29"/>
        <v>0</v>
      </c>
      <c r="W19" s="353">
        <f ca="1">IFERROR(__xludf.DUMMYFUNCTION("IMPORTRANGE(""https://docs.google.com/spreadsheets/d/10s13Sk5xrltsiR-Zkbmk5DwIaDIKO8XlbJAfqyT7Gvg/edit?usp=sharing"",""น่าน!I503"")"),0)</f>
        <v>0</v>
      </c>
      <c r="X19" s="177">
        <f ca="1">IFERROR(__xludf.DUMMYFUNCTION("IMPORTRANGE(""https://docs.google.com/spreadsheets/d/10s13Sk5xrltsiR-Zkbmk5DwIaDIKO8XlbJAfqyT7Gvg/edit?usp=sharing"",""น่าน!J503"")"),0)</f>
        <v>0</v>
      </c>
      <c r="Y19" s="354">
        <f t="shared" ca="1" si="31"/>
        <v>0</v>
      </c>
      <c r="Z19" s="177">
        <f ca="1">IFERROR(__xludf.DUMMYFUNCTION("IMPORTRANGE(""https://docs.google.com/spreadsheets/d/10s13Sk5xrltsiR-Zkbmk5DwIaDIKO8XlbJAfqyT7Gvg/edit?usp=sharing"",""น่าน!J504"")"),0)</f>
        <v>0</v>
      </c>
      <c r="AA19" s="177">
        <f ca="1">IFERROR(__xludf.DUMMYFUNCTION("IMPORTRANGE(""https://docs.google.com/spreadsheets/d/10s13Sk5xrltsiR-Zkbmk5DwIaDIKO8XlbJAfqyT7Gvg/edit?usp=sharing"",""น่าน!J505"")"),0)</f>
        <v>0</v>
      </c>
      <c r="AB19" s="177">
        <f ca="1">IFERROR(__xludf.DUMMYFUNCTION("IMPORTRANGE(""https://docs.google.com/spreadsheets/d/10s13Sk5xrltsiR-Zkbmk5DwIaDIKO8XlbJAfqyT7Gvg/edit?usp=sharing"",""น่าน!J506"")"),0)</f>
        <v>0</v>
      </c>
      <c r="AC19" s="177">
        <f ca="1">IFERROR(__xludf.DUMMYFUNCTION("IMPORTRANGE(""https://docs.google.com/spreadsheets/d/10s13Sk5xrltsiR-Zkbmk5DwIaDIKO8XlbJAfqyT7Gvg/edit?usp=sharing"",""น่าน!J507"")"),0)</f>
        <v>0</v>
      </c>
      <c r="AD19" s="177">
        <f ca="1">IFERROR(__xludf.DUMMYFUNCTION("IMPORTRANGE(""https://docs.google.com/spreadsheets/d/10s13Sk5xrltsiR-Zkbmk5DwIaDIKO8XlbJAfqyT7Gvg/edit?usp=sharing"",""น่าน!J508"")"),0)</f>
        <v>0</v>
      </c>
      <c r="AE19" s="177">
        <f ca="1">IFERROR(__xludf.DUMMYFUNCTION("IMPORTRANGE(""https://docs.google.com/spreadsheets/d/10s13Sk5xrltsiR-Zkbmk5DwIaDIKO8XlbJAfqyT7Gvg/edit?usp=sharing"",""น่าน!J509"")"),0)</f>
        <v>0</v>
      </c>
    </row>
    <row r="20" spans="1:31" ht="24" customHeight="1" x14ac:dyDescent="0.3">
      <c r="A20" s="89">
        <v>7</v>
      </c>
      <c r="B20" s="90" t="s">
        <v>46</v>
      </c>
      <c r="C20" s="174">
        <f t="shared" si="19"/>
        <v>0</v>
      </c>
      <c r="D20" s="175">
        <f t="shared" si="33"/>
        <v>0</v>
      </c>
      <c r="E20" s="403">
        <v>0</v>
      </c>
      <c r="F20" s="403">
        <v>0</v>
      </c>
      <c r="G20" s="403">
        <v>0</v>
      </c>
      <c r="H20" s="403">
        <v>0</v>
      </c>
      <c r="I20" s="403">
        <v>0</v>
      </c>
      <c r="J20" s="176">
        <f t="shared" si="21"/>
        <v>0</v>
      </c>
      <c r="K20" s="179">
        <f t="shared" si="22"/>
        <v>0</v>
      </c>
      <c r="L20" s="403">
        <v>0</v>
      </c>
      <c r="M20" s="87">
        <f t="shared" si="23"/>
        <v>0</v>
      </c>
      <c r="N20" s="87">
        <f t="shared" si="24"/>
        <v>0</v>
      </c>
      <c r="O20" s="403">
        <v>0</v>
      </c>
      <c r="P20" s="86">
        <f t="shared" si="25"/>
        <v>0</v>
      </c>
      <c r="Q20" s="87">
        <f t="shared" si="26"/>
        <v>0</v>
      </c>
      <c r="R20" s="87">
        <f ca="1">IFERROR(__xludf.DUMMYFUNCTION("IMPORTRANGE(""https://docs.google.com/spreadsheets/d/1uu4nAn4Dbi1XREnLKKotUANlKXa7yCgRcgq8HEzQYW8/edit?usp=sharing"",""พะเยา!Q498"")"),0)</f>
        <v>0</v>
      </c>
      <c r="S20" s="87">
        <f ca="1">IFERROR(__xludf.DUMMYFUNCTION("IMPORTRANGE(""https://docs.google.com/spreadsheets/d/1uu4nAn4Dbi1XREnLKKotUANlKXa7yCgRcgq8HEzQYW8/edit?usp=sharing"",""พะเยา!R498"")"),0)</f>
        <v>0</v>
      </c>
      <c r="T20" s="87">
        <f ca="1">IFERROR(__xludf.DUMMYFUNCTION("IMPORTRANGE(""https://docs.google.com/spreadsheets/d/1uu4nAn4Dbi1XREnLKKotUANlKXa7yCgRcgq8HEzQYW8/edit?usp=sharing"",""พะเยา!S498"")"),0)</f>
        <v>0</v>
      </c>
      <c r="U20" s="87">
        <f t="shared" ca="1" si="28"/>
        <v>0</v>
      </c>
      <c r="V20" s="87">
        <f t="shared" ca="1" si="29"/>
        <v>0</v>
      </c>
      <c r="W20" s="353">
        <f ca="1">IFERROR(__xludf.DUMMYFUNCTION("IMPORTRANGE(""https://docs.google.com/spreadsheets/d/1uu4nAn4Dbi1XREnLKKotUANlKXa7yCgRcgq8HEzQYW8/edit?usp=sharing"",""พะเยา!I503"")"),0)</f>
        <v>0</v>
      </c>
      <c r="X20" s="177">
        <f ca="1">IFERROR(__xludf.DUMMYFUNCTION("IMPORTRANGE(""https://docs.google.com/spreadsheets/d/1uu4nAn4Dbi1XREnLKKotUANlKXa7yCgRcgq8HEzQYW8/edit?usp=sharing"",""พะเยา!J503"")"),0)</f>
        <v>0</v>
      </c>
      <c r="Y20" s="354">
        <f t="shared" ca="1" si="31"/>
        <v>0</v>
      </c>
      <c r="Z20" s="177">
        <f ca="1">IFERROR(__xludf.DUMMYFUNCTION("IMPORTRANGE(""https://docs.google.com/spreadsheets/d/1uu4nAn4Dbi1XREnLKKotUANlKXa7yCgRcgq8HEzQYW8/edit?usp=sharing"",""พะเยา!J504"")"),0)</f>
        <v>0</v>
      </c>
      <c r="AA20" s="177">
        <f ca="1">IFERROR(__xludf.DUMMYFUNCTION("IMPORTRANGE(""https://docs.google.com/spreadsheets/d/1uu4nAn4Dbi1XREnLKKotUANlKXa7yCgRcgq8HEzQYW8/edit?usp=sharing"",""พะเยา!J505"")"),0)</f>
        <v>0</v>
      </c>
      <c r="AB20" s="177">
        <f ca="1">IFERROR(__xludf.DUMMYFUNCTION("IMPORTRANGE(""https://docs.google.com/spreadsheets/d/1uu4nAn4Dbi1XREnLKKotUANlKXa7yCgRcgq8HEzQYW8/edit?usp=sharing"",""พะเยา!J506"")"),0)</f>
        <v>0</v>
      </c>
      <c r="AC20" s="177">
        <f ca="1">IFERROR(__xludf.DUMMYFUNCTION("IMPORTRANGE(""https://docs.google.com/spreadsheets/d/1uu4nAn4Dbi1XREnLKKotUANlKXa7yCgRcgq8HEzQYW8/edit?usp=sharing"",""พะเยา!J507"")"),0)</f>
        <v>0</v>
      </c>
      <c r="AD20" s="177">
        <f ca="1">IFERROR(__xludf.DUMMYFUNCTION("IMPORTRANGE(""https://docs.google.com/spreadsheets/d/1uu4nAn4Dbi1XREnLKKotUANlKXa7yCgRcgq8HEzQYW8/edit?usp=sharing"",""พะเยา!J508"")"),0)</f>
        <v>0</v>
      </c>
      <c r="AE20" s="177">
        <f ca="1">IFERROR(__xludf.DUMMYFUNCTION("IMPORTRANGE(""https://docs.google.com/spreadsheets/d/1uu4nAn4Dbi1XREnLKKotUANlKXa7yCgRcgq8HEzQYW8/edit?usp=sharing"",""พะเยา!J509"")"),0)</f>
        <v>0</v>
      </c>
    </row>
    <row r="21" spans="1:31" ht="24" customHeight="1" x14ac:dyDescent="0.3">
      <c r="A21" s="89">
        <v>8</v>
      </c>
      <c r="B21" s="90" t="s">
        <v>47</v>
      </c>
      <c r="C21" s="174">
        <f t="shared" si="19"/>
        <v>0</v>
      </c>
      <c r="D21" s="175">
        <f t="shared" si="33"/>
        <v>0</v>
      </c>
      <c r="E21" s="403">
        <v>0</v>
      </c>
      <c r="F21" s="403">
        <v>0</v>
      </c>
      <c r="G21" s="403">
        <v>0</v>
      </c>
      <c r="H21" s="403">
        <v>0</v>
      </c>
      <c r="I21" s="403">
        <v>0</v>
      </c>
      <c r="J21" s="176">
        <f t="shared" si="21"/>
        <v>0</v>
      </c>
      <c r="K21" s="179">
        <f t="shared" si="22"/>
        <v>0</v>
      </c>
      <c r="L21" s="403">
        <v>0</v>
      </c>
      <c r="M21" s="87">
        <f t="shared" si="23"/>
        <v>0</v>
      </c>
      <c r="N21" s="87">
        <f t="shared" si="24"/>
        <v>0</v>
      </c>
      <c r="O21" s="403">
        <v>0</v>
      </c>
      <c r="P21" s="86">
        <f t="shared" si="25"/>
        <v>0</v>
      </c>
      <c r="Q21" s="87">
        <f t="shared" si="26"/>
        <v>0</v>
      </c>
      <c r="R21" s="87">
        <f ca="1">IFERROR(__xludf.DUMMYFUNCTION("IMPORTRANGE(""https://docs.google.com/spreadsheets/d/1xfJKIQxVOaPDIICqsflNlLu3JacTDk1FP9RH4phX7mI/edit?usp=sharing"",""พิจิตร!Q498"")"),0)</f>
        <v>0</v>
      </c>
      <c r="S21" s="87">
        <f ca="1">IFERROR(__xludf.DUMMYFUNCTION("IMPORTRANGE(""https://docs.google.com/spreadsheets/d/1xfJKIQxVOaPDIICqsflNlLu3JacTDk1FP9RH4phX7mI/edit?usp=sharing"",""พิจิตร!R498"")"),0)</f>
        <v>0</v>
      </c>
      <c r="T21" s="87">
        <f ca="1">IFERROR(__xludf.DUMMYFUNCTION("IMPORTRANGE(""https://docs.google.com/spreadsheets/d/1xfJKIQxVOaPDIICqsflNlLu3JacTDk1FP9RH4phX7mI/edit?usp=sharing"",""พิจิตร!S498"")"),0)</f>
        <v>0</v>
      </c>
      <c r="U21" s="87">
        <f t="shared" ca="1" si="28"/>
        <v>0</v>
      </c>
      <c r="V21" s="87">
        <f t="shared" ca="1" si="29"/>
        <v>0</v>
      </c>
      <c r="W21" s="353">
        <f ca="1">IFERROR(__xludf.DUMMYFUNCTION("IMPORTRANGE(""https://docs.google.com/spreadsheets/d/1xfJKIQxVOaPDIICqsflNlLu3JacTDk1FP9RH4phX7mI/edit?usp=sharing"",""พิจิตร!I503"")"),0)</f>
        <v>0</v>
      </c>
      <c r="X21" s="177">
        <f ca="1">IFERROR(__xludf.DUMMYFUNCTION("IMPORTRANGE(""https://docs.google.com/spreadsheets/d/1xfJKIQxVOaPDIICqsflNlLu3JacTDk1FP9RH4phX7mI/edit?usp=sharing"",""พิจิตร!J503"")"),0)</f>
        <v>0</v>
      </c>
      <c r="Y21" s="354">
        <f t="shared" ca="1" si="31"/>
        <v>0</v>
      </c>
      <c r="Z21" s="177">
        <f ca="1">IFERROR(__xludf.DUMMYFUNCTION("IMPORTRANGE(""https://docs.google.com/spreadsheets/d/1xfJKIQxVOaPDIICqsflNlLu3JacTDk1FP9RH4phX7mI/edit?usp=sharing"",""พิจิตร!J504"")"),0)</f>
        <v>0</v>
      </c>
      <c r="AA21" s="177">
        <f ca="1">IFERROR(__xludf.DUMMYFUNCTION("IMPORTRANGE(""https://docs.google.com/spreadsheets/d/1xfJKIQxVOaPDIICqsflNlLu3JacTDk1FP9RH4phX7mI/edit?usp=sharing"",""พิจิตร!J505"")"),0)</f>
        <v>0</v>
      </c>
      <c r="AB21" s="177">
        <f ca="1">IFERROR(__xludf.DUMMYFUNCTION("IMPORTRANGE(""https://docs.google.com/spreadsheets/d/1xfJKIQxVOaPDIICqsflNlLu3JacTDk1FP9RH4phX7mI/edit?usp=sharing"",""พิจิตร!J506"")"),0)</f>
        <v>0</v>
      </c>
      <c r="AC21" s="177">
        <f ca="1">IFERROR(__xludf.DUMMYFUNCTION("IMPORTRANGE(""https://docs.google.com/spreadsheets/d/1xfJKIQxVOaPDIICqsflNlLu3JacTDk1FP9RH4phX7mI/edit?usp=sharing"",""พิจิตร!J507"")"),0)</f>
        <v>0</v>
      </c>
      <c r="AD21" s="177">
        <f ca="1">IFERROR(__xludf.DUMMYFUNCTION("IMPORTRANGE(""https://docs.google.com/spreadsheets/d/1xfJKIQxVOaPDIICqsflNlLu3JacTDk1FP9RH4phX7mI/edit?usp=sharing"",""พิจิตร!J508"")"),0)</f>
        <v>0</v>
      </c>
      <c r="AE21" s="177">
        <f ca="1">IFERROR(__xludf.DUMMYFUNCTION("IMPORTRANGE(""https://docs.google.com/spreadsheets/d/1xfJKIQxVOaPDIICqsflNlLu3JacTDk1FP9RH4phX7mI/edit?usp=sharing"",""พิจิตร!J509"")"),0)</f>
        <v>0</v>
      </c>
    </row>
    <row r="22" spans="1:31" ht="24" customHeight="1" x14ac:dyDescent="0.3">
      <c r="A22" s="89">
        <v>9</v>
      </c>
      <c r="B22" s="90" t="s">
        <v>48</v>
      </c>
      <c r="C22" s="174">
        <f t="shared" si="19"/>
        <v>0</v>
      </c>
      <c r="D22" s="175">
        <f t="shared" si="33"/>
        <v>0</v>
      </c>
      <c r="E22" s="403">
        <v>0</v>
      </c>
      <c r="F22" s="403">
        <v>0</v>
      </c>
      <c r="G22" s="403">
        <v>0</v>
      </c>
      <c r="H22" s="403">
        <v>0</v>
      </c>
      <c r="I22" s="403">
        <v>0</v>
      </c>
      <c r="J22" s="176">
        <f t="shared" si="21"/>
        <v>0</v>
      </c>
      <c r="K22" s="179">
        <f t="shared" si="22"/>
        <v>0</v>
      </c>
      <c r="L22" s="403">
        <v>0</v>
      </c>
      <c r="M22" s="87">
        <f t="shared" si="23"/>
        <v>0</v>
      </c>
      <c r="N22" s="87">
        <f t="shared" si="24"/>
        <v>0</v>
      </c>
      <c r="O22" s="403">
        <v>0</v>
      </c>
      <c r="P22" s="86">
        <f t="shared" si="25"/>
        <v>0</v>
      </c>
      <c r="Q22" s="87">
        <f t="shared" si="26"/>
        <v>0</v>
      </c>
      <c r="R22" s="87">
        <f ca="1">IFERROR(__xludf.DUMMYFUNCTION("IMPORTRANGE(""https://docs.google.com/spreadsheets/d/1JtRfZkJMHtEhI5RdRHxYUG4FIZHqKDpNyIuN7A1Q0_k/edit?usp=sharing"",""พิษณุโลก!Q498"")"),0)</f>
        <v>0</v>
      </c>
      <c r="S22" s="87">
        <f ca="1">IFERROR(__xludf.DUMMYFUNCTION("IMPORTRANGE(""https://docs.google.com/spreadsheets/d/1JtRfZkJMHtEhI5RdRHxYUG4FIZHqKDpNyIuN7A1Q0_k/edit?usp=sharing"",""พิษณุโลก!R498"")"),0)</f>
        <v>0</v>
      </c>
      <c r="T22" s="87">
        <f ca="1">IFERROR(__xludf.DUMMYFUNCTION("IMPORTRANGE(""https://docs.google.com/spreadsheets/d/1JtRfZkJMHtEhI5RdRHxYUG4FIZHqKDpNyIuN7A1Q0_k/edit?usp=sharing"",""พิษณุโลก!S498"")"),0)</f>
        <v>0</v>
      </c>
      <c r="U22" s="87">
        <f t="shared" ca="1" si="28"/>
        <v>0</v>
      </c>
      <c r="V22" s="87">
        <f t="shared" ca="1" si="29"/>
        <v>0</v>
      </c>
      <c r="W22" s="353">
        <f ca="1">IFERROR(__xludf.DUMMYFUNCTION("IMPORTRANGE(""https://docs.google.com/spreadsheets/d/1JtRfZkJMHtEhI5RdRHxYUG4FIZHqKDpNyIuN7A1Q0_k/edit?usp=sharing"",""พิษณุโลก!I503"")"),0)</f>
        <v>0</v>
      </c>
      <c r="X22" s="177">
        <f ca="1">IFERROR(__xludf.DUMMYFUNCTION("IMPORTRANGE(""https://docs.google.com/spreadsheets/d/1JtRfZkJMHtEhI5RdRHxYUG4FIZHqKDpNyIuN7A1Q0_k/edit?usp=sharing"",""พิษณุโลก!J503"")"),0)</f>
        <v>0</v>
      </c>
      <c r="Y22" s="354">
        <f t="shared" ca="1" si="31"/>
        <v>0</v>
      </c>
      <c r="Z22" s="177">
        <f ca="1">IFERROR(__xludf.DUMMYFUNCTION("IMPORTRANGE(""https://docs.google.com/spreadsheets/d/1JtRfZkJMHtEhI5RdRHxYUG4FIZHqKDpNyIuN7A1Q0_k/edit?usp=sharing"",""พิษณุโลก!J504"")"),0)</f>
        <v>0</v>
      </c>
      <c r="AA22" s="177">
        <f ca="1">IFERROR(__xludf.DUMMYFUNCTION("IMPORTRANGE(""https://docs.google.com/spreadsheets/d/1JtRfZkJMHtEhI5RdRHxYUG4FIZHqKDpNyIuN7A1Q0_k/edit?usp=sharing"",""พิษณุโลก!J505"")"),0)</f>
        <v>0</v>
      </c>
      <c r="AB22" s="177">
        <f ca="1">IFERROR(__xludf.DUMMYFUNCTION("IMPORTRANGE(""https://docs.google.com/spreadsheets/d/1JtRfZkJMHtEhI5RdRHxYUG4FIZHqKDpNyIuN7A1Q0_k/edit?usp=sharing"",""พิษณุโลก!J506"")"),0)</f>
        <v>0</v>
      </c>
      <c r="AC22" s="177">
        <f ca="1">IFERROR(__xludf.DUMMYFUNCTION("IMPORTRANGE(""https://docs.google.com/spreadsheets/d/1JtRfZkJMHtEhI5RdRHxYUG4FIZHqKDpNyIuN7A1Q0_k/edit?usp=sharing"",""พิษณุโลก!J507"")"),0)</f>
        <v>0</v>
      </c>
      <c r="AD22" s="177">
        <f ca="1">IFERROR(__xludf.DUMMYFUNCTION("IMPORTRANGE(""https://docs.google.com/spreadsheets/d/1JtRfZkJMHtEhI5RdRHxYUG4FIZHqKDpNyIuN7A1Q0_k/edit?usp=sharing"",""พิษณุโลก!J508"")"),0)</f>
        <v>0</v>
      </c>
      <c r="AE22" s="177">
        <f ca="1">IFERROR(__xludf.DUMMYFUNCTION("IMPORTRANGE(""https://docs.google.com/spreadsheets/d/1JtRfZkJMHtEhI5RdRHxYUG4FIZHqKDpNyIuN7A1Q0_k/edit?usp=sharing"",""พิษณุโลก!J509"")"),0)</f>
        <v>0</v>
      </c>
    </row>
    <row r="23" spans="1:31" ht="24" customHeight="1" x14ac:dyDescent="0.3">
      <c r="A23" s="89">
        <v>10</v>
      </c>
      <c r="B23" s="90" t="s">
        <v>49</v>
      </c>
      <c r="C23" s="174">
        <f t="shared" si="19"/>
        <v>0</v>
      </c>
      <c r="D23" s="175">
        <f t="shared" si="33"/>
        <v>0</v>
      </c>
      <c r="E23" s="403">
        <v>0</v>
      </c>
      <c r="F23" s="403">
        <v>0</v>
      </c>
      <c r="G23" s="403">
        <v>0</v>
      </c>
      <c r="H23" s="403">
        <v>0</v>
      </c>
      <c r="I23" s="403">
        <v>0</v>
      </c>
      <c r="J23" s="176">
        <f t="shared" si="21"/>
        <v>0</v>
      </c>
      <c r="K23" s="179">
        <f t="shared" si="22"/>
        <v>0</v>
      </c>
      <c r="L23" s="403">
        <v>0</v>
      </c>
      <c r="M23" s="87">
        <f t="shared" si="23"/>
        <v>0</v>
      </c>
      <c r="N23" s="87">
        <f t="shared" si="24"/>
        <v>0</v>
      </c>
      <c r="O23" s="403">
        <v>0</v>
      </c>
      <c r="P23" s="86">
        <f t="shared" si="25"/>
        <v>0</v>
      </c>
      <c r="Q23" s="87">
        <f t="shared" si="26"/>
        <v>0</v>
      </c>
      <c r="R23" s="87">
        <f ca="1">IFERROR(__xludf.DUMMYFUNCTION("IMPORTRANGE(""https://docs.google.com/spreadsheets/d/1xlcVZWUNn6SuWm0c307h32SiGkd9BaeQWlAktfD3KO8/edit?usp=sharing"",""เพชรบูรณ์!Q498"")"),0)</f>
        <v>0</v>
      </c>
      <c r="S23" s="87">
        <f ca="1">IFERROR(__xludf.DUMMYFUNCTION("IMPORTRANGE(""https://docs.google.com/spreadsheets/d/1xlcVZWUNn6SuWm0c307h32SiGkd9BaeQWlAktfD3KO8/edit?usp=sharing"",""เพชรบูรณ์!R498"")"),0)</f>
        <v>0</v>
      </c>
      <c r="T23" s="87">
        <f ca="1">IFERROR(__xludf.DUMMYFUNCTION("IMPORTRANGE(""https://docs.google.com/spreadsheets/d/1xlcVZWUNn6SuWm0c307h32SiGkd9BaeQWlAktfD3KO8/edit?usp=sharing"",""เพชรบูรณ์!S498"")"),0)</f>
        <v>0</v>
      </c>
      <c r="U23" s="87">
        <f t="shared" ca="1" si="28"/>
        <v>0</v>
      </c>
      <c r="V23" s="87">
        <f t="shared" ca="1" si="29"/>
        <v>0</v>
      </c>
      <c r="W23" s="353">
        <f ca="1">IFERROR(__xludf.DUMMYFUNCTION("IMPORTRANGE(""https://docs.google.com/spreadsheets/d/1xlcVZWUNn6SuWm0c307h32SiGkd9BaeQWlAktfD3KO8/edit?usp=sharing"",""เพชรบูรณ์!I503"")"),0)</f>
        <v>0</v>
      </c>
      <c r="X23" s="177">
        <f ca="1">IFERROR(__xludf.DUMMYFUNCTION("IMPORTRANGE(""https://docs.google.com/spreadsheets/d/1xlcVZWUNn6SuWm0c307h32SiGkd9BaeQWlAktfD3KO8/edit?usp=sharing"",""เพชรบูรณ์!J503"")"),0)</f>
        <v>0</v>
      </c>
      <c r="Y23" s="354">
        <f t="shared" ca="1" si="31"/>
        <v>0</v>
      </c>
      <c r="Z23" s="177">
        <f ca="1">IFERROR(__xludf.DUMMYFUNCTION("IMPORTRANGE(""https://docs.google.com/spreadsheets/d/1xlcVZWUNn6SuWm0c307h32SiGkd9BaeQWlAktfD3KO8/edit?usp=sharing"",""เพชรบูรณ์!J504"")"),0)</f>
        <v>0</v>
      </c>
      <c r="AA23" s="177">
        <f ca="1">IFERROR(__xludf.DUMMYFUNCTION("IMPORTRANGE(""https://docs.google.com/spreadsheets/d/1xlcVZWUNn6SuWm0c307h32SiGkd9BaeQWlAktfD3KO8/edit?usp=sharing"",""เพชรบูรณ์!J505"")"),0)</f>
        <v>0</v>
      </c>
      <c r="AB23" s="177">
        <f ca="1">IFERROR(__xludf.DUMMYFUNCTION("IMPORTRANGE(""https://docs.google.com/spreadsheets/d/1xlcVZWUNn6SuWm0c307h32SiGkd9BaeQWlAktfD3KO8/edit?usp=sharing"",""เพชรบูรณ์!J506"")"),0)</f>
        <v>0</v>
      </c>
      <c r="AC23" s="177">
        <f ca="1">IFERROR(__xludf.DUMMYFUNCTION("IMPORTRANGE(""https://docs.google.com/spreadsheets/d/1xlcVZWUNn6SuWm0c307h32SiGkd9BaeQWlAktfD3KO8/edit?usp=sharing"",""เพชรบูรณ์!J507"")"),0)</f>
        <v>0</v>
      </c>
      <c r="AD23" s="177">
        <f ca="1">IFERROR(__xludf.DUMMYFUNCTION("IMPORTRANGE(""https://docs.google.com/spreadsheets/d/1xlcVZWUNn6SuWm0c307h32SiGkd9BaeQWlAktfD3KO8/edit?usp=sharing"",""เพชรบูรณ์!J508"")"),0)</f>
        <v>0</v>
      </c>
      <c r="AE23" s="177">
        <f ca="1">IFERROR(__xludf.DUMMYFUNCTION("IMPORTRANGE(""https://docs.google.com/spreadsheets/d/1xlcVZWUNn6SuWm0c307h32SiGkd9BaeQWlAktfD3KO8/edit?usp=sharing"",""เพชรบูรณ์!J509"")"),0)</f>
        <v>0</v>
      </c>
    </row>
    <row r="24" spans="1:31" ht="24" customHeight="1" x14ac:dyDescent="0.3">
      <c r="A24" s="89">
        <v>11</v>
      </c>
      <c r="B24" s="90" t="s">
        <v>50</v>
      </c>
      <c r="C24" s="174">
        <f t="shared" si="19"/>
        <v>0</v>
      </c>
      <c r="D24" s="175">
        <f t="shared" si="33"/>
        <v>0</v>
      </c>
      <c r="E24" s="403">
        <v>0</v>
      </c>
      <c r="F24" s="403">
        <v>0</v>
      </c>
      <c r="G24" s="403">
        <v>0</v>
      </c>
      <c r="H24" s="403">
        <v>0</v>
      </c>
      <c r="I24" s="403">
        <v>0</v>
      </c>
      <c r="J24" s="176">
        <f t="shared" si="21"/>
        <v>0</v>
      </c>
      <c r="K24" s="179">
        <f t="shared" si="22"/>
        <v>0</v>
      </c>
      <c r="L24" s="403">
        <v>0</v>
      </c>
      <c r="M24" s="87">
        <f t="shared" si="23"/>
        <v>0</v>
      </c>
      <c r="N24" s="87">
        <f t="shared" si="24"/>
        <v>0</v>
      </c>
      <c r="O24" s="403">
        <v>0</v>
      </c>
      <c r="P24" s="86">
        <f t="shared" si="25"/>
        <v>0</v>
      </c>
      <c r="Q24" s="87">
        <f t="shared" si="26"/>
        <v>0</v>
      </c>
      <c r="R24" s="87">
        <f ca="1">IFERROR(__xludf.DUMMYFUNCTION("IMPORTRANGE(""https://docs.google.com/spreadsheets/d/1lOVebEIsI9qjGXl6EX66luk7wiuP2tBaryw-wKvv4e0/edit?usp=sharing"",""แพร่!Q498"")"),0)</f>
        <v>0</v>
      </c>
      <c r="S24" s="87">
        <f ca="1">IFERROR(__xludf.DUMMYFUNCTION("IMPORTRANGE(""https://docs.google.com/spreadsheets/d/1lOVebEIsI9qjGXl6EX66luk7wiuP2tBaryw-wKvv4e0/edit?usp=sharing"",""แพร่!R498"")"),0)</f>
        <v>0</v>
      </c>
      <c r="T24" s="87">
        <f ca="1">IFERROR(__xludf.DUMMYFUNCTION("IMPORTRANGE(""https://docs.google.com/spreadsheets/d/1lOVebEIsI9qjGXl6EX66luk7wiuP2tBaryw-wKvv4e0/edit?usp=sharing"",""แพร่!S498"")"),0)</f>
        <v>0</v>
      </c>
      <c r="U24" s="87">
        <f t="shared" ca="1" si="28"/>
        <v>0</v>
      </c>
      <c r="V24" s="87">
        <f t="shared" ca="1" si="29"/>
        <v>0</v>
      </c>
      <c r="W24" s="353">
        <f ca="1">IFERROR(__xludf.DUMMYFUNCTION("IMPORTRANGE(""https://docs.google.com/spreadsheets/d/1lOVebEIsI9qjGXl6EX66luk7wiuP2tBaryw-wKvv4e0/edit?usp=sharing"",""แพร่!I503"")"),0)</f>
        <v>0</v>
      </c>
      <c r="X24" s="177">
        <f ca="1">IFERROR(__xludf.DUMMYFUNCTION("IMPORTRANGE(""https://docs.google.com/spreadsheets/d/1lOVebEIsI9qjGXl6EX66luk7wiuP2tBaryw-wKvv4e0/edit?usp=sharing"",""แพร่!J503"")"),0)</f>
        <v>0</v>
      </c>
      <c r="Y24" s="354">
        <f t="shared" ca="1" si="31"/>
        <v>0</v>
      </c>
      <c r="Z24" s="177">
        <f ca="1">IFERROR(__xludf.DUMMYFUNCTION("IMPORTRANGE(""https://docs.google.com/spreadsheets/d/1lOVebEIsI9qjGXl6EX66luk7wiuP2tBaryw-wKvv4e0/edit?usp=sharing"",""แพร่!J504"")"),0)</f>
        <v>0</v>
      </c>
      <c r="AA24" s="177">
        <f ca="1">IFERROR(__xludf.DUMMYFUNCTION("IMPORTRANGE(""https://docs.google.com/spreadsheets/d/1lOVebEIsI9qjGXl6EX66luk7wiuP2tBaryw-wKvv4e0/edit?usp=sharing"",""แพร่!J505"")"),0)</f>
        <v>0</v>
      </c>
      <c r="AB24" s="177">
        <f ca="1">IFERROR(__xludf.DUMMYFUNCTION("IMPORTRANGE(""https://docs.google.com/spreadsheets/d/1lOVebEIsI9qjGXl6EX66luk7wiuP2tBaryw-wKvv4e0/edit?usp=sharing"",""แพร่!J506"")"),0)</f>
        <v>0</v>
      </c>
      <c r="AC24" s="177">
        <f ca="1">IFERROR(__xludf.DUMMYFUNCTION("IMPORTRANGE(""https://docs.google.com/spreadsheets/d/1lOVebEIsI9qjGXl6EX66luk7wiuP2tBaryw-wKvv4e0/edit?usp=sharing"",""แพร่!J507"")"),0)</f>
        <v>0</v>
      </c>
      <c r="AD24" s="177">
        <f ca="1">IFERROR(__xludf.DUMMYFUNCTION("IMPORTRANGE(""https://docs.google.com/spreadsheets/d/1lOVebEIsI9qjGXl6EX66luk7wiuP2tBaryw-wKvv4e0/edit?usp=sharing"",""แพร่!J508"")"),0)</f>
        <v>0</v>
      </c>
      <c r="AE24" s="177">
        <f ca="1">IFERROR(__xludf.DUMMYFUNCTION("IMPORTRANGE(""https://docs.google.com/spreadsheets/d/1lOVebEIsI9qjGXl6EX66luk7wiuP2tBaryw-wKvv4e0/edit?usp=sharing"",""แพร่!J509"")"),0)</f>
        <v>0</v>
      </c>
    </row>
    <row r="25" spans="1:31" ht="24" customHeight="1" x14ac:dyDescent="0.3">
      <c r="A25" s="89">
        <v>12</v>
      </c>
      <c r="B25" s="90" t="s">
        <v>51</v>
      </c>
      <c r="C25" s="174">
        <f t="shared" si="19"/>
        <v>0</v>
      </c>
      <c r="D25" s="175">
        <f t="shared" si="33"/>
        <v>0</v>
      </c>
      <c r="E25" s="403">
        <v>0</v>
      </c>
      <c r="F25" s="403">
        <v>0</v>
      </c>
      <c r="G25" s="403">
        <v>0</v>
      </c>
      <c r="H25" s="403">
        <v>0</v>
      </c>
      <c r="I25" s="403">
        <v>0</v>
      </c>
      <c r="J25" s="176">
        <f t="shared" si="21"/>
        <v>0</v>
      </c>
      <c r="K25" s="179">
        <f t="shared" si="22"/>
        <v>0</v>
      </c>
      <c r="L25" s="403">
        <v>0</v>
      </c>
      <c r="M25" s="87">
        <f t="shared" si="23"/>
        <v>0</v>
      </c>
      <c r="N25" s="87">
        <f t="shared" si="24"/>
        <v>0</v>
      </c>
      <c r="O25" s="403">
        <v>0</v>
      </c>
      <c r="P25" s="86">
        <f t="shared" si="25"/>
        <v>0</v>
      </c>
      <c r="Q25" s="87">
        <f t="shared" si="26"/>
        <v>0</v>
      </c>
      <c r="R25" s="87">
        <f ca="1">IFERROR(__xludf.DUMMYFUNCTION("IMPORTRANGE(""https://docs.google.com/spreadsheets/d/1dQrvX0vEcN7Gu0fnZ0B5S90AeR19zth4XlExFBeExMY/edit?usp=sharing"",""แม่ฮ่องสอน!Q498"")"),0)</f>
        <v>0</v>
      </c>
      <c r="S25" s="87">
        <f ca="1">IFERROR(__xludf.DUMMYFUNCTION("IMPORTRANGE(""https://docs.google.com/spreadsheets/d/1dQrvX0vEcN7Gu0fnZ0B5S90AeR19zth4XlExFBeExMY/edit?usp=sharing"",""แม่ฮ่องสอน!R498"")"),0)</f>
        <v>0</v>
      </c>
      <c r="T25" s="87">
        <f ca="1">IFERROR(__xludf.DUMMYFUNCTION("IMPORTRANGE(""https://docs.google.com/spreadsheets/d/1dQrvX0vEcN7Gu0fnZ0B5S90AeR19zth4XlExFBeExMY/edit?usp=sharing"",""แม่ฮ่องสอน!S498"")"),0)</f>
        <v>0</v>
      </c>
      <c r="U25" s="87">
        <f t="shared" ca="1" si="28"/>
        <v>0</v>
      </c>
      <c r="V25" s="87">
        <f t="shared" ca="1" si="29"/>
        <v>0</v>
      </c>
      <c r="W25" s="353">
        <f ca="1">IFERROR(__xludf.DUMMYFUNCTION("IMPORTRANGE(""https://docs.google.com/spreadsheets/d/1dQrvX0vEcN7Gu0fnZ0B5S90AeR19zth4XlExFBeExMY/edit?usp=sharing"",""แม่ฮ่องสอน!I503"")"),0)</f>
        <v>0</v>
      </c>
      <c r="X25" s="177">
        <f ca="1">IFERROR(__xludf.DUMMYFUNCTION("IMPORTRANGE(""https://docs.google.com/spreadsheets/d/1dQrvX0vEcN7Gu0fnZ0B5S90AeR19zth4XlExFBeExMY/edit?usp=sharing"",""แม่ฮ่องสอน!J503"")"),0)</f>
        <v>0</v>
      </c>
      <c r="Y25" s="354">
        <f t="shared" ca="1" si="31"/>
        <v>0</v>
      </c>
      <c r="Z25" s="177">
        <f ca="1">IFERROR(__xludf.DUMMYFUNCTION("IMPORTRANGE(""https://docs.google.com/spreadsheets/d/1dQrvX0vEcN7Gu0fnZ0B5S90AeR19zth4XlExFBeExMY/edit?usp=sharing"",""แม่ฮ่องสอน!J504"")"),0)</f>
        <v>0</v>
      </c>
      <c r="AA25" s="177">
        <f ca="1">IFERROR(__xludf.DUMMYFUNCTION("IMPORTRANGE(""https://docs.google.com/spreadsheets/d/1dQrvX0vEcN7Gu0fnZ0B5S90AeR19zth4XlExFBeExMY/edit?usp=sharing"",""แม่ฮ่องสอน!J505"")"),0)</f>
        <v>0</v>
      </c>
      <c r="AB25" s="177">
        <f ca="1">IFERROR(__xludf.DUMMYFUNCTION("IMPORTRANGE(""https://docs.google.com/spreadsheets/d/1dQrvX0vEcN7Gu0fnZ0B5S90AeR19zth4XlExFBeExMY/edit?usp=sharing"",""แม่ฮ่องสอน!J506"")"),0)</f>
        <v>0</v>
      </c>
      <c r="AC25" s="177">
        <f ca="1">IFERROR(__xludf.DUMMYFUNCTION("IMPORTRANGE(""https://docs.google.com/spreadsheets/d/1dQrvX0vEcN7Gu0fnZ0B5S90AeR19zth4XlExFBeExMY/edit?usp=sharing"",""แม่ฮ่องสอน!J507"")"),0)</f>
        <v>0</v>
      </c>
      <c r="AD25" s="177">
        <f ca="1">IFERROR(__xludf.DUMMYFUNCTION("IMPORTRANGE(""https://docs.google.com/spreadsheets/d/1dQrvX0vEcN7Gu0fnZ0B5S90AeR19zth4XlExFBeExMY/edit?usp=sharing"",""แม่ฮ่องสอน!J508"")"),0)</f>
        <v>0</v>
      </c>
      <c r="AE25" s="177">
        <f ca="1">IFERROR(__xludf.DUMMYFUNCTION("IMPORTRANGE(""https://docs.google.com/spreadsheets/d/1dQrvX0vEcN7Gu0fnZ0B5S90AeR19zth4XlExFBeExMY/edit?usp=sharing"",""แม่ฮ่องสอน!J509"")"),0)</f>
        <v>0</v>
      </c>
    </row>
    <row r="26" spans="1:31" ht="24" customHeight="1" x14ac:dyDescent="0.3">
      <c r="A26" s="89">
        <v>13</v>
      </c>
      <c r="B26" s="90" t="s">
        <v>52</v>
      </c>
      <c r="C26" s="174">
        <f t="shared" si="19"/>
        <v>0</v>
      </c>
      <c r="D26" s="175">
        <f t="shared" si="33"/>
        <v>0</v>
      </c>
      <c r="E26" s="403">
        <v>0</v>
      </c>
      <c r="F26" s="403">
        <v>0</v>
      </c>
      <c r="G26" s="403">
        <v>0</v>
      </c>
      <c r="H26" s="403">
        <v>0</v>
      </c>
      <c r="I26" s="403">
        <v>0</v>
      </c>
      <c r="J26" s="176">
        <f t="shared" si="21"/>
        <v>0</v>
      </c>
      <c r="K26" s="179">
        <f t="shared" si="22"/>
        <v>0</v>
      </c>
      <c r="L26" s="403">
        <v>0</v>
      </c>
      <c r="M26" s="87">
        <f t="shared" si="23"/>
        <v>0</v>
      </c>
      <c r="N26" s="87">
        <f t="shared" si="24"/>
        <v>0</v>
      </c>
      <c r="O26" s="403">
        <v>0</v>
      </c>
      <c r="P26" s="86">
        <f t="shared" si="25"/>
        <v>0</v>
      </c>
      <c r="Q26" s="87">
        <f t="shared" si="26"/>
        <v>0</v>
      </c>
      <c r="R26" s="87">
        <f ca="1">IFERROR(__xludf.DUMMYFUNCTION("IMPORTRANGE(""https://docs.google.com/spreadsheets/d/1DY4XTNNwjluuxqdfdn6qvOSlMRrZqUtmYcZR0ttFiG4/edit?usp=sharing"",""ลำปาง!Q498"")"),0)</f>
        <v>0</v>
      </c>
      <c r="S26" s="87">
        <f ca="1">IFERROR(__xludf.DUMMYFUNCTION("IMPORTRANGE(""https://docs.google.com/spreadsheets/d/1DY4XTNNwjluuxqdfdn6qvOSlMRrZqUtmYcZR0ttFiG4/edit?usp=sharing"",""ลำปาง!R498"")"),0)</f>
        <v>0</v>
      </c>
      <c r="T26" s="87">
        <f ca="1">IFERROR(__xludf.DUMMYFUNCTION("IMPORTRANGE(""https://docs.google.com/spreadsheets/d/1DY4XTNNwjluuxqdfdn6qvOSlMRrZqUtmYcZR0ttFiG4/edit?usp=sharing"",""ลำปาง!S498"")"),0)</f>
        <v>0</v>
      </c>
      <c r="U26" s="87">
        <f t="shared" ca="1" si="28"/>
        <v>0</v>
      </c>
      <c r="V26" s="87">
        <f t="shared" ca="1" si="29"/>
        <v>0</v>
      </c>
      <c r="W26" s="355">
        <f ca="1">IFERROR(__xludf.DUMMYFUNCTION("IMPORTRANGE(""https://docs.google.com/spreadsheets/d/1DY4XTNNwjluuxqdfdn6qvOSlMRrZqUtmYcZR0ttFiG4/edit?usp=sharing"",""ลำปาง!I503"")"),0)</f>
        <v>0</v>
      </c>
      <c r="X26" s="177">
        <f ca="1">IFERROR(__xludf.DUMMYFUNCTION("IMPORTRANGE(""https://docs.google.com/spreadsheets/d/1DY4XTNNwjluuxqdfdn6qvOSlMRrZqUtmYcZR0ttFiG4/edit?usp=sharing"",""ลำปาง!J503"")"),0)</f>
        <v>0</v>
      </c>
      <c r="Y26" s="354">
        <f t="shared" ca="1" si="31"/>
        <v>0</v>
      </c>
      <c r="Z26" s="177">
        <f ca="1">IFERROR(__xludf.DUMMYFUNCTION("IMPORTRANGE(""https://docs.google.com/spreadsheets/d/1DY4XTNNwjluuxqdfdn6qvOSlMRrZqUtmYcZR0ttFiG4/edit?usp=sharing"",""ลำปาง!J504"")"),0)</f>
        <v>0</v>
      </c>
      <c r="AA26" s="177">
        <f ca="1">IFERROR(__xludf.DUMMYFUNCTION("IMPORTRANGE(""https://docs.google.com/spreadsheets/d/1DY4XTNNwjluuxqdfdn6qvOSlMRrZqUtmYcZR0ttFiG4/edit?usp=sharing"",""ลำปาง!J505"")"),0)</f>
        <v>0</v>
      </c>
      <c r="AB26" s="177">
        <f ca="1">IFERROR(__xludf.DUMMYFUNCTION("IMPORTRANGE(""https://docs.google.com/spreadsheets/d/1DY4XTNNwjluuxqdfdn6qvOSlMRrZqUtmYcZR0ttFiG4/edit?usp=sharing"",""ลำปาง!J506"")"),0)</f>
        <v>0</v>
      </c>
      <c r="AC26" s="177">
        <f ca="1">IFERROR(__xludf.DUMMYFUNCTION("IMPORTRANGE(""https://docs.google.com/spreadsheets/d/1DY4XTNNwjluuxqdfdn6qvOSlMRrZqUtmYcZR0ttFiG4/edit?usp=sharing"",""ลำปาง!J507"")"),0)</f>
        <v>0</v>
      </c>
      <c r="AD26" s="177">
        <f ca="1">IFERROR(__xludf.DUMMYFUNCTION("IMPORTRANGE(""https://docs.google.com/spreadsheets/d/1DY4XTNNwjluuxqdfdn6qvOSlMRrZqUtmYcZR0ttFiG4/edit?usp=sharing"",""ลำปาง!J508"")"),0)</f>
        <v>0</v>
      </c>
      <c r="AE26" s="177">
        <f ca="1">IFERROR(__xludf.DUMMYFUNCTION("IMPORTRANGE(""https://docs.google.com/spreadsheets/d/1DY4XTNNwjluuxqdfdn6qvOSlMRrZqUtmYcZR0ttFiG4/edit?usp=sharing"",""ลำปาง!J509"")"),0)</f>
        <v>0</v>
      </c>
    </row>
    <row r="27" spans="1:31" ht="24" customHeight="1" x14ac:dyDescent="0.3">
      <c r="A27" s="89">
        <v>14</v>
      </c>
      <c r="B27" s="90" t="s">
        <v>53</v>
      </c>
      <c r="C27" s="174">
        <f t="shared" si="19"/>
        <v>0</v>
      </c>
      <c r="D27" s="175">
        <f t="shared" si="33"/>
        <v>0</v>
      </c>
      <c r="E27" s="403">
        <v>0</v>
      </c>
      <c r="F27" s="403">
        <v>0</v>
      </c>
      <c r="G27" s="403">
        <v>0</v>
      </c>
      <c r="H27" s="403">
        <v>0</v>
      </c>
      <c r="I27" s="403">
        <v>0</v>
      </c>
      <c r="J27" s="176">
        <f t="shared" si="21"/>
        <v>0</v>
      </c>
      <c r="K27" s="179">
        <f t="shared" si="22"/>
        <v>0</v>
      </c>
      <c r="L27" s="403">
        <v>0</v>
      </c>
      <c r="M27" s="87">
        <f t="shared" si="23"/>
        <v>0</v>
      </c>
      <c r="N27" s="87">
        <f t="shared" si="24"/>
        <v>0</v>
      </c>
      <c r="O27" s="403">
        <v>0</v>
      </c>
      <c r="P27" s="86">
        <f t="shared" si="25"/>
        <v>0</v>
      </c>
      <c r="Q27" s="87">
        <f t="shared" si="26"/>
        <v>0</v>
      </c>
      <c r="R27" s="87">
        <f ca="1">IFERROR(__xludf.DUMMYFUNCTION("IMPORTRANGE(""https://docs.google.com/spreadsheets/d/1ICwG78r0OFT8biBlxnBF8r7she7gNSzOvJ958PWT09c/edit?usp=sharing"",""ลำพูน!Q498"")"),0)</f>
        <v>0</v>
      </c>
      <c r="S27" s="87">
        <f ca="1">IFERROR(__xludf.DUMMYFUNCTION("IMPORTRANGE(""https://docs.google.com/spreadsheets/d/1ICwG78r0OFT8biBlxnBF8r7she7gNSzOvJ958PWT09c/edit?usp=sharing"",""ลำพูน!R498"")"),0)</f>
        <v>0</v>
      </c>
      <c r="T27" s="87">
        <f ca="1">IFERROR(__xludf.DUMMYFUNCTION("IMPORTRANGE(""https://docs.google.com/spreadsheets/d/1ICwG78r0OFT8biBlxnBF8r7she7gNSzOvJ958PWT09c/edit?usp=sharing"",""ลำพูน!S498"")"),0)</f>
        <v>0</v>
      </c>
      <c r="U27" s="87">
        <f t="shared" ca="1" si="28"/>
        <v>0</v>
      </c>
      <c r="V27" s="87">
        <f t="shared" ca="1" si="29"/>
        <v>0</v>
      </c>
      <c r="W27" s="353">
        <f ca="1">IFERROR(__xludf.DUMMYFUNCTION("IMPORTRANGE(""https://docs.google.com/spreadsheets/d/1ICwG78r0OFT8biBlxnBF8r7she7gNSzOvJ958PWT09c/edit?usp=sharing"",""ลำพูน!I503"")"),0)</f>
        <v>0</v>
      </c>
      <c r="X27" s="177">
        <f ca="1">IFERROR(__xludf.DUMMYFUNCTION("IMPORTRANGE(""https://docs.google.com/spreadsheets/d/1ICwG78r0OFT8biBlxnBF8r7she7gNSzOvJ958PWT09c/edit?usp=sharing"",""ลำพูน!J503"")"),0)</f>
        <v>0</v>
      </c>
      <c r="Y27" s="354">
        <f t="shared" ca="1" si="31"/>
        <v>0</v>
      </c>
      <c r="Z27" s="177">
        <f ca="1">IFERROR(__xludf.DUMMYFUNCTION("IMPORTRANGE(""https://docs.google.com/spreadsheets/d/1ICwG78r0OFT8biBlxnBF8r7she7gNSzOvJ958PWT09c/edit?usp=sharing"",""ลำพูน!J504"")"),0)</f>
        <v>0</v>
      </c>
      <c r="AA27" s="177">
        <f ca="1">IFERROR(__xludf.DUMMYFUNCTION("IMPORTRANGE(""https://docs.google.com/spreadsheets/d/1ICwG78r0OFT8biBlxnBF8r7she7gNSzOvJ958PWT09c/edit?usp=sharing"",""ลำพูน!J505"")"),0)</f>
        <v>0</v>
      </c>
      <c r="AB27" s="177">
        <f ca="1">IFERROR(__xludf.DUMMYFUNCTION("IMPORTRANGE(""https://docs.google.com/spreadsheets/d/1ICwG78r0OFT8biBlxnBF8r7she7gNSzOvJ958PWT09c/edit?usp=sharing"",""ลำพูน!J506"")"),0)</f>
        <v>0</v>
      </c>
      <c r="AC27" s="177">
        <f ca="1">IFERROR(__xludf.DUMMYFUNCTION("IMPORTRANGE(""https://docs.google.com/spreadsheets/d/1ICwG78r0OFT8biBlxnBF8r7she7gNSzOvJ958PWT09c/edit?usp=sharing"",""ลำพูน!J507"")"),0)</f>
        <v>0</v>
      </c>
      <c r="AD27" s="177">
        <f ca="1">IFERROR(__xludf.DUMMYFUNCTION("IMPORTRANGE(""https://docs.google.com/spreadsheets/d/1ICwG78r0OFT8biBlxnBF8r7she7gNSzOvJ958PWT09c/edit?usp=sharing"",""ลำพูน!J508"")"),0)</f>
        <v>0</v>
      </c>
      <c r="AE27" s="177">
        <f ca="1">IFERROR(__xludf.DUMMYFUNCTION("IMPORTRANGE(""https://docs.google.com/spreadsheets/d/1ICwG78r0OFT8biBlxnBF8r7she7gNSzOvJ958PWT09c/edit?usp=sharing"",""ลำพูน!J509"")"),0)</f>
        <v>0</v>
      </c>
    </row>
    <row r="28" spans="1:31" ht="24" customHeight="1" x14ac:dyDescent="0.3">
      <c r="A28" s="89">
        <v>15</v>
      </c>
      <c r="B28" s="90" t="s">
        <v>54</v>
      </c>
      <c r="C28" s="174">
        <f t="shared" si="19"/>
        <v>0</v>
      </c>
      <c r="D28" s="175">
        <f t="shared" si="33"/>
        <v>0</v>
      </c>
      <c r="E28" s="403">
        <v>0</v>
      </c>
      <c r="F28" s="403">
        <v>0</v>
      </c>
      <c r="G28" s="403">
        <v>0</v>
      </c>
      <c r="H28" s="403">
        <v>0</v>
      </c>
      <c r="I28" s="403">
        <v>0</v>
      </c>
      <c r="J28" s="176">
        <f t="shared" si="21"/>
        <v>0</v>
      </c>
      <c r="K28" s="179">
        <f t="shared" si="22"/>
        <v>0</v>
      </c>
      <c r="L28" s="403">
        <v>0</v>
      </c>
      <c r="M28" s="87">
        <f t="shared" si="23"/>
        <v>0</v>
      </c>
      <c r="N28" s="87">
        <f t="shared" si="24"/>
        <v>0</v>
      </c>
      <c r="O28" s="403">
        <v>0</v>
      </c>
      <c r="P28" s="86">
        <f t="shared" si="25"/>
        <v>0</v>
      </c>
      <c r="Q28" s="87">
        <f t="shared" si="26"/>
        <v>0</v>
      </c>
      <c r="R28" s="87">
        <f ca="1">IFERROR(__xludf.DUMMYFUNCTION("IMPORTRANGE(""https://docs.google.com/spreadsheets/d/1B0f2xJpZUC6Z0xXnqKlZtEPzsf6L84eP1r1Q15seqRM/edit?usp=sharing"",""สุโขทัย!Q498"")"),0)</f>
        <v>0</v>
      </c>
      <c r="S28" s="87">
        <f ca="1">IFERROR(__xludf.DUMMYFUNCTION("IMPORTRANGE(""https://docs.google.com/spreadsheets/d/1B0f2xJpZUC6Z0xXnqKlZtEPzsf6L84eP1r1Q15seqRM/edit?usp=sharing"",""สุโขทัย!R498"")"),0)</f>
        <v>0</v>
      </c>
      <c r="T28" s="87">
        <f ca="1">IFERROR(__xludf.DUMMYFUNCTION("IMPORTRANGE(""https://docs.google.com/spreadsheets/d/1B0f2xJpZUC6Z0xXnqKlZtEPzsf6L84eP1r1Q15seqRM/edit?usp=sharing"",""สุโขทัย!S498"")"),0)</f>
        <v>0</v>
      </c>
      <c r="U28" s="87">
        <f t="shared" ca="1" si="28"/>
        <v>0</v>
      </c>
      <c r="V28" s="87">
        <f t="shared" ca="1" si="29"/>
        <v>0</v>
      </c>
      <c r="W28" s="353">
        <f ca="1">IFERROR(__xludf.DUMMYFUNCTION("IMPORTRANGE(""https://docs.google.com/spreadsheets/d/1B0f2xJpZUC6Z0xXnqKlZtEPzsf6L84eP1r1Q15seqRM/edit?usp=sharing"",""สุโขทัย!I503"")"),0)</f>
        <v>0</v>
      </c>
      <c r="X28" s="177">
        <f ca="1">IFERROR(__xludf.DUMMYFUNCTION("IMPORTRANGE(""https://docs.google.com/spreadsheets/d/1B0f2xJpZUC6Z0xXnqKlZtEPzsf6L84eP1r1Q15seqRM/edit?usp=sharing"",""สุโขทัย!J503"")"),0)</f>
        <v>0</v>
      </c>
      <c r="Y28" s="354">
        <f t="shared" ca="1" si="31"/>
        <v>0</v>
      </c>
      <c r="Z28" s="177">
        <f ca="1">IFERROR(__xludf.DUMMYFUNCTION("IMPORTRANGE(""https://docs.google.com/spreadsheets/d/1B0f2xJpZUC6Z0xXnqKlZtEPzsf6L84eP1r1Q15seqRM/edit?usp=sharing"",""สุโขทัย!J504"")"),0)</f>
        <v>0</v>
      </c>
      <c r="AA28" s="177">
        <f ca="1">IFERROR(__xludf.DUMMYFUNCTION("IMPORTRANGE(""https://docs.google.com/spreadsheets/d/1B0f2xJpZUC6Z0xXnqKlZtEPzsf6L84eP1r1Q15seqRM/edit?usp=sharing"",""สุโขทัย!J505"")"),0)</f>
        <v>0</v>
      </c>
      <c r="AB28" s="177">
        <f ca="1">IFERROR(__xludf.DUMMYFUNCTION("IMPORTRANGE(""https://docs.google.com/spreadsheets/d/1B0f2xJpZUC6Z0xXnqKlZtEPzsf6L84eP1r1Q15seqRM/edit?usp=sharing"",""สุโขทัย!J506"")"),0)</f>
        <v>0</v>
      </c>
      <c r="AC28" s="177">
        <f ca="1">IFERROR(__xludf.DUMMYFUNCTION("IMPORTRANGE(""https://docs.google.com/spreadsheets/d/1B0f2xJpZUC6Z0xXnqKlZtEPzsf6L84eP1r1Q15seqRM/edit?usp=sharing"",""สุโขทัย!J507"")"),0)</f>
        <v>0</v>
      </c>
      <c r="AD28" s="177">
        <f ca="1">IFERROR(__xludf.DUMMYFUNCTION("IMPORTRANGE(""https://docs.google.com/spreadsheets/d/1B0f2xJpZUC6Z0xXnqKlZtEPzsf6L84eP1r1Q15seqRM/edit?usp=sharing"",""สุโขทัย!J508"")"),0)</f>
        <v>0</v>
      </c>
      <c r="AE28" s="177">
        <f ca="1">IFERROR(__xludf.DUMMYFUNCTION("IMPORTRANGE(""https://docs.google.com/spreadsheets/d/1B0f2xJpZUC6Z0xXnqKlZtEPzsf6L84eP1r1Q15seqRM/edit?usp=sharing"",""สุโขทัย!J509"")"),0)</f>
        <v>0</v>
      </c>
    </row>
    <row r="29" spans="1:31" ht="24" customHeight="1" x14ac:dyDescent="0.3">
      <c r="A29" s="89">
        <v>16</v>
      </c>
      <c r="B29" s="90" t="s">
        <v>55</v>
      </c>
      <c r="C29" s="174">
        <f t="shared" si="19"/>
        <v>0</v>
      </c>
      <c r="D29" s="175">
        <f t="shared" si="33"/>
        <v>0</v>
      </c>
      <c r="E29" s="403">
        <v>0</v>
      </c>
      <c r="F29" s="403">
        <v>0</v>
      </c>
      <c r="G29" s="403">
        <v>0</v>
      </c>
      <c r="H29" s="403">
        <v>0</v>
      </c>
      <c r="I29" s="403">
        <v>0</v>
      </c>
      <c r="J29" s="176">
        <f t="shared" si="21"/>
        <v>0</v>
      </c>
      <c r="K29" s="179">
        <f t="shared" si="22"/>
        <v>0</v>
      </c>
      <c r="L29" s="403">
        <v>0</v>
      </c>
      <c r="M29" s="87">
        <f t="shared" si="23"/>
        <v>0</v>
      </c>
      <c r="N29" s="87">
        <f t="shared" si="24"/>
        <v>0</v>
      </c>
      <c r="O29" s="403">
        <v>0</v>
      </c>
      <c r="P29" s="86">
        <f t="shared" si="25"/>
        <v>0</v>
      </c>
      <c r="Q29" s="87">
        <f t="shared" si="26"/>
        <v>0</v>
      </c>
      <c r="R29" s="87">
        <f ca="1">IFERROR(__xludf.DUMMYFUNCTION("IMPORTRANGE(""https://docs.google.com/spreadsheets/d/1v0b9pFQCsKUVExMei7AgY2yQkdeNQvtOssygGsXbiKo/edit?usp=sharing"",""อุตรดิตถ์!Q498"")"),0)</f>
        <v>0</v>
      </c>
      <c r="S29" s="87">
        <f ca="1">IFERROR(__xludf.DUMMYFUNCTION("IMPORTRANGE(""https://docs.google.com/spreadsheets/d/1v0b9pFQCsKUVExMei7AgY2yQkdeNQvtOssygGsXbiKo/edit?usp=sharing"",""อุตรดิตถ์!R498"")"),0)</f>
        <v>0</v>
      </c>
      <c r="T29" s="87">
        <f ca="1">IFERROR(__xludf.DUMMYFUNCTION("IMPORTRANGE(""https://docs.google.com/spreadsheets/d/1v0b9pFQCsKUVExMei7AgY2yQkdeNQvtOssygGsXbiKo/edit?usp=sharing"",""อุตรดิตถ์!S498"")"),0)</f>
        <v>0</v>
      </c>
      <c r="U29" s="87">
        <f t="shared" ca="1" si="28"/>
        <v>0</v>
      </c>
      <c r="V29" s="87">
        <f t="shared" ca="1" si="29"/>
        <v>0</v>
      </c>
      <c r="W29" s="353">
        <f ca="1">IFERROR(__xludf.DUMMYFUNCTION("IMPORTRANGE(""https://docs.google.com/spreadsheets/d/1v0b9pFQCsKUVExMei7AgY2yQkdeNQvtOssygGsXbiKo/edit?usp=sharing"",""อุตรดิตถ์!I503"")"),0)</f>
        <v>0</v>
      </c>
      <c r="X29" s="177">
        <f ca="1">IFERROR(__xludf.DUMMYFUNCTION("IMPORTRANGE(""https://docs.google.com/spreadsheets/d/1v0b9pFQCsKUVExMei7AgY2yQkdeNQvtOssygGsXbiKo/edit?usp=sharing"",""อุตรดิตถ์!J503"")"),0)</f>
        <v>0</v>
      </c>
      <c r="Y29" s="354">
        <f t="shared" ca="1" si="31"/>
        <v>0</v>
      </c>
      <c r="Z29" s="177">
        <f ca="1">IFERROR(__xludf.DUMMYFUNCTION("IMPORTRANGE(""https://docs.google.com/spreadsheets/d/1v0b9pFQCsKUVExMei7AgY2yQkdeNQvtOssygGsXbiKo/edit?usp=sharing"",""อุตรดิตถ์!J504"")"),0)</f>
        <v>0</v>
      </c>
      <c r="AA29" s="177">
        <f ca="1">IFERROR(__xludf.DUMMYFUNCTION("IMPORTRANGE(""https://docs.google.com/spreadsheets/d/1v0b9pFQCsKUVExMei7AgY2yQkdeNQvtOssygGsXbiKo/edit?usp=sharing"",""อุตรดิตถ์!J505"")"),0)</f>
        <v>0</v>
      </c>
      <c r="AB29" s="177">
        <f ca="1">IFERROR(__xludf.DUMMYFUNCTION("IMPORTRANGE(""https://docs.google.com/spreadsheets/d/1v0b9pFQCsKUVExMei7AgY2yQkdeNQvtOssygGsXbiKo/edit?usp=sharing"",""อุตรดิตถ์!J506"")"),0)</f>
        <v>0</v>
      </c>
      <c r="AC29" s="177">
        <f ca="1">IFERROR(__xludf.DUMMYFUNCTION("IMPORTRANGE(""https://docs.google.com/spreadsheets/d/1v0b9pFQCsKUVExMei7AgY2yQkdeNQvtOssygGsXbiKo/edit?usp=sharing"",""อุตรดิตถ์!J507"")"),0)</f>
        <v>0</v>
      </c>
      <c r="AD29" s="177">
        <f ca="1">IFERROR(__xludf.DUMMYFUNCTION("IMPORTRANGE(""https://docs.google.com/spreadsheets/d/1v0b9pFQCsKUVExMei7AgY2yQkdeNQvtOssygGsXbiKo/edit?usp=sharing"",""อุตรดิตถ์!J508"")"),0)</f>
        <v>0</v>
      </c>
      <c r="AE29" s="177">
        <f ca="1">IFERROR(__xludf.DUMMYFUNCTION("IMPORTRANGE(""https://docs.google.com/spreadsheets/d/1v0b9pFQCsKUVExMei7AgY2yQkdeNQvtOssygGsXbiKo/edit?usp=sharing"",""อุตรดิตถ์!J509"")"),0)</f>
        <v>0</v>
      </c>
    </row>
    <row r="30" spans="1:31" ht="24" customHeight="1" x14ac:dyDescent="0.3">
      <c r="A30" s="100">
        <v>17</v>
      </c>
      <c r="B30" s="101" t="s">
        <v>56</v>
      </c>
      <c r="C30" s="182">
        <f t="shared" si="19"/>
        <v>0</v>
      </c>
      <c r="D30" s="183">
        <f t="shared" si="33"/>
        <v>0</v>
      </c>
      <c r="E30" s="409">
        <v>0</v>
      </c>
      <c r="F30" s="409">
        <v>0</v>
      </c>
      <c r="G30" s="409">
        <v>0</v>
      </c>
      <c r="H30" s="409">
        <v>0</v>
      </c>
      <c r="I30" s="409">
        <v>0</v>
      </c>
      <c r="J30" s="184">
        <f t="shared" si="21"/>
        <v>0</v>
      </c>
      <c r="K30" s="185">
        <f t="shared" si="22"/>
        <v>0</v>
      </c>
      <c r="L30" s="409">
        <v>0</v>
      </c>
      <c r="M30" s="109">
        <f t="shared" si="23"/>
        <v>0</v>
      </c>
      <c r="N30" s="109">
        <f t="shared" si="24"/>
        <v>0</v>
      </c>
      <c r="O30" s="409">
        <v>0</v>
      </c>
      <c r="P30" s="108">
        <f t="shared" si="25"/>
        <v>0</v>
      </c>
      <c r="Q30" s="109">
        <f t="shared" si="26"/>
        <v>0</v>
      </c>
      <c r="R30" s="109">
        <f ca="1">IFERROR(__xludf.DUMMYFUNCTION("IMPORTRANGE(""https://docs.google.com/spreadsheets/d/1UsNK1e-WWiCo2PvGqdNfdme4m17_Ezd3J69EeeiQPD0/edit?usp=sharing"",""อุทัยธานี!Q498"")"),741945)</f>
        <v>741945</v>
      </c>
      <c r="S30" s="109">
        <f ca="1">IFERROR(__xludf.DUMMYFUNCTION("IMPORTRANGE(""https://docs.google.com/spreadsheets/d/1UsNK1e-WWiCo2PvGqdNfdme4m17_Ezd3J69EeeiQPD0/edit?usp=sharing"",""อุทัยธานี!R498"")"),0)</f>
        <v>0</v>
      </c>
      <c r="T30" s="109">
        <f ca="1">IFERROR(__xludf.DUMMYFUNCTION("IMPORTRANGE(""https://docs.google.com/spreadsheets/d/1UsNK1e-WWiCo2PvGqdNfdme4m17_Ezd3J69EeeiQPD0/edit?usp=sharing"",""อุทัยธานี!S498"")"),0)</f>
        <v>0</v>
      </c>
      <c r="U30" s="109">
        <f t="shared" ca="1" si="28"/>
        <v>0</v>
      </c>
      <c r="V30" s="109">
        <f t="shared" ca="1" si="29"/>
        <v>0</v>
      </c>
      <c r="W30" s="356">
        <f ca="1">IFERROR(__xludf.DUMMYFUNCTION("IMPORTRANGE(""https://docs.google.com/spreadsheets/d/1UsNK1e-WWiCo2PvGqdNfdme4m17_Ezd3J69EeeiQPD0/edit?usp=sharing"",""อุทัยธานี!I503"")"),60)</f>
        <v>60</v>
      </c>
      <c r="X30" s="186">
        <f ca="1">IFERROR(__xludf.DUMMYFUNCTION("IMPORTRANGE(""https://docs.google.com/spreadsheets/d/1UsNK1e-WWiCo2PvGqdNfdme4m17_Ezd3J69EeeiQPD0/edit?usp=sharing"",""อุทัยธานี!J503"")"),0)</f>
        <v>0</v>
      </c>
      <c r="Y30" s="357">
        <f t="shared" ca="1" si="31"/>
        <v>0</v>
      </c>
      <c r="Z30" s="186">
        <f ca="1">IFERROR(__xludf.DUMMYFUNCTION("IMPORTRANGE(""https://docs.google.com/spreadsheets/d/1UsNK1e-WWiCo2PvGqdNfdme4m17_Ezd3J69EeeiQPD0/edit?usp=sharing"",""อุทัยธานี!J504"")"),0)</f>
        <v>0</v>
      </c>
      <c r="AA30" s="186">
        <f ca="1">IFERROR(__xludf.DUMMYFUNCTION("IMPORTRANGE(""https://docs.google.com/spreadsheets/d/1UsNK1e-WWiCo2PvGqdNfdme4m17_Ezd3J69EeeiQPD0/edit?usp=sharing"",""อุทัยธานี!J505"")"),0)</f>
        <v>0</v>
      </c>
      <c r="AB30" s="186">
        <f ca="1">IFERROR(__xludf.DUMMYFUNCTION("IMPORTRANGE(""https://docs.google.com/spreadsheets/d/1UsNK1e-WWiCo2PvGqdNfdme4m17_Ezd3J69EeeiQPD0/edit?usp=sharing"",""อุทัยธานี!J506"")"),0)</f>
        <v>0</v>
      </c>
      <c r="AC30" s="186">
        <f ca="1">IFERROR(__xludf.DUMMYFUNCTION("IMPORTRANGE(""https://docs.google.com/spreadsheets/d/1UsNK1e-WWiCo2PvGqdNfdme4m17_Ezd3J69EeeiQPD0/edit?usp=sharing"",""อุทัยธานี!J507"")"),0)</f>
        <v>0</v>
      </c>
      <c r="AD30" s="186">
        <f ca="1">IFERROR(__xludf.DUMMYFUNCTION("IMPORTRANGE(""https://docs.google.com/spreadsheets/d/1UsNK1e-WWiCo2PvGqdNfdme4m17_Ezd3J69EeeiQPD0/edit?usp=sharing"",""อุทัยธานี!J508"")"),0)</f>
        <v>0</v>
      </c>
      <c r="AE30" s="186">
        <f ca="1">IFERROR(__xludf.DUMMYFUNCTION("IMPORTRANGE(""https://docs.google.com/spreadsheets/d/1UsNK1e-WWiCo2PvGqdNfdme4m17_Ezd3J69EeeiQPD0/edit?usp=sharing"",""อุทัยธานี!J509"")"),0)</f>
        <v>0</v>
      </c>
    </row>
    <row r="31" spans="1:31" ht="21" customHeight="1" x14ac:dyDescent="0.3">
      <c r="A31" s="625" t="s">
        <v>57</v>
      </c>
      <c r="B31" s="626"/>
      <c r="C31" s="161">
        <f t="shared" si="19"/>
        <v>0</v>
      </c>
      <c r="D31" s="161">
        <f t="shared" ref="D31:I31" si="34">SUM(D32:D51)</f>
        <v>0</v>
      </c>
      <c r="E31" s="161">
        <f t="shared" si="34"/>
        <v>0</v>
      </c>
      <c r="F31" s="161">
        <f t="shared" si="34"/>
        <v>0</v>
      </c>
      <c r="G31" s="161">
        <f t="shared" si="34"/>
        <v>0</v>
      </c>
      <c r="H31" s="161">
        <f t="shared" si="34"/>
        <v>0</v>
      </c>
      <c r="I31" s="161">
        <f t="shared" si="34"/>
        <v>0</v>
      </c>
      <c r="J31" s="161">
        <f t="shared" si="21"/>
        <v>0</v>
      </c>
      <c r="K31" s="162">
        <f t="shared" si="22"/>
        <v>0</v>
      </c>
      <c r="L31" s="161">
        <f>SUM(L32:L51)</f>
        <v>0</v>
      </c>
      <c r="M31" s="40">
        <f t="shared" si="23"/>
        <v>0</v>
      </c>
      <c r="N31" s="40">
        <f t="shared" si="24"/>
        <v>0</v>
      </c>
      <c r="O31" s="39">
        <f>SUM(O32:O51)</f>
        <v>0</v>
      </c>
      <c r="P31" s="39">
        <f t="shared" si="25"/>
        <v>0</v>
      </c>
      <c r="Q31" s="40">
        <f t="shared" si="26"/>
        <v>0</v>
      </c>
      <c r="R31" s="40">
        <f t="shared" ref="R31:T31" ca="1" si="35">SUM(R32:R51)</f>
        <v>1066115</v>
      </c>
      <c r="S31" s="40">
        <f t="shared" ca="1" si="35"/>
        <v>0</v>
      </c>
      <c r="T31" s="40">
        <f t="shared" ca="1" si="35"/>
        <v>0</v>
      </c>
      <c r="U31" s="40">
        <f t="shared" ca="1" si="28"/>
        <v>0</v>
      </c>
      <c r="V31" s="40">
        <f t="shared" ca="1" si="29"/>
        <v>0</v>
      </c>
      <c r="W31" s="348">
        <f t="shared" ref="W31:X31" ca="1" si="36">SUM(W32:W51)</f>
        <v>70</v>
      </c>
      <c r="X31" s="161">
        <f t="shared" ca="1" si="36"/>
        <v>0</v>
      </c>
      <c r="Y31" s="40">
        <f t="shared" ca="1" si="31"/>
        <v>0</v>
      </c>
      <c r="Z31" s="161">
        <f t="shared" ref="Z31:AE31" ca="1" si="37">SUM(Z32:Z51)</f>
        <v>0</v>
      </c>
      <c r="AA31" s="161">
        <f t="shared" ca="1" si="37"/>
        <v>0</v>
      </c>
      <c r="AB31" s="161">
        <f t="shared" ca="1" si="37"/>
        <v>0</v>
      </c>
      <c r="AC31" s="161">
        <f t="shared" ca="1" si="37"/>
        <v>0</v>
      </c>
      <c r="AD31" s="161">
        <f t="shared" ca="1" si="37"/>
        <v>0</v>
      </c>
      <c r="AE31" s="161">
        <f t="shared" ca="1" si="37"/>
        <v>0</v>
      </c>
    </row>
    <row r="32" spans="1:31" ht="21" customHeight="1" x14ac:dyDescent="0.3">
      <c r="A32" s="77">
        <v>1</v>
      </c>
      <c r="B32" s="78" t="s">
        <v>58</v>
      </c>
      <c r="C32" s="174">
        <f t="shared" si="19"/>
        <v>0</v>
      </c>
      <c r="D32" s="175">
        <f t="shared" ref="D32:D51" si="38">+E32+F32</f>
        <v>0</v>
      </c>
      <c r="E32" s="403">
        <v>0</v>
      </c>
      <c r="F32" s="403">
        <v>0</v>
      </c>
      <c r="G32" s="219">
        <v>0</v>
      </c>
      <c r="H32" s="219">
        <v>0</v>
      </c>
      <c r="I32" s="219">
        <v>0</v>
      </c>
      <c r="J32" s="177">
        <f t="shared" si="21"/>
        <v>0</v>
      </c>
      <c r="K32" s="178">
        <f t="shared" si="22"/>
        <v>0</v>
      </c>
      <c r="L32" s="219">
        <v>0</v>
      </c>
      <c r="M32" s="87">
        <f t="shared" si="23"/>
        <v>0</v>
      </c>
      <c r="N32" s="87">
        <f t="shared" si="24"/>
        <v>0</v>
      </c>
      <c r="O32" s="403">
        <v>0</v>
      </c>
      <c r="P32" s="86">
        <f t="shared" si="25"/>
        <v>0</v>
      </c>
      <c r="Q32" s="87">
        <f t="shared" si="26"/>
        <v>0</v>
      </c>
      <c r="R32" s="87">
        <f ca="1">IFERROR(__xludf.DUMMYFUNCTION("IMPORTRANGE(""https://docs.google.com/spreadsheets/d/1yhBcrRPreicbMKl9Bu_Snb2-OcQAF62RKfhTLhJ2eAA/edit?usp=sharing"",""กาฬสินธุ์!Q498"")"),460185)</f>
        <v>460185</v>
      </c>
      <c r="S32" s="87">
        <f ca="1">IFERROR(__xludf.DUMMYFUNCTION("IMPORTRANGE(""https://docs.google.com/spreadsheets/d/1yhBcrRPreicbMKl9Bu_Snb2-OcQAF62RKfhTLhJ2eAA/edit?usp=sharing"",""กาฬสินธุ์!R498"")"),0)</f>
        <v>0</v>
      </c>
      <c r="T32" s="87">
        <f ca="1">IFERROR(__xludf.DUMMYFUNCTION("IMPORTRANGE(""https://docs.google.com/spreadsheets/d/1yhBcrRPreicbMKl9Bu_Snb2-OcQAF62RKfhTLhJ2eAA/edit?usp=sharing"",""กาฬสินธุ์!S498"")"),0)</f>
        <v>0</v>
      </c>
      <c r="U32" s="87">
        <f t="shared" ca="1" si="28"/>
        <v>0</v>
      </c>
      <c r="V32" s="87">
        <f t="shared" ca="1" si="29"/>
        <v>0</v>
      </c>
      <c r="W32" s="353">
        <f ca="1">IFERROR(__xludf.DUMMYFUNCTION("IMPORTRANGE(""https://docs.google.com/spreadsheets/d/1yhBcrRPreicbMKl9Bu_Snb2-OcQAF62RKfhTLhJ2eAA/edit?usp=sharing"",""กาฬสินธุ์!I503"")"),30)</f>
        <v>30</v>
      </c>
      <c r="X32" s="177">
        <f ca="1">IFERROR(__xludf.DUMMYFUNCTION("IMPORTRANGE(""https://docs.google.com/spreadsheets/d/1yhBcrRPreicbMKl9Bu_Snb2-OcQAF62RKfhTLhJ2eAA/edit?usp=sharing"",""กาฬสินธุ์!J503"")"),0)</f>
        <v>0</v>
      </c>
      <c r="Y32" s="354">
        <f t="shared" ca="1" si="31"/>
        <v>0</v>
      </c>
      <c r="Z32" s="177">
        <f ca="1">IFERROR(__xludf.DUMMYFUNCTION("IMPORTRANGE(""https://docs.google.com/spreadsheets/d/1yhBcrRPreicbMKl9Bu_Snb2-OcQAF62RKfhTLhJ2eAA/edit?usp=sharing"",""กาฬสินธุ์!J504"")"),0)</f>
        <v>0</v>
      </c>
      <c r="AA32" s="177">
        <f ca="1">IFERROR(__xludf.DUMMYFUNCTION("IMPORTRANGE(""https://docs.google.com/spreadsheets/d/1yhBcrRPreicbMKl9Bu_Snb2-OcQAF62RKfhTLhJ2eAA/edit?usp=sharing"",""กาฬสินธุ์!J505"")"),0)</f>
        <v>0</v>
      </c>
      <c r="AB32" s="177">
        <f ca="1">IFERROR(__xludf.DUMMYFUNCTION("IMPORTRANGE(""https://docs.google.com/spreadsheets/d/1yhBcrRPreicbMKl9Bu_Snb2-OcQAF62RKfhTLhJ2eAA/edit?usp=sharing"",""กาฬสินธุ์!J506"")"),0)</f>
        <v>0</v>
      </c>
      <c r="AC32" s="177">
        <f ca="1">IFERROR(__xludf.DUMMYFUNCTION("IMPORTRANGE(""https://docs.google.com/spreadsheets/d/1yhBcrRPreicbMKl9Bu_Snb2-OcQAF62RKfhTLhJ2eAA/edit?usp=sharing"",""กาฬสินธุ์!J507"")"),0)</f>
        <v>0</v>
      </c>
      <c r="AD32" s="177">
        <f ca="1">IFERROR(__xludf.DUMMYFUNCTION("IMPORTRANGE(""https://docs.google.com/spreadsheets/d/1yhBcrRPreicbMKl9Bu_Snb2-OcQAF62RKfhTLhJ2eAA/edit?usp=sharing"",""กาฬสินธุ์!J508"")"),0)</f>
        <v>0</v>
      </c>
      <c r="AE32" s="177">
        <f ca="1">IFERROR(__xludf.DUMMYFUNCTION("IMPORTRANGE(""https://docs.google.com/spreadsheets/d/1yhBcrRPreicbMKl9Bu_Snb2-OcQAF62RKfhTLhJ2eAA/edit?usp=sharing"",""กาฬสินธุ์!J509"")"),0)</f>
        <v>0</v>
      </c>
    </row>
    <row r="33" spans="1:31" ht="21" customHeight="1" x14ac:dyDescent="0.3">
      <c r="A33" s="89">
        <v>2</v>
      </c>
      <c r="B33" s="90" t="s">
        <v>59</v>
      </c>
      <c r="C33" s="174">
        <f t="shared" si="19"/>
        <v>0</v>
      </c>
      <c r="D33" s="175">
        <f t="shared" si="38"/>
        <v>0</v>
      </c>
      <c r="E33" s="403">
        <v>0</v>
      </c>
      <c r="F33" s="403">
        <v>0</v>
      </c>
      <c r="G33" s="403">
        <v>0</v>
      </c>
      <c r="H33" s="403">
        <v>0</v>
      </c>
      <c r="I33" s="403">
        <v>0</v>
      </c>
      <c r="J33" s="176">
        <f t="shared" si="21"/>
        <v>0</v>
      </c>
      <c r="K33" s="179">
        <f t="shared" si="22"/>
        <v>0</v>
      </c>
      <c r="L33" s="403">
        <v>0</v>
      </c>
      <c r="M33" s="87">
        <f t="shared" si="23"/>
        <v>0</v>
      </c>
      <c r="N33" s="87">
        <f t="shared" si="24"/>
        <v>0</v>
      </c>
      <c r="O33" s="403">
        <v>0</v>
      </c>
      <c r="P33" s="86">
        <f t="shared" si="25"/>
        <v>0</v>
      </c>
      <c r="Q33" s="87">
        <f t="shared" si="26"/>
        <v>0</v>
      </c>
      <c r="R33" s="87">
        <f ca="1">IFERROR(__xludf.DUMMYFUNCTION("IMPORTRANGE(""https://docs.google.com/spreadsheets/d/1aHkj4IaQMThhwWwevcOymEh837vdxeC_PycurhTbGFA/edit?usp=sharing"",""ขอนแก่น!Q498"")"),0)</f>
        <v>0</v>
      </c>
      <c r="S33" s="87">
        <f ca="1">IFERROR(__xludf.DUMMYFUNCTION("IMPORTRANGE(""https://docs.google.com/spreadsheets/d/1aHkj4IaQMThhwWwevcOymEh837vdxeC_PycurhTbGFA/edit?usp=sharing"",""ขอนแก่น!R498"")"),0)</f>
        <v>0</v>
      </c>
      <c r="T33" s="87">
        <f ca="1">IFERROR(__xludf.DUMMYFUNCTION("IMPORTRANGE(""https://docs.google.com/spreadsheets/d/1aHkj4IaQMThhwWwevcOymEh837vdxeC_PycurhTbGFA/edit?usp=sharing"",""ขอนแก่น!S498"")"),0)</f>
        <v>0</v>
      </c>
      <c r="U33" s="87">
        <f t="shared" ca="1" si="28"/>
        <v>0</v>
      </c>
      <c r="V33" s="87">
        <f t="shared" ca="1" si="29"/>
        <v>0</v>
      </c>
      <c r="W33" s="355">
        <f ca="1">IFERROR(__xludf.DUMMYFUNCTION("IMPORTRANGE(""https://docs.google.com/spreadsheets/d/1aHkj4IaQMThhwWwevcOymEh837vdxeC_PycurhTbGFA/edit?usp=sharing"",""ขอนแก่น!I503"")"),0)</f>
        <v>0</v>
      </c>
      <c r="X33" s="177">
        <f ca="1">IFERROR(__xludf.DUMMYFUNCTION("IMPORTRANGE(""https://docs.google.com/spreadsheets/d/1aHkj4IaQMThhwWwevcOymEh837vdxeC_PycurhTbGFA/edit?usp=sharing"",""ขอนแก่น!J503"")"),0)</f>
        <v>0</v>
      </c>
      <c r="Y33" s="354">
        <f t="shared" ca="1" si="31"/>
        <v>0</v>
      </c>
      <c r="Z33" s="177">
        <f ca="1">IFERROR(__xludf.DUMMYFUNCTION("IMPORTRANGE(""https://docs.google.com/spreadsheets/d/1aHkj4IaQMThhwWwevcOymEh837vdxeC_PycurhTbGFA/edit?usp=sharing"",""ขอนแก่น!J504"")"),0)</f>
        <v>0</v>
      </c>
      <c r="AA33" s="177">
        <f ca="1">IFERROR(__xludf.DUMMYFUNCTION("IMPORTRANGE(""https://docs.google.com/spreadsheets/d/1aHkj4IaQMThhwWwevcOymEh837vdxeC_PycurhTbGFA/edit?usp=sharing"",""ขอนแก่น!J505"")"),0)</f>
        <v>0</v>
      </c>
      <c r="AB33" s="177">
        <f ca="1">IFERROR(__xludf.DUMMYFUNCTION("IMPORTRANGE(""https://docs.google.com/spreadsheets/d/1aHkj4IaQMThhwWwevcOymEh837vdxeC_PycurhTbGFA/edit?usp=sharing"",""ขอนแก่น!J506"")"),0)</f>
        <v>0</v>
      </c>
      <c r="AC33" s="177">
        <f ca="1">IFERROR(__xludf.DUMMYFUNCTION("IMPORTRANGE(""https://docs.google.com/spreadsheets/d/1aHkj4IaQMThhwWwevcOymEh837vdxeC_PycurhTbGFA/edit?usp=sharing"",""ขอนแก่น!J507"")"),0)</f>
        <v>0</v>
      </c>
      <c r="AD33" s="177">
        <f ca="1">IFERROR(__xludf.DUMMYFUNCTION("IMPORTRANGE(""https://docs.google.com/spreadsheets/d/1aHkj4IaQMThhwWwevcOymEh837vdxeC_PycurhTbGFA/edit?usp=sharing"",""ขอนแก่น!J508"")"),0)</f>
        <v>0</v>
      </c>
      <c r="AE33" s="177">
        <f ca="1">IFERROR(__xludf.DUMMYFUNCTION("IMPORTRANGE(""https://docs.google.com/spreadsheets/d/1aHkj4IaQMThhwWwevcOymEh837vdxeC_PycurhTbGFA/edit?usp=sharing"",""ขอนแก่น!J509"")"),0)</f>
        <v>0</v>
      </c>
    </row>
    <row r="34" spans="1:31" ht="21" customHeight="1" x14ac:dyDescent="0.3">
      <c r="A34" s="89">
        <v>3</v>
      </c>
      <c r="B34" s="90" t="s">
        <v>60</v>
      </c>
      <c r="C34" s="174">
        <f t="shared" si="19"/>
        <v>0</v>
      </c>
      <c r="D34" s="175">
        <f t="shared" si="38"/>
        <v>0</v>
      </c>
      <c r="E34" s="403">
        <v>0</v>
      </c>
      <c r="F34" s="403">
        <v>0</v>
      </c>
      <c r="G34" s="403">
        <v>0</v>
      </c>
      <c r="H34" s="403">
        <v>0</v>
      </c>
      <c r="I34" s="403">
        <v>0</v>
      </c>
      <c r="J34" s="176">
        <f t="shared" si="21"/>
        <v>0</v>
      </c>
      <c r="K34" s="179">
        <f t="shared" si="22"/>
        <v>0</v>
      </c>
      <c r="L34" s="403">
        <v>0</v>
      </c>
      <c r="M34" s="87">
        <f t="shared" si="23"/>
        <v>0</v>
      </c>
      <c r="N34" s="87">
        <f t="shared" si="24"/>
        <v>0</v>
      </c>
      <c r="O34" s="403">
        <v>0</v>
      </c>
      <c r="P34" s="86">
        <f t="shared" si="25"/>
        <v>0</v>
      </c>
      <c r="Q34" s="87">
        <f t="shared" si="26"/>
        <v>0</v>
      </c>
      <c r="R34" s="87">
        <f ca="1">IFERROR(__xludf.DUMMYFUNCTION("IMPORTRANGE(""https://docs.google.com/spreadsheets/d/1FvTu2DsIWUjP6WCWra38Bkj_oOl_sOMf14r5Fg5srxU/edit?usp=sharing"",""ชัยภูมิ!Q498"")"),0)</f>
        <v>0</v>
      </c>
      <c r="S34" s="87">
        <f ca="1">IFERROR(__xludf.DUMMYFUNCTION("IMPORTRANGE(""https://docs.google.com/spreadsheets/d/1FvTu2DsIWUjP6WCWra38Bkj_oOl_sOMf14r5Fg5srxU/edit?usp=sharing"",""ชัยภูมิ!R498"")"),0)</f>
        <v>0</v>
      </c>
      <c r="T34" s="87">
        <f ca="1">IFERROR(__xludf.DUMMYFUNCTION("IMPORTRANGE(""https://docs.google.com/spreadsheets/d/1FvTu2DsIWUjP6WCWra38Bkj_oOl_sOMf14r5Fg5srxU/edit?usp=sharing"",""ชัยภูมิ!S498"")"),0)</f>
        <v>0</v>
      </c>
      <c r="U34" s="87">
        <f t="shared" ca="1" si="28"/>
        <v>0</v>
      </c>
      <c r="V34" s="87">
        <f t="shared" ca="1" si="29"/>
        <v>0</v>
      </c>
      <c r="W34" s="353">
        <f ca="1">IFERROR(__xludf.DUMMYFUNCTION("IMPORTRANGE(""https://docs.google.com/spreadsheets/d/1FvTu2DsIWUjP6WCWra38Bkj_oOl_sOMf14r5Fg5srxU/edit?usp=sharing"",""ชัยภูมิ!I503"")"),0)</f>
        <v>0</v>
      </c>
      <c r="X34" s="177">
        <f ca="1">IFERROR(__xludf.DUMMYFUNCTION("IMPORTRANGE(""https://docs.google.com/spreadsheets/d/1FvTu2DsIWUjP6WCWra38Bkj_oOl_sOMf14r5Fg5srxU/edit?usp=sharing"",""ชัยภูมิ!J503"")"),0)</f>
        <v>0</v>
      </c>
      <c r="Y34" s="354">
        <f t="shared" ca="1" si="31"/>
        <v>0</v>
      </c>
      <c r="Z34" s="177">
        <f ca="1">IFERROR(__xludf.DUMMYFUNCTION("IMPORTRANGE(""https://docs.google.com/spreadsheets/d/1FvTu2DsIWUjP6WCWra38Bkj_oOl_sOMf14r5Fg5srxU/edit?usp=sharing"",""ชัยภูมิ!J504"")"),0)</f>
        <v>0</v>
      </c>
      <c r="AA34" s="177">
        <f ca="1">IFERROR(__xludf.DUMMYFUNCTION("IMPORTRANGE(""https://docs.google.com/spreadsheets/d/1FvTu2DsIWUjP6WCWra38Bkj_oOl_sOMf14r5Fg5srxU/edit?usp=sharing"",""ชัยภูมิ!J505"")"),0)</f>
        <v>0</v>
      </c>
      <c r="AB34" s="177">
        <f ca="1">IFERROR(__xludf.DUMMYFUNCTION("IMPORTRANGE(""https://docs.google.com/spreadsheets/d/1FvTu2DsIWUjP6WCWra38Bkj_oOl_sOMf14r5Fg5srxU/edit?usp=sharing"",""ชัยภูมิ!J506"")"),0)</f>
        <v>0</v>
      </c>
      <c r="AC34" s="177">
        <f ca="1">IFERROR(__xludf.DUMMYFUNCTION("IMPORTRANGE(""https://docs.google.com/spreadsheets/d/1FvTu2DsIWUjP6WCWra38Bkj_oOl_sOMf14r5Fg5srxU/edit?usp=sharing"",""ชัยภูมิ!J507"")"),0)</f>
        <v>0</v>
      </c>
      <c r="AD34" s="177">
        <f ca="1">IFERROR(__xludf.DUMMYFUNCTION("IMPORTRANGE(""https://docs.google.com/spreadsheets/d/1FvTu2DsIWUjP6WCWra38Bkj_oOl_sOMf14r5Fg5srxU/edit?usp=sharing"",""ชัยภูมิ!J508"")"),0)</f>
        <v>0</v>
      </c>
      <c r="AE34" s="177">
        <f ca="1">IFERROR(__xludf.DUMMYFUNCTION("IMPORTRANGE(""https://docs.google.com/spreadsheets/d/1FvTu2DsIWUjP6WCWra38Bkj_oOl_sOMf14r5Fg5srxU/edit?usp=sharing"",""ชัยภูมิ!J509"")"),0)</f>
        <v>0</v>
      </c>
    </row>
    <row r="35" spans="1:31" ht="21" customHeight="1" x14ac:dyDescent="0.3">
      <c r="A35" s="89">
        <v>4</v>
      </c>
      <c r="B35" s="90" t="s">
        <v>61</v>
      </c>
      <c r="C35" s="174">
        <f t="shared" si="19"/>
        <v>0</v>
      </c>
      <c r="D35" s="175">
        <f t="shared" si="38"/>
        <v>0</v>
      </c>
      <c r="E35" s="403">
        <v>0</v>
      </c>
      <c r="F35" s="403">
        <v>0</v>
      </c>
      <c r="G35" s="403">
        <v>0</v>
      </c>
      <c r="H35" s="403">
        <v>0</v>
      </c>
      <c r="I35" s="403">
        <v>0</v>
      </c>
      <c r="J35" s="176">
        <f t="shared" si="21"/>
        <v>0</v>
      </c>
      <c r="K35" s="179">
        <f t="shared" si="22"/>
        <v>0</v>
      </c>
      <c r="L35" s="403">
        <v>0</v>
      </c>
      <c r="M35" s="87">
        <f t="shared" si="23"/>
        <v>0</v>
      </c>
      <c r="N35" s="87">
        <f t="shared" si="24"/>
        <v>0</v>
      </c>
      <c r="O35" s="403">
        <v>0</v>
      </c>
      <c r="P35" s="86">
        <f t="shared" si="25"/>
        <v>0</v>
      </c>
      <c r="Q35" s="87">
        <f t="shared" si="26"/>
        <v>0</v>
      </c>
      <c r="R35" s="87">
        <f ca="1">IFERROR(__xludf.DUMMYFUNCTION("IMPORTRANGE(""https://docs.google.com/spreadsheets/d/1XVB7oCJ3pr-vBUdflwPQ8Z2LlzhnCvZaaYjAfP-647E/edit?usp=sharing"",""นครพนม!Q498"")"),0)</f>
        <v>0</v>
      </c>
      <c r="S35" s="87">
        <f ca="1">IFERROR(__xludf.DUMMYFUNCTION("IMPORTRANGE(""https://docs.google.com/spreadsheets/d/1XVB7oCJ3pr-vBUdflwPQ8Z2LlzhnCvZaaYjAfP-647E/edit?usp=sharing"",""นครพนม!R498"")"),0)</f>
        <v>0</v>
      </c>
      <c r="T35" s="87">
        <f ca="1">IFERROR(__xludf.DUMMYFUNCTION("IMPORTRANGE(""https://docs.google.com/spreadsheets/d/1XVB7oCJ3pr-vBUdflwPQ8Z2LlzhnCvZaaYjAfP-647E/edit?usp=sharing"",""นครพนม!S498"")"),0)</f>
        <v>0</v>
      </c>
      <c r="U35" s="87">
        <f t="shared" ca="1" si="28"/>
        <v>0</v>
      </c>
      <c r="V35" s="87">
        <f t="shared" ca="1" si="29"/>
        <v>0</v>
      </c>
      <c r="W35" s="353">
        <f ca="1">IFERROR(__xludf.DUMMYFUNCTION("IMPORTRANGE(""https://docs.google.com/spreadsheets/d/1XVB7oCJ3pr-vBUdflwPQ8Z2LlzhnCvZaaYjAfP-647E/edit?usp=sharing"",""นครพนม!I503"")"),0)</f>
        <v>0</v>
      </c>
      <c r="X35" s="177">
        <f ca="1">IFERROR(__xludf.DUMMYFUNCTION("IMPORTRANGE(""https://docs.google.com/spreadsheets/d/1XVB7oCJ3pr-vBUdflwPQ8Z2LlzhnCvZaaYjAfP-647E/edit?usp=sharing"",""นครพนม!J503"")"),0)</f>
        <v>0</v>
      </c>
      <c r="Y35" s="354">
        <f t="shared" ca="1" si="31"/>
        <v>0</v>
      </c>
      <c r="Z35" s="177">
        <f ca="1">IFERROR(__xludf.DUMMYFUNCTION("IMPORTRANGE(""https://docs.google.com/spreadsheets/d/1XVB7oCJ3pr-vBUdflwPQ8Z2LlzhnCvZaaYjAfP-647E/edit?usp=sharing"",""นครพนม!J504"")"),0)</f>
        <v>0</v>
      </c>
      <c r="AA35" s="177">
        <f ca="1">IFERROR(__xludf.DUMMYFUNCTION("IMPORTRANGE(""https://docs.google.com/spreadsheets/d/1XVB7oCJ3pr-vBUdflwPQ8Z2LlzhnCvZaaYjAfP-647E/edit?usp=sharing"",""นครพนม!J505"")"),0)</f>
        <v>0</v>
      </c>
      <c r="AB35" s="177">
        <f ca="1">IFERROR(__xludf.DUMMYFUNCTION("IMPORTRANGE(""https://docs.google.com/spreadsheets/d/1XVB7oCJ3pr-vBUdflwPQ8Z2LlzhnCvZaaYjAfP-647E/edit?usp=sharing"",""นครพนม!J506"")"),0)</f>
        <v>0</v>
      </c>
      <c r="AC35" s="177">
        <f ca="1">IFERROR(__xludf.DUMMYFUNCTION("IMPORTRANGE(""https://docs.google.com/spreadsheets/d/1XVB7oCJ3pr-vBUdflwPQ8Z2LlzhnCvZaaYjAfP-647E/edit?usp=sharing"",""นครพนม!J507"")"),0)</f>
        <v>0</v>
      </c>
      <c r="AD35" s="177">
        <f ca="1">IFERROR(__xludf.DUMMYFUNCTION("IMPORTRANGE(""https://docs.google.com/spreadsheets/d/1XVB7oCJ3pr-vBUdflwPQ8Z2LlzhnCvZaaYjAfP-647E/edit?usp=sharing"",""นครพนม!J508"")"),0)</f>
        <v>0</v>
      </c>
      <c r="AE35" s="177">
        <f ca="1">IFERROR(__xludf.DUMMYFUNCTION("IMPORTRANGE(""https://docs.google.com/spreadsheets/d/1XVB7oCJ3pr-vBUdflwPQ8Z2LlzhnCvZaaYjAfP-647E/edit?usp=sharing"",""นครพนม!J509"")"),0)</f>
        <v>0</v>
      </c>
    </row>
    <row r="36" spans="1:31" ht="21" customHeight="1" x14ac:dyDescent="0.3">
      <c r="A36" s="89">
        <v>5</v>
      </c>
      <c r="B36" s="90" t="s">
        <v>62</v>
      </c>
      <c r="C36" s="174">
        <f t="shared" si="19"/>
        <v>0</v>
      </c>
      <c r="D36" s="175">
        <f t="shared" si="38"/>
        <v>0</v>
      </c>
      <c r="E36" s="403">
        <v>0</v>
      </c>
      <c r="F36" s="403">
        <v>0</v>
      </c>
      <c r="G36" s="403">
        <v>0</v>
      </c>
      <c r="H36" s="403">
        <v>0</v>
      </c>
      <c r="I36" s="403">
        <v>0</v>
      </c>
      <c r="J36" s="176">
        <f t="shared" si="21"/>
        <v>0</v>
      </c>
      <c r="K36" s="179">
        <f t="shared" si="22"/>
        <v>0</v>
      </c>
      <c r="L36" s="403">
        <v>0</v>
      </c>
      <c r="M36" s="87">
        <f t="shared" si="23"/>
        <v>0</v>
      </c>
      <c r="N36" s="87">
        <f t="shared" si="24"/>
        <v>0</v>
      </c>
      <c r="O36" s="403">
        <v>0</v>
      </c>
      <c r="P36" s="86">
        <f t="shared" si="25"/>
        <v>0</v>
      </c>
      <c r="Q36" s="87">
        <f t="shared" si="26"/>
        <v>0</v>
      </c>
      <c r="R36" s="87">
        <f ca="1">IFERROR(__xludf.DUMMYFUNCTION("IMPORTRANGE(""https://docs.google.com/spreadsheets/d/1Mnpb-8PYAgn85W6KOTD40hc_Xc55CaLfHoGAbrZ8tls/edit?usp=sharing"",""นครราชสีมา!Q498"")"),605930)</f>
        <v>605930</v>
      </c>
      <c r="S36" s="87">
        <f ca="1">IFERROR(__xludf.DUMMYFUNCTION("IMPORTRANGE(""https://docs.google.com/spreadsheets/d/1Mnpb-8PYAgn85W6KOTD40hc_Xc55CaLfHoGAbrZ8tls/edit?usp=sharing"",""นครราชสีมา!R498"")"),0)</f>
        <v>0</v>
      </c>
      <c r="T36" s="87">
        <f ca="1">IFERROR(__xludf.DUMMYFUNCTION("IMPORTRANGE(""https://docs.google.com/spreadsheets/d/1Mnpb-8PYAgn85W6KOTD40hc_Xc55CaLfHoGAbrZ8tls/edit?usp=sharing"",""นครราชสีมา!S498"")"),0)</f>
        <v>0</v>
      </c>
      <c r="U36" s="87">
        <f t="shared" ca="1" si="28"/>
        <v>0</v>
      </c>
      <c r="V36" s="87">
        <f t="shared" ca="1" si="29"/>
        <v>0</v>
      </c>
      <c r="W36" s="353">
        <f ca="1">IFERROR(__xludf.DUMMYFUNCTION("IMPORTRANGE(""https://docs.google.com/spreadsheets/d/1Mnpb-8PYAgn85W6KOTD40hc_Xc55CaLfHoGAbrZ8tls/edit?usp=sharing"",""นครราชสีมา!I503"")"),40)</f>
        <v>40</v>
      </c>
      <c r="X36" s="177">
        <f ca="1">IFERROR(__xludf.DUMMYFUNCTION("IMPORTRANGE(""https://docs.google.com/spreadsheets/d/1Mnpb-8PYAgn85W6KOTD40hc_Xc55CaLfHoGAbrZ8tls/edit?usp=sharing"",""นครราชสีมา!J503"")"),0)</f>
        <v>0</v>
      </c>
      <c r="Y36" s="354">
        <f t="shared" ca="1" si="31"/>
        <v>0</v>
      </c>
      <c r="Z36" s="177">
        <f ca="1">IFERROR(__xludf.DUMMYFUNCTION("IMPORTRANGE(""https://docs.google.com/spreadsheets/d/1Mnpb-8PYAgn85W6KOTD40hc_Xc55CaLfHoGAbrZ8tls/edit?usp=sharing"",""นครราชสีมา!J504"")"),0)</f>
        <v>0</v>
      </c>
      <c r="AA36" s="177">
        <f ca="1">IFERROR(__xludf.DUMMYFUNCTION("IMPORTRANGE(""https://docs.google.com/spreadsheets/d/1Mnpb-8PYAgn85W6KOTD40hc_Xc55CaLfHoGAbrZ8tls/edit?usp=sharing"",""นครราชสีมา!J505"")"),0)</f>
        <v>0</v>
      </c>
      <c r="AB36" s="177">
        <f ca="1">IFERROR(__xludf.DUMMYFUNCTION("IMPORTRANGE(""https://docs.google.com/spreadsheets/d/1Mnpb-8PYAgn85W6KOTD40hc_Xc55CaLfHoGAbrZ8tls/edit?usp=sharing"",""นครราชสีมา!J506"")"),0)</f>
        <v>0</v>
      </c>
      <c r="AC36" s="177">
        <f ca="1">IFERROR(__xludf.DUMMYFUNCTION("IMPORTRANGE(""https://docs.google.com/spreadsheets/d/1Mnpb-8PYAgn85W6KOTD40hc_Xc55CaLfHoGAbrZ8tls/edit?usp=sharing"",""นครราชสีมา!J507"")"),0)</f>
        <v>0</v>
      </c>
      <c r="AD36" s="177">
        <f ca="1">IFERROR(__xludf.DUMMYFUNCTION("IMPORTRANGE(""https://docs.google.com/spreadsheets/d/1Mnpb-8PYAgn85W6KOTD40hc_Xc55CaLfHoGAbrZ8tls/edit?usp=sharing"",""นครราชสีมา!J508"")"),0)</f>
        <v>0</v>
      </c>
      <c r="AE36" s="177">
        <f ca="1">IFERROR(__xludf.DUMMYFUNCTION("IMPORTRANGE(""https://docs.google.com/spreadsheets/d/1Mnpb-8PYAgn85W6KOTD40hc_Xc55CaLfHoGAbrZ8tls/edit?usp=sharing"",""นครราชสีมา!J509"")"),0)</f>
        <v>0</v>
      </c>
    </row>
    <row r="37" spans="1:31" ht="21" customHeight="1" x14ac:dyDescent="0.3">
      <c r="A37" s="89">
        <v>6</v>
      </c>
      <c r="B37" s="90" t="s">
        <v>63</v>
      </c>
      <c r="C37" s="174">
        <f t="shared" si="19"/>
        <v>0</v>
      </c>
      <c r="D37" s="175">
        <f t="shared" si="38"/>
        <v>0</v>
      </c>
      <c r="E37" s="403">
        <v>0</v>
      </c>
      <c r="F37" s="403">
        <v>0</v>
      </c>
      <c r="G37" s="403">
        <v>0</v>
      </c>
      <c r="H37" s="403">
        <v>0</v>
      </c>
      <c r="I37" s="403">
        <v>0</v>
      </c>
      <c r="J37" s="176">
        <f t="shared" si="21"/>
        <v>0</v>
      </c>
      <c r="K37" s="179">
        <f t="shared" si="22"/>
        <v>0</v>
      </c>
      <c r="L37" s="403">
        <v>0</v>
      </c>
      <c r="M37" s="87">
        <f t="shared" si="23"/>
        <v>0</v>
      </c>
      <c r="N37" s="87">
        <f t="shared" si="24"/>
        <v>0</v>
      </c>
      <c r="O37" s="403">
        <v>0</v>
      </c>
      <c r="P37" s="86">
        <f t="shared" si="25"/>
        <v>0</v>
      </c>
      <c r="Q37" s="87">
        <f t="shared" si="26"/>
        <v>0</v>
      </c>
      <c r="R37" s="87">
        <f ca="1">IFERROR(__xludf.DUMMYFUNCTION("IMPORTRANGE(""https://docs.google.com/spreadsheets/d/1xoDLGBv9CYbyosIhki0kTq6IpYNj-gpjxfobnaDiut0/edit?usp=sharing"",""บึงกาฬ!Q498"")"),0)</f>
        <v>0</v>
      </c>
      <c r="S37" s="87">
        <f ca="1">IFERROR(__xludf.DUMMYFUNCTION("IMPORTRANGE(""https://docs.google.com/spreadsheets/d/1xoDLGBv9CYbyosIhki0kTq6IpYNj-gpjxfobnaDiut0/edit?usp=sharing"",""บึงกาฬ!R498"")"),0)</f>
        <v>0</v>
      </c>
      <c r="T37" s="87">
        <f ca="1">IFERROR(__xludf.DUMMYFUNCTION("IMPORTRANGE(""https://docs.google.com/spreadsheets/d/1xoDLGBv9CYbyosIhki0kTq6IpYNj-gpjxfobnaDiut0/edit?usp=sharing"",""บึงกาฬ!S498"")"),0)</f>
        <v>0</v>
      </c>
      <c r="U37" s="87">
        <f t="shared" ca="1" si="28"/>
        <v>0</v>
      </c>
      <c r="V37" s="87">
        <f t="shared" ca="1" si="29"/>
        <v>0</v>
      </c>
      <c r="W37" s="353">
        <f ca="1">IFERROR(__xludf.DUMMYFUNCTION("IMPORTRANGE(""https://docs.google.com/spreadsheets/d/1xoDLGBv9CYbyosIhki0kTq6IpYNj-gpjxfobnaDiut0/edit?usp=sharing"",""บึงกาฬ!I503"")"),0)</f>
        <v>0</v>
      </c>
      <c r="X37" s="177">
        <f ca="1">IFERROR(__xludf.DUMMYFUNCTION("IMPORTRANGE(""https://docs.google.com/spreadsheets/d/1xoDLGBv9CYbyosIhki0kTq6IpYNj-gpjxfobnaDiut0/edit?usp=sharing"",""บึงกาฬ!J503"")"),0)</f>
        <v>0</v>
      </c>
      <c r="Y37" s="354">
        <f t="shared" ca="1" si="31"/>
        <v>0</v>
      </c>
      <c r="Z37" s="177">
        <f ca="1">IFERROR(__xludf.DUMMYFUNCTION("IMPORTRANGE(""https://docs.google.com/spreadsheets/d/1xoDLGBv9CYbyosIhki0kTq6IpYNj-gpjxfobnaDiut0/edit?usp=sharing"",""บึงกาฬ!J504"")"),0)</f>
        <v>0</v>
      </c>
      <c r="AA37" s="177">
        <f ca="1">IFERROR(__xludf.DUMMYFUNCTION("IMPORTRANGE(""https://docs.google.com/spreadsheets/d/1xoDLGBv9CYbyosIhki0kTq6IpYNj-gpjxfobnaDiut0/edit?usp=sharing"",""บึงกาฬ!J505"")"),0)</f>
        <v>0</v>
      </c>
      <c r="AB37" s="177">
        <f ca="1">IFERROR(__xludf.DUMMYFUNCTION("IMPORTRANGE(""https://docs.google.com/spreadsheets/d/1xoDLGBv9CYbyosIhki0kTq6IpYNj-gpjxfobnaDiut0/edit?usp=sharing"",""บึงกาฬ!J506"")"),0)</f>
        <v>0</v>
      </c>
      <c r="AC37" s="177">
        <f ca="1">IFERROR(__xludf.DUMMYFUNCTION("IMPORTRANGE(""https://docs.google.com/spreadsheets/d/1xoDLGBv9CYbyosIhki0kTq6IpYNj-gpjxfobnaDiut0/edit?usp=sharing"",""บึงกาฬ!J507"")"),0)</f>
        <v>0</v>
      </c>
      <c r="AD37" s="177">
        <f ca="1">IFERROR(__xludf.DUMMYFUNCTION("IMPORTRANGE(""https://docs.google.com/spreadsheets/d/1xoDLGBv9CYbyosIhki0kTq6IpYNj-gpjxfobnaDiut0/edit?usp=sharing"",""บึงกาฬ!J508"")"),0)</f>
        <v>0</v>
      </c>
      <c r="AE37" s="177">
        <f ca="1">IFERROR(__xludf.DUMMYFUNCTION("IMPORTRANGE(""https://docs.google.com/spreadsheets/d/1xoDLGBv9CYbyosIhki0kTq6IpYNj-gpjxfobnaDiut0/edit?usp=sharing"",""บึงกาฬ!J509"")"),0)</f>
        <v>0</v>
      </c>
    </row>
    <row r="38" spans="1:31" ht="21" customHeight="1" x14ac:dyDescent="0.3">
      <c r="A38" s="89">
        <v>7</v>
      </c>
      <c r="B38" s="90" t="s">
        <v>64</v>
      </c>
      <c r="C38" s="174">
        <f t="shared" si="19"/>
        <v>0</v>
      </c>
      <c r="D38" s="175">
        <f t="shared" si="38"/>
        <v>0</v>
      </c>
      <c r="E38" s="403">
        <v>0</v>
      </c>
      <c r="F38" s="403">
        <v>0</v>
      </c>
      <c r="G38" s="403">
        <v>0</v>
      </c>
      <c r="H38" s="403">
        <v>0</v>
      </c>
      <c r="I38" s="403">
        <v>0</v>
      </c>
      <c r="J38" s="176">
        <f t="shared" si="21"/>
        <v>0</v>
      </c>
      <c r="K38" s="179">
        <f t="shared" si="22"/>
        <v>0</v>
      </c>
      <c r="L38" s="403">
        <v>0</v>
      </c>
      <c r="M38" s="87">
        <f t="shared" si="23"/>
        <v>0</v>
      </c>
      <c r="N38" s="87">
        <f t="shared" si="24"/>
        <v>0</v>
      </c>
      <c r="O38" s="403">
        <v>0</v>
      </c>
      <c r="P38" s="86">
        <f t="shared" si="25"/>
        <v>0</v>
      </c>
      <c r="Q38" s="87">
        <f t="shared" si="26"/>
        <v>0</v>
      </c>
      <c r="R38" s="87">
        <f ca="1">IFERROR(__xludf.DUMMYFUNCTION("IMPORTRANGE(""https://docs.google.com/spreadsheets/d/1MMPq-JyI6DSgQETxuSiXkesP-P7JHuemnE6QJIa-Nlw/edit?usp=sharing"",""บุรีรัมย์!Q498"")"),0)</f>
        <v>0</v>
      </c>
      <c r="S38" s="87">
        <f ca="1">IFERROR(__xludf.DUMMYFUNCTION("IMPORTRANGE(""https://docs.google.com/spreadsheets/d/1MMPq-JyI6DSgQETxuSiXkesP-P7JHuemnE6QJIa-Nlw/edit?usp=sharing"",""บุรีรัมย์!R498"")"),0)</f>
        <v>0</v>
      </c>
      <c r="T38" s="87">
        <f ca="1">IFERROR(__xludf.DUMMYFUNCTION("IMPORTRANGE(""https://docs.google.com/spreadsheets/d/1MMPq-JyI6DSgQETxuSiXkesP-P7JHuemnE6QJIa-Nlw/edit?usp=sharing"",""บุรีรัมย์!S498"")"),0)</f>
        <v>0</v>
      </c>
      <c r="U38" s="87">
        <f t="shared" ca="1" si="28"/>
        <v>0</v>
      </c>
      <c r="V38" s="87">
        <f t="shared" ca="1" si="29"/>
        <v>0</v>
      </c>
      <c r="W38" s="353">
        <f ca="1">IFERROR(__xludf.DUMMYFUNCTION("IMPORTRANGE(""https://docs.google.com/spreadsheets/d/1MMPq-JyI6DSgQETxuSiXkesP-P7JHuemnE6QJIa-Nlw/edit?usp=sharing"",""บุรีรัมย์!I503"")"),0)</f>
        <v>0</v>
      </c>
      <c r="X38" s="177">
        <f ca="1">IFERROR(__xludf.DUMMYFUNCTION("IMPORTRANGE(""https://docs.google.com/spreadsheets/d/1MMPq-JyI6DSgQETxuSiXkesP-P7JHuemnE6QJIa-Nlw/edit?usp=sharing"",""บุรีรัมย์!J503"")"),0)</f>
        <v>0</v>
      </c>
      <c r="Y38" s="354">
        <f t="shared" ca="1" si="31"/>
        <v>0</v>
      </c>
      <c r="Z38" s="177">
        <f ca="1">IFERROR(__xludf.DUMMYFUNCTION("IMPORTRANGE(""https://docs.google.com/spreadsheets/d/1MMPq-JyI6DSgQETxuSiXkesP-P7JHuemnE6QJIa-Nlw/edit?usp=sharing"",""บุรีรัมย์!J504"")"),0)</f>
        <v>0</v>
      </c>
      <c r="AA38" s="177">
        <f ca="1">IFERROR(__xludf.DUMMYFUNCTION("IMPORTRANGE(""https://docs.google.com/spreadsheets/d/1MMPq-JyI6DSgQETxuSiXkesP-P7JHuemnE6QJIa-Nlw/edit?usp=sharing"",""บุรีรัมย์!J505"")"),0)</f>
        <v>0</v>
      </c>
      <c r="AB38" s="177">
        <f ca="1">IFERROR(__xludf.DUMMYFUNCTION("IMPORTRANGE(""https://docs.google.com/spreadsheets/d/1MMPq-JyI6DSgQETxuSiXkesP-P7JHuemnE6QJIa-Nlw/edit?usp=sharing"",""บุรีรัมย์!J506"")"),0)</f>
        <v>0</v>
      </c>
      <c r="AC38" s="177">
        <f ca="1">IFERROR(__xludf.DUMMYFUNCTION("IMPORTRANGE(""https://docs.google.com/spreadsheets/d/1MMPq-JyI6DSgQETxuSiXkesP-P7JHuemnE6QJIa-Nlw/edit?usp=sharing"",""บุรีรัมย์!J507"")"),0)</f>
        <v>0</v>
      </c>
      <c r="AD38" s="177">
        <f ca="1">IFERROR(__xludf.DUMMYFUNCTION("IMPORTRANGE(""https://docs.google.com/spreadsheets/d/1MMPq-JyI6DSgQETxuSiXkesP-P7JHuemnE6QJIa-Nlw/edit?usp=sharing"",""บุรีรัมย์!J508"")"),0)</f>
        <v>0</v>
      </c>
      <c r="AE38" s="177">
        <f ca="1">IFERROR(__xludf.DUMMYFUNCTION("IMPORTRANGE(""https://docs.google.com/spreadsheets/d/1MMPq-JyI6DSgQETxuSiXkesP-P7JHuemnE6QJIa-Nlw/edit?usp=sharing"",""บุรีรัมย์!J509"")"),0)</f>
        <v>0</v>
      </c>
    </row>
    <row r="39" spans="1:31" ht="21" customHeight="1" x14ac:dyDescent="0.3">
      <c r="A39" s="89">
        <v>8</v>
      </c>
      <c r="B39" s="90" t="s">
        <v>65</v>
      </c>
      <c r="C39" s="174">
        <f t="shared" si="19"/>
        <v>0</v>
      </c>
      <c r="D39" s="175">
        <f t="shared" si="38"/>
        <v>0</v>
      </c>
      <c r="E39" s="403">
        <v>0</v>
      </c>
      <c r="F39" s="403">
        <v>0</v>
      </c>
      <c r="G39" s="403">
        <v>0</v>
      </c>
      <c r="H39" s="403">
        <v>0</v>
      </c>
      <c r="I39" s="403">
        <v>0</v>
      </c>
      <c r="J39" s="176">
        <f t="shared" si="21"/>
        <v>0</v>
      </c>
      <c r="K39" s="179">
        <f t="shared" si="22"/>
        <v>0</v>
      </c>
      <c r="L39" s="403">
        <v>0</v>
      </c>
      <c r="M39" s="87">
        <f t="shared" si="23"/>
        <v>0</v>
      </c>
      <c r="N39" s="87">
        <f t="shared" si="24"/>
        <v>0</v>
      </c>
      <c r="O39" s="403">
        <v>0</v>
      </c>
      <c r="P39" s="86">
        <f t="shared" si="25"/>
        <v>0</v>
      </c>
      <c r="Q39" s="87">
        <f t="shared" si="26"/>
        <v>0</v>
      </c>
      <c r="R39" s="87">
        <f ca="1">IFERROR(__xludf.DUMMYFUNCTION("IMPORTRANGE(""https://docs.google.com/spreadsheets/d/1l6IZ8xUPgMrESzcTYwhA1k_tPjeQjJPTqlm8Gd9eU5g/edit?usp=sharing"",""มหาสารคาม!Q498"")"),0)</f>
        <v>0</v>
      </c>
      <c r="S39" s="87">
        <f ca="1">IFERROR(__xludf.DUMMYFUNCTION("IMPORTRANGE(""https://docs.google.com/spreadsheets/d/1l6IZ8xUPgMrESzcTYwhA1k_tPjeQjJPTqlm8Gd9eU5g/edit?usp=sharing"",""มหาสารคาม!R498"")"),0)</f>
        <v>0</v>
      </c>
      <c r="T39" s="87">
        <f ca="1">IFERROR(__xludf.DUMMYFUNCTION("IMPORTRANGE(""https://docs.google.com/spreadsheets/d/1l6IZ8xUPgMrESzcTYwhA1k_tPjeQjJPTqlm8Gd9eU5g/edit?usp=sharing"",""มหาสารคาม!S498"")"),0)</f>
        <v>0</v>
      </c>
      <c r="U39" s="87">
        <f t="shared" ca="1" si="28"/>
        <v>0</v>
      </c>
      <c r="V39" s="87">
        <f t="shared" ca="1" si="29"/>
        <v>0</v>
      </c>
      <c r="W39" s="353">
        <f ca="1">IFERROR(__xludf.DUMMYFUNCTION("IMPORTRANGE(""https://docs.google.com/spreadsheets/d/1l6IZ8xUPgMrESzcTYwhA1k_tPjeQjJPTqlm8Gd9eU5g/edit?usp=sharing"",""มหาสารคาม!I503"")"),0)</f>
        <v>0</v>
      </c>
      <c r="X39" s="177">
        <f ca="1">IFERROR(__xludf.DUMMYFUNCTION("IMPORTRANGE(""https://docs.google.com/spreadsheets/d/1l6IZ8xUPgMrESzcTYwhA1k_tPjeQjJPTqlm8Gd9eU5g/edit?usp=sharing"",""มหาสารคาม!J503"")"),0)</f>
        <v>0</v>
      </c>
      <c r="Y39" s="354">
        <f t="shared" ca="1" si="31"/>
        <v>0</v>
      </c>
      <c r="Z39" s="177">
        <f ca="1">IFERROR(__xludf.DUMMYFUNCTION("IMPORTRANGE(""https://docs.google.com/spreadsheets/d/1l6IZ8xUPgMrESzcTYwhA1k_tPjeQjJPTqlm8Gd9eU5g/edit?usp=sharing"",""มหาสารคาม!J504"")"),0)</f>
        <v>0</v>
      </c>
      <c r="AA39" s="177">
        <f ca="1">IFERROR(__xludf.DUMMYFUNCTION("IMPORTRANGE(""https://docs.google.com/spreadsheets/d/1l6IZ8xUPgMrESzcTYwhA1k_tPjeQjJPTqlm8Gd9eU5g/edit?usp=sharing"",""มหาสารคาม!J505"")"),0)</f>
        <v>0</v>
      </c>
      <c r="AB39" s="177">
        <f ca="1">IFERROR(__xludf.DUMMYFUNCTION("IMPORTRANGE(""https://docs.google.com/spreadsheets/d/1l6IZ8xUPgMrESzcTYwhA1k_tPjeQjJPTqlm8Gd9eU5g/edit?usp=sharing"",""มหาสารคาม!J506"")"),0)</f>
        <v>0</v>
      </c>
      <c r="AC39" s="177">
        <f ca="1">IFERROR(__xludf.DUMMYFUNCTION("IMPORTRANGE(""https://docs.google.com/spreadsheets/d/1l6IZ8xUPgMrESzcTYwhA1k_tPjeQjJPTqlm8Gd9eU5g/edit?usp=sharing"",""มหาสารคาม!J507"")"),0)</f>
        <v>0</v>
      </c>
      <c r="AD39" s="177">
        <f ca="1">IFERROR(__xludf.DUMMYFUNCTION("IMPORTRANGE(""https://docs.google.com/spreadsheets/d/1l6IZ8xUPgMrESzcTYwhA1k_tPjeQjJPTqlm8Gd9eU5g/edit?usp=sharing"",""มหาสารคาม!J508"")"),0)</f>
        <v>0</v>
      </c>
      <c r="AE39" s="177">
        <f ca="1">IFERROR(__xludf.DUMMYFUNCTION("IMPORTRANGE(""https://docs.google.com/spreadsheets/d/1l6IZ8xUPgMrESzcTYwhA1k_tPjeQjJPTqlm8Gd9eU5g/edit?usp=sharing"",""มหาสารคาม!J509"")"),0)</f>
        <v>0</v>
      </c>
    </row>
    <row r="40" spans="1:31" ht="21" customHeight="1" x14ac:dyDescent="0.3">
      <c r="A40" s="89">
        <v>9</v>
      </c>
      <c r="B40" s="90" t="s">
        <v>66</v>
      </c>
      <c r="C40" s="174">
        <f t="shared" si="19"/>
        <v>0</v>
      </c>
      <c r="D40" s="175">
        <f t="shared" si="38"/>
        <v>0</v>
      </c>
      <c r="E40" s="403">
        <v>0</v>
      </c>
      <c r="F40" s="403">
        <v>0</v>
      </c>
      <c r="G40" s="403">
        <v>0</v>
      </c>
      <c r="H40" s="403">
        <v>0</v>
      </c>
      <c r="I40" s="403">
        <v>0</v>
      </c>
      <c r="J40" s="176">
        <f t="shared" si="21"/>
        <v>0</v>
      </c>
      <c r="K40" s="179">
        <f t="shared" si="22"/>
        <v>0</v>
      </c>
      <c r="L40" s="403">
        <v>0</v>
      </c>
      <c r="M40" s="87">
        <f t="shared" si="23"/>
        <v>0</v>
      </c>
      <c r="N40" s="87">
        <f t="shared" si="24"/>
        <v>0</v>
      </c>
      <c r="O40" s="403">
        <v>0</v>
      </c>
      <c r="P40" s="86">
        <f t="shared" si="25"/>
        <v>0</v>
      </c>
      <c r="Q40" s="87">
        <f t="shared" si="26"/>
        <v>0</v>
      </c>
      <c r="R40" s="87">
        <f ca="1">IFERROR(__xludf.DUMMYFUNCTION("IMPORTRANGE(""https://docs.google.com/spreadsheets/d/1uB74YLqNjWX6FObjekfB2NtSYigTQyR2rq9u4Ub2Sq4/edit?usp=sharing"",""มุกดาหาร!Q498"")"),0)</f>
        <v>0</v>
      </c>
      <c r="S40" s="87">
        <f ca="1">IFERROR(__xludf.DUMMYFUNCTION("IMPORTRANGE(""https://docs.google.com/spreadsheets/d/1uB74YLqNjWX6FObjekfB2NtSYigTQyR2rq9u4Ub2Sq4/edit?usp=sharing"",""มุกดาหาร!R498"")"),0)</f>
        <v>0</v>
      </c>
      <c r="T40" s="87">
        <f ca="1">IFERROR(__xludf.DUMMYFUNCTION("IMPORTRANGE(""https://docs.google.com/spreadsheets/d/1uB74YLqNjWX6FObjekfB2NtSYigTQyR2rq9u4Ub2Sq4/edit?usp=sharing"",""มุกดาหาร!S498"")"),0)</f>
        <v>0</v>
      </c>
      <c r="U40" s="87">
        <f t="shared" ca="1" si="28"/>
        <v>0</v>
      </c>
      <c r="V40" s="87">
        <f t="shared" ca="1" si="29"/>
        <v>0</v>
      </c>
      <c r="W40" s="355">
        <f ca="1">IFERROR(__xludf.DUMMYFUNCTION("IMPORTRANGE(""https://docs.google.com/spreadsheets/d/1uB74YLqNjWX6FObjekfB2NtSYigTQyR2rq9u4Ub2Sq4/edit?usp=sharing"",""มุกดาหาร!I503"")"),0)</f>
        <v>0</v>
      </c>
      <c r="X40" s="177">
        <f ca="1">IFERROR(__xludf.DUMMYFUNCTION("IMPORTRANGE(""https://docs.google.com/spreadsheets/d/1uB74YLqNjWX6FObjekfB2NtSYigTQyR2rq9u4Ub2Sq4/edit?usp=sharing"",""มุกดาหาร!J503"")"),0)</f>
        <v>0</v>
      </c>
      <c r="Y40" s="354">
        <f t="shared" ca="1" si="31"/>
        <v>0</v>
      </c>
      <c r="Z40" s="177">
        <f ca="1">IFERROR(__xludf.DUMMYFUNCTION("IMPORTRANGE(""https://docs.google.com/spreadsheets/d/1uB74YLqNjWX6FObjekfB2NtSYigTQyR2rq9u4Ub2Sq4/edit?usp=sharing"",""มุกดาหาร!J504"")"),0)</f>
        <v>0</v>
      </c>
      <c r="AA40" s="177">
        <f ca="1">IFERROR(__xludf.DUMMYFUNCTION("IMPORTRANGE(""https://docs.google.com/spreadsheets/d/1uB74YLqNjWX6FObjekfB2NtSYigTQyR2rq9u4Ub2Sq4/edit?usp=sharing"",""มุกดาหาร!J505"")"),0)</f>
        <v>0</v>
      </c>
      <c r="AB40" s="177">
        <f ca="1">IFERROR(__xludf.DUMMYFUNCTION("IMPORTRANGE(""https://docs.google.com/spreadsheets/d/1uB74YLqNjWX6FObjekfB2NtSYigTQyR2rq9u4Ub2Sq4/edit?usp=sharing"",""มุกดาหาร!J506"")"),0)</f>
        <v>0</v>
      </c>
      <c r="AC40" s="177">
        <f ca="1">IFERROR(__xludf.DUMMYFUNCTION("IMPORTRANGE(""https://docs.google.com/spreadsheets/d/1uB74YLqNjWX6FObjekfB2NtSYigTQyR2rq9u4Ub2Sq4/edit?usp=sharing"",""มุกดาหาร!J507"")"),0)</f>
        <v>0</v>
      </c>
      <c r="AD40" s="177">
        <f ca="1">IFERROR(__xludf.DUMMYFUNCTION("IMPORTRANGE(""https://docs.google.com/spreadsheets/d/1uB74YLqNjWX6FObjekfB2NtSYigTQyR2rq9u4Ub2Sq4/edit?usp=sharing"",""มุกดาหาร!J508"")"),0)</f>
        <v>0</v>
      </c>
      <c r="AE40" s="177">
        <f ca="1">IFERROR(__xludf.DUMMYFUNCTION("IMPORTRANGE(""https://docs.google.com/spreadsheets/d/1uB74YLqNjWX6FObjekfB2NtSYigTQyR2rq9u4Ub2Sq4/edit?usp=sharing"",""มุกดาหาร!J509"")"),0)</f>
        <v>0</v>
      </c>
    </row>
    <row r="41" spans="1:31" ht="21" customHeight="1" x14ac:dyDescent="0.3">
      <c r="A41" s="89">
        <v>10</v>
      </c>
      <c r="B41" s="90" t="s">
        <v>67</v>
      </c>
      <c r="C41" s="174">
        <f t="shared" si="19"/>
        <v>0</v>
      </c>
      <c r="D41" s="175">
        <f t="shared" si="38"/>
        <v>0</v>
      </c>
      <c r="E41" s="403">
        <v>0</v>
      </c>
      <c r="F41" s="403">
        <v>0</v>
      </c>
      <c r="G41" s="403">
        <v>0</v>
      </c>
      <c r="H41" s="403">
        <v>0</v>
      </c>
      <c r="I41" s="403">
        <v>0</v>
      </c>
      <c r="J41" s="176">
        <f t="shared" si="21"/>
        <v>0</v>
      </c>
      <c r="K41" s="179">
        <f t="shared" si="22"/>
        <v>0</v>
      </c>
      <c r="L41" s="403">
        <v>0</v>
      </c>
      <c r="M41" s="87">
        <f t="shared" si="23"/>
        <v>0</v>
      </c>
      <c r="N41" s="87">
        <f t="shared" si="24"/>
        <v>0</v>
      </c>
      <c r="O41" s="403">
        <v>0</v>
      </c>
      <c r="P41" s="86">
        <f t="shared" si="25"/>
        <v>0</v>
      </c>
      <c r="Q41" s="87">
        <f t="shared" si="26"/>
        <v>0</v>
      </c>
      <c r="R41" s="87">
        <f ca="1">IFERROR(__xludf.DUMMYFUNCTION("IMPORTRANGE(""https://docs.google.com/spreadsheets/d/1NexK3geCPxCTO1fzNF8dPec7yZyUx3OaWkFBC9HsQOo/edit?usp=sharing"",""ยโสธร!Q498"")"),0)</f>
        <v>0</v>
      </c>
      <c r="S41" s="87">
        <f ca="1">IFERROR(__xludf.DUMMYFUNCTION("IMPORTRANGE(""https://docs.google.com/spreadsheets/d/1NexK3geCPxCTO1fzNF8dPec7yZyUx3OaWkFBC9HsQOo/edit?usp=sharing"",""ยโสธร!R498"")"),0)</f>
        <v>0</v>
      </c>
      <c r="T41" s="87">
        <f ca="1">IFERROR(__xludf.DUMMYFUNCTION("IMPORTRANGE(""https://docs.google.com/spreadsheets/d/1NexK3geCPxCTO1fzNF8dPec7yZyUx3OaWkFBC9HsQOo/edit?usp=sharing"",""ยโสธร!S498"")"),0)</f>
        <v>0</v>
      </c>
      <c r="U41" s="87">
        <f t="shared" ca="1" si="28"/>
        <v>0</v>
      </c>
      <c r="V41" s="87">
        <f t="shared" ca="1" si="29"/>
        <v>0</v>
      </c>
      <c r="W41" s="355">
        <f ca="1">IFERROR(__xludf.DUMMYFUNCTION("IMPORTRANGE(""https://docs.google.com/spreadsheets/d/1NexK3geCPxCTO1fzNF8dPec7yZyUx3OaWkFBC9HsQOo/edit?usp=sharing"",""ยโสธร!I503"")"),0)</f>
        <v>0</v>
      </c>
      <c r="X41" s="177">
        <f ca="1">IFERROR(__xludf.DUMMYFUNCTION("IMPORTRANGE(""https://docs.google.com/spreadsheets/d/1NexK3geCPxCTO1fzNF8dPec7yZyUx3OaWkFBC9HsQOo/edit?usp=sharing"",""ยโสธร!J503"")"),0)</f>
        <v>0</v>
      </c>
      <c r="Y41" s="354">
        <f t="shared" ca="1" si="31"/>
        <v>0</v>
      </c>
      <c r="Z41" s="177">
        <f ca="1">IFERROR(__xludf.DUMMYFUNCTION("IMPORTRANGE(""https://docs.google.com/spreadsheets/d/1NexK3geCPxCTO1fzNF8dPec7yZyUx3OaWkFBC9HsQOo/edit?usp=sharing"",""ยโสธร!J504"")"),0)</f>
        <v>0</v>
      </c>
      <c r="AA41" s="177">
        <f ca="1">IFERROR(__xludf.DUMMYFUNCTION("IMPORTRANGE(""https://docs.google.com/spreadsheets/d/1NexK3geCPxCTO1fzNF8dPec7yZyUx3OaWkFBC9HsQOo/edit?usp=sharing"",""ยโสธร!J505"")"),0)</f>
        <v>0</v>
      </c>
      <c r="AB41" s="177">
        <f ca="1">IFERROR(__xludf.DUMMYFUNCTION("IMPORTRANGE(""https://docs.google.com/spreadsheets/d/1NexK3geCPxCTO1fzNF8dPec7yZyUx3OaWkFBC9HsQOo/edit?usp=sharing"",""ยโสธร!J506"")"),0)</f>
        <v>0</v>
      </c>
      <c r="AC41" s="177">
        <f ca="1">IFERROR(__xludf.DUMMYFUNCTION("IMPORTRANGE(""https://docs.google.com/spreadsheets/d/1NexK3geCPxCTO1fzNF8dPec7yZyUx3OaWkFBC9HsQOo/edit?usp=sharing"",""ยโสธร!J507"")"),0)</f>
        <v>0</v>
      </c>
      <c r="AD41" s="177">
        <f ca="1">IFERROR(__xludf.DUMMYFUNCTION("IMPORTRANGE(""https://docs.google.com/spreadsheets/d/1NexK3geCPxCTO1fzNF8dPec7yZyUx3OaWkFBC9HsQOo/edit?usp=sharing"",""ยโสธร!J508"")"),0)</f>
        <v>0</v>
      </c>
      <c r="AE41" s="177">
        <f ca="1">IFERROR(__xludf.DUMMYFUNCTION("IMPORTRANGE(""https://docs.google.com/spreadsheets/d/1NexK3geCPxCTO1fzNF8dPec7yZyUx3OaWkFBC9HsQOo/edit?usp=sharing"",""ยโสธร!J509"")"),0)</f>
        <v>0</v>
      </c>
    </row>
    <row r="42" spans="1:31" ht="21" customHeight="1" x14ac:dyDescent="0.3">
      <c r="A42" s="89">
        <v>11</v>
      </c>
      <c r="B42" s="90" t="s">
        <v>68</v>
      </c>
      <c r="C42" s="174">
        <f t="shared" si="19"/>
        <v>0</v>
      </c>
      <c r="D42" s="175">
        <f t="shared" si="38"/>
        <v>0</v>
      </c>
      <c r="E42" s="403">
        <v>0</v>
      </c>
      <c r="F42" s="403">
        <v>0</v>
      </c>
      <c r="G42" s="403">
        <v>0</v>
      </c>
      <c r="H42" s="403">
        <v>0</v>
      </c>
      <c r="I42" s="403">
        <v>0</v>
      </c>
      <c r="J42" s="176">
        <f t="shared" si="21"/>
        <v>0</v>
      </c>
      <c r="K42" s="179">
        <f t="shared" si="22"/>
        <v>0</v>
      </c>
      <c r="L42" s="403">
        <v>0</v>
      </c>
      <c r="M42" s="87">
        <f t="shared" si="23"/>
        <v>0</v>
      </c>
      <c r="N42" s="87">
        <f t="shared" si="24"/>
        <v>0</v>
      </c>
      <c r="O42" s="403">
        <v>0</v>
      </c>
      <c r="P42" s="86">
        <f t="shared" si="25"/>
        <v>0</v>
      </c>
      <c r="Q42" s="87">
        <f t="shared" si="26"/>
        <v>0</v>
      </c>
      <c r="R42" s="87">
        <f ca="1">IFERROR(__xludf.DUMMYFUNCTION("IMPORTRANGE(""https://docs.google.com/spreadsheets/d/1v_cJrbBlyqmnHPReHk44g9NrMRdENNlSy_E_c5M9fIg/edit?usp=sharing"",""ร้อยเอ็ด!Q498"")"),0)</f>
        <v>0</v>
      </c>
      <c r="S42" s="87">
        <f ca="1">IFERROR(__xludf.DUMMYFUNCTION("IMPORTRANGE(""https://docs.google.com/spreadsheets/d/1v_cJrbBlyqmnHPReHk44g9NrMRdENNlSy_E_c5M9fIg/edit?usp=sharing"",""ร้อยเอ็ด!R498"")"),0)</f>
        <v>0</v>
      </c>
      <c r="T42" s="87">
        <f ca="1">IFERROR(__xludf.DUMMYFUNCTION("IMPORTRANGE(""https://docs.google.com/spreadsheets/d/1v_cJrbBlyqmnHPReHk44g9NrMRdENNlSy_E_c5M9fIg/edit?usp=sharing"",""ร้อยเอ็ด!S498"")"),0)</f>
        <v>0</v>
      </c>
      <c r="U42" s="87">
        <f t="shared" ca="1" si="28"/>
        <v>0</v>
      </c>
      <c r="V42" s="87">
        <f t="shared" ca="1" si="29"/>
        <v>0</v>
      </c>
      <c r="W42" s="353">
        <f ca="1">IFERROR(__xludf.DUMMYFUNCTION("IMPORTRANGE(""https://docs.google.com/spreadsheets/d/1v_cJrbBlyqmnHPReHk44g9NrMRdENNlSy_E_c5M9fIg/edit?usp=sharing"",""ร้อยเอ็ด!I503"")"),0)</f>
        <v>0</v>
      </c>
      <c r="X42" s="177">
        <f ca="1">IFERROR(__xludf.DUMMYFUNCTION("IMPORTRANGE(""https://docs.google.com/spreadsheets/d/1v_cJrbBlyqmnHPReHk44g9NrMRdENNlSy_E_c5M9fIg/edit?usp=sharing"",""ร้อยเอ็ด!J503"")"),0)</f>
        <v>0</v>
      </c>
      <c r="Y42" s="354">
        <f t="shared" ca="1" si="31"/>
        <v>0</v>
      </c>
      <c r="Z42" s="177">
        <f ca="1">IFERROR(__xludf.DUMMYFUNCTION("IMPORTRANGE(""https://docs.google.com/spreadsheets/d/1v_cJrbBlyqmnHPReHk44g9NrMRdENNlSy_E_c5M9fIg/edit?usp=sharing"",""ร้อยเอ็ด!J504"")"),0)</f>
        <v>0</v>
      </c>
      <c r="AA42" s="177">
        <f ca="1">IFERROR(__xludf.DUMMYFUNCTION("IMPORTRANGE(""https://docs.google.com/spreadsheets/d/1v_cJrbBlyqmnHPReHk44g9NrMRdENNlSy_E_c5M9fIg/edit?usp=sharing"",""ร้อยเอ็ด!J505"")"),0)</f>
        <v>0</v>
      </c>
      <c r="AB42" s="177">
        <f ca="1">IFERROR(__xludf.DUMMYFUNCTION("IMPORTRANGE(""https://docs.google.com/spreadsheets/d/1v_cJrbBlyqmnHPReHk44g9NrMRdENNlSy_E_c5M9fIg/edit?usp=sharing"",""ร้อยเอ็ด!J506"")"),0)</f>
        <v>0</v>
      </c>
      <c r="AC42" s="177">
        <f ca="1">IFERROR(__xludf.DUMMYFUNCTION("IMPORTRANGE(""https://docs.google.com/spreadsheets/d/1v_cJrbBlyqmnHPReHk44g9NrMRdENNlSy_E_c5M9fIg/edit?usp=sharing"",""ร้อยเอ็ด!J507"")"),0)</f>
        <v>0</v>
      </c>
      <c r="AD42" s="177">
        <f ca="1">IFERROR(__xludf.DUMMYFUNCTION("IMPORTRANGE(""https://docs.google.com/spreadsheets/d/1v_cJrbBlyqmnHPReHk44g9NrMRdENNlSy_E_c5M9fIg/edit?usp=sharing"",""ร้อยเอ็ด!J508"")"),0)</f>
        <v>0</v>
      </c>
      <c r="AE42" s="177">
        <f ca="1">IFERROR(__xludf.DUMMYFUNCTION("IMPORTRANGE(""https://docs.google.com/spreadsheets/d/1v_cJrbBlyqmnHPReHk44g9NrMRdENNlSy_E_c5M9fIg/edit?usp=sharing"",""ร้อยเอ็ด!J509"")"),0)</f>
        <v>0</v>
      </c>
    </row>
    <row r="43" spans="1:31" ht="21" customHeight="1" x14ac:dyDescent="0.3">
      <c r="A43" s="89">
        <v>12</v>
      </c>
      <c r="B43" s="90" t="s">
        <v>69</v>
      </c>
      <c r="C43" s="174">
        <f t="shared" si="19"/>
        <v>0</v>
      </c>
      <c r="D43" s="175">
        <f t="shared" si="38"/>
        <v>0</v>
      </c>
      <c r="E43" s="403">
        <v>0</v>
      </c>
      <c r="F43" s="403">
        <v>0</v>
      </c>
      <c r="G43" s="403">
        <v>0</v>
      </c>
      <c r="H43" s="403">
        <v>0</v>
      </c>
      <c r="I43" s="403">
        <v>0</v>
      </c>
      <c r="J43" s="176">
        <f t="shared" si="21"/>
        <v>0</v>
      </c>
      <c r="K43" s="179">
        <f t="shared" si="22"/>
        <v>0</v>
      </c>
      <c r="L43" s="403">
        <v>0</v>
      </c>
      <c r="M43" s="87">
        <f t="shared" si="23"/>
        <v>0</v>
      </c>
      <c r="N43" s="87">
        <f t="shared" si="24"/>
        <v>0</v>
      </c>
      <c r="O43" s="403">
        <v>0</v>
      </c>
      <c r="P43" s="86">
        <f t="shared" si="25"/>
        <v>0</v>
      </c>
      <c r="Q43" s="87">
        <f t="shared" si="26"/>
        <v>0</v>
      </c>
      <c r="R43" s="87">
        <f ca="1">IFERROR(__xludf.DUMMYFUNCTION("IMPORTRANGE(""https://docs.google.com/spreadsheets/d/1Ul4RCpCX66NxYADU1QpwAPjOmBzW64SsT11s1wzXw_c/edit?usp=sharing"",""เลย!Q498"")"),0)</f>
        <v>0</v>
      </c>
      <c r="S43" s="87">
        <f ca="1">IFERROR(__xludf.DUMMYFUNCTION("IMPORTRANGE(""https://docs.google.com/spreadsheets/d/1Ul4RCpCX66NxYADU1QpwAPjOmBzW64SsT11s1wzXw_c/edit?usp=sharing"",""เลย!R498"")"),0)</f>
        <v>0</v>
      </c>
      <c r="T43" s="87">
        <f ca="1">IFERROR(__xludf.DUMMYFUNCTION("IMPORTRANGE(""https://docs.google.com/spreadsheets/d/1Ul4RCpCX66NxYADU1QpwAPjOmBzW64SsT11s1wzXw_c/edit?usp=sharing"",""เลย!S498"")"),0)</f>
        <v>0</v>
      </c>
      <c r="U43" s="87">
        <f t="shared" ca="1" si="28"/>
        <v>0</v>
      </c>
      <c r="V43" s="87">
        <f t="shared" ca="1" si="29"/>
        <v>0</v>
      </c>
      <c r="W43" s="353">
        <f ca="1">IFERROR(__xludf.DUMMYFUNCTION("IMPORTRANGE(""https://docs.google.com/spreadsheets/d/1Ul4RCpCX66NxYADU1QpwAPjOmBzW64SsT11s1wzXw_c/edit?usp=sharing"",""เลย!I503"")"),0)</f>
        <v>0</v>
      </c>
      <c r="X43" s="177">
        <f ca="1">IFERROR(__xludf.DUMMYFUNCTION("IMPORTRANGE(""https://docs.google.com/spreadsheets/d/1Ul4RCpCX66NxYADU1QpwAPjOmBzW64SsT11s1wzXw_c/edit?usp=sharing"",""เลย!J503"")"),0)</f>
        <v>0</v>
      </c>
      <c r="Y43" s="354">
        <f t="shared" ca="1" si="31"/>
        <v>0</v>
      </c>
      <c r="Z43" s="177">
        <f ca="1">IFERROR(__xludf.DUMMYFUNCTION("IMPORTRANGE(""https://docs.google.com/spreadsheets/d/1Ul4RCpCX66NxYADU1QpwAPjOmBzW64SsT11s1wzXw_c/edit?usp=sharing"",""เลย!J504"")"),0)</f>
        <v>0</v>
      </c>
      <c r="AA43" s="177">
        <f ca="1">IFERROR(__xludf.DUMMYFUNCTION("IMPORTRANGE(""https://docs.google.com/spreadsheets/d/1Ul4RCpCX66NxYADU1QpwAPjOmBzW64SsT11s1wzXw_c/edit?usp=sharing"",""เลย!J505"")"),0)</f>
        <v>0</v>
      </c>
      <c r="AB43" s="177">
        <f ca="1">IFERROR(__xludf.DUMMYFUNCTION("IMPORTRANGE(""https://docs.google.com/spreadsheets/d/1Ul4RCpCX66NxYADU1QpwAPjOmBzW64SsT11s1wzXw_c/edit?usp=sharing"",""เลย!J506"")"),0)</f>
        <v>0</v>
      </c>
      <c r="AC43" s="177">
        <f ca="1">IFERROR(__xludf.DUMMYFUNCTION("IMPORTRANGE(""https://docs.google.com/spreadsheets/d/1Ul4RCpCX66NxYADU1QpwAPjOmBzW64SsT11s1wzXw_c/edit?usp=sharing"",""เลย!J507"")"),0)</f>
        <v>0</v>
      </c>
      <c r="AD43" s="177">
        <f ca="1">IFERROR(__xludf.DUMMYFUNCTION("IMPORTRANGE(""https://docs.google.com/spreadsheets/d/1Ul4RCpCX66NxYADU1QpwAPjOmBzW64SsT11s1wzXw_c/edit?usp=sharing"",""เลย!J508"")"),0)</f>
        <v>0</v>
      </c>
      <c r="AE43" s="177">
        <f ca="1">IFERROR(__xludf.DUMMYFUNCTION("IMPORTRANGE(""https://docs.google.com/spreadsheets/d/1Ul4RCpCX66NxYADU1QpwAPjOmBzW64SsT11s1wzXw_c/edit?usp=sharing"",""เลย!J509"")"),0)</f>
        <v>0</v>
      </c>
    </row>
    <row r="44" spans="1:31" ht="21" customHeight="1" x14ac:dyDescent="0.3">
      <c r="A44" s="89">
        <v>13</v>
      </c>
      <c r="B44" s="90" t="s">
        <v>70</v>
      </c>
      <c r="C44" s="174">
        <f t="shared" si="19"/>
        <v>0</v>
      </c>
      <c r="D44" s="175">
        <f t="shared" si="38"/>
        <v>0</v>
      </c>
      <c r="E44" s="403">
        <v>0</v>
      </c>
      <c r="F44" s="403">
        <v>0</v>
      </c>
      <c r="G44" s="403">
        <v>0</v>
      </c>
      <c r="H44" s="403">
        <v>0</v>
      </c>
      <c r="I44" s="403">
        <v>0</v>
      </c>
      <c r="J44" s="176">
        <f t="shared" si="21"/>
        <v>0</v>
      </c>
      <c r="K44" s="179">
        <f t="shared" si="22"/>
        <v>0</v>
      </c>
      <c r="L44" s="403">
        <v>0</v>
      </c>
      <c r="M44" s="87">
        <f t="shared" si="23"/>
        <v>0</v>
      </c>
      <c r="N44" s="87">
        <f t="shared" si="24"/>
        <v>0</v>
      </c>
      <c r="O44" s="403">
        <v>0</v>
      </c>
      <c r="P44" s="86">
        <f t="shared" si="25"/>
        <v>0</v>
      </c>
      <c r="Q44" s="87">
        <f t="shared" si="26"/>
        <v>0</v>
      </c>
      <c r="R44" s="87">
        <f ca="1">IFERROR(__xludf.DUMMYFUNCTION("IMPORTRANGE(""https://docs.google.com/spreadsheets/d/1bRrNKwbHDVktQG10isr5vbWRtt5spIZPpkOSWgbT5ug/edit?usp=sharing"",""ศรีสะเกษ!Q498"")"),0)</f>
        <v>0</v>
      </c>
      <c r="S44" s="87">
        <f ca="1">IFERROR(__xludf.DUMMYFUNCTION("IMPORTRANGE(""https://docs.google.com/spreadsheets/d/1bRrNKwbHDVktQG10isr5vbWRtt5spIZPpkOSWgbT5ug/edit?usp=sharing"",""ศรีสะเกษ!R498"")"),0)</f>
        <v>0</v>
      </c>
      <c r="T44" s="87">
        <f ca="1">IFERROR(__xludf.DUMMYFUNCTION("IMPORTRANGE(""https://docs.google.com/spreadsheets/d/1bRrNKwbHDVktQG10isr5vbWRtt5spIZPpkOSWgbT5ug/edit?usp=sharing"",""ศรีสะเกษ!S498"")"),0)</f>
        <v>0</v>
      </c>
      <c r="U44" s="87">
        <f t="shared" ca="1" si="28"/>
        <v>0</v>
      </c>
      <c r="V44" s="87">
        <f t="shared" ca="1" si="29"/>
        <v>0</v>
      </c>
      <c r="W44" s="355">
        <f ca="1">IFERROR(__xludf.DUMMYFUNCTION("IMPORTRANGE(""https://docs.google.com/spreadsheets/d/1bRrNKwbHDVktQG10isr5vbWRtt5spIZPpkOSWgbT5ug/edit?usp=sharing"",""ศรีสะเกษ!I503"")"),0)</f>
        <v>0</v>
      </c>
      <c r="X44" s="177">
        <f ca="1">IFERROR(__xludf.DUMMYFUNCTION("IMPORTRANGE(""https://docs.google.com/spreadsheets/d/1bRrNKwbHDVktQG10isr5vbWRtt5spIZPpkOSWgbT5ug/edit?usp=sharing"",""ศรีสะเกษ!J503"")"),0)</f>
        <v>0</v>
      </c>
      <c r="Y44" s="354">
        <f t="shared" ca="1" si="31"/>
        <v>0</v>
      </c>
      <c r="Z44" s="177">
        <f ca="1">IFERROR(__xludf.DUMMYFUNCTION("IMPORTRANGE(""https://docs.google.com/spreadsheets/d/1bRrNKwbHDVktQG10isr5vbWRtt5spIZPpkOSWgbT5ug/edit?usp=sharing"",""ศรีสะเกษ!J504"")"),0)</f>
        <v>0</v>
      </c>
      <c r="AA44" s="177">
        <f ca="1">IFERROR(__xludf.DUMMYFUNCTION("IMPORTRANGE(""https://docs.google.com/spreadsheets/d/1bRrNKwbHDVktQG10isr5vbWRtt5spIZPpkOSWgbT5ug/edit?usp=sharing"",""ศรีสะเกษ!J505"")"),0)</f>
        <v>0</v>
      </c>
      <c r="AB44" s="177">
        <f ca="1">IFERROR(__xludf.DUMMYFUNCTION("IMPORTRANGE(""https://docs.google.com/spreadsheets/d/1bRrNKwbHDVktQG10isr5vbWRtt5spIZPpkOSWgbT5ug/edit?usp=sharing"",""ศรีสะเกษ!J506"")"),0)</f>
        <v>0</v>
      </c>
      <c r="AC44" s="177">
        <f ca="1">IFERROR(__xludf.DUMMYFUNCTION("IMPORTRANGE(""https://docs.google.com/spreadsheets/d/1bRrNKwbHDVktQG10isr5vbWRtt5spIZPpkOSWgbT5ug/edit?usp=sharing"",""ศรีสะเกษ!J507"")"),0)</f>
        <v>0</v>
      </c>
      <c r="AD44" s="177">
        <f ca="1">IFERROR(__xludf.DUMMYFUNCTION("IMPORTRANGE(""https://docs.google.com/spreadsheets/d/1bRrNKwbHDVktQG10isr5vbWRtt5spIZPpkOSWgbT5ug/edit?usp=sharing"",""ศรีสะเกษ!J508"")"),0)</f>
        <v>0</v>
      </c>
      <c r="AE44" s="177">
        <f ca="1">IFERROR(__xludf.DUMMYFUNCTION("IMPORTRANGE(""https://docs.google.com/spreadsheets/d/1bRrNKwbHDVktQG10isr5vbWRtt5spIZPpkOSWgbT5ug/edit?usp=sharing"",""ศรีสะเกษ!J509"")"),0)</f>
        <v>0</v>
      </c>
    </row>
    <row r="45" spans="1:31" ht="21" customHeight="1" x14ac:dyDescent="0.3">
      <c r="A45" s="89">
        <v>14</v>
      </c>
      <c r="B45" s="90" t="s">
        <v>71</v>
      </c>
      <c r="C45" s="174">
        <f t="shared" si="19"/>
        <v>0</v>
      </c>
      <c r="D45" s="175">
        <f t="shared" si="38"/>
        <v>0</v>
      </c>
      <c r="E45" s="403">
        <v>0</v>
      </c>
      <c r="F45" s="403">
        <v>0</v>
      </c>
      <c r="G45" s="403">
        <v>0</v>
      </c>
      <c r="H45" s="403">
        <v>0</v>
      </c>
      <c r="I45" s="403">
        <v>0</v>
      </c>
      <c r="J45" s="176">
        <f t="shared" si="21"/>
        <v>0</v>
      </c>
      <c r="K45" s="179">
        <f t="shared" si="22"/>
        <v>0</v>
      </c>
      <c r="L45" s="403">
        <v>0</v>
      </c>
      <c r="M45" s="87">
        <f t="shared" si="23"/>
        <v>0</v>
      </c>
      <c r="N45" s="87">
        <f t="shared" si="24"/>
        <v>0</v>
      </c>
      <c r="O45" s="403">
        <v>0</v>
      </c>
      <c r="P45" s="86">
        <f t="shared" si="25"/>
        <v>0</v>
      </c>
      <c r="Q45" s="87">
        <f t="shared" si="26"/>
        <v>0</v>
      </c>
      <c r="R45" s="87">
        <f ca="1">IFERROR(__xludf.DUMMYFUNCTION("IMPORTRANGE(""https://docs.google.com/spreadsheets/d/17P34_Ow5kFBfdQD0qspb2UuPX5zpi6WMrQzslghyvrI/edit?usp=sharing"",""สกลนคร!Q498"")"),0)</f>
        <v>0</v>
      </c>
      <c r="S45" s="87">
        <f ca="1">IFERROR(__xludf.DUMMYFUNCTION("IMPORTRANGE(""https://docs.google.com/spreadsheets/d/17P34_Ow5kFBfdQD0qspb2UuPX5zpi6WMrQzslghyvrI/edit?usp=sharing"",""สกลนคร!R498"")"),0)</f>
        <v>0</v>
      </c>
      <c r="T45" s="87">
        <f ca="1">IFERROR(__xludf.DUMMYFUNCTION("IMPORTRANGE(""https://docs.google.com/spreadsheets/d/17P34_Ow5kFBfdQD0qspb2UuPX5zpi6WMrQzslghyvrI/edit?usp=sharing"",""สกลนคร!S498"")"),0)</f>
        <v>0</v>
      </c>
      <c r="U45" s="87">
        <f t="shared" ca="1" si="28"/>
        <v>0</v>
      </c>
      <c r="V45" s="87">
        <f t="shared" ca="1" si="29"/>
        <v>0</v>
      </c>
      <c r="W45" s="353">
        <f ca="1">IFERROR(__xludf.DUMMYFUNCTION("IMPORTRANGE(""https://docs.google.com/spreadsheets/d/17P34_Ow5kFBfdQD0qspb2UuPX5zpi6WMrQzslghyvrI/edit?usp=sharing"",""สกลนคร!I503"")"),0)</f>
        <v>0</v>
      </c>
      <c r="X45" s="177">
        <f ca="1">IFERROR(__xludf.DUMMYFUNCTION("IMPORTRANGE(""https://docs.google.com/spreadsheets/d/17P34_Ow5kFBfdQD0qspb2UuPX5zpi6WMrQzslghyvrI/edit?usp=sharing"",""สกลนคร!J503"")"),0)</f>
        <v>0</v>
      </c>
      <c r="Y45" s="354">
        <f t="shared" ca="1" si="31"/>
        <v>0</v>
      </c>
      <c r="Z45" s="177">
        <f ca="1">IFERROR(__xludf.DUMMYFUNCTION("IMPORTRANGE(""https://docs.google.com/spreadsheets/d/17P34_Ow5kFBfdQD0qspb2UuPX5zpi6WMrQzslghyvrI/edit?usp=sharing"",""สกลนคร!J504"")"),0)</f>
        <v>0</v>
      </c>
      <c r="AA45" s="177">
        <f ca="1">IFERROR(__xludf.DUMMYFUNCTION("IMPORTRANGE(""https://docs.google.com/spreadsheets/d/17P34_Ow5kFBfdQD0qspb2UuPX5zpi6WMrQzslghyvrI/edit?usp=sharing"",""สกลนคร!J505"")"),0)</f>
        <v>0</v>
      </c>
      <c r="AB45" s="177">
        <f ca="1">IFERROR(__xludf.DUMMYFUNCTION("IMPORTRANGE(""https://docs.google.com/spreadsheets/d/17P34_Ow5kFBfdQD0qspb2UuPX5zpi6WMrQzslghyvrI/edit?usp=sharing"",""สกลนคร!J506"")"),0)</f>
        <v>0</v>
      </c>
      <c r="AC45" s="177">
        <f ca="1">IFERROR(__xludf.DUMMYFUNCTION("IMPORTRANGE(""https://docs.google.com/spreadsheets/d/17P34_Ow5kFBfdQD0qspb2UuPX5zpi6WMrQzslghyvrI/edit?usp=sharing"",""สกลนคร!J507"")"),0)</f>
        <v>0</v>
      </c>
      <c r="AD45" s="177">
        <f ca="1">IFERROR(__xludf.DUMMYFUNCTION("IMPORTRANGE(""https://docs.google.com/spreadsheets/d/17P34_Ow5kFBfdQD0qspb2UuPX5zpi6WMrQzslghyvrI/edit?usp=sharing"",""สกลนคร!J508"")"),0)</f>
        <v>0</v>
      </c>
      <c r="AE45" s="177">
        <f ca="1">IFERROR(__xludf.DUMMYFUNCTION("IMPORTRANGE(""https://docs.google.com/spreadsheets/d/17P34_Ow5kFBfdQD0qspb2UuPX5zpi6WMrQzslghyvrI/edit?usp=sharing"",""สกลนคร!J509"")"),0)</f>
        <v>0</v>
      </c>
    </row>
    <row r="46" spans="1:31" ht="21" customHeight="1" x14ac:dyDescent="0.3">
      <c r="A46" s="89">
        <v>15</v>
      </c>
      <c r="B46" s="90" t="s">
        <v>72</v>
      </c>
      <c r="C46" s="174">
        <f t="shared" si="19"/>
        <v>0</v>
      </c>
      <c r="D46" s="175">
        <f t="shared" si="38"/>
        <v>0</v>
      </c>
      <c r="E46" s="403">
        <v>0</v>
      </c>
      <c r="F46" s="403">
        <v>0</v>
      </c>
      <c r="G46" s="403">
        <v>0</v>
      </c>
      <c r="H46" s="403">
        <v>0</v>
      </c>
      <c r="I46" s="403">
        <v>0</v>
      </c>
      <c r="J46" s="176">
        <f t="shared" si="21"/>
        <v>0</v>
      </c>
      <c r="K46" s="179">
        <f t="shared" si="22"/>
        <v>0</v>
      </c>
      <c r="L46" s="403">
        <v>0</v>
      </c>
      <c r="M46" s="87">
        <f t="shared" si="23"/>
        <v>0</v>
      </c>
      <c r="N46" s="87">
        <f t="shared" si="24"/>
        <v>0</v>
      </c>
      <c r="O46" s="403">
        <v>0</v>
      </c>
      <c r="P46" s="86">
        <f t="shared" si="25"/>
        <v>0</v>
      </c>
      <c r="Q46" s="87">
        <f t="shared" si="26"/>
        <v>0</v>
      </c>
      <c r="R46" s="87">
        <f ca="1">IFERROR(__xludf.DUMMYFUNCTION("IMPORTRANGE(""https://docs.google.com/spreadsheets/d/1yswqbM3-AEpThF3ZSUa1AcmHnmRTF1vlJ1CZGcJ8YuU/edit?usp=sharing"",""สุรินทร์!Q498"")"),0)</f>
        <v>0</v>
      </c>
      <c r="S46" s="87">
        <f ca="1">IFERROR(__xludf.DUMMYFUNCTION("IMPORTRANGE(""https://docs.google.com/spreadsheets/d/1yswqbM3-AEpThF3ZSUa1AcmHnmRTF1vlJ1CZGcJ8YuU/edit?usp=sharing"",""สุรินทร์!R498"")"),0)</f>
        <v>0</v>
      </c>
      <c r="T46" s="87">
        <f ca="1">IFERROR(__xludf.DUMMYFUNCTION("IMPORTRANGE(""https://docs.google.com/spreadsheets/d/1yswqbM3-AEpThF3ZSUa1AcmHnmRTF1vlJ1CZGcJ8YuU/edit?usp=sharing"",""สุรินทร์!S498"")"),0)</f>
        <v>0</v>
      </c>
      <c r="U46" s="87">
        <f t="shared" ca="1" si="28"/>
        <v>0</v>
      </c>
      <c r="V46" s="87">
        <f t="shared" ca="1" si="29"/>
        <v>0</v>
      </c>
      <c r="W46" s="353">
        <f ca="1">IFERROR(__xludf.DUMMYFUNCTION("IMPORTRANGE(""https://docs.google.com/spreadsheets/d/1yswqbM3-AEpThF3ZSUa1AcmHnmRTF1vlJ1CZGcJ8YuU/edit?usp=sharing"",""สุรินทร์!I503"")"),0)</f>
        <v>0</v>
      </c>
      <c r="X46" s="177">
        <f ca="1">IFERROR(__xludf.DUMMYFUNCTION("IMPORTRANGE(""https://docs.google.com/spreadsheets/d/1yswqbM3-AEpThF3ZSUa1AcmHnmRTF1vlJ1CZGcJ8YuU/edit?usp=sharing"",""สุรินทร์!J503"")"),0)</f>
        <v>0</v>
      </c>
      <c r="Y46" s="354">
        <f t="shared" ca="1" si="31"/>
        <v>0</v>
      </c>
      <c r="Z46" s="177">
        <f ca="1">IFERROR(__xludf.DUMMYFUNCTION("IMPORTRANGE(""https://docs.google.com/spreadsheets/d/1yswqbM3-AEpThF3ZSUa1AcmHnmRTF1vlJ1CZGcJ8YuU/edit?usp=sharing"",""สุรินทร์!J504"")"),0)</f>
        <v>0</v>
      </c>
      <c r="AA46" s="177">
        <f ca="1">IFERROR(__xludf.DUMMYFUNCTION("IMPORTRANGE(""https://docs.google.com/spreadsheets/d/1yswqbM3-AEpThF3ZSUa1AcmHnmRTF1vlJ1CZGcJ8YuU/edit?usp=sharing"",""สุรินทร์!J505"")"),0)</f>
        <v>0</v>
      </c>
      <c r="AB46" s="177">
        <f ca="1">IFERROR(__xludf.DUMMYFUNCTION("IMPORTRANGE(""https://docs.google.com/spreadsheets/d/1yswqbM3-AEpThF3ZSUa1AcmHnmRTF1vlJ1CZGcJ8YuU/edit?usp=sharing"",""สุรินทร์!J506"")"),0)</f>
        <v>0</v>
      </c>
      <c r="AC46" s="177">
        <f ca="1">IFERROR(__xludf.DUMMYFUNCTION("IMPORTRANGE(""https://docs.google.com/spreadsheets/d/1yswqbM3-AEpThF3ZSUa1AcmHnmRTF1vlJ1CZGcJ8YuU/edit?usp=sharing"",""สุรินทร์!J507"")"),0)</f>
        <v>0</v>
      </c>
      <c r="AD46" s="177">
        <f ca="1">IFERROR(__xludf.DUMMYFUNCTION("IMPORTRANGE(""https://docs.google.com/spreadsheets/d/1yswqbM3-AEpThF3ZSUa1AcmHnmRTF1vlJ1CZGcJ8YuU/edit?usp=sharing"",""สุรินทร์!J508"")"),0)</f>
        <v>0</v>
      </c>
      <c r="AE46" s="177">
        <f ca="1">IFERROR(__xludf.DUMMYFUNCTION("IMPORTRANGE(""https://docs.google.com/spreadsheets/d/1yswqbM3-AEpThF3ZSUa1AcmHnmRTF1vlJ1CZGcJ8YuU/edit?usp=sharing"",""สุรินทร์!J509"")"),0)</f>
        <v>0</v>
      </c>
    </row>
    <row r="47" spans="1:31" ht="21" customHeight="1" x14ac:dyDescent="0.3">
      <c r="A47" s="89">
        <v>16</v>
      </c>
      <c r="B47" s="90" t="s">
        <v>73</v>
      </c>
      <c r="C47" s="174">
        <f t="shared" si="19"/>
        <v>0</v>
      </c>
      <c r="D47" s="175">
        <f t="shared" si="38"/>
        <v>0</v>
      </c>
      <c r="E47" s="403">
        <v>0</v>
      </c>
      <c r="F47" s="403">
        <v>0</v>
      </c>
      <c r="G47" s="403">
        <v>0</v>
      </c>
      <c r="H47" s="403">
        <v>0</v>
      </c>
      <c r="I47" s="403">
        <v>0</v>
      </c>
      <c r="J47" s="176">
        <f t="shared" si="21"/>
        <v>0</v>
      </c>
      <c r="K47" s="179">
        <f t="shared" si="22"/>
        <v>0</v>
      </c>
      <c r="L47" s="403">
        <v>0</v>
      </c>
      <c r="M47" s="87">
        <f t="shared" si="23"/>
        <v>0</v>
      </c>
      <c r="N47" s="87">
        <f t="shared" si="24"/>
        <v>0</v>
      </c>
      <c r="O47" s="403">
        <v>0</v>
      </c>
      <c r="P47" s="86">
        <f t="shared" si="25"/>
        <v>0</v>
      </c>
      <c r="Q47" s="87">
        <f t="shared" si="26"/>
        <v>0</v>
      </c>
      <c r="R47" s="87">
        <f ca="1">IFERROR(__xludf.DUMMYFUNCTION("IMPORTRANGE(""https://docs.google.com/spreadsheets/d/13JHU_EFbsQOUQ0JSQ3dWy1VTRosIWcDq6Nc99z2qzdc/edit?usp=sharing"",""หนองคาย!Q498"")"),0)</f>
        <v>0</v>
      </c>
      <c r="S47" s="87">
        <f ca="1">IFERROR(__xludf.DUMMYFUNCTION("IMPORTRANGE(""https://docs.google.com/spreadsheets/d/13JHU_EFbsQOUQ0JSQ3dWy1VTRosIWcDq6Nc99z2qzdc/edit?usp=sharing"",""หนองคาย!R498"")"),0)</f>
        <v>0</v>
      </c>
      <c r="T47" s="87">
        <f ca="1">IFERROR(__xludf.DUMMYFUNCTION("IMPORTRANGE(""https://docs.google.com/spreadsheets/d/13JHU_EFbsQOUQ0JSQ3dWy1VTRosIWcDq6Nc99z2qzdc/edit?usp=sharing"",""หนองคาย!S498"")"),0)</f>
        <v>0</v>
      </c>
      <c r="U47" s="87">
        <f t="shared" ca="1" si="28"/>
        <v>0</v>
      </c>
      <c r="V47" s="87">
        <f t="shared" ca="1" si="29"/>
        <v>0</v>
      </c>
      <c r="W47" s="353">
        <f ca="1">IFERROR(__xludf.DUMMYFUNCTION("IMPORTRANGE(""https://docs.google.com/spreadsheets/d/13JHU_EFbsQOUQ0JSQ3dWy1VTRosIWcDq6Nc99z2qzdc/edit?usp=sharing"",""หนองคาย!I503"")"),0)</f>
        <v>0</v>
      </c>
      <c r="X47" s="177">
        <f ca="1">IFERROR(__xludf.DUMMYFUNCTION("IMPORTRANGE(""https://docs.google.com/spreadsheets/d/13JHU_EFbsQOUQ0JSQ3dWy1VTRosIWcDq6Nc99z2qzdc/edit?usp=sharing"",""หนองคาย!J503"")"),0)</f>
        <v>0</v>
      </c>
      <c r="Y47" s="354">
        <f t="shared" ca="1" si="31"/>
        <v>0</v>
      </c>
      <c r="Z47" s="177">
        <f ca="1">IFERROR(__xludf.DUMMYFUNCTION("IMPORTRANGE(""https://docs.google.com/spreadsheets/d/13JHU_EFbsQOUQ0JSQ3dWy1VTRosIWcDq6Nc99z2qzdc/edit?usp=sharing"",""หนองคาย!J504"")"),0)</f>
        <v>0</v>
      </c>
      <c r="AA47" s="177">
        <f ca="1">IFERROR(__xludf.DUMMYFUNCTION("IMPORTRANGE(""https://docs.google.com/spreadsheets/d/13JHU_EFbsQOUQ0JSQ3dWy1VTRosIWcDq6Nc99z2qzdc/edit?usp=sharing"",""หนองคาย!J505"")"),0)</f>
        <v>0</v>
      </c>
      <c r="AB47" s="177">
        <f ca="1">IFERROR(__xludf.DUMMYFUNCTION("IMPORTRANGE(""https://docs.google.com/spreadsheets/d/13JHU_EFbsQOUQ0JSQ3dWy1VTRosIWcDq6Nc99z2qzdc/edit?usp=sharing"",""หนองคาย!J506"")"),0)</f>
        <v>0</v>
      </c>
      <c r="AC47" s="177">
        <f ca="1">IFERROR(__xludf.DUMMYFUNCTION("IMPORTRANGE(""https://docs.google.com/spreadsheets/d/13JHU_EFbsQOUQ0JSQ3dWy1VTRosIWcDq6Nc99z2qzdc/edit?usp=sharing"",""หนองคาย!J507"")"),0)</f>
        <v>0</v>
      </c>
      <c r="AD47" s="177">
        <f ca="1">IFERROR(__xludf.DUMMYFUNCTION("IMPORTRANGE(""https://docs.google.com/spreadsheets/d/13JHU_EFbsQOUQ0JSQ3dWy1VTRosIWcDq6Nc99z2qzdc/edit?usp=sharing"",""หนองคาย!J508"")"),0)</f>
        <v>0</v>
      </c>
      <c r="AE47" s="177">
        <f ca="1">IFERROR(__xludf.DUMMYFUNCTION("IMPORTRANGE(""https://docs.google.com/spreadsheets/d/13JHU_EFbsQOUQ0JSQ3dWy1VTRosIWcDq6Nc99z2qzdc/edit?usp=sharing"",""หนองคาย!J509"")"),0)</f>
        <v>0</v>
      </c>
    </row>
    <row r="48" spans="1:31" ht="21" customHeight="1" x14ac:dyDescent="0.3">
      <c r="A48" s="89">
        <v>17</v>
      </c>
      <c r="B48" s="90" t="s">
        <v>74</v>
      </c>
      <c r="C48" s="174">
        <f t="shared" si="19"/>
        <v>0</v>
      </c>
      <c r="D48" s="175">
        <f t="shared" si="38"/>
        <v>0</v>
      </c>
      <c r="E48" s="403">
        <v>0</v>
      </c>
      <c r="F48" s="403">
        <v>0</v>
      </c>
      <c r="G48" s="403">
        <v>0</v>
      </c>
      <c r="H48" s="403">
        <v>0</v>
      </c>
      <c r="I48" s="403">
        <v>0</v>
      </c>
      <c r="J48" s="176">
        <f t="shared" si="21"/>
        <v>0</v>
      </c>
      <c r="K48" s="179">
        <f t="shared" si="22"/>
        <v>0</v>
      </c>
      <c r="L48" s="403">
        <v>0</v>
      </c>
      <c r="M48" s="87">
        <f t="shared" si="23"/>
        <v>0</v>
      </c>
      <c r="N48" s="87">
        <f t="shared" si="24"/>
        <v>0</v>
      </c>
      <c r="O48" s="403">
        <v>0</v>
      </c>
      <c r="P48" s="86">
        <f t="shared" si="25"/>
        <v>0</v>
      </c>
      <c r="Q48" s="87">
        <f t="shared" si="26"/>
        <v>0</v>
      </c>
      <c r="R48" s="87">
        <f ca="1">IFERROR(__xludf.DUMMYFUNCTION("IMPORTRANGE(""https://docs.google.com/spreadsheets/d/1Hx73zIEgVdDZZaYSTc46Dqv64atFhpr3GelxLbaIN8A/edit?usp=sharing"",""หนองบัวลำภู!Q498"")"),0)</f>
        <v>0</v>
      </c>
      <c r="S48" s="87">
        <f ca="1">IFERROR(__xludf.DUMMYFUNCTION("IMPORTRANGE(""https://docs.google.com/spreadsheets/d/1Hx73zIEgVdDZZaYSTc46Dqv64atFhpr3GelxLbaIN8A/edit?usp=sharing"",""หนองบัวลำภู!R498"")"),0)</f>
        <v>0</v>
      </c>
      <c r="T48" s="87">
        <f ca="1">IFERROR(__xludf.DUMMYFUNCTION("IMPORTRANGE(""https://docs.google.com/spreadsheets/d/1Hx73zIEgVdDZZaYSTc46Dqv64atFhpr3GelxLbaIN8A/edit?usp=sharing"",""หนองบัวลำภู!S498"")"),0)</f>
        <v>0</v>
      </c>
      <c r="U48" s="87">
        <f t="shared" ca="1" si="28"/>
        <v>0</v>
      </c>
      <c r="V48" s="87">
        <f t="shared" ca="1" si="29"/>
        <v>0</v>
      </c>
      <c r="W48" s="353">
        <f ca="1">IFERROR(__xludf.DUMMYFUNCTION("IMPORTRANGE(""https://docs.google.com/spreadsheets/d/1Hx73zIEgVdDZZaYSTc46Dqv64atFhpr3GelxLbaIN8A/edit?usp=sharing"",""หนองบัวลำภู!I503"")"),0)</f>
        <v>0</v>
      </c>
      <c r="X48" s="177">
        <f ca="1">IFERROR(__xludf.DUMMYFUNCTION("IMPORTRANGE(""https://docs.google.com/spreadsheets/d/1Hx73zIEgVdDZZaYSTc46Dqv64atFhpr3GelxLbaIN8A/edit?usp=sharing"",""หนองบัวลำภู!J503"")"),0)</f>
        <v>0</v>
      </c>
      <c r="Y48" s="354">
        <f t="shared" ca="1" si="31"/>
        <v>0</v>
      </c>
      <c r="Z48" s="177">
        <f ca="1">IFERROR(__xludf.DUMMYFUNCTION("IMPORTRANGE(""https://docs.google.com/spreadsheets/d/1Hx73zIEgVdDZZaYSTc46Dqv64atFhpr3GelxLbaIN8A/edit?usp=sharing"",""หนองบัวลำภู!J504"")"),0)</f>
        <v>0</v>
      </c>
      <c r="AA48" s="177">
        <f ca="1">IFERROR(__xludf.DUMMYFUNCTION("IMPORTRANGE(""https://docs.google.com/spreadsheets/d/1Hx73zIEgVdDZZaYSTc46Dqv64atFhpr3GelxLbaIN8A/edit?usp=sharing"",""หนองบัวลำภู!J505"")"),0)</f>
        <v>0</v>
      </c>
      <c r="AB48" s="177">
        <f ca="1">IFERROR(__xludf.DUMMYFUNCTION("IMPORTRANGE(""https://docs.google.com/spreadsheets/d/1Hx73zIEgVdDZZaYSTc46Dqv64atFhpr3GelxLbaIN8A/edit?usp=sharing"",""หนองบัวลำภู!J506"")"),0)</f>
        <v>0</v>
      </c>
      <c r="AC48" s="177">
        <f ca="1">IFERROR(__xludf.DUMMYFUNCTION("IMPORTRANGE(""https://docs.google.com/spreadsheets/d/1Hx73zIEgVdDZZaYSTc46Dqv64atFhpr3GelxLbaIN8A/edit?usp=sharing"",""หนองบัวลำภู!J507"")"),0)</f>
        <v>0</v>
      </c>
      <c r="AD48" s="177">
        <f ca="1">IFERROR(__xludf.DUMMYFUNCTION("IMPORTRANGE(""https://docs.google.com/spreadsheets/d/1Hx73zIEgVdDZZaYSTc46Dqv64atFhpr3GelxLbaIN8A/edit?usp=sharing"",""หนองบัวลำภู!J508"")"),0)</f>
        <v>0</v>
      </c>
      <c r="AE48" s="177">
        <f ca="1">IFERROR(__xludf.DUMMYFUNCTION("IMPORTRANGE(""https://docs.google.com/spreadsheets/d/1Hx73zIEgVdDZZaYSTc46Dqv64atFhpr3GelxLbaIN8A/edit?usp=sharing"",""หนองบัวลำภู!J509"")"),0)</f>
        <v>0</v>
      </c>
    </row>
    <row r="49" spans="1:31" ht="21" customHeight="1" x14ac:dyDescent="0.3">
      <c r="A49" s="89">
        <v>18</v>
      </c>
      <c r="B49" s="90" t="s">
        <v>75</v>
      </c>
      <c r="C49" s="174">
        <f t="shared" si="19"/>
        <v>0</v>
      </c>
      <c r="D49" s="175">
        <f t="shared" si="38"/>
        <v>0</v>
      </c>
      <c r="E49" s="403">
        <v>0</v>
      </c>
      <c r="F49" s="403">
        <v>0</v>
      </c>
      <c r="G49" s="403">
        <v>0</v>
      </c>
      <c r="H49" s="403">
        <v>0</v>
      </c>
      <c r="I49" s="403">
        <v>0</v>
      </c>
      <c r="J49" s="176">
        <f t="shared" si="21"/>
        <v>0</v>
      </c>
      <c r="K49" s="179">
        <f t="shared" si="22"/>
        <v>0</v>
      </c>
      <c r="L49" s="403">
        <v>0</v>
      </c>
      <c r="M49" s="87">
        <f t="shared" si="23"/>
        <v>0</v>
      </c>
      <c r="N49" s="87">
        <f t="shared" si="24"/>
        <v>0</v>
      </c>
      <c r="O49" s="403">
        <v>0</v>
      </c>
      <c r="P49" s="86">
        <f t="shared" si="25"/>
        <v>0</v>
      </c>
      <c r="Q49" s="87">
        <f t="shared" si="26"/>
        <v>0</v>
      </c>
      <c r="R49" s="87">
        <f ca="1">IFERROR(__xludf.DUMMYFUNCTION("IMPORTRANGE(""https://docs.google.com/spreadsheets/d/1lFxr3ctmjFN90yc-xV6jrQ9Ty8BKYVBWnAZ15wcNIJc/edit?usp=sharing"",""อำนาจเจริญ!Q498"")"),0)</f>
        <v>0</v>
      </c>
      <c r="S49" s="87">
        <f ca="1">IFERROR(__xludf.DUMMYFUNCTION("IMPORTRANGE(""https://docs.google.com/spreadsheets/d/1lFxr3ctmjFN90yc-xV6jrQ9Ty8BKYVBWnAZ15wcNIJc/edit?usp=sharing"",""อำนาจเจริญ!R498"")"),0)</f>
        <v>0</v>
      </c>
      <c r="T49" s="87">
        <f ca="1">IFERROR(__xludf.DUMMYFUNCTION("IMPORTRANGE(""https://docs.google.com/spreadsheets/d/1lFxr3ctmjFN90yc-xV6jrQ9Ty8BKYVBWnAZ15wcNIJc/edit?usp=sharing"",""อำนาจเจริญ!S498"")"),0)</f>
        <v>0</v>
      </c>
      <c r="U49" s="87">
        <f t="shared" ca="1" si="28"/>
        <v>0</v>
      </c>
      <c r="V49" s="87">
        <f t="shared" ca="1" si="29"/>
        <v>0</v>
      </c>
      <c r="W49" s="353">
        <f ca="1">IFERROR(__xludf.DUMMYFUNCTION("IMPORTRANGE(""https://docs.google.com/spreadsheets/d/1lFxr3ctmjFN90yc-xV6jrQ9Ty8BKYVBWnAZ15wcNIJc/edit?usp=sharing"",""อำนาจเจริญ!I503"")"),0)</f>
        <v>0</v>
      </c>
      <c r="X49" s="177">
        <f ca="1">IFERROR(__xludf.DUMMYFUNCTION("IMPORTRANGE(""https://docs.google.com/spreadsheets/d/1lFxr3ctmjFN90yc-xV6jrQ9Ty8BKYVBWnAZ15wcNIJc/edit?usp=sharing"",""อำนาจเจริญ!J503"")"),0)</f>
        <v>0</v>
      </c>
      <c r="Y49" s="354">
        <f t="shared" ca="1" si="31"/>
        <v>0</v>
      </c>
      <c r="Z49" s="177">
        <f ca="1">IFERROR(__xludf.DUMMYFUNCTION("IMPORTRANGE(""https://docs.google.com/spreadsheets/d/1lFxr3ctmjFN90yc-xV6jrQ9Ty8BKYVBWnAZ15wcNIJc/edit?usp=sharing"",""อำนาจเจริญ!J504"")"),0)</f>
        <v>0</v>
      </c>
      <c r="AA49" s="177">
        <f ca="1">IFERROR(__xludf.DUMMYFUNCTION("IMPORTRANGE(""https://docs.google.com/spreadsheets/d/1lFxr3ctmjFN90yc-xV6jrQ9Ty8BKYVBWnAZ15wcNIJc/edit?usp=sharing"",""อำนาจเจริญ!J505"")"),0)</f>
        <v>0</v>
      </c>
      <c r="AB49" s="177">
        <f ca="1">IFERROR(__xludf.DUMMYFUNCTION("IMPORTRANGE(""https://docs.google.com/spreadsheets/d/1lFxr3ctmjFN90yc-xV6jrQ9Ty8BKYVBWnAZ15wcNIJc/edit?usp=sharing"",""อำนาจเจริญ!J506"")"),0)</f>
        <v>0</v>
      </c>
      <c r="AC49" s="177">
        <f ca="1">IFERROR(__xludf.DUMMYFUNCTION("IMPORTRANGE(""https://docs.google.com/spreadsheets/d/1lFxr3ctmjFN90yc-xV6jrQ9Ty8BKYVBWnAZ15wcNIJc/edit?usp=sharing"",""อำนาจเจริญ!J507"")"),0)</f>
        <v>0</v>
      </c>
      <c r="AD49" s="177">
        <f ca="1">IFERROR(__xludf.DUMMYFUNCTION("IMPORTRANGE(""https://docs.google.com/spreadsheets/d/1lFxr3ctmjFN90yc-xV6jrQ9Ty8BKYVBWnAZ15wcNIJc/edit?usp=sharing"",""อำนาจเจริญ!J508"")"),0)</f>
        <v>0</v>
      </c>
      <c r="AE49" s="177">
        <f ca="1">IFERROR(__xludf.DUMMYFUNCTION("IMPORTRANGE(""https://docs.google.com/spreadsheets/d/1lFxr3ctmjFN90yc-xV6jrQ9Ty8BKYVBWnAZ15wcNIJc/edit?usp=sharing"",""อำนาจเจริญ!J509"")"),0)</f>
        <v>0</v>
      </c>
    </row>
    <row r="50" spans="1:31" ht="21" customHeight="1" x14ac:dyDescent="0.3">
      <c r="A50" s="89">
        <v>19</v>
      </c>
      <c r="B50" s="90" t="s">
        <v>76</v>
      </c>
      <c r="C50" s="174">
        <f t="shared" si="19"/>
        <v>0</v>
      </c>
      <c r="D50" s="175">
        <f t="shared" si="38"/>
        <v>0</v>
      </c>
      <c r="E50" s="403">
        <v>0</v>
      </c>
      <c r="F50" s="403">
        <v>0</v>
      </c>
      <c r="G50" s="403">
        <v>0</v>
      </c>
      <c r="H50" s="403">
        <v>0</v>
      </c>
      <c r="I50" s="403">
        <v>0</v>
      </c>
      <c r="J50" s="176">
        <f t="shared" si="21"/>
        <v>0</v>
      </c>
      <c r="K50" s="179">
        <f t="shared" si="22"/>
        <v>0</v>
      </c>
      <c r="L50" s="403">
        <v>0</v>
      </c>
      <c r="M50" s="87">
        <f t="shared" si="23"/>
        <v>0</v>
      </c>
      <c r="N50" s="87">
        <f t="shared" si="24"/>
        <v>0</v>
      </c>
      <c r="O50" s="403">
        <v>0</v>
      </c>
      <c r="P50" s="86">
        <f t="shared" si="25"/>
        <v>0</v>
      </c>
      <c r="Q50" s="87">
        <f t="shared" si="26"/>
        <v>0</v>
      </c>
      <c r="R50" s="87">
        <f ca="1">IFERROR(__xludf.DUMMYFUNCTION("IMPORTRANGE(""https://docs.google.com/spreadsheets/d/1gF7RJpRnL-1oyjyeWxs5SFWEH7y8ahOZsQlyp2A2e-A/edit?usp=sharing"",""อุดรธานี!Q498"")"),0)</f>
        <v>0</v>
      </c>
      <c r="S50" s="87">
        <f ca="1">IFERROR(__xludf.DUMMYFUNCTION("IMPORTRANGE(""https://docs.google.com/spreadsheets/d/1gF7RJpRnL-1oyjyeWxs5SFWEH7y8ahOZsQlyp2A2e-A/edit?usp=sharing"",""อุดรธานี!R498"")"),0)</f>
        <v>0</v>
      </c>
      <c r="T50" s="87">
        <f ca="1">IFERROR(__xludf.DUMMYFUNCTION("IMPORTRANGE(""https://docs.google.com/spreadsheets/d/1gF7RJpRnL-1oyjyeWxs5SFWEH7y8ahOZsQlyp2A2e-A/edit?usp=sharing"",""อุดรธานี!S498"")"),0)</f>
        <v>0</v>
      </c>
      <c r="U50" s="87">
        <f t="shared" ca="1" si="28"/>
        <v>0</v>
      </c>
      <c r="V50" s="87">
        <f t="shared" ca="1" si="29"/>
        <v>0</v>
      </c>
      <c r="W50" s="353">
        <f ca="1">IFERROR(__xludf.DUMMYFUNCTION("IMPORTRANGE(""https://docs.google.com/spreadsheets/d/1gF7RJpRnL-1oyjyeWxs5SFWEH7y8ahOZsQlyp2A2e-A/edit?usp=sharing"",""อุดรธานี!I503"")"),0)</f>
        <v>0</v>
      </c>
      <c r="X50" s="177">
        <f ca="1">IFERROR(__xludf.DUMMYFUNCTION("IMPORTRANGE(""https://docs.google.com/spreadsheets/d/1gF7RJpRnL-1oyjyeWxs5SFWEH7y8ahOZsQlyp2A2e-A/edit?usp=sharing"",""อุดรธานี!J503"")"),0)</f>
        <v>0</v>
      </c>
      <c r="Y50" s="354">
        <f t="shared" ca="1" si="31"/>
        <v>0</v>
      </c>
      <c r="Z50" s="177">
        <f ca="1">IFERROR(__xludf.DUMMYFUNCTION("IMPORTRANGE(""https://docs.google.com/spreadsheets/d/1gF7RJpRnL-1oyjyeWxs5SFWEH7y8ahOZsQlyp2A2e-A/edit?usp=sharing"",""อุดรธานี!J504"")"),0)</f>
        <v>0</v>
      </c>
      <c r="AA50" s="177">
        <f ca="1">IFERROR(__xludf.DUMMYFUNCTION("IMPORTRANGE(""https://docs.google.com/spreadsheets/d/1gF7RJpRnL-1oyjyeWxs5SFWEH7y8ahOZsQlyp2A2e-A/edit?usp=sharing"",""อุดรธานี!J505"")"),0)</f>
        <v>0</v>
      </c>
      <c r="AB50" s="177">
        <f ca="1">IFERROR(__xludf.DUMMYFUNCTION("IMPORTRANGE(""https://docs.google.com/spreadsheets/d/1gF7RJpRnL-1oyjyeWxs5SFWEH7y8ahOZsQlyp2A2e-A/edit?usp=sharing"",""อุดรธานี!J506"")"),0)</f>
        <v>0</v>
      </c>
      <c r="AC50" s="177">
        <f ca="1">IFERROR(__xludf.DUMMYFUNCTION("IMPORTRANGE(""https://docs.google.com/spreadsheets/d/1gF7RJpRnL-1oyjyeWxs5SFWEH7y8ahOZsQlyp2A2e-A/edit?usp=sharing"",""อุดรธานี!J507"")"),0)</f>
        <v>0</v>
      </c>
      <c r="AD50" s="177">
        <f ca="1">IFERROR(__xludf.DUMMYFUNCTION("IMPORTRANGE(""https://docs.google.com/spreadsheets/d/1gF7RJpRnL-1oyjyeWxs5SFWEH7y8ahOZsQlyp2A2e-A/edit?usp=sharing"",""อุดรธานี!J508"")"),0)</f>
        <v>0</v>
      </c>
      <c r="AE50" s="177">
        <f ca="1">IFERROR(__xludf.DUMMYFUNCTION("IMPORTRANGE(""https://docs.google.com/spreadsheets/d/1gF7RJpRnL-1oyjyeWxs5SFWEH7y8ahOZsQlyp2A2e-A/edit?usp=sharing"",""อุดรธานี!J509"")"),0)</f>
        <v>0</v>
      </c>
    </row>
    <row r="51" spans="1:31" ht="21" customHeight="1" x14ac:dyDescent="0.3">
      <c r="A51" s="100">
        <v>20</v>
      </c>
      <c r="B51" s="101" t="s">
        <v>77</v>
      </c>
      <c r="C51" s="189">
        <f t="shared" si="19"/>
        <v>0</v>
      </c>
      <c r="D51" s="190">
        <f t="shared" si="38"/>
        <v>0</v>
      </c>
      <c r="E51" s="415">
        <v>0</v>
      </c>
      <c r="F51" s="415">
        <v>0</v>
      </c>
      <c r="G51" s="415">
        <v>0</v>
      </c>
      <c r="H51" s="415">
        <v>0</v>
      </c>
      <c r="I51" s="415">
        <v>0</v>
      </c>
      <c r="J51" s="191">
        <f t="shared" si="21"/>
        <v>0</v>
      </c>
      <c r="K51" s="192">
        <f t="shared" si="22"/>
        <v>0</v>
      </c>
      <c r="L51" s="415">
        <v>0</v>
      </c>
      <c r="M51" s="118">
        <f t="shared" si="23"/>
        <v>0</v>
      </c>
      <c r="N51" s="118">
        <f t="shared" si="24"/>
        <v>0</v>
      </c>
      <c r="O51" s="415">
        <v>0</v>
      </c>
      <c r="P51" s="117">
        <f t="shared" si="25"/>
        <v>0</v>
      </c>
      <c r="Q51" s="118">
        <f t="shared" si="26"/>
        <v>0</v>
      </c>
      <c r="R51" s="118">
        <f ca="1">IFERROR(__xludf.DUMMYFUNCTION("IMPORTRANGE(""https://docs.google.com/spreadsheets/d/1kfLP0j3INXRa8bTDpcEmoWewMBV61jlFlfzczfjWIgc/edit?usp=sharing"",""อุบลราชธานี!Q498"")"),0)</f>
        <v>0</v>
      </c>
      <c r="S51" s="118">
        <f ca="1">IFERROR(__xludf.DUMMYFUNCTION("IMPORTRANGE(""https://docs.google.com/spreadsheets/d/1kfLP0j3INXRa8bTDpcEmoWewMBV61jlFlfzczfjWIgc/edit?usp=sharing"",""อุบลราชธานี!R498"")"),0)</f>
        <v>0</v>
      </c>
      <c r="T51" s="118">
        <f ca="1">IFERROR(__xludf.DUMMYFUNCTION("IMPORTRANGE(""https://docs.google.com/spreadsheets/d/1kfLP0j3INXRa8bTDpcEmoWewMBV61jlFlfzczfjWIgc/edit?usp=sharing"",""อุบลราชธานี!S498"")"),0)</f>
        <v>0</v>
      </c>
      <c r="U51" s="118">
        <f t="shared" ca="1" si="28"/>
        <v>0</v>
      </c>
      <c r="V51" s="118">
        <f t="shared" ca="1" si="29"/>
        <v>0</v>
      </c>
      <c r="W51" s="356">
        <f ca="1">IFERROR(__xludf.DUMMYFUNCTION("IMPORTRANGE(""https://docs.google.com/spreadsheets/d/1kfLP0j3INXRa8bTDpcEmoWewMBV61jlFlfzczfjWIgc/edit?usp=sharing"",""อุบลราชธานี!I503"")"),0)</f>
        <v>0</v>
      </c>
      <c r="X51" s="186">
        <f ca="1">IFERROR(__xludf.DUMMYFUNCTION("IMPORTRANGE(""https://docs.google.com/spreadsheets/d/1kfLP0j3INXRa8bTDpcEmoWewMBV61jlFlfzczfjWIgc/edit?usp=sharing"",""อุบลราชธานี!J503"")"),0)</f>
        <v>0</v>
      </c>
      <c r="Y51" s="357">
        <f t="shared" ca="1" si="31"/>
        <v>0</v>
      </c>
      <c r="Z51" s="186">
        <f ca="1">IFERROR(__xludf.DUMMYFUNCTION("IMPORTRANGE(""https://docs.google.com/spreadsheets/d/1kfLP0j3INXRa8bTDpcEmoWewMBV61jlFlfzczfjWIgc/edit?usp=sharing"",""อุบลราชธานี!J504"")"),0)</f>
        <v>0</v>
      </c>
      <c r="AA51" s="186">
        <f ca="1">IFERROR(__xludf.DUMMYFUNCTION("IMPORTRANGE(""https://docs.google.com/spreadsheets/d/1kfLP0j3INXRa8bTDpcEmoWewMBV61jlFlfzczfjWIgc/edit?usp=sharing"",""อุบลราชธานี!J505"")"),0)</f>
        <v>0</v>
      </c>
      <c r="AB51" s="186">
        <f ca="1">IFERROR(__xludf.DUMMYFUNCTION("IMPORTRANGE(""https://docs.google.com/spreadsheets/d/1kfLP0j3INXRa8bTDpcEmoWewMBV61jlFlfzczfjWIgc/edit?usp=sharing"",""อุบลราชธานี!J506"")"),0)</f>
        <v>0</v>
      </c>
      <c r="AC51" s="186">
        <f ca="1">IFERROR(__xludf.DUMMYFUNCTION("IMPORTRANGE(""https://docs.google.com/spreadsheets/d/1kfLP0j3INXRa8bTDpcEmoWewMBV61jlFlfzczfjWIgc/edit?usp=sharing"",""อุบลราชธานี!J507"")"),0)</f>
        <v>0</v>
      </c>
      <c r="AD51" s="186">
        <f ca="1">IFERROR(__xludf.DUMMYFUNCTION("IMPORTRANGE(""https://docs.google.com/spreadsheets/d/1kfLP0j3INXRa8bTDpcEmoWewMBV61jlFlfzczfjWIgc/edit?usp=sharing"",""อุบลราชธานี!J508"")"),0)</f>
        <v>0</v>
      </c>
      <c r="AE51" s="186">
        <f ca="1">IFERROR(__xludf.DUMMYFUNCTION("IMPORTRANGE(""https://docs.google.com/spreadsheets/d/1kfLP0j3INXRa8bTDpcEmoWewMBV61jlFlfzczfjWIgc/edit?usp=sharing"",""อุบลราชธานี!J509"")"),0)</f>
        <v>0</v>
      </c>
    </row>
    <row r="52" spans="1:31" ht="21" customHeight="1" x14ac:dyDescent="0.3">
      <c r="A52" s="650" t="s">
        <v>78</v>
      </c>
      <c r="B52" s="583"/>
      <c r="C52" s="194">
        <f t="shared" si="19"/>
        <v>0</v>
      </c>
      <c r="D52" s="194">
        <f t="shared" ref="D52:I52" si="39">SUM(D53:D73)</f>
        <v>0</v>
      </c>
      <c r="E52" s="194">
        <f t="shared" si="39"/>
        <v>0</v>
      </c>
      <c r="F52" s="194">
        <f t="shared" si="39"/>
        <v>0</v>
      </c>
      <c r="G52" s="194">
        <f t="shared" si="39"/>
        <v>0</v>
      </c>
      <c r="H52" s="194">
        <f t="shared" si="39"/>
        <v>0</v>
      </c>
      <c r="I52" s="194">
        <f t="shared" si="39"/>
        <v>0</v>
      </c>
      <c r="J52" s="194">
        <f t="shared" si="21"/>
        <v>0</v>
      </c>
      <c r="K52" s="195">
        <f t="shared" si="22"/>
        <v>0</v>
      </c>
      <c r="L52" s="194">
        <f>SUM(L53:L73)</f>
        <v>0</v>
      </c>
      <c r="M52" s="120">
        <f t="shared" si="23"/>
        <v>0</v>
      </c>
      <c r="N52" s="120">
        <f t="shared" si="24"/>
        <v>0</v>
      </c>
      <c r="O52" s="119">
        <f>SUM(O53:O73)</f>
        <v>0</v>
      </c>
      <c r="P52" s="119">
        <f t="shared" si="25"/>
        <v>0</v>
      </c>
      <c r="Q52" s="120">
        <f t="shared" si="26"/>
        <v>0</v>
      </c>
      <c r="R52" s="120">
        <f t="shared" ref="R52:T52" ca="1" si="40">SUM(R53:R73)</f>
        <v>2234495</v>
      </c>
      <c r="S52" s="120">
        <f t="shared" ca="1" si="40"/>
        <v>0</v>
      </c>
      <c r="T52" s="120">
        <f t="shared" ca="1" si="40"/>
        <v>0</v>
      </c>
      <c r="U52" s="120">
        <f t="shared" ca="1" si="28"/>
        <v>0</v>
      </c>
      <c r="V52" s="120">
        <f t="shared" ca="1" si="29"/>
        <v>0</v>
      </c>
      <c r="W52" s="348">
        <f t="shared" ref="W52:X52" ca="1" si="41">SUM(W53:W73)</f>
        <v>160</v>
      </c>
      <c r="X52" s="161">
        <f t="shared" ca="1" si="41"/>
        <v>0</v>
      </c>
      <c r="Y52" s="40">
        <f t="shared" ca="1" si="31"/>
        <v>0</v>
      </c>
      <c r="Z52" s="161">
        <f t="shared" ref="Z52:AE52" ca="1" si="42">SUM(Z53:Z73)</f>
        <v>0</v>
      </c>
      <c r="AA52" s="161">
        <f t="shared" ca="1" si="42"/>
        <v>0</v>
      </c>
      <c r="AB52" s="161">
        <f t="shared" ca="1" si="42"/>
        <v>0</v>
      </c>
      <c r="AC52" s="161">
        <f t="shared" ca="1" si="42"/>
        <v>0</v>
      </c>
      <c r="AD52" s="161">
        <f t="shared" ca="1" si="42"/>
        <v>0</v>
      </c>
      <c r="AE52" s="161">
        <f t="shared" ca="1" si="42"/>
        <v>0</v>
      </c>
    </row>
    <row r="53" spans="1:31" ht="21" customHeight="1" x14ac:dyDescent="0.3">
      <c r="A53" s="77">
        <v>1</v>
      </c>
      <c r="B53" s="78" t="s">
        <v>79</v>
      </c>
      <c r="C53" s="174">
        <f t="shared" si="19"/>
        <v>0</v>
      </c>
      <c r="D53" s="175">
        <f t="shared" ref="D53:D73" si="43">+E53+F53</f>
        <v>0</v>
      </c>
      <c r="E53" s="403">
        <v>0</v>
      </c>
      <c r="F53" s="403">
        <v>0</v>
      </c>
      <c r="G53" s="219">
        <v>0</v>
      </c>
      <c r="H53" s="219">
        <v>0</v>
      </c>
      <c r="I53" s="219">
        <v>0</v>
      </c>
      <c r="J53" s="177">
        <f t="shared" si="21"/>
        <v>0</v>
      </c>
      <c r="K53" s="178">
        <f t="shared" si="22"/>
        <v>0</v>
      </c>
      <c r="L53" s="219">
        <v>0</v>
      </c>
      <c r="M53" s="87">
        <f t="shared" si="23"/>
        <v>0</v>
      </c>
      <c r="N53" s="87">
        <f t="shared" si="24"/>
        <v>0</v>
      </c>
      <c r="O53" s="403">
        <v>0</v>
      </c>
      <c r="P53" s="86">
        <f t="shared" si="25"/>
        <v>0</v>
      </c>
      <c r="Q53" s="87">
        <f t="shared" si="26"/>
        <v>0</v>
      </c>
      <c r="R53" s="87">
        <f ca="1">IFERROR(__xludf.DUMMYFUNCTION("IMPORTRANGE(""https://docs.google.com/spreadsheets/d/13wPX838HrBrQMCywv1BsuMkt4PEKTChp52zj44s2izQ/edit?usp=sharing"",""กาญจนบุรี!Q498"")"),460185)</f>
        <v>460185</v>
      </c>
      <c r="S53" s="87">
        <f ca="1">IFERROR(__xludf.DUMMYFUNCTION("IMPORTRANGE(""https://docs.google.com/spreadsheets/d/13wPX838HrBrQMCywv1BsuMkt4PEKTChp52zj44s2izQ/edit?usp=sharing"",""กาญจนบุรี!R498"")"),0)</f>
        <v>0</v>
      </c>
      <c r="T53" s="87">
        <f ca="1">IFERROR(__xludf.DUMMYFUNCTION("IMPORTRANGE(""https://docs.google.com/spreadsheets/d/13wPX838HrBrQMCywv1BsuMkt4PEKTChp52zj44s2izQ/edit?usp=sharing"",""กาญจนบุรี!S498"")"),0)</f>
        <v>0</v>
      </c>
      <c r="U53" s="87">
        <f t="shared" ca="1" si="28"/>
        <v>0</v>
      </c>
      <c r="V53" s="87">
        <f t="shared" ca="1" si="29"/>
        <v>0</v>
      </c>
      <c r="W53" s="353">
        <f ca="1">IFERROR(__xludf.DUMMYFUNCTION("IMPORTRANGE(""https://docs.google.com/spreadsheets/d/13wPX838HrBrQMCywv1BsuMkt4PEKTChp52zj44s2izQ/edit?usp=sharing"",""กาญจนบุรี!I503"")"),30)</f>
        <v>30</v>
      </c>
      <c r="X53" s="177">
        <f ca="1">IFERROR(__xludf.DUMMYFUNCTION("IMPORTRANGE(""https://docs.google.com/spreadsheets/d/13wPX838HrBrQMCywv1BsuMkt4PEKTChp52zj44s2izQ/edit?usp=sharing"",""กาญจนบุรี!J503"")"),0)</f>
        <v>0</v>
      </c>
      <c r="Y53" s="354">
        <f t="shared" ca="1" si="31"/>
        <v>0</v>
      </c>
      <c r="Z53" s="177">
        <f ca="1">IFERROR(__xludf.DUMMYFUNCTION("IMPORTRANGE(""https://docs.google.com/spreadsheets/d/13wPX838HrBrQMCywv1BsuMkt4PEKTChp52zj44s2izQ/edit?usp=sharing"",""กาญจนบุรี!J504"")"),0)</f>
        <v>0</v>
      </c>
      <c r="AA53" s="177">
        <f ca="1">IFERROR(__xludf.DUMMYFUNCTION("IMPORTRANGE(""https://docs.google.com/spreadsheets/d/13wPX838HrBrQMCywv1BsuMkt4PEKTChp52zj44s2izQ/edit?usp=sharing"",""กาญจนบุรี!J505"")"),0)</f>
        <v>0</v>
      </c>
      <c r="AB53" s="177">
        <f ca="1">IFERROR(__xludf.DUMMYFUNCTION("IMPORTRANGE(""https://docs.google.com/spreadsheets/d/13wPX838HrBrQMCywv1BsuMkt4PEKTChp52zj44s2izQ/edit?usp=sharing"",""กาญจนบุรี!J506"")"),0)</f>
        <v>0</v>
      </c>
      <c r="AC53" s="177">
        <f ca="1">IFERROR(__xludf.DUMMYFUNCTION("IMPORTRANGE(""https://docs.google.com/spreadsheets/d/13wPX838HrBrQMCywv1BsuMkt4PEKTChp52zj44s2izQ/edit?usp=sharing"",""กาญจนบุรี!J507"")"),0)</f>
        <v>0</v>
      </c>
      <c r="AD53" s="177">
        <f ca="1">IFERROR(__xludf.DUMMYFUNCTION("IMPORTRANGE(""https://docs.google.com/spreadsheets/d/13wPX838HrBrQMCywv1BsuMkt4PEKTChp52zj44s2izQ/edit?usp=sharing"",""กาญจนบุรี!J508"")"),0)</f>
        <v>0</v>
      </c>
      <c r="AE53" s="177">
        <f ca="1">IFERROR(__xludf.DUMMYFUNCTION("IMPORTRANGE(""https://docs.google.com/spreadsheets/d/13wPX838HrBrQMCywv1BsuMkt4PEKTChp52zj44s2izQ/edit?usp=sharing"",""กาญจนบุรี!J509"")"),0)</f>
        <v>0</v>
      </c>
    </row>
    <row r="54" spans="1:31" ht="21" customHeight="1" x14ac:dyDescent="0.3">
      <c r="A54" s="89">
        <v>2</v>
      </c>
      <c r="B54" s="90" t="s">
        <v>80</v>
      </c>
      <c r="C54" s="174">
        <f t="shared" si="19"/>
        <v>0</v>
      </c>
      <c r="D54" s="175">
        <f t="shared" si="43"/>
        <v>0</v>
      </c>
      <c r="E54" s="403">
        <v>0</v>
      </c>
      <c r="F54" s="403">
        <v>0</v>
      </c>
      <c r="G54" s="403">
        <v>0</v>
      </c>
      <c r="H54" s="403">
        <v>0</v>
      </c>
      <c r="I54" s="403">
        <v>0</v>
      </c>
      <c r="J54" s="176">
        <f t="shared" si="21"/>
        <v>0</v>
      </c>
      <c r="K54" s="179">
        <f t="shared" si="22"/>
        <v>0</v>
      </c>
      <c r="L54" s="403">
        <v>0</v>
      </c>
      <c r="M54" s="87">
        <f t="shared" si="23"/>
        <v>0</v>
      </c>
      <c r="N54" s="87">
        <f t="shared" si="24"/>
        <v>0</v>
      </c>
      <c r="O54" s="403">
        <v>0</v>
      </c>
      <c r="P54" s="86">
        <f t="shared" si="25"/>
        <v>0</v>
      </c>
      <c r="Q54" s="87">
        <f t="shared" si="26"/>
        <v>0</v>
      </c>
      <c r="R54" s="87">
        <f ca="1">IFERROR(__xludf.DUMMYFUNCTION("IMPORTRANGE(""https://docs.google.com/spreadsheets/d/1ddFKvqj1W1NEiWytbGlB1zMx_ykJDVtmfEQ-6-lIUBA/edit?usp=sharing"",""จันทบุรี!Q498"")"),0)</f>
        <v>0</v>
      </c>
      <c r="S54" s="87">
        <f ca="1">IFERROR(__xludf.DUMMYFUNCTION("IMPORTRANGE(""https://docs.google.com/spreadsheets/d/1ddFKvqj1W1NEiWytbGlB1zMx_ykJDVtmfEQ-6-lIUBA/edit?usp=sharing"",""จันทบุรี!R498"")"),0)</f>
        <v>0</v>
      </c>
      <c r="T54" s="87">
        <f ca="1">IFERROR(__xludf.DUMMYFUNCTION("IMPORTRANGE(""https://docs.google.com/spreadsheets/d/1ddFKvqj1W1NEiWytbGlB1zMx_ykJDVtmfEQ-6-lIUBA/edit?usp=sharing"",""จันทบุรี!S498"")"),0)</f>
        <v>0</v>
      </c>
      <c r="U54" s="87">
        <f t="shared" ca="1" si="28"/>
        <v>0</v>
      </c>
      <c r="V54" s="87">
        <f t="shared" ca="1" si="29"/>
        <v>0</v>
      </c>
      <c r="W54" s="353">
        <f ca="1">IFERROR(__xludf.DUMMYFUNCTION("IMPORTRANGE(""https://docs.google.com/spreadsheets/d/1ddFKvqj1W1NEiWytbGlB1zMx_ykJDVtmfEQ-6-lIUBA/edit?usp=sharing"",""จันทบุรี!I503"")"),0)</f>
        <v>0</v>
      </c>
      <c r="X54" s="177">
        <f ca="1">IFERROR(__xludf.DUMMYFUNCTION("IMPORTRANGE(""https://docs.google.com/spreadsheets/d/1ddFKvqj1W1NEiWytbGlB1zMx_ykJDVtmfEQ-6-lIUBA/edit?usp=sharing"",""จันทบุรี!J503"")"),0)</f>
        <v>0</v>
      </c>
      <c r="Y54" s="354">
        <f t="shared" ca="1" si="31"/>
        <v>0</v>
      </c>
      <c r="Z54" s="177">
        <f ca="1">IFERROR(__xludf.DUMMYFUNCTION("IMPORTRANGE(""https://docs.google.com/spreadsheets/d/1ddFKvqj1W1NEiWytbGlB1zMx_ykJDVtmfEQ-6-lIUBA/edit?usp=sharing"",""จันทบุรี!J504"")"),0)</f>
        <v>0</v>
      </c>
      <c r="AA54" s="177">
        <f ca="1">IFERROR(__xludf.DUMMYFUNCTION("IMPORTRANGE(""https://docs.google.com/spreadsheets/d/1ddFKvqj1W1NEiWytbGlB1zMx_ykJDVtmfEQ-6-lIUBA/edit?usp=sharing"",""จันทบุรี!J505"")"),0)</f>
        <v>0</v>
      </c>
      <c r="AB54" s="177">
        <f ca="1">IFERROR(__xludf.DUMMYFUNCTION("IMPORTRANGE(""https://docs.google.com/spreadsheets/d/1ddFKvqj1W1NEiWytbGlB1zMx_ykJDVtmfEQ-6-lIUBA/edit?usp=sharing"",""จันทบุรี!J506"")"),0)</f>
        <v>0</v>
      </c>
      <c r="AC54" s="177">
        <f ca="1">IFERROR(__xludf.DUMMYFUNCTION("IMPORTRANGE(""https://docs.google.com/spreadsheets/d/1ddFKvqj1W1NEiWytbGlB1zMx_ykJDVtmfEQ-6-lIUBA/edit?usp=sharing"",""จันทบุรี!J507"")"),0)</f>
        <v>0</v>
      </c>
      <c r="AD54" s="177">
        <f ca="1">IFERROR(__xludf.DUMMYFUNCTION("IMPORTRANGE(""https://docs.google.com/spreadsheets/d/1ddFKvqj1W1NEiWytbGlB1zMx_ykJDVtmfEQ-6-lIUBA/edit?usp=sharing"",""จันทบุรี!J508"")"),0)</f>
        <v>0</v>
      </c>
      <c r="AE54" s="177">
        <f ca="1">IFERROR(__xludf.DUMMYFUNCTION("IMPORTRANGE(""https://docs.google.com/spreadsheets/d/1ddFKvqj1W1NEiWytbGlB1zMx_ykJDVtmfEQ-6-lIUBA/edit?usp=sharing"",""จันทบุรี!J509"")"),0)</f>
        <v>0</v>
      </c>
    </row>
    <row r="55" spans="1:31" ht="21" customHeight="1" x14ac:dyDescent="0.3">
      <c r="A55" s="89">
        <v>3</v>
      </c>
      <c r="B55" s="90" t="s">
        <v>81</v>
      </c>
      <c r="C55" s="174">
        <f t="shared" si="19"/>
        <v>0</v>
      </c>
      <c r="D55" s="175">
        <f t="shared" si="43"/>
        <v>0</v>
      </c>
      <c r="E55" s="403">
        <v>0</v>
      </c>
      <c r="F55" s="403">
        <v>0</v>
      </c>
      <c r="G55" s="403">
        <v>0</v>
      </c>
      <c r="H55" s="403">
        <v>0</v>
      </c>
      <c r="I55" s="403">
        <v>0</v>
      </c>
      <c r="J55" s="176">
        <f t="shared" si="21"/>
        <v>0</v>
      </c>
      <c r="K55" s="179">
        <f t="shared" si="22"/>
        <v>0</v>
      </c>
      <c r="L55" s="403">
        <v>0</v>
      </c>
      <c r="M55" s="87">
        <f t="shared" si="23"/>
        <v>0</v>
      </c>
      <c r="N55" s="87">
        <f t="shared" si="24"/>
        <v>0</v>
      </c>
      <c r="O55" s="403">
        <v>0</v>
      </c>
      <c r="P55" s="86">
        <f t="shared" si="25"/>
        <v>0</v>
      </c>
      <c r="Q55" s="87">
        <f t="shared" si="26"/>
        <v>0</v>
      </c>
      <c r="R55" s="87">
        <f ca="1">IFERROR(__xludf.DUMMYFUNCTION("IMPORTRANGE(""https://docs.google.com/spreadsheets/d/1T1PQvRODqOBZk8BRht_U031fIS1beLA0Ub2CEytj2q0/edit?usp=sharing"",""ฉะเชิงเทรา!Q498"")"),0)</f>
        <v>0</v>
      </c>
      <c r="S55" s="87">
        <f ca="1">IFERROR(__xludf.DUMMYFUNCTION("IMPORTRANGE(""https://docs.google.com/spreadsheets/d/1T1PQvRODqOBZk8BRht_U031fIS1beLA0Ub2CEytj2q0/edit?usp=sharing"",""ฉะเชิงเทรา!R498"")"),0)</f>
        <v>0</v>
      </c>
      <c r="T55" s="87">
        <f ca="1">IFERROR(__xludf.DUMMYFUNCTION("IMPORTRANGE(""https://docs.google.com/spreadsheets/d/1T1PQvRODqOBZk8BRht_U031fIS1beLA0Ub2CEytj2q0/edit?usp=sharing"",""ฉะเชิงเทรา!S498"")"),0)</f>
        <v>0</v>
      </c>
      <c r="U55" s="87">
        <f t="shared" ca="1" si="28"/>
        <v>0</v>
      </c>
      <c r="V55" s="87">
        <f t="shared" ca="1" si="29"/>
        <v>0</v>
      </c>
      <c r="W55" s="353">
        <f ca="1">IFERROR(__xludf.DUMMYFUNCTION("IMPORTRANGE(""https://docs.google.com/spreadsheets/d/1T1PQvRODqOBZk8BRht_U031fIS1beLA0Ub2CEytj2q0/edit?usp=sharing"",""ฉะเชิงเทรา!I503"")"),0)</f>
        <v>0</v>
      </c>
      <c r="X55" s="177">
        <f ca="1">IFERROR(__xludf.DUMMYFUNCTION("IMPORTRANGE(""https://docs.google.com/spreadsheets/d/1T1PQvRODqOBZk8BRht_U031fIS1beLA0Ub2CEytj2q0/edit?usp=sharing"",""ฉะเชิงเทรา!J503"")"),0)</f>
        <v>0</v>
      </c>
      <c r="Y55" s="354">
        <f t="shared" ca="1" si="31"/>
        <v>0</v>
      </c>
      <c r="Z55" s="177">
        <f ca="1">IFERROR(__xludf.DUMMYFUNCTION("IMPORTRANGE(""https://docs.google.com/spreadsheets/d/1T1PQvRODqOBZk8BRht_U031fIS1beLA0Ub2CEytj2q0/edit?usp=sharing"",""ฉะเชิงเทรา!J504"")"),0)</f>
        <v>0</v>
      </c>
      <c r="AA55" s="177">
        <f ca="1">IFERROR(__xludf.DUMMYFUNCTION("IMPORTRANGE(""https://docs.google.com/spreadsheets/d/1T1PQvRODqOBZk8BRht_U031fIS1beLA0Ub2CEytj2q0/edit?usp=sharing"",""ฉะเชิงเทรา!J505"")"),0)</f>
        <v>0</v>
      </c>
      <c r="AB55" s="177">
        <f ca="1">IFERROR(__xludf.DUMMYFUNCTION("IMPORTRANGE(""https://docs.google.com/spreadsheets/d/1T1PQvRODqOBZk8BRht_U031fIS1beLA0Ub2CEytj2q0/edit?usp=sharing"",""ฉะเชิงเทรา!J506"")"),0)</f>
        <v>0</v>
      </c>
      <c r="AC55" s="177">
        <f ca="1">IFERROR(__xludf.DUMMYFUNCTION("IMPORTRANGE(""https://docs.google.com/spreadsheets/d/1T1PQvRODqOBZk8BRht_U031fIS1beLA0Ub2CEytj2q0/edit?usp=sharing"",""ฉะเชิงเทรา!J507"")"),0)</f>
        <v>0</v>
      </c>
      <c r="AD55" s="177">
        <f ca="1">IFERROR(__xludf.DUMMYFUNCTION("IMPORTRANGE(""https://docs.google.com/spreadsheets/d/1T1PQvRODqOBZk8BRht_U031fIS1beLA0Ub2CEytj2q0/edit?usp=sharing"",""ฉะเชิงเทรา!J508"")"),0)</f>
        <v>0</v>
      </c>
      <c r="AE55" s="177">
        <f ca="1">IFERROR(__xludf.DUMMYFUNCTION("IMPORTRANGE(""https://docs.google.com/spreadsheets/d/1T1PQvRODqOBZk8BRht_U031fIS1beLA0Ub2CEytj2q0/edit?usp=sharing"",""ฉะเชิงเทรา!J509"")"),0)</f>
        <v>0</v>
      </c>
    </row>
    <row r="56" spans="1:31" ht="21" customHeight="1" x14ac:dyDescent="0.3">
      <c r="A56" s="89">
        <v>4</v>
      </c>
      <c r="B56" s="90" t="s">
        <v>82</v>
      </c>
      <c r="C56" s="174">
        <f t="shared" si="19"/>
        <v>0</v>
      </c>
      <c r="D56" s="175">
        <f t="shared" si="43"/>
        <v>0</v>
      </c>
      <c r="E56" s="403">
        <v>0</v>
      </c>
      <c r="F56" s="403">
        <v>0</v>
      </c>
      <c r="G56" s="403">
        <v>0</v>
      </c>
      <c r="H56" s="403">
        <v>0</v>
      </c>
      <c r="I56" s="403">
        <v>0</v>
      </c>
      <c r="J56" s="176">
        <f t="shared" si="21"/>
        <v>0</v>
      </c>
      <c r="K56" s="179">
        <f t="shared" si="22"/>
        <v>0</v>
      </c>
      <c r="L56" s="403">
        <v>0</v>
      </c>
      <c r="M56" s="87">
        <f t="shared" si="23"/>
        <v>0</v>
      </c>
      <c r="N56" s="87">
        <f t="shared" si="24"/>
        <v>0</v>
      </c>
      <c r="O56" s="403">
        <v>0</v>
      </c>
      <c r="P56" s="86">
        <f t="shared" si="25"/>
        <v>0</v>
      </c>
      <c r="Q56" s="87">
        <f t="shared" si="26"/>
        <v>0</v>
      </c>
      <c r="R56" s="87">
        <f ca="1">IFERROR(__xludf.DUMMYFUNCTION("IMPORTRANGE(""https://docs.google.com/spreadsheets/d/11tr1B-Bhyr79v2bkwVh5h_fR-PStkgjlZtkrZpYurG0/edit?usp=sharing"",""ชลบุรี!Q498"")"),699850)</f>
        <v>699850</v>
      </c>
      <c r="S56" s="87">
        <f ca="1">IFERROR(__xludf.DUMMYFUNCTION("IMPORTRANGE(""https://docs.google.com/spreadsheets/d/11tr1B-Bhyr79v2bkwVh5h_fR-PStkgjlZtkrZpYurG0/edit?usp=sharing"",""ชลบุรี!R498"")"),0)</f>
        <v>0</v>
      </c>
      <c r="T56" s="87">
        <f ca="1">IFERROR(__xludf.DUMMYFUNCTION("IMPORTRANGE(""https://docs.google.com/spreadsheets/d/11tr1B-Bhyr79v2bkwVh5h_fR-PStkgjlZtkrZpYurG0/edit?usp=sharing"",""ชลบุรี!S498"")"),0)</f>
        <v>0</v>
      </c>
      <c r="U56" s="87">
        <f t="shared" ca="1" si="28"/>
        <v>0</v>
      </c>
      <c r="V56" s="87">
        <f t="shared" ca="1" si="29"/>
        <v>0</v>
      </c>
      <c r="W56" s="353">
        <f ca="1">IFERROR(__xludf.DUMMYFUNCTION("IMPORTRANGE(""https://docs.google.com/spreadsheets/d/11tr1B-Bhyr79v2bkwVh5h_fR-PStkgjlZtkrZpYurG0/edit?usp=sharing"",""ชลบุรี!I503"")"),50)</f>
        <v>50</v>
      </c>
      <c r="X56" s="177">
        <f ca="1">IFERROR(__xludf.DUMMYFUNCTION("IMPORTRANGE(""https://docs.google.com/spreadsheets/d/11tr1B-Bhyr79v2bkwVh5h_fR-PStkgjlZtkrZpYurG0/edit?usp=sharing"",""ชลบุรี!J503"")"),0)</f>
        <v>0</v>
      </c>
      <c r="Y56" s="354">
        <f t="shared" ca="1" si="31"/>
        <v>0</v>
      </c>
      <c r="Z56" s="177">
        <f ca="1">IFERROR(__xludf.DUMMYFUNCTION("IMPORTRANGE(""https://docs.google.com/spreadsheets/d/11tr1B-Bhyr79v2bkwVh5h_fR-PStkgjlZtkrZpYurG0/edit?usp=sharing"",""ชลบุรี!J504"")"),0)</f>
        <v>0</v>
      </c>
      <c r="AA56" s="177">
        <f ca="1">IFERROR(__xludf.DUMMYFUNCTION("IMPORTRANGE(""https://docs.google.com/spreadsheets/d/11tr1B-Bhyr79v2bkwVh5h_fR-PStkgjlZtkrZpYurG0/edit?usp=sharing"",""ชลบุรี!J505"")"),0)</f>
        <v>0</v>
      </c>
      <c r="AB56" s="177">
        <f ca="1">IFERROR(__xludf.DUMMYFUNCTION("IMPORTRANGE(""https://docs.google.com/spreadsheets/d/11tr1B-Bhyr79v2bkwVh5h_fR-PStkgjlZtkrZpYurG0/edit?usp=sharing"",""ชลบุรี!J506"")"),0)</f>
        <v>0</v>
      </c>
      <c r="AC56" s="177">
        <f ca="1">IFERROR(__xludf.DUMMYFUNCTION("IMPORTRANGE(""https://docs.google.com/spreadsheets/d/11tr1B-Bhyr79v2bkwVh5h_fR-PStkgjlZtkrZpYurG0/edit?usp=sharing"",""ชลบุรี!J507"")"),0)</f>
        <v>0</v>
      </c>
      <c r="AD56" s="177">
        <f ca="1">IFERROR(__xludf.DUMMYFUNCTION("IMPORTRANGE(""https://docs.google.com/spreadsheets/d/11tr1B-Bhyr79v2bkwVh5h_fR-PStkgjlZtkrZpYurG0/edit?usp=sharing"",""ชลบุรี!J508"")"),0)</f>
        <v>0</v>
      </c>
      <c r="AE56" s="177">
        <f ca="1">IFERROR(__xludf.DUMMYFUNCTION("IMPORTRANGE(""https://docs.google.com/spreadsheets/d/11tr1B-Bhyr79v2bkwVh5h_fR-PStkgjlZtkrZpYurG0/edit?usp=sharing"",""ชลบุรี!J509"")"),0)</f>
        <v>0</v>
      </c>
    </row>
    <row r="57" spans="1:31" ht="21" customHeight="1" x14ac:dyDescent="0.3">
      <c r="A57" s="89">
        <v>5</v>
      </c>
      <c r="B57" s="90" t="s">
        <v>83</v>
      </c>
      <c r="C57" s="174">
        <f t="shared" si="19"/>
        <v>0</v>
      </c>
      <c r="D57" s="175">
        <f t="shared" si="43"/>
        <v>0</v>
      </c>
      <c r="E57" s="403">
        <v>0</v>
      </c>
      <c r="F57" s="403">
        <v>0</v>
      </c>
      <c r="G57" s="403">
        <v>0</v>
      </c>
      <c r="H57" s="403">
        <v>0</v>
      </c>
      <c r="I57" s="403">
        <v>0</v>
      </c>
      <c r="J57" s="176">
        <f t="shared" si="21"/>
        <v>0</v>
      </c>
      <c r="K57" s="179">
        <f t="shared" si="22"/>
        <v>0</v>
      </c>
      <c r="L57" s="403">
        <v>0</v>
      </c>
      <c r="M57" s="87">
        <f t="shared" si="23"/>
        <v>0</v>
      </c>
      <c r="N57" s="87">
        <f t="shared" si="24"/>
        <v>0</v>
      </c>
      <c r="O57" s="403">
        <v>0</v>
      </c>
      <c r="P57" s="86">
        <f t="shared" si="25"/>
        <v>0</v>
      </c>
      <c r="Q57" s="87">
        <f t="shared" si="26"/>
        <v>0</v>
      </c>
      <c r="R57" s="87">
        <f ca="1">IFERROR(__xludf.DUMMYFUNCTION("IMPORTRANGE(""https://docs.google.com/spreadsheets/d/1hh-FVnSX0vozXhGluamEcS54Dw9_zqW0N7qJUWgJ0Sw/edit?usp=sharing"",""ชัยนาท!Q498"")"),0)</f>
        <v>0</v>
      </c>
      <c r="S57" s="87">
        <f ca="1">IFERROR(__xludf.DUMMYFUNCTION("IMPORTRANGE(""https://docs.google.com/spreadsheets/d/1hh-FVnSX0vozXhGluamEcS54Dw9_zqW0N7qJUWgJ0Sw/edit?usp=sharing"",""ชัยนาท!R498"")"),0)</f>
        <v>0</v>
      </c>
      <c r="T57" s="87">
        <f ca="1">IFERROR(__xludf.DUMMYFUNCTION("IMPORTRANGE(""https://docs.google.com/spreadsheets/d/1hh-FVnSX0vozXhGluamEcS54Dw9_zqW0N7qJUWgJ0Sw/edit?usp=sharing"",""ชัยนาท!S498"")"),0)</f>
        <v>0</v>
      </c>
      <c r="U57" s="87">
        <f t="shared" ca="1" si="28"/>
        <v>0</v>
      </c>
      <c r="V57" s="87">
        <f t="shared" ca="1" si="29"/>
        <v>0</v>
      </c>
      <c r="W57" s="353">
        <f ca="1">IFERROR(__xludf.DUMMYFUNCTION("IMPORTRANGE(""https://docs.google.com/spreadsheets/d/1hh-FVnSX0vozXhGluamEcS54Dw9_zqW0N7qJUWgJ0Sw/edit?usp=sharing"",""ชัยนาท!I503"")"),0)</f>
        <v>0</v>
      </c>
      <c r="X57" s="177">
        <f ca="1">IFERROR(__xludf.DUMMYFUNCTION("IMPORTRANGE(""https://docs.google.com/spreadsheets/d/1hh-FVnSX0vozXhGluamEcS54Dw9_zqW0N7qJUWgJ0Sw/edit?usp=sharing"",""ชัยนาท!J503"")"),0)</f>
        <v>0</v>
      </c>
      <c r="Y57" s="354">
        <f t="shared" ca="1" si="31"/>
        <v>0</v>
      </c>
      <c r="Z57" s="177">
        <f ca="1">IFERROR(__xludf.DUMMYFUNCTION("IMPORTRANGE(""https://docs.google.com/spreadsheets/d/1hh-FVnSX0vozXhGluamEcS54Dw9_zqW0N7qJUWgJ0Sw/edit?usp=sharing"",""ชัยนาท!J504"")"),0)</f>
        <v>0</v>
      </c>
      <c r="AA57" s="177">
        <f ca="1">IFERROR(__xludf.DUMMYFUNCTION("IMPORTRANGE(""https://docs.google.com/spreadsheets/d/1hh-FVnSX0vozXhGluamEcS54Dw9_zqW0N7qJUWgJ0Sw/edit?usp=sharing"",""ชัยนาท!J505"")"),0)</f>
        <v>0</v>
      </c>
      <c r="AB57" s="177">
        <f ca="1">IFERROR(__xludf.DUMMYFUNCTION("IMPORTRANGE(""https://docs.google.com/spreadsheets/d/1hh-FVnSX0vozXhGluamEcS54Dw9_zqW0N7qJUWgJ0Sw/edit?usp=sharing"",""ชัยนาท!J506"")"),0)</f>
        <v>0</v>
      </c>
      <c r="AC57" s="177">
        <f ca="1">IFERROR(__xludf.DUMMYFUNCTION("IMPORTRANGE(""https://docs.google.com/spreadsheets/d/1hh-FVnSX0vozXhGluamEcS54Dw9_zqW0N7qJUWgJ0Sw/edit?usp=sharing"",""ชัยนาท!J507"")"),0)</f>
        <v>0</v>
      </c>
      <c r="AD57" s="177">
        <f ca="1">IFERROR(__xludf.DUMMYFUNCTION("IMPORTRANGE(""https://docs.google.com/spreadsheets/d/1hh-FVnSX0vozXhGluamEcS54Dw9_zqW0N7qJUWgJ0Sw/edit?usp=sharing"",""ชัยนาท!J508"")"),0)</f>
        <v>0</v>
      </c>
      <c r="AE57" s="177">
        <f ca="1">IFERROR(__xludf.DUMMYFUNCTION("IMPORTRANGE(""https://docs.google.com/spreadsheets/d/1hh-FVnSX0vozXhGluamEcS54Dw9_zqW0N7qJUWgJ0Sw/edit?usp=sharing"",""ชัยนาท!J509"")"),0)</f>
        <v>0</v>
      </c>
    </row>
    <row r="58" spans="1:31" ht="21" customHeight="1" x14ac:dyDescent="0.3">
      <c r="A58" s="89">
        <v>6</v>
      </c>
      <c r="B58" s="90" t="s">
        <v>84</v>
      </c>
      <c r="C58" s="174">
        <f t="shared" si="19"/>
        <v>0</v>
      </c>
      <c r="D58" s="175">
        <f t="shared" si="43"/>
        <v>0</v>
      </c>
      <c r="E58" s="403">
        <v>0</v>
      </c>
      <c r="F58" s="403">
        <v>0</v>
      </c>
      <c r="G58" s="403">
        <v>0</v>
      </c>
      <c r="H58" s="403">
        <v>0</v>
      </c>
      <c r="I58" s="403">
        <v>0</v>
      </c>
      <c r="J58" s="176">
        <f t="shared" si="21"/>
        <v>0</v>
      </c>
      <c r="K58" s="179">
        <f t="shared" si="22"/>
        <v>0</v>
      </c>
      <c r="L58" s="403">
        <v>0</v>
      </c>
      <c r="M58" s="87">
        <f t="shared" si="23"/>
        <v>0</v>
      </c>
      <c r="N58" s="87">
        <f t="shared" si="24"/>
        <v>0</v>
      </c>
      <c r="O58" s="403">
        <v>0</v>
      </c>
      <c r="P58" s="86">
        <f t="shared" si="25"/>
        <v>0</v>
      </c>
      <c r="Q58" s="87">
        <f t="shared" si="26"/>
        <v>0</v>
      </c>
      <c r="R58" s="87">
        <f ca="1">IFERROR(__xludf.DUMMYFUNCTION("IMPORTRANGE(""https://docs.google.com/spreadsheets/d/1jkqa6GXxSacMcY1eN8AHjMNJ_7dDXMJVRLDlaFSOdPM/edit?usp=sharing"",""ตราด!Q498"")"),0)</f>
        <v>0</v>
      </c>
      <c r="S58" s="87">
        <f ca="1">IFERROR(__xludf.DUMMYFUNCTION("IMPORTRANGE(""https://docs.google.com/spreadsheets/d/1jkqa6GXxSacMcY1eN8AHjMNJ_7dDXMJVRLDlaFSOdPM/edit?usp=sharing"",""ตราด!R498"")"),0)</f>
        <v>0</v>
      </c>
      <c r="T58" s="87">
        <f ca="1">IFERROR(__xludf.DUMMYFUNCTION("IMPORTRANGE(""https://docs.google.com/spreadsheets/d/1jkqa6GXxSacMcY1eN8AHjMNJ_7dDXMJVRLDlaFSOdPM/edit?usp=sharing"",""ตราด!S498"")"),0)</f>
        <v>0</v>
      </c>
      <c r="U58" s="87">
        <f t="shared" ca="1" si="28"/>
        <v>0</v>
      </c>
      <c r="V58" s="87">
        <f t="shared" ca="1" si="29"/>
        <v>0</v>
      </c>
      <c r="W58" s="353">
        <f ca="1">IFERROR(__xludf.DUMMYFUNCTION("IMPORTRANGE(""https://docs.google.com/spreadsheets/d/1jkqa6GXxSacMcY1eN8AHjMNJ_7dDXMJVRLDlaFSOdPM/edit?usp=sharing"",""ตราด!I503"")"),0)</f>
        <v>0</v>
      </c>
      <c r="X58" s="177">
        <f ca="1">IFERROR(__xludf.DUMMYFUNCTION("IMPORTRANGE(""https://docs.google.com/spreadsheets/d/1jkqa6GXxSacMcY1eN8AHjMNJ_7dDXMJVRLDlaFSOdPM/edit?usp=sharing"",""ตราด!J503"")"),0)</f>
        <v>0</v>
      </c>
      <c r="Y58" s="354">
        <f t="shared" ca="1" si="31"/>
        <v>0</v>
      </c>
      <c r="Z58" s="177">
        <f ca="1">IFERROR(__xludf.DUMMYFUNCTION("IMPORTRANGE(""https://docs.google.com/spreadsheets/d/1jkqa6GXxSacMcY1eN8AHjMNJ_7dDXMJVRLDlaFSOdPM/edit?usp=sharing"",""ตราด!J504"")"),0)</f>
        <v>0</v>
      </c>
      <c r="AA58" s="177">
        <f ca="1">IFERROR(__xludf.DUMMYFUNCTION("IMPORTRANGE(""https://docs.google.com/spreadsheets/d/1jkqa6GXxSacMcY1eN8AHjMNJ_7dDXMJVRLDlaFSOdPM/edit?usp=sharing"",""ตราด!J505"")"),0)</f>
        <v>0</v>
      </c>
      <c r="AB58" s="177">
        <f ca="1">IFERROR(__xludf.DUMMYFUNCTION("IMPORTRANGE(""https://docs.google.com/spreadsheets/d/1jkqa6GXxSacMcY1eN8AHjMNJ_7dDXMJVRLDlaFSOdPM/edit?usp=sharing"",""ตราด!J506"")"),0)</f>
        <v>0</v>
      </c>
      <c r="AC58" s="177">
        <f ca="1">IFERROR(__xludf.DUMMYFUNCTION("IMPORTRANGE(""https://docs.google.com/spreadsheets/d/1jkqa6GXxSacMcY1eN8AHjMNJ_7dDXMJVRLDlaFSOdPM/edit?usp=sharing"",""ตราด!J507"")"),0)</f>
        <v>0</v>
      </c>
      <c r="AD58" s="177">
        <f ca="1">IFERROR(__xludf.DUMMYFUNCTION("IMPORTRANGE(""https://docs.google.com/spreadsheets/d/1jkqa6GXxSacMcY1eN8AHjMNJ_7dDXMJVRLDlaFSOdPM/edit?usp=sharing"",""ตราด!J508"")"),0)</f>
        <v>0</v>
      </c>
      <c r="AE58" s="177">
        <f ca="1">IFERROR(__xludf.DUMMYFUNCTION("IMPORTRANGE(""https://docs.google.com/spreadsheets/d/1jkqa6GXxSacMcY1eN8AHjMNJ_7dDXMJVRLDlaFSOdPM/edit?usp=sharing"",""ตราด!J509"")"),0)</f>
        <v>0</v>
      </c>
    </row>
    <row r="59" spans="1:31" ht="21" customHeight="1" x14ac:dyDescent="0.3">
      <c r="A59" s="89">
        <v>7</v>
      </c>
      <c r="B59" s="90" t="s">
        <v>85</v>
      </c>
      <c r="C59" s="174">
        <f t="shared" si="19"/>
        <v>0</v>
      </c>
      <c r="D59" s="175">
        <f t="shared" si="43"/>
        <v>0</v>
      </c>
      <c r="E59" s="403">
        <v>0</v>
      </c>
      <c r="F59" s="403">
        <v>0</v>
      </c>
      <c r="G59" s="403">
        <v>0</v>
      </c>
      <c r="H59" s="403">
        <v>0</v>
      </c>
      <c r="I59" s="403">
        <v>0</v>
      </c>
      <c r="J59" s="176">
        <f t="shared" si="21"/>
        <v>0</v>
      </c>
      <c r="K59" s="179">
        <f t="shared" si="22"/>
        <v>0</v>
      </c>
      <c r="L59" s="403">
        <v>0</v>
      </c>
      <c r="M59" s="87">
        <f t="shared" si="23"/>
        <v>0</v>
      </c>
      <c r="N59" s="87">
        <f t="shared" si="24"/>
        <v>0</v>
      </c>
      <c r="O59" s="403">
        <v>0</v>
      </c>
      <c r="P59" s="86">
        <f t="shared" si="25"/>
        <v>0</v>
      </c>
      <c r="Q59" s="87">
        <f t="shared" si="26"/>
        <v>0</v>
      </c>
      <c r="R59" s="87">
        <f ca="1">IFERROR(__xludf.DUMMYFUNCTION("IMPORTRANGE(""https://docs.google.com/spreadsheets/d/18hSgUJ3VwClqi_qtULmmW3cLr0oe3OKaSYoKzdpTsYQ/edit?usp=sharing"",""นครนายก!Q498"")"),0)</f>
        <v>0</v>
      </c>
      <c r="S59" s="87">
        <f ca="1">IFERROR(__xludf.DUMMYFUNCTION("IMPORTRANGE(""https://docs.google.com/spreadsheets/d/18hSgUJ3VwClqi_qtULmmW3cLr0oe3OKaSYoKzdpTsYQ/edit?usp=sharing"",""นครนายก!R498"")"),0)</f>
        <v>0</v>
      </c>
      <c r="T59" s="87">
        <f ca="1">IFERROR(__xludf.DUMMYFUNCTION("IMPORTRANGE(""https://docs.google.com/spreadsheets/d/18hSgUJ3VwClqi_qtULmmW3cLr0oe3OKaSYoKzdpTsYQ/edit?usp=sharing"",""นครนายก!S498"")"),0)</f>
        <v>0</v>
      </c>
      <c r="U59" s="87">
        <f t="shared" ca="1" si="28"/>
        <v>0</v>
      </c>
      <c r="V59" s="87">
        <f t="shared" ca="1" si="29"/>
        <v>0</v>
      </c>
      <c r="W59" s="353">
        <f ca="1">IFERROR(__xludf.DUMMYFUNCTION("IMPORTRANGE(""https://docs.google.com/spreadsheets/d/18hSgUJ3VwClqi_qtULmmW3cLr0oe3OKaSYoKzdpTsYQ/edit?usp=sharing"",""นครนายก!I503"")"),0)</f>
        <v>0</v>
      </c>
      <c r="X59" s="177">
        <f ca="1">IFERROR(__xludf.DUMMYFUNCTION("IMPORTRANGE(""https://docs.google.com/spreadsheets/d/18hSgUJ3VwClqi_qtULmmW3cLr0oe3OKaSYoKzdpTsYQ/edit?usp=sharing"",""นครนายก!J503"")"),0)</f>
        <v>0</v>
      </c>
      <c r="Y59" s="354">
        <f t="shared" ca="1" si="31"/>
        <v>0</v>
      </c>
      <c r="Z59" s="177">
        <f ca="1">IFERROR(__xludf.DUMMYFUNCTION("IMPORTRANGE(""https://docs.google.com/spreadsheets/d/18hSgUJ3VwClqi_qtULmmW3cLr0oe3OKaSYoKzdpTsYQ/edit?usp=sharing"",""นครนายก!J504"")"),0)</f>
        <v>0</v>
      </c>
      <c r="AA59" s="177">
        <f ca="1">IFERROR(__xludf.DUMMYFUNCTION("IMPORTRANGE(""https://docs.google.com/spreadsheets/d/18hSgUJ3VwClqi_qtULmmW3cLr0oe3OKaSYoKzdpTsYQ/edit?usp=sharing"",""นครนายก!J505"")"),0)</f>
        <v>0</v>
      </c>
      <c r="AB59" s="177">
        <f ca="1">IFERROR(__xludf.DUMMYFUNCTION("IMPORTRANGE(""https://docs.google.com/spreadsheets/d/18hSgUJ3VwClqi_qtULmmW3cLr0oe3OKaSYoKzdpTsYQ/edit?usp=sharing"",""นครนายก!J506"")"),0)</f>
        <v>0</v>
      </c>
      <c r="AC59" s="177">
        <f ca="1">IFERROR(__xludf.DUMMYFUNCTION("IMPORTRANGE(""https://docs.google.com/spreadsheets/d/18hSgUJ3VwClqi_qtULmmW3cLr0oe3OKaSYoKzdpTsYQ/edit?usp=sharing"",""นครนายก!J507"")"),0)</f>
        <v>0</v>
      </c>
      <c r="AD59" s="177">
        <f ca="1">IFERROR(__xludf.DUMMYFUNCTION("IMPORTRANGE(""https://docs.google.com/spreadsheets/d/18hSgUJ3VwClqi_qtULmmW3cLr0oe3OKaSYoKzdpTsYQ/edit?usp=sharing"",""นครนายก!J508"")"),0)</f>
        <v>0</v>
      </c>
      <c r="AE59" s="177">
        <f ca="1">IFERROR(__xludf.DUMMYFUNCTION("IMPORTRANGE(""https://docs.google.com/spreadsheets/d/18hSgUJ3VwClqi_qtULmmW3cLr0oe3OKaSYoKzdpTsYQ/edit?usp=sharing"",""นครนายก!J509"")"),0)</f>
        <v>0</v>
      </c>
    </row>
    <row r="60" spans="1:31" ht="21" customHeight="1" x14ac:dyDescent="0.3">
      <c r="A60" s="89">
        <v>8</v>
      </c>
      <c r="B60" s="90" t="s">
        <v>86</v>
      </c>
      <c r="C60" s="174">
        <f t="shared" si="19"/>
        <v>0</v>
      </c>
      <c r="D60" s="175">
        <f t="shared" si="43"/>
        <v>0</v>
      </c>
      <c r="E60" s="403">
        <v>0</v>
      </c>
      <c r="F60" s="403">
        <v>0</v>
      </c>
      <c r="G60" s="403">
        <v>0</v>
      </c>
      <c r="H60" s="403">
        <v>0</v>
      </c>
      <c r="I60" s="403">
        <v>0</v>
      </c>
      <c r="J60" s="176">
        <f t="shared" si="21"/>
        <v>0</v>
      </c>
      <c r="K60" s="179">
        <f t="shared" si="22"/>
        <v>0</v>
      </c>
      <c r="L60" s="403">
        <v>0</v>
      </c>
      <c r="M60" s="87">
        <f t="shared" si="23"/>
        <v>0</v>
      </c>
      <c r="N60" s="87">
        <f t="shared" si="24"/>
        <v>0</v>
      </c>
      <c r="O60" s="403">
        <v>0</v>
      </c>
      <c r="P60" s="86">
        <f t="shared" si="25"/>
        <v>0</v>
      </c>
      <c r="Q60" s="87">
        <f t="shared" si="26"/>
        <v>0</v>
      </c>
      <c r="R60" s="87">
        <f ca="1">IFERROR(__xludf.DUMMYFUNCTION("IMPORTRANGE(""https://docs.google.com/spreadsheets/d/1YTZo6WM2dQ6Ix6FSdnL5P7uVnVKu40sxZu975tgG10E/edit?usp=sharing"",""นครปฐม!Q498"")"),0)</f>
        <v>0</v>
      </c>
      <c r="S60" s="87">
        <f ca="1">IFERROR(__xludf.DUMMYFUNCTION("IMPORTRANGE(""https://docs.google.com/spreadsheets/d/1YTZo6WM2dQ6Ix6FSdnL5P7uVnVKu40sxZu975tgG10E/edit?usp=sharing"",""นครปฐม!R498"")"),0)</f>
        <v>0</v>
      </c>
      <c r="T60" s="87">
        <f ca="1">IFERROR(__xludf.DUMMYFUNCTION("IMPORTRANGE(""https://docs.google.com/spreadsheets/d/1YTZo6WM2dQ6Ix6FSdnL5P7uVnVKu40sxZu975tgG10E/edit?usp=sharing"",""นครปฐม!S498"")"),0)</f>
        <v>0</v>
      </c>
      <c r="U60" s="87">
        <f t="shared" ca="1" si="28"/>
        <v>0</v>
      </c>
      <c r="V60" s="87">
        <f t="shared" ca="1" si="29"/>
        <v>0</v>
      </c>
      <c r="W60" s="353">
        <f ca="1">IFERROR(__xludf.DUMMYFUNCTION("IMPORTRANGE(""https://docs.google.com/spreadsheets/d/1YTZo6WM2dQ6Ix6FSdnL5P7uVnVKu40sxZu975tgG10E/edit?usp=sharing"",""นครปฐม!I503"")"),0)</f>
        <v>0</v>
      </c>
      <c r="X60" s="177">
        <f ca="1">IFERROR(__xludf.DUMMYFUNCTION("IMPORTRANGE(""https://docs.google.com/spreadsheets/d/1YTZo6WM2dQ6Ix6FSdnL5P7uVnVKu40sxZu975tgG10E/edit?usp=sharing"",""นครปฐม!J503"")"),0)</f>
        <v>0</v>
      </c>
      <c r="Y60" s="354">
        <f t="shared" ca="1" si="31"/>
        <v>0</v>
      </c>
      <c r="Z60" s="177">
        <f ca="1">IFERROR(__xludf.DUMMYFUNCTION("IMPORTRANGE(""https://docs.google.com/spreadsheets/d/1YTZo6WM2dQ6Ix6FSdnL5P7uVnVKu40sxZu975tgG10E/edit?usp=sharing"",""นครปฐม!J504"")"),0)</f>
        <v>0</v>
      </c>
      <c r="AA60" s="177">
        <f ca="1">IFERROR(__xludf.DUMMYFUNCTION("IMPORTRANGE(""https://docs.google.com/spreadsheets/d/1YTZo6WM2dQ6Ix6FSdnL5P7uVnVKu40sxZu975tgG10E/edit?usp=sharing"",""นครปฐม!J505"")"),0)</f>
        <v>0</v>
      </c>
      <c r="AB60" s="177">
        <f ca="1">IFERROR(__xludf.DUMMYFUNCTION("IMPORTRANGE(""https://docs.google.com/spreadsheets/d/1YTZo6WM2dQ6Ix6FSdnL5P7uVnVKu40sxZu975tgG10E/edit?usp=sharing"",""นครปฐม!J506"")"),0)</f>
        <v>0</v>
      </c>
      <c r="AC60" s="177">
        <f ca="1">IFERROR(__xludf.DUMMYFUNCTION("IMPORTRANGE(""https://docs.google.com/spreadsheets/d/1YTZo6WM2dQ6Ix6FSdnL5P7uVnVKu40sxZu975tgG10E/edit?usp=sharing"",""นครปฐม!J507"")"),0)</f>
        <v>0</v>
      </c>
      <c r="AD60" s="177">
        <f ca="1">IFERROR(__xludf.DUMMYFUNCTION("IMPORTRANGE(""https://docs.google.com/spreadsheets/d/1YTZo6WM2dQ6Ix6FSdnL5P7uVnVKu40sxZu975tgG10E/edit?usp=sharing"",""นครปฐม!J508"")"),0)</f>
        <v>0</v>
      </c>
      <c r="AE60" s="177">
        <f ca="1">IFERROR(__xludf.DUMMYFUNCTION("IMPORTRANGE(""https://docs.google.com/spreadsheets/d/1YTZo6WM2dQ6Ix6FSdnL5P7uVnVKu40sxZu975tgG10E/edit?usp=sharing"",""นครปฐม!J509"")"),0)</f>
        <v>0</v>
      </c>
    </row>
    <row r="61" spans="1:31" ht="21" customHeight="1" x14ac:dyDescent="0.3">
      <c r="A61" s="89">
        <v>9</v>
      </c>
      <c r="B61" s="90" t="s">
        <v>87</v>
      </c>
      <c r="C61" s="174">
        <f t="shared" si="19"/>
        <v>0</v>
      </c>
      <c r="D61" s="175">
        <f t="shared" si="43"/>
        <v>0</v>
      </c>
      <c r="E61" s="403">
        <v>0</v>
      </c>
      <c r="F61" s="403">
        <v>0</v>
      </c>
      <c r="G61" s="403">
        <v>0</v>
      </c>
      <c r="H61" s="403">
        <v>0</v>
      </c>
      <c r="I61" s="403">
        <v>0</v>
      </c>
      <c r="J61" s="176">
        <f t="shared" si="21"/>
        <v>0</v>
      </c>
      <c r="K61" s="179">
        <f t="shared" si="22"/>
        <v>0</v>
      </c>
      <c r="L61" s="403">
        <v>0</v>
      </c>
      <c r="M61" s="87">
        <f t="shared" si="23"/>
        <v>0</v>
      </c>
      <c r="N61" s="87">
        <f t="shared" si="24"/>
        <v>0</v>
      </c>
      <c r="O61" s="403">
        <v>0</v>
      </c>
      <c r="P61" s="86">
        <f t="shared" si="25"/>
        <v>0</v>
      </c>
      <c r="Q61" s="87">
        <f t="shared" si="26"/>
        <v>0</v>
      </c>
      <c r="R61" s="87">
        <f ca="1">IFERROR(__xludf.DUMMYFUNCTION("IMPORTRANGE(""https://docs.google.com/spreadsheets/d/1OYoGg4WDg5RIzwGeB10padOxJF9E_Vljuvvct_M7RDo/edit?usp=sharing"",""ปทุมธานี!Q498"")"),0)</f>
        <v>0</v>
      </c>
      <c r="S61" s="87">
        <f ca="1">IFERROR(__xludf.DUMMYFUNCTION("IMPORTRANGE(""https://docs.google.com/spreadsheets/d/1OYoGg4WDg5RIzwGeB10padOxJF9E_Vljuvvct_M7RDo/edit?usp=sharing"",""ปทุมธานี!R498"")"),0)</f>
        <v>0</v>
      </c>
      <c r="T61" s="87">
        <f ca="1">IFERROR(__xludf.DUMMYFUNCTION("IMPORTRANGE(""https://docs.google.com/spreadsheets/d/1OYoGg4WDg5RIzwGeB10padOxJF9E_Vljuvvct_M7RDo/edit?usp=sharing"",""ปทุมธานี!S498"")"),0)</f>
        <v>0</v>
      </c>
      <c r="U61" s="87">
        <f t="shared" ca="1" si="28"/>
        <v>0</v>
      </c>
      <c r="V61" s="87">
        <f t="shared" ca="1" si="29"/>
        <v>0</v>
      </c>
      <c r="W61" s="353">
        <f ca="1">IFERROR(__xludf.DUMMYFUNCTION("IMPORTRANGE(""https://docs.google.com/spreadsheets/d/1OYoGg4WDg5RIzwGeB10padOxJF9E_Vljuvvct_M7RDo/edit?usp=sharing"",""ปทุมธานี!I503"")"),0)</f>
        <v>0</v>
      </c>
      <c r="X61" s="177">
        <f ca="1">IFERROR(__xludf.DUMMYFUNCTION("IMPORTRANGE(""https://docs.google.com/spreadsheets/d/1OYoGg4WDg5RIzwGeB10padOxJF9E_Vljuvvct_M7RDo/edit?usp=sharing"",""ปทุมธานี!J503"")"),0)</f>
        <v>0</v>
      </c>
      <c r="Y61" s="354">
        <f t="shared" ca="1" si="31"/>
        <v>0</v>
      </c>
      <c r="Z61" s="177">
        <f ca="1">IFERROR(__xludf.DUMMYFUNCTION("IMPORTRANGE(""https://docs.google.com/spreadsheets/d/1OYoGg4WDg5RIzwGeB10padOxJF9E_Vljuvvct_M7RDo/edit?usp=sharing"",""ปทุมธานี!J504"")"),0)</f>
        <v>0</v>
      </c>
      <c r="AA61" s="177">
        <f ca="1">IFERROR(__xludf.DUMMYFUNCTION("IMPORTRANGE(""https://docs.google.com/spreadsheets/d/1OYoGg4WDg5RIzwGeB10padOxJF9E_Vljuvvct_M7RDo/edit?usp=sharing"",""ปทุมธานี!J505"")"),0)</f>
        <v>0</v>
      </c>
      <c r="AB61" s="177">
        <f ca="1">IFERROR(__xludf.DUMMYFUNCTION("IMPORTRANGE(""https://docs.google.com/spreadsheets/d/1OYoGg4WDg5RIzwGeB10padOxJF9E_Vljuvvct_M7RDo/edit?usp=sharing"",""ปทุมธานี!J506"")"),0)</f>
        <v>0</v>
      </c>
      <c r="AC61" s="177">
        <f ca="1">IFERROR(__xludf.DUMMYFUNCTION("IMPORTRANGE(""https://docs.google.com/spreadsheets/d/1OYoGg4WDg5RIzwGeB10padOxJF9E_Vljuvvct_M7RDo/edit?usp=sharing"",""ปทุมธานี!J507"")"),0)</f>
        <v>0</v>
      </c>
      <c r="AD61" s="177">
        <f ca="1">IFERROR(__xludf.DUMMYFUNCTION("IMPORTRANGE(""https://docs.google.com/spreadsheets/d/1OYoGg4WDg5RIzwGeB10padOxJF9E_Vljuvvct_M7RDo/edit?usp=sharing"",""ปทุมธานี!J508"")"),0)</f>
        <v>0</v>
      </c>
      <c r="AE61" s="177">
        <f ca="1">IFERROR(__xludf.DUMMYFUNCTION("IMPORTRANGE(""https://docs.google.com/spreadsheets/d/1OYoGg4WDg5RIzwGeB10padOxJF9E_Vljuvvct_M7RDo/edit?usp=sharing"",""ปทุมธานี!J509"")"),0)</f>
        <v>0</v>
      </c>
    </row>
    <row r="62" spans="1:31" ht="21" customHeight="1" x14ac:dyDescent="0.3">
      <c r="A62" s="89">
        <v>10</v>
      </c>
      <c r="B62" s="90" t="s">
        <v>88</v>
      </c>
      <c r="C62" s="174">
        <f t="shared" si="19"/>
        <v>0</v>
      </c>
      <c r="D62" s="175">
        <f t="shared" si="43"/>
        <v>0</v>
      </c>
      <c r="E62" s="403">
        <v>0</v>
      </c>
      <c r="F62" s="403">
        <v>0</v>
      </c>
      <c r="G62" s="403">
        <v>0</v>
      </c>
      <c r="H62" s="403">
        <v>0</v>
      </c>
      <c r="I62" s="403">
        <v>0</v>
      </c>
      <c r="J62" s="176">
        <f t="shared" si="21"/>
        <v>0</v>
      </c>
      <c r="K62" s="179">
        <f t="shared" si="22"/>
        <v>0</v>
      </c>
      <c r="L62" s="403">
        <v>0</v>
      </c>
      <c r="M62" s="87">
        <f t="shared" si="23"/>
        <v>0</v>
      </c>
      <c r="N62" s="87">
        <f t="shared" si="24"/>
        <v>0</v>
      </c>
      <c r="O62" s="403">
        <v>0</v>
      </c>
      <c r="P62" s="86">
        <f t="shared" si="25"/>
        <v>0</v>
      </c>
      <c r="Q62" s="87">
        <f t="shared" si="26"/>
        <v>0</v>
      </c>
      <c r="R62" s="87">
        <f ca="1">IFERROR(__xludf.DUMMYFUNCTION("IMPORTRANGE(""https://docs.google.com/spreadsheets/d/1GbCIE4D4wk9FUozzqk7SxfDMxDVBwVmI5zcaVUSzKAc/edit?usp=sharing"",""ประจวบคีรีขันธ์!Q498"")"),0)</f>
        <v>0</v>
      </c>
      <c r="S62" s="87">
        <f ca="1">IFERROR(__xludf.DUMMYFUNCTION("IMPORTRANGE(""https://docs.google.com/spreadsheets/d/1GbCIE4D4wk9FUozzqk7SxfDMxDVBwVmI5zcaVUSzKAc/edit?usp=sharing"",""ประจวบคีรีขันธ์!R498"")"),0)</f>
        <v>0</v>
      </c>
      <c r="T62" s="87">
        <f ca="1">IFERROR(__xludf.DUMMYFUNCTION("IMPORTRANGE(""https://docs.google.com/spreadsheets/d/1GbCIE4D4wk9FUozzqk7SxfDMxDVBwVmI5zcaVUSzKAc/edit?usp=sharing"",""ประจวบคีรีขันธ์!S498"")"),0)</f>
        <v>0</v>
      </c>
      <c r="U62" s="87">
        <f t="shared" ca="1" si="28"/>
        <v>0</v>
      </c>
      <c r="V62" s="87">
        <f t="shared" ca="1" si="29"/>
        <v>0</v>
      </c>
      <c r="W62" s="353">
        <f ca="1">IFERROR(__xludf.DUMMYFUNCTION("IMPORTRANGE(""https://docs.google.com/spreadsheets/d/1GbCIE4D4wk9FUozzqk7SxfDMxDVBwVmI5zcaVUSzKAc/edit?usp=sharing"",""ประจวบคีรีขันธ์!I503"")"),0)</f>
        <v>0</v>
      </c>
      <c r="X62" s="177">
        <f ca="1">IFERROR(__xludf.DUMMYFUNCTION("IMPORTRANGE(""https://docs.google.com/spreadsheets/d/1GbCIE4D4wk9FUozzqk7SxfDMxDVBwVmI5zcaVUSzKAc/edit?usp=sharing"",""ประจวบคีรีขันธ์!J503"")"),0)</f>
        <v>0</v>
      </c>
      <c r="Y62" s="354">
        <f t="shared" ca="1" si="31"/>
        <v>0</v>
      </c>
      <c r="Z62" s="177">
        <f ca="1">IFERROR(__xludf.DUMMYFUNCTION("IMPORTRANGE(""https://docs.google.com/spreadsheets/d/1GbCIE4D4wk9FUozzqk7SxfDMxDVBwVmI5zcaVUSzKAc/edit?usp=sharing"",""ประจวบคีรีขันธ์!J504"")"),0)</f>
        <v>0</v>
      </c>
      <c r="AA62" s="177">
        <f ca="1">IFERROR(__xludf.DUMMYFUNCTION("IMPORTRANGE(""https://docs.google.com/spreadsheets/d/1GbCIE4D4wk9FUozzqk7SxfDMxDVBwVmI5zcaVUSzKAc/edit?usp=sharing"",""ประจวบคีรีขันธ์!J505"")"),0)</f>
        <v>0</v>
      </c>
      <c r="AB62" s="177">
        <f ca="1">IFERROR(__xludf.DUMMYFUNCTION("IMPORTRANGE(""https://docs.google.com/spreadsheets/d/1GbCIE4D4wk9FUozzqk7SxfDMxDVBwVmI5zcaVUSzKAc/edit?usp=sharing"",""ประจวบคีรีขันธ์!J506"")"),0)</f>
        <v>0</v>
      </c>
      <c r="AC62" s="177">
        <f ca="1">IFERROR(__xludf.DUMMYFUNCTION("IMPORTRANGE(""https://docs.google.com/spreadsheets/d/1GbCIE4D4wk9FUozzqk7SxfDMxDVBwVmI5zcaVUSzKAc/edit?usp=sharing"",""ประจวบคีรีขันธ์!J507"")"),0)</f>
        <v>0</v>
      </c>
      <c r="AD62" s="177">
        <f ca="1">IFERROR(__xludf.DUMMYFUNCTION("IMPORTRANGE(""https://docs.google.com/spreadsheets/d/1GbCIE4D4wk9FUozzqk7SxfDMxDVBwVmI5zcaVUSzKAc/edit?usp=sharing"",""ประจวบคีรีขันธ์!J508"")"),0)</f>
        <v>0</v>
      </c>
      <c r="AE62" s="177">
        <f ca="1">IFERROR(__xludf.DUMMYFUNCTION("IMPORTRANGE(""https://docs.google.com/spreadsheets/d/1GbCIE4D4wk9FUozzqk7SxfDMxDVBwVmI5zcaVUSzKAc/edit?usp=sharing"",""ประจวบคีรีขันธ์!J509"")"),0)</f>
        <v>0</v>
      </c>
    </row>
    <row r="63" spans="1:31" ht="21" customHeight="1" x14ac:dyDescent="0.3">
      <c r="A63" s="89">
        <v>11</v>
      </c>
      <c r="B63" s="90" t="s">
        <v>89</v>
      </c>
      <c r="C63" s="174">
        <f t="shared" si="19"/>
        <v>0</v>
      </c>
      <c r="D63" s="175">
        <f t="shared" si="43"/>
        <v>0</v>
      </c>
      <c r="E63" s="403">
        <v>0</v>
      </c>
      <c r="F63" s="403">
        <v>0</v>
      </c>
      <c r="G63" s="403">
        <v>0</v>
      </c>
      <c r="H63" s="403">
        <v>0</v>
      </c>
      <c r="I63" s="403">
        <v>0</v>
      </c>
      <c r="J63" s="176">
        <f t="shared" si="21"/>
        <v>0</v>
      </c>
      <c r="K63" s="179">
        <f t="shared" si="22"/>
        <v>0</v>
      </c>
      <c r="L63" s="403">
        <v>0</v>
      </c>
      <c r="M63" s="87">
        <f t="shared" si="23"/>
        <v>0</v>
      </c>
      <c r="N63" s="87">
        <f t="shared" si="24"/>
        <v>0</v>
      </c>
      <c r="O63" s="403">
        <v>0</v>
      </c>
      <c r="P63" s="86">
        <f t="shared" si="25"/>
        <v>0</v>
      </c>
      <c r="Q63" s="87">
        <f t="shared" si="26"/>
        <v>0</v>
      </c>
      <c r="R63" s="87">
        <f ca="1">IFERROR(__xludf.DUMMYFUNCTION("IMPORTRANGE(""https://docs.google.com/spreadsheets/d/1vVf6wykvW_lAyu7Yo9L4hUTqHqIeP_qcVuxCtosJEbg/edit?usp=sharing"",""ปราจีนบุรี!Q498"")"),0)</f>
        <v>0</v>
      </c>
      <c r="S63" s="87">
        <f ca="1">IFERROR(__xludf.DUMMYFUNCTION("IMPORTRANGE(""https://docs.google.com/spreadsheets/d/1vVf6wykvW_lAyu7Yo9L4hUTqHqIeP_qcVuxCtosJEbg/edit?usp=sharing"",""ปราจีนบุรี!R498"")"),0)</f>
        <v>0</v>
      </c>
      <c r="T63" s="87">
        <f ca="1">IFERROR(__xludf.DUMMYFUNCTION("IMPORTRANGE(""https://docs.google.com/spreadsheets/d/1vVf6wykvW_lAyu7Yo9L4hUTqHqIeP_qcVuxCtosJEbg/edit?usp=sharing"",""ปราจีนบุรี!S498"")"),0)</f>
        <v>0</v>
      </c>
      <c r="U63" s="87">
        <f t="shared" ca="1" si="28"/>
        <v>0</v>
      </c>
      <c r="V63" s="87">
        <f t="shared" ca="1" si="29"/>
        <v>0</v>
      </c>
      <c r="W63" s="353">
        <f ca="1">IFERROR(__xludf.DUMMYFUNCTION("IMPORTRANGE(""https://docs.google.com/spreadsheets/d/1vVf6wykvW_lAyu7Yo9L4hUTqHqIeP_qcVuxCtosJEbg/edit?usp=sharing"",""ปราจีนบุรี!I503"")"),0)</f>
        <v>0</v>
      </c>
      <c r="X63" s="177">
        <f ca="1">IFERROR(__xludf.DUMMYFUNCTION("IMPORTRANGE(""https://docs.google.com/spreadsheets/d/1vVf6wykvW_lAyu7Yo9L4hUTqHqIeP_qcVuxCtosJEbg/edit?usp=sharing"",""ปราจีนบุรี!J503"")"),0)</f>
        <v>0</v>
      </c>
      <c r="Y63" s="354">
        <f t="shared" ca="1" si="31"/>
        <v>0</v>
      </c>
      <c r="Z63" s="177">
        <f ca="1">IFERROR(__xludf.DUMMYFUNCTION("IMPORTRANGE(""https://docs.google.com/spreadsheets/d/1vVf6wykvW_lAyu7Yo9L4hUTqHqIeP_qcVuxCtosJEbg/edit?usp=sharing"",""ปราจีนบุรี!J504"")"),0)</f>
        <v>0</v>
      </c>
      <c r="AA63" s="177">
        <f ca="1">IFERROR(__xludf.DUMMYFUNCTION("IMPORTRANGE(""https://docs.google.com/spreadsheets/d/1vVf6wykvW_lAyu7Yo9L4hUTqHqIeP_qcVuxCtosJEbg/edit?usp=sharing"",""ปราจีนบุรี!J505"")"),0)</f>
        <v>0</v>
      </c>
      <c r="AB63" s="177">
        <f ca="1">IFERROR(__xludf.DUMMYFUNCTION("IMPORTRANGE(""https://docs.google.com/spreadsheets/d/1vVf6wykvW_lAyu7Yo9L4hUTqHqIeP_qcVuxCtosJEbg/edit?usp=sharing"",""ปราจีนบุรี!J506"")"),0)</f>
        <v>0</v>
      </c>
      <c r="AC63" s="177">
        <f ca="1">IFERROR(__xludf.DUMMYFUNCTION("IMPORTRANGE(""https://docs.google.com/spreadsheets/d/1vVf6wykvW_lAyu7Yo9L4hUTqHqIeP_qcVuxCtosJEbg/edit?usp=sharing"",""ปราจีนบุรี!J507"")"),0)</f>
        <v>0</v>
      </c>
      <c r="AD63" s="177">
        <f ca="1">IFERROR(__xludf.DUMMYFUNCTION("IMPORTRANGE(""https://docs.google.com/spreadsheets/d/1vVf6wykvW_lAyu7Yo9L4hUTqHqIeP_qcVuxCtosJEbg/edit?usp=sharing"",""ปราจีนบุรี!J508"")"),0)</f>
        <v>0</v>
      </c>
      <c r="AE63" s="177">
        <f ca="1">IFERROR(__xludf.DUMMYFUNCTION("IMPORTRANGE(""https://docs.google.com/spreadsheets/d/1vVf6wykvW_lAyu7Yo9L4hUTqHqIeP_qcVuxCtosJEbg/edit?usp=sharing"",""ปราจีนบุรี!J509"")"),0)</f>
        <v>0</v>
      </c>
    </row>
    <row r="64" spans="1:31" ht="21" customHeight="1" x14ac:dyDescent="0.3">
      <c r="A64" s="89">
        <v>12</v>
      </c>
      <c r="B64" s="90" t="s">
        <v>90</v>
      </c>
      <c r="C64" s="174">
        <f t="shared" si="19"/>
        <v>0</v>
      </c>
      <c r="D64" s="175">
        <f t="shared" si="43"/>
        <v>0</v>
      </c>
      <c r="E64" s="403">
        <v>0</v>
      </c>
      <c r="F64" s="403">
        <v>0</v>
      </c>
      <c r="G64" s="403">
        <v>0</v>
      </c>
      <c r="H64" s="403">
        <v>0</v>
      </c>
      <c r="I64" s="403">
        <v>0</v>
      </c>
      <c r="J64" s="176">
        <f t="shared" si="21"/>
        <v>0</v>
      </c>
      <c r="K64" s="179">
        <f t="shared" si="22"/>
        <v>0</v>
      </c>
      <c r="L64" s="403">
        <v>0</v>
      </c>
      <c r="M64" s="87">
        <f t="shared" si="23"/>
        <v>0</v>
      </c>
      <c r="N64" s="87">
        <f t="shared" si="24"/>
        <v>0</v>
      </c>
      <c r="O64" s="403">
        <v>0</v>
      </c>
      <c r="P64" s="86">
        <f t="shared" si="25"/>
        <v>0</v>
      </c>
      <c r="Q64" s="87">
        <f t="shared" si="26"/>
        <v>0</v>
      </c>
      <c r="R64" s="87">
        <f ca="1">IFERROR(__xludf.DUMMYFUNCTION("IMPORTRANGE(""https://docs.google.com/spreadsheets/d/1BIDqLLg5jk3v59G8NlR8rk5xfQDKne0sAvZHSj7TI6I/edit?usp=sharing"",""พระนครศรีอยุธยา!Q498"")"),0)</f>
        <v>0</v>
      </c>
      <c r="S64" s="87">
        <f ca="1">IFERROR(__xludf.DUMMYFUNCTION("IMPORTRANGE(""https://docs.google.com/spreadsheets/d/1BIDqLLg5jk3v59G8NlR8rk5xfQDKne0sAvZHSj7TI6I/edit?usp=sharing"",""พระนครศรีอยุธยา!R498"")"),0)</f>
        <v>0</v>
      </c>
      <c r="T64" s="87">
        <f ca="1">IFERROR(__xludf.DUMMYFUNCTION("IMPORTRANGE(""https://docs.google.com/spreadsheets/d/1BIDqLLg5jk3v59G8NlR8rk5xfQDKne0sAvZHSj7TI6I/edit?usp=sharing"",""พระนครศรีอยุธยา!S498"")"),0)</f>
        <v>0</v>
      </c>
      <c r="U64" s="87">
        <f t="shared" ca="1" si="28"/>
        <v>0</v>
      </c>
      <c r="V64" s="87">
        <f t="shared" ca="1" si="29"/>
        <v>0</v>
      </c>
      <c r="W64" s="353">
        <f ca="1">IFERROR(__xludf.DUMMYFUNCTION("IMPORTRANGE(""https://docs.google.com/spreadsheets/d/1BIDqLLg5jk3v59G8NlR8rk5xfQDKne0sAvZHSj7TI6I/edit?usp=sharing"",""พระนครศรีอยุธยา!I503"")"),0)</f>
        <v>0</v>
      </c>
      <c r="X64" s="177">
        <f ca="1">IFERROR(__xludf.DUMMYFUNCTION("IMPORTRANGE(""https://docs.google.com/spreadsheets/d/1BIDqLLg5jk3v59G8NlR8rk5xfQDKne0sAvZHSj7TI6I/edit?usp=sharing"",""พระนครศรีอยุธยา!J503"")"),0)</f>
        <v>0</v>
      </c>
      <c r="Y64" s="354">
        <f t="shared" ca="1" si="31"/>
        <v>0</v>
      </c>
      <c r="Z64" s="177">
        <f ca="1">IFERROR(__xludf.DUMMYFUNCTION("IMPORTRANGE(""https://docs.google.com/spreadsheets/d/1BIDqLLg5jk3v59G8NlR8rk5xfQDKne0sAvZHSj7TI6I/edit?usp=sharing"",""พระนครศรีอยุธยา!J504"")"),0)</f>
        <v>0</v>
      </c>
      <c r="AA64" s="177">
        <f ca="1">IFERROR(__xludf.DUMMYFUNCTION("IMPORTRANGE(""https://docs.google.com/spreadsheets/d/1BIDqLLg5jk3v59G8NlR8rk5xfQDKne0sAvZHSj7TI6I/edit?usp=sharing"",""พระนครศรีอยุธยา!J505"")"),0)</f>
        <v>0</v>
      </c>
      <c r="AB64" s="177">
        <f ca="1">IFERROR(__xludf.DUMMYFUNCTION("IMPORTRANGE(""https://docs.google.com/spreadsheets/d/1BIDqLLg5jk3v59G8NlR8rk5xfQDKne0sAvZHSj7TI6I/edit?usp=sharing"",""พระนครศรีอยุธยา!J506"")"),0)</f>
        <v>0</v>
      </c>
      <c r="AC64" s="177">
        <f ca="1">IFERROR(__xludf.DUMMYFUNCTION("IMPORTRANGE(""https://docs.google.com/spreadsheets/d/1BIDqLLg5jk3v59G8NlR8rk5xfQDKne0sAvZHSj7TI6I/edit?usp=sharing"",""พระนครศรีอยุธยา!J507"")"),0)</f>
        <v>0</v>
      </c>
      <c r="AD64" s="177">
        <f ca="1">IFERROR(__xludf.DUMMYFUNCTION("IMPORTRANGE(""https://docs.google.com/spreadsheets/d/1BIDqLLg5jk3v59G8NlR8rk5xfQDKne0sAvZHSj7TI6I/edit?usp=sharing"",""พระนครศรีอยุธยา!J508"")"),0)</f>
        <v>0</v>
      </c>
      <c r="AE64" s="177">
        <f ca="1">IFERROR(__xludf.DUMMYFUNCTION("IMPORTRANGE(""https://docs.google.com/spreadsheets/d/1BIDqLLg5jk3v59G8NlR8rk5xfQDKne0sAvZHSj7TI6I/edit?usp=sharing"",""พระนครศรีอยุธยา!J509"")"),0)</f>
        <v>0</v>
      </c>
    </row>
    <row r="65" spans="1:31" ht="21" customHeight="1" x14ac:dyDescent="0.3">
      <c r="A65" s="89">
        <v>13</v>
      </c>
      <c r="B65" s="90" t="s">
        <v>91</v>
      </c>
      <c r="C65" s="174">
        <f t="shared" si="19"/>
        <v>0</v>
      </c>
      <c r="D65" s="175">
        <f t="shared" si="43"/>
        <v>0</v>
      </c>
      <c r="E65" s="403">
        <v>0</v>
      </c>
      <c r="F65" s="403">
        <v>0</v>
      </c>
      <c r="G65" s="403">
        <v>0</v>
      </c>
      <c r="H65" s="403">
        <v>0</v>
      </c>
      <c r="I65" s="403">
        <v>0</v>
      </c>
      <c r="J65" s="176">
        <f t="shared" si="21"/>
        <v>0</v>
      </c>
      <c r="K65" s="179">
        <f t="shared" si="22"/>
        <v>0</v>
      </c>
      <c r="L65" s="403">
        <v>0</v>
      </c>
      <c r="M65" s="87">
        <f t="shared" si="23"/>
        <v>0</v>
      </c>
      <c r="N65" s="87">
        <f t="shared" si="24"/>
        <v>0</v>
      </c>
      <c r="O65" s="403">
        <v>0</v>
      </c>
      <c r="P65" s="86">
        <f t="shared" si="25"/>
        <v>0</v>
      </c>
      <c r="Q65" s="87">
        <f t="shared" si="26"/>
        <v>0</v>
      </c>
      <c r="R65" s="87">
        <f ca="1">IFERROR(__xludf.DUMMYFUNCTION("IMPORTRANGE(""https://docs.google.com/spreadsheets/d/1YXvxf8Yu6_rV4hTBrwMqAcAnv6DfhUxh5emyM3CJp_w/edit?usp=sharing"",""เพชรบุรี!Q498"")"),0)</f>
        <v>0</v>
      </c>
      <c r="S65" s="87">
        <f ca="1">IFERROR(__xludf.DUMMYFUNCTION("IMPORTRANGE(""https://docs.google.com/spreadsheets/d/1YXvxf8Yu6_rV4hTBrwMqAcAnv6DfhUxh5emyM3CJp_w/edit?usp=sharing"",""เพชรบุรี!R498"")"),0)</f>
        <v>0</v>
      </c>
      <c r="T65" s="87">
        <f ca="1">IFERROR(__xludf.DUMMYFUNCTION("IMPORTRANGE(""https://docs.google.com/spreadsheets/d/1YXvxf8Yu6_rV4hTBrwMqAcAnv6DfhUxh5emyM3CJp_w/edit?usp=sharing"",""เพชรบุรี!S498"")"),0)</f>
        <v>0</v>
      </c>
      <c r="U65" s="87">
        <f t="shared" ca="1" si="28"/>
        <v>0</v>
      </c>
      <c r="V65" s="87">
        <f t="shared" ca="1" si="29"/>
        <v>0</v>
      </c>
      <c r="W65" s="353">
        <f ca="1">IFERROR(__xludf.DUMMYFUNCTION("IMPORTRANGE(""https://docs.google.com/spreadsheets/d/1YXvxf8Yu6_rV4hTBrwMqAcAnv6DfhUxh5emyM3CJp_w/edit?usp=sharing"",""เพชรบุรี!I503"")"),0)</f>
        <v>0</v>
      </c>
      <c r="X65" s="177">
        <f ca="1">IFERROR(__xludf.DUMMYFUNCTION("IMPORTRANGE(""https://docs.google.com/spreadsheets/d/1YXvxf8Yu6_rV4hTBrwMqAcAnv6DfhUxh5emyM3CJp_w/edit?usp=sharing"",""เพชรบุรี!J503"")"),0)</f>
        <v>0</v>
      </c>
      <c r="Y65" s="354">
        <f t="shared" ca="1" si="31"/>
        <v>0</v>
      </c>
      <c r="Z65" s="177">
        <f ca="1">IFERROR(__xludf.DUMMYFUNCTION("IMPORTRANGE(""https://docs.google.com/spreadsheets/d/1YXvxf8Yu6_rV4hTBrwMqAcAnv6DfhUxh5emyM3CJp_w/edit?usp=sharing"",""เพชรบุรี!J504"")"),0)</f>
        <v>0</v>
      </c>
      <c r="AA65" s="177">
        <f ca="1">IFERROR(__xludf.DUMMYFUNCTION("IMPORTRANGE(""https://docs.google.com/spreadsheets/d/1YXvxf8Yu6_rV4hTBrwMqAcAnv6DfhUxh5emyM3CJp_w/edit?usp=sharing"",""เพชรบุรี!J505"")"),0)</f>
        <v>0</v>
      </c>
      <c r="AB65" s="177">
        <f ca="1">IFERROR(__xludf.DUMMYFUNCTION("IMPORTRANGE(""https://docs.google.com/spreadsheets/d/1YXvxf8Yu6_rV4hTBrwMqAcAnv6DfhUxh5emyM3CJp_w/edit?usp=sharing"",""เพชรบุรี!J506"")"),0)</f>
        <v>0</v>
      </c>
      <c r="AC65" s="177">
        <f ca="1">IFERROR(__xludf.DUMMYFUNCTION("IMPORTRANGE(""https://docs.google.com/spreadsheets/d/1YXvxf8Yu6_rV4hTBrwMqAcAnv6DfhUxh5emyM3CJp_w/edit?usp=sharing"",""เพชรบุรี!J507"")"),0)</f>
        <v>0</v>
      </c>
      <c r="AD65" s="177">
        <f ca="1">IFERROR(__xludf.DUMMYFUNCTION("IMPORTRANGE(""https://docs.google.com/spreadsheets/d/1YXvxf8Yu6_rV4hTBrwMqAcAnv6DfhUxh5emyM3CJp_w/edit?usp=sharing"",""เพชรบุรี!J508"")"),0)</f>
        <v>0</v>
      </c>
      <c r="AE65" s="177">
        <f ca="1">IFERROR(__xludf.DUMMYFUNCTION("IMPORTRANGE(""https://docs.google.com/spreadsheets/d/1YXvxf8Yu6_rV4hTBrwMqAcAnv6DfhUxh5emyM3CJp_w/edit?usp=sharing"",""เพชรบุรี!J509"")"),0)</f>
        <v>0</v>
      </c>
    </row>
    <row r="66" spans="1:31" ht="21" customHeight="1" x14ac:dyDescent="0.3">
      <c r="A66" s="89">
        <v>14</v>
      </c>
      <c r="B66" s="90" t="s">
        <v>92</v>
      </c>
      <c r="C66" s="174">
        <f t="shared" si="19"/>
        <v>0</v>
      </c>
      <c r="D66" s="175">
        <f t="shared" si="43"/>
        <v>0</v>
      </c>
      <c r="E66" s="403">
        <v>0</v>
      </c>
      <c r="F66" s="403">
        <v>0</v>
      </c>
      <c r="G66" s="403">
        <v>0</v>
      </c>
      <c r="H66" s="403">
        <v>0</v>
      </c>
      <c r="I66" s="403">
        <v>0</v>
      </c>
      <c r="J66" s="176">
        <f t="shared" si="21"/>
        <v>0</v>
      </c>
      <c r="K66" s="179">
        <f t="shared" si="22"/>
        <v>0</v>
      </c>
      <c r="L66" s="403">
        <v>0</v>
      </c>
      <c r="M66" s="87">
        <f t="shared" si="23"/>
        <v>0</v>
      </c>
      <c r="N66" s="87">
        <f t="shared" si="24"/>
        <v>0</v>
      </c>
      <c r="O66" s="403">
        <v>0</v>
      </c>
      <c r="P66" s="86">
        <f t="shared" si="25"/>
        <v>0</v>
      </c>
      <c r="Q66" s="87">
        <f t="shared" si="26"/>
        <v>0</v>
      </c>
      <c r="R66" s="87">
        <f ca="1">IFERROR(__xludf.DUMMYFUNCTION("IMPORTRANGE(""https://docs.google.com/spreadsheets/d/19KBlQQs7uwvsao6t2n-KvW3Ax8J8uRRfZPq1zPbXgKc/edit?usp=sharing"",""ระยอง!Q498"")"),0)</f>
        <v>0</v>
      </c>
      <c r="S66" s="87">
        <f ca="1">IFERROR(__xludf.DUMMYFUNCTION("IMPORTRANGE(""https://docs.google.com/spreadsheets/d/19KBlQQs7uwvsao6t2n-KvW3Ax8J8uRRfZPq1zPbXgKc/edit?usp=sharing"",""ระยอง!R498"")"),0)</f>
        <v>0</v>
      </c>
      <c r="T66" s="87">
        <f ca="1">IFERROR(__xludf.DUMMYFUNCTION("IMPORTRANGE(""https://docs.google.com/spreadsheets/d/19KBlQQs7uwvsao6t2n-KvW3Ax8J8uRRfZPq1zPbXgKc/edit?usp=sharing"",""ระยอง!S498"")"),0)</f>
        <v>0</v>
      </c>
      <c r="U66" s="87">
        <f t="shared" ca="1" si="28"/>
        <v>0</v>
      </c>
      <c r="V66" s="87">
        <f t="shared" ca="1" si="29"/>
        <v>0</v>
      </c>
      <c r="W66" s="353">
        <f ca="1">IFERROR(__xludf.DUMMYFUNCTION("IMPORTRANGE(""https://docs.google.com/spreadsheets/d/19KBlQQs7uwvsao6t2n-KvW3Ax8J8uRRfZPq1zPbXgKc/edit?usp=sharing"",""ระยอง!I503"")"),0)</f>
        <v>0</v>
      </c>
      <c r="X66" s="177">
        <f ca="1">IFERROR(__xludf.DUMMYFUNCTION("IMPORTRANGE(""https://docs.google.com/spreadsheets/d/19KBlQQs7uwvsao6t2n-KvW3Ax8J8uRRfZPq1zPbXgKc/edit?usp=sharing"",""ระยอง!J503"")"),0)</f>
        <v>0</v>
      </c>
      <c r="Y66" s="354">
        <f t="shared" ca="1" si="31"/>
        <v>0</v>
      </c>
      <c r="Z66" s="177">
        <f ca="1">IFERROR(__xludf.DUMMYFUNCTION("IMPORTRANGE(""https://docs.google.com/spreadsheets/d/19KBlQQs7uwvsao6t2n-KvW3Ax8J8uRRfZPq1zPbXgKc/edit?usp=sharing"",""ระยอง!J504"")"),0)</f>
        <v>0</v>
      </c>
      <c r="AA66" s="177">
        <f ca="1">IFERROR(__xludf.DUMMYFUNCTION("IMPORTRANGE(""https://docs.google.com/spreadsheets/d/19KBlQQs7uwvsao6t2n-KvW3Ax8J8uRRfZPq1zPbXgKc/edit?usp=sharing"",""ระยอง!J505"")"),0)</f>
        <v>0</v>
      </c>
      <c r="AB66" s="177">
        <f ca="1">IFERROR(__xludf.DUMMYFUNCTION("IMPORTRANGE(""https://docs.google.com/spreadsheets/d/19KBlQQs7uwvsao6t2n-KvW3Ax8J8uRRfZPq1zPbXgKc/edit?usp=sharing"",""ระยอง!J506"")"),0)</f>
        <v>0</v>
      </c>
      <c r="AC66" s="177">
        <f ca="1">IFERROR(__xludf.DUMMYFUNCTION("IMPORTRANGE(""https://docs.google.com/spreadsheets/d/19KBlQQs7uwvsao6t2n-KvW3Ax8J8uRRfZPq1zPbXgKc/edit?usp=sharing"",""ระยอง!J507"")"),0)</f>
        <v>0</v>
      </c>
      <c r="AD66" s="177">
        <f ca="1">IFERROR(__xludf.DUMMYFUNCTION("IMPORTRANGE(""https://docs.google.com/spreadsheets/d/19KBlQQs7uwvsao6t2n-KvW3Ax8J8uRRfZPq1zPbXgKc/edit?usp=sharing"",""ระยอง!J508"")"),0)</f>
        <v>0</v>
      </c>
      <c r="AE66" s="177">
        <f ca="1">IFERROR(__xludf.DUMMYFUNCTION("IMPORTRANGE(""https://docs.google.com/spreadsheets/d/19KBlQQs7uwvsao6t2n-KvW3Ax8J8uRRfZPq1zPbXgKc/edit?usp=sharing"",""ระยอง!J509"")"),0)</f>
        <v>0</v>
      </c>
    </row>
    <row r="67" spans="1:31" ht="21" customHeight="1" x14ac:dyDescent="0.3">
      <c r="A67" s="89">
        <v>15</v>
      </c>
      <c r="B67" s="90" t="s">
        <v>93</v>
      </c>
      <c r="C67" s="174">
        <f t="shared" si="19"/>
        <v>0</v>
      </c>
      <c r="D67" s="175">
        <f t="shared" si="43"/>
        <v>0</v>
      </c>
      <c r="E67" s="403">
        <v>0</v>
      </c>
      <c r="F67" s="403">
        <v>0</v>
      </c>
      <c r="G67" s="403">
        <v>0</v>
      </c>
      <c r="H67" s="403">
        <v>0</v>
      </c>
      <c r="I67" s="403">
        <v>0</v>
      </c>
      <c r="J67" s="176">
        <f t="shared" si="21"/>
        <v>0</v>
      </c>
      <c r="K67" s="179">
        <f t="shared" si="22"/>
        <v>0</v>
      </c>
      <c r="L67" s="403">
        <v>0</v>
      </c>
      <c r="M67" s="87">
        <f t="shared" si="23"/>
        <v>0</v>
      </c>
      <c r="N67" s="87">
        <f t="shared" si="24"/>
        <v>0</v>
      </c>
      <c r="O67" s="403">
        <v>0</v>
      </c>
      <c r="P67" s="86">
        <f t="shared" si="25"/>
        <v>0</v>
      </c>
      <c r="Q67" s="87">
        <f t="shared" si="26"/>
        <v>0</v>
      </c>
      <c r="R67" s="87">
        <f ca="1">IFERROR(__xludf.DUMMYFUNCTION("IMPORTRANGE(""https://docs.google.com/spreadsheets/d/1jQ6P4QcrGM89YfqcC_PxOHGCMq5ezhucwJd8ci-NHng/edit?usp=sharing"",""ราชบุรี!Q498"")"),0)</f>
        <v>0</v>
      </c>
      <c r="S67" s="87">
        <f ca="1">IFERROR(__xludf.DUMMYFUNCTION("IMPORTRANGE(""https://docs.google.com/spreadsheets/d/1jQ6P4QcrGM89YfqcC_PxOHGCMq5ezhucwJd8ci-NHng/edit?usp=sharing"",""ราชบุรี!R498"")"),0)</f>
        <v>0</v>
      </c>
      <c r="T67" s="87">
        <f ca="1">IFERROR(__xludf.DUMMYFUNCTION("IMPORTRANGE(""https://docs.google.com/spreadsheets/d/1jQ6P4QcrGM89YfqcC_PxOHGCMq5ezhucwJd8ci-NHng/edit?usp=sharing"",""ราชบุรี!S498"")"),0)</f>
        <v>0</v>
      </c>
      <c r="U67" s="87">
        <f t="shared" ca="1" si="28"/>
        <v>0</v>
      </c>
      <c r="V67" s="87">
        <f t="shared" ca="1" si="29"/>
        <v>0</v>
      </c>
      <c r="W67" s="355">
        <f ca="1">IFERROR(__xludf.DUMMYFUNCTION("IMPORTRANGE(""https://docs.google.com/spreadsheets/d/1jQ6P4QcrGM89YfqcC_PxOHGCMq5ezhucwJd8ci-NHng/edit?usp=sharing"",""ราชบุรี!I503"")"),0)</f>
        <v>0</v>
      </c>
      <c r="X67" s="177">
        <f ca="1">IFERROR(__xludf.DUMMYFUNCTION("IMPORTRANGE(""https://docs.google.com/spreadsheets/d/1jQ6P4QcrGM89YfqcC_PxOHGCMq5ezhucwJd8ci-NHng/edit?usp=sharing"",""ราชบุรี!J503"")"),0)</f>
        <v>0</v>
      </c>
      <c r="Y67" s="354">
        <f t="shared" ca="1" si="31"/>
        <v>0</v>
      </c>
      <c r="Z67" s="177">
        <f ca="1">IFERROR(__xludf.DUMMYFUNCTION("IMPORTRANGE(""https://docs.google.com/spreadsheets/d/1jQ6P4QcrGM89YfqcC_PxOHGCMq5ezhucwJd8ci-NHng/edit?usp=sharing"",""ราชบุรี!J504"")"),0)</f>
        <v>0</v>
      </c>
      <c r="AA67" s="177">
        <f ca="1">IFERROR(__xludf.DUMMYFUNCTION("IMPORTRANGE(""https://docs.google.com/spreadsheets/d/1jQ6P4QcrGM89YfqcC_PxOHGCMq5ezhucwJd8ci-NHng/edit?usp=sharing"",""ราชบุรี!J505"")"),0)</f>
        <v>0</v>
      </c>
      <c r="AB67" s="177">
        <f ca="1">IFERROR(__xludf.DUMMYFUNCTION("IMPORTRANGE(""https://docs.google.com/spreadsheets/d/1jQ6P4QcrGM89YfqcC_PxOHGCMq5ezhucwJd8ci-NHng/edit?usp=sharing"",""ราชบุรี!J506"")"),0)</f>
        <v>0</v>
      </c>
      <c r="AC67" s="177">
        <f ca="1">IFERROR(__xludf.DUMMYFUNCTION("IMPORTRANGE(""https://docs.google.com/spreadsheets/d/1jQ6P4QcrGM89YfqcC_PxOHGCMq5ezhucwJd8ci-NHng/edit?usp=sharing"",""ราชบุรี!J507"")"),0)</f>
        <v>0</v>
      </c>
      <c r="AD67" s="177">
        <f ca="1">IFERROR(__xludf.DUMMYFUNCTION("IMPORTRANGE(""https://docs.google.com/spreadsheets/d/1jQ6P4QcrGM89YfqcC_PxOHGCMq5ezhucwJd8ci-NHng/edit?usp=sharing"",""ราชบุรี!J508"")"),0)</f>
        <v>0</v>
      </c>
      <c r="AE67" s="177">
        <f ca="1">IFERROR(__xludf.DUMMYFUNCTION("IMPORTRANGE(""https://docs.google.com/spreadsheets/d/1jQ6P4QcrGM89YfqcC_PxOHGCMq5ezhucwJd8ci-NHng/edit?usp=sharing"",""ราชบุรี!J509"")"),0)</f>
        <v>0</v>
      </c>
    </row>
    <row r="68" spans="1:31" ht="24" customHeight="1" x14ac:dyDescent="0.3">
      <c r="A68" s="89">
        <v>16</v>
      </c>
      <c r="B68" s="90" t="s">
        <v>94</v>
      </c>
      <c r="C68" s="174">
        <f t="shared" si="19"/>
        <v>0</v>
      </c>
      <c r="D68" s="175">
        <f t="shared" si="43"/>
        <v>0</v>
      </c>
      <c r="E68" s="403">
        <v>0</v>
      </c>
      <c r="F68" s="403">
        <v>0</v>
      </c>
      <c r="G68" s="403">
        <v>0</v>
      </c>
      <c r="H68" s="403">
        <v>0</v>
      </c>
      <c r="I68" s="403">
        <v>0</v>
      </c>
      <c r="J68" s="176">
        <f t="shared" si="21"/>
        <v>0</v>
      </c>
      <c r="K68" s="179">
        <f t="shared" si="22"/>
        <v>0</v>
      </c>
      <c r="L68" s="403">
        <v>0</v>
      </c>
      <c r="M68" s="87">
        <f t="shared" si="23"/>
        <v>0</v>
      </c>
      <c r="N68" s="87">
        <f t="shared" si="24"/>
        <v>0</v>
      </c>
      <c r="O68" s="403">
        <v>0</v>
      </c>
      <c r="P68" s="86">
        <f t="shared" si="25"/>
        <v>0</v>
      </c>
      <c r="Q68" s="87">
        <f t="shared" si="26"/>
        <v>0</v>
      </c>
      <c r="R68" s="87">
        <f ca="1">IFERROR(__xludf.DUMMYFUNCTION("IMPORTRANGE(""https://docs.google.com/spreadsheets/d/1lufeA2cfFqM-elVq2hznhDzC6Pr7wkJ9ZG_sYNGCMCU/edit?usp=sharing"",""ลพบุรี!Q498"")"),0)</f>
        <v>0</v>
      </c>
      <c r="S68" s="87">
        <f ca="1">IFERROR(__xludf.DUMMYFUNCTION("IMPORTRANGE(""https://docs.google.com/spreadsheets/d/1lufeA2cfFqM-elVq2hznhDzC6Pr7wkJ9ZG_sYNGCMCU/edit?usp=sharing"",""ลพบุรี!R498"")"),0)</f>
        <v>0</v>
      </c>
      <c r="T68" s="87">
        <f ca="1">IFERROR(__xludf.DUMMYFUNCTION("IMPORTRANGE(""https://docs.google.com/spreadsheets/d/1lufeA2cfFqM-elVq2hznhDzC6Pr7wkJ9ZG_sYNGCMCU/edit?usp=sharing"",""ลพบุรี!S498"")"),0)</f>
        <v>0</v>
      </c>
      <c r="U68" s="87">
        <f t="shared" ca="1" si="28"/>
        <v>0</v>
      </c>
      <c r="V68" s="87">
        <f t="shared" ca="1" si="29"/>
        <v>0</v>
      </c>
      <c r="W68" s="353">
        <f ca="1">IFERROR(__xludf.DUMMYFUNCTION("IMPORTRANGE(""https://docs.google.com/spreadsheets/d/1lufeA2cfFqM-elVq2hznhDzC6Pr7wkJ9ZG_sYNGCMCU/edit?usp=sharing"",""ลพบุรี!I503"")"),0)</f>
        <v>0</v>
      </c>
      <c r="X68" s="177">
        <f ca="1">IFERROR(__xludf.DUMMYFUNCTION("IMPORTRANGE(""https://docs.google.com/spreadsheets/d/1lufeA2cfFqM-elVq2hznhDzC6Pr7wkJ9ZG_sYNGCMCU/edit?usp=sharing"",""ลพบุรี!J503"")"),0)</f>
        <v>0</v>
      </c>
      <c r="Y68" s="354">
        <f t="shared" ca="1" si="31"/>
        <v>0</v>
      </c>
      <c r="Z68" s="177">
        <f ca="1">IFERROR(__xludf.DUMMYFUNCTION("IMPORTRANGE(""https://docs.google.com/spreadsheets/d/1lufeA2cfFqM-elVq2hznhDzC6Pr7wkJ9ZG_sYNGCMCU/edit?usp=sharing"",""ลพบุรี!J504"")"),0)</f>
        <v>0</v>
      </c>
      <c r="AA68" s="177">
        <f ca="1">IFERROR(__xludf.DUMMYFUNCTION("IMPORTRANGE(""https://docs.google.com/spreadsheets/d/1lufeA2cfFqM-elVq2hznhDzC6Pr7wkJ9ZG_sYNGCMCU/edit?usp=sharing"",""ลพบุรี!J505"")"),0)</f>
        <v>0</v>
      </c>
      <c r="AB68" s="177">
        <f ca="1">IFERROR(__xludf.DUMMYFUNCTION("IMPORTRANGE(""https://docs.google.com/spreadsheets/d/1lufeA2cfFqM-elVq2hznhDzC6Pr7wkJ9ZG_sYNGCMCU/edit?usp=sharing"",""ลพบุรี!J506"")"),0)</f>
        <v>0</v>
      </c>
      <c r="AC68" s="177">
        <f ca="1">IFERROR(__xludf.DUMMYFUNCTION("IMPORTRANGE(""https://docs.google.com/spreadsheets/d/1lufeA2cfFqM-elVq2hznhDzC6Pr7wkJ9ZG_sYNGCMCU/edit?usp=sharing"",""ลพบุรี!J507"")"),0)</f>
        <v>0</v>
      </c>
      <c r="AD68" s="177">
        <f ca="1">IFERROR(__xludf.DUMMYFUNCTION("IMPORTRANGE(""https://docs.google.com/spreadsheets/d/1lufeA2cfFqM-elVq2hznhDzC6Pr7wkJ9ZG_sYNGCMCU/edit?usp=sharing"",""ลพบุรี!J508"")"),0)</f>
        <v>0</v>
      </c>
      <c r="AE68" s="177">
        <f ca="1">IFERROR(__xludf.DUMMYFUNCTION("IMPORTRANGE(""https://docs.google.com/spreadsheets/d/1lufeA2cfFqM-elVq2hznhDzC6Pr7wkJ9ZG_sYNGCMCU/edit?usp=sharing"",""ลพบุรี!J509"")"),0)</f>
        <v>0</v>
      </c>
    </row>
    <row r="69" spans="1:31" ht="21" customHeight="1" x14ac:dyDescent="0.3">
      <c r="A69" s="89">
        <v>17</v>
      </c>
      <c r="B69" s="90" t="s">
        <v>95</v>
      </c>
      <c r="C69" s="174">
        <f t="shared" si="19"/>
        <v>0</v>
      </c>
      <c r="D69" s="175">
        <f t="shared" si="43"/>
        <v>0</v>
      </c>
      <c r="E69" s="403">
        <v>0</v>
      </c>
      <c r="F69" s="403">
        <v>0</v>
      </c>
      <c r="G69" s="403">
        <v>0</v>
      </c>
      <c r="H69" s="403">
        <v>0</v>
      </c>
      <c r="I69" s="403">
        <v>0</v>
      </c>
      <c r="J69" s="176">
        <f t="shared" si="21"/>
        <v>0</v>
      </c>
      <c r="K69" s="179">
        <f t="shared" si="22"/>
        <v>0</v>
      </c>
      <c r="L69" s="403">
        <v>0</v>
      </c>
      <c r="M69" s="87">
        <f t="shared" si="23"/>
        <v>0</v>
      </c>
      <c r="N69" s="87">
        <f t="shared" si="24"/>
        <v>0</v>
      </c>
      <c r="O69" s="403">
        <v>0</v>
      </c>
      <c r="P69" s="86">
        <f t="shared" si="25"/>
        <v>0</v>
      </c>
      <c r="Q69" s="87">
        <f t="shared" si="26"/>
        <v>0</v>
      </c>
      <c r="R69" s="87">
        <f ca="1">IFERROR(__xludf.DUMMYFUNCTION("IMPORTRANGE(""https://docs.google.com/spreadsheets/d/10oOiF7loTyfsTkbd4MpaIm0HQ9SwB7IYHdIUvt-U1Uc/edit?usp=sharing"",""สระแก้ว!Q498"")"),1074460)</f>
        <v>1074460</v>
      </c>
      <c r="S69" s="87">
        <f ca="1">IFERROR(__xludf.DUMMYFUNCTION("IMPORTRANGE(""https://docs.google.com/spreadsheets/d/10oOiF7loTyfsTkbd4MpaIm0HQ9SwB7IYHdIUvt-U1Uc/edit?usp=sharing"",""สระแก้ว!R498"")"),0)</f>
        <v>0</v>
      </c>
      <c r="T69" s="87">
        <f ca="1">IFERROR(__xludf.DUMMYFUNCTION("IMPORTRANGE(""https://docs.google.com/spreadsheets/d/10oOiF7loTyfsTkbd4MpaIm0HQ9SwB7IYHdIUvt-U1Uc/edit?usp=sharing"",""สระแก้ว!S498"")"),0)</f>
        <v>0</v>
      </c>
      <c r="U69" s="87">
        <f t="shared" ca="1" si="28"/>
        <v>0</v>
      </c>
      <c r="V69" s="87">
        <f t="shared" ca="1" si="29"/>
        <v>0</v>
      </c>
      <c r="W69" s="353">
        <f ca="1">IFERROR(__xludf.DUMMYFUNCTION("IMPORTRANGE(""https://docs.google.com/spreadsheets/d/10oOiF7loTyfsTkbd4MpaIm0HQ9SwB7IYHdIUvt-U1Uc/edit?usp=sharing"",""สระแก้ว!I503"")"),80)</f>
        <v>80</v>
      </c>
      <c r="X69" s="177">
        <f ca="1">IFERROR(__xludf.DUMMYFUNCTION("IMPORTRANGE(""https://docs.google.com/spreadsheets/d/10oOiF7loTyfsTkbd4MpaIm0HQ9SwB7IYHdIUvt-U1Uc/edit?usp=sharing"",""สระแก้ว!J503"")"),0)</f>
        <v>0</v>
      </c>
      <c r="Y69" s="354">
        <f t="shared" ca="1" si="31"/>
        <v>0</v>
      </c>
      <c r="Z69" s="177">
        <f ca="1">IFERROR(__xludf.DUMMYFUNCTION("IMPORTRANGE(""https://docs.google.com/spreadsheets/d/10oOiF7loTyfsTkbd4MpaIm0HQ9SwB7IYHdIUvt-U1Uc/edit?usp=sharing"",""สระแก้ว!J504"")"),0)</f>
        <v>0</v>
      </c>
      <c r="AA69" s="177">
        <f ca="1">IFERROR(__xludf.DUMMYFUNCTION("IMPORTRANGE(""https://docs.google.com/spreadsheets/d/10oOiF7loTyfsTkbd4MpaIm0HQ9SwB7IYHdIUvt-U1Uc/edit?usp=sharing"",""สระแก้ว!J505"")"),0)</f>
        <v>0</v>
      </c>
      <c r="AB69" s="177">
        <f ca="1">IFERROR(__xludf.DUMMYFUNCTION("IMPORTRANGE(""https://docs.google.com/spreadsheets/d/10oOiF7loTyfsTkbd4MpaIm0HQ9SwB7IYHdIUvt-U1Uc/edit?usp=sharing"",""สระแก้ว!J506"")"),0)</f>
        <v>0</v>
      </c>
      <c r="AC69" s="177">
        <f ca="1">IFERROR(__xludf.DUMMYFUNCTION("IMPORTRANGE(""https://docs.google.com/spreadsheets/d/10oOiF7loTyfsTkbd4MpaIm0HQ9SwB7IYHdIUvt-U1Uc/edit?usp=sharing"",""สระแก้ว!J507"")"),0)</f>
        <v>0</v>
      </c>
      <c r="AD69" s="177">
        <f ca="1">IFERROR(__xludf.DUMMYFUNCTION("IMPORTRANGE(""https://docs.google.com/spreadsheets/d/10oOiF7loTyfsTkbd4MpaIm0HQ9SwB7IYHdIUvt-U1Uc/edit?usp=sharing"",""สระแก้ว!J508"")"),0)</f>
        <v>0</v>
      </c>
      <c r="AE69" s="177">
        <f ca="1">IFERROR(__xludf.DUMMYFUNCTION("IMPORTRANGE(""https://docs.google.com/spreadsheets/d/10oOiF7loTyfsTkbd4MpaIm0HQ9SwB7IYHdIUvt-U1Uc/edit?usp=sharing"",""สระแก้ว!J509"")"),0)</f>
        <v>0</v>
      </c>
    </row>
    <row r="70" spans="1:31" ht="21" customHeight="1" x14ac:dyDescent="0.3">
      <c r="A70" s="89">
        <v>18</v>
      </c>
      <c r="B70" s="90" t="s">
        <v>96</v>
      </c>
      <c r="C70" s="174">
        <f t="shared" si="19"/>
        <v>0</v>
      </c>
      <c r="D70" s="175">
        <f t="shared" si="43"/>
        <v>0</v>
      </c>
      <c r="E70" s="403">
        <v>0</v>
      </c>
      <c r="F70" s="403">
        <v>0</v>
      </c>
      <c r="G70" s="403">
        <v>0</v>
      </c>
      <c r="H70" s="403">
        <v>0</v>
      </c>
      <c r="I70" s="403">
        <v>0</v>
      </c>
      <c r="J70" s="176">
        <f t="shared" si="21"/>
        <v>0</v>
      </c>
      <c r="K70" s="179">
        <f t="shared" si="22"/>
        <v>0</v>
      </c>
      <c r="L70" s="403">
        <v>0</v>
      </c>
      <c r="M70" s="87">
        <f t="shared" si="23"/>
        <v>0</v>
      </c>
      <c r="N70" s="87">
        <f t="shared" si="24"/>
        <v>0</v>
      </c>
      <c r="O70" s="403">
        <v>0</v>
      </c>
      <c r="P70" s="86">
        <f t="shared" si="25"/>
        <v>0</v>
      </c>
      <c r="Q70" s="87">
        <f t="shared" si="26"/>
        <v>0</v>
      </c>
      <c r="R70" s="87">
        <f ca="1">IFERROR(__xludf.DUMMYFUNCTION("IMPORTRANGE(""https://docs.google.com/spreadsheets/d/1xmPlrr1QbdSIKvl1dWUl9K4PjAfSL9oeMr_37QVzcxc/edit?usp=sharing"",""สระบุรี!Q498"")"),0)</f>
        <v>0</v>
      </c>
      <c r="S70" s="87">
        <f ca="1">IFERROR(__xludf.DUMMYFUNCTION("IMPORTRANGE(""https://docs.google.com/spreadsheets/d/1xmPlrr1QbdSIKvl1dWUl9K4PjAfSL9oeMr_37QVzcxc/edit?usp=sharing"",""สระบุรี!R498"")"),0)</f>
        <v>0</v>
      </c>
      <c r="T70" s="87">
        <f ca="1">IFERROR(__xludf.DUMMYFUNCTION("IMPORTRANGE(""https://docs.google.com/spreadsheets/d/1xmPlrr1QbdSIKvl1dWUl9K4PjAfSL9oeMr_37QVzcxc/edit?usp=sharing"",""สระบุรี!S498"")"),0)</f>
        <v>0</v>
      </c>
      <c r="U70" s="87">
        <f t="shared" ca="1" si="28"/>
        <v>0</v>
      </c>
      <c r="V70" s="87">
        <f t="shared" ca="1" si="29"/>
        <v>0</v>
      </c>
      <c r="W70" s="353">
        <f ca="1">IFERROR(__xludf.DUMMYFUNCTION("IMPORTRANGE(""https://docs.google.com/spreadsheets/d/1xmPlrr1QbdSIKvl1dWUl9K4PjAfSL9oeMr_37QVzcxc/edit?usp=sharing"",""สระบุรี!I503"")"),0)</f>
        <v>0</v>
      </c>
      <c r="X70" s="177">
        <f ca="1">IFERROR(__xludf.DUMMYFUNCTION("IMPORTRANGE(""https://docs.google.com/spreadsheets/d/1xmPlrr1QbdSIKvl1dWUl9K4PjAfSL9oeMr_37QVzcxc/edit?usp=sharing"",""สระบุรี!J503"")"),0)</f>
        <v>0</v>
      </c>
      <c r="Y70" s="354">
        <f t="shared" ca="1" si="31"/>
        <v>0</v>
      </c>
      <c r="Z70" s="177">
        <f ca="1">IFERROR(__xludf.DUMMYFUNCTION("IMPORTRANGE(""https://docs.google.com/spreadsheets/d/1xmPlrr1QbdSIKvl1dWUl9K4PjAfSL9oeMr_37QVzcxc/edit?usp=sharing"",""สระบุรี!J504"")"),0)</f>
        <v>0</v>
      </c>
      <c r="AA70" s="177">
        <f ca="1">IFERROR(__xludf.DUMMYFUNCTION("IMPORTRANGE(""https://docs.google.com/spreadsheets/d/1xmPlrr1QbdSIKvl1dWUl9K4PjAfSL9oeMr_37QVzcxc/edit?usp=sharing"",""สระบุรี!J505"")"),0)</f>
        <v>0</v>
      </c>
      <c r="AB70" s="177">
        <f ca="1">IFERROR(__xludf.DUMMYFUNCTION("IMPORTRANGE(""https://docs.google.com/spreadsheets/d/1xmPlrr1QbdSIKvl1dWUl9K4PjAfSL9oeMr_37QVzcxc/edit?usp=sharing"",""สระบุรี!J506"")"),0)</f>
        <v>0</v>
      </c>
      <c r="AC70" s="177">
        <f ca="1">IFERROR(__xludf.DUMMYFUNCTION("IMPORTRANGE(""https://docs.google.com/spreadsheets/d/1xmPlrr1QbdSIKvl1dWUl9K4PjAfSL9oeMr_37QVzcxc/edit?usp=sharing"",""สระบุรี!J507"")"),0)</f>
        <v>0</v>
      </c>
      <c r="AD70" s="177">
        <f ca="1">IFERROR(__xludf.DUMMYFUNCTION("IMPORTRANGE(""https://docs.google.com/spreadsheets/d/1xmPlrr1QbdSIKvl1dWUl9K4PjAfSL9oeMr_37QVzcxc/edit?usp=sharing"",""สระบุรี!J508"")"),0)</f>
        <v>0</v>
      </c>
      <c r="AE70" s="177">
        <f ca="1">IFERROR(__xludf.DUMMYFUNCTION("IMPORTRANGE(""https://docs.google.com/spreadsheets/d/1xmPlrr1QbdSIKvl1dWUl9K4PjAfSL9oeMr_37QVzcxc/edit?usp=sharing"",""สระบุรี!J509"")"),0)</f>
        <v>0</v>
      </c>
    </row>
    <row r="71" spans="1:31" ht="21" customHeight="1" x14ac:dyDescent="0.3">
      <c r="A71" s="89">
        <v>19</v>
      </c>
      <c r="B71" s="90" t="s">
        <v>97</v>
      </c>
      <c r="C71" s="174">
        <f t="shared" si="19"/>
        <v>0</v>
      </c>
      <c r="D71" s="175">
        <f t="shared" si="43"/>
        <v>0</v>
      </c>
      <c r="E71" s="403">
        <v>0</v>
      </c>
      <c r="F71" s="403">
        <v>0</v>
      </c>
      <c r="G71" s="403">
        <v>0</v>
      </c>
      <c r="H71" s="403">
        <v>0</v>
      </c>
      <c r="I71" s="403">
        <v>0</v>
      </c>
      <c r="J71" s="176">
        <f t="shared" si="21"/>
        <v>0</v>
      </c>
      <c r="K71" s="179">
        <f t="shared" si="22"/>
        <v>0</v>
      </c>
      <c r="L71" s="403">
        <v>0</v>
      </c>
      <c r="M71" s="87">
        <f t="shared" si="23"/>
        <v>0</v>
      </c>
      <c r="N71" s="87">
        <f t="shared" si="24"/>
        <v>0</v>
      </c>
      <c r="O71" s="403">
        <v>0</v>
      </c>
      <c r="P71" s="86">
        <f t="shared" si="25"/>
        <v>0</v>
      </c>
      <c r="Q71" s="87">
        <f t="shared" si="26"/>
        <v>0</v>
      </c>
      <c r="R71" s="87">
        <f ca="1">IFERROR(__xludf.DUMMYFUNCTION("IMPORTRANGE(""https://docs.google.com/spreadsheets/d/1j51vR6CYVGhABJpv6tkstgok82RLpXieLzW1yOY5rHw/edit?usp=sharing"",""สิงห์บุรี!Q498"")"),0)</f>
        <v>0</v>
      </c>
      <c r="S71" s="87">
        <f ca="1">IFERROR(__xludf.DUMMYFUNCTION("IMPORTRANGE(""https://docs.google.com/spreadsheets/d/1j51vR6CYVGhABJpv6tkstgok82RLpXieLzW1yOY5rHw/edit?usp=sharing"",""สิงห์บุรี!R498"")"),0)</f>
        <v>0</v>
      </c>
      <c r="T71" s="87">
        <f ca="1">IFERROR(__xludf.DUMMYFUNCTION("IMPORTRANGE(""https://docs.google.com/spreadsheets/d/1j51vR6CYVGhABJpv6tkstgok82RLpXieLzW1yOY5rHw/edit?usp=sharing"",""สิงห์บุรี!S498"")"),0)</f>
        <v>0</v>
      </c>
      <c r="U71" s="87">
        <f t="shared" ca="1" si="28"/>
        <v>0</v>
      </c>
      <c r="V71" s="87">
        <f t="shared" ca="1" si="29"/>
        <v>0</v>
      </c>
      <c r="W71" s="353">
        <f ca="1">IFERROR(__xludf.DUMMYFUNCTION("IMPORTRANGE(""https://docs.google.com/spreadsheets/d/1j51vR6CYVGhABJpv6tkstgok82RLpXieLzW1yOY5rHw/edit?usp=sharing"",""สิงห์บุรี!I503"")"),0)</f>
        <v>0</v>
      </c>
      <c r="X71" s="177">
        <f ca="1">IFERROR(__xludf.DUMMYFUNCTION("IMPORTRANGE(""https://docs.google.com/spreadsheets/d/1j51vR6CYVGhABJpv6tkstgok82RLpXieLzW1yOY5rHw/edit?usp=sharing"",""สิงห์บุรี!J503"")"),0)</f>
        <v>0</v>
      </c>
      <c r="Y71" s="354">
        <f t="shared" ca="1" si="31"/>
        <v>0</v>
      </c>
      <c r="Z71" s="177">
        <f ca="1">IFERROR(__xludf.DUMMYFUNCTION("IMPORTRANGE(""https://docs.google.com/spreadsheets/d/1j51vR6CYVGhABJpv6tkstgok82RLpXieLzW1yOY5rHw/edit?usp=sharing"",""สิงห์บุรี!J504"")"),0)</f>
        <v>0</v>
      </c>
      <c r="AA71" s="177">
        <f ca="1">IFERROR(__xludf.DUMMYFUNCTION("IMPORTRANGE(""https://docs.google.com/spreadsheets/d/1j51vR6CYVGhABJpv6tkstgok82RLpXieLzW1yOY5rHw/edit?usp=sharing"",""สิงห์บุรี!J505"")"),0)</f>
        <v>0</v>
      </c>
      <c r="AB71" s="177">
        <f ca="1">IFERROR(__xludf.DUMMYFUNCTION("IMPORTRANGE(""https://docs.google.com/spreadsheets/d/1j51vR6CYVGhABJpv6tkstgok82RLpXieLzW1yOY5rHw/edit?usp=sharing"",""สิงห์บุรี!J506"")"),0)</f>
        <v>0</v>
      </c>
      <c r="AC71" s="177">
        <f ca="1">IFERROR(__xludf.DUMMYFUNCTION("IMPORTRANGE(""https://docs.google.com/spreadsheets/d/1j51vR6CYVGhABJpv6tkstgok82RLpXieLzW1yOY5rHw/edit?usp=sharing"",""สิงห์บุรี!J507"")"),0)</f>
        <v>0</v>
      </c>
      <c r="AD71" s="177">
        <f ca="1">IFERROR(__xludf.DUMMYFUNCTION("IMPORTRANGE(""https://docs.google.com/spreadsheets/d/1j51vR6CYVGhABJpv6tkstgok82RLpXieLzW1yOY5rHw/edit?usp=sharing"",""สิงห์บุรี!J508"")"),0)</f>
        <v>0</v>
      </c>
      <c r="AE71" s="177">
        <f ca="1">IFERROR(__xludf.DUMMYFUNCTION("IMPORTRANGE(""https://docs.google.com/spreadsheets/d/1j51vR6CYVGhABJpv6tkstgok82RLpXieLzW1yOY5rHw/edit?usp=sharing"",""สิงห์บุรี!J509"")"),0)</f>
        <v>0</v>
      </c>
    </row>
    <row r="72" spans="1:31" ht="21" customHeight="1" x14ac:dyDescent="0.3">
      <c r="A72" s="89">
        <v>20</v>
      </c>
      <c r="B72" s="90" t="s">
        <v>98</v>
      </c>
      <c r="C72" s="174">
        <f t="shared" si="19"/>
        <v>0</v>
      </c>
      <c r="D72" s="175">
        <f t="shared" si="43"/>
        <v>0</v>
      </c>
      <c r="E72" s="403">
        <v>0</v>
      </c>
      <c r="F72" s="403">
        <v>0</v>
      </c>
      <c r="G72" s="403">
        <v>0</v>
      </c>
      <c r="H72" s="403">
        <v>0</v>
      </c>
      <c r="I72" s="403">
        <v>0</v>
      </c>
      <c r="J72" s="176">
        <f t="shared" si="21"/>
        <v>0</v>
      </c>
      <c r="K72" s="179">
        <f t="shared" si="22"/>
        <v>0</v>
      </c>
      <c r="L72" s="403">
        <v>0</v>
      </c>
      <c r="M72" s="87">
        <f t="shared" si="23"/>
        <v>0</v>
      </c>
      <c r="N72" s="87">
        <f t="shared" si="24"/>
        <v>0</v>
      </c>
      <c r="O72" s="403">
        <v>0</v>
      </c>
      <c r="P72" s="86">
        <f t="shared" si="25"/>
        <v>0</v>
      </c>
      <c r="Q72" s="87">
        <f t="shared" si="26"/>
        <v>0</v>
      </c>
      <c r="R72" s="87">
        <f ca="1">IFERROR(__xludf.DUMMYFUNCTION("IMPORTRANGE(""https://docs.google.com/spreadsheets/d/1H1EalTWKUSzO4Z1-1CwzoDUaVffgrThEBe2sl74kKG0/edit?usp=sharing"",""สุพรรณบุรี!Q498"")"),0)</f>
        <v>0</v>
      </c>
      <c r="S72" s="87">
        <f ca="1">IFERROR(__xludf.DUMMYFUNCTION("IMPORTRANGE(""https://docs.google.com/spreadsheets/d/1H1EalTWKUSzO4Z1-1CwzoDUaVffgrThEBe2sl74kKG0/edit?usp=sharing"",""สุพรรณบุรี!R498"")"),0)</f>
        <v>0</v>
      </c>
      <c r="T72" s="87">
        <f ca="1">IFERROR(__xludf.DUMMYFUNCTION("IMPORTRANGE(""https://docs.google.com/spreadsheets/d/1H1EalTWKUSzO4Z1-1CwzoDUaVffgrThEBe2sl74kKG0/edit?usp=sharing"",""สุพรรณบุรี!S498"")"),0)</f>
        <v>0</v>
      </c>
      <c r="U72" s="87">
        <f t="shared" ca="1" si="28"/>
        <v>0</v>
      </c>
      <c r="V72" s="87">
        <f t="shared" ca="1" si="29"/>
        <v>0</v>
      </c>
      <c r="W72" s="353">
        <f ca="1">IFERROR(__xludf.DUMMYFUNCTION("IMPORTRANGE(""https://docs.google.com/spreadsheets/d/1H1EalTWKUSzO4Z1-1CwzoDUaVffgrThEBe2sl74kKG0/edit?usp=sharing"",""สุพรรณบุรี!I503"")"),0)</f>
        <v>0</v>
      </c>
      <c r="X72" s="177">
        <f ca="1">IFERROR(__xludf.DUMMYFUNCTION("IMPORTRANGE(""https://docs.google.com/spreadsheets/d/1H1EalTWKUSzO4Z1-1CwzoDUaVffgrThEBe2sl74kKG0/edit?usp=sharing"",""สุพรรณบุรี!J503"")"),0)</f>
        <v>0</v>
      </c>
      <c r="Y72" s="354">
        <f t="shared" ca="1" si="31"/>
        <v>0</v>
      </c>
      <c r="Z72" s="177">
        <f ca="1">IFERROR(__xludf.DUMMYFUNCTION("IMPORTRANGE(""https://docs.google.com/spreadsheets/d/1H1EalTWKUSzO4Z1-1CwzoDUaVffgrThEBe2sl74kKG0/edit?usp=sharing"",""สุพรรณบุรี!J504"")"),0)</f>
        <v>0</v>
      </c>
      <c r="AA72" s="177">
        <f ca="1">IFERROR(__xludf.DUMMYFUNCTION("IMPORTRANGE(""https://docs.google.com/spreadsheets/d/1H1EalTWKUSzO4Z1-1CwzoDUaVffgrThEBe2sl74kKG0/edit?usp=sharing"",""สุพรรณบุรี!J505"")"),0)</f>
        <v>0</v>
      </c>
      <c r="AB72" s="177">
        <f ca="1">IFERROR(__xludf.DUMMYFUNCTION("IMPORTRANGE(""https://docs.google.com/spreadsheets/d/1H1EalTWKUSzO4Z1-1CwzoDUaVffgrThEBe2sl74kKG0/edit?usp=sharing"",""สุพรรณบุรี!J506"")"),0)</f>
        <v>0</v>
      </c>
      <c r="AC72" s="177">
        <f ca="1">IFERROR(__xludf.DUMMYFUNCTION("IMPORTRANGE(""https://docs.google.com/spreadsheets/d/1H1EalTWKUSzO4Z1-1CwzoDUaVffgrThEBe2sl74kKG0/edit?usp=sharing"",""สุพรรณบุรี!J507"")"),0)</f>
        <v>0</v>
      </c>
      <c r="AD72" s="177">
        <f ca="1">IFERROR(__xludf.DUMMYFUNCTION("IMPORTRANGE(""https://docs.google.com/spreadsheets/d/1H1EalTWKUSzO4Z1-1CwzoDUaVffgrThEBe2sl74kKG0/edit?usp=sharing"",""สุพรรณบุรี!J508"")"),0)</f>
        <v>0</v>
      </c>
      <c r="AE72" s="177">
        <f ca="1">IFERROR(__xludf.DUMMYFUNCTION("IMPORTRANGE(""https://docs.google.com/spreadsheets/d/1H1EalTWKUSzO4Z1-1CwzoDUaVffgrThEBe2sl74kKG0/edit?usp=sharing"",""สุพรรณบุรี!J509"")"),0)</f>
        <v>0</v>
      </c>
    </row>
    <row r="73" spans="1:31" ht="21" customHeight="1" x14ac:dyDescent="0.3">
      <c r="A73" s="100">
        <v>21</v>
      </c>
      <c r="B73" s="101" t="s">
        <v>99</v>
      </c>
      <c r="C73" s="182">
        <f t="shared" si="19"/>
        <v>0</v>
      </c>
      <c r="D73" s="183">
        <f t="shared" si="43"/>
        <v>0</v>
      </c>
      <c r="E73" s="409">
        <v>0</v>
      </c>
      <c r="F73" s="409">
        <v>0</v>
      </c>
      <c r="G73" s="409">
        <v>0</v>
      </c>
      <c r="H73" s="409">
        <v>0</v>
      </c>
      <c r="I73" s="409">
        <v>0</v>
      </c>
      <c r="J73" s="184">
        <f t="shared" si="21"/>
        <v>0</v>
      </c>
      <c r="K73" s="185">
        <f t="shared" si="22"/>
        <v>0</v>
      </c>
      <c r="L73" s="409">
        <v>0</v>
      </c>
      <c r="M73" s="109">
        <f t="shared" si="23"/>
        <v>0</v>
      </c>
      <c r="N73" s="109">
        <f t="shared" si="24"/>
        <v>0</v>
      </c>
      <c r="O73" s="409">
        <v>0</v>
      </c>
      <c r="P73" s="108">
        <f t="shared" si="25"/>
        <v>0</v>
      </c>
      <c r="Q73" s="109">
        <f t="shared" si="26"/>
        <v>0</v>
      </c>
      <c r="R73" s="109">
        <f ca="1">IFERROR(__xludf.DUMMYFUNCTION("IMPORTRANGE(""https://docs.google.com/spreadsheets/d/1BmIruG_sIrJLYao_Pdr7zVArWsfoBt2692TMi6x_854/edit?usp=sharing"",""อ่างทอง!Q498"")"),0)</f>
        <v>0</v>
      </c>
      <c r="S73" s="109">
        <f ca="1">IFERROR(__xludf.DUMMYFUNCTION("IMPORTRANGE(""https://docs.google.com/spreadsheets/d/1BmIruG_sIrJLYao_Pdr7zVArWsfoBt2692TMi6x_854/edit?usp=sharing"",""อ่างทอง!R498"")"),0)</f>
        <v>0</v>
      </c>
      <c r="T73" s="109">
        <f ca="1">IFERROR(__xludf.DUMMYFUNCTION("IMPORTRANGE(""https://docs.google.com/spreadsheets/d/1BmIruG_sIrJLYao_Pdr7zVArWsfoBt2692TMi6x_854/edit?usp=sharing"",""อ่างทอง!S498"")"),0)</f>
        <v>0</v>
      </c>
      <c r="U73" s="109">
        <f t="shared" ca="1" si="28"/>
        <v>0</v>
      </c>
      <c r="V73" s="109">
        <f t="shared" ca="1" si="29"/>
        <v>0</v>
      </c>
      <c r="W73" s="356">
        <f ca="1">IFERROR(__xludf.DUMMYFUNCTION("IMPORTRANGE(""https://docs.google.com/spreadsheets/d/1BmIruG_sIrJLYao_Pdr7zVArWsfoBt2692TMi6x_854/edit?usp=sharing"",""อ่างทอง!I503"")"),0)</f>
        <v>0</v>
      </c>
      <c r="X73" s="186">
        <f ca="1">IFERROR(__xludf.DUMMYFUNCTION("IMPORTRANGE(""https://docs.google.com/spreadsheets/d/1BmIruG_sIrJLYao_Pdr7zVArWsfoBt2692TMi6x_854/edit?usp=sharing"",""อ่างทอง!J503"")"),0)</f>
        <v>0</v>
      </c>
      <c r="Y73" s="357">
        <f t="shared" ca="1" si="31"/>
        <v>0</v>
      </c>
      <c r="Z73" s="186">
        <f ca="1">IFERROR(__xludf.DUMMYFUNCTION("IMPORTRANGE(""https://docs.google.com/spreadsheets/d/1BmIruG_sIrJLYao_Pdr7zVArWsfoBt2692TMi6x_854/edit?usp=sharing"",""อ่างทอง!J504"")"),0)</f>
        <v>0</v>
      </c>
      <c r="AA73" s="186">
        <f ca="1">IFERROR(__xludf.DUMMYFUNCTION("IMPORTRANGE(""https://docs.google.com/spreadsheets/d/1BmIruG_sIrJLYao_Pdr7zVArWsfoBt2692TMi6x_854/edit?usp=sharing"",""อ่างทอง!J505"")"),0)</f>
        <v>0</v>
      </c>
      <c r="AB73" s="186">
        <f ca="1">IFERROR(__xludf.DUMMYFUNCTION("IMPORTRANGE(""https://docs.google.com/spreadsheets/d/1BmIruG_sIrJLYao_Pdr7zVArWsfoBt2692TMi6x_854/edit?usp=sharing"",""อ่างทอง!J506"")"),0)</f>
        <v>0</v>
      </c>
      <c r="AC73" s="186">
        <f ca="1">IFERROR(__xludf.DUMMYFUNCTION("IMPORTRANGE(""https://docs.google.com/spreadsheets/d/1BmIruG_sIrJLYao_Pdr7zVArWsfoBt2692TMi6x_854/edit?usp=sharing"",""อ่างทอง!J507"")"),0)</f>
        <v>0</v>
      </c>
      <c r="AD73" s="186">
        <f ca="1">IFERROR(__xludf.DUMMYFUNCTION("IMPORTRANGE(""https://docs.google.com/spreadsheets/d/1BmIruG_sIrJLYao_Pdr7zVArWsfoBt2692TMi6x_854/edit?usp=sharing"",""อ่างทอง!J508"")"),0)</f>
        <v>0</v>
      </c>
      <c r="AE73" s="186">
        <f ca="1">IFERROR(__xludf.DUMMYFUNCTION("IMPORTRANGE(""https://docs.google.com/spreadsheets/d/1BmIruG_sIrJLYao_Pdr7zVArWsfoBt2692TMi6x_854/edit?usp=sharing"",""อ่างทอง!J509"")"),0)</f>
        <v>0</v>
      </c>
    </row>
    <row r="74" spans="1:31" ht="21" customHeight="1" x14ac:dyDescent="0.3">
      <c r="A74" s="624" t="s">
        <v>100</v>
      </c>
      <c r="B74" s="604"/>
      <c r="C74" s="161">
        <f t="shared" si="19"/>
        <v>0</v>
      </c>
      <c r="D74" s="161">
        <f t="shared" ref="D74:I74" si="44">SUM(D75:D88)</f>
        <v>0</v>
      </c>
      <c r="E74" s="161">
        <f t="shared" si="44"/>
        <v>0</v>
      </c>
      <c r="F74" s="161">
        <f t="shared" si="44"/>
        <v>0</v>
      </c>
      <c r="G74" s="161">
        <f t="shared" si="44"/>
        <v>0</v>
      </c>
      <c r="H74" s="161">
        <f t="shared" si="44"/>
        <v>0</v>
      </c>
      <c r="I74" s="161">
        <f t="shared" si="44"/>
        <v>0</v>
      </c>
      <c r="J74" s="161">
        <f t="shared" si="21"/>
        <v>0</v>
      </c>
      <c r="K74" s="162">
        <f t="shared" si="22"/>
        <v>0</v>
      </c>
      <c r="L74" s="161">
        <f>SUM(L75:L88)</f>
        <v>0</v>
      </c>
      <c r="M74" s="40">
        <f t="shared" si="23"/>
        <v>0</v>
      </c>
      <c r="N74" s="40">
        <f t="shared" si="24"/>
        <v>0</v>
      </c>
      <c r="O74" s="39">
        <f>SUM(O75:O88)</f>
        <v>0</v>
      </c>
      <c r="P74" s="39">
        <f t="shared" si="25"/>
        <v>0</v>
      </c>
      <c r="Q74" s="40">
        <f t="shared" si="26"/>
        <v>0</v>
      </c>
      <c r="R74" s="40">
        <f t="shared" ref="R74:T74" ca="1" si="45">SUM(R75:R88)</f>
        <v>2737845</v>
      </c>
      <c r="S74" s="40">
        <f t="shared" ca="1" si="45"/>
        <v>0</v>
      </c>
      <c r="T74" s="40">
        <f t="shared" ca="1" si="45"/>
        <v>2770</v>
      </c>
      <c r="U74" s="40">
        <f t="shared" ca="1" si="28"/>
        <v>0.10117446385752298</v>
      </c>
      <c r="V74" s="40">
        <f t="shared" ca="1" si="29"/>
        <v>0</v>
      </c>
      <c r="W74" s="348">
        <f t="shared" ref="W74:X74" ca="1" si="46">SUM(W75:W88)</f>
        <v>210</v>
      </c>
      <c r="X74" s="161">
        <f t="shared" ca="1" si="46"/>
        <v>0</v>
      </c>
      <c r="Y74" s="40">
        <f t="shared" ca="1" si="31"/>
        <v>0</v>
      </c>
      <c r="Z74" s="161">
        <f t="shared" ref="Z74:AE74" ca="1" si="47">SUM(Z75:Z88)</f>
        <v>0</v>
      </c>
      <c r="AA74" s="161">
        <f t="shared" ca="1" si="47"/>
        <v>0</v>
      </c>
      <c r="AB74" s="161">
        <f t="shared" ca="1" si="47"/>
        <v>0</v>
      </c>
      <c r="AC74" s="161">
        <f t="shared" ca="1" si="47"/>
        <v>0</v>
      </c>
      <c r="AD74" s="161">
        <f t="shared" ca="1" si="47"/>
        <v>0</v>
      </c>
      <c r="AE74" s="161">
        <f t="shared" ca="1" si="47"/>
        <v>0</v>
      </c>
    </row>
    <row r="75" spans="1:31" ht="21" customHeight="1" x14ac:dyDescent="0.3">
      <c r="A75" s="77">
        <v>1</v>
      </c>
      <c r="B75" s="78" t="s">
        <v>101</v>
      </c>
      <c r="C75" s="174">
        <f t="shared" si="19"/>
        <v>0</v>
      </c>
      <c r="D75" s="175">
        <f t="shared" ref="D75:D88" si="48">+E75+F75</f>
        <v>0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176">
        <f t="shared" si="21"/>
        <v>0</v>
      </c>
      <c r="K75" s="179">
        <f t="shared" si="22"/>
        <v>0</v>
      </c>
      <c r="L75" s="403">
        <v>0</v>
      </c>
      <c r="M75" s="87">
        <f t="shared" si="23"/>
        <v>0</v>
      </c>
      <c r="N75" s="87">
        <f t="shared" si="24"/>
        <v>0</v>
      </c>
      <c r="O75" s="403">
        <v>0</v>
      </c>
      <c r="P75" s="86">
        <f t="shared" si="25"/>
        <v>0</v>
      </c>
      <c r="Q75" s="87">
        <f t="shared" si="26"/>
        <v>0</v>
      </c>
      <c r="R75" s="87">
        <f ca="1">IFERROR(__xludf.DUMMYFUNCTION("IMPORTRANGE(""https://docs.google.com/spreadsheets/d/1kKUcYdkIfrgTSj8iHHHB2MD2FAtwyyocFgqGQn6ADyI/edit?usp=sharing"",""กระบี่!Q498"")"),1169450)</f>
        <v>1169450</v>
      </c>
      <c r="S75" s="87">
        <f ca="1">IFERROR(__xludf.DUMMYFUNCTION("IMPORTRANGE(""https://docs.google.com/spreadsheets/d/1kKUcYdkIfrgTSj8iHHHB2MD2FAtwyyocFgqGQn6ADyI/edit?usp=sharing"",""กระบี่!R498"")"),0)</f>
        <v>0</v>
      </c>
      <c r="T75" s="87">
        <f ca="1">IFERROR(__xludf.DUMMYFUNCTION("IMPORTRANGE(""https://docs.google.com/spreadsheets/d/1kKUcYdkIfrgTSj8iHHHB2MD2FAtwyyocFgqGQn6ADyI/edit?usp=sharing"",""กระบี่!S498"")"),1500)</f>
        <v>1500</v>
      </c>
      <c r="U75" s="87">
        <f t="shared" ca="1" si="28"/>
        <v>0.12826542391722603</v>
      </c>
      <c r="V75" s="87">
        <f t="shared" ca="1" si="29"/>
        <v>0</v>
      </c>
      <c r="W75" s="353">
        <f ca="1">IFERROR(__xludf.DUMMYFUNCTION("IMPORTRANGE(""https://docs.google.com/spreadsheets/d/1kKUcYdkIfrgTSj8iHHHB2MD2FAtwyyocFgqGQn6ADyI/edit?usp=sharing"",""กระบี่!I503"")"),100)</f>
        <v>100</v>
      </c>
      <c r="X75" s="177">
        <f ca="1">IFERROR(__xludf.DUMMYFUNCTION("IMPORTRANGE(""https://docs.google.com/spreadsheets/d/1kKUcYdkIfrgTSj8iHHHB2MD2FAtwyyocFgqGQn6ADyI/edit?usp=sharing"",""กระบี่!J503"")"),0)</f>
        <v>0</v>
      </c>
      <c r="Y75" s="354">
        <f t="shared" ca="1" si="31"/>
        <v>0</v>
      </c>
      <c r="Z75" s="177">
        <f ca="1">IFERROR(__xludf.DUMMYFUNCTION("IMPORTRANGE(""https://docs.google.com/spreadsheets/d/1kKUcYdkIfrgTSj8iHHHB2MD2FAtwyyocFgqGQn6ADyI/edit?usp=sharing"",""กระบี่!J504"")"),0)</f>
        <v>0</v>
      </c>
      <c r="AA75" s="177">
        <f ca="1">IFERROR(__xludf.DUMMYFUNCTION("IMPORTRANGE(""https://docs.google.com/spreadsheets/d/1kKUcYdkIfrgTSj8iHHHB2MD2FAtwyyocFgqGQn6ADyI/edit?usp=sharing"",""กระบี่!J505"")"),0)</f>
        <v>0</v>
      </c>
      <c r="AB75" s="177">
        <f ca="1">IFERROR(__xludf.DUMMYFUNCTION("IMPORTRANGE(""https://docs.google.com/spreadsheets/d/1kKUcYdkIfrgTSj8iHHHB2MD2FAtwyyocFgqGQn6ADyI/edit?usp=sharing"",""กระบี่!J506"")"),0)</f>
        <v>0</v>
      </c>
      <c r="AC75" s="177">
        <f ca="1">IFERROR(__xludf.DUMMYFUNCTION("IMPORTRANGE(""https://docs.google.com/spreadsheets/d/1kKUcYdkIfrgTSj8iHHHB2MD2FAtwyyocFgqGQn6ADyI/edit?usp=sharing"",""กระบี่!J507"")"),0)</f>
        <v>0</v>
      </c>
      <c r="AD75" s="177">
        <f ca="1">IFERROR(__xludf.DUMMYFUNCTION("IMPORTRANGE(""https://docs.google.com/spreadsheets/d/1kKUcYdkIfrgTSj8iHHHB2MD2FAtwyyocFgqGQn6ADyI/edit?usp=sharing"",""กระบี่!J508"")"),0)</f>
        <v>0</v>
      </c>
      <c r="AE75" s="177">
        <f ca="1">IFERROR(__xludf.DUMMYFUNCTION("IMPORTRANGE(""https://docs.google.com/spreadsheets/d/1kKUcYdkIfrgTSj8iHHHB2MD2FAtwyyocFgqGQn6ADyI/edit?usp=sharing"",""กระบี่!J509"")"),0)</f>
        <v>0</v>
      </c>
    </row>
    <row r="76" spans="1:31" ht="21" customHeight="1" x14ac:dyDescent="0.3">
      <c r="A76" s="89">
        <v>2</v>
      </c>
      <c r="B76" s="90" t="s">
        <v>102</v>
      </c>
      <c r="C76" s="174">
        <f t="shared" si="19"/>
        <v>0</v>
      </c>
      <c r="D76" s="175">
        <f t="shared" si="48"/>
        <v>0</v>
      </c>
      <c r="E76" s="403">
        <v>0</v>
      </c>
      <c r="F76" s="403">
        <v>0</v>
      </c>
      <c r="G76" s="403">
        <v>0</v>
      </c>
      <c r="H76" s="403">
        <v>0</v>
      </c>
      <c r="I76" s="403">
        <v>0</v>
      </c>
      <c r="J76" s="176">
        <f t="shared" si="21"/>
        <v>0</v>
      </c>
      <c r="K76" s="179">
        <f t="shared" si="22"/>
        <v>0</v>
      </c>
      <c r="L76" s="403">
        <v>0</v>
      </c>
      <c r="M76" s="87">
        <f t="shared" si="23"/>
        <v>0</v>
      </c>
      <c r="N76" s="87">
        <f t="shared" si="24"/>
        <v>0</v>
      </c>
      <c r="O76" s="403">
        <v>0</v>
      </c>
      <c r="P76" s="86">
        <f t="shared" si="25"/>
        <v>0</v>
      </c>
      <c r="Q76" s="87">
        <f t="shared" si="26"/>
        <v>0</v>
      </c>
      <c r="R76" s="87">
        <f ca="1">IFERROR(__xludf.DUMMYFUNCTION("IMPORTRANGE(""https://docs.google.com/spreadsheets/d/1GwtLaSlNZkLk7iDqcyZz22giiy40b_usZZBXYciEN1U/edit?usp=sharing"",""ชุมพร!Q498"")"),648025)</f>
        <v>648025</v>
      </c>
      <c r="S76" s="87">
        <f ca="1">IFERROR(__xludf.DUMMYFUNCTION("IMPORTRANGE(""https://docs.google.com/spreadsheets/d/1GwtLaSlNZkLk7iDqcyZz22giiy40b_usZZBXYciEN1U/edit?usp=sharing"",""ชุมพร!R498"")"),0)</f>
        <v>0</v>
      </c>
      <c r="T76" s="87">
        <f ca="1">IFERROR(__xludf.DUMMYFUNCTION("IMPORTRANGE(""https://docs.google.com/spreadsheets/d/1GwtLaSlNZkLk7iDqcyZz22giiy40b_usZZBXYciEN1U/edit?usp=sharing"",""ชุมพร!S498"")"),0)</f>
        <v>0</v>
      </c>
      <c r="U76" s="87">
        <f t="shared" ca="1" si="28"/>
        <v>0</v>
      </c>
      <c r="V76" s="87">
        <f t="shared" ca="1" si="29"/>
        <v>0</v>
      </c>
      <c r="W76" s="353">
        <f ca="1">IFERROR(__xludf.DUMMYFUNCTION("IMPORTRANGE(""https://docs.google.com/spreadsheets/d/1GwtLaSlNZkLk7iDqcyZz22giiy40b_usZZBXYciEN1U/edit?usp=sharing"",""ชุมพร!I503"")"),50)</f>
        <v>50</v>
      </c>
      <c r="X76" s="177">
        <f ca="1">IFERROR(__xludf.DUMMYFUNCTION("IMPORTRANGE(""https://docs.google.com/spreadsheets/d/1GwtLaSlNZkLk7iDqcyZz22giiy40b_usZZBXYciEN1U/edit?usp=sharing"",""ชุมพร!J503"")"),0)</f>
        <v>0</v>
      </c>
      <c r="Y76" s="354">
        <f t="shared" ca="1" si="31"/>
        <v>0</v>
      </c>
      <c r="Z76" s="177">
        <f ca="1">IFERROR(__xludf.DUMMYFUNCTION("IMPORTRANGE(""https://docs.google.com/spreadsheets/d/1GwtLaSlNZkLk7iDqcyZz22giiy40b_usZZBXYciEN1U/edit?usp=sharing"",""ชุมพร!J504"")"),0)</f>
        <v>0</v>
      </c>
      <c r="AA76" s="177">
        <f ca="1">IFERROR(__xludf.DUMMYFUNCTION("IMPORTRANGE(""https://docs.google.com/spreadsheets/d/1GwtLaSlNZkLk7iDqcyZz22giiy40b_usZZBXYciEN1U/edit?usp=sharing"",""ชุมพร!J505"")"),0)</f>
        <v>0</v>
      </c>
      <c r="AB76" s="177">
        <f ca="1">IFERROR(__xludf.DUMMYFUNCTION("IMPORTRANGE(""https://docs.google.com/spreadsheets/d/1GwtLaSlNZkLk7iDqcyZz22giiy40b_usZZBXYciEN1U/edit?usp=sharing"",""ชุมพร!J506"")"),0)</f>
        <v>0</v>
      </c>
      <c r="AC76" s="177">
        <f ca="1">IFERROR(__xludf.DUMMYFUNCTION("IMPORTRANGE(""https://docs.google.com/spreadsheets/d/1GwtLaSlNZkLk7iDqcyZz22giiy40b_usZZBXYciEN1U/edit?usp=sharing"",""ชุมพร!J507"")"),0)</f>
        <v>0</v>
      </c>
      <c r="AD76" s="177">
        <f ca="1">IFERROR(__xludf.DUMMYFUNCTION("IMPORTRANGE(""https://docs.google.com/spreadsheets/d/1GwtLaSlNZkLk7iDqcyZz22giiy40b_usZZBXYciEN1U/edit?usp=sharing"",""ชุมพร!J508"")"),0)</f>
        <v>0</v>
      </c>
      <c r="AE76" s="177">
        <f ca="1">IFERROR(__xludf.DUMMYFUNCTION("IMPORTRANGE(""https://docs.google.com/spreadsheets/d/1GwtLaSlNZkLk7iDqcyZz22giiy40b_usZZBXYciEN1U/edit?usp=sharing"",""ชุมพร!J509"")"),0)</f>
        <v>0</v>
      </c>
    </row>
    <row r="77" spans="1:31" ht="21" customHeight="1" x14ac:dyDescent="0.3">
      <c r="A77" s="89">
        <v>3</v>
      </c>
      <c r="B77" s="90" t="s">
        <v>103</v>
      </c>
      <c r="C77" s="174">
        <f t="shared" si="19"/>
        <v>0</v>
      </c>
      <c r="D77" s="175">
        <f t="shared" si="48"/>
        <v>0</v>
      </c>
      <c r="E77" s="403">
        <v>0</v>
      </c>
      <c r="F77" s="403">
        <v>0</v>
      </c>
      <c r="G77" s="403">
        <v>0</v>
      </c>
      <c r="H77" s="403">
        <v>0</v>
      </c>
      <c r="I77" s="403">
        <v>0</v>
      </c>
      <c r="J77" s="176">
        <f t="shared" si="21"/>
        <v>0</v>
      </c>
      <c r="K77" s="179">
        <f t="shared" si="22"/>
        <v>0</v>
      </c>
      <c r="L77" s="403">
        <v>0</v>
      </c>
      <c r="M77" s="87">
        <f t="shared" si="23"/>
        <v>0</v>
      </c>
      <c r="N77" s="87">
        <f t="shared" si="24"/>
        <v>0</v>
      </c>
      <c r="O77" s="403">
        <v>0</v>
      </c>
      <c r="P77" s="86">
        <f t="shared" si="25"/>
        <v>0</v>
      </c>
      <c r="Q77" s="87">
        <f t="shared" si="26"/>
        <v>0</v>
      </c>
      <c r="R77" s="87">
        <f ca="1">IFERROR(__xludf.DUMMYFUNCTION("IMPORTRANGE(""https://docs.google.com/spreadsheets/d/16pAz3pOhQEZBhvFNMa5KGgZS6iKWpsKX0pg6tQmwFpo/edit?usp=sharing"",""ตรัง!Q498"")"),0)</f>
        <v>0</v>
      </c>
      <c r="S77" s="87">
        <f ca="1">IFERROR(__xludf.DUMMYFUNCTION("IMPORTRANGE(""https://docs.google.com/spreadsheets/d/16pAz3pOhQEZBhvFNMa5KGgZS6iKWpsKX0pg6tQmwFpo/edit?usp=sharing"",""ตรัง!R498"")"),0)</f>
        <v>0</v>
      </c>
      <c r="T77" s="87">
        <f ca="1">IFERROR(__xludf.DUMMYFUNCTION("IMPORTRANGE(""https://docs.google.com/spreadsheets/d/16pAz3pOhQEZBhvFNMa5KGgZS6iKWpsKX0pg6tQmwFpo/edit?usp=sharing"",""ตรัง!S498"")"),0)</f>
        <v>0</v>
      </c>
      <c r="U77" s="87">
        <f t="shared" ca="1" si="28"/>
        <v>0</v>
      </c>
      <c r="V77" s="87">
        <f t="shared" ca="1" si="29"/>
        <v>0</v>
      </c>
      <c r="W77" s="353">
        <f ca="1">IFERROR(__xludf.DUMMYFUNCTION("IMPORTRANGE(""https://docs.google.com/spreadsheets/d/16pAz3pOhQEZBhvFNMa5KGgZS6iKWpsKX0pg6tQmwFpo/edit?usp=sharing"",""ตรัง!I503"")"),0)</f>
        <v>0</v>
      </c>
      <c r="X77" s="177">
        <f ca="1">IFERROR(__xludf.DUMMYFUNCTION("IMPORTRANGE(""https://docs.google.com/spreadsheets/d/16pAz3pOhQEZBhvFNMa5KGgZS6iKWpsKX0pg6tQmwFpo/edit?usp=sharing"",""ตรัง!J503"")"),0)</f>
        <v>0</v>
      </c>
      <c r="Y77" s="354">
        <f t="shared" ca="1" si="31"/>
        <v>0</v>
      </c>
      <c r="Z77" s="177">
        <f ca="1">IFERROR(__xludf.DUMMYFUNCTION("IMPORTRANGE(""https://docs.google.com/spreadsheets/d/16pAz3pOhQEZBhvFNMa5KGgZS6iKWpsKX0pg6tQmwFpo/edit?usp=sharing"",""ตรัง!J504"")"),0)</f>
        <v>0</v>
      </c>
      <c r="AA77" s="177">
        <f ca="1">IFERROR(__xludf.DUMMYFUNCTION("IMPORTRANGE(""https://docs.google.com/spreadsheets/d/16pAz3pOhQEZBhvFNMa5KGgZS6iKWpsKX0pg6tQmwFpo/edit?usp=sharing"",""ตรัง!J505"")"),0)</f>
        <v>0</v>
      </c>
      <c r="AB77" s="177">
        <f ca="1">IFERROR(__xludf.DUMMYFUNCTION("IMPORTRANGE(""https://docs.google.com/spreadsheets/d/16pAz3pOhQEZBhvFNMa5KGgZS6iKWpsKX0pg6tQmwFpo/edit?usp=sharing"",""ตรัง!J506"")"),0)</f>
        <v>0</v>
      </c>
      <c r="AC77" s="177">
        <f ca="1">IFERROR(__xludf.DUMMYFUNCTION("IMPORTRANGE(""https://docs.google.com/spreadsheets/d/16pAz3pOhQEZBhvFNMa5KGgZS6iKWpsKX0pg6tQmwFpo/edit?usp=sharing"",""ตรัง!J507"")"),0)</f>
        <v>0</v>
      </c>
      <c r="AD77" s="177">
        <f ca="1">IFERROR(__xludf.DUMMYFUNCTION("IMPORTRANGE(""https://docs.google.com/spreadsheets/d/16pAz3pOhQEZBhvFNMa5KGgZS6iKWpsKX0pg6tQmwFpo/edit?usp=sharing"",""ตรัง!J508"")"),0)</f>
        <v>0</v>
      </c>
      <c r="AE77" s="177">
        <f ca="1">IFERROR(__xludf.DUMMYFUNCTION("IMPORTRANGE(""https://docs.google.com/spreadsheets/d/16pAz3pOhQEZBhvFNMa5KGgZS6iKWpsKX0pg6tQmwFpo/edit?usp=sharing"",""ตรัง!J509"")"),0)</f>
        <v>0</v>
      </c>
    </row>
    <row r="78" spans="1:31" ht="21" customHeight="1" x14ac:dyDescent="0.3">
      <c r="A78" s="89">
        <v>4</v>
      </c>
      <c r="B78" s="90" t="s">
        <v>104</v>
      </c>
      <c r="C78" s="174">
        <f t="shared" si="19"/>
        <v>0</v>
      </c>
      <c r="D78" s="175">
        <f t="shared" si="48"/>
        <v>0</v>
      </c>
      <c r="E78" s="403">
        <v>0</v>
      </c>
      <c r="F78" s="403">
        <v>0</v>
      </c>
      <c r="G78" s="403">
        <v>0</v>
      </c>
      <c r="H78" s="403">
        <v>0</v>
      </c>
      <c r="I78" s="403">
        <v>0</v>
      </c>
      <c r="J78" s="176">
        <f t="shared" si="21"/>
        <v>0</v>
      </c>
      <c r="K78" s="179">
        <f t="shared" si="22"/>
        <v>0</v>
      </c>
      <c r="L78" s="403">
        <v>0</v>
      </c>
      <c r="M78" s="87">
        <f t="shared" si="23"/>
        <v>0</v>
      </c>
      <c r="N78" s="87">
        <f t="shared" si="24"/>
        <v>0</v>
      </c>
      <c r="O78" s="403">
        <v>0</v>
      </c>
      <c r="P78" s="86">
        <f t="shared" si="25"/>
        <v>0</v>
      </c>
      <c r="Q78" s="87">
        <f t="shared" si="26"/>
        <v>0</v>
      </c>
      <c r="R78" s="87">
        <f ca="1">IFERROR(__xludf.DUMMYFUNCTION("IMPORTRANGE(""https://docs.google.com/spreadsheets/d/1Dj4jcHCTV9JXKCaMoheSXS52JE63kDKyG7bPXnFogHk/edit?usp=sharing"",""นครศรีธรรมราช!Q498"")"),0)</f>
        <v>0</v>
      </c>
      <c r="S78" s="87">
        <f ca="1">IFERROR(__xludf.DUMMYFUNCTION("IMPORTRANGE(""https://docs.google.com/spreadsheets/d/1Dj4jcHCTV9JXKCaMoheSXS52JE63kDKyG7bPXnFogHk/edit?usp=sharing"",""นครศรีธรรมราช!R498"")"),0)</f>
        <v>0</v>
      </c>
      <c r="T78" s="87">
        <f ca="1">IFERROR(__xludf.DUMMYFUNCTION("IMPORTRANGE(""https://docs.google.com/spreadsheets/d/1Dj4jcHCTV9JXKCaMoheSXS52JE63kDKyG7bPXnFogHk/edit?usp=sharing"",""นครศรีธรรมราช!S498"")"),0)</f>
        <v>0</v>
      </c>
      <c r="U78" s="87">
        <f t="shared" ca="1" si="28"/>
        <v>0</v>
      </c>
      <c r="V78" s="87">
        <f t="shared" ca="1" si="29"/>
        <v>0</v>
      </c>
      <c r="W78" s="353">
        <f ca="1">IFERROR(__xludf.DUMMYFUNCTION("IMPORTRANGE(""https://docs.google.com/spreadsheets/d/1Dj4jcHCTV9JXKCaMoheSXS52JE63kDKyG7bPXnFogHk/edit?usp=sharing"",""นครศรีธรรมราช!I503"")"),0)</f>
        <v>0</v>
      </c>
      <c r="X78" s="177">
        <f ca="1">IFERROR(__xludf.DUMMYFUNCTION("IMPORTRANGE(""https://docs.google.com/spreadsheets/d/1Dj4jcHCTV9JXKCaMoheSXS52JE63kDKyG7bPXnFogHk/edit?usp=sharing"",""นครศรีธรรมราช!J503"")"),0)</f>
        <v>0</v>
      </c>
      <c r="Y78" s="354">
        <f t="shared" ca="1" si="31"/>
        <v>0</v>
      </c>
      <c r="Z78" s="177">
        <f ca="1">IFERROR(__xludf.DUMMYFUNCTION("IMPORTRANGE(""https://docs.google.com/spreadsheets/d/1Dj4jcHCTV9JXKCaMoheSXS52JE63kDKyG7bPXnFogHk/edit?usp=sharing"",""นครศรีธรรมราช!J504"")"),0)</f>
        <v>0</v>
      </c>
      <c r="AA78" s="177">
        <f ca="1">IFERROR(__xludf.DUMMYFUNCTION("IMPORTRANGE(""https://docs.google.com/spreadsheets/d/1Dj4jcHCTV9JXKCaMoheSXS52JE63kDKyG7bPXnFogHk/edit?usp=sharing"",""นครศรีธรรมราช!J505"")"),0)</f>
        <v>0</v>
      </c>
      <c r="AB78" s="177">
        <f ca="1">IFERROR(__xludf.DUMMYFUNCTION("IMPORTRANGE(""https://docs.google.com/spreadsheets/d/1Dj4jcHCTV9JXKCaMoheSXS52JE63kDKyG7bPXnFogHk/edit?usp=sharing"",""นครศรีธรรมราช!J506"")"),0)</f>
        <v>0</v>
      </c>
      <c r="AC78" s="177">
        <f ca="1">IFERROR(__xludf.DUMMYFUNCTION("IMPORTRANGE(""https://docs.google.com/spreadsheets/d/1Dj4jcHCTV9JXKCaMoheSXS52JE63kDKyG7bPXnFogHk/edit?usp=sharing"",""นครศรีธรรมราช!J507"")"),0)</f>
        <v>0</v>
      </c>
      <c r="AD78" s="177">
        <f ca="1">IFERROR(__xludf.DUMMYFUNCTION("IMPORTRANGE(""https://docs.google.com/spreadsheets/d/1Dj4jcHCTV9JXKCaMoheSXS52JE63kDKyG7bPXnFogHk/edit?usp=sharing"",""นครศรีธรรมราช!J508"")"),0)</f>
        <v>0</v>
      </c>
      <c r="AE78" s="177">
        <f ca="1">IFERROR(__xludf.DUMMYFUNCTION("IMPORTRANGE(""https://docs.google.com/spreadsheets/d/1Dj4jcHCTV9JXKCaMoheSXS52JE63kDKyG7bPXnFogHk/edit?usp=sharing"",""นครศรีธรรมราช!J509"")"),0)</f>
        <v>0</v>
      </c>
    </row>
    <row r="79" spans="1:31" ht="21" customHeight="1" x14ac:dyDescent="0.3">
      <c r="A79" s="89">
        <v>5</v>
      </c>
      <c r="B79" s="90" t="s">
        <v>105</v>
      </c>
      <c r="C79" s="174">
        <f t="shared" si="19"/>
        <v>0</v>
      </c>
      <c r="D79" s="175">
        <f t="shared" si="48"/>
        <v>0</v>
      </c>
      <c r="E79" s="403">
        <v>0</v>
      </c>
      <c r="F79" s="403">
        <v>0</v>
      </c>
      <c r="G79" s="403">
        <v>0</v>
      </c>
      <c r="H79" s="403">
        <v>0</v>
      </c>
      <c r="I79" s="403">
        <v>0</v>
      </c>
      <c r="J79" s="176">
        <f t="shared" si="21"/>
        <v>0</v>
      </c>
      <c r="K79" s="179">
        <f t="shared" si="22"/>
        <v>0</v>
      </c>
      <c r="L79" s="403">
        <v>0</v>
      </c>
      <c r="M79" s="87">
        <f t="shared" si="23"/>
        <v>0</v>
      </c>
      <c r="N79" s="87">
        <f t="shared" si="24"/>
        <v>0</v>
      </c>
      <c r="O79" s="403">
        <v>0</v>
      </c>
      <c r="P79" s="86">
        <f t="shared" si="25"/>
        <v>0</v>
      </c>
      <c r="Q79" s="87">
        <f t="shared" si="26"/>
        <v>0</v>
      </c>
      <c r="R79" s="87">
        <f ca="1">IFERROR(__xludf.DUMMYFUNCTION("IMPORTRANGE(""https://docs.google.com/spreadsheets/d/1iodCdmuK2GR3jzUwk8tpccY2JHQQA-87DLOtJP-ooyU/edit?usp=sharing"",""นราธิวาส!Q498"")"),0)</f>
        <v>0</v>
      </c>
      <c r="S79" s="87">
        <f ca="1">IFERROR(__xludf.DUMMYFUNCTION("IMPORTRANGE(""https://docs.google.com/spreadsheets/d/1iodCdmuK2GR3jzUwk8tpccY2JHQQA-87DLOtJP-ooyU/edit?usp=sharing"",""นราธิวาส!R498"")"),0)</f>
        <v>0</v>
      </c>
      <c r="T79" s="87">
        <f ca="1">IFERROR(__xludf.DUMMYFUNCTION("IMPORTRANGE(""https://docs.google.com/spreadsheets/d/1iodCdmuK2GR3jzUwk8tpccY2JHQQA-87DLOtJP-ooyU/edit?usp=sharing"",""นราธิวาส!S498"")"),0)</f>
        <v>0</v>
      </c>
      <c r="U79" s="87">
        <f t="shared" ca="1" si="28"/>
        <v>0</v>
      </c>
      <c r="V79" s="87">
        <f t="shared" ca="1" si="29"/>
        <v>0</v>
      </c>
      <c r="W79" s="353">
        <f ca="1">IFERROR(__xludf.DUMMYFUNCTION("IMPORTRANGE(""https://docs.google.com/spreadsheets/d/1iodCdmuK2GR3jzUwk8tpccY2JHQQA-87DLOtJP-ooyU/edit?usp=sharing"",""นราธิวาส!I503"")"),0)</f>
        <v>0</v>
      </c>
      <c r="X79" s="177">
        <f ca="1">IFERROR(__xludf.DUMMYFUNCTION("IMPORTRANGE(""https://docs.google.com/spreadsheets/d/1iodCdmuK2GR3jzUwk8tpccY2JHQQA-87DLOtJP-ooyU/edit?usp=sharing"",""นราธิวาส!J503"")"),0)</f>
        <v>0</v>
      </c>
      <c r="Y79" s="354">
        <f t="shared" ca="1" si="31"/>
        <v>0</v>
      </c>
      <c r="Z79" s="177">
        <f ca="1">IFERROR(__xludf.DUMMYFUNCTION("IMPORTRANGE(""https://docs.google.com/spreadsheets/d/1iodCdmuK2GR3jzUwk8tpccY2JHQQA-87DLOtJP-ooyU/edit?usp=sharing"",""นราธิวาส!J504"")"),0)</f>
        <v>0</v>
      </c>
      <c r="AA79" s="177">
        <f ca="1">IFERROR(__xludf.DUMMYFUNCTION("IMPORTRANGE(""https://docs.google.com/spreadsheets/d/1iodCdmuK2GR3jzUwk8tpccY2JHQQA-87DLOtJP-ooyU/edit?usp=sharing"",""นราธิวาส!J505"")"),0)</f>
        <v>0</v>
      </c>
      <c r="AB79" s="177">
        <f ca="1">IFERROR(__xludf.DUMMYFUNCTION("IMPORTRANGE(""https://docs.google.com/spreadsheets/d/1iodCdmuK2GR3jzUwk8tpccY2JHQQA-87DLOtJP-ooyU/edit?usp=sharing"",""นราธิวาส!J506"")"),0)</f>
        <v>0</v>
      </c>
      <c r="AC79" s="177">
        <f ca="1">IFERROR(__xludf.DUMMYFUNCTION("IMPORTRANGE(""https://docs.google.com/spreadsheets/d/1iodCdmuK2GR3jzUwk8tpccY2JHQQA-87DLOtJP-ooyU/edit?usp=sharing"",""นราธิวาส!J507"")"),0)</f>
        <v>0</v>
      </c>
      <c r="AD79" s="177">
        <f ca="1">IFERROR(__xludf.DUMMYFUNCTION("IMPORTRANGE(""https://docs.google.com/spreadsheets/d/1iodCdmuK2GR3jzUwk8tpccY2JHQQA-87DLOtJP-ooyU/edit?usp=sharing"",""นราธิวาส!J508"")"),0)</f>
        <v>0</v>
      </c>
      <c r="AE79" s="177">
        <f ca="1">IFERROR(__xludf.DUMMYFUNCTION("IMPORTRANGE(""https://docs.google.com/spreadsheets/d/1iodCdmuK2GR3jzUwk8tpccY2JHQQA-87DLOtJP-ooyU/edit?usp=sharing"",""นราธิวาส!J509"")"),0)</f>
        <v>0</v>
      </c>
    </row>
    <row r="80" spans="1:31" ht="21" customHeight="1" x14ac:dyDescent="0.3">
      <c r="A80" s="89">
        <v>6</v>
      </c>
      <c r="B80" s="90" t="s">
        <v>106</v>
      </c>
      <c r="C80" s="174">
        <f t="shared" si="19"/>
        <v>0</v>
      </c>
      <c r="D80" s="175">
        <f t="shared" si="48"/>
        <v>0</v>
      </c>
      <c r="E80" s="403">
        <v>0</v>
      </c>
      <c r="F80" s="403">
        <v>0</v>
      </c>
      <c r="G80" s="403">
        <v>0</v>
      </c>
      <c r="H80" s="403">
        <v>0</v>
      </c>
      <c r="I80" s="403">
        <v>0</v>
      </c>
      <c r="J80" s="176">
        <f t="shared" si="21"/>
        <v>0</v>
      </c>
      <c r="K80" s="179">
        <f t="shared" si="22"/>
        <v>0</v>
      </c>
      <c r="L80" s="403">
        <v>0</v>
      </c>
      <c r="M80" s="87">
        <f t="shared" si="23"/>
        <v>0</v>
      </c>
      <c r="N80" s="87">
        <f t="shared" si="24"/>
        <v>0</v>
      </c>
      <c r="O80" s="403">
        <v>0</v>
      </c>
      <c r="P80" s="86">
        <f t="shared" si="25"/>
        <v>0</v>
      </c>
      <c r="Q80" s="87">
        <f t="shared" si="26"/>
        <v>0</v>
      </c>
      <c r="R80" s="87">
        <f ca="1">IFERROR(__xludf.DUMMYFUNCTION("IMPORTRANGE(""https://docs.google.com/spreadsheets/d/1SDNX3JhDdYRuIOsj0Wh2M-Qa_eaXl0NbWmhAOTbfQAs/edit?usp=sharing"",""ปัตตานี!Q498"")"),0)</f>
        <v>0</v>
      </c>
      <c r="S80" s="87">
        <f ca="1">IFERROR(__xludf.DUMMYFUNCTION("IMPORTRANGE(""https://docs.google.com/spreadsheets/d/1SDNX3JhDdYRuIOsj0Wh2M-Qa_eaXl0NbWmhAOTbfQAs/edit?usp=sharing"",""ปัตตานี!R498"")"),0)</f>
        <v>0</v>
      </c>
      <c r="T80" s="87">
        <f ca="1">IFERROR(__xludf.DUMMYFUNCTION("IMPORTRANGE(""https://docs.google.com/spreadsheets/d/1SDNX3JhDdYRuIOsj0Wh2M-Qa_eaXl0NbWmhAOTbfQAs/edit?usp=sharing"",""ปัตตานี!S498"")"),0)</f>
        <v>0</v>
      </c>
      <c r="U80" s="87">
        <f t="shared" ca="1" si="28"/>
        <v>0</v>
      </c>
      <c r="V80" s="87">
        <f t="shared" ca="1" si="29"/>
        <v>0</v>
      </c>
      <c r="W80" s="355">
        <f ca="1">IFERROR(__xludf.DUMMYFUNCTION("IMPORTRANGE(""https://docs.google.com/spreadsheets/d/1SDNX3JhDdYRuIOsj0Wh2M-Qa_eaXl0NbWmhAOTbfQAs/edit?usp=sharing"",""ปัตตานี!I503"")"),0)</f>
        <v>0</v>
      </c>
      <c r="X80" s="177">
        <f ca="1">IFERROR(__xludf.DUMMYFUNCTION("IMPORTRANGE(""https://docs.google.com/spreadsheets/d/1SDNX3JhDdYRuIOsj0Wh2M-Qa_eaXl0NbWmhAOTbfQAs/edit?usp=sharing"",""ปัตตานี!J503"")"),0)</f>
        <v>0</v>
      </c>
      <c r="Y80" s="354">
        <f t="shared" ca="1" si="31"/>
        <v>0</v>
      </c>
      <c r="Z80" s="177">
        <f ca="1">IFERROR(__xludf.DUMMYFUNCTION("IMPORTRANGE(""https://docs.google.com/spreadsheets/d/1SDNX3JhDdYRuIOsj0Wh2M-Qa_eaXl0NbWmhAOTbfQAs/edit?usp=sharing"",""ปัตตานี!J504"")"),0)</f>
        <v>0</v>
      </c>
      <c r="AA80" s="177">
        <f ca="1">IFERROR(__xludf.DUMMYFUNCTION("IMPORTRANGE(""https://docs.google.com/spreadsheets/d/1SDNX3JhDdYRuIOsj0Wh2M-Qa_eaXl0NbWmhAOTbfQAs/edit?usp=sharing"",""ปัตตานี!J505"")"),0)</f>
        <v>0</v>
      </c>
      <c r="AB80" s="177">
        <f ca="1">IFERROR(__xludf.DUMMYFUNCTION("IMPORTRANGE(""https://docs.google.com/spreadsheets/d/1SDNX3JhDdYRuIOsj0Wh2M-Qa_eaXl0NbWmhAOTbfQAs/edit?usp=sharing"",""ปัตตานี!J506"")"),0)</f>
        <v>0</v>
      </c>
      <c r="AC80" s="177">
        <f ca="1">IFERROR(__xludf.DUMMYFUNCTION("IMPORTRANGE(""https://docs.google.com/spreadsheets/d/1SDNX3JhDdYRuIOsj0Wh2M-Qa_eaXl0NbWmhAOTbfQAs/edit?usp=sharing"",""ปัตตานี!J507"")"),0)</f>
        <v>0</v>
      </c>
      <c r="AD80" s="177">
        <f ca="1">IFERROR(__xludf.DUMMYFUNCTION("IMPORTRANGE(""https://docs.google.com/spreadsheets/d/1SDNX3JhDdYRuIOsj0Wh2M-Qa_eaXl0NbWmhAOTbfQAs/edit?usp=sharing"",""ปัตตานี!J508"")"),0)</f>
        <v>0</v>
      </c>
      <c r="AE80" s="177">
        <f ca="1">IFERROR(__xludf.DUMMYFUNCTION("IMPORTRANGE(""https://docs.google.com/spreadsheets/d/1SDNX3JhDdYRuIOsj0Wh2M-Qa_eaXl0NbWmhAOTbfQAs/edit?usp=sharing"",""ปัตตานี!J509"")"),0)</f>
        <v>0</v>
      </c>
    </row>
    <row r="81" spans="1:31" ht="21" customHeight="1" x14ac:dyDescent="0.3">
      <c r="A81" s="89">
        <v>7</v>
      </c>
      <c r="B81" s="90" t="s">
        <v>107</v>
      </c>
      <c r="C81" s="174">
        <f t="shared" si="19"/>
        <v>0</v>
      </c>
      <c r="D81" s="175">
        <f t="shared" si="48"/>
        <v>0</v>
      </c>
      <c r="E81" s="403">
        <v>0</v>
      </c>
      <c r="F81" s="403">
        <v>0</v>
      </c>
      <c r="G81" s="403">
        <v>0</v>
      </c>
      <c r="H81" s="403">
        <v>0</v>
      </c>
      <c r="I81" s="403">
        <v>0</v>
      </c>
      <c r="J81" s="176">
        <f t="shared" si="21"/>
        <v>0</v>
      </c>
      <c r="K81" s="179">
        <f t="shared" si="22"/>
        <v>0</v>
      </c>
      <c r="L81" s="403">
        <v>0</v>
      </c>
      <c r="M81" s="87">
        <f t="shared" si="23"/>
        <v>0</v>
      </c>
      <c r="N81" s="87">
        <f t="shared" si="24"/>
        <v>0</v>
      </c>
      <c r="O81" s="403">
        <v>0</v>
      </c>
      <c r="P81" s="86">
        <f t="shared" si="25"/>
        <v>0</v>
      </c>
      <c r="Q81" s="87">
        <f t="shared" si="26"/>
        <v>0</v>
      </c>
      <c r="R81" s="87">
        <f ca="1">IFERROR(__xludf.DUMMYFUNCTION("IMPORTRANGE(""https://docs.google.com/spreadsheets/d/16JDLGguT8s5DsGCND1KcwHP_AWR_zDMTqLHPLJUKhaU/edit?usp=sharing"",""พังงา!Q498"")"),0)</f>
        <v>0</v>
      </c>
      <c r="S81" s="87">
        <f ca="1">IFERROR(__xludf.DUMMYFUNCTION("IMPORTRANGE(""https://docs.google.com/spreadsheets/d/16JDLGguT8s5DsGCND1KcwHP_AWR_zDMTqLHPLJUKhaU/edit?usp=sharing"",""พังงา!R498"")"),0)</f>
        <v>0</v>
      </c>
      <c r="T81" s="87">
        <f ca="1">IFERROR(__xludf.DUMMYFUNCTION("IMPORTRANGE(""https://docs.google.com/spreadsheets/d/16JDLGguT8s5DsGCND1KcwHP_AWR_zDMTqLHPLJUKhaU/edit?usp=sharing"",""พังงา!S498"")"),0)</f>
        <v>0</v>
      </c>
      <c r="U81" s="87">
        <f t="shared" ca="1" si="28"/>
        <v>0</v>
      </c>
      <c r="V81" s="87">
        <f t="shared" ca="1" si="29"/>
        <v>0</v>
      </c>
      <c r="W81" s="353">
        <f ca="1">IFERROR(__xludf.DUMMYFUNCTION("IMPORTRANGE(""https://docs.google.com/spreadsheets/d/16JDLGguT8s5DsGCND1KcwHP_AWR_zDMTqLHPLJUKhaU/edit?usp=sharing"",""พังงา!I503"")"),0)</f>
        <v>0</v>
      </c>
      <c r="X81" s="177">
        <f ca="1">IFERROR(__xludf.DUMMYFUNCTION("IMPORTRANGE(""https://docs.google.com/spreadsheets/d/16JDLGguT8s5DsGCND1KcwHP_AWR_zDMTqLHPLJUKhaU/edit?usp=sharing"",""พังงา!J503"")"),0)</f>
        <v>0</v>
      </c>
      <c r="Y81" s="354">
        <f t="shared" ca="1" si="31"/>
        <v>0</v>
      </c>
      <c r="Z81" s="177">
        <f ca="1">IFERROR(__xludf.DUMMYFUNCTION("IMPORTRANGE(""https://docs.google.com/spreadsheets/d/16JDLGguT8s5DsGCND1KcwHP_AWR_zDMTqLHPLJUKhaU/edit?usp=sharing"",""พังงา!J504"")"),0)</f>
        <v>0</v>
      </c>
      <c r="AA81" s="177">
        <f ca="1">IFERROR(__xludf.DUMMYFUNCTION("IMPORTRANGE(""https://docs.google.com/spreadsheets/d/16JDLGguT8s5DsGCND1KcwHP_AWR_zDMTqLHPLJUKhaU/edit?usp=sharing"",""พังงา!J505"")"),0)</f>
        <v>0</v>
      </c>
      <c r="AB81" s="177">
        <f ca="1">IFERROR(__xludf.DUMMYFUNCTION("IMPORTRANGE(""https://docs.google.com/spreadsheets/d/16JDLGguT8s5DsGCND1KcwHP_AWR_zDMTqLHPLJUKhaU/edit?usp=sharing"",""พังงา!J506"")"),0)</f>
        <v>0</v>
      </c>
      <c r="AC81" s="177">
        <f ca="1">IFERROR(__xludf.DUMMYFUNCTION("IMPORTRANGE(""https://docs.google.com/spreadsheets/d/16JDLGguT8s5DsGCND1KcwHP_AWR_zDMTqLHPLJUKhaU/edit?usp=sharing"",""พังงา!J507"")"),0)</f>
        <v>0</v>
      </c>
      <c r="AD81" s="177">
        <f ca="1">IFERROR(__xludf.DUMMYFUNCTION("IMPORTRANGE(""https://docs.google.com/spreadsheets/d/16JDLGguT8s5DsGCND1KcwHP_AWR_zDMTqLHPLJUKhaU/edit?usp=sharing"",""พังงา!J508"")"),0)</f>
        <v>0</v>
      </c>
      <c r="AE81" s="177">
        <f ca="1">IFERROR(__xludf.DUMMYFUNCTION("IMPORTRANGE(""https://docs.google.com/spreadsheets/d/16JDLGguT8s5DsGCND1KcwHP_AWR_zDMTqLHPLJUKhaU/edit?usp=sharing"",""พังงา!J509"")"),0)</f>
        <v>0</v>
      </c>
    </row>
    <row r="82" spans="1:31" ht="21" customHeight="1" x14ac:dyDescent="0.3">
      <c r="A82" s="89">
        <v>8</v>
      </c>
      <c r="B82" s="90" t="s">
        <v>108</v>
      </c>
      <c r="C82" s="174">
        <f t="shared" si="19"/>
        <v>0</v>
      </c>
      <c r="D82" s="175">
        <f t="shared" si="48"/>
        <v>0</v>
      </c>
      <c r="E82" s="403">
        <v>0</v>
      </c>
      <c r="F82" s="403">
        <v>0</v>
      </c>
      <c r="G82" s="403">
        <v>0</v>
      </c>
      <c r="H82" s="403">
        <v>0</v>
      </c>
      <c r="I82" s="403">
        <v>0</v>
      </c>
      <c r="J82" s="176">
        <f t="shared" si="21"/>
        <v>0</v>
      </c>
      <c r="K82" s="179">
        <f t="shared" si="22"/>
        <v>0</v>
      </c>
      <c r="L82" s="403">
        <v>0</v>
      </c>
      <c r="M82" s="87">
        <f t="shared" si="23"/>
        <v>0</v>
      </c>
      <c r="N82" s="87">
        <f t="shared" si="24"/>
        <v>0</v>
      </c>
      <c r="O82" s="403">
        <v>0</v>
      </c>
      <c r="P82" s="86">
        <f t="shared" si="25"/>
        <v>0</v>
      </c>
      <c r="Q82" s="87">
        <f t="shared" si="26"/>
        <v>0</v>
      </c>
      <c r="R82" s="87">
        <f ca="1">IFERROR(__xludf.DUMMYFUNCTION("IMPORTRANGE(""https://docs.google.com/spreadsheets/d/17ht0gPKzzT3PObBL1XJkeRmntBXI7wGjpLV7QorqlTk/edit?usp=sharing"",""พัทลุง!Q498"")"),0)</f>
        <v>0</v>
      </c>
      <c r="S82" s="87">
        <f ca="1">IFERROR(__xludf.DUMMYFUNCTION("IMPORTRANGE(""https://docs.google.com/spreadsheets/d/17ht0gPKzzT3PObBL1XJkeRmntBXI7wGjpLV7QorqlTk/edit?usp=sharing"",""พัทลุง!R498"")"),0)</f>
        <v>0</v>
      </c>
      <c r="T82" s="87">
        <f ca="1">IFERROR(__xludf.DUMMYFUNCTION("IMPORTRANGE(""https://docs.google.com/spreadsheets/d/17ht0gPKzzT3PObBL1XJkeRmntBXI7wGjpLV7QorqlTk/edit?usp=sharing"",""พัทลุง!S498"")"),0)</f>
        <v>0</v>
      </c>
      <c r="U82" s="87">
        <f t="shared" ca="1" si="28"/>
        <v>0</v>
      </c>
      <c r="V82" s="87">
        <f t="shared" ca="1" si="29"/>
        <v>0</v>
      </c>
      <c r="W82" s="353">
        <f ca="1">IFERROR(__xludf.DUMMYFUNCTION("IMPORTRANGE(""https://docs.google.com/spreadsheets/d/17ht0gPKzzT3PObBL1XJkeRmntBXI7wGjpLV7QorqlTk/edit?usp=sharing"",""พัทลุง!I503"")"),0)</f>
        <v>0</v>
      </c>
      <c r="X82" s="177">
        <f ca="1">IFERROR(__xludf.DUMMYFUNCTION("IMPORTRANGE(""https://docs.google.com/spreadsheets/d/17ht0gPKzzT3PObBL1XJkeRmntBXI7wGjpLV7QorqlTk/edit?usp=sharing"",""พัทลุง!J503"")"),0)</f>
        <v>0</v>
      </c>
      <c r="Y82" s="354">
        <f t="shared" ca="1" si="31"/>
        <v>0</v>
      </c>
      <c r="Z82" s="177">
        <f ca="1">IFERROR(__xludf.DUMMYFUNCTION("IMPORTRANGE(""https://docs.google.com/spreadsheets/d/17ht0gPKzzT3PObBL1XJkeRmntBXI7wGjpLV7QorqlTk/edit?usp=sharing"",""พัทลุง!J504"")"),0)</f>
        <v>0</v>
      </c>
      <c r="AA82" s="177">
        <f ca="1">IFERROR(__xludf.DUMMYFUNCTION("IMPORTRANGE(""https://docs.google.com/spreadsheets/d/17ht0gPKzzT3PObBL1XJkeRmntBXI7wGjpLV7QorqlTk/edit?usp=sharing"",""พัทลุง!J505"")"),0)</f>
        <v>0</v>
      </c>
      <c r="AB82" s="177">
        <f ca="1">IFERROR(__xludf.DUMMYFUNCTION("IMPORTRANGE(""https://docs.google.com/spreadsheets/d/17ht0gPKzzT3PObBL1XJkeRmntBXI7wGjpLV7QorqlTk/edit?usp=sharing"",""พัทลุง!J506"")"),0)</f>
        <v>0</v>
      </c>
      <c r="AC82" s="177">
        <f ca="1">IFERROR(__xludf.DUMMYFUNCTION("IMPORTRANGE(""https://docs.google.com/spreadsheets/d/17ht0gPKzzT3PObBL1XJkeRmntBXI7wGjpLV7QorqlTk/edit?usp=sharing"",""พัทลุง!J507"")"),0)</f>
        <v>0</v>
      </c>
      <c r="AD82" s="177">
        <f ca="1">IFERROR(__xludf.DUMMYFUNCTION("IMPORTRANGE(""https://docs.google.com/spreadsheets/d/17ht0gPKzzT3PObBL1XJkeRmntBXI7wGjpLV7QorqlTk/edit?usp=sharing"",""พัทลุง!J508"")"),0)</f>
        <v>0</v>
      </c>
      <c r="AE82" s="177">
        <f ca="1">IFERROR(__xludf.DUMMYFUNCTION("IMPORTRANGE(""https://docs.google.com/spreadsheets/d/17ht0gPKzzT3PObBL1XJkeRmntBXI7wGjpLV7QorqlTk/edit?usp=sharing"",""พัทลุง!J509"")"),0)</f>
        <v>0</v>
      </c>
    </row>
    <row r="83" spans="1:31" ht="21" customHeight="1" x14ac:dyDescent="0.3">
      <c r="A83" s="89">
        <v>9</v>
      </c>
      <c r="B83" s="90" t="s">
        <v>109</v>
      </c>
      <c r="C83" s="174">
        <f t="shared" si="19"/>
        <v>0</v>
      </c>
      <c r="D83" s="175">
        <f t="shared" si="48"/>
        <v>0</v>
      </c>
      <c r="E83" s="403">
        <v>0</v>
      </c>
      <c r="F83" s="403">
        <v>0</v>
      </c>
      <c r="G83" s="403">
        <v>0</v>
      </c>
      <c r="H83" s="403">
        <v>0</v>
      </c>
      <c r="I83" s="403">
        <v>0</v>
      </c>
      <c r="J83" s="176">
        <f t="shared" si="21"/>
        <v>0</v>
      </c>
      <c r="K83" s="179">
        <f t="shared" si="22"/>
        <v>0</v>
      </c>
      <c r="L83" s="403">
        <v>0</v>
      </c>
      <c r="M83" s="87">
        <f t="shared" si="23"/>
        <v>0</v>
      </c>
      <c r="N83" s="87">
        <f t="shared" si="24"/>
        <v>0</v>
      </c>
      <c r="O83" s="403">
        <v>0</v>
      </c>
      <c r="P83" s="86">
        <f t="shared" si="25"/>
        <v>0</v>
      </c>
      <c r="Q83" s="87">
        <f t="shared" si="26"/>
        <v>0</v>
      </c>
      <c r="R83" s="87">
        <f ca="1">IFERROR(__xludf.DUMMYFUNCTION("IMPORTRANGE(""https://docs.google.com/spreadsheets/d/1rd4qoM1q_hsgaolqNGfrim9gbsoLxQsda4-vOz5x_BM/edit?usp=sharing"",""ภูเก็ต!Q498"")"),0)</f>
        <v>0</v>
      </c>
      <c r="S83" s="87">
        <f ca="1">IFERROR(__xludf.DUMMYFUNCTION("IMPORTRANGE(""https://docs.google.com/spreadsheets/d/1rd4qoM1q_hsgaolqNGfrim9gbsoLxQsda4-vOz5x_BM/edit?usp=sharing"",""ภูเก็ต!R498"")"),0)</f>
        <v>0</v>
      </c>
      <c r="T83" s="87">
        <f ca="1">IFERROR(__xludf.DUMMYFUNCTION("IMPORTRANGE(""https://docs.google.com/spreadsheets/d/1rd4qoM1q_hsgaolqNGfrim9gbsoLxQsda4-vOz5x_BM/edit?usp=sharing"",""ภูเก็ต!S498"")"),0)</f>
        <v>0</v>
      </c>
      <c r="U83" s="87">
        <f t="shared" ca="1" si="28"/>
        <v>0</v>
      </c>
      <c r="V83" s="87">
        <f t="shared" ca="1" si="29"/>
        <v>0</v>
      </c>
      <c r="W83" s="353">
        <f ca="1">IFERROR(__xludf.DUMMYFUNCTION("IMPORTRANGE(""https://docs.google.com/spreadsheets/d/1rd4qoM1q_hsgaolqNGfrim9gbsoLxQsda4-vOz5x_BM/edit?usp=sharing"",""ภูเก็ต!I503"")"),0)</f>
        <v>0</v>
      </c>
      <c r="X83" s="177">
        <f ca="1">IFERROR(__xludf.DUMMYFUNCTION("IMPORTRANGE(""https://docs.google.com/spreadsheets/d/1rd4qoM1q_hsgaolqNGfrim9gbsoLxQsda4-vOz5x_BM/edit?usp=sharing"",""ภูเก็ต!J503"")"),0)</f>
        <v>0</v>
      </c>
      <c r="Y83" s="354">
        <f t="shared" ca="1" si="31"/>
        <v>0</v>
      </c>
      <c r="Z83" s="177">
        <f ca="1">IFERROR(__xludf.DUMMYFUNCTION("IMPORTRANGE(""https://docs.google.com/spreadsheets/d/1rd4qoM1q_hsgaolqNGfrim9gbsoLxQsda4-vOz5x_BM/edit?usp=sharing"",""ภูเก็ต!J504"")"),0)</f>
        <v>0</v>
      </c>
      <c r="AA83" s="177">
        <f ca="1">IFERROR(__xludf.DUMMYFUNCTION("IMPORTRANGE(""https://docs.google.com/spreadsheets/d/1rd4qoM1q_hsgaolqNGfrim9gbsoLxQsda4-vOz5x_BM/edit?usp=sharing"",""ภูเก็ต!J505"")"),0)</f>
        <v>0</v>
      </c>
      <c r="AB83" s="177">
        <f ca="1">IFERROR(__xludf.DUMMYFUNCTION("IMPORTRANGE(""https://docs.google.com/spreadsheets/d/1rd4qoM1q_hsgaolqNGfrim9gbsoLxQsda4-vOz5x_BM/edit?usp=sharing"",""ภูเก็ต!J506"")"),0)</f>
        <v>0</v>
      </c>
      <c r="AC83" s="177">
        <f ca="1">IFERROR(__xludf.DUMMYFUNCTION("IMPORTRANGE(""https://docs.google.com/spreadsheets/d/1rd4qoM1q_hsgaolqNGfrim9gbsoLxQsda4-vOz5x_BM/edit?usp=sharing"",""ภูเก็ต!J507"")"),0)</f>
        <v>0</v>
      </c>
      <c r="AD83" s="177">
        <f ca="1">IFERROR(__xludf.DUMMYFUNCTION("IMPORTRANGE(""https://docs.google.com/spreadsheets/d/1rd4qoM1q_hsgaolqNGfrim9gbsoLxQsda4-vOz5x_BM/edit?usp=sharing"",""ภูเก็ต!J508"")"),0)</f>
        <v>0</v>
      </c>
      <c r="AE83" s="177">
        <f ca="1">IFERROR(__xludf.DUMMYFUNCTION("IMPORTRANGE(""https://docs.google.com/spreadsheets/d/1rd4qoM1q_hsgaolqNGfrim9gbsoLxQsda4-vOz5x_BM/edit?usp=sharing"",""ภูเก็ต!J509"")"),0)</f>
        <v>0</v>
      </c>
    </row>
    <row r="84" spans="1:31" ht="21" customHeight="1" x14ac:dyDescent="0.3">
      <c r="A84" s="89">
        <v>10</v>
      </c>
      <c r="B84" s="90" t="s">
        <v>110</v>
      </c>
      <c r="C84" s="174">
        <f t="shared" si="19"/>
        <v>0</v>
      </c>
      <c r="D84" s="175">
        <f t="shared" si="48"/>
        <v>0</v>
      </c>
      <c r="E84" s="403">
        <v>0</v>
      </c>
      <c r="F84" s="403">
        <v>0</v>
      </c>
      <c r="G84" s="403">
        <v>0</v>
      </c>
      <c r="H84" s="403">
        <v>0</v>
      </c>
      <c r="I84" s="403">
        <v>0</v>
      </c>
      <c r="J84" s="176">
        <f t="shared" si="21"/>
        <v>0</v>
      </c>
      <c r="K84" s="179">
        <f t="shared" si="22"/>
        <v>0</v>
      </c>
      <c r="L84" s="403">
        <v>0</v>
      </c>
      <c r="M84" s="87">
        <f t="shared" si="23"/>
        <v>0</v>
      </c>
      <c r="N84" s="87">
        <f t="shared" si="24"/>
        <v>0</v>
      </c>
      <c r="O84" s="403">
        <v>0</v>
      </c>
      <c r="P84" s="86">
        <f t="shared" si="25"/>
        <v>0</v>
      </c>
      <c r="Q84" s="87">
        <f t="shared" si="26"/>
        <v>0</v>
      </c>
      <c r="R84" s="87">
        <f ca="1">IFERROR(__xludf.DUMMYFUNCTION("IMPORTRANGE(""https://docs.google.com/spreadsheets/d/1woKwKjgoLssDvPcPeVyezB5izizAn4X1JDrys69n6xI/edit?usp=sharing"",""ยะลา!Q498"")"),0)</f>
        <v>0</v>
      </c>
      <c r="S84" s="87">
        <f ca="1">IFERROR(__xludf.DUMMYFUNCTION("IMPORTRANGE(""https://docs.google.com/spreadsheets/d/1woKwKjgoLssDvPcPeVyezB5izizAn4X1JDrys69n6xI/edit?usp=sharing"",""ยะลา!R498"")"),0)</f>
        <v>0</v>
      </c>
      <c r="T84" s="87">
        <f ca="1">IFERROR(__xludf.DUMMYFUNCTION("IMPORTRANGE(""https://docs.google.com/spreadsheets/d/1woKwKjgoLssDvPcPeVyezB5izizAn4X1JDrys69n6xI/edit?usp=sharing"",""ยะลา!S498"")"),0)</f>
        <v>0</v>
      </c>
      <c r="U84" s="87">
        <f t="shared" ca="1" si="28"/>
        <v>0</v>
      </c>
      <c r="V84" s="87">
        <f t="shared" ca="1" si="29"/>
        <v>0</v>
      </c>
      <c r="W84" s="353">
        <f ca="1">IFERROR(__xludf.DUMMYFUNCTION("IMPORTRANGE(""https://docs.google.com/spreadsheets/d/1woKwKjgoLssDvPcPeVyezB5izizAn4X1JDrys69n6xI/edit?usp=sharing"",""ยะลา!I503"")"),0)</f>
        <v>0</v>
      </c>
      <c r="X84" s="177">
        <f ca="1">IFERROR(__xludf.DUMMYFUNCTION("IMPORTRANGE(""https://docs.google.com/spreadsheets/d/1woKwKjgoLssDvPcPeVyezB5izizAn4X1JDrys69n6xI/edit?usp=sharing"",""ยะลา!J503"")"),0)</f>
        <v>0</v>
      </c>
      <c r="Y84" s="354">
        <f t="shared" ca="1" si="31"/>
        <v>0</v>
      </c>
      <c r="Z84" s="177">
        <f ca="1">IFERROR(__xludf.DUMMYFUNCTION("IMPORTRANGE(""https://docs.google.com/spreadsheets/d/1woKwKjgoLssDvPcPeVyezB5izizAn4X1JDrys69n6xI/edit?usp=sharing"",""ยะลา!J504"")"),0)</f>
        <v>0</v>
      </c>
      <c r="AA84" s="177">
        <f ca="1">IFERROR(__xludf.DUMMYFUNCTION("IMPORTRANGE(""https://docs.google.com/spreadsheets/d/1woKwKjgoLssDvPcPeVyezB5izizAn4X1JDrys69n6xI/edit?usp=sharing"",""ยะลา!J505"")"),0)</f>
        <v>0</v>
      </c>
      <c r="AB84" s="177">
        <f ca="1">IFERROR(__xludf.DUMMYFUNCTION("IMPORTRANGE(""https://docs.google.com/spreadsheets/d/1woKwKjgoLssDvPcPeVyezB5izizAn4X1JDrys69n6xI/edit?usp=sharing"",""ยะลา!J506"")"),0)</f>
        <v>0</v>
      </c>
      <c r="AC84" s="177">
        <f ca="1">IFERROR(__xludf.DUMMYFUNCTION("IMPORTRANGE(""https://docs.google.com/spreadsheets/d/1woKwKjgoLssDvPcPeVyezB5izizAn4X1JDrys69n6xI/edit?usp=sharing"",""ยะลา!J507"")"),0)</f>
        <v>0</v>
      </c>
      <c r="AD84" s="177">
        <f ca="1">IFERROR(__xludf.DUMMYFUNCTION("IMPORTRANGE(""https://docs.google.com/spreadsheets/d/1woKwKjgoLssDvPcPeVyezB5izizAn4X1JDrys69n6xI/edit?usp=sharing"",""ยะลา!J508"")"),0)</f>
        <v>0</v>
      </c>
      <c r="AE84" s="177">
        <f ca="1">IFERROR(__xludf.DUMMYFUNCTION("IMPORTRANGE(""https://docs.google.com/spreadsheets/d/1woKwKjgoLssDvPcPeVyezB5izizAn4X1JDrys69n6xI/edit?usp=sharing"",""ยะลา!J509"")"),0)</f>
        <v>0</v>
      </c>
    </row>
    <row r="85" spans="1:31" ht="21" customHeight="1" x14ac:dyDescent="0.3">
      <c r="A85" s="89">
        <v>11</v>
      </c>
      <c r="B85" s="90" t="s">
        <v>111</v>
      </c>
      <c r="C85" s="174">
        <f t="shared" si="19"/>
        <v>0</v>
      </c>
      <c r="D85" s="175">
        <f t="shared" si="48"/>
        <v>0</v>
      </c>
      <c r="E85" s="403">
        <v>0</v>
      </c>
      <c r="F85" s="403">
        <v>0</v>
      </c>
      <c r="G85" s="403">
        <v>0</v>
      </c>
      <c r="H85" s="403">
        <v>0</v>
      </c>
      <c r="I85" s="403">
        <v>0</v>
      </c>
      <c r="J85" s="176">
        <f t="shared" si="21"/>
        <v>0</v>
      </c>
      <c r="K85" s="179">
        <f t="shared" si="22"/>
        <v>0</v>
      </c>
      <c r="L85" s="403">
        <v>0</v>
      </c>
      <c r="M85" s="87">
        <f t="shared" si="23"/>
        <v>0</v>
      </c>
      <c r="N85" s="87">
        <f t="shared" si="24"/>
        <v>0</v>
      </c>
      <c r="O85" s="403">
        <v>0</v>
      </c>
      <c r="P85" s="86">
        <f t="shared" si="25"/>
        <v>0</v>
      </c>
      <c r="Q85" s="87">
        <f t="shared" si="26"/>
        <v>0</v>
      </c>
      <c r="R85" s="87">
        <f ca="1">IFERROR(__xludf.DUMMYFUNCTION("IMPORTRANGE(""https://docs.google.com/spreadsheets/d/1qfrKjzMhm2HJfxQ-qVlJlJQ25Hne1d0khsySbZyGtPA/edit?usp=sharing"",""ระนอง!Q498"")"),0)</f>
        <v>0</v>
      </c>
      <c r="S85" s="87">
        <f ca="1">IFERROR(__xludf.DUMMYFUNCTION("IMPORTRANGE(""https://docs.google.com/spreadsheets/d/1qfrKjzMhm2HJfxQ-qVlJlJQ25Hne1d0khsySbZyGtPA/edit?usp=sharing"",""ระนอง!R498"")"),0)</f>
        <v>0</v>
      </c>
      <c r="T85" s="87">
        <f ca="1">IFERROR(__xludf.DUMMYFUNCTION("IMPORTRANGE(""https://docs.google.com/spreadsheets/d/1qfrKjzMhm2HJfxQ-qVlJlJQ25Hne1d0khsySbZyGtPA/edit?usp=sharing"",""ระนอง!S498"")"),0)</f>
        <v>0</v>
      </c>
      <c r="U85" s="87">
        <f t="shared" ca="1" si="28"/>
        <v>0</v>
      </c>
      <c r="V85" s="87">
        <f t="shared" ca="1" si="29"/>
        <v>0</v>
      </c>
      <c r="W85" s="353">
        <f ca="1">IFERROR(__xludf.DUMMYFUNCTION("IMPORTRANGE(""https://docs.google.com/spreadsheets/d/1qfrKjzMhm2HJfxQ-qVlJlJQ25Hne1d0khsySbZyGtPA/edit?usp=sharing"",""ระนอง!I503"")"),0)</f>
        <v>0</v>
      </c>
      <c r="X85" s="177">
        <f ca="1">IFERROR(__xludf.DUMMYFUNCTION("IMPORTRANGE(""https://docs.google.com/spreadsheets/d/1qfrKjzMhm2HJfxQ-qVlJlJQ25Hne1d0khsySbZyGtPA/edit?usp=sharing"",""ระนอง!J503"")"),0)</f>
        <v>0</v>
      </c>
      <c r="Y85" s="354">
        <f t="shared" ca="1" si="31"/>
        <v>0</v>
      </c>
      <c r="Z85" s="177">
        <f ca="1">IFERROR(__xludf.DUMMYFUNCTION("IMPORTRANGE(""https://docs.google.com/spreadsheets/d/1qfrKjzMhm2HJfxQ-qVlJlJQ25Hne1d0khsySbZyGtPA/edit?usp=sharing"",""ระนอง!J504"")"),0)</f>
        <v>0</v>
      </c>
      <c r="AA85" s="177">
        <f ca="1">IFERROR(__xludf.DUMMYFUNCTION("IMPORTRANGE(""https://docs.google.com/spreadsheets/d/1qfrKjzMhm2HJfxQ-qVlJlJQ25Hne1d0khsySbZyGtPA/edit?usp=sharing"",""ระนอง!J505"")"),0)</f>
        <v>0</v>
      </c>
      <c r="AB85" s="177">
        <f ca="1">IFERROR(__xludf.DUMMYFUNCTION("IMPORTRANGE(""https://docs.google.com/spreadsheets/d/1qfrKjzMhm2HJfxQ-qVlJlJQ25Hne1d0khsySbZyGtPA/edit?usp=sharing"",""ระนอง!J506"")"),0)</f>
        <v>0</v>
      </c>
      <c r="AC85" s="177">
        <f ca="1">IFERROR(__xludf.DUMMYFUNCTION("IMPORTRANGE(""https://docs.google.com/spreadsheets/d/1qfrKjzMhm2HJfxQ-qVlJlJQ25Hne1d0khsySbZyGtPA/edit?usp=sharing"",""ระนอง!J507"")"),0)</f>
        <v>0</v>
      </c>
      <c r="AD85" s="177">
        <f ca="1">IFERROR(__xludf.DUMMYFUNCTION("IMPORTRANGE(""https://docs.google.com/spreadsheets/d/1qfrKjzMhm2HJfxQ-qVlJlJQ25Hne1d0khsySbZyGtPA/edit?usp=sharing"",""ระนอง!J508"")"),0)</f>
        <v>0</v>
      </c>
      <c r="AE85" s="177">
        <f ca="1">IFERROR(__xludf.DUMMYFUNCTION("IMPORTRANGE(""https://docs.google.com/spreadsheets/d/1qfrKjzMhm2HJfxQ-qVlJlJQ25Hne1d0khsySbZyGtPA/edit?usp=sharing"",""ระนอง!J509"")"),0)</f>
        <v>0</v>
      </c>
    </row>
    <row r="86" spans="1:31" ht="24" customHeight="1" x14ac:dyDescent="0.3">
      <c r="A86" s="89">
        <v>12</v>
      </c>
      <c r="B86" s="90" t="s">
        <v>112</v>
      </c>
      <c r="C86" s="174">
        <f t="shared" si="19"/>
        <v>0</v>
      </c>
      <c r="D86" s="175">
        <f t="shared" si="48"/>
        <v>0</v>
      </c>
      <c r="E86" s="403">
        <v>0</v>
      </c>
      <c r="F86" s="403">
        <v>0</v>
      </c>
      <c r="G86" s="403">
        <v>0</v>
      </c>
      <c r="H86" s="403">
        <v>0</v>
      </c>
      <c r="I86" s="403">
        <v>0</v>
      </c>
      <c r="J86" s="176">
        <f t="shared" si="21"/>
        <v>0</v>
      </c>
      <c r="K86" s="179">
        <f t="shared" si="22"/>
        <v>0</v>
      </c>
      <c r="L86" s="403">
        <v>0</v>
      </c>
      <c r="M86" s="87">
        <f t="shared" si="23"/>
        <v>0</v>
      </c>
      <c r="N86" s="87">
        <f t="shared" si="24"/>
        <v>0</v>
      </c>
      <c r="O86" s="403">
        <v>0</v>
      </c>
      <c r="P86" s="86">
        <f t="shared" si="25"/>
        <v>0</v>
      </c>
      <c r="Q86" s="87">
        <f t="shared" si="26"/>
        <v>0</v>
      </c>
      <c r="R86" s="87">
        <f ca="1">IFERROR(__xludf.DUMMYFUNCTION("IMPORTRANGE(""https://docs.google.com/spreadsheets/d/1IbSCnFOKpZsnFogBHJnL_isstZVaOMnFiIN0fGTPZZw/edit?usp=sharing"",""สงขลา!Q498"")"),460185)</f>
        <v>460185</v>
      </c>
      <c r="S86" s="87">
        <f ca="1">IFERROR(__xludf.DUMMYFUNCTION("IMPORTRANGE(""https://docs.google.com/spreadsheets/d/1IbSCnFOKpZsnFogBHJnL_isstZVaOMnFiIN0fGTPZZw/edit?usp=sharing"",""สงขลา!R498"")"),0)</f>
        <v>0</v>
      </c>
      <c r="T86" s="87">
        <f ca="1">IFERROR(__xludf.DUMMYFUNCTION("IMPORTRANGE(""https://docs.google.com/spreadsheets/d/1IbSCnFOKpZsnFogBHJnL_isstZVaOMnFiIN0fGTPZZw/edit?usp=sharing"",""สงขลา!S498"")"),0)</f>
        <v>0</v>
      </c>
      <c r="U86" s="87">
        <f t="shared" ca="1" si="28"/>
        <v>0</v>
      </c>
      <c r="V86" s="87">
        <f t="shared" ca="1" si="29"/>
        <v>0</v>
      </c>
      <c r="W86" s="353">
        <f ca="1">IFERROR(__xludf.DUMMYFUNCTION("IMPORTRANGE(""https://docs.google.com/spreadsheets/d/1IbSCnFOKpZsnFogBHJnL_isstZVaOMnFiIN0fGTPZZw/edit?usp=sharing"",""สงขลา!I503"")"),30)</f>
        <v>30</v>
      </c>
      <c r="X86" s="177">
        <f ca="1">IFERROR(__xludf.DUMMYFUNCTION("IMPORTRANGE(""https://docs.google.com/spreadsheets/d/1IbSCnFOKpZsnFogBHJnL_isstZVaOMnFiIN0fGTPZZw/edit?usp=sharing"",""สงขลา!J503"")"),0)</f>
        <v>0</v>
      </c>
      <c r="Y86" s="354">
        <f t="shared" ca="1" si="31"/>
        <v>0</v>
      </c>
      <c r="Z86" s="177">
        <f ca="1">IFERROR(__xludf.DUMMYFUNCTION("IMPORTRANGE(""https://docs.google.com/spreadsheets/d/1IbSCnFOKpZsnFogBHJnL_isstZVaOMnFiIN0fGTPZZw/edit?usp=sharing"",""สงขลา!J504"")"),0)</f>
        <v>0</v>
      </c>
      <c r="AA86" s="177">
        <f ca="1">IFERROR(__xludf.DUMMYFUNCTION("IMPORTRANGE(""https://docs.google.com/spreadsheets/d/1IbSCnFOKpZsnFogBHJnL_isstZVaOMnFiIN0fGTPZZw/edit?usp=sharing"",""สงขลา!J505"")"),0)</f>
        <v>0</v>
      </c>
      <c r="AB86" s="177">
        <f ca="1">IFERROR(__xludf.DUMMYFUNCTION("IMPORTRANGE(""https://docs.google.com/spreadsheets/d/1IbSCnFOKpZsnFogBHJnL_isstZVaOMnFiIN0fGTPZZw/edit?usp=sharing"",""สงขลา!J506"")"),0)</f>
        <v>0</v>
      </c>
      <c r="AC86" s="177">
        <f ca="1">IFERROR(__xludf.DUMMYFUNCTION("IMPORTRANGE(""https://docs.google.com/spreadsheets/d/1IbSCnFOKpZsnFogBHJnL_isstZVaOMnFiIN0fGTPZZw/edit?usp=sharing"",""สงขลา!J507"")"),0)</f>
        <v>0</v>
      </c>
      <c r="AD86" s="177">
        <f ca="1">IFERROR(__xludf.DUMMYFUNCTION("IMPORTRANGE(""https://docs.google.com/spreadsheets/d/1IbSCnFOKpZsnFogBHJnL_isstZVaOMnFiIN0fGTPZZw/edit?usp=sharing"",""สงขลา!J508"")"),0)</f>
        <v>0</v>
      </c>
      <c r="AE86" s="177">
        <f ca="1">IFERROR(__xludf.DUMMYFUNCTION("IMPORTRANGE(""https://docs.google.com/spreadsheets/d/1IbSCnFOKpZsnFogBHJnL_isstZVaOMnFiIN0fGTPZZw/edit?usp=sharing"",""สงขลา!J509"")"),0)</f>
        <v>0</v>
      </c>
    </row>
    <row r="87" spans="1:31" ht="24" customHeight="1" x14ac:dyDescent="0.3">
      <c r="A87" s="89">
        <v>13</v>
      </c>
      <c r="B87" s="90" t="s">
        <v>113</v>
      </c>
      <c r="C87" s="174">
        <f t="shared" si="19"/>
        <v>0</v>
      </c>
      <c r="D87" s="175">
        <f t="shared" si="48"/>
        <v>0</v>
      </c>
      <c r="E87" s="403">
        <v>0</v>
      </c>
      <c r="F87" s="403">
        <v>0</v>
      </c>
      <c r="G87" s="403">
        <v>0</v>
      </c>
      <c r="H87" s="403">
        <v>0</v>
      </c>
      <c r="I87" s="403">
        <v>0</v>
      </c>
      <c r="J87" s="176">
        <f t="shared" si="21"/>
        <v>0</v>
      </c>
      <c r="K87" s="179">
        <f t="shared" si="22"/>
        <v>0</v>
      </c>
      <c r="L87" s="403">
        <v>0</v>
      </c>
      <c r="M87" s="87">
        <f t="shared" si="23"/>
        <v>0</v>
      </c>
      <c r="N87" s="87">
        <f t="shared" si="24"/>
        <v>0</v>
      </c>
      <c r="O87" s="403">
        <v>0</v>
      </c>
      <c r="P87" s="86">
        <f t="shared" si="25"/>
        <v>0</v>
      </c>
      <c r="Q87" s="87">
        <f t="shared" si="26"/>
        <v>0</v>
      </c>
      <c r="R87" s="87">
        <f ca="1">IFERROR(__xludf.DUMMYFUNCTION("IMPORTRANGE(""https://docs.google.com/spreadsheets/d/1q9nWasZJ-K8bFGvbE9n0qSRuKGA4Toe3Y89cKCiVtCU/edit?usp=sharing"",""สตูล!Q498"")"),0)</f>
        <v>0</v>
      </c>
      <c r="S87" s="87">
        <f ca="1">IFERROR(__xludf.DUMMYFUNCTION("IMPORTRANGE(""https://docs.google.com/spreadsheets/d/1q9nWasZJ-K8bFGvbE9n0qSRuKGA4Toe3Y89cKCiVtCU/edit?usp=sharing"",""สตูล!R498"")"),0)</f>
        <v>0</v>
      </c>
      <c r="T87" s="87">
        <f ca="1">IFERROR(__xludf.DUMMYFUNCTION("IMPORTRANGE(""https://docs.google.com/spreadsheets/d/1q9nWasZJ-K8bFGvbE9n0qSRuKGA4Toe3Y89cKCiVtCU/edit?usp=sharing"",""สตูล!S498"")"),0)</f>
        <v>0</v>
      </c>
      <c r="U87" s="87">
        <f t="shared" ca="1" si="28"/>
        <v>0</v>
      </c>
      <c r="V87" s="87">
        <f t="shared" ca="1" si="29"/>
        <v>0</v>
      </c>
      <c r="W87" s="353">
        <f ca="1">IFERROR(__xludf.DUMMYFUNCTION("IMPORTRANGE(""https://docs.google.com/spreadsheets/d/1q9nWasZJ-K8bFGvbE9n0qSRuKGA4Toe3Y89cKCiVtCU/edit?usp=sharing"",""สตูล!I503"")"),0)</f>
        <v>0</v>
      </c>
      <c r="X87" s="177">
        <f ca="1">IFERROR(__xludf.DUMMYFUNCTION("IMPORTRANGE(""https://docs.google.com/spreadsheets/d/1q9nWasZJ-K8bFGvbE9n0qSRuKGA4Toe3Y89cKCiVtCU/edit?usp=sharing"",""สตูล!J503"")"),0)</f>
        <v>0</v>
      </c>
      <c r="Y87" s="354">
        <f t="shared" ca="1" si="31"/>
        <v>0</v>
      </c>
      <c r="Z87" s="177">
        <f ca="1">IFERROR(__xludf.DUMMYFUNCTION("IMPORTRANGE(""https://docs.google.com/spreadsheets/d/1q9nWasZJ-K8bFGvbE9n0qSRuKGA4Toe3Y89cKCiVtCU/edit?usp=sharing"",""สตูล!J504"")"),0)</f>
        <v>0</v>
      </c>
      <c r="AA87" s="177">
        <f ca="1">IFERROR(__xludf.DUMMYFUNCTION("IMPORTRANGE(""https://docs.google.com/spreadsheets/d/1q9nWasZJ-K8bFGvbE9n0qSRuKGA4Toe3Y89cKCiVtCU/edit?usp=sharing"",""สตูล!J505"")"),0)</f>
        <v>0</v>
      </c>
      <c r="AB87" s="177">
        <f ca="1">IFERROR(__xludf.DUMMYFUNCTION("IMPORTRANGE(""https://docs.google.com/spreadsheets/d/1q9nWasZJ-K8bFGvbE9n0qSRuKGA4Toe3Y89cKCiVtCU/edit?usp=sharing"",""สตูล!J506"")"),0)</f>
        <v>0</v>
      </c>
      <c r="AC87" s="177">
        <f ca="1">IFERROR(__xludf.DUMMYFUNCTION("IMPORTRANGE(""https://docs.google.com/spreadsheets/d/1q9nWasZJ-K8bFGvbE9n0qSRuKGA4Toe3Y89cKCiVtCU/edit?usp=sharing"",""สตูล!J507"")"),0)</f>
        <v>0</v>
      </c>
      <c r="AD87" s="177">
        <f ca="1">IFERROR(__xludf.DUMMYFUNCTION("IMPORTRANGE(""https://docs.google.com/spreadsheets/d/1q9nWasZJ-K8bFGvbE9n0qSRuKGA4Toe3Y89cKCiVtCU/edit?usp=sharing"",""สตูล!J508"")"),0)</f>
        <v>0</v>
      </c>
      <c r="AE87" s="177">
        <f ca="1">IFERROR(__xludf.DUMMYFUNCTION("IMPORTRANGE(""https://docs.google.com/spreadsheets/d/1q9nWasZJ-K8bFGvbE9n0qSRuKGA4Toe3Y89cKCiVtCU/edit?usp=sharing"",""สตูล!J509"")"),0)</f>
        <v>0</v>
      </c>
    </row>
    <row r="88" spans="1:31" ht="24" customHeight="1" x14ac:dyDescent="0.3">
      <c r="A88" s="100">
        <v>14</v>
      </c>
      <c r="B88" s="101" t="s">
        <v>114</v>
      </c>
      <c r="C88" s="182">
        <f t="shared" si="19"/>
        <v>0</v>
      </c>
      <c r="D88" s="183">
        <f t="shared" si="48"/>
        <v>0</v>
      </c>
      <c r="E88" s="409">
        <v>0</v>
      </c>
      <c r="F88" s="409">
        <v>0</v>
      </c>
      <c r="G88" s="409">
        <v>0</v>
      </c>
      <c r="H88" s="409">
        <v>0</v>
      </c>
      <c r="I88" s="409">
        <v>0</v>
      </c>
      <c r="J88" s="184">
        <f t="shared" si="21"/>
        <v>0</v>
      </c>
      <c r="K88" s="185">
        <f t="shared" si="22"/>
        <v>0</v>
      </c>
      <c r="L88" s="409">
        <v>0</v>
      </c>
      <c r="M88" s="109">
        <f t="shared" si="23"/>
        <v>0</v>
      </c>
      <c r="N88" s="109">
        <f t="shared" si="24"/>
        <v>0</v>
      </c>
      <c r="O88" s="409">
        <v>0</v>
      </c>
      <c r="P88" s="108">
        <f t="shared" si="25"/>
        <v>0</v>
      </c>
      <c r="Q88" s="109">
        <f t="shared" si="26"/>
        <v>0</v>
      </c>
      <c r="R88" s="109">
        <f ca="1">IFERROR(__xludf.DUMMYFUNCTION("IMPORTRANGE(""https://docs.google.com/spreadsheets/d/18T20gbkS_WBjdscyTOV05cvq_JqvqQ17C81mpxf7Ncs/edit?usp=sharing"",""สุราษฎร์ธานี!Q498"")"),460185)</f>
        <v>460185</v>
      </c>
      <c r="S88" s="109">
        <f ca="1">IFERROR(__xludf.DUMMYFUNCTION("IMPORTRANGE(""https://docs.google.com/spreadsheets/d/18T20gbkS_WBjdscyTOV05cvq_JqvqQ17C81mpxf7Ncs/edit?usp=sharing"",""สุราษฎร์ธานี!R498"")"),0)</f>
        <v>0</v>
      </c>
      <c r="T88" s="109">
        <f ca="1">IFERROR(__xludf.DUMMYFUNCTION("IMPORTRANGE(""https://docs.google.com/spreadsheets/d/18T20gbkS_WBjdscyTOV05cvq_JqvqQ17C81mpxf7Ncs/edit?usp=sharing"",""สุราษฎร์ธานี!S498"")"),1270)</f>
        <v>1270</v>
      </c>
      <c r="U88" s="109">
        <f t="shared" ca="1" si="28"/>
        <v>0.27597596618751152</v>
      </c>
      <c r="V88" s="109">
        <f t="shared" ca="1" si="29"/>
        <v>0</v>
      </c>
      <c r="W88" s="356">
        <f ca="1">IFERROR(__xludf.DUMMYFUNCTION("IMPORTRANGE(""https://docs.google.com/spreadsheets/d/18T20gbkS_WBjdscyTOV05cvq_JqvqQ17C81mpxf7Ncs/edit?usp=sharing"",""สุราษฎร์ธานี!I503"")"),30)</f>
        <v>30</v>
      </c>
      <c r="X88" s="186">
        <f ca="1">IFERROR(__xludf.DUMMYFUNCTION("IMPORTRANGE(""https://docs.google.com/spreadsheets/d/18T20gbkS_WBjdscyTOV05cvq_JqvqQ17C81mpxf7Ncs/edit?usp=sharing"",""สุราษฎร์ธานี!J503"")"),0)</f>
        <v>0</v>
      </c>
      <c r="Y88" s="357">
        <f t="shared" ca="1" si="31"/>
        <v>0</v>
      </c>
      <c r="Z88" s="186">
        <f ca="1">IFERROR(__xludf.DUMMYFUNCTION("IMPORTRANGE(""https://docs.google.com/spreadsheets/d/18T20gbkS_WBjdscyTOV05cvq_JqvqQ17C81mpxf7Ncs/edit?usp=sharing"",""สุราษฎร์ธานี!J504"")"),0)</f>
        <v>0</v>
      </c>
      <c r="AA88" s="186">
        <f ca="1">IFERROR(__xludf.DUMMYFUNCTION("IMPORTRANGE(""https://docs.google.com/spreadsheets/d/18T20gbkS_WBjdscyTOV05cvq_JqvqQ17C81mpxf7Ncs/edit?usp=sharing"",""สุราษฎร์ธานี!J505"")"),0)</f>
        <v>0</v>
      </c>
      <c r="AB88" s="186">
        <f ca="1">IFERROR(__xludf.DUMMYFUNCTION("IMPORTRANGE(""https://docs.google.com/spreadsheets/d/18T20gbkS_WBjdscyTOV05cvq_JqvqQ17C81mpxf7Ncs/edit?usp=sharing"",""สุราษฎร์ธานี!J506"")"),0)</f>
        <v>0</v>
      </c>
      <c r="AC88" s="186">
        <f ca="1">IFERROR(__xludf.DUMMYFUNCTION("IMPORTRANGE(""https://docs.google.com/spreadsheets/d/18T20gbkS_WBjdscyTOV05cvq_JqvqQ17C81mpxf7Ncs/edit?usp=sharing"",""สุราษฎร์ธานี!J507"")"),0)</f>
        <v>0</v>
      </c>
      <c r="AD88" s="186">
        <f ca="1">IFERROR(__xludf.DUMMYFUNCTION("IMPORTRANGE(""https://docs.google.com/spreadsheets/d/18T20gbkS_WBjdscyTOV05cvq_JqvqQ17C81mpxf7Ncs/edit?usp=sharing"",""สุราษฎร์ธานี!J508"")"),0)</f>
        <v>0</v>
      </c>
      <c r="AE88" s="186">
        <f ca="1">IFERROR(__xludf.DUMMYFUNCTION("IMPORTRANGE(""https://docs.google.com/spreadsheets/d/18T20gbkS_WBjdscyTOV05cvq_JqvqQ17C81mpxf7Ncs/edit?usp=sharing"",""สุราษฎร์ธานี!J509"")"),0)</f>
        <v>0</v>
      </c>
    </row>
    <row r="89" spans="1:31" ht="21" hidden="1" customHeight="1" x14ac:dyDescent="0.3">
      <c r="A89" s="632" t="s">
        <v>115</v>
      </c>
      <c r="B89" s="633"/>
      <c r="C89" s="46">
        <f t="shared" ref="C89:T89" si="49">SUM(C90:C106)</f>
        <v>0</v>
      </c>
      <c r="D89" s="45">
        <f t="shared" si="49"/>
        <v>0</v>
      </c>
      <c r="E89" s="45">
        <f t="shared" si="49"/>
        <v>0</v>
      </c>
      <c r="F89" s="45">
        <f t="shared" si="49"/>
        <v>0</v>
      </c>
      <c r="G89" s="45">
        <f t="shared" si="49"/>
        <v>0</v>
      </c>
      <c r="H89" s="45">
        <f t="shared" si="49"/>
        <v>0</v>
      </c>
      <c r="I89" s="45">
        <f t="shared" si="49"/>
        <v>0</v>
      </c>
      <c r="J89" s="45">
        <f t="shared" si="49"/>
        <v>0</v>
      </c>
      <c r="K89" s="47">
        <f t="shared" si="49"/>
        <v>0</v>
      </c>
      <c r="L89" s="45">
        <f t="shared" si="49"/>
        <v>0</v>
      </c>
      <c r="M89" s="47">
        <f t="shared" si="49"/>
        <v>0</v>
      </c>
      <c r="N89" s="47">
        <f t="shared" si="49"/>
        <v>0</v>
      </c>
      <c r="O89" s="45">
        <f t="shared" si="49"/>
        <v>0</v>
      </c>
      <c r="P89" s="45">
        <f t="shared" si="49"/>
        <v>0</v>
      </c>
      <c r="Q89" s="45">
        <f t="shared" si="49"/>
        <v>0</v>
      </c>
      <c r="R89" s="45">
        <f t="shared" si="49"/>
        <v>0</v>
      </c>
      <c r="S89" s="45">
        <f t="shared" si="49"/>
        <v>0</v>
      </c>
      <c r="T89" s="45">
        <f t="shared" si="49"/>
        <v>0</v>
      </c>
      <c r="U89" s="45">
        <f t="shared" si="28"/>
        <v>0</v>
      </c>
      <c r="V89" s="45">
        <f t="shared" si="29"/>
        <v>0</v>
      </c>
      <c r="W89" s="45"/>
      <c r="X89" s="45"/>
      <c r="Y89" s="48"/>
      <c r="Z89" s="45"/>
      <c r="AA89" s="45"/>
      <c r="AB89" s="45"/>
      <c r="AC89" s="45"/>
      <c r="AD89" s="45"/>
      <c r="AE89" s="45"/>
    </row>
    <row r="90" spans="1:31" ht="24" hidden="1" customHeight="1" x14ac:dyDescent="0.3">
      <c r="A90" s="197"/>
      <c r="B90" s="125" t="s">
        <v>116</v>
      </c>
      <c r="C90" s="198">
        <f t="shared" ref="C90:C106" si="50">D90+G90</f>
        <v>0</v>
      </c>
      <c r="D90" s="199">
        <f t="shared" ref="D90:D106" si="51">+E90+F90</f>
        <v>0</v>
      </c>
      <c r="E90" s="215">
        <v>0</v>
      </c>
      <c r="F90" s="215">
        <v>0</v>
      </c>
      <c r="G90" s="215">
        <v>0</v>
      </c>
      <c r="H90" s="215">
        <v>0</v>
      </c>
      <c r="I90" s="215">
        <v>0</v>
      </c>
      <c r="J90" s="81">
        <f t="shared" ref="J90:J106" si="52">L90+O90</f>
        <v>0</v>
      </c>
      <c r="K90" s="126">
        <f t="shared" ref="K90:K106" si="53">IF(C90&gt;0,J90*100/C90,0)</f>
        <v>0</v>
      </c>
      <c r="L90" s="215">
        <v>0</v>
      </c>
      <c r="M90" s="84">
        <f t="shared" ref="M90:M106" si="54">IF(D90&gt;0,L90*100/D90,0)</f>
        <v>0</v>
      </c>
      <c r="N90" s="84">
        <f t="shared" ref="N90:N106" si="55">IF(H90&gt;0,L90*100/H90,0)</f>
        <v>0</v>
      </c>
      <c r="O90" s="418">
        <v>0</v>
      </c>
      <c r="P90" s="85">
        <f t="shared" ref="P90:P106" si="56">IF(G90&gt;0,O90*100/G90,0)</f>
        <v>0</v>
      </c>
      <c r="Q90" s="84">
        <f t="shared" ref="Q90:Q106" si="57">IF(I90&gt;0,O90*100/I90,0)</f>
        <v>0</v>
      </c>
      <c r="R90" s="127">
        <v>0</v>
      </c>
      <c r="S90" s="127">
        <v>0</v>
      </c>
      <c r="T90" s="127">
        <v>0</v>
      </c>
      <c r="U90" s="84">
        <f t="shared" si="28"/>
        <v>0</v>
      </c>
      <c r="V90" s="84">
        <f t="shared" si="29"/>
        <v>0</v>
      </c>
      <c r="W90" s="81"/>
      <c r="X90" s="81"/>
      <c r="Y90" s="84"/>
      <c r="Z90" s="81"/>
      <c r="AA90" s="81"/>
      <c r="AB90" s="81"/>
      <c r="AC90" s="81"/>
      <c r="AD90" s="81"/>
      <c r="AE90" s="81"/>
    </row>
    <row r="91" spans="1:31" ht="24" hidden="1" customHeight="1" x14ac:dyDescent="0.3">
      <c r="A91" s="201"/>
      <c r="B91" s="129" t="s">
        <v>117</v>
      </c>
      <c r="C91" s="202">
        <f t="shared" si="50"/>
        <v>0</v>
      </c>
      <c r="D91" s="203">
        <f t="shared" si="51"/>
        <v>0</v>
      </c>
      <c r="E91" s="216">
        <v>0</v>
      </c>
      <c r="F91" s="216">
        <v>0</v>
      </c>
      <c r="G91" s="216">
        <v>0</v>
      </c>
      <c r="H91" s="216">
        <v>0</v>
      </c>
      <c r="I91" s="216">
        <v>0</v>
      </c>
      <c r="J91" s="93">
        <f t="shared" si="52"/>
        <v>0</v>
      </c>
      <c r="K91" s="94">
        <f t="shared" si="53"/>
        <v>0</v>
      </c>
      <c r="L91" s="216">
        <v>0</v>
      </c>
      <c r="M91" s="95">
        <f t="shared" si="54"/>
        <v>0</v>
      </c>
      <c r="N91" s="95">
        <f t="shared" si="55"/>
        <v>0</v>
      </c>
      <c r="O91" s="419">
        <v>0</v>
      </c>
      <c r="P91" s="96">
        <f t="shared" si="56"/>
        <v>0</v>
      </c>
      <c r="Q91" s="95">
        <f t="shared" si="57"/>
        <v>0</v>
      </c>
      <c r="R91" s="130">
        <v>0</v>
      </c>
      <c r="S91" s="130">
        <v>0</v>
      </c>
      <c r="T91" s="130">
        <v>0</v>
      </c>
      <c r="U91" s="95">
        <f t="shared" si="28"/>
        <v>0</v>
      </c>
      <c r="V91" s="95">
        <f t="shared" si="29"/>
        <v>0</v>
      </c>
      <c r="W91" s="93"/>
      <c r="X91" s="93"/>
      <c r="Y91" s="95"/>
      <c r="Z91" s="93"/>
      <c r="AA91" s="93"/>
      <c r="AB91" s="93"/>
      <c r="AC91" s="93"/>
      <c r="AD91" s="93"/>
      <c r="AE91" s="93"/>
    </row>
    <row r="92" spans="1:31" ht="24" hidden="1" customHeight="1" x14ac:dyDescent="0.3">
      <c r="A92" s="201"/>
      <c r="B92" s="129" t="s">
        <v>118</v>
      </c>
      <c r="C92" s="202">
        <f t="shared" si="50"/>
        <v>0</v>
      </c>
      <c r="D92" s="203">
        <f t="shared" si="51"/>
        <v>0</v>
      </c>
      <c r="E92" s="216">
        <v>0</v>
      </c>
      <c r="F92" s="216">
        <v>0</v>
      </c>
      <c r="G92" s="216">
        <v>0</v>
      </c>
      <c r="H92" s="216">
        <v>0</v>
      </c>
      <c r="I92" s="216">
        <v>0</v>
      </c>
      <c r="J92" s="93">
        <f t="shared" si="52"/>
        <v>0</v>
      </c>
      <c r="K92" s="94">
        <f t="shared" si="53"/>
        <v>0</v>
      </c>
      <c r="L92" s="216">
        <v>0</v>
      </c>
      <c r="M92" s="95">
        <f t="shared" si="54"/>
        <v>0</v>
      </c>
      <c r="N92" s="95">
        <f t="shared" si="55"/>
        <v>0</v>
      </c>
      <c r="O92" s="419">
        <v>0</v>
      </c>
      <c r="P92" s="96">
        <f t="shared" si="56"/>
        <v>0</v>
      </c>
      <c r="Q92" s="95">
        <f t="shared" si="57"/>
        <v>0</v>
      </c>
      <c r="R92" s="130">
        <v>0</v>
      </c>
      <c r="S92" s="130">
        <v>0</v>
      </c>
      <c r="T92" s="130">
        <v>0</v>
      </c>
      <c r="U92" s="95">
        <f t="shared" si="28"/>
        <v>0</v>
      </c>
      <c r="V92" s="95">
        <f t="shared" si="29"/>
        <v>0</v>
      </c>
      <c r="W92" s="93"/>
      <c r="X92" s="93"/>
      <c r="Y92" s="95"/>
      <c r="Z92" s="93"/>
      <c r="AA92" s="93"/>
      <c r="AB92" s="93"/>
      <c r="AC92" s="93"/>
      <c r="AD92" s="93"/>
      <c r="AE92" s="93"/>
    </row>
    <row r="93" spans="1:31" ht="24" hidden="1" customHeight="1" x14ac:dyDescent="0.3">
      <c r="A93" s="201"/>
      <c r="B93" s="129" t="s">
        <v>119</v>
      </c>
      <c r="C93" s="202">
        <f t="shared" si="50"/>
        <v>0</v>
      </c>
      <c r="D93" s="203">
        <f t="shared" si="51"/>
        <v>0</v>
      </c>
      <c r="E93" s="216">
        <v>0</v>
      </c>
      <c r="F93" s="216">
        <v>0</v>
      </c>
      <c r="G93" s="216">
        <v>0</v>
      </c>
      <c r="H93" s="216">
        <v>0</v>
      </c>
      <c r="I93" s="216">
        <v>0</v>
      </c>
      <c r="J93" s="93">
        <f t="shared" si="52"/>
        <v>0</v>
      </c>
      <c r="K93" s="94">
        <f t="shared" si="53"/>
        <v>0</v>
      </c>
      <c r="L93" s="216">
        <v>0</v>
      </c>
      <c r="M93" s="95">
        <f t="shared" si="54"/>
        <v>0</v>
      </c>
      <c r="N93" s="95">
        <f t="shared" si="55"/>
        <v>0</v>
      </c>
      <c r="O93" s="419">
        <v>0</v>
      </c>
      <c r="P93" s="96">
        <f t="shared" si="56"/>
        <v>0</v>
      </c>
      <c r="Q93" s="95">
        <f t="shared" si="57"/>
        <v>0</v>
      </c>
      <c r="R93" s="130">
        <v>0</v>
      </c>
      <c r="S93" s="130">
        <v>0</v>
      </c>
      <c r="T93" s="130">
        <v>0</v>
      </c>
      <c r="U93" s="95">
        <f t="shared" si="28"/>
        <v>0</v>
      </c>
      <c r="V93" s="95">
        <f t="shared" si="29"/>
        <v>0</v>
      </c>
      <c r="W93" s="93"/>
      <c r="X93" s="93"/>
      <c r="Y93" s="95"/>
      <c r="Z93" s="93"/>
      <c r="AA93" s="93"/>
      <c r="AB93" s="93"/>
      <c r="AC93" s="93"/>
      <c r="AD93" s="93"/>
      <c r="AE93" s="93"/>
    </row>
    <row r="94" spans="1:31" ht="24" hidden="1" customHeight="1" x14ac:dyDescent="0.3">
      <c r="A94" s="201"/>
      <c r="B94" s="129" t="s">
        <v>120</v>
      </c>
      <c r="C94" s="202">
        <f t="shared" si="50"/>
        <v>0</v>
      </c>
      <c r="D94" s="203">
        <f t="shared" si="51"/>
        <v>0</v>
      </c>
      <c r="E94" s="216">
        <v>0</v>
      </c>
      <c r="F94" s="216">
        <v>0</v>
      </c>
      <c r="G94" s="216">
        <v>0</v>
      </c>
      <c r="H94" s="216">
        <v>0</v>
      </c>
      <c r="I94" s="216">
        <v>0</v>
      </c>
      <c r="J94" s="93">
        <f t="shared" si="52"/>
        <v>0</v>
      </c>
      <c r="K94" s="94">
        <f t="shared" si="53"/>
        <v>0</v>
      </c>
      <c r="L94" s="216">
        <v>0</v>
      </c>
      <c r="M94" s="95">
        <f t="shared" si="54"/>
        <v>0</v>
      </c>
      <c r="N94" s="95">
        <f t="shared" si="55"/>
        <v>0</v>
      </c>
      <c r="O94" s="419">
        <v>0</v>
      </c>
      <c r="P94" s="96">
        <f t="shared" si="56"/>
        <v>0</v>
      </c>
      <c r="Q94" s="95">
        <f t="shared" si="57"/>
        <v>0</v>
      </c>
      <c r="R94" s="130">
        <v>0</v>
      </c>
      <c r="S94" s="130">
        <v>0</v>
      </c>
      <c r="T94" s="130">
        <v>0</v>
      </c>
      <c r="U94" s="95">
        <f t="shared" si="28"/>
        <v>0</v>
      </c>
      <c r="V94" s="95">
        <f t="shared" si="29"/>
        <v>0</v>
      </c>
      <c r="W94" s="93"/>
      <c r="X94" s="93"/>
      <c r="Y94" s="95"/>
      <c r="Z94" s="93"/>
      <c r="AA94" s="93"/>
      <c r="AB94" s="93"/>
      <c r="AC94" s="93"/>
      <c r="AD94" s="93"/>
      <c r="AE94" s="93"/>
    </row>
    <row r="95" spans="1:31" ht="24" hidden="1" customHeight="1" x14ac:dyDescent="0.3">
      <c r="A95" s="201"/>
      <c r="B95" s="129" t="s">
        <v>121</v>
      </c>
      <c r="C95" s="202">
        <f t="shared" si="50"/>
        <v>0</v>
      </c>
      <c r="D95" s="203">
        <f t="shared" si="51"/>
        <v>0</v>
      </c>
      <c r="E95" s="216">
        <v>0</v>
      </c>
      <c r="F95" s="216">
        <v>0</v>
      </c>
      <c r="G95" s="216">
        <v>0</v>
      </c>
      <c r="H95" s="216">
        <v>0</v>
      </c>
      <c r="I95" s="216">
        <v>0</v>
      </c>
      <c r="J95" s="93">
        <f t="shared" si="52"/>
        <v>0</v>
      </c>
      <c r="K95" s="94">
        <f t="shared" si="53"/>
        <v>0</v>
      </c>
      <c r="L95" s="216">
        <v>0</v>
      </c>
      <c r="M95" s="95">
        <f t="shared" si="54"/>
        <v>0</v>
      </c>
      <c r="N95" s="95">
        <f t="shared" si="55"/>
        <v>0</v>
      </c>
      <c r="O95" s="419">
        <v>0</v>
      </c>
      <c r="P95" s="96">
        <f t="shared" si="56"/>
        <v>0</v>
      </c>
      <c r="Q95" s="95">
        <f t="shared" si="57"/>
        <v>0</v>
      </c>
      <c r="R95" s="130">
        <v>0</v>
      </c>
      <c r="S95" s="130">
        <v>0</v>
      </c>
      <c r="T95" s="130">
        <v>0</v>
      </c>
      <c r="U95" s="95">
        <f t="shared" si="28"/>
        <v>0</v>
      </c>
      <c r="V95" s="95">
        <f t="shared" si="29"/>
        <v>0</v>
      </c>
      <c r="W95" s="93"/>
      <c r="X95" s="93"/>
      <c r="Y95" s="95"/>
      <c r="Z95" s="93"/>
      <c r="AA95" s="93"/>
      <c r="AB95" s="93"/>
      <c r="AC95" s="93"/>
      <c r="AD95" s="93"/>
      <c r="AE95" s="93"/>
    </row>
    <row r="96" spans="1:31" ht="24" hidden="1" customHeight="1" x14ac:dyDescent="0.3">
      <c r="A96" s="201"/>
      <c r="B96" s="129" t="s">
        <v>122</v>
      </c>
      <c r="C96" s="202">
        <f t="shared" si="50"/>
        <v>0</v>
      </c>
      <c r="D96" s="203">
        <f t="shared" si="51"/>
        <v>0</v>
      </c>
      <c r="E96" s="216">
        <v>0</v>
      </c>
      <c r="F96" s="216">
        <v>0</v>
      </c>
      <c r="G96" s="216">
        <v>0</v>
      </c>
      <c r="H96" s="216">
        <v>0</v>
      </c>
      <c r="I96" s="216">
        <v>0</v>
      </c>
      <c r="J96" s="93">
        <f t="shared" si="52"/>
        <v>0</v>
      </c>
      <c r="K96" s="94">
        <f t="shared" si="53"/>
        <v>0</v>
      </c>
      <c r="L96" s="216">
        <v>0</v>
      </c>
      <c r="M96" s="95">
        <f t="shared" si="54"/>
        <v>0</v>
      </c>
      <c r="N96" s="95">
        <f t="shared" si="55"/>
        <v>0</v>
      </c>
      <c r="O96" s="419">
        <v>0</v>
      </c>
      <c r="P96" s="96">
        <f t="shared" si="56"/>
        <v>0</v>
      </c>
      <c r="Q96" s="95">
        <f t="shared" si="57"/>
        <v>0</v>
      </c>
      <c r="R96" s="130">
        <v>0</v>
      </c>
      <c r="S96" s="130">
        <v>0</v>
      </c>
      <c r="T96" s="130">
        <v>0</v>
      </c>
      <c r="U96" s="95">
        <f t="shared" si="28"/>
        <v>0</v>
      </c>
      <c r="V96" s="95">
        <f t="shared" si="29"/>
        <v>0</v>
      </c>
      <c r="W96" s="93"/>
      <c r="X96" s="93"/>
      <c r="Y96" s="95"/>
      <c r="Z96" s="93"/>
      <c r="AA96" s="93"/>
      <c r="AB96" s="93"/>
      <c r="AC96" s="93"/>
      <c r="AD96" s="93"/>
      <c r="AE96" s="93"/>
    </row>
    <row r="97" spans="1:31" ht="24" hidden="1" customHeight="1" x14ac:dyDescent="0.3">
      <c r="A97" s="201"/>
      <c r="B97" s="129" t="s">
        <v>123</v>
      </c>
      <c r="C97" s="202">
        <f t="shared" si="50"/>
        <v>0</v>
      </c>
      <c r="D97" s="203">
        <f t="shared" si="51"/>
        <v>0</v>
      </c>
      <c r="E97" s="216">
        <v>0</v>
      </c>
      <c r="F97" s="216">
        <v>0</v>
      </c>
      <c r="G97" s="216">
        <v>0</v>
      </c>
      <c r="H97" s="216">
        <v>0</v>
      </c>
      <c r="I97" s="216">
        <v>0</v>
      </c>
      <c r="J97" s="93">
        <f t="shared" si="52"/>
        <v>0</v>
      </c>
      <c r="K97" s="94">
        <f t="shared" si="53"/>
        <v>0</v>
      </c>
      <c r="L97" s="216">
        <v>0</v>
      </c>
      <c r="M97" s="95">
        <f t="shared" si="54"/>
        <v>0</v>
      </c>
      <c r="N97" s="95">
        <f t="shared" si="55"/>
        <v>0</v>
      </c>
      <c r="O97" s="419">
        <v>0</v>
      </c>
      <c r="P97" s="96">
        <f t="shared" si="56"/>
        <v>0</v>
      </c>
      <c r="Q97" s="95">
        <f t="shared" si="57"/>
        <v>0</v>
      </c>
      <c r="R97" s="130">
        <v>0</v>
      </c>
      <c r="S97" s="130">
        <v>0</v>
      </c>
      <c r="T97" s="130">
        <v>0</v>
      </c>
      <c r="U97" s="95">
        <f t="shared" si="28"/>
        <v>0</v>
      </c>
      <c r="V97" s="95">
        <f t="shared" si="29"/>
        <v>0</v>
      </c>
      <c r="W97" s="93"/>
      <c r="X97" s="93"/>
      <c r="Y97" s="95"/>
      <c r="Z97" s="93"/>
      <c r="AA97" s="93"/>
      <c r="AB97" s="93"/>
      <c r="AC97" s="93"/>
      <c r="AD97" s="93"/>
      <c r="AE97" s="93"/>
    </row>
    <row r="98" spans="1:31" ht="24" hidden="1" customHeight="1" x14ac:dyDescent="0.3">
      <c r="A98" s="201"/>
      <c r="B98" s="129" t="s">
        <v>124</v>
      </c>
      <c r="C98" s="202">
        <f t="shared" si="50"/>
        <v>0</v>
      </c>
      <c r="D98" s="203">
        <f t="shared" si="51"/>
        <v>0</v>
      </c>
      <c r="E98" s="216">
        <v>0</v>
      </c>
      <c r="F98" s="216">
        <v>0</v>
      </c>
      <c r="G98" s="216">
        <v>0</v>
      </c>
      <c r="H98" s="216">
        <v>0</v>
      </c>
      <c r="I98" s="216">
        <v>0</v>
      </c>
      <c r="J98" s="93">
        <f t="shared" si="52"/>
        <v>0</v>
      </c>
      <c r="K98" s="94">
        <f t="shared" si="53"/>
        <v>0</v>
      </c>
      <c r="L98" s="216">
        <v>0</v>
      </c>
      <c r="M98" s="95">
        <f t="shared" si="54"/>
        <v>0</v>
      </c>
      <c r="N98" s="95">
        <f t="shared" si="55"/>
        <v>0</v>
      </c>
      <c r="O98" s="419">
        <v>0</v>
      </c>
      <c r="P98" s="96">
        <f t="shared" si="56"/>
        <v>0</v>
      </c>
      <c r="Q98" s="95">
        <f t="shared" si="57"/>
        <v>0</v>
      </c>
      <c r="R98" s="130">
        <v>0</v>
      </c>
      <c r="S98" s="130">
        <v>0</v>
      </c>
      <c r="T98" s="130">
        <v>0</v>
      </c>
      <c r="U98" s="95">
        <f t="shared" si="28"/>
        <v>0</v>
      </c>
      <c r="V98" s="95">
        <f t="shared" si="29"/>
        <v>0</v>
      </c>
      <c r="W98" s="93"/>
      <c r="X98" s="93"/>
      <c r="Y98" s="95"/>
      <c r="Z98" s="93"/>
      <c r="AA98" s="93"/>
      <c r="AB98" s="93"/>
      <c r="AC98" s="93"/>
      <c r="AD98" s="93"/>
      <c r="AE98" s="93"/>
    </row>
    <row r="99" spans="1:31" ht="24" hidden="1" customHeight="1" x14ac:dyDescent="0.3">
      <c r="A99" s="201"/>
      <c r="B99" s="129" t="s">
        <v>125</v>
      </c>
      <c r="C99" s="202">
        <f t="shared" si="50"/>
        <v>0</v>
      </c>
      <c r="D99" s="203">
        <f t="shared" si="51"/>
        <v>0</v>
      </c>
      <c r="E99" s="216">
        <v>0</v>
      </c>
      <c r="F99" s="216">
        <v>0</v>
      </c>
      <c r="G99" s="216">
        <v>0</v>
      </c>
      <c r="H99" s="216">
        <v>0</v>
      </c>
      <c r="I99" s="216">
        <v>0</v>
      </c>
      <c r="J99" s="93">
        <f t="shared" si="52"/>
        <v>0</v>
      </c>
      <c r="K99" s="94">
        <f t="shared" si="53"/>
        <v>0</v>
      </c>
      <c r="L99" s="216">
        <v>0</v>
      </c>
      <c r="M99" s="95">
        <f t="shared" si="54"/>
        <v>0</v>
      </c>
      <c r="N99" s="95">
        <f t="shared" si="55"/>
        <v>0</v>
      </c>
      <c r="O99" s="419">
        <v>0</v>
      </c>
      <c r="P99" s="96">
        <f t="shared" si="56"/>
        <v>0</v>
      </c>
      <c r="Q99" s="95">
        <f t="shared" si="57"/>
        <v>0</v>
      </c>
      <c r="R99" s="130">
        <v>0</v>
      </c>
      <c r="S99" s="130">
        <v>0</v>
      </c>
      <c r="T99" s="130">
        <v>0</v>
      </c>
      <c r="U99" s="95">
        <f t="shared" si="28"/>
        <v>0</v>
      </c>
      <c r="V99" s="95">
        <f t="shared" si="29"/>
        <v>0</v>
      </c>
      <c r="W99" s="93"/>
      <c r="X99" s="93"/>
      <c r="Y99" s="95"/>
      <c r="Z99" s="93"/>
      <c r="AA99" s="93"/>
      <c r="AB99" s="93"/>
      <c r="AC99" s="93"/>
      <c r="AD99" s="93"/>
      <c r="AE99" s="93"/>
    </row>
    <row r="100" spans="1:31" ht="24" hidden="1" customHeight="1" x14ac:dyDescent="0.3">
      <c r="A100" s="201"/>
      <c r="B100" s="129" t="s">
        <v>126</v>
      </c>
      <c r="C100" s="202">
        <f t="shared" si="50"/>
        <v>0</v>
      </c>
      <c r="D100" s="203">
        <f t="shared" si="51"/>
        <v>0</v>
      </c>
      <c r="E100" s="216">
        <v>0</v>
      </c>
      <c r="F100" s="216">
        <v>0</v>
      </c>
      <c r="G100" s="216">
        <v>0</v>
      </c>
      <c r="H100" s="216">
        <v>0</v>
      </c>
      <c r="I100" s="216">
        <v>0</v>
      </c>
      <c r="J100" s="93">
        <f t="shared" si="52"/>
        <v>0</v>
      </c>
      <c r="K100" s="94">
        <f t="shared" si="53"/>
        <v>0</v>
      </c>
      <c r="L100" s="216">
        <v>0</v>
      </c>
      <c r="M100" s="95">
        <f t="shared" si="54"/>
        <v>0</v>
      </c>
      <c r="N100" s="95">
        <f t="shared" si="55"/>
        <v>0</v>
      </c>
      <c r="O100" s="419">
        <v>0</v>
      </c>
      <c r="P100" s="96">
        <f t="shared" si="56"/>
        <v>0</v>
      </c>
      <c r="Q100" s="95">
        <f t="shared" si="57"/>
        <v>0</v>
      </c>
      <c r="R100" s="130">
        <v>0</v>
      </c>
      <c r="S100" s="130">
        <v>0</v>
      </c>
      <c r="T100" s="130">
        <v>0</v>
      </c>
      <c r="U100" s="95">
        <f t="shared" si="28"/>
        <v>0</v>
      </c>
      <c r="V100" s="95">
        <f t="shared" si="29"/>
        <v>0</v>
      </c>
      <c r="W100" s="93"/>
      <c r="X100" s="93"/>
      <c r="Y100" s="95"/>
      <c r="Z100" s="93"/>
      <c r="AA100" s="93"/>
      <c r="AB100" s="93"/>
      <c r="AC100" s="93"/>
      <c r="AD100" s="93"/>
      <c r="AE100" s="93"/>
    </row>
    <row r="101" spans="1:31" ht="24" hidden="1" customHeight="1" x14ac:dyDescent="0.3">
      <c r="A101" s="201"/>
      <c r="B101" s="129" t="s">
        <v>127</v>
      </c>
      <c r="C101" s="202">
        <f t="shared" si="50"/>
        <v>0</v>
      </c>
      <c r="D101" s="203">
        <f t="shared" si="51"/>
        <v>0</v>
      </c>
      <c r="E101" s="216">
        <v>0</v>
      </c>
      <c r="F101" s="216">
        <v>0</v>
      </c>
      <c r="G101" s="216">
        <v>0</v>
      </c>
      <c r="H101" s="216">
        <v>0</v>
      </c>
      <c r="I101" s="216">
        <v>0</v>
      </c>
      <c r="J101" s="93">
        <f t="shared" si="52"/>
        <v>0</v>
      </c>
      <c r="K101" s="94">
        <f t="shared" si="53"/>
        <v>0</v>
      </c>
      <c r="L101" s="216">
        <v>0</v>
      </c>
      <c r="M101" s="95">
        <f t="shared" si="54"/>
        <v>0</v>
      </c>
      <c r="N101" s="95">
        <f t="shared" si="55"/>
        <v>0</v>
      </c>
      <c r="O101" s="419">
        <v>0</v>
      </c>
      <c r="P101" s="96">
        <f t="shared" si="56"/>
        <v>0</v>
      </c>
      <c r="Q101" s="95">
        <f t="shared" si="57"/>
        <v>0</v>
      </c>
      <c r="R101" s="130">
        <v>0</v>
      </c>
      <c r="S101" s="130">
        <v>0</v>
      </c>
      <c r="T101" s="130">
        <v>0</v>
      </c>
      <c r="U101" s="95">
        <f t="shared" si="28"/>
        <v>0</v>
      </c>
      <c r="V101" s="95">
        <f t="shared" si="29"/>
        <v>0</v>
      </c>
      <c r="W101" s="93"/>
      <c r="X101" s="93"/>
      <c r="Y101" s="95"/>
      <c r="Z101" s="93"/>
      <c r="AA101" s="93"/>
      <c r="AB101" s="93"/>
      <c r="AC101" s="93"/>
      <c r="AD101" s="93"/>
      <c r="AE101" s="93"/>
    </row>
    <row r="102" spans="1:31" ht="24" hidden="1" customHeight="1" x14ac:dyDescent="0.3">
      <c r="A102" s="201"/>
      <c r="B102" s="129" t="s">
        <v>128</v>
      </c>
      <c r="C102" s="202">
        <f t="shared" si="50"/>
        <v>0</v>
      </c>
      <c r="D102" s="203">
        <f t="shared" si="51"/>
        <v>0</v>
      </c>
      <c r="E102" s="216">
        <v>0</v>
      </c>
      <c r="F102" s="216">
        <v>0</v>
      </c>
      <c r="G102" s="216">
        <v>0</v>
      </c>
      <c r="H102" s="216">
        <v>0</v>
      </c>
      <c r="I102" s="216">
        <v>0</v>
      </c>
      <c r="J102" s="93">
        <f t="shared" si="52"/>
        <v>0</v>
      </c>
      <c r="K102" s="94">
        <f t="shared" si="53"/>
        <v>0</v>
      </c>
      <c r="L102" s="216">
        <v>0</v>
      </c>
      <c r="M102" s="95">
        <f t="shared" si="54"/>
        <v>0</v>
      </c>
      <c r="N102" s="95">
        <f t="shared" si="55"/>
        <v>0</v>
      </c>
      <c r="O102" s="419">
        <v>0</v>
      </c>
      <c r="P102" s="96">
        <f t="shared" si="56"/>
        <v>0</v>
      </c>
      <c r="Q102" s="95">
        <f t="shared" si="57"/>
        <v>0</v>
      </c>
      <c r="R102" s="130">
        <v>0</v>
      </c>
      <c r="S102" s="130">
        <v>0</v>
      </c>
      <c r="T102" s="130">
        <v>0</v>
      </c>
      <c r="U102" s="95">
        <f t="shared" si="28"/>
        <v>0</v>
      </c>
      <c r="V102" s="95">
        <f t="shared" si="29"/>
        <v>0</v>
      </c>
      <c r="W102" s="93"/>
      <c r="X102" s="93"/>
      <c r="Y102" s="95"/>
      <c r="Z102" s="93"/>
      <c r="AA102" s="93"/>
      <c r="AB102" s="93"/>
      <c r="AC102" s="93"/>
      <c r="AD102" s="93"/>
      <c r="AE102" s="93"/>
    </row>
    <row r="103" spans="1:31" ht="24" hidden="1" customHeight="1" x14ac:dyDescent="0.3">
      <c r="A103" s="201"/>
      <c r="B103" s="129" t="s">
        <v>129</v>
      </c>
      <c r="C103" s="202">
        <f t="shared" si="50"/>
        <v>0</v>
      </c>
      <c r="D103" s="203">
        <f t="shared" si="51"/>
        <v>0</v>
      </c>
      <c r="E103" s="216">
        <v>0</v>
      </c>
      <c r="F103" s="216">
        <v>0</v>
      </c>
      <c r="G103" s="216">
        <v>0</v>
      </c>
      <c r="H103" s="216">
        <v>0</v>
      </c>
      <c r="I103" s="216">
        <v>0</v>
      </c>
      <c r="J103" s="93">
        <f t="shared" si="52"/>
        <v>0</v>
      </c>
      <c r="K103" s="94">
        <f t="shared" si="53"/>
        <v>0</v>
      </c>
      <c r="L103" s="216">
        <v>0</v>
      </c>
      <c r="M103" s="95">
        <f t="shared" si="54"/>
        <v>0</v>
      </c>
      <c r="N103" s="95">
        <f t="shared" si="55"/>
        <v>0</v>
      </c>
      <c r="O103" s="419">
        <v>0</v>
      </c>
      <c r="P103" s="96">
        <f t="shared" si="56"/>
        <v>0</v>
      </c>
      <c r="Q103" s="95">
        <f t="shared" si="57"/>
        <v>0</v>
      </c>
      <c r="R103" s="131">
        <v>0</v>
      </c>
      <c r="S103" s="131">
        <v>0</v>
      </c>
      <c r="T103" s="131">
        <v>0</v>
      </c>
      <c r="U103" s="132">
        <f t="shared" si="28"/>
        <v>0</v>
      </c>
      <c r="V103" s="132">
        <f t="shared" si="29"/>
        <v>0</v>
      </c>
      <c r="W103" s="249"/>
      <c r="X103" s="249"/>
      <c r="Y103" s="132"/>
      <c r="Z103" s="249"/>
      <c r="AA103" s="249"/>
      <c r="AB103" s="249"/>
      <c r="AC103" s="249"/>
      <c r="AD103" s="249"/>
      <c r="AE103" s="249"/>
    </row>
    <row r="104" spans="1:31" ht="21" hidden="1" customHeight="1" x14ac:dyDescent="0.3">
      <c r="A104" s="201"/>
      <c r="B104" s="129" t="s">
        <v>130</v>
      </c>
      <c r="C104" s="202">
        <f t="shared" si="50"/>
        <v>0</v>
      </c>
      <c r="D104" s="203">
        <f t="shared" si="51"/>
        <v>0</v>
      </c>
      <c r="E104" s="216">
        <v>0</v>
      </c>
      <c r="F104" s="216">
        <v>0</v>
      </c>
      <c r="G104" s="216">
        <v>0</v>
      </c>
      <c r="H104" s="216">
        <v>0</v>
      </c>
      <c r="I104" s="216">
        <v>0</v>
      </c>
      <c r="J104" s="93">
        <f t="shared" si="52"/>
        <v>0</v>
      </c>
      <c r="K104" s="94">
        <f t="shared" si="53"/>
        <v>0</v>
      </c>
      <c r="L104" s="216">
        <v>0</v>
      </c>
      <c r="M104" s="95">
        <f t="shared" si="54"/>
        <v>0</v>
      </c>
      <c r="N104" s="95">
        <f t="shared" si="55"/>
        <v>0</v>
      </c>
      <c r="O104" s="419">
        <v>0</v>
      </c>
      <c r="P104" s="96">
        <f t="shared" si="56"/>
        <v>0</v>
      </c>
      <c r="Q104" s="95">
        <f t="shared" si="57"/>
        <v>0</v>
      </c>
      <c r="R104" s="130">
        <v>0</v>
      </c>
      <c r="S104" s="130">
        <v>0</v>
      </c>
      <c r="T104" s="130">
        <v>0</v>
      </c>
      <c r="U104" s="95">
        <f t="shared" si="28"/>
        <v>0</v>
      </c>
      <c r="V104" s="95">
        <f t="shared" si="29"/>
        <v>0</v>
      </c>
      <c r="W104" s="364"/>
      <c r="X104" s="364"/>
      <c r="Y104" s="364"/>
      <c r="Z104" s="364"/>
      <c r="AA104" s="364"/>
      <c r="AB104" s="364"/>
      <c r="AC104" s="364"/>
      <c r="AD104" s="364"/>
      <c r="AE104" s="364"/>
    </row>
    <row r="105" spans="1:31" ht="24" hidden="1" customHeight="1" x14ac:dyDescent="0.3">
      <c r="A105" s="201"/>
      <c r="B105" s="133" t="s">
        <v>131</v>
      </c>
      <c r="C105" s="202">
        <f t="shared" si="50"/>
        <v>0</v>
      </c>
      <c r="D105" s="203">
        <f t="shared" si="51"/>
        <v>0</v>
      </c>
      <c r="E105" s="216">
        <v>0</v>
      </c>
      <c r="F105" s="216">
        <v>0</v>
      </c>
      <c r="G105" s="216">
        <v>0</v>
      </c>
      <c r="H105" s="216">
        <v>0</v>
      </c>
      <c r="I105" s="216">
        <v>0</v>
      </c>
      <c r="J105" s="93">
        <f t="shared" si="52"/>
        <v>0</v>
      </c>
      <c r="K105" s="94">
        <f t="shared" si="53"/>
        <v>0</v>
      </c>
      <c r="L105" s="216">
        <v>0</v>
      </c>
      <c r="M105" s="95">
        <f t="shared" si="54"/>
        <v>0</v>
      </c>
      <c r="N105" s="95">
        <f t="shared" si="55"/>
        <v>0</v>
      </c>
      <c r="O105" s="419">
        <v>0</v>
      </c>
      <c r="P105" s="96">
        <f t="shared" si="56"/>
        <v>0</v>
      </c>
      <c r="Q105" s="95">
        <f t="shared" si="57"/>
        <v>0</v>
      </c>
      <c r="R105" s="134">
        <v>0</v>
      </c>
      <c r="S105" s="134">
        <v>0</v>
      </c>
      <c r="T105" s="134">
        <v>0</v>
      </c>
      <c r="U105" s="135">
        <f t="shared" si="28"/>
        <v>0</v>
      </c>
      <c r="V105" s="135">
        <f t="shared" si="29"/>
        <v>0</v>
      </c>
      <c r="W105" s="122"/>
      <c r="X105" s="122"/>
      <c r="Y105" s="122"/>
      <c r="Z105" s="122"/>
      <c r="AA105" s="122"/>
      <c r="AB105" s="122"/>
      <c r="AC105" s="122"/>
      <c r="AD105" s="122"/>
      <c r="AE105" s="122"/>
    </row>
    <row r="106" spans="1:31" ht="24" hidden="1" customHeight="1" x14ac:dyDescent="0.3">
      <c r="A106" s="205"/>
      <c r="B106" s="137" t="s">
        <v>132</v>
      </c>
      <c r="C106" s="206">
        <f t="shared" si="50"/>
        <v>0</v>
      </c>
      <c r="D106" s="207">
        <f t="shared" si="51"/>
        <v>0</v>
      </c>
      <c r="E106" s="217">
        <v>0</v>
      </c>
      <c r="F106" s="217">
        <v>0</v>
      </c>
      <c r="G106" s="217">
        <v>0</v>
      </c>
      <c r="H106" s="217">
        <v>0</v>
      </c>
      <c r="I106" s="217">
        <v>0</v>
      </c>
      <c r="J106" s="104">
        <f t="shared" si="52"/>
        <v>0</v>
      </c>
      <c r="K106" s="105">
        <f t="shared" si="53"/>
        <v>0</v>
      </c>
      <c r="L106" s="217">
        <v>0</v>
      </c>
      <c r="M106" s="106">
        <f t="shared" si="54"/>
        <v>0</v>
      </c>
      <c r="N106" s="106">
        <f t="shared" si="55"/>
        <v>0</v>
      </c>
      <c r="O106" s="420">
        <v>0</v>
      </c>
      <c r="P106" s="107">
        <f t="shared" si="56"/>
        <v>0</v>
      </c>
      <c r="Q106" s="106">
        <f t="shared" si="57"/>
        <v>0</v>
      </c>
      <c r="R106" s="138">
        <v>0</v>
      </c>
      <c r="S106" s="138">
        <v>0</v>
      </c>
      <c r="T106" s="138">
        <v>0</v>
      </c>
      <c r="U106" s="106">
        <f t="shared" si="28"/>
        <v>0</v>
      </c>
      <c r="V106" s="106">
        <f t="shared" si="29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</row>
    <row r="107" spans="1:31" ht="24" customHeight="1" x14ac:dyDescent="0.3">
      <c r="A107" s="2"/>
      <c r="B107" s="2"/>
      <c r="C107" s="223" t="s">
        <v>142</v>
      </c>
      <c r="D107" s="2"/>
      <c r="E107" s="2"/>
      <c r="F107" s="2"/>
      <c r="G107" s="2"/>
      <c r="H107" s="2"/>
      <c r="I107" s="2"/>
      <c r="J107" s="2"/>
      <c r="K107" s="2"/>
      <c r="L107" s="2"/>
      <c r="M107" s="4"/>
      <c r="N107" s="4"/>
      <c r="O107" s="5"/>
      <c r="P107" s="5"/>
      <c r="Q107" s="5"/>
      <c r="R107" s="5"/>
      <c r="S107" s="5"/>
      <c r="T107" s="5"/>
      <c r="U107" s="5"/>
      <c r="V107" s="5"/>
      <c r="W107" s="2"/>
      <c r="X107" s="2"/>
      <c r="Y107" s="4"/>
    </row>
  </sheetData>
  <mergeCells count="37">
    <mergeCell ref="AD4:AD5"/>
    <mergeCell ref="AE4:AE5"/>
    <mergeCell ref="C5:C6"/>
    <mergeCell ref="D5:D6"/>
    <mergeCell ref="E5:E6"/>
    <mergeCell ref="F5:F6"/>
    <mergeCell ref="H4:I4"/>
    <mergeCell ref="J5:K5"/>
    <mergeCell ref="L5:N5"/>
    <mergeCell ref="O5:Q5"/>
    <mergeCell ref="I5:I6"/>
    <mergeCell ref="H5:H6"/>
    <mergeCell ref="A74:B74"/>
    <mergeCell ref="A89:B89"/>
    <mergeCell ref="A2:B6"/>
    <mergeCell ref="C2:AE2"/>
    <mergeCell ref="C3:Q3"/>
    <mergeCell ref="W3:AE3"/>
    <mergeCell ref="C4:G4"/>
    <mergeCell ref="J4:Q4"/>
    <mergeCell ref="G5:G6"/>
    <mergeCell ref="A7:B7"/>
    <mergeCell ref="W4:W5"/>
    <mergeCell ref="X4:Y5"/>
    <mergeCell ref="Z4:Z5"/>
    <mergeCell ref="AA4:AA5"/>
    <mergeCell ref="AB4:AB5"/>
    <mergeCell ref="AC4:AC5"/>
    <mergeCell ref="A13:B13"/>
    <mergeCell ref="A31:B31"/>
    <mergeCell ref="A52:B52"/>
    <mergeCell ref="R3:V3"/>
    <mergeCell ref="R4:R6"/>
    <mergeCell ref="S4:S6"/>
    <mergeCell ref="T4:T6"/>
    <mergeCell ref="U4:U6"/>
    <mergeCell ref="V4:V6"/>
  </mergeCells>
  <printOptions horizontalCentered="1"/>
  <pageMargins left="0.23622047244094491" right="0.23622047244094491" top="0.55118110236220474" bottom="0.55118110236220474" header="0" footer="0"/>
  <pageSetup paperSize="9" scale="50" fitToWidth="0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2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FF00"/>
    <outlinePr summaryBelow="0" summaryRight="0"/>
  </sheetPr>
  <dimension ref="A1:AW106"/>
  <sheetViews>
    <sheetView view="pageBreakPreview" zoomScale="60" zoomScaleNormal="55" workbookViewId="0">
      <selection activeCell="A10" sqref="A10:XFD12"/>
    </sheetView>
  </sheetViews>
  <sheetFormatPr defaultColWidth="12.5703125" defaultRowHeight="15.75" customHeight="1" x14ac:dyDescent="0.2"/>
  <cols>
    <col min="2" max="2" width="19.140625" customWidth="1"/>
    <col min="3" max="9" width="16.42578125" customWidth="1"/>
    <col min="10" max="10" width="7.85546875" bestFit="1" customWidth="1"/>
    <col min="11" max="11" width="10.7109375" bestFit="1" customWidth="1"/>
    <col min="12" max="12" width="7.85546875" bestFit="1" customWidth="1"/>
    <col min="13" max="13" width="10.85546875" customWidth="1"/>
    <col min="14" max="14" width="10.42578125" bestFit="1" customWidth="1"/>
    <col min="15" max="15" width="7.85546875" bestFit="1" customWidth="1"/>
    <col min="16" max="16" width="10.28515625" customWidth="1"/>
    <col min="17" max="17" width="10.42578125" bestFit="1" customWidth="1"/>
    <col min="18" max="18" width="18" bestFit="1" customWidth="1"/>
    <col min="19" max="19" width="11" bestFit="1" customWidth="1"/>
    <col min="20" max="20" width="15.140625" bestFit="1" customWidth="1"/>
    <col min="21" max="21" width="10.85546875" bestFit="1" customWidth="1"/>
    <col min="22" max="22" width="12" bestFit="1" customWidth="1"/>
    <col min="23" max="23" width="13.42578125" bestFit="1" customWidth="1"/>
    <col min="24" max="24" width="5.42578125" bestFit="1" customWidth="1"/>
    <col min="25" max="25" width="10.140625" bestFit="1" customWidth="1"/>
    <col min="26" max="26" width="13.42578125" bestFit="1" customWidth="1"/>
    <col min="27" max="27" width="7.5703125" bestFit="1" customWidth="1"/>
    <col min="28" max="28" width="12.5703125" bestFit="1" customWidth="1"/>
    <col min="29" max="29" width="13.42578125" bestFit="1" customWidth="1"/>
    <col min="30" max="30" width="7.5703125" bestFit="1" customWidth="1"/>
    <col min="31" max="31" width="12.5703125" bestFit="1" customWidth="1"/>
    <col min="32" max="37" width="13.140625" customWidth="1"/>
    <col min="38" max="38" width="7.7109375" bestFit="1" customWidth="1"/>
    <col min="39" max="39" width="10.140625" bestFit="1" customWidth="1"/>
    <col min="40" max="40" width="21.42578125" customWidth="1"/>
    <col min="41" max="41" width="22" customWidth="1"/>
    <col min="42" max="49" width="25.5703125" customWidth="1"/>
  </cols>
  <sheetData>
    <row r="1" spans="1:49" ht="19.5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9.5" x14ac:dyDescent="0.2">
      <c r="A2" s="616" t="s">
        <v>1</v>
      </c>
      <c r="B2" s="617"/>
      <c r="C2" s="689" t="s">
        <v>229</v>
      </c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607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426"/>
      <c r="AR2" s="426"/>
      <c r="AS2" s="426"/>
      <c r="AT2" s="426"/>
      <c r="AU2" s="426"/>
      <c r="AV2" s="426"/>
      <c r="AW2" s="426"/>
    </row>
    <row r="3" spans="1:49" ht="48" customHeight="1" x14ac:dyDescent="0.2">
      <c r="A3" s="618"/>
      <c r="B3" s="619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584" t="s">
        <v>4</v>
      </c>
      <c r="S3" s="585"/>
      <c r="T3" s="585"/>
      <c r="U3" s="585"/>
      <c r="V3" s="585"/>
      <c r="W3" s="690" t="s">
        <v>230</v>
      </c>
      <c r="X3" s="585"/>
      <c r="Y3" s="607"/>
      <c r="Z3" s="693" t="s">
        <v>231</v>
      </c>
      <c r="AA3" s="585"/>
      <c r="AB3" s="607"/>
      <c r="AC3" s="693" t="s">
        <v>232</v>
      </c>
      <c r="AD3" s="585"/>
      <c r="AE3" s="607"/>
      <c r="AF3" s="693" t="s">
        <v>233</v>
      </c>
      <c r="AG3" s="607"/>
      <c r="AH3" s="693" t="s">
        <v>234</v>
      </c>
      <c r="AI3" s="607"/>
      <c r="AJ3" s="693" t="s">
        <v>235</v>
      </c>
      <c r="AK3" s="607"/>
      <c r="AL3" s="693" t="s">
        <v>236</v>
      </c>
      <c r="AM3" s="607"/>
      <c r="AN3" s="694" t="s">
        <v>237</v>
      </c>
      <c r="AO3" s="694" t="s">
        <v>238</v>
      </c>
      <c r="AP3" s="695" t="s">
        <v>239</v>
      </c>
      <c r="AQ3" s="585"/>
      <c r="AR3" s="607"/>
      <c r="AS3" s="691" t="s">
        <v>240</v>
      </c>
      <c r="AT3" s="692" t="s">
        <v>237</v>
      </c>
      <c r="AU3" s="692" t="s">
        <v>238</v>
      </c>
      <c r="AV3" s="691" t="s">
        <v>241</v>
      </c>
      <c r="AW3" s="692" t="s">
        <v>242</v>
      </c>
    </row>
    <row r="4" spans="1:49" ht="48" customHeight="1" x14ac:dyDescent="0.2">
      <c r="A4" s="618"/>
      <c r="B4" s="619"/>
      <c r="C4" s="609" t="s">
        <v>7</v>
      </c>
      <c r="D4" s="598"/>
      <c r="E4" s="598"/>
      <c r="F4" s="598"/>
      <c r="G4" s="583"/>
      <c r="H4" s="612" t="s">
        <v>8</v>
      </c>
      <c r="I4" s="583"/>
      <c r="J4" s="613" t="s">
        <v>9</v>
      </c>
      <c r="K4" s="598"/>
      <c r="L4" s="598"/>
      <c r="M4" s="598"/>
      <c r="N4" s="598"/>
      <c r="O4" s="598"/>
      <c r="P4" s="598"/>
      <c r="Q4" s="583"/>
      <c r="R4" s="614" t="s">
        <v>10</v>
      </c>
      <c r="S4" s="615" t="s">
        <v>11</v>
      </c>
      <c r="T4" s="594" t="s">
        <v>12</v>
      </c>
      <c r="U4" s="752" t="s">
        <v>13</v>
      </c>
      <c r="V4" s="752" t="s">
        <v>14</v>
      </c>
      <c r="W4" s="641"/>
      <c r="X4" s="592"/>
      <c r="Y4" s="593"/>
      <c r="Z4" s="592"/>
      <c r="AA4" s="592"/>
      <c r="AB4" s="593"/>
      <c r="AC4" s="592"/>
      <c r="AD4" s="592"/>
      <c r="AE4" s="593"/>
      <c r="AF4" s="592"/>
      <c r="AG4" s="593"/>
      <c r="AH4" s="592"/>
      <c r="AI4" s="593"/>
      <c r="AJ4" s="592"/>
      <c r="AK4" s="593"/>
      <c r="AL4" s="592"/>
      <c r="AM4" s="593"/>
      <c r="AN4" s="593"/>
      <c r="AO4" s="593"/>
      <c r="AP4" s="592"/>
      <c r="AQ4" s="592"/>
      <c r="AR4" s="593"/>
      <c r="AS4" s="593"/>
      <c r="AT4" s="593"/>
      <c r="AU4" s="593"/>
      <c r="AV4" s="593"/>
      <c r="AW4" s="593"/>
    </row>
    <row r="5" spans="1:49" ht="19.5" x14ac:dyDescent="0.3">
      <c r="A5" s="618"/>
      <c r="B5" s="619"/>
      <c r="C5" s="726" t="s">
        <v>19</v>
      </c>
      <c r="D5" s="727" t="s">
        <v>20</v>
      </c>
      <c r="E5" s="728" t="s">
        <v>21</v>
      </c>
      <c r="F5" s="729" t="s">
        <v>22</v>
      </c>
      <c r="G5" s="730" t="s">
        <v>23</v>
      </c>
      <c r="H5" s="6" t="s">
        <v>24</v>
      </c>
      <c r="I5" s="6" t="s">
        <v>25</v>
      </c>
      <c r="J5" s="589" t="s">
        <v>26</v>
      </c>
      <c r="K5" s="590"/>
      <c r="L5" s="591" t="s">
        <v>24</v>
      </c>
      <c r="M5" s="592"/>
      <c r="N5" s="593"/>
      <c r="O5" s="611" t="s">
        <v>25</v>
      </c>
      <c r="P5" s="592"/>
      <c r="Q5" s="593"/>
      <c r="R5" s="595"/>
      <c r="S5" s="595"/>
      <c r="T5" s="595"/>
      <c r="U5" s="753"/>
      <c r="V5" s="753"/>
      <c r="W5" s="427" t="s">
        <v>27</v>
      </c>
      <c r="X5" s="654" t="s">
        <v>28</v>
      </c>
      <c r="Y5" s="593"/>
      <c r="Z5" s="428" t="s">
        <v>27</v>
      </c>
      <c r="AA5" s="654" t="s">
        <v>28</v>
      </c>
      <c r="AB5" s="593"/>
      <c r="AC5" s="428" t="s">
        <v>27</v>
      </c>
      <c r="AD5" s="654" t="s">
        <v>28</v>
      </c>
      <c r="AE5" s="593"/>
      <c r="AF5" s="654" t="s">
        <v>28</v>
      </c>
      <c r="AG5" s="593"/>
      <c r="AH5" s="654" t="s">
        <v>28</v>
      </c>
      <c r="AI5" s="593"/>
      <c r="AJ5" s="654" t="s">
        <v>28</v>
      </c>
      <c r="AK5" s="593"/>
      <c r="AL5" s="654" t="s">
        <v>28</v>
      </c>
      <c r="AM5" s="593"/>
      <c r="AN5" s="429" t="s">
        <v>28</v>
      </c>
      <c r="AO5" s="429" t="s">
        <v>28</v>
      </c>
      <c r="AP5" s="430" t="s">
        <v>27</v>
      </c>
      <c r="AQ5" s="654" t="s">
        <v>28</v>
      </c>
      <c r="AR5" s="593"/>
      <c r="AS5" s="429" t="s">
        <v>28</v>
      </c>
      <c r="AT5" s="429" t="s">
        <v>28</v>
      </c>
      <c r="AU5" s="429" t="s">
        <v>28</v>
      </c>
      <c r="AV5" s="429" t="s">
        <v>28</v>
      </c>
      <c r="AW5" s="429" t="s">
        <v>28</v>
      </c>
    </row>
    <row r="6" spans="1:49" ht="46.5" customHeight="1" x14ac:dyDescent="0.3">
      <c r="A6" s="620"/>
      <c r="B6" s="621"/>
      <c r="C6" s="731"/>
      <c r="D6" s="732"/>
      <c r="E6" s="732"/>
      <c r="F6" s="732"/>
      <c r="G6" s="732"/>
      <c r="H6" s="6"/>
      <c r="I6" s="6"/>
      <c r="J6" s="739" t="s">
        <v>29</v>
      </c>
      <c r="K6" s="740" t="s">
        <v>30</v>
      </c>
      <c r="L6" s="739" t="s">
        <v>29</v>
      </c>
      <c r="M6" s="741" t="s">
        <v>31</v>
      </c>
      <c r="N6" s="742" t="s">
        <v>32</v>
      </c>
      <c r="O6" s="743" t="s">
        <v>29</v>
      </c>
      <c r="P6" s="741" t="s">
        <v>31</v>
      </c>
      <c r="Q6" s="742" t="s">
        <v>32</v>
      </c>
      <c r="R6" s="596"/>
      <c r="S6" s="596"/>
      <c r="T6" s="596"/>
      <c r="U6" s="732"/>
      <c r="V6" s="732"/>
      <c r="W6" s="431" t="s">
        <v>136</v>
      </c>
      <c r="X6" s="340" t="s">
        <v>136</v>
      </c>
      <c r="Y6" s="341" t="s">
        <v>30</v>
      </c>
      <c r="Z6" s="432" t="s">
        <v>148</v>
      </c>
      <c r="AA6" s="340" t="s">
        <v>148</v>
      </c>
      <c r="AB6" s="341" t="s">
        <v>30</v>
      </c>
      <c r="AC6" s="432" t="s">
        <v>148</v>
      </c>
      <c r="AD6" s="340" t="s">
        <v>148</v>
      </c>
      <c r="AE6" s="341" t="s">
        <v>30</v>
      </c>
      <c r="AF6" s="340" t="s">
        <v>136</v>
      </c>
      <c r="AG6" s="340" t="s">
        <v>30</v>
      </c>
      <c r="AH6" s="340" t="s">
        <v>136</v>
      </c>
      <c r="AI6" s="340" t="s">
        <v>30</v>
      </c>
      <c r="AJ6" s="340" t="s">
        <v>136</v>
      </c>
      <c r="AK6" s="341" t="s">
        <v>30</v>
      </c>
      <c r="AL6" s="340" t="s">
        <v>136</v>
      </c>
      <c r="AM6" s="341" t="s">
        <v>30</v>
      </c>
      <c r="AN6" s="340" t="s">
        <v>136</v>
      </c>
      <c r="AO6" s="340" t="s">
        <v>136</v>
      </c>
      <c r="AP6" s="433" t="s">
        <v>136</v>
      </c>
      <c r="AQ6" s="340" t="s">
        <v>136</v>
      </c>
      <c r="AR6" s="341" t="s">
        <v>30</v>
      </c>
      <c r="AS6" s="340" t="s">
        <v>136</v>
      </c>
      <c r="AT6" s="340" t="s">
        <v>136</v>
      </c>
      <c r="AU6" s="340" t="s">
        <v>136</v>
      </c>
      <c r="AV6" s="340" t="s">
        <v>136</v>
      </c>
      <c r="AW6" s="340" t="s">
        <v>136</v>
      </c>
    </row>
    <row r="7" spans="1:49" ht="19.5" x14ac:dyDescent="0.3">
      <c r="A7" s="651" t="s">
        <v>289</v>
      </c>
      <c r="B7" s="629"/>
      <c r="C7" s="150">
        <f t="shared" ref="C7:C9" si="0">D7+G7</f>
        <v>0</v>
      </c>
      <c r="D7" s="151">
        <f t="shared" ref="D7:I7" si="1">D8+D9</f>
        <v>0</v>
      </c>
      <c r="E7" s="152">
        <f t="shared" si="1"/>
        <v>0</v>
      </c>
      <c r="F7" s="153">
        <f t="shared" si="1"/>
        <v>0</v>
      </c>
      <c r="G7" s="154">
        <f t="shared" si="1"/>
        <v>0</v>
      </c>
      <c r="H7" s="228">
        <f t="shared" si="1"/>
        <v>0</v>
      </c>
      <c r="I7" s="228">
        <f t="shared" si="1"/>
        <v>0</v>
      </c>
      <c r="J7" s="156">
        <f t="shared" ref="J7:J9" si="2">L7+O7</f>
        <v>0</v>
      </c>
      <c r="K7" s="157">
        <f t="shared" ref="K7:K9" si="3">IF(C7&gt;0,J7*100/C7,0)</f>
        <v>0</v>
      </c>
      <c r="L7" s="156">
        <f>L8+L9</f>
        <v>0</v>
      </c>
      <c r="M7" s="27">
        <f t="shared" ref="M7:M9" si="4">IF(D7&gt;0,L7*100/D7,0)</f>
        <v>0</v>
      </c>
      <c r="N7" s="27">
        <f t="shared" ref="N7:N9" si="5">IF(H7&gt;0,L7*100/H7,0)</f>
        <v>0</v>
      </c>
      <c r="O7" s="26">
        <f>O8+O9</f>
        <v>0</v>
      </c>
      <c r="P7" s="26">
        <f t="shared" ref="P7:P9" si="6">IF(G7&gt;0,O7*100/G7,0)</f>
        <v>0</v>
      </c>
      <c r="Q7" s="27">
        <f t="shared" ref="Q7:Q9" si="7">IF(I7&gt;0,O7*100/I7,0)</f>
        <v>0</v>
      </c>
      <c r="R7" s="27">
        <f t="shared" ref="R7:T7" ca="1" si="8">R8+R9</f>
        <v>914370</v>
      </c>
      <c r="S7" s="27">
        <f t="shared" ca="1" si="8"/>
        <v>0</v>
      </c>
      <c r="T7" s="27">
        <f t="shared" ca="1" si="8"/>
        <v>8267</v>
      </c>
      <c r="U7" s="27">
        <f t="shared" ref="U7:U9" ca="1" si="9">IF(R7&gt;0,T7*100/R7,0)</f>
        <v>0.90411977645810782</v>
      </c>
      <c r="V7" s="27">
        <f t="shared" ref="V7:V9" ca="1" si="10">IF(S7&gt;0,T7*100/S7,0)</f>
        <v>0</v>
      </c>
      <c r="W7" s="393">
        <f t="shared" ref="W7:X7" ca="1" si="11">W8</f>
        <v>3610</v>
      </c>
      <c r="X7" s="158">
        <f t="shared" ca="1" si="11"/>
        <v>0</v>
      </c>
      <c r="Y7" s="346">
        <f t="shared" ref="Y7:Y8" ca="1" si="12">IF(W7&gt;0,X7*100/W7,0)</f>
        <v>0</v>
      </c>
      <c r="Z7" s="434">
        <f t="shared" ref="Z7:AA7" ca="1" si="13">Z8</f>
        <v>30</v>
      </c>
      <c r="AA7" s="158">
        <f t="shared" ca="1" si="13"/>
        <v>3</v>
      </c>
      <c r="AB7" s="346">
        <f t="shared" ref="AB7:AB8" ca="1" si="14">IF(Z7&gt;0,AA7*100/Z7,0)</f>
        <v>10</v>
      </c>
      <c r="AC7" s="434">
        <f t="shared" ref="AC7:AD7" ca="1" si="15">AC8</f>
        <v>30</v>
      </c>
      <c r="AD7" s="158">
        <f t="shared" ca="1" si="15"/>
        <v>1</v>
      </c>
      <c r="AE7" s="346">
        <f t="shared" ref="AE7:AE8" ca="1" si="16">IF(AC7&gt;0,AD7*100/AC7,0)</f>
        <v>3.3333333333333335</v>
      </c>
      <c r="AF7" s="158">
        <f ca="1">AF8</f>
        <v>0</v>
      </c>
      <c r="AG7" s="346">
        <f t="shared" ref="AG7:AG8" ca="1" si="17">IF(W7&gt;0,AF7*100/W7,0)</f>
        <v>0</v>
      </c>
      <c r="AH7" s="158">
        <f ca="1">AH8</f>
        <v>0</v>
      </c>
      <c r="AI7" s="346">
        <f t="shared" ref="AI7:AI8" ca="1" si="18">IF(W7&gt;0,AH7*100/W7,0)</f>
        <v>0</v>
      </c>
      <c r="AJ7" s="346">
        <f ca="1">AJ8</f>
        <v>0</v>
      </c>
      <c r="AK7" s="346">
        <f t="shared" ref="AK7:AK8" ca="1" si="19">IF(W7&gt;0,AJ7*100/W7,0)</f>
        <v>0</v>
      </c>
      <c r="AL7" s="346">
        <f ca="1">AL8</f>
        <v>0</v>
      </c>
      <c r="AM7" s="346">
        <f t="shared" ref="AM7:AM8" ca="1" si="20">IF(W7&gt;0,AL7*100/W7,0)</f>
        <v>0</v>
      </c>
      <c r="AN7" s="346">
        <f t="shared" ref="AN7:AQ7" ca="1" si="21">AN8</f>
        <v>0</v>
      </c>
      <c r="AO7" s="346">
        <f t="shared" ca="1" si="21"/>
        <v>0</v>
      </c>
      <c r="AP7" s="435">
        <f t="shared" ca="1" si="21"/>
        <v>0</v>
      </c>
      <c r="AQ7" s="158">
        <f t="shared" ca="1" si="21"/>
        <v>0</v>
      </c>
      <c r="AR7" s="346">
        <f t="shared" ref="AR7:AR8" ca="1" si="22">IF(AP7&gt;0,AQ7*100/AP7,0)</f>
        <v>0</v>
      </c>
      <c r="AS7" s="158">
        <f t="shared" ref="AS7:AW7" ca="1" si="23">AS8</f>
        <v>0</v>
      </c>
      <c r="AT7" s="158">
        <f t="shared" ca="1" si="23"/>
        <v>0</v>
      </c>
      <c r="AU7" s="158">
        <f t="shared" ca="1" si="23"/>
        <v>0</v>
      </c>
      <c r="AV7" s="158">
        <f t="shared" ca="1" si="23"/>
        <v>0</v>
      </c>
      <c r="AW7" s="158">
        <f t="shared" ca="1" si="23"/>
        <v>0</v>
      </c>
    </row>
    <row r="8" spans="1:49" ht="19.5" x14ac:dyDescent="0.3">
      <c r="A8" s="31" t="s">
        <v>37</v>
      </c>
      <c r="B8" s="32"/>
      <c r="C8" s="161">
        <f t="shared" si="0"/>
        <v>0</v>
      </c>
      <c r="D8" s="161">
        <f t="shared" ref="D8:I8" si="24">+D13+D31+D52+D74</f>
        <v>0</v>
      </c>
      <c r="E8" s="161">
        <f t="shared" si="24"/>
        <v>0</v>
      </c>
      <c r="F8" s="161">
        <f t="shared" si="24"/>
        <v>0</v>
      </c>
      <c r="G8" s="161">
        <f t="shared" si="24"/>
        <v>0</v>
      </c>
      <c r="H8" s="161">
        <f t="shared" si="24"/>
        <v>0</v>
      </c>
      <c r="I8" s="161">
        <f t="shared" si="24"/>
        <v>0</v>
      </c>
      <c r="J8" s="161">
        <f t="shared" si="2"/>
        <v>0</v>
      </c>
      <c r="K8" s="162">
        <f t="shared" si="3"/>
        <v>0</v>
      </c>
      <c r="L8" s="161">
        <f>+L13+L31+L52+L74</f>
        <v>0</v>
      </c>
      <c r="M8" s="40">
        <f t="shared" si="4"/>
        <v>0</v>
      </c>
      <c r="N8" s="40">
        <f t="shared" si="5"/>
        <v>0</v>
      </c>
      <c r="O8" s="39">
        <f>+O13+O31+O52+O74</f>
        <v>0</v>
      </c>
      <c r="P8" s="39">
        <f t="shared" si="6"/>
        <v>0</v>
      </c>
      <c r="Q8" s="40">
        <f t="shared" si="7"/>
        <v>0</v>
      </c>
      <c r="R8" s="40">
        <f t="shared" ref="R8:T8" ca="1" si="25">+R13+R31+R52+R74</f>
        <v>499000</v>
      </c>
      <c r="S8" s="40">
        <f t="shared" ca="1" si="25"/>
        <v>0</v>
      </c>
      <c r="T8" s="40">
        <f t="shared" ca="1" si="25"/>
        <v>8267</v>
      </c>
      <c r="U8" s="40">
        <f t="shared" ca="1" si="9"/>
        <v>1.6567134268537074</v>
      </c>
      <c r="V8" s="40">
        <f t="shared" ca="1" si="10"/>
        <v>0</v>
      </c>
      <c r="W8" s="347">
        <f t="shared" ref="W8:X8" ca="1" si="26">+W13+W31+W52+W74</f>
        <v>3610</v>
      </c>
      <c r="X8" s="161">
        <f t="shared" ca="1" si="26"/>
        <v>0</v>
      </c>
      <c r="Y8" s="40">
        <f t="shared" ca="1" si="12"/>
        <v>0</v>
      </c>
      <c r="Z8" s="161">
        <f t="shared" ref="Z8:AA8" ca="1" si="27">+Z13+Z31+Z52+Z74</f>
        <v>30</v>
      </c>
      <c r="AA8" s="161">
        <f t="shared" ca="1" si="27"/>
        <v>3</v>
      </c>
      <c r="AB8" s="40">
        <f t="shared" ca="1" si="14"/>
        <v>10</v>
      </c>
      <c r="AC8" s="161">
        <f t="shared" ref="AC8:AD8" ca="1" si="28">+AC13+AC31+AC52+AC74</f>
        <v>30</v>
      </c>
      <c r="AD8" s="161">
        <f t="shared" ca="1" si="28"/>
        <v>1</v>
      </c>
      <c r="AE8" s="40">
        <f t="shared" ca="1" si="16"/>
        <v>3.3333333333333335</v>
      </c>
      <c r="AF8" s="161">
        <f ca="1">+AF13+AF31+AF52+AF74</f>
        <v>0</v>
      </c>
      <c r="AG8" s="40">
        <f t="shared" ca="1" si="17"/>
        <v>0</v>
      </c>
      <c r="AH8" s="161">
        <f ca="1">+AH13+AH31+AH52+AH74</f>
        <v>0</v>
      </c>
      <c r="AI8" s="40">
        <f t="shared" ca="1" si="18"/>
        <v>0</v>
      </c>
      <c r="AJ8" s="40">
        <f ca="1">+AJ13+AJ31+AJ52+AJ74</f>
        <v>0</v>
      </c>
      <c r="AK8" s="40">
        <f t="shared" ca="1" si="19"/>
        <v>0</v>
      </c>
      <c r="AL8" s="40">
        <f ca="1">+AL13+AL31+AL52+AL74</f>
        <v>0</v>
      </c>
      <c r="AM8" s="40">
        <f t="shared" ca="1" si="20"/>
        <v>0</v>
      </c>
      <c r="AN8" s="40">
        <f t="shared" ref="AN8:AQ8" ca="1" si="29">+AN13+AN31+AN52+AN74</f>
        <v>0</v>
      </c>
      <c r="AO8" s="40">
        <f t="shared" ca="1" si="29"/>
        <v>0</v>
      </c>
      <c r="AP8" s="161">
        <f t="shared" ca="1" si="29"/>
        <v>0</v>
      </c>
      <c r="AQ8" s="161">
        <f t="shared" ca="1" si="29"/>
        <v>0</v>
      </c>
      <c r="AR8" s="40">
        <f t="shared" ca="1" si="22"/>
        <v>0</v>
      </c>
      <c r="AS8" s="161">
        <f t="shared" ref="AS8:AW8" ca="1" si="30">+AS13+AS31+AS52+AS74</f>
        <v>0</v>
      </c>
      <c r="AT8" s="161">
        <f t="shared" ca="1" si="30"/>
        <v>0</v>
      </c>
      <c r="AU8" s="161">
        <f t="shared" ca="1" si="30"/>
        <v>0</v>
      </c>
      <c r="AV8" s="161">
        <f t="shared" ca="1" si="30"/>
        <v>0</v>
      </c>
      <c r="AW8" s="161">
        <f t="shared" ca="1" si="30"/>
        <v>0</v>
      </c>
    </row>
    <row r="9" spans="1:49" ht="19.5" x14ac:dyDescent="0.3">
      <c r="A9" s="43" t="s">
        <v>38</v>
      </c>
      <c r="B9" s="44"/>
      <c r="C9" s="164">
        <f t="shared" si="0"/>
        <v>0</v>
      </c>
      <c r="D9" s="164">
        <f t="shared" ref="D9:I9" si="31">+D10+D11</f>
        <v>0</v>
      </c>
      <c r="E9" s="164">
        <f t="shared" si="31"/>
        <v>0</v>
      </c>
      <c r="F9" s="164">
        <f t="shared" si="31"/>
        <v>0</v>
      </c>
      <c r="G9" s="164">
        <f t="shared" si="31"/>
        <v>0</v>
      </c>
      <c r="H9" s="164">
        <f t="shared" si="31"/>
        <v>0</v>
      </c>
      <c r="I9" s="164">
        <f t="shared" si="31"/>
        <v>0</v>
      </c>
      <c r="J9" s="164">
        <f t="shared" si="2"/>
        <v>0</v>
      </c>
      <c r="K9" s="165">
        <f t="shared" si="3"/>
        <v>0</v>
      </c>
      <c r="L9" s="164">
        <f>+L10+L11</f>
        <v>0</v>
      </c>
      <c r="M9" s="51">
        <f t="shared" si="4"/>
        <v>0</v>
      </c>
      <c r="N9" s="51">
        <f t="shared" si="5"/>
        <v>0</v>
      </c>
      <c r="O9" s="50">
        <f>+O10+O11</f>
        <v>0</v>
      </c>
      <c r="P9" s="50">
        <f t="shared" si="6"/>
        <v>0</v>
      </c>
      <c r="Q9" s="51">
        <f t="shared" si="7"/>
        <v>0</v>
      </c>
      <c r="R9" s="51">
        <f ca="1">IFERROR(__xludf.DUMMYFUNCTION("IMPORTRANGE(""https://docs.google.com/spreadsheets/d/1ItG2mGa2ceCfYo0BwxsXqNm01IGEUdYcSSLTEv9YCik/edit?usp=sharing"",""เบิกจ่ายกองทุน!F11"")"),415370)</f>
        <v>415370</v>
      </c>
      <c r="S9" s="51">
        <f ca="1">IFERROR(__xludf.DUMMYFUNCTION("IMPORTRANGE(""https://docs.google.com/spreadsheets/d/1ItG2mGa2ceCfYo0BwxsXqNm01IGEUdYcSSLTEv9YCik/edit?usp=sharing"",""เบิกจ่ายกองทุน!G11"")"),0)</f>
        <v>0</v>
      </c>
      <c r="T9" s="51">
        <f ca="1">IFERROR(__xludf.DUMMYFUNCTION("IMPORTRANGE(""https://docs.google.com/spreadsheets/d/1ItG2mGa2ceCfYo0BwxsXqNm01IGEUdYcSSLTEv9YCik/edit?usp=sharing"",""เบิกจ่ายกองทุน!H11"")"),0)</f>
        <v>0</v>
      </c>
      <c r="U9" s="51">
        <f t="shared" ca="1" si="9"/>
        <v>0</v>
      </c>
      <c r="V9" s="51">
        <f t="shared" ca="1" si="10"/>
        <v>0</v>
      </c>
      <c r="W9" s="293"/>
      <c r="X9" s="196"/>
      <c r="Y9" s="349"/>
      <c r="Z9" s="196"/>
      <c r="AA9" s="196"/>
      <c r="AB9" s="349"/>
      <c r="AC9" s="196"/>
      <c r="AD9" s="196"/>
      <c r="AE9" s="349"/>
      <c r="AF9" s="196"/>
      <c r="AG9" s="51"/>
      <c r="AH9" s="196"/>
      <c r="AI9" s="51"/>
      <c r="AJ9" s="349"/>
      <c r="AK9" s="51"/>
      <c r="AL9" s="349"/>
      <c r="AM9" s="51"/>
      <c r="AN9" s="349"/>
      <c r="AO9" s="349"/>
      <c r="AP9" s="196"/>
      <c r="AQ9" s="196"/>
      <c r="AR9" s="349"/>
      <c r="AS9" s="196"/>
      <c r="AT9" s="196"/>
      <c r="AU9" s="196"/>
      <c r="AV9" s="196"/>
      <c r="AW9" s="196"/>
    </row>
    <row r="10" spans="1:49" ht="19.5" hidden="1" x14ac:dyDescent="0.3">
      <c r="A10" s="54"/>
      <c r="B10" s="55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62"/>
      <c r="S10" s="62"/>
      <c r="T10" s="62"/>
      <c r="U10" s="62"/>
      <c r="V10" s="62"/>
      <c r="W10" s="350"/>
      <c r="X10" s="351"/>
      <c r="Y10" s="352"/>
      <c r="Z10" s="351"/>
      <c r="AA10" s="351"/>
      <c r="AB10" s="352"/>
      <c r="AC10" s="351"/>
      <c r="AD10" s="351"/>
      <c r="AE10" s="352"/>
      <c r="AF10" s="351"/>
      <c r="AG10" s="62"/>
      <c r="AH10" s="351"/>
      <c r="AI10" s="62"/>
      <c r="AJ10" s="352"/>
      <c r="AK10" s="62"/>
      <c r="AL10" s="352"/>
      <c r="AM10" s="62"/>
      <c r="AN10" s="352"/>
      <c r="AO10" s="352"/>
      <c r="AP10" s="351"/>
      <c r="AQ10" s="351"/>
      <c r="AR10" s="352"/>
      <c r="AS10" s="351"/>
      <c r="AT10" s="351"/>
      <c r="AU10" s="351"/>
      <c r="AV10" s="351"/>
      <c r="AW10" s="351"/>
    </row>
    <row r="11" spans="1:49" ht="19.5" hidden="1" x14ac:dyDescent="0.3">
      <c r="A11" s="65"/>
      <c r="B11" s="55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62"/>
      <c r="S11" s="62"/>
      <c r="T11" s="62"/>
      <c r="U11" s="62"/>
      <c r="V11" s="62"/>
      <c r="W11" s="350"/>
      <c r="X11" s="351"/>
      <c r="Y11" s="352"/>
      <c r="Z11" s="351"/>
      <c r="AA11" s="351"/>
      <c r="AB11" s="352"/>
      <c r="AC11" s="351"/>
      <c r="AD11" s="351"/>
      <c r="AE11" s="352"/>
      <c r="AF11" s="351"/>
      <c r="AG11" s="62"/>
      <c r="AH11" s="351"/>
      <c r="AI11" s="62"/>
      <c r="AJ11" s="352"/>
      <c r="AK11" s="62"/>
      <c r="AL11" s="352"/>
      <c r="AM11" s="62"/>
      <c r="AN11" s="352"/>
      <c r="AO11" s="352"/>
      <c r="AP11" s="351"/>
      <c r="AQ11" s="351"/>
      <c r="AR11" s="352"/>
      <c r="AS11" s="351"/>
      <c r="AT11" s="351"/>
      <c r="AU11" s="351"/>
      <c r="AV11" s="351"/>
      <c r="AW11" s="351"/>
    </row>
    <row r="12" spans="1:49" ht="19.5" hidden="1" x14ac:dyDescent="0.3">
      <c r="A12" s="54"/>
      <c r="B12" s="55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62"/>
      <c r="S12" s="62"/>
      <c r="T12" s="62"/>
      <c r="U12" s="62"/>
      <c r="V12" s="62"/>
      <c r="W12" s="436"/>
      <c r="X12" s="168"/>
      <c r="Y12" s="62"/>
      <c r="Z12" s="168"/>
      <c r="AA12" s="168"/>
      <c r="AB12" s="62"/>
      <c r="AC12" s="168"/>
      <c r="AD12" s="168"/>
      <c r="AE12" s="62"/>
      <c r="AF12" s="168"/>
      <c r="AG12" s="62"/>
      <c r="AH12" s="168"/>
      <c r="AI12" s="62"/>
      <c r="AJ12" s="62"/>
      <c r="AK12" s="62"/>
      <c r="AL12" s="62"/>
      <c r="AM12" s="62"/>
      <c r="AN12" s="62"/>
      <c r="AO12" s="62"/>
      <c r="AP12" s="168"/>
      <c r="AQ12" s="168"/>
      <c r="AR12" s="62"/>
      <c r="AS12" s="168"/>
      <c r="AT12" s="168"/>
      <c r="AU12" s="168"/>
      <c r="AV12" s="168"/>
      <c r="AW12" s="168"/>
    </row>
    <row r="13" spans="1:49" ht="19.5" x14ac:dyDescent="0.3">
      <c r="A13" s="624" t="s">
        <v>39</v>
      </c>
      <c r="B13" s="583"/>
      <c r="C13" s="161">
        <f t="shared" ref="C13:C88" si="32">D13+G13</f>
        <v>0</v>
      </c>
      <c r="D13" s="161">
        <f t="shared" ref="D13:I13" si="33">SUM(D14:D30)</f>
        <v>0</v>
      </c>
      <c r="E13" s="161">
        <f t="shared" si="33"/>
        <v>0</v>
      </c>
      <c r="F13" s="161">
        <f t="shared" si="33"/>
        <v>0</v>
      </c>
      <c r="G13" s="161">
        <f t="shared" si="33"/>
        <v>0</v>
      </c>
      <c r="H13" s="161">
        <f t="shared" si="33"/>
        <v>0</v>
      </c>
      <c r="I13" s="161">
        <f t="shared" si="33"/>
        <v>0</v>
      </c>
      <c r="J13" s="161">
        <f t="shared" ref="J13:J88" si="34">L13+O13</f>
        <v>0</v>
      </c>
      <c r="K13" s="162">
        <f t="shared" ref="K13:K88" si="35">IF(C13&gt;0,J13*100/C13,0)</f>
        <v>0</v>
      </c>
      <c r="L13" s="161">
        <f>SUM(L14:L30)</f>
        <v>0</v>
      </c>
      <c r="M13" s="40">
        <f t="shared" ref="M13:M88" si="36">IF(D13&gt;0,L13*100/D13,0)</f>
        <v>0</v>
      </c>
      <c r="N13" s="40">
        <f t="shared" ref="N13:N88" si="37">IF(H13&gt;0,L13*100/H13,0)</f>
        <v>0</v>
      </c>
      <c r="O13" s="39">
        <f>SUM(O14:O30)</f>
        <v>0</v>
      </c>
      <c r="P13" s="39">
        <f t="shared" ref="P13:P88" si="38">IF(G13&gt;0,O13*100/G13,0)</f>
        <v>0</v>
      </c>
      <c r="Q13" s="40">
        <f t="shared" ref="Q13:Q88" si="39">IF(I13&gt;0,O13*100/I13,0)</f>
        <v>0</v>
      </c>
      <c r="R13" s="40">
        <f t="shared" ref="R13:T13" ca="1" si="40">SUM(R14:R30)</f>
        <v>101100</v>
      </c>
      <c r="S13" s="40">
        <f t="shared" ca="1" si="40"/>
        <v>0</v>
      </c>
      <c r="T13" s="40">
        <f t="shared" ca="1" si="40"/>
        <v>0</v>
      </c>
      <c r="U13" s="40">
        <f t="shared" ref="U13:U106" ca="1" si="41">IF(R13&gt;0,T13*100/R13,0)</f>
        <v>0</v>
      </c>
      <c r="V13" s="40">
        <f t="shared" ref="V13:V106" ca="1" si="42">IF(S13&gt;0,T13*100/S13,0)</f>
        <v>0</v>
      </c>
      <c r="W13" s="347">
        <f t="shared" ref="W13:X13" ca="1" si="43">SUM(W14:W30)</f>
        <v>700</v>
      </c>
      <c r="X13" s="161">
        <f t="shared" ca="1" si="43"/>
        <v>0</v>
      </c>
      <c r="Y13" s="40">
        <f t="shared" ref="Y13:Y88" ca="1" si="44">IF(W13&gt;0,X13*100/W13,0)</f>
        <v>0</v>
      </c>
      <c r="Z13" s="161">
        <f t="shared" ref="Z13:AA13" ca="1" si="45">SUM(Z14:Z30)</f>
        <v>7</v>
      </c>
      <c r="AA13" s="161">
        <f t="shared" ca="1" si="45"/>
        <v>0</v>
      </c>
      <c r="AB13" s="40">
        <f t="shared" ref="AB13:AB88" ca="1" si="46">IF(Z13&gt;0,AA13*100/Z13,0)</f>
        <v>0</v>
      </c>
      <c r="AC13" s="161">
        <f t="shared" ref="AC13:AD13" ca="1" si="47">SUM(AC14:AC30)</f>
        <v>7</v>
      </c>
      <c r="AD13" s="161">
        <f t="shared" ca="1" si="47"/>
        <v>0</v>
      </c>
      <c r="AE13" s="40">
        <f t="shared" ref="AE13:AE88" ca="1" si="48">IF(AC13&gt;0,AD13*100/AC13,0)</f>
        <v>0</v>
      </c>
      <c r="AF13" s="161">
        <f ca="1">SUM(AF14:AF30)</f>
        <v>0</v>
      </c>
      <c r="AG13" s="40">
        <f ca="1">IF(AE13&gt;0,AF13*100/AE13,0)</f>
        <v>0</v>
      </c>
      <c r="AH13" s="161">
        <f ca="1">SUM(AH14:AH30)</f>
        <v>0</v>
      </c>
      <c r="AI13" s="40">
        <f t="shared" ref="AI13:AI88" ca="1" si="49">IF(W13&gt;0,AH13*100/W13,0)</f>
        <v>0</v>
      </c>
      <c r="AJ13" s="40">
        <f ca="1">SUM(AJ14:AJ30)</f>
        <v>0</v>
      </c>
      <c r="AK13" s="40">
        <f t="shared" ref="AK13:AK88" ca="1" si="50">IF(W13&gt;0,AJ13*100/W13,0)</f>
        <v>0</v>
      </c>
      <c r="AL13" s="40">
        <f ca="1">SUM(AL14:AL30)</f>
        <v>0</v>
      </c>
      <c r="AM13" s="40">
        <f t="shared" ref="AM13:AM88" ca="1" si="51">IF(W13&gt;0,AL13*100/W13,0)</f>
        <v>0</v>
      </c>
      <c r="AN13" s="40">
        <f t="shared" ref="AN13:AQ13" ca="1" si="52">SUM(AN14:AN30)</f>
        <v>0</v>
      </c>
      <c r="AO13" s="40">
        <f t="shared" ca="1" si="52"/>
        <v>0</v>
      </c>
      <c r="AP13" s="161">
        <f t="shared" ca="1" si="52"/>
        <v>0</v>
      </c>
      <c r="AQ13" s="161">
        <f t="shared" ca="1" si="52"/>
        <v>0</v>
      </c>
      <c r="AR13" s="40">
        <f t="shared" ref="AR13:AR88" ca="1" si="53">IF(AP13&gt;0,AQ13*100/AP13,0)</f>
        <v>0</v>
      </c>
      <c r="AS13" s="161">
        <f t="shared" ref="AS13:AW13" ca="1" si="54">SUM(AS14:AS30)</f>
        <v>0</v>
      </c>
      <c r="AT13" s="161">
        <f t="shared" ca="1" si="54"/>
        <v>0</v>
      </c>
      <c r="AU13" s="161">
        <f t="shared" ca="1" si="54"/>
        <v>0</v>
      </c>
      <c r="AV13" s="161">
        <f t="shared" ca="1" si="54"/>
        <v>0</v>
      </c>
      <c r="AW13" s="161">
        <f t="shared" ca="1" si="54"/>
        <v>0</v>
      </c>
    </row>
    <row r="14" spans="1:49" ht="19.5" x14ac:dyDescent="0.3">
      <c r="A14" s="77">
        <v>1</v>
      </c>
      <c r="B14" s="78" t="s">
        <v>40</v>
      </c>
      <c r="C14" s="174">
        <f t="shared" si="32"/>
        <v>0</v>
      </c>
      <c r="D14" s="175">
        <f t="shared" ref="D14:D30" si="55">+E14+F14</f>
        <v>0</v>
      </c>
      <c r="E14" s="403">
        <v>0</v>
      </c>
      <c r="F14" s="403">
        <v>0</v>
      </c>
      <c r="G14" s="219">
        <v>0</v>
      </c>
      <c r="H14" s="219">
        <v>0</v>
      </c>
      <c r="I14" s="219">
        <v>0</v>
      </c>
      <c r="J14" s="177">
        <f t="shared" si="34"/>
        <v>0</v>
      </c>
      <c r="K14" s="178">
        <f t="shared" si="35"/>
        <v>0</v>
      </c>
      <c r="L14" s="219">
        <v>0</v>
      </c>
      <c r="M14" s="87">
        <f t="shared" si="36"/>
        <v>0</v>
      </c>
      <c r="N14" s="87">
        <f t="shared" si="37"/>
        <v>0</v>
      </c>
      <c r="O14" s="403">
        <v>0</v>
      </c>
      <c r="P14" s="86">
        <f t="shared" si="38"/>
        <v>0</v>
      </c>
      <c r="Q14" s="87">
        <f t="shared" si="39"/>
        <v>0</v>
      </c>
      <c r="R14" s="87">
        <f ca="1">IFERROR(__xludf.DUMMYFUNCTION("IMPORTRANGE(""https://docs.google.com/spreadsheets/d/1jTcq05yEiRwXcBMLjiodW9e4biSGYWAHcDj22rKWQ3s/edit?usp=sharing"",""กำแพงเพชร!Q616"")"),1875)</f>
        <v>1875</v>
      </c>
      <c r="S14" s="87">
        <f ca="1">IFERROR(__xludf.DUMMYFUNCTION("IMPORTRANGE(""https://docs.google.com/spreadsheets/d/1jTcq05yEiRwXcBMLjiodW9e4biSGYWAHcDj22rKWQ3s/edit?usp=sharing"",""กำแพงเพชร!R616"")"),0)</f>
        <v>0</v>
      </c>
      <c r="T14" s="87">
        <f ca="1">IFERROR(__xludf.DUMMYFUNCTION("IMPORTRANGE(""https://docs.google.com/spreadsheets/d/1jTcq05yEiRwXcBMLjiodW9e4biSGYWAHcDj22rKWQ3s/edit?usp=sharing"",""กำแพงเพชร!S616"")"),0)</f>
        <v>0</v>
      </c>
      <c r="U14" s="87">
        <f t="shared" ca="1" si="41"/>
        <v>0</v>
      </c>
      <c r="V14" s="87">
        <f t="shared" ca="1" si="42"/>
        <v>0</v>
      </c>
      <c r="W14" s="353">
        <f ca="1">IFERROR(__xludf.DUMMYFUNCTION("IMPORTRANGE(""https://docs.google.com/spreadsheets/d/1jTcq05yEiRwXcBMLjiodW9e4biSGYWAHcDj22rKWQ3s/edit?usp=sharing"",""กำแพงเพชร!I626"")"),0)</f>
        <v>0</v>
      </c>
      <c r="X14" s="177">
        <f ca="1">IFERROR(__xludf.DUMMYFUNCTION("IMPORTRANGE(""https://docs.google.com/spreadsheets/d/1jTcq05yEiRwXcBMLjiodW9e4biSGYWAHcDj22rKWQ3s/edit?usp=sharing"",""กำแพงเพชร!J626"")"),0)</f>
        <v>0</v>
      </c>
      <c r="Y14" s="354">
        <f t="shared" ca="1" si="44"/>
        <v>0</v>
      </c>
      <c r="Z14" s="177">
        <f ca="1">IFERROR(__xludf.DUMMYFUNCTION("IMPORTRANGE(""https://docs.google.com/spreadsheets/d/1jTcq05yEiRwXcBMLjiodW9e4biSGYWAHcDj22rKWQ3s/edit?usp=sharing"",""กำแพงเพชร!I627"")"),1)</f>
        <v>1</v>
      </c>
      <c r="AA14" s="177">
        <f ca="1">IFERROR(__xludf.DUMMYFUNCTION("IMPORTRANGE(""https://docs.google.com/spreadsheets/d/1jTcq05yEiRwXcBMLjiodW9e4biSGYWAHcDj22rKWQ3s/edit?usp=sharing"",""กำแพงเพชร!J627"")"),0)</f>
        <v>0</v>
      </c>
      <c r="AB14" s="354">
        <f t="shared" ca="1" si="46"/>
        <v>0</v>
      </c>
      <c r="AC14" s="177">
        <f ca="1">IFERROR(__xludf.DUMMYFUNCTION("IMPORTRANGE(""https://docs.google.com/spreadsheets/d/1jTcq05yEiRwXcBMLjiodW9e4biSGYWAHcDj22rKWQ3s/edit?usp=sharing"",""กำแพงเพชร!I628"")"),1)</f>
        <v>1</v>
      </c>
      <c r="AD14" s="177">
        <f ca="1">IFERROR(__xludf.DUMMYFUNCTION("IMPORTRANGE(""https://docs.google.com/spreadsheets/d/1jTcq05yEiRwXcBMLjiodW9e4biSGYWAHcDj22rKWQ3s/edit?usp=sharing"",""กำแพงเพชร!J628"")"),0)</f>
        <v>0</v>
      </c>
      <c r="AE14" s="354">
        <f t="shared" ca="1" si="48"/>
        <v>0</v>
      </c>
      <c r="AF14" s="177">
        <f ca="1">IFERROR(__xludf.DUMMYFUNCTION("IMPORTRANGE(""https://docs.google.com/spreadsheets/d/1jTcq05yEiRwXcBMLjiodW9e4biSGYWAHcDj22rKWQ3s/edit?usp=sharing"",""กำแพงเพชร!J629"")"),0)</f>
        <v>0</v>
      </c>
      <c r="AG14" s="354">
        <f t="shared" ref="AG14:AG88" ca="1" si="56">IF(W14&gt;0,AF14*100/W14,0)</f>
        <v>0</v>
      </c>
      <c r="AH14" s="177">
        <f ca="1">IFERROR(__xludf.DUMMYFUNCTION("IMPORTRANGE(""https://docs.google.com/spreadsheets/d/1jTcq05yEiRwXcBMLjiodW9e4biSGYWAHcDj22rKWQ3s/edit?usp=sharing"",""กำแพงเพชร!J630"")"),0)</f>
        <v>0</v>
      </c>
      <c r="AI14" s="354">
        <f t="shared" ca="1" si="49"/>
        <v>0</v>
      </c>
      <c r="AJ14" s="354">
        <f ca="1">IFERROR(__xludf.DUMMYFUNCTION("IMPORTRANGE(""https://docs.google.com/spreadsheets/d/1jTcq05yEiRwXcBMLjiodW9e4biSGYWAHcDj22rKWQ3s/edit?usp=sharing"",""กำแพงเพชร!J631"")"),0)</f>
        <v>0</v>
      </c>
      <c r="AK14" s="354">
        <f t="shared" ca="1" si="50"/>
        <v>0</v>
      </c>
      <c r="AL14" s="354">
        <f ca="1">IFERROR(__xludf.DUMMYFUNCTION("IMPORTRANGE(""https://docs.google.com/spreadsheets/d/1jTcq05yEiRwXcBMLjiodW9e4biSGYWAHcDj22rKWQ3s/edit?usp=sharing"",""กำแพงเพชร!J632"")"),0)</f>
        <v>0</v>
      </c>
      <c r="AM14" s="354">
        <f t="shared" ca="1" si="51"/>
        <v>0</v>
      </c>
      <c r="AN14" s="354">
        <f ca="1">IFERROR(__xludf.DUMMYFUNCTION("IMPORTRANGE(""https://docs.google.com/spreadsheets/d/1jTcq05yEiRwXcBMLjiodW9e4biSGYWAHcDj22rKWQ3s/edit?usp=sharing"",""กำแพงเพชร!J633"")"),0)</f>
        <v>0</v>
      </c>
      <c r="AO14" s="354">
        <f ca="1">IFERROR(__xludf.DUMMYFUNCTION("IMPORTRANGE(""https://docs.google.com/spreadsheets/d/1jTcq05yEiRwXcBMLjiodW9e4biSGYWAHcDj22rKWQ3s/edit?usp=sharing"",""กำแพงเพชร!J634"")"),0)</f>
        <v>0</v>
      </c>
      <c r="AP14" s="177">
        <f ca="1">IFERROR(__xludf.DUMMYFUNCTION("IMPORTRANGE(""https://docs.google.com/spreadsheets/d/1jTcq05yEiRwXcBMLjiodW9e4biSGYWAHcDj22rKWQ3s/edit?usp=sharing"",""กำแพงเพชร!I635"")"),0)</f>
        <v>0</v>
      </c>
      <c r="AQ14" s="177">
        <f ca="1">IFERROR(__xludf.DUMMYFUNCTION("IMPORTRANGE(""https://docs.google.com/spreadsheets/d/1jTcq05yEiRwXcBMLjiodW9e4biSGYWAHcDj22rKWQ3s/edit?usp=sharing"",""กำแพงเพชร!J635"")"),0)</f>
        <v>0</v>
      </c>
      <c r="AR14" s="354">
        <f t="shared" ca="1" si="53"/>
        <v>0</v>
      </c>
      <c r="AS14" s="177">
        <f ca="1">IFERROR(__xludf.DUMMYFUNCTION("IMPORTRANGE(""https://docs.google.com/spreadsheets/d/1jTcq05yEiRwXcBMLjiodW9e4biSGYWAHcDj22rKWQ3s/edit?usp=sharing"",""กำแพงเพชร!J636"")"),0)</f>
        <v>0</v>
      </c>
      <c r="AT14" s="177">
        <f ca="1">IFERROR(__xludf.DUMMYFUNCTION("IMPORTRANGE(""https://docs.google.com/spreadsheets/d/1jTcq05yEiRwXcBMLjiodW9e4biSGYWAHcDj22rKWQ3s/edit?usp=sharing"",""กำแพงเพชร!J637"")"),0)</f>
        <v>0</v>
      </c>
      <c r="AU14" s="177">
        <f ca="1">IFERROR(__xludf.DUMMYFUNCTION("IMPORTRANGE(""https://docs.google.com/spreadsheets/d/1jTcq05yEiRwXcBMLjiodW9e4biSGYWAHcDj22rKWQ3s/edit?usp=sharing"",""กำแพงเพชร!J638"")"),0)</f>
        <v>0</v>
      </c>
      <c r="AV14" s="177">
        <f ca="1">IFERROR(__xludf.DUMMYFUNCTION("IMPORTRANGE(""https://docs.google.com/spreadsheets/d/1jTcq05yEiRwXcBMLjiodW9e4biSGYWAHcDj22rKWQ3s/edit?usp=sharing"",""กำแพงเพชร!J639"")"),0)</f>
        <v>0</v>
      </c>
      <c r="AW14" s="177">
        <f ca="1">IFERROR(__xludf.DUMMYFUNCTION("IMPORTRANGE(""https://docs.google.com/spreadsheets/d/1jTcq05yEiRwXcBMLjiodW9e4biSGYWAHcDj22rKWQ3s/edit?usp=sharing"",""กำแพงเพชร!J640"")"),0)</f>
        <v>0</v>
      </c>
    </row>
    <row r="15" spans="1:49" ht="19.5" x14ac:dyDescent="0.3">
      <c r="A15" s="89">
        <v>2</v>
      </c>
      <c r="B15" s="90" t="s">
        <v>41</v>
      </c>
      <c r="C15" s="174">
        <f t="shared" si="32"/>
        <v>0</v>
      </c>
      <c r="D15" s="175">
        <f t="shared" si="55"/>
        <v>0</v>
      </c>
      <c r="E15" s="403">
        <v>0</v>
      </c>
      <c r="F15" s="403">
        <v>0</v>
      </c>
      <c r="G15" s="403">
        <v>0</v>
      </c>
      <c r="H15" s="403">
        <v>0</v>
      </c>
      <c r="I15" s="403">
        <v>0</v>
      </c>
      <c r="J15" s="176">
        <f t="shared" si="34"/>
        <v>0</v>
      </c>
      <c r="K15" s="179">
        <f t="shared" si="35"/>
        <v>0</v>
      </c>
      <c r="L15" s="403">
        <v>0</v>
      </c>
      <c r="M15" s="87">
        <f t="shared" si="36"/>
        <v>0</v>
      </c>
      <c r="N15" s="87">
        <f t="shared" si="37"/>
        <v>0</v>
      </c>
      <c r="O15" s="403">
        <v>0</v>
      </c>
      <c r="P15" s="86">
        <f t="shared" si="38"/>
        <v>0</v>
      </c>
      <c r="Q15" s="87">
        <f t="shared" si="39"/>
        <v>0</v>
      </c>
      <c r="R15" s="87">
        <f ca="1">IFERROR(__xludf.DUMMYFUNCTION("IMPORTRANGE(""https://docs.google.com/spreadsheets/d/1KS0zmDSZPk8KnTAbGN-Xk6MtX1YRZD0ldgdt20K4CRk/edit?usp=sharing"",""เชียงราย!Q616"")"),21950)</f>
        <v>21950</v>
      </c>
      <c r="S15" s="87">
        <f ca="1">IFERROR(__xludf.DUMMYFUNCTION("IMPORTRANGE(""https://docs.google.com/spreadsheets/d/1KS0zmDSZPk8KnTAbGN-Xk6MtX1YRZD0ldgdt20K4CRk/edit?usp=sharing"",""เชียงราย!R616"")"),0)</f>
        <v>0</v>
      </c>
      <c r="T15" s="87">
        <f ca="1">IFERROR(__xludf.DUMMYFUNCTION("IMPORTRANGE(""https://docs.google.com/spreadsheets/d/1KS0zmDSZPk8KnTAbGN-Xk6MtX1YRZD0ldgdt20K4CRk/edit?usp=sharing"",""เชียงราย!S616"")"),0)</f>
        <v>0</v>
      </c>
      <c r="U15" s="87">
        <f t="shared" ca="1" si="41"/>
        <v>0</v>
      </c>
      <c r="V15" s="87">
        <f t="shared" ca="1" si="42"/>
        <v>0</v>
      </c>
      <c r="W15" s="353">
        <f ca="1">IFERROR(__xludf.DUMMYFUNCTION("IMPORTRANGE(""https://docs.google.com/spreadsheets/d/1KS0zmDSZPk8KnTAbGN-Xk6MtX1YRZD0ldgdt20K4CRk/edit?usp=sharing"",""เชียงราย!I626"")"),200)</f>
        <v>200</v>
      </c>
      <c r="X15" s="177">
        <f ca="1">IFERROR(__xludf.DUMMYFUNCTION("IMPORTRANGE(""https://docs.google.com/spreadsheets/d/1KS0zmDSZPk8KnTAbGN-Xk6MtX1YRZD0ldgdt20K4CRk/edit?usp=sharing"",""เชียงราย!J626"")"),0)</f>
        <v>0</v>
      </c>
      <c r="Y15" s="354">
        <f t="shared" ca="1" si="44"/>
        <v>0</v>
      </c>
      <c r="Z15" s="177">
        <f ca="1">IFERROR(__xludf.DUMMYFUNCTION("IMPORTRANGE(""https://docs.google.com/spreadsheets/d/1KS0zmDSZPk8KnTAbGN-Xk6MtX1YRZD0ldgdt20K4CRk/edit?usp=sharing"",""เชียงราย!I627"")"),0)</f>
        <v>0</v>
      </c>
      <c r="AA15" s="177">
        <f ca="1">IFERROR(__xludf.DUMMYFUNCTION("IMPORTRANGE(""https://docs.google.com/spreadsheets/d/1KS0zmDSZPk8KnTAbGN-Xk6MtX1YRZD0ldgdt20K4CRk/edit?usp=sharing"",""เชียงราย!J627"")"),0)</f>
        <v>0</v>
      </c>
      <c r="AB15" s="354">
        <f t="shared" ca="1" si="46"/>
        <v>0</v>
      </c>
      <c r="AC15" s="177">
        <f ca="1">IFERROR(__xludf.DUMMYFUNCTION("IMPORTRANGE(""https://docs.google.com/spreadsheets/d/1KS0zmDSZPk8KnTAbGN-Xk6MtX1YRZD0ldgdt20K4CRk/edit?usp=sharing"",""เชียงราย!I628"")"),0)</f>
        <v>0</v>
      </c>
      <c r="AD15" s="177">
        <f ca="1">IFERROR(__xludf.DUMMYFUNCTION("IMPORTRANGE(""https://docs.google.com/spreadsheets/d/1KS0zmDSZPk8KnTAbGN-Xk6MtX1YRZD0ldgdt20K4CRk/edit?usp=sharing"",""เชียงราย!J628"")"),0)</f>
        <v>0</v>
      </c>
      <c r="AE15" s="354">
        <f t="shared" ca="1" si="48"/>
        <v>0</v>
      </c>
      <c r="AF15" s="177">
        <f ca="1">IFERROR(__xludf.DUMMYFUNCTION("IMPORTRANGE(""https://docs.google.com/spreadsheets/d/1KS0zmDSZPk8KnTAbGN-Xk6MtX1YRZD0ldgdt20K4CRk/edit?usp=sharing"",""เชียงราย!J629"")"),0)</f>
        <v>0</v>
      </c>
      <c r="AG15" s="354">
        <f t="shared" ca="1" si="56"/>
        <v>0</v>
      </c>
      <c r="AH15" s="177">
        <f ca="1">IFERROR(__xludf.DUMMYFUNCTION("IMPORTRANGE(""https://docs.google.com/spreadsheets/d/1KS0zmDSZPk8KnTAbGN-Xk6MtX1YRZD0ldgdt20K4CRk/edit?usp=sharing"",""เชียงราย!J630"")"),0)</f>
        <v>0</v>
      </c>
      <c r="AI15" s="354">
        <f t="shared" ca="1" si="49"/>
        <v>0</v>
      </c>
      <c r="AJ15" s="354">
        <f ca="1">IFERROR(__xludf.DUMMYFUNCTION("IMPORTRANGE(""https://docs.google.com/spreadsheets/d/1KS0zmDSZPk8KnTAbGN-Xk6MtX1YRZD0ldgdt20K4CRk/edit?usp=sharing"",""เชียงราย!J631"")"),0)</f>
        <v>0</v>
      </c>
      <c r="AK15" s="354">
        <f t="shared" ca="1" si="50"/>
        <v>0</v>
      </c>
      <c r="AL15" s="354">
        <f ca="1">IFERROR(__xludf.DUMMYFUNCTION("IMPORTRANGE(""https://docs.google.com/spreadsheets/d/1KS0zmDSZPk8KnTAbGN-Xk6MtX1YRZD0ldgdt20K4CRk/edit?usp=sharing"",""เชียงราย!J632"")"),0)</f>
        <v>0</v>
      </c>
      <c r="AM15" s="354">
        <f t="shared" ca="1" si="51"/>
        <v>0</v>
      </c>
      <c r="AN15" s="354">
        <f ca="1">IFERROR(__xludf.DUMMYFUNCTION("IMPORTRANGE(""https://docs.google.com/spreadsheets/d/1KS0zmDSZPk8KnTAbGN-Xk6MtX1YRZD0ldgdt20K4CRk/edit?usp=sharing"",""เชียงราย!J633"")"),0)</f>
        <v>0</v>
      </c>
      <c r="AO15" s="354">
        <f ca="1">IFERROR(__xludf.DUMMYFUNCTION("IMPORTRANGE(""https://docs.google.com/spreadsheets/d/1KS0zmDSZPk8KnTAbGN-Xk6MtX1YRZD0ldgdt20K4CRk/edit?usp=sharing"",""เชียงราย!J634"")"),0)</f>
        <v>0</v>
      </c>
      <c r="AP15" s="177">
        <f ca="1">IFERROR(__xludf.DUMMYFUNCTION("IMPORTRANGE(""https://docs.google.com/spreadsheets/d/1KS0zmDSZPk8KnTAbGN-Xk6MtX1YRZD0ldgdt20K4CRk/edit?usp=sharing"",""เชียงราย!I635"")"),0)</f>
        <v>0</v>
      </c>
      <c r="AQ15" s="177">
        <f ca="1">IFERROR(__xludf.DUMMYFUNCTION("IMPORTRANGE(""https://docs.google.com/spreadsheets/d/1KS0zmDSZPk8KnTAbGN-Xk6MtX1YRZD0ldgdt20K4CRk/edit?usp=sharing"",""เชียงราย!J635"")"),0)</f>
        <v>0</v>
      </c>
      <c r="AR15" s="354">
        <f t="shared" ca="1" si="53"/>
        <v>0</v>
      </c>
      <c r="AS15" s="177">
        <f ca="1">IFERROR(__xludf.DUMMYFUNCTION("IMPORTRANGE(""https://docs.google.com/spreadsheets/d/1KS0zmDSZPk8KnTAbGN-Xk6MtX1YRZD0ldgdt20K4CRk/edit?usp=sharing"",""เชียงราย!J636"")"),0)</f>
        <v>0</v>
      </c>
      <c r="AT15" s="177">
        <f ca="1">IFERROR(__xludf.DUMMYFUNCTION("IMPORTRANGE(""https://docs.google.com/spreadsheets/d/1KS0zmDSZPk8KnTAbGN-Xk6MtX1YRZD0ldgdt20K4CRk/edit?usp=sharing"",""เชียงราย!J637"")"),0)</f>
        <v>0</v>
      </c>
      <c r="AU15" s="177">
        <f ca="1">IFERROR(__xludf.DUMMYFUNCTION("IMPORTRANGE(""https://docs.google.com/spreadsheets/d/1KS0zmDSZPk8KnTAbGN-Xk6MtX1YRZD0ldgdt20K4CRk/edit?usp=sharing"",""เชียงราย!J638"")"),0)</f>
        <v>0</v>
      </c>
      <c r="AV15" s="177">
        <f ca="1">IFERROR(__xludf.DUMMYFUNCTION("IMPORTRANGE(""https://docs.google.com/spreadsheets/d/1KS0zmDSZPk8KnTAbGN-Xk6MtX1YRZD0ldgdt20K4CRk/edit?usp=sharing"",""เชียงราย!J639"")"),0)</f>
        <v>0</v>
      </c>
      <c r="AW15" s="177">
        <f ca="1">IFERROR(__xludf.DUMMYFUNCTION("IMPORTRANGE(""https://docs.google.com/spreadsheets/d/1KS0zmDSZPk8KnTAbGN-Xk6MtX1YRZD0ldgdt20K4CRk/edit?usp=sharing"",""เชียงราย!J640"")"),0)</f>
        <v>0</v>
      </c>
    </row>
    <row r="16" spans="1:49" ht="19.5" x14ac:dyDescent="0.3">
      <c r="A16" s="89">
        <v>3</v>
      </c>
      <c r="B16" s="90" t="s">
        <v>42</v>
      </c>
      <c r="C16" s="174">
        <f t="shared" si="32"/>
        <v>0</v>
      </c>
      <c r="D16" s="175">
        <f t="shared" si="55"/>
        <v>0</v>
      </c>
      <c r="E16" s="403">
        <v>0</v>
      </c>
      <c r="F16" s="403">
        <v>0</v>
      </c>
      <c r="G16" s="403">
        <v>0</v>
      </c>
      <c r="H16" s="403">
        <v>0</v>
      </c>
      <c r="I16" s="403">
        <v>0</v>
      </c>
      <c r="J16" s="176">
        <f t="shared" si="34"/>
        <v>0</v>
      </c>
      <c r="K16" s="179">
        <f t="shared" si="35"/>
        <v>0</v>
      </c>
      <c r="L16" s="403">
        <v>0</v>
      </c>
      <c r="M16" s="87">
        <f t="shared" si="36"/>
        <v>0</v>
      </c>
      <c r="N16" s="87">
        <f t="shared" si="37"/>
        <v>0</v>
      </c>
      <c r="O16" s="403">
        <v>0</v>
      </c>
      <c r="P16" s="86">
        <f t="shared" si="38"/>
        <v>0</v>
      </c>
      <c r="Q16" s="87">
        <f t="shared" si="39"/>
        <v>0</v>
      </c>
      <c r="R16" s="87">
        <f ca="1">IFERROR(__xludf.DUMMYFUNCTION("IMPORTRANGE(""https://docs.google.com/spreadsheets/d/1rEDxBtusbi64tE0zunoIbsTVV16HeL0oJ6trHQeQ7K8/edit?usp=sharing"",""เชียงใหม่!Q616"")"),1625)</f>
        <v>1625</v>
      </c>
      <c r="S16" s="87">
        <f ca="1">IFERROR(__xludf.DUMMYFUNCTION("IMPORTRANGE(""https://docs.google.com/spreadsheets/d/1rEDxBtusbi64tE0zunoIbsTVV16HeL0oJ6trHQeQ7K8/edit?usp=sharing"",""เชียงใหม่!R616"")"),0)</f>
        <v>0</v>
      </c>
      <c r="T16" s="87">
        <f ca="1">IFERROR(__xludf.DUMMYFUNCTION("IMPORTRANGE(""https://docs.google.com/spreadsheets/d/1rEDxBtusbi64tE0zunoIbsTVV16HeL0oJ6trHQeQ7K8/edit?usp=sharing"",""เชียงใหม่!S616"")"),0)</f>
        <v>0</v>
      </c>
      <c r="U16" s="87">
        <f t="shared" ca="1" si="41"/>
        <v>0</v>
      </c>
      <c r="V16" s="87">
        <f t="shared" ca="1" si="42"/>
        <v>0</v>
      </c>
      <c r="W16" s="353">
        <f ca="1">IFERROR(__xludf.DUMMYFUNCTION("IMPORTRANGE(""https://docs.google.com/spreadsheets/d/1rEDxBtusbi64tE0zunoIbsTVV16HeL0oJ6trHQeQ7K8/edit?usp=sharing"",""เชียงใหม่!I626"")"),0)</f>
        <v>0</v>
      </c>
      <c r="X16" s="177">
        <f ca="1">IFERROR(__xludf.DUMMYFUNCTION("IMPORTRANGE(""https://docs.google.com/spreadsheets/d/1rEDxBtusbi64tE0zunoIbsTVV16HeL0oJ6trHQeQ7K8/edit?usp=sharing"",""เชียงใหม่!J626"")"),0)</f>
        <v>0</v>
      </c>
      <c r="Y16" s="354">
        <f t="shared" ca="1" si="44"/>
        <v>0</v>
      </c>
      <c r="Z16" s="177">
        <f ca="1">IFERROR(__xludf.DUMMYFUNCTION("IMPORTRANGE(""https://docs.google.com/spreadsheets/d/1rEDxBtusbi64tE0zunoIbsTVV16HeL0oJ6trHQeQ7K8/edit?usp=sharing"",""เชียงใหม่!I627"")"),0)</f>
        <v>0</v>
      </c>
      <c r="AA16" s="177">
        <f ca="1">IFERROR(__xludf.DUMMYFUNCTION("IMPORTRANGE(""https://docs.google.com/spreadsheets/d/1rEDxBtusbi64tE0zunoIbsTVV16HeL0oJ6trHQeQ7K8/edit?usp=sharing"",""เชียงใหม่!J627"")"),0)</f>
        <v>0</v>
      </c>
      <c r="AB16" s="354">
        <f t="shared" ca="1" si="46"/>
        <v>0</v>
      </c>
      <c r="AC16" s="177">
        <f ca="1">IFERROR(__xludf.DUMMYFUNCTION("IMPORTRANGE(""https://docs.google.com/spreadsheets/d/1rEDxBtusbi64tE0zunoIbsTVV16HeL0oJ6trHQeQ7K8/edit?usp=sharing"",""เชียงใหม่!I628"")"),0)</f>
        <v>0</v>
      </c>
      <c r="AD16" s="177">
        <f ca="1">IFERROR(__xludf.DUMMYFUNCTION("IMPORTRANGE(""https://docs.google.com/spreadsheets/d/1rEDxBtusbi64tE0zunoIbsTVV16HeL0oJ6trHQeQ7K8/edit?usp=sharing"",""เชียงใหม่!J628"")"),0)</f>
        <v>0</v>
      </c>
      <c r="AE16" s="354">
        <f t="shared" ca="1" si="48"/>
        <v>0</v>
      </c>
      <c r="AF16" s="177">
        <f ca="1">IFERROR(__xludf.DUMMYFUNCTION("IMPORTRANGE(""https://docs.google.com/spreadsheets/d/1rEDxBtusbi64tE0zunoIbsTVV16HeL0oJ6trHQeQ7K8/edit?usp=sharing"",""เชียงใหม่!J629"")"),0)</f>
        <v>0</v>
      </c>
      <c r="AG16" s="354">
        <f t="shared" ca="1" si="56"/>
        <v>0</v>
      </c>
      <c r="AH16" s="177">
        <f ca="1">IFERROR(__xludf.DUMMYFUNCTION("IMPORTRANGE(""https://docs.google.com/spreadsheets/d/1rEDxBtusbi64tE0zunoIbsTVV16HeL0oJ6trHQeQ7K8/edit?usp=sharing"",""เชียงใหม่!J630"")"),0)</f>
        <v>0</v>
      </c>
      <c r="AI16" s="354">
        <f t="shared" ca="1" si="49"/>
        <v>0</v>
      </c>
      <c r="AJ16" s="354">
        <f ca="1">IFERROR(__xludf.DUMMYFUNCTION("IMPORTRANGE(""https://docs.google.com/spreadsheets/d/1rEDxBtusbi64tE0zunoIbsTVV16HeL0oJ6trHQeQ7K8/edit?usp=sharing"",""เชียงใหม่!J631"")"),0)</f>
        <v>0</v>
      </c>
      <c r="AK16" s="354">
        <f t="shared" ca="1" si="50"/>
        <v>0</v>
      </c>
      <c r="AL16" s="354">
        <f ca="1">IFERROR(__xludf.DUMMYFUNCTION("IMPORTRANGE(""https://docs.google.com/spreadsheets/d/1rEDxBtusbi64tE0zunoIbsTVV16HeL0oJ6trHQeQ7K8/edit?usp=sharing"",""เชียงใหม่!J632"")"),0)</f>
        <v>0</v>
      </c>
      <c r="AM16" s="354">
        <f t="shared" ca="1" si="51"/>
        <v>0</v>
      </c>
      <c r="AN16" s="354">
        <f ca="1">IFERROR(__xludf.DUMMYFUNCTION("IMPORTRANGE(""https://docs.google.com/spreadsheets/d/1rEDxBtusbi64tE0zunoIbsTVV16HeL0oJ6trHQeQ7K8/edit?usp=sharing"",""เชียงใหม่!J633"")"),0)</f>
        <v>0</v>
      </c>
      <c r="AO16" s="354">
        <f ca="1">IFERROR(__xludf.DUMMYFUNCTION("IMPORTRANGE(""https://docs.google.com/spreadsheets/d/1rEDxBtusbi64tE0zunoIbsTVV16HeL0oJ6trHQeQ7K8/edit?usp=sharing"",""เชียงใหม่!J634"")"),0)</f>
        <v>0</v>
      </c>
      <c r="AP16" s="177">
        <f ca="1">IFERROR(__xludf.DUMMYFUNCTION("IMPORTRANGE(""https://docs.google.com/spreadsheets/d/1rEDxBtusbi64tE0zunoIbsTVV16HeL0oJ6trHQeQ7K8/edit?usp=sharing"",""เชียงใหม่!I635"")"),0)</f>
        <v>0</v>
      </c>
      <c r="AQ16" s="177">
        <f ca="1">IFERROR(__xludf.DUMMYFUNCTION("IMPORTRANGE(""https://docs.google.com/spreadsheets/d/1rEDxBtusbi64tE0zunoIbsTVV16HeL0oJ6trHQeQ7K8/edit?usp=sharing"",""เชียงใหม่!J635"")"),0)</f>
        <v>0</v>
      </c>
      <c r="AR16" s="354">
        <f t="shared" ca="1" si="53"/>
        <v>0</v>
      </c>
      <c r="AS16" s="177">
        <f ca="1">IFERROR(__xludf.DUMMYFUNCTION("IMPORTRANGE(""https://docs.google.com/spreadsheets/d/1rEDxBtusbi64tE0zunoIbsTVV16HeL0oJ6trHQeQ7K8/edit?usp=sharing"",""เชียงใหม่!J636"")"),0)</f>
        <v>0</v>
      </c>
      <c r="AT16" s="177">
        <f ca="1">IFERROR(__xludf.DUMMYFUNCTION("IMPORTRANGE(""https://docs.google.com/spreadsheets/d/1rEDxBtusbi64tE0zunoIbsTVV16HeL0oJ6trHQeQ7K8/edit?usp=sharing"",""เชียงใหม่!J637"")"),0)</f>
        <v>0</v>
      </c>
      <c r="AU16" s="177">
        <f ca="1">IFERROR(__xludf.DUMMYFUNCTION("IMPORTRANGE(""https://docs.google.com/spreadsheets/d/1rEDxBtusbi64tE0zunoIbsTVV16HeL0oJ6trHQeQ7K8/edit?usp=sharing"",""เชียงใหม่!J638"")"),0)</f>
        <v>0</v>
      </c>
      <c r="AV16" s="177">
        <f ca="1">IFERROR(__xludf.DUMMYFUNCTION("IMPORTRANGE(""https://docs.google.com/spreadsheets/d/1rEDxBtusbi64tE0zunoIbsTVV16HeL0oJ6trHQeQ7K8/edit?usp=sharing"",""เชียงใหม่!J639"")"),0)</f>
        <v>0</v>
      </c>
      <c r="AW16" s="177">
        <f ca="1">IFERROR(__xludf.DUMMYFUNCTION("IMPORTRANGE(""https://docs.google.com/spreadsheets/d/1rEDxBtusbi64tE0zunoIbsTVV16HeL0oJ6trHQeQ7K8/edit?usp=sharing"",""เชียงใหม่!J640"")"),0)</f>
        <v>0</v>
      </c>
    </row>
    <row r="17" spans="1:49" ht="19.5" x14ac:dyDescent="0.3">
      <c r="A17" s="89">
        <v>4</v>
      </c>
      <c r="B17" s="90" t="s">
        <v>43</v>
      </c>
      <c r="C17" s="174">
        <f t="shared" si="32"/>
        <v>0</v>
      </c>
      <c r="D17" s="175">
        <f t="shared" si="55"/>
        <v>0</v>
      </c>
      <c r="E17" s="403">
        <v>0</v>
      </c>
      <c r="F17" s="403">
        <v>0</v>
      </c>
      <c r="G17" s="403">
        <v>0</v>
      </c>
      <c r="H17" s="403">
        <v>0</v>
      </c>
      <c r="I17" s="403">
        <v>0</v>
      </c>
      <c r="J17" s="176">
        <f t="shared" si="34"/>
        <v>0</v>
      </c>
      <c r="K17" s="179">
        <f t="shared" si="35"/>
        <v>0</v>
      </c>
      <c r="L17" s="403">
        <v>0</v>
      </c>
      <c r="M17" s="87">
        <f t="shared" si="36"/>
        <v>0</v>
      </c>
      <c r="N17" s="87">
        <f t="shared" si="37"/>
        <v>0</v>
      </c>
      <c r="O17" s="403">
        <v>0</v>
      </c>
      <c r="P17" s="86">
        <f t="shared" si="38"/>
        <v>0</v>
      </c>
      <c r="Q17" s="87">
        <f t="shared" si="39"/>
        <v>0</v>
      </c>
      <c r="R17" s="87">
        <f ca="1">IFERROR(__xludf.DUMMYFUNCTION("IMPORTRANGE(""https://docs.google.com/spreadsheets/d/1W6MnUbDkMi6xHnHko_XkFDO9kkuL6Wqyc-6OCDFjW9I/edit?usp=sharing"",""ตาก!Q616"")"),1825)</f>
        <v>1825</v>
      </c>
      <c r="S17" s="87">
        <f ca="1">IFERROR(__xludf.DUMMYFUNCTION("IMPORTRANGE(""https://docs.google.com/spreadsheets/d/1W6MnUbDkMi6xHnHko_XkFDO9kkuL6Wqyc-6OCDFjW9I/edit?usp=sharing"",""ตาก!R616"")"),0)</f>
        <v>0</v>
      </c>
      <c r="T17" s="87">
        <f ca="1">IFERROR(__xludf.DUMMYFUNCTION("IMPORTRANGE(""https://docs.google.com/spreadsheets/d/1W6MnUbDkMi6xHnHko_XkFDO9kkuL6Wqyc-6OCDFjW9I/edit?usp=sharing"",""ตาก!S616"")"),0)</f>
        <v>0</v>
      </c>
      <c r="U17" s="87">
        <f t="shared" ca="1" si="41"/>
        <v>0</v>
      </c>
      <c r="V17" s="87">
        <f t="shared" ca="1" si="42"/>
        <v>0</v>
      </c>
      <c r="W17" s="353">
        <f ca="1">IFERROR(__xludf.DUMMYFUNCTION("IMPORTRANGE(""https://docs.google.com/spreadsheets/d/1W6MnUbDkMi6xHnHko_XkFDO9kkuL6Wqyc-6OCDFjW9I/edit?usp=sharing"",""ตาก!I626"")"),0)</f>
        <v>0</v>
      </c>
      <c r="X17" s="177">
        <f ca="1">IFERROR(__xludf.DUMMYFUNCTION("IMPORTRANGE(""https://docs.google.com/spreadsheets/d/1W6MnUbDkMi6xHnHko_XkFDO9kkuL6Wqyc-6OCDFjW9I/edit?usp=sharing"",""ตาก!J626"")"),0)</f>
        <v>0</v>
      </c>
      <c r="Y17" s="354">
        <f t="shared" ca="1" si="44"/>
        <v>0</v>
      </c>
      <c r="Z17" s="177">
        <f ca="1">IFERROR(__xludf.DUMMYFUNCTION("IMPORTRANGE(""https://docs.google.com/spreadsheets/d/1W6MnUbDkMi6xHnHko_XkFDO9kkuL6Wqyc-6OCDFjW9I/edit?usp=sharing"",""ตาก!I627"")"),1)</f>
        <v>1</v>
      </c>
      <c r="AA17" s="177">
        <f ca="1">IFERROR(__xludf.DUMMYFUNCTION("IMPORTRANGE(""https://docs.google.com/spreadsheets/d/1W6MnUbDkMi6xHnHko_XkFDO9kkuL6Wqyc-6OCDFjW9I/edit?usp=sharing"",""ตาก!J627"")"),0)</f>
        <v>0</v>
      </c>
      <c r="AB17" s="354">
        <f t="shared" ca="1" si="46"/>
        <v>0</v>
      </c>
      <c r="AC17" s="177">
        <f ca="1">IFERROR(__xludf.DUMMYFUNCTION("IMPORTRANGE(""https://docs.google.com/spreadsheets/d/1W6MnUbDkMi6xHnHko_XkFDO9kkuL6Wqyc-6OCDFjW9I/edit?usp=sharing"",""ตาก!I628"")"),1)</f>
        <v>1</v>
      </c>
      <c r="AD17" s="177">
        <f ca="1">IFERROR(__xludf.DUMMYFUNCTION("IMPORTRANGE(""https://docs.google.com/spreadsheets/d/1W6MnUbDkMi6xHnHko_XkFDO9kkuL6Wqyc-6OCDFjW9I/edit?usp=sharing"",""ตาก!J628"")"),0)</f>
        <v>0</v>
      </c>
      <c r="AE17" s="354">
        <f t="shared" ca="1" si="48"/>
        <v>0</v>
      </c>
      <c r="AF17" s="177">
        <f ca="1">IFERROR(__xludf.DUMMYFUNCTION("IMPORTRANGE(""https://docs.google.com/spreadsheets/d/1W6MnUbDkMi6xHnHko_XkFDO9kkuL6Wqyc-6OCDFjW9I/edit?usp=sharing"",""ตาก!J629"")"),0)</f>
        <v>0</v>
      </c>
      <c r="AG17" s="354">
        <f t="shared" ca="1" si="56"/>
        <v>0</v>
      </c>
      <c r="AH17" s="177">
        <f ca="1">IFERROR(__xludf.DUMMYFUNCTION("IMPORTRANGE(""https://docs.google.com/spreadsheets/d/1W6MnUbDkMi6xHnHko_XkFDO9kkuL6Wqyc-6OCDFjW9I/edit?usp=sharing"",""ตาก!J630"")"),0)</f>
        <v>0</v>
      </c>
      <c r="AI17" s="354">
        <f t="shared" ca="1" si="49"/>
        <v>0</v>
      </c>
      <c r="AJ17" s="354">
        <f ca="1">IFERROR(__xludf.DUMMYFUNCTION("IMPORTRANGE(""https://docs.google.com/spreadsheets/d/1W6MnUbDkMi6xHnHko_XkFDO9kkuL6Wqyc-6OCDFjW9I/edit?usp=sharing"",""ตาก!J631"")"),0)</f>
        <v>0</v>
      </c>
      <c r="AK17" s="354">
        <f t="shared" ca="1" si="50"/>
        <v>0</v>
      </c>
      <c r="AL17" s="354">
        <f ca="1">IFERROR(__xludf.DUMMYFUNCTION("IMPORTRANGE(""https://docs.google.com/spreadsheets/d/1W6MnUbDkMi6xHnHko_XkFDO9kkuL6Wqyc-6OCDFjW9I/edit?usp=sharing"",""ตาก!J632"")"),0)</f>
        <v>0</v>
      </c>
      <c r="AM17" s="354">
        <f t="shared" ca="1" si="51"/>
        <v>0</v>
      </c>
      <c r="AN17" s="354">
        <f ca="1">IFERROR(__xludf.DUMMYFUNCTION("IMPORTRANGE(""https://docs.google.com/spreadsheets/d/1W6MnUbDkMi6xHnHko_XkFDO9kkuL6Wqyc-6OCDFjW9I/edit?usp=sharing"",""ตาก!J633"")"),0)</f>
        <v>0</v>
      </c>
      <c r="AO17" s="354">
        <f ca="1">IFERROR(__xludf.DUMMYFUNCTION("IMPORTRANGE(""https://docs.google.com/spreadsheets/d/1W6MnUbDkMi6xHnHko_XkFDO9kkuL6Wqyc-6OCDFjW9I/edit?usp=sharing"",""ตาก!J634"")"),0)</f>
        <v>0</v>
      </c>
      <c r="AP17" s="177">
        <f ca="1">IFERROR(__xludf.DUMMYFUNCTION("IMPORTRANGE(""https://docs.google.com/spreadsheets/d/1W6MnUbDkMi6xHnHko_XkFDO9kkuL6Wqyc-6OCDFjW9I/edit?usp=sharing"",""ตาก!I635"")"),0)</f>
        <v>0</v>
      </c>
      <c r="AQ17" s="177">
        <f ca="1">IFERROR(__xludf.DUMMYFUNCTION("IMPORTRANGE(""https://docs.google.com/spreadsheets/d/1W6MnUbDkMi6xHnHko_XkFDO9kkuL6Wqyc-6OCDFjW9I/edit?usp=sharing"",""ตาก!J635"")"),0)</f>
        <v>0</v>
      </c>
      <c r="AR17" s="354">
        <f t="shared" ca="1" si="53"/>
        <v>0</v>
      </c>
      <c r="AS17" s="177">
        <f ca="1">IFERROR(__xludf.DUMMYFUNCTION("IMPORTRANGE(""https://docs.google.com/spreadsheets/d/1W6MnUbDkMi6xHnHko_XkFDO9kkuL6Wqyc-6OCDFjW9I/edit?usp=sharing"",""ตาก!J636"")"),0)</f>
        <v>0</v>
      </c>
      <c r="AT17" s="177">
        <f ca="1">IFERROR(__xludf.DUMMYFUNCTION("IMPORTRANGE(""https://docs.google.com/spreadsheets/d/1W6MnUbDkMi6xHnHko_XkFDO9kkuL6Wqyc-6OCDFjW9I/edit?usp=sharing"",""ตาก!J637"")"),0)</f>
        <v>0</v>
      </c>
      <c r="AU17" s="177">
        <f ca="1">IFERROR(__xludf.DUMMYFUNCTION("IMPORTRANGE(""https://docs.google.com/spreadsheets/d/1W6MnUbDkMi6xHnHko_XkFDO9kkuL6Wqyc-6OCDFjW9I/edit?usp=sharing"",""ตาก!J638"")"),0)</f>
        <v>0</v>
      </c>
      <c r="AV17" s="177">
        <f ca="1">IFERROR(__xludf.DUMMYFUNCTION("IMPORTRANGE(""https://docs.google.com/spreadsheets/d/1W6MnUbDkMi6xHnHko_XkFDO9kkuL6Wqyc-6OCDFjW9I/edit?usp=sharing"",""ตาก!J639"")"),0)</f>
        <v>0</v>
      </c>
      <c r="AW17" s="177">
        <f ca="1">IFERROR(__xludf.DUMMYFUNCTION("IMPORTRANGE(""https://docs.google.com/spreadsheets/d/1W6MnUbDkMi6xHnHko_XkFDO9kkuL6Wqyc-6OCDFjW9I/edit?usp=sharing"",""ตาก!J640"")"),0)</f>
        <v>0</v>
      </c>
    </row>
    <row r="18" spans="1:49" ht="19.5" x14ac:dyDescent="0.3">
      <c r="A18" s="89">
        <v>5</v>
      </c>
      <c r="B18" s="90" t="s">
        <v>44</v>
      </c>
      <c r="C18" s="174">
        <f t="shared" si="32"/>
        <v>0</v>
      </c>
      <c r="D18" s="175">
        <f t="shared" si="55"/>
        <v>0</v>
      </c>
      <c r="E18" s="403">
        <v>0</v>
      </c>
      <c r="F18" s="403">
        <v>0</v>
      </c>
      <c r="G18" s="403">
        <v>0</v>
      </c>
      <c r="H18" s="403">
        <v>0</v>
      </c>
      <c r="I18" s="403">
        <v>0</v>
      </c>
      <c r="J18" s="176">
        <f t="shared" si="34"/>
        <v>0</v>
      </c>
      <c r="K18" s="179">
        <f t="shared" si="35"/>
        <v>0</v>
      </c>
      <c r="L18" s="403">
        <v>0</v>
      </c>
      <c r="M18" s="87">
        <f t="shared" si="36"/>
        <v>0</v>
      </c>
      <c r="N18" s="87">
        <f t="shared" si="37"/>
        <v>0</v>
      </c>
      <c r="O18" s="403">
        <v>0</v>
      </c>
      <c r="P18" s="86">
        <f t="shared" si="38"/>
        <v>0</v>
      </c>
      <c r="Q18" s="87">
        <f t="shared" si="39"/>
        <v>0</v>
      </c>
      <c r="R18" s="87">
        <f ca="1">IFERROR(__xludf.DUMMYFUNCTION("IMPORTRANGE(""https://docs.google.com/spreadsheets/d/1IQAWArduLkta9LpYo4a_ULsyqdta6-6aDDiwpUnQT6c/edit?usp=sharing"",""นครสวรรค์!Q616"")"),7475)</f>
        <v>7475</v>
      </c>
      <c r="S18" s="87">
        <f ca="1">IFERROR(__xludf.DUMMYFUNCTION("IMPORTRANGE(""https://docs.google.com/spreadsheets/d/1IQAWArduLkta9LpYo4a_ULsyqdta6-6aDDiwpUnQT6c/edit?usp=sharing"",""นครสวรรค์!R616"")"),0)</f>
        <v>0</v>
      </c>
      <c r="T18" s="87">
        <f ca="1">IFERROR(__xludf.DUMMYFUNCTION("IMPORTRANGE(""https://docs.google.com/spreadsheets/d/1IQAWArduLkta9LpYo4a_ULsyqdta6-6aDDiwpUnQT6c/edit?usp=sharing"",""นครสวรรค์!S616"")"),0)</f>
        <v>0</v>
      </c>
      <c r="U18" s="87">
        <f t="shared" ca="1" si="41"/>
        <v>0</v>
      </c>
      <c r="V18" s="87">
        <f t="shared" ca="1" si="42"/>
        <v>0</v>
      </c>
      <c r="W18" s="353">
        <f ca="1">IFERROR(__xludf.DUMMYFUNCTION("IMPORTRANGE(""https://docs.google.com/spreadsheets/d/1IQAWArduLkta9LpYo4a_ULsyqdta6-6aDDiwpUnQT6c/edit?usp=sharing"",""นครสวรรค์!I626"")"),50)</f>
        <v>50</v>
      </c>
      <c r="X18" s="177">
        <f ca="1">IFERROR(__xludf.DUMMYFUNCTION("IMPORTRANGE(""https://docs.google.com/spreadsheets/d/1IQAWArduLkta9LpYo4a_ULsyqdta6-6aDDiwpUnQT6c/edit?usp=sharing"",""นครสวรรค์!J626"")"),0)</f>
        <v>0</v>
      </c>
      <c r="Y18" s="354">
        <f t="shared" ca="1" si="44"/>
        <v>0</v>
      </c>
      <c r="Z18" s="177">
        <f ca="1">IFERROR(__xludf.DUMMYFUNCTION("IMPORTRANGE(""https://docs.google.com/spreadsheets/d/1IQAWArduLkta9LpYo4a_ULsyqdta6-6aDDiwpUnQT6c/edit?usp=sharing"",""นครสวรรค์!I627"")"),1)</f>
        <v>1</v>
      </c>
      <c r="AA18" s="177">
        <f ca="1">IFERROR(__xludf.DUMMYFUNCTION("IMPORTRANGE(""https://docs.google.com/spreadsheets/d/1IQAWArduLkta9LpYo4a_ULsyqdta6-6aDDiwpUnQT6c/edit?usp=sharing"",""นครสวรรค์!J627"")"),0)</f>
        <v>0</v>
      </c>
      <c r="AB18" s="354">
        <f t="shared" ca="1" si="46"/>
        <v>0</v>
      </c>
      <c r="AC18" s="177">
        <f ca="1">IFERROR(__xludf.DUMMYFUNCTION("IMPORTRANGE(""https://docs.google.com/spreadsheets/d/1IQAWArduLkta9LpYo4a_ULsyqdta6-6aDDiwpUnQT6c/edit?usp=sharing"",""นครสวรรค์!I628"")"),1)</f>
        <v>1</v>
      </c>
      <c r="AD18" s="177">
        <f ca="1">IFERROR(__xludf.DUMMYFUNCTION("IMPORTRANGE(""https://docs.google.com/spreadsheets/d/1IQAWArduLkta9LpYo4a_ULsyqdta6-6aDDiwpUnQT6c/edit?usp=sharing"",""นครสวรรค์!J628"")"),0)</f>
        <v>0</v>
      </c>
      <c r="AE18" s="354">
        <f t="shared" ca="1" si="48"/>
        <v>0</v>
      </c>
      <c r="AF18" s="177">
        <f ca="1">IFERROR(__xludf.DUMMYFUNCTION("IMPORTRANGE(""https://docs.google.com/spreadsheets/d/1IQAWArduLkta9LpYo4a_ULsyqdta6-6aDDiwpUnQT6c/edit?usp=sharing"",""นครสวรรค์!J629"")"),0)</f>
        <v>0</v>
      </c>
      <c r="AG18" s="354">
        <f t="shared" ca="1" si="56"/>
        <v>0</v>
      </c>
      <c r="AH18" s="177">
        <f ca="1">IFERROR(__xludf.DUMMYFUNCTION("IMPORTRANGE(""https://docs.google.com/spreadsheets/d/1IQAWArduLkta9LpYo4a_ULsyqdta6-6aDDiwpUnQT6c/edit?usp=sharing"",""นครสวรรค์!J630"")"),0)</f>
        <v>0</v>
      </c>
      <c r="AI18" s="354">
        <f t="shared" ca="1" si="49"/>
        <v>0</v>
      </c>
      <c r="AJ18" s="354">
        <f ca="1">IFERROR(__xludf.DUMMYFUNCTION("IMPORTRANGE(""https://docs.google.com/spreadsheets/d/1IQAWArduLkta9LpYo4a_ULsyqdta6-6aDDiwpUnQT6c/edit?usp=sharing"",""นครสวรรค์!J631"")"),0)</f>
        <v>0</v>
      </c>
      <c r="AK18" s="354">
        <f t="shared" ca="1" si="50"/>
        <v>0</v>
      </c>
      <c r="AL18" s="354">
        <f ca="1">IFERROR(__xludf.DUMMYFUNCTION("IMPORTRANGE(""https://docs.google.com/spreadsheets/d/1IQAWArduLkta9LpYo4a_ULsyqdta6-6aDDiwpUnQT6c/edit?usp=sharing"",""นครสวรรค์!J632"")"),0)</f>
        <v>0</v>
      </c>
      <c r="AM18" s="354">
        <f t="shared" ca="1" si="51"/>
        <v>0</v>
      </c>
      <c r="AN18" s="354">
        <f ca="1">IFERROR(__xludf.DUMMYFUNCTION("IMPORTRANGE(""https://docs.google.com/spreadsheets/d/1IQAWArduLkta9LpYo4a_ULsyqdta6-6aDDiwpUnQT6c/edit?usp=sharing"",""นครสวรรค์!J633"")"),0)</f>
        <v>0</v>
      </c>
      <c r="AO18" s="354">
        <f ca="1">IFERROR(__xludf.DUMMYFUNCTION("IMPORTRANGE(""https://docs.google.com/spreadsheets/d/1IQAWArduLkta9LpYo4a_ULsyqdta6-6aDDiwpUnQT6c/edit?usp=sharing"",""นครสวรรค์!J634"")"),0)</f>
        <v>0</v>
      </c>
      <c r="AP18" s="177">
        <f ca="1">IFERROR(__xludf.DUMMYFUNCTION("IMPORTRANGE(""https://docs.google.com/spreadsheets/d/1IQAWArduLkta9LpYo4a_ULsyqdta6-6aDDiwpUnQT6c/edit?usp=sharing"",""นครสวรรค์!I635"")"),0)</f>
        <v>0</v>
      </c>
      <c r="AQ18" s="177">
        <f ca="1">IFERROR(__xludf.DUMMYFUNCTION("IMPORTRANGE(""https://docs.google.com/spreadsheets/d/1IQAWArduLkta9LpYo4a_ULsyqdta6-6aDDiwpUnQT6c/edit?usp=sharing"",""นครสวรรค์!J635"")"),0)</f>
        <v>0</v>
      </c>
      <c r="AR18" s="354">
        <f t="shared" ca="1" si="53"/>
        <v>0</v>
      </c>
      <c r="AS18" s="177">
        <f ca="1">IFERROR(__xludf.DUMMYFUNCTION("IMPORTRANGE(""https://docs.google.com/spreadsheets/d/1IQAWArduLkta9LpYo4a_ULsyqdta6-6aDDiwpUnQT6c/edit?usp=sharing"",""นครสวรรค์!J636"")"),0)</f>
        <v>0</v>
      </c>
      <c r="AT18" s="177">
        <f ca="1">IFERROR(__xludf.DUMMYFUNCTION("IMPORTRANGE(""https://docs.google.com/spreadsheets/d/1IQAWArduLkta9LpYo4a_ULsyqdta6-6aDDiwpUnQT6c/edit?usp=sharing"",""นครสวรรค์!J637"")"),0)</f>
        <v>0</v>
      </c>
      <c r="AU18" s="177">
        <f ca="1">IFERROR(__xludf.DUMMYFUNCTION("IMPORTRANGE(""https://docs.google.com/spreadsheets/d/1IQAWArduLkta9LpYo4a_ULsyqdta6-6aDDiwpUnQT6c/edit?usp=sharing"",""นครสวรรค์!J638"")"),0)</f>
        <v>0</v>
      </c>
      <c r="AV18" s="177">
        <f ca="1">IFERROR(__xludf.DUMMYFUNCTION("IMPORTRANGE(""https://docs.google.com/spreadsheets/d/1IQAWArduLkta9LpYo4a_ULsyqdta6-6aDDiwpUnQT6c/edit?usp=sharing"",""นครสวรรค์!J639"")"),0)</f>
        <v>0</v>
      </c>
      <c r="AW18" s="177">
        <f ca="1">IFERROR(__xludf.DUMMYFUNCTION("IMPORTRANGE(""https://docs.google.com/spreadsheets/d/1IQAWArduLkta9LpYo4a_ULsyqdta6-6aDDiwpUnQT6c/edit?usp=sharing"",""นครสวรรค์!J640"")"),0)</f>
        <v>0</v>
      </c>
    </row>
    <row r="19" spans="1:49" ht="19.5" x14ac:dyDescent="0.3">
      <c r="A19" s="89">
        <v>6</v>
      </c>
      <c r="B19" s="90" t="s">
        <v>45</v>
      </c>
      <c r="C19" s="174">
        <f t="shared" si="32"/>
        <v>0</v>
      </c>
      <c r="D19" s="175">
        <f t="shared" si="55"/>
        <v>0</v>
      </c>
      <c r="E19" s="403">
        <v>0</v>
      </c>
      <c r="F19" s="403">
        <v>0</v>
      </c>
      <c r="G19" s="403">
        <v>0</v>
      </c>
      <c r="H19" s="403">
        <v>0</v>
      </c>
      <c r="I19" s="403">
        <v>0</v>
      </c>
      <c r="J19" s="176">
        <f t="shared" si="34"/>
        <v>0</v>
      </c>
      <c r="K19" s="179">
        <f t="shared" si="35"/>
        <v>0</v>
      </c>
      <c r="L19" s="403">
        <v>0</v>
      </c>
      <c r="M19" s="87">
        <f t="shared" si="36"/>
        <v>0</v>
      </c>
      <c r="N19" s="87">
        <f t="shared" si="37"/>
        <v>0</v>
      </c>
      <c r="O19" s="403">
        <v>0</v>
      </c>
      <c r="P19" s="86">
        <f t="shared" si="38"/>
        <v>0</v>
      </c>
      <c r="Q19" s="87">
        <f t="shared" si="39"/>
        <v>0</v>
      </c>
      <c r="R19" s="87">
        <f ca="1">IFERROR(__xludf.DUMMYFUNCTION("IMPORTRANGE(""https://docs.google.com/spreadsheets/d/10s13Sk5xrltsiR-Zkbmk5DwIaDIKO8XlbJAfqyT7Gvg/edit?usp=sharing"",""น่าน!Q616"")"),1975)</f>
        <v>1975</v>
      </c>
      <c r="S19" s="87">
        <f ca="1">IFERROR(__xludf.DUMMYFUNCTION("IMPORTRANGE(""https://docs.google.com/spreadsheets/d/10s13Sk5xrltsiR-Zkbmk5DwIaDIKO8XlbJAfqyT7Gvg/edit?usp=sharing"",""น่าน!R616"")"),0)</f>
        <v>0</v>
      </c>
      <c r="T19" s="87">
        <f ca="1">IFERROR(__xludf.DUMMYFUNCTION("IMPORTRANGE(""https://docs.google.com/spreadsheets/d/10s13Sk5xrltsiR-Zkbmk5DwIaDIKO8XlbJAfqyT7Gvg/edit?usp=sharing"",""น่าน!S616"")"),0)</f>
        <v>0</v>
      </c>
      <c r="U19" s="87">
        <f t="shared" ca="1" si="41"/>
        <v>0</v>
      </c>
      <c r="V19" s="87">
        <f t="shared" ca="1" si="42"/>
        <v>0</v>
      </c>
      <c r="W19" s="353">
        <f ca="1">IFERROR(__xludf.DUMMYFUNCTION("IMPORTRANGE(""https://docs.google.com/spreadsheets/d/10s13Sk5xrltsiR-Zkbmk5DwIaDIKO8XlbJAfqyT7Gvg/edit?usp=sharing"",""น่าน!I626"")"),0)</f>
        <v>0</v>
      </c>
      <c r="X19" s="177">
        <f ca="1">IFERROR(__xludf.DUMMYFUNCTION("IMPORTRANGE(""https://docs.google.com/spreadsheets/d/10s13Sk5xrltsiR-Zkbmk5DwIaDIKO8XlbJAfqyT7Gvg/edit?usp=sharing"",""น่าน!J626"")"),0)</f>
        <v>0</v>
      </c>
      <c r="Y19" s="354">
        <f t="shared" ca="1" si="44"/>
        <v>0</v>
      </c>
      <c r="Z19" s="177">
        <f ca="1">IFERROR(__xludf.DUMMYFUNCTION("IMPORTRANGE(""https://docs.google.com/spreadsheets/d/10s13Sk5xrltsiR-Zkbmk5DwIaDIKO8XlbJAfqyT7Gvg/edit?usp=sharing"",""น่าน!I627"")"),1)</f>
        <v>1</v>
      </c>
      <c r="AA19" s="177">
        <f ca="1">IFERROR(__xludf.DUMMYFUNCTION("IMPORTRANGE(""https://docs.google.com/spreadsheets/d/10s13Sk5xrltsiR-Zkbmk5DwIaDIKO8XlbJAfqyT7Gvg/edit?usp=sharing"",""น่าน!J627"")"),0)</f>
        <v>0</v>
      </c>
      <c r="AB19" s="354">
        <f t="shared" ca="1" si="46"/>
        <v>0</v>
      </c>
      <c r="AC19" s="177">
        <f ca="1">IFERROR(__xludf.DUMMYFUNCTION("IMPORTRANGE(""https://docs.google.com/spreadsheets/d/10s13Sk5xrltsiR-Zkbmk5DwIaDIKO8XlbJAfqyT7Gvg/edit?usp=sharing"",""น่าน!I628"")"),1)</f>
        <v>1</v>
      </c>
      <c r="AD19" s="177">
        <f ca="1">IFERROR(__xludf.DUMMYFUNCTION("IMPORTRANGE(""https://docs.google.com/spreadsheets/d/10s13Sk5xrltsiR-Zkbmk5DwIaDIKO8XlbJAfqyT7Gvg/edit?usp=sharing"",""น่าน!J628"")"),0)</f>
        <v>0</v>
      </c>
      <c r="AE19" s="354">
        <f t="shared" ca="1" si="48"/>
        <v>0</v>
      </c>
      <c r="AF19" s="177">
        <f ca="1">IFERROR(__xludf.DUMMYFUNCTION("IMPORTRANGE(""https://docs.google.com/spreadsheets/d/10s13Sk5xrltsiR-Zkbmk5DwIaDIKO8XlbJAfqyT7Gvg/edit?usp=sharing"",""น่าน!J629"")"),0)</f>
        <v>0</v>
      </c>
      <c r="AG19" s="354">
        <f t="shared" ca="1" si="56"/>
        <v>0</v>
      </c>
      <c r="AH19" s="177">
        <f ca="1">IFERROR(__xludf.DUMMYFUNCTION("IMPORTRANGE(""https://docs.google.com/spreadsheets/d/10s13Sk5xrltsiR-Zkbmk5DwIaDIKO8XlbJAfqyT7Gvg/edit?usp=sharing"",""น่าน!J630"")"),0)</f>
        <v>0</v>
      </c>
      <c r="AI19" s="354">
        <f t="shared" ca="1" si="49"/>
        <v>0</v>
      </c>
      <c r="AJ19" s="354">
        <f ca="1">IFERROR(__xludf.DUMMYFUNCTION("IMPORTRANGE(""https://docs.google.com/spreadsheets/d/10s13Sk5xrltsiR-Zkbmk5DwIaDIKO8XlbJAfqyT7Gvg/edit?usp=sharing"",""น่าน!J631"")"),0)</f>
        <v>0</v>
      </c>
      <c r="AK19" s="354">
        <f t="shared" ca="1" si="50"/>
        <v>0</v>
      </c>
      <c r="AL19" s="354">
        <f ca="1">IFERROR(__xludf.DUMMYFUNCTION("IMPORTRANGE(""https://docs.google.com/spreadsheets/d/10s13Sk5xrltsiR-Zkbmk5DwIaDIKO8XlbJAfqyT7Gvg/edit?usp=sharing"",""น่าน!J632"")"),0)</f>
        <v>0</v>
      </c>
      <c r="AM19" s="354">
        <f t="shared" ca="1" si="51"/>
        <v>0</v>
      </c>
      <c r="AN19" s="354">
        <f ca="1">IFERROR(__xludf.DUMMYFUNCTION("IMPORTRANGE(""https://docs.google.com/spreadsheets/d/10s13Sk5xrltsiR-Zkbmk5DwIaDIKO8XlbJAfqyT7Gvg/edit?usp=sharing"",""น่าน!J633"")"),0)</f>
        <v>0</v>
      </c>
      <c r="AO19" s="354">
        <f ca="1">IFERROR(__xludf.DUMMYFUNCTION("IMPORTRANGE(""https://docs.google.com/spreadsheets/d/10s13Sk5xrltsiR-Zkbmk5DwIaDIKO8XlbJAfqyT7Gvg/edit?usp=sharing"",""น่าน!J634"")"),0)</f>
        <v>0</v>
      </c>
      <c r="AP19" s="177">
        <f ca="1">IFERROR(__xludf.DUMMYFUNCTION("IMPORTRANGE(""https://docs.google.com/spreadsheets/d/10s13Sk5xrltsiR-Zkbmk5DwIaDIKO8XlbJAfqyT7Gvg/edit?usp=sharing"",""น่าน!I635"")"),0)</f>
        <v>0</v>
      </c>
      <c r="AQ19" s="177">
        <f ca="1">IFERROR(__xludf.DUMMYFUNCTION("IMPORTRANGE(""https://docs.google.com/spreadsheets/d/10s13Sk5xrltsiR-Zkbmk5DwIaDIKO8XlbJAfqyT7Gvg/edit?usp=sharing"",""น่าน!J635"")"),0)</f>
        <v>0</v>
      </c>
      <c r="AR19" s="354">
        <f t="shared" ca="1" si="53"/>
        <v>0</v>
      </c>
      <c r="AS19" s="177">
        <f ca="1">IFERROR(__xludf.DUMMYFUNCTION("IMPORTRANGE(""https://docs.google.com/spreadsheets/d/10s13Sk5xrltsiR-Zkbmk5DwIaDIKO8XlbJAfqyT7Gvg/edit?usp=sharing"",""น่าน!J636"")"),0)</f>
        <v>0</v>
      </c>
      <c r="AT19" s="177">
        <f ca="1">IFERROR(__xludf.DUMMYFUNCTION("IMPORTRANGE(""https://docs.google.com/spreadsheets/d/10s13Sk5xrltsiR-Zkbmk5DwIaDIKO8XlbJAfqyT7Gvg/edit?usp=sharing"",""น่าน!J637"")"),0)</f>
        <v>0</v>
      </c>
      <c r="AU19" s="177">
        <f ca="1">IFERROR(__xludf.DUMMYFUNCTION("IMPORTRANGE(""https://docs.google.com/spreadsheets/d/10s13Sk5xrltsiR-Zkbmk5DwIaDIKO8XlbJAfqyT7Gvg/edit?usp=sharing"",""น่าน!J638"")"),0)</f>
        <v>0</v>
      </c>
      <c r="AV19" s="177">
        <f ca="1">IFERROR(__xludf.DUMMYFUNCTION("IMPORTRANGE(""https://docs.google.com/spreadsheets/d/10s13Sk5xrltsiR-Zkbmk5DwIaDIKO8XlbJAfqyT7Gvg/edit?usp=sharing"",""น่าน!J639"")"),0)</f>
        <v>0</v>
      </c>
      <c r="AW19" s="177">
        <f ca="1">IFERROR(__xludf.DUMMYFUNCTION("IMPORTRANGE(""https://docs.google.com/spreadsheets/d/10s13Sk5xrltsiR-Zkbmk5DwIaDIKO8XlbJAfqyT7Gvg/edit?usp=sharing"",""น่าน!J640"")"),0)</f>
        <v>0</v>
      </c>
    </row>
    <row r="20" spans="1:49" ht="19.5" x14ac:dyDescent="0.3">
      <c r="A20" s="89">
        <v>7</v>
      </c>
      <c r="B20" s="90" t="s">
        <v>46</v>
      </c>
      <c r="C20" s="174">
        <f t="shared" si="32"/>
        <v>0</v>
      </c>
      <c r="D20" s="175">
        <f t="shared" si="55"/>
        <v>0</v>
      </c>
      <c r="E20" s="403">
        <v>0</v>
      </c>
      <c r="F20" s="403">
        <v>0</v>
      </c>
      <c r="G20" s="403">
        <v>0</v>
      </c>
      <c r="H20" s="403">
        <v>0</v>
      </c>
      <c r="I20" s="403">
        <v>0</v>
      </c>
      <c r="J20" s="176">
        <f t="shared" si="34"/>
        <v>0</v>
      </c>
      <c r="K20" s="179">
        <f t="shared" si="35"/>
        <v>0</v>
      </c>
      <c r="L20" s="403">
        <v>0</v>
      </c>
      <c r="M20" s="87">
        <f t="shared" si="36"/>
        <v>0</v>
      </c>
      <c r="N20" s="87">
        <f t="shared" si="37"/>
        <v>0</v>
      </c>
      <c r="O20" s="403">
        <v>0</v>
      </c>
      <c r="P20" s="86">
        <f t="shared" si="38"/>
        <v>0</v>
      </c>
      <c r="Q20" s="87">
        <f t="shared" si="39"/>
        <v>0</v>
      </c>
      <c r="R20" s="87">
        <f ca="1">IFERROR(__xludf.DUMMYFUNCTION("IMPORTRANGE(""https://docs.google.com/spreadsheets/d/1uu4nAn4Dbi1XREnLKKotUANlKXa7yCgRcgq8HEzQYW8/edit?usp=sharing"",""พะเยา!Q616"")"),6725)</f>
        <v>6725</v>
      </c>
      <c r="S20" s="87">
        <f ca="1">IFERROR(__xludf.DUMMYFUNCTION("IMPORTRANGE(""https://docs.google.com/spreadsheets/d/1uu4nAn4Dbi1XREnLKKotUANlKXa7yCgRcgq8HEzQYW8/edit?usp=sharing"",""พะเยา!R616"")"),0)</f>
        <v>0</v>
      </c>
      <c r="T20" s="87">
        <f ca="1">IFERROR(__xludf.DUMMYFUNCTION("IMPORTRANGE(""https://docs.google.com/spreadsheets/d/1uu4nAn4Dbi1XREnLKKotUANlKXa7yCgRcgq8HEzQYW8/edit?usp=sharing"",""พะเยา!S616"")"),0)</f>
        <v>0</v>
      </c>
      <c r="U20" s="87">
        <f t="shared" ca="1" si="41"/>
        <v>0</v>
      </c>
      <c r="V20" s="87">
        <f t="shared" ca="1" si="42"/>
        <v>0</v>
      </c>
      <c r="W20" s="353">
        <f ca="1">IFERROR(__xludf.DUMMYFUNCTION("IMPORTRANGE(""https://docs.google.com/spreadsheets/d/1uu4nAn4Dbi1XREnLKKotUANlKXa7yCgRcgq8HEzQYW8/edit?usp=sharing"",""พะเยา!I626"")"),50)</f>
        <v>50</v>
      </c>
      <c r="X20" s="177">
        <f ca="1">IFERROR(__xludf.DUMMYFUNCTION("IMPORTRANGE(""https://docs.google.com/spreadsheets/d/1uu4nAn4Dbi1XREnLKKotUANlKXa7yCgRcgq8HEzQYW8/edit?usp=sharing"",""พะเยา!J626"")"),0)</f>
        <v>0</v>
      </c>
      <c r="Y20" s="354">
        <f t="shared" ca="1" si="44"/>
        <v>0</v>
      </c>
      <c r="Z20" s="177">
        <f ca="1">IFERROR(__xludf.DUMMYFUNCTION("IMPORTRANGE(""https://docs.google.com/spreadsheets/d/1uu4nAn4Dbi1XREnLKKotUANlKXa7yCgRcgq8HEzQYW8/edit?usp=sharing"",""พะเยา!I627"")"),0)</f>
        <v>0</v>
      </c>
      <c r="AA20" s="177">
        <f ca="1">IFERROR(__xludf.DUMMYFUNCTION("IMPORTRANGE(""https://docs.google.com/spreadsheets/d/1uu4nAn4Dbi1XREnLKKotUANlKXa7yCgRcgq8HEzQYW8/edit?usp=sharing"",""พะเยา!J627"")"),0)</f>
        <v>0</v>
      </c>
      <c r="AB20" s="354">
        <f t="shared" ca="1" si="46"/>
        <v>0</v>
      </c>
      <c r="AC20" s="177">
        <f ca="1">IFERROR(__xludf.DUMMYFUNCTION("IMPORTRANGE(""https://docs.google.com/spreadsheets/d/1uu4nAn4Dbi1XREnLKKotUANlKXa7yCgRcgq8HEzQYW8/edit?usp=sharing"",""พะเยา!I628"")"),0)</f>
        <v>0</v>
      </c>
      <c r="AD20" s="177">
        <f ca="1">IFERROR(__xludf.DUMMYFUNCTION("IMPORTRANGE(""https://docs.google.com/spreadsheets/d/1uu4nAn4Dbi1XREnLKKotUANlKXa7yCgRcgq8HEzQYW8/edit?usp=sharing"",""พะเยา!J628"")"),0)</f>
        <v>0</v>
      </c>
      <c r="AE20" s="354">
        <f t="shared" ca="1" si="48"/>
        <v>0</v>
      </c>
      <c r="AF20" s="177">
        <f ca="1">IFERROR(__xludf.DUMMYFUNCTION("IMPORTRANGE(""https://docs.google.com/spreadsheets/d/1uu4nAn4Dbi1XREnLKKotUANlKXa7yCgRcgq8HEzQYW8/edit?usp=sharing"",""พะเยา!J629"")"),0)</f>
        <v>0</v>
      </c>
      <c r="AG20" s="354">
        <f t="shared" ca="1" si="56"/>
        <v>0</v>
      </c>
      <c r="AH20" s="177">
        <f ca="1">IFERROR(__xludf.DUMMYFUNCTION("IMPORTRANGE(""https://docs.google.com/spreadsheets/d/1uu4nAn4Dbi1XREnLKKotUANlKXa7yCgRcgq8HEzQYW8/edit?usp=sharing"",""พะเยา!J630"")"),0)</f>
        <v>0</v>
      </c>
      <c r="AI20" s="354">
        <f t="shared" ca="1" si="49"/>
        <v>0</v>
      </c>
      <c r="AJ20" s="354">
        <f ca="1">IFERROR(__xludf.DUMMYFUNCTION("IMPORTRANGE(""https://docs.google.com/spreadsheets/d/1uu4nAn4Dbi1XREnLKKotUANlKXa7yCgRcgq8HEzQYW8/edit?usp=sharing"",""พะเยา!J631"")"),0)</f>
        <v>0</v>
      </c>
      <c r="AK20" s="354">
        <f t="shared" ca="1" si="50"/>
        <v>0</v>
      </c>
      <c r="AL20" s="354">
        <f ca="1">IFERROR(__xludf.DUMMYFUNCTION("IMPORTRANGE(""https://docs.google.com/spreadsheets/d/1uu4nAn4Dbi1XREnLKKotUANlKXa7yCgRcgq8HEzQYW8/edit?usp=sharing"",""พะเยา!J632"")"),0)</f>
        <v>0</v>
      </c>
      <c r="AM20" s="354">
        <f t="shared" ca="1" si="51"/>
        <v>0</v>
      </c>
      <c r="AN20" s="354">
        <f ca="1">IFERROR(__xludf.DUMMYFUNCTION("IMPORTRANGE(""https://docs.google.com/spreadsheets/d/1uu4nAn4Dbi1XREnLKKotUANlKXa7yCgRcgq8HEzQYW8/edit?usp=sharing"",""พะเยา!J633"")"),0)</f>
        <v>0</v>
      </c>
      <c r="AO20" s="354">
        <f ca="1">IFERROR(__xludf.DUMMYFUNCTION("IMPORTRANGE(""https://docs.google.com/spreadsheets/d/1uu4nAn4Dbi1XREnLKKotUANlKXa7yCgRcgq8HEzQYW8/edit?usp=sharing"",""พะเยา!J634"")"),0)</f>
        <v>0</v>
      </c>
      <c r="AP20" s="177">
        <f ca="1">IFERROR(__xludf.DUMMYFUNCTION("IMPORTRANGE(""https://docs.google.com/spreadsheets/d/1uu4nAn4Dbi1XREnLKKotUANlKXa7yCgRcgq8HEzQYW8/edit?usp=sharing"",""พะเยา!I635"")"),0)</f>
        <v>0</v>
      </c>
      <c r="AQ20" s="177">
        <f ca="1">IFERROR(__xludf.DUMMYFUNCTION("IMPORTRANGE(""https://docs.google.com/spreadsheets/d/1uu4nAn4Dbi1XREnLKKotUANlKXa7yCgRcgq8HEzQYW8/edit?usp=sharing"",""พะเยา!J635"")"),0)</f>
        <v>0</v>
      </c>
      <c r="AR20" s="354">
        <f t="shared" ca="1" si="53"/>
        <v>0</v>
      </c>
      <c r="AS20" s="177">
        <f ca="1">IFERROR(__xludf.DUMMYFUNCTION("IMPORTRANGE(""https://docs.google.com/spreadsheets/d/1uu4nAn4Dbi1XREnLKKotUANlKXa7yCgRcgq8HEzQYW8/edit?usp=sharing"",""พะเยา!J636"")"),0)</f>
        <v>0</v>
      </c>
      <c r="AT20" s="177">
        <f ca="1">IFERROR(__xludf.DUMMYFUNCTION("IMPORTRANGE(""https://docs.google.com/spreadsheets/d/1uu4nAn4Dbi1XREnLKKotUANlKXa7yCgRcgq8HEzQYW8/edit?usp=sharing"",""พะเยา!J637"")"),0)</f>
        <v>0</v>
      </c>
      <c r="AU20" s="177">
        <f ca="1">IFERROR(__xludf.DUMMYFUNCTION("IMPORTRANGE(""https://docs.google.com/spreadsheets/d/1uu4nAn4Dbi1XREnLKKotUANlKXa7yCgRcgq8HEzQYW8/edit?usp=sharing"",""พะเยา!J638"")"),0)</f>
        <v>0</v>
      </c>
      <c r="AV20" s="177">
        <f ca="1">IFERROR(__xludf.DUMMYFUNCTION("IMPORTRANGE(""https://docs.google.com/spreadsheets/d/1uu4nAn4Dbi1XREnLKKotUANlKXa7yCgRcgq8HEzQYW8/edit?usp=sharing"",""พะเยา!J639"")"),0)</f>
        <v>0</v>
      </c>
      <c r="AW20" s="177">
        <f ca="1">IFERROR(__xludf.DUMMYFUNCTION("IMPORTRANGE(""https://docs.google.com/spreadsheets/d/1uu4nAn4Dbi1XREnLKKotUANlKXa7yCgRcgq8HEzQYW8/edit?usp=sharing"",""พะเยา!J640"")"),0)</f>
        <v>0</v>
      </c>
    </row>
    <row r="21" spans="1:49" ht="19.5" x14ac:dyDescent="0.3">
      <c r="A21" s="89">
        <v>8</v>
      </c>
      <c r="B21" s="90" t="s">
        <v>47</v>
      </c>
      <c r="C21" s="174">
        <f t="shared" si="32"/>
        <v>0</v>
      </c>
      <c r="D21" s="175">
        <f t="shared" si="55"/>
        <v>0</v>
      </c>
      <c r="E21" s="403">
        <v>0</v>
      </c>
      <c r="F21" s="403">
        <v>0</v>
      </c>
      <c r="G21" s="403">
        <v>0</v>
      </c>
      <c r="H21" s="403">
        <v>0</v>
      </c>
      <c r="I21" s="403">
        <v>0</v>
      </c>
      <c r="J21" s="176">
        <f t="shared" si="34"/>
        <v>0</v>
      </c>
      <c r="K21" s="179">
        <f t="shared" si="35"/>
        <v>0</v>
      </c>
      <c r="L21" s="403">
        <v>0</v>
      </c>
      <c r="M21" s="87">
        <f t="shared" si="36"/>
        <v>0</v>
      </c>
      <c r="N21" s="87">
        <f t="shared" si="37"/>
        <v>0</v>
      </c>
      <c r="O21" s="403">
        <v>0</v>
      </c>
      <c r="P21" s="86">
        <f t="shared" si="38"/>
        <v>0</v>
      </c>
      <c r="Q21" s="87">
        <f t="shared" si="39"/>
        <v>0</v>
      </c>
      <c r="R21" s="87">
        <f ca="1">IFERROR(__xludf.DUMMYFUNCTION("IMPORTRANGE(""https://docs.google.com/spreadsheets/d/1xfJKIQxVOaPDIICqsflNlLu3JacTDk1FP9RH4phX7mI/edit?usp=sharing"",""พิจิตร!Q616"")"),1300)</f>
        <v>1300</v>
      </c>
      <c r="S21" s="87">
        <f ca="1">IFERROR(__xludf.DUMMYFUNCTION("IMPORTRANGE(""https://docs.google.com/spreadsheets/d/1xfJKIQxVOaPDIICqsflNlLu3JacTDk1FP9RH4phX7mI/edit?usp=sharing"",""พิจิตร!R616"")"),0)</f>
        <v>0</v>
      </c>
      <c r="T21" s="87">
        <f ca="1">IFERROR(__xludf.DUMMYFUNCTION("IMPORTRANGE(""https://docs.google.com/spreadsheets/d/1xfJKIQxVOaPDIICqsflNlLu3JacTDk1FP9RH4phX7mI/edit?usp=sharing"",""พิจิตร!S616"")"),0)</f>
        <v>0</v>
      </c>
      <c r="U21" s="87">
        <f t="shared" ca="1" si="41"/>
        <v>0</v>
      </c>
      <c r="V21" s="87">
        <f t="shared" ca="1" si="42"/>
        <v>0</v>
      </c>
      <c r="W21" s="353">
        <f ca="1">IFERROR(__xludf.DUMMYFUNCTION("IMPORTRANGE(""https://docs.google.com/spreadsheets/d/1xfJKIQxVOaPDIICqsflNlLu3JacTDk1FP9RH4phX7mI/edit?usp=sharing"",""พิจิตร!I626"")"),0)</f>
        <v>0</v>
      </c>
      <c r="X21" s="177">
        <f ca="1">IFERROR(__xludf.DUMMYFUNCTION("IMPORTRANGE(""https://docs.google.com/spreadsheets/d/1xfJKIQxVOaPDIICqsflNlLu3JacTDk1FP9RH4phX7mI/edit?usp=sharing"",""พิจิตร!J626"")"),0)</f>
        <v>0</v>
      </c>
      <c r="Y21" s="354">
        <f t="shared" ca="1" si="44"/>
        <v>0</v>
      </c>
      <c r="Z21" s="177">
        <f ca="1">IFERROR(__xludf.DUMMYFUNCTION("IMPORTRANGE(""https://docs.google.com/spreadsheets/d/1xfJKIQxVOaPDIICqsflNlLu3JacTDk1FP9RH4phX7mI/edit?usp=sharing"",""พิจิตร!I627"")"),0)</f>
        <v>0</v>
      </c>
      <c r="AA21" s="177">
        <f ca="1">IFERROR(__xludf.DUMMYFUNCTION("IMPORTRANGE(""https://docs.google.com/spreadsheets/d/1xfJKIQxVOaPDIICqsflNlLu3JacTDk1FP9RH4phX7mI/edit?usp=sharing"",""พิจิตร!J627"")"),0)</f>
        <v>0</v>
      </c>
      <c r="AB21" s="354">
        <f t="shared" ca="1" si="46"/>
        <v>0</v>
      </c>
      <c r="AC21" s="177">
        <f ca="1">IFERROR(__xludf.DUMMYFUNCTION("IMPORTRANGE(""https://docs.google.com/spreadsheets/d/1xfJKIQxVOaPDIICqsflNlLu3JacTDk1FP9RH4phX7mI/edit?usp=sharing"",""พิจิตร!I628"")"),0)</f>
        <v>0</v>
      </c>
      <c r="AD21" s="177">
        <f ca="1">IFERROR(__xludf.DUMMYFUNCTION("IMPORTRANGE(""https://docs.google.com/spreadsheets/d/1xfJKIQxVOaPDIICqsflNlLu3JacTDk1FP9RH4phX7mI/edit?usp=sharing"",""พิจิตร!J628"")"),0)</f>
        <v>0</v>
      </c>
      <c r="AE21" s="354">
        <f t="shared" ca="1" si="48"/>
        <v>0</v>
      </c>
      <c r="AF21" s="177">
        <f ca="1">IFERROR(__xludf.DUMMYFUNCTION("IMPORTRANGE(""https://docs.google.com/spreadsheets/d/1xfJKIQxVOaPDIICqsflNlLu3JacTDk1FP9RH4phX7mI/edit?usp=sharing"",""พิจิตร!J629"")"),0)</f>
        <v>0</v>
      </c>
      <c r="AG21" s="354">
        <f t="shared" ca="1" si="56"/>
        <v>0</v>
      </c>
      <c r="AH21" s="177">
        <f ca="1">IFERROR(__xludf.DUMMYFUNCTION("IMPORTRANGE(""https://docs.google.com/spreadsheets/d/1xfJKIQxVOaPDIICqsflNlLu3JacTDk1FP9RH4phX7mI/edit?usp=sharing"",""พิจิตร!J630"")"),0)</f>
        <v>0</v>
      </c>
      <c r="AI21" s="354">
        <f t="shared" ca="1" si="49"/>
        <v>0</v>
      </c>
      <c r="AJ21" s="354">
        <f ca="1">IFERROR(__xludf.DUMMYFUNCTION("IMPORTRANGE(""https://docs.google.com/spreadsheets/d/1xfJKIQxVOaPDIICqsflNlLu3JacTDk1FP9RH4phX7mI/edit?usp=sharing"",""พิจิตร!J631"")"),0)</f>
        <v>0</v>
      </c>
      <c r="AK21" s="354">
        <f t="shared" ca="1" si="50"/>
        <v>0</v>
      </c>
      <c r="AL21" s="354">
        <f ca="1">IFERROR(__xludf.DUMMYFUNCTION("IMPORTRANGE(""https://docs.google.com/spreadsheets/d/1xfJKIQxVOaPDIICqsflNlLu3JacTDk1FP9RH4phX7mI/edit?usp=sharing"",""พิจิตร!J632"")"),0)</f>
        <v>0</v>
      </c>
      <c r="AM21" s="354">
        <f t="shared" ca="1" si="51"/>
        <v>0</v>
      </c>
      <c r="AN21" s="354">
        <f ca="1">IFERROR(__xludf.DUMMYFUNCTION("IMPORTRANGE(""https://docs.google.com/spreadsheets/d/1xfJKIQxVOaPDIICqsflNlLu3JacTDk1FP9RH4phX7mI/edit?usp=sharing"",""พิจิตร!J633"")"),0)</f>
        <v>0</v>
      </c>
      <c r="AO21" s="354">
        <f ca="1">IFERROR(__xludf.DUMMYFUNCTION("IMPORTRANGE(""https://docs.google.com/spreadsheets/d/1xfJKIQxVOaPDIICqsflNlLu3JacTDk1FP9RH4phX7mI/edit?usp=sharing"",""พิจิตร!J634"")"),0)</f>
        <v>0</v>
      </c>
      <c r="AP21" s="177">
        <f ca="1">IFERROR(__xludf.DUMMYFUNCTION("IMPORTRANGE(""https://docs.google.com/spreadsheets/d/1xfJKIQxVOaPDIICqsflNlLu3JacTDk1FP9RH4phX7mI/edit?usp=sharing"",""พิจิตร!I635"")"),0)</f>
        <v>0</v>
      </c>
      <c r="AQ21" s="177">
        <f ca="1">IFERROR(__xludf.DUMMYFUNCTION("IMPORTRANGE(""https://docs.google.com/spreadsheets/d/1xfJKIQxVOaPDIICqsflNlLu3JacTDk1FP9RH4phX7mI/edit?usp=sharing"",""พิจิตร!J635"")"),0)</f>
        <v>0</v>
      </c>
      <c r="AR21" s="354">
        <f t="shared" ca="1" si="53"/>
        <v>0</v>
      </c>
      <c r="AS21" s="177">
        <f ca="1">IFERROR(__xludf.DUMMYFUNCTION("IMPORTRANGE(""https://docs.google.com/spreadsheets/d/1xfJKIQxVOaPDIICqsflNlLu3JacTDk1FP9RH4phX7mI/edit?usp=sharing"",""พิจิตร!J636"")"),0)</f>
        <v>0</v>
      </c>
      <c r="AT21" s="177">
        <f ca="1">IFERROR(__xludf.DUMMYFUNCTION("IMPORTRANGE(""https://docs.google.com/spreadsheets/d/1xfJKIQxVOaPDIICqsflNlLu3JacTDk1FP9RH4phX7mI/edit?usp=sharing"",""พิจิตร!J637"")"),0)</f>
        <v>0</v>
      </c>
      <c r="AU21" s="177">
        <f ca="1">IFERROR(__xludf.DUMMYFUNCTION("IMPORTRANGE(""https://docs.google.com/spreadsheets/d/1xfJKIQxVOaPDIICqsflNlLu3JacTDk1FP9RH4phX7mI/edit?usp=sharing"",""พิจิตร!J638"")"),0)</f>
        <v>0</v>
      </c>
      <c r="AV21" s="177">
        <f ca="1">IFERROR(__xludf.DUMMYFUNCTION("IMPORTRANGE(""https://docs.google.com/spreadsheets/d/1xfJKIQxVOaPDIICqsflNlLu3JacTDk1FP9RH4phX7mI/edit?usp=sharing"",""พิจิตร!J639"")"),0)</f>
        <v>0</v>
      </c>
      <c r="AW21" s="177">
        <f ca="1">IFERROR(__xludf.DUMMYFUNCTION("IMPORTRANGE(""https://docs.google.com/spreadsheets/d/1xfJKIQxVOaPDIICqsflNlLu3JacTDk1FP9RH4phX7mI/edit?usp=sharing"",""พิจิตร!J640"")"),0)</f>
        <v>0</v>
      </c>
    </row>
    <row r="22" spans="1:49" ht="19.5" x14ac:dyDescent="0.3">
      <c r="A22" s="89">
        <v>9</v>
      </c>
      <c r="B22" s="90" t="s">
        <v>48</v>
      </c>
      <c r="C22" s="174">
        <f t="shared" si="32"/>
        <v>0</v>
      </c>
      <c r="D22" s="175">
        <f t="shared" si="55"/>
        <v>0</v>
      </c>
      <c r="E22" s="403">
        <v>0</v>
      </c>
      <c r="F22" s="403">
        <v>0</v>
      </c>
      <c r="G22" s="403">
        <v>0</v>
      </c>
      <c r="H22" s="403">
        <v>0</v>
      </c>
      <c r="I22" s="403">
        <v>0</v>
      </c>
      <c r="J22" s="176">
        <f t="shared" si="34"/>
        <v>0</v>
      </c>
      <c r="K22" s="179">
        <f t="shared" si="35"/>
        <v>0</v>
      </c>
      <c r="L22" s="403">
        <v>0</v>
      </c>
      <c r="M22" s="87">
        <f t="shared" si="36"/>
        <v>0</v>
      </c>
      <c r="N22" s="87">
        <f t="shared" si="37"/>
        <v>0</v>
      </c>
      <c r="O22" s="403">
        <v>0</v>
      </c>
      <c r="P22" s="86">
        <f t="shared" si="38"/>
        <v>0</v>
      </c>
      <c r="Q22" s="87">
        <f t="shared" si="39"/>
        <v>0</v>
      </c>
      <c r="R22" s="87">
        <f ca="1">IFERROR(__xludf.DUMMYFUNCTION("IMPORTRANGE(""https://docs.google.com/spreadsheets/d/1JtRfZkJMHtEhI5RdRHxYUG4FIZHqKDpNyIuN7A1Q0_k/edit?usp=sharing"",""พิษณุโลก!Q616"")"),6725)</f>
        <v>6725</v>
      </c>
      <c r="S22" s="87">
        <f ca="1">IFERROR(__xludf.DUMMYFUNCTION("IMPORTRANGE(""https://docs.google.com/spreadsheets/d/1JtRfZkJMHtEhI5RdRHxYUG4FIZHqKDpNyIuN7A1Q0_k/edit?usp=sharing"",""พิษณุโลก!R616"")"),0)</f>
        <v>0</v>
      </c>
      <c r="T22" s="87">
        <f ca="1">IFERROR(__xludf.DUMMYFUNCTION("IMPORTRANGE(""https://docs.google.com/spreadsheets/d/1JtRfZkJMHtEhI5RdRHxYUG4FIZHqKDpNyIuN7A1Q0_k/edit?usp=sharing"",""พิษณุโลก!S616"")"),0)</f>
        <v>0</v>
      </c>
      <c r="U22" s="87">
        <f t="shared" ca="1" si="41"/>
        <v>0</v>
      </c>
      <c r="V22" s="87">
        <f t="shared" ca="1" si="42"/>
        <v>0</v>
      </c>
      <c r="W22" s="353">
        <f ca="1">IFERROR(__xludf.DUMMYFUNCTION("IMPORTRANGE(""https://docs.google.com/spreadsheets/d/1JtRfZkJMHtEhI5RdRHxYUG4FIZHqKDpNyIuN7A1Q0_k/edit?usp=sharing"",""พิษณุโลก!I626"")"),50)</f>
        <v>50</v>
      </c>
      <c r="X22" s="177">
        <f ca="1">IFERROR(__xludf.DUMMYFUNCTION("IMPORTRANGE(""https://docs.google.com/spreadsheets/d/1JtRfZkJMHtEhI5RdRHxYUG4FIZHqKDpNyIuN7A1Q0_k/edit?usp=sharing"",""พิษณุโลก!J626"")"),0)</f>
        <v>0</v>
      </c>
      <c r="Y22" s="354">
        <f t="shared" ca="1" si="44"/>
        <v>0</v>
      </c>
      <c r="Z22" s="177">
        <f ca="1">IFERROR(__xludf.DUMMYFUNCTION("IMPORTRANGE(""https://docs.google.com/spreadsheets/d/1JtRfZkJMHtEhI5RdRHxYUG4FIZHqKDpNyIuN7A1Q0_k/edit?usp=sharing"",""พิษณุโลก!I627"")"),0)</f>
        <v>0</v>
      </c>
      <c r="AA22" s="177">
        <f ca="1">IFERROR(__xludf.DUMMYFUNCTION("IMPORTRANGE(""https://docs.google.com/spreadsheets/d/1JtRfZkJMHtEhI5RdRHxYUG4FIZHqKDpNyIuN7A1Q0_k/edit?usp=sharing"",""พิษณุโลก!J627"")"),0)</f>
        <v>0</v>
      </c>
      <c r="AB22" s="354">
        <f t="shared" ca="1" si="46"/>
        <v>0</v>
      </c>
      <c r="AC22" s="177">
        <f ca="1">IFERROR(__xludf.DUMMYFUNCTION("IMPORTRANGE(""https://docs.google.com/spreadsheets/d/1JtRfZkJMHtEhI5RdRHxYUG4FIZHqKDpNyIuN7A1Q0_k/edit?usp=sharing"",""พิษณุโลก!I628"")"),0)</f>
        <v>0</v>
      </c>
      <c r="AD22" s="177">
        <f ca="1">IFERROR(__xludf.DUMMYFUNCTION("IMPORTRANGE(""https://docs.google.com/spreadsheets/d/1JtRfZkJMHtEhI5RdRHxYUG4FIZHqKDpNyIuN7A1Q0_k/edit?usp=sharing"",""พิษณุโลก!J628"")"),0)</f>
        <v>0</v>
      </c>
      <c r="AE22" s="354">
        <f t="shared" ca="1" si="48"/>
        <v>0</v>
      </c>
      <c r="AF22" s="177">
        <f ca="1">IFERROR(__xludf.DUMMYFUNCTION("IMPORTRANGE(""https://docs.google.com/spreadsheets/d/1JtRfZkJMHtEhI5RdRHxYUG4FIZHqKDpNyIuN7A1Q0_k/edit?usp=sharing"",""พิษณุโลก!J629"")"),0)</f>
        <v>0</v>
      </c>
      <c r="AG22" s="354">
        <f t="shared" ca="1" si="56"/>
        <v>0</v>
      </c>
      <c r="AH22" s="177">
        <f ca="1">IFERROR(__xludf.DUMMYFUNCTION("IMPORTRANGE(""https://docs.google.com/spreadsheets/d/1JtRfZkJMHtEhI5RdRHxYUG4FIZHqKDpNyIuN7A1Q0_k/edit?usp=sharing"",""พิษณุโลก!J630"")"),0)</f>
        <v>0</v>
      </c>
      <c r="AI22" s="354">
        <f t="shared" ca="1" si="49"/>
        <v>0</v>
      </c>
      <c r="AJ22" s="354">
        <f ca="1">IFERROR(__xludf.DUMMYFUNCTION("IMPORTRANGE(""https://docs.google.com/spreadsheets/d/1JtRfZkJMHtEhI5RdRHxYUG4FIZHqKDpNyIuN7A1Q0_k/edit?usp=sharing"",""พิษณุโลก!J631"")"),0)</f>
        <v>0</v>
      </c>
      <c r="AK22" s="354">
        <f t="shared" ca="1" si="50"/>
        <v>0</v>
      </c>
      <c r="AL22" s="354">
        <f ca="1">IFERROR(__xludf.DUMMYFUNCTION("IMPORTRANGE(""https://docs.google.com/spreadsheets/d/1JtRfZkJMHtEhI5RdRHxYUG4FIZHqKDpNyIuN7A1Q0_k/edit?usp=sharing"",""พิษณุโลก!J632"")"),0)</f>
        <v>0</v>
      </c>
      <c r="AM22" s="354">
        <f t="shared" ca="1" si="51"/>
        <v>0</v>
      </c>
      <c r="AN22" s="354">
        <f ca="1">IFERROR(__xludf.DUMMYFUNCTION("IMPORTRANGE(""https://docs.google.com/spreadsheets/d/1JtRfZkJMHtEhI5RdRHxYUG4FIZHqKDpNyIuN7A1Q0_k/edit?usp=sharing"",""พิษณุโลก!J633"")"),0)</f>
        <v>0</v>
      </c>
      <c r="AO22" s="354">
        <f ca="1">IFERROR(__xludf.DUMMYFUNCTION("IMPORTRANGE(""https://docs.google.com/spreadsheets/d/1JtRfZkJMHtEhI5RdRHxYUG4FIZHqKDpNyIuN7A1Q0_k/edit?usp=sharing"",""พิษณุโลก!J634"")"),0)</f>
        <v>0</v>
      </c>
      <c r="AP22" s="177">
        <f ca="1">IFERROR(__xludf.DUMMYFUNCTION("IMPORTRANGE(""https://docs.google.com/spreadsheets/d/1JtRfZkJMHtEhI5RdRHxYUG4FIZHqKDpNyIuN7A1Q0_k/edit?usp=sharing"",""พิษณุโลก!I635"")"),0)</f>
        <v>0</v>
      </c>
      <c r="AQ22" s="177">
        <f ca="1">IFERROR(__xludf.DUMMYFUNCTION("IMPORTRANGE(""https://docs.google.com/spreadsheets/d/1JtRfZkJMHtEhI5RdRHxYUG4FIZHqKDpNyIuN7A1Q0_k/edit?usp=sharing"",""พิษณุโลก!J635"")"),0)</f>
        <v>0</v>
      </c>
      <c r="AR22" s="354">
        <f t="shared" ca="1" si="53"/>
        <v>0</v>
      </c>
      <c r="AS22" s="177">
        <f ca="1">IFERROR(__xludf.DUMMYFUNCTION("IMPORTRANGE(""https://docs.google.com/spreadsheets/d/1JtRfZkJMHtEhI5RdRHxYUG4FIZHqKDpNyIuN7A1Q0_k/edit?usp=sharing"",""พิษณุโลก!J636"")"),0)</f>
        <v>0</v>
      </c>
      <c r="AT22" s="177">
        <f ca="1">IFERROR(__xludf.DUMMYFUNCTION("IMPORTRANGE(""https://docs.google.com/spreadsheets/d/1JtRfZkJMHtEhI5RdRHxYUG4FIZHqKDpNyIuN7A1Q0_k/edit?usp=sharing"",""พิษณุโลก!J637"")"),0)</f>
        <v>0</v>
      </c>
      <c r="AU22" s="177">
        <f ca="1">IFERROR(__xludf.DUMMYFUNCTION("IMPORTRANGE(""https://docs.google.com/spreadsheets/d/1JtRfZkJMHtEhI5RdRHxYUG4FIZHqKDpNyIuN7A1Q0_k/edit?usp=sharing"",""พิษณุโลก!J638"")"),0)</f>
        <v>0</v>
      </c>
      <c r="AV22" s="177">
        <f ca="1">IFERROR(__xludf.DUMMYFUNCTION("IMPORTRANGE(""https://docs.google.com/spreadsheets/d/1JtRfZkJMHtEhI5RdRHxYUG4FIZHqKDpNyIuN7A1Q0_k/edit?usp=sharing"",""พิษณุโลก!J639"")"),0)</f>
        <v>0</v>
      </c>
      <c r="AW22" s="177">
        <f ca="1">IFERROR(__xludf.DUMMYFUNCTION("IMPORTRANGE(""https://docs.google.com/spreadsheets/d/1JtRfZkJMHtEhI5RdRHxYUG4FIZHqKDpNyIuN7A1Q0_k/edit?usp=sharing"",""พิษณุโลก!J640"")"),0)</f>
        <v>0</v>
      </c>
    </row>
    <row r="23" spans="1:49" ht="19.5" x14ac:dyDescent="0.3">
      <c r="A23" s="89">
        <v>10</v>
      </c>
      <c r="B23" s="90" t="s">
        <v>49</v>
      </c>
      <c r="C23" s="174">
        <f t="shared" si="32"/>
        <v>0</v>
      </c>
      <c r="D23" s="175">
        <f t="shared" si="55"/>
        <v>0</v>
      </c>
      <c r="E23" s="403">
        <v>0</v>
      </c>
      <c r="F23" s="403">
        <v>0</v>
      </c>
      <c r="G23" s="403">
        <v>0</v>
      </c>
      <c r="H23" s="403">
        <v>0</v>
      </c>
      <c r="I23" s="403">
        <v>0</v>
      </c>
      <c r="J23" s="176">
        <f t="shared" si="34"/>
        <v>0</v>
      </c>
      <c r="K23" s="179">
        <f t="shared" si="35"/>
        <v>0</v>
      </c>
      <c r="L23" s="403">
        <v>0</v>
      </c>
      <c r="M23" s="87">
        <f t="shared" si="36"/>
        <v>0</v>
      </c>
      <c r="N23" s="87">
        <f t="shared" si="37"/>
        <v>0</v>
      </c>
      <c r="O23" s="403">
        <v>0</v>
      </c>
      <c r="P23" s="86">
        <f t="shared" si="38"/>
        <v>0</v>
      </c>
      <c r="Q23" s="87">
        <f t="shared" si="39"/>
        <v>0</v>
      </c>
      <c r="R23" s="87">
        <f ca="1">IFERROR(__xludf.DUMMYFUNCTION("IMPORTRANGE(""https://docs.google.com/spreadsheets/d/1xlcVZWUNn6SuWm0c307h32SiGkd9BaeQWlAktfD3KO8/edit?usp=sharing"",""เพชรบูรณ์!Q616"")"),1875)</f>
        <v>1875</v>
      </c>
      <c r="S23" s="87">
        <f ca="1">IFERROR(__xludf.DUMMYFUNCTION("IMPORTRANGE(""https://docs.google.com/spreadsheets/d/1xlcVZWUNn6SuWm0c307h32SiGkd9BaeQWlAktfD3KO8/edit?usp=sharing"",""เพชรบูรณ์!R616"")"),0)</f>
        <v>0</v>
      </c>
      <c r="T23" s="87">
        <f ca="1">IFERROR(__xludf.DUMMYFUNCTION("IMPORTRANGE(""https://docs.google.com/spreadsheets/d/1xlcVZWUNn6SuWm0c307h32SiGkd9BaeQWlAktfD3KO8/edit?usp=sharing"",""เพชรบูรณ์!S616"")"),0)</f>
        <v>0</v>
      </c>
      <c r="U23" s="87">
        <f t="shared" ca="1" si="41"/>
        <v>0</v>
      </c>
      <c r="V23" s="87">
        <f t="shared" ca="1" si="42"/>
        <v>0</v>
      </c>
      <c r="W23" s="353">
        <f ca="1">IFERROR(__xludf.DUMMYFUNCTION("IMPORTRANGE(""https://docs.google.com/spreadsheets/d/1xlcVZWUNn6SuWm0c307h32SiGkd9BaeQWlAktfD3KO8/edit?usp=sharing"",""เพชรบูรณ์!I626"")"),0)</f>
        <v>0</v>
      </c>
      <c r="X23" s="177">
        <f ca="1">IFERROR(__xludf.DUMMYFUNCTION("IMPORTRANGE(""https://docs.google.com/spreadsheets/d/1xlcVZWUNn6SuWm0c307h32SiGkd9BaeQWlAktfD3KO8/edit?usp=sharing"",""เพชรบูรณ์!J626"")"),0)</f>
        <v>0</v>
      </c>
      <c r="Y23" s="354">
        <f t="shared" ca="1" si="44"/>
        <v>0</v>
      </c>
      <c r="Z23" s="177">
        <f ca="1">IFERROR(__xludf.DUMMYFUNCTION("IMPORTRANGE(""https://docs.google.com/spreadsheets/d/1xlcVZWUNn6SuWm0c307h32SiGkd9BaeQWlAktfD3KO8/edit?usp=sharing"",""เพชรบูรณ์!I627"")"),1)</f>
        <v>1</v>
      </c>
      <c r="AA23" s="177">
        <f ca="1">IFERROR(__xludf.DUMMYFUNCTION("IMPORTRANGE(""https://docs.google.com/spreadsheets/d/1xlcVZWUNn6SuWm0c307h32SiGkd9BaeQWlAktfD3KO8/edit?usp=sharing"",""เพชรบูรณ์!J627"")"),0)</f>
        <v>0</v>
      </c>
      <c r="AB23" s="354">
        <f t="shared" ca="1" si="46"/>
        <v>0</v>
      </c>
      <c r="AC23" s="177">
        <f ca="1">IFERROR(__xludf.DUMMYFUNCTION("IMPORTRANGE(""https://docs.google.com/spreadsheets/d/1xlcVZWUNn6SuWm0c307h32SiGkd9BaeQWlAktfD3KO8/edit?usp=sharing"",""เพชรบูรณ์!I628"")"),1)</f>
        <v>1</v>
      </c>
      <c r="AD23" s="177">
        <f ca="1">IFERROR(__xludf.DUMMYFUNCTION("IMPORTRANGE(""https://docs.google.com/spreadsheets/d/1xlcVZWUNn6SuWm0c307h32SiGkd9BaeQWlAktfD3KO8/edit?usp=sharing"",""เพชรบูรณ์!J628"")"),0)</f>
        <v>0</v>
      </c>
      <c r="AE23" s="354">
        <f t="shared" ca="1" si="48"/>
        <v>0</v>
      </c>
      <c r="AF23" s="177">
        <f ca="1">IFERROR(__xludf.DUMMYFUNCTION("IMPORTRANGE(""https://docs.google.com/spreadsheets/d/1xlcVZWUNn6SuWm0c307h32SiGkd9BaeQWlAktfD3KO8/edit?usp=sharing"",""เพชรบูรณ์!J629"")"),0)</f>
        <v>0</v>
      </c>
      <c r="AG23" s="354">
        <f t="shared" ca="1" si="56"/>
        <v>0</v>
      </c>
      <c r="AH23" s="177">
        <f ca="1">IFERROR(__xludf.DUMMYFUNCTION("IMPORTRANGE(""https://docs.google.com/spreadsheets/d/1xlcVZWUNn6SuWm0c307h32SiGkd9BaeQWlAktfD3KO8/edit?usp=sharing"",""เพชรบูรณ์!J630"")"),0)</f>
        <v>0</v>
      </c>
      <c r="AI23" s="354">
        <f t="shared" ca="1" si="49"/>
        <v>0</v>
      </c>
      <c r="AJ23" s="354">
        <f ca="1">IFERROR(__xludf.DUMMYFUNCTION("IMPORTRANGE(""https://docs.google.com/spreadsheets/d/1xlcVZWUNn6SuWm0c307h32SiGkd9BaeQWlAktfD3KO8/edit?usp=sharing"",""เพชรบูรณ์!J631"")"),0)</f>
        <v>0</v>
      </c>
      <c r="AK23" s="354">
        <f t="shared" ca="1" si="50"/>
        <v>0</v>
      </c>
      <c r="AL23" s="354">
        <f ca="1">IFERROR(__xludf.DUMMYFUNCTION("IMPORTRANGE(""https://docs.google.com/spreadsheets/d/1xlcVZWUNn6SuWm0c307h32SiGkd9BaeQWlAktfD3KO8/edit?usp=sharing"",""เพชรบูรณ์!J632"")"),0)</f>
        <v>0</v>
      </c>
      <c r="AM23" s="354">
        <f t="shared" ca="1" si="51"/>
        <v>0</v>
      </c>
      <c r="AN23" s="354">
        <f ca="1">IFERROR(__xludf.DUMMYFUNCTION("IMPORTRANGE(""https://docs.google.com/spreadsheets/d/1xlcVZWUNn6SuWm0c307h32SiGkd9BaeQWlAktfD3KO8/edit?usp=sharing"",""เพชรบูรณ์!J633"")"),0)</f>
        <v>0</v>
      </c>
      <c r="AO23" s="354">
        <f ca="1">IFERROR(__xludf.DUMMYFUNCTION("IMPORTRANGE(""https://docs.google.com/spreadsheets/d/1xlcVZWUNn6SuWm0c307h32SiGkd9BaeQWlAktfD3KO8/edit?usp=sharing"",""เพชรบูรณ์!J634"")"),0)</f>
        <v>0</v>
      </c>
      <c r="AP23" s="177">
        <f ca="1">IFERROR(__xludf.DUMMYFUNCTION("IMPORTRANGE(""https://docs.google.com/spreadsheets/d/1xlcVZWUNn6SuWm0c307h32SiGkd9BaeQWlAktfD3KO8/edit?usp=sharing"",""เพชรบูรณ์!I635"")"),0)</f>
        <v>0</v>
      </c>
      <c r="AQ23" s="177">
        <f ca="1">IFERROR(__xludf.DUMMYFUNCTION("IMPORTRANGE(""https://docs.google.com/spreadsheets/d/1xlcVZWUNn6SuWm0c307h32SiGkd9BaeQWlAktfD3KO8/edit?usp=sharing"",""เพชรบูรณ์!J635"")"),0)</f>
        <v>0</v>
      </c>
      <c r="AR23" s="354">
        <f t="shared" ca="1" si="53"/>
        <v>0</v>
      </c>
      <c r="AS23" s="177">
        <f ca="1">IFERROR(__xludf.DUMMYFUNCTION("IMPORTRANGE(""https://docs.google.com/spreadsheets/d/1xlcVZWUNn6SuWm0c307h32SiGkd9BaeQWlAktfD3KO8/edit?usp=sharing"",""เพชรบูรณ์!J636"")"),0)</f>
        <v>0</v>
      </c>
      <c r="AT23" s="177">
        <f ca="1">IFERROR(__xludf.DUMMYFUNCTION("IMPORTRANGE(""https://docs.google.com/spreadsheets/d/1xlcVZWUNn6SuWm0c307h32SiGkd9BaeQWlAktfD3KO8/edit?usp=sharing"",""เพชรบูรณ์!J637"")"),0)</f>
        <v>0</v>
      </c>
      <c r="AU23" s="177">
        <f ca="1">IFERROR(__xludf.DUMMYFUNCTION("IMPORTRANGE(""https://docs.google.com/spreadsheets/d/1xlcVZWUNn6SuWm0c307h32SiGkd9BaeQWlAktfD3KO8/edit?usp=sharing"",""เพชรบูรณ์!J638"")"),0)</f>
        <v>0</v>
      </c>
      <c r="AV23" s="177">
        <f ca="1">IFERROR(__xludf.DUMMYFUNCTION("IMPORTRANGE(""https://docs.google.com/spreadsheets/d/1xlcVZWUNn6SuWm0c307h32SiGkd9BaeQWlAktfD3KO8/edit?usp=sharing"",""เพชรบูรณ์!J639"")"),0)</f>
        <v>0</v>
      </c>
      <c r="AW23" s="177">
        <f ca="1">IFERROR(__xludf.DUMMYFUNCTION("IMPORTRANGE(""https://docs.google.com/spreadsheets/d/1xlcVZWUNn6SuWm0c307h32SiGkd9BaeQWlAktfD3KO8/edit?usp=sharing"",""เพชรบูรณ์!J640"")"),0)</f>
        <v>0</v>
      </c>
    </row>
    <row r="24" spans="1:49" ht="19.5" x14ac:dyDescent="0.3">
      <c r="A24" s="89">
        <v>11</v>
      </c>
      <c r="B24" s="90" t="s">
        <v>50</v>
      </c>
      <c r="C24" s="174">
        <f t="shared" si="32"/>
        <v>0</v>
      </c>
      <c r="D24" s="175">
        <f t="shared" si="55"/>
        <v>0</v>
      </c>
      <c r="E24" s="403">
        <v>0</v>
      </c>
      <c r="F24" s="403">
        <v>0</v>
      </c>
      <c r="G24" s="403">
        <v>0</v>
      </c>
      <c r="H24" s="403">
        <v>0</v>
      </c>
      <c r="I24" s="403">
        <v>0</v>
      </c>
      <c r="J24" s="176">
        <f t="shared" si="34"/>
        <v>0</v>
      </c>
      <c r="K24" s="179">
        <f t="shared" si="35"/>
        <v>0</v>
      </c>
      <c r="L24" s="403">
        <v>0</v>
      </c>
      <c r="M24" s="87">
        <f t="shared" si="36"/>
        <v>0</v>
      </c>
      <c r="N24" s="87">
        <f t="shared" si="37"/>
        <v>0</v>
      </c>
      <c r="O24" s="403">
        <v>0</v>
      </c>
      <c r="P24" s="86">
        <f t="shared" si="38"/>
        <v>0</v>
      </c>
      <c r="Q24" s="87">
        <f t="shared" si="39"/>
        <v>0</v>
      </c>
      <c r="R24" s="87">
        <f ca="1">IFERROR(__xludf.DUMMYFUNCTION("IMPORTRANGE(""https://docs.google.com/spreadsheets/d/1lOVebEIsI9qjGXl6EX66luk7wiuP2tBaryw-wKvv4e0/edit?usp=sharing"",""แพร่!Q616"")"),7300)</f>
        <v>7300</v>
      </c>
      <c r="S24" s="87">
        <f ca="1">IFERROR(__xludf.DUMMYFUNCTION("IMPORTRANGE(""https://docs.google.com/spreadsheets/d/1lOVebEIsI9qjGXl6EX66luk7wiuP2tBaryw-wKvv4e0/edit?usp=sharing"",""แพร่!R616"")"),0)</f>
        <v>0</v>
      </c>
      <c r="T24" s="87">
        <f ca="1">IFERROR(__xludf.DUMMYFUNCTION("IMPORTRANGE(""https://docs.google.com/spreadsheets/d/1lOVebEIsI9qjGXl6EX66luk7wiuP2tBaryw-wKvv4e0/edit?usp=sharing"",""แพร่!S616"")"),0)</f>
        <v>0</v>
      </c>
      <c r="U24" s="87">
        <f t="shared" ca="1" si="41"/>
        <v>0</v>
      </c>
      <c r="V24" s="87">
        <f t="shared" ca="1" si="42"/>
        <v>0</v>
      </c>
      <c r="W24" s="353">
        <f ca="1">IFERROR(__xludf.DUMMYFUNCTION("IMPORTRANGE(""https://docs.google.com/spreadsheets/d/1lOVebEIsI9qjGXl6EX66luk7wiuP2tBaryw-wKvv4e0/edit?usp=sharing"",""แพร่!I626"")"),50)</f>
        <v>50</v>
      </c>
      <c r="X24" s="177">
        <f ca="1">IFERROR(__xludf.DUMMYFUNCTION("IMPORTRANGE(""https://docs.google.com/spreadsheets/d/1lOVebEIsI9qjGXl6EX66luk7wiuP2tBaryw-wKvv4e0/edit?usp=sharing"",""แพร่!J626"")"),0)</f>
        <v>0</v>
      </c>
      <c r="Y24" s="354">
        <f t="shared" ca="1" si="44"/>
        <v>0</v>
      </c>
      <c r="Z24" s="177">
        <f ca="1">IFERROR(__xludf.DUMMYFUNCTION("IMPORTRANGE(""https://docs.google.com/spreadsheets/d/1lOVebEIsI9qjGXl6EX66luk7wiuP2tBaryw-wKvv4e0/edit?usp=sharing"",""แพร่!I627"")"),1)</f>
        <v>1</v>
      </c>
      <c r="AA24" s="177">
        <f ca="1">IFERROR(__xludf.DUMMYFUNCTION("IMPORTRANGE(""https://docs.google.com/spreadsheets/d/1lOVebEIsI9qjGXl6EX66luk7wiuP2tBaryw-wKvv4e0/edit?usp=sharing"",""แพร่!J627"")"),0)</f>
        <v>0</v>
      </c>
      <c r="AB24" s="354">
        <f t="shared" ca="1" si="46"/>
        <v>0</v>
      </c>
      <c r="AC24" s="177">
        <f ca="1">IFERROR(__xludf.DUMMYFUNCTION("IMPORTRANGE(""https://docs.google.com/spreadsheets/d/1lOVebEIsI9qjGXl6EX66luk7wiuP2tBaryw-wKvv4e0/edit?usp=sharing"",""แพร่!I628"")"),1)</f>
        <v>1</v>
      </c>
      <c r="AD24" s="177">
        <f ca="1">IFERROR(__xludf.DUMMYFUNCTION("IMPORTRANGE(""https://docs.google.com/spreadsheets/d/1lOVebEIsI9qjGXl6EX66luk7wiuP2tBaryw-wKvv4e0/edit?usp=sharing"",""แพร่!J628"")"),0)</f>
        <v>0</v>
      </c>
      <c r="AE24" s="354">
        <f t="shared" ca="1" si="48"/>
        <v>0</v>
      </c>
      <c r="AF24" s="177">
        <f ca="1">IFERROR(__xludf.DUMMYFUNCTION("IMPORTRANGE(""https://docs.google.com/spreadsheets/d/1lOVebEIsI9qjGXl6EX66luk7wiuP2tBaryw-wKvv4e0/edit?usp=sharing"",""แพร่!J629"")"),0)</f>
        <v>0</v>
      </c>
      <c r="AG24" s="354">
        <f t="shared" ca="1" si="56"/>
        <v>0</v>
      </c>
      <c r="AH24" s="177">
        <f ca="1">IFERROR(__xludf.DUMMYFUNCTION("IMPORTRANGE(""https://docs.google.com/spreadsheets/d/1lOVebEIsI9qjGXl6EX66luk7wiuP2tBaryw-wKvv4e0/edit?usp=sharing"",""แพร่!J630"")"),0)</f>
        <v>0</v>
      </c>
      <c r="AI24" s="354">
        <f t="shared" ca="1" si="49"/>
        <v>0</v>
      </c>
      <c r="AJ24" s="354">
        <f ca="1">IFERROR(__xludf.DUMMYFUNCTION("IMPORTRANGE(""https://docs.google.com/spreadsheets/d/1lOVebEIsI9qjGXl6EX66luk7wiuP2tBaryw-wKvv4e0/edit?usp=sharing"",""แพร่!J631"")"),0)</f>
        <v>0</v>
      </c>
      <c r="AK24" s="354">
        <f t="shared" ca="1" si="50"/>
        <v>0</v>
      </c>
      <c r="AL24" s="354">
        <f ca="1">IFERROR(__xludf.DUMMYFUNCTION("IMPORTRANGE(""https://docs.google.com/spreadsheets/d/1lOVebEIsI9qjGXl6EX66luk7wiuP2tBaryw-wKvv4e0/edit?usp=sharing"",""แพร่!J632"")"),0)</f>
        <v>0</v>
      </c>
      <c r="AM24" s="354">
        <f t="shared" ca="1" si="51"/>
        <v>0</v>
      </c>
      <c r="AN24" s="354">
        <f ca="1">IFERROR(__xludf.DUMMYFUNCTION("IMPORTRANGE(""https://docs.google.com/spreadsheets/d/1lOVebEIsI9qjGXl6EX66luk7wiuP2tBaryw-wKvv4e0/edit?usp=sharing"",""แพร่!J633"")"),0)</f>
        <v>0</v>
      </c>
      <c r="AO24" s="354">
        <f ca="1">IFERROR(__xludf.DUMMYFUNCTION("IMPORTRANGE(""https://docs.google.com/spreadsheets/d/1lOVebEIsI9qjGXl6EX66luk7wiuP2tBaryw-wKvv4e0/edit?usp=sharing"",""แพร่!J634"")"),0)</f>
        <v>0</v>
      </c>
      <c r="AP24" s="177">
        <f ca="1">IFERROR(__xludf.DUMMYFUNCTION("IMPORTRANGE(""https://docs.google.com/spreadsheets/d/1lOVebEIsI9qjGXl6EX66luk7wiuP2tBaryw-wKvv4e0/edit?usp=sharing"",""แพร่!I635"")"),0)</f>
        <v>0</v>
      </c>
      <c r="AQ24" s="177">
        <f ca="1">IFERROR(__xludf.DUMMYFUNCTION("IMPORTRANGE(""https://docs.google.com/spreadsheets/d/1lOVebEIsI9qjGXl6EX66luk7wiuP2tBaryw-wKvv4e0/edit?usp=sharing"",""แพร่!J635"")"),0)</f>
        <v>0</v>
      </c>
      <c r="AR24" s="354">
        <f t="shared" ca="1" si="53"/>
        <v>0</v>
      </c>
      <c r="AS24" s="177">
        <f ca="1">IFERROR(__xludf.DUMMYFUNCTION("IMPORTRANGE(""https://docs.google.com/spreadsheets/d/1lOVebEIsI9qjGXl6EX66luk7wiuP2tBaryw-wKvv4e0/edit?usp=sharing"",""แพร่!J636"")"),0)</f>
        <v>0</v>
      </c>
      <c r="AT24" s="177">
        <f ca="1">IFERROR(__xludf.DUMMYFUNCTION("IMPORTRANGE(""https://docs.google.com/spreadsheets/d/1lOVebEIsI9qjGXl6EX66luk7wiuP2tBaryw-wKvv4e0/edit?usp=sharing"",""แพร่!J637"")"),0)</f>
        <v>0</v>
      </c>
      <c r="AU24" s="177">
        <f ca="1">IFERROR(__xludf.DUMMYFUNCTION("IMPORTRANGE(""https://docs.google.com/spreadsheets/d/1lOVebEIsI9qjGXl6EX66luk7wiuP2tBaryw-wKvv4e0/edit?usp=sharing"",""แพร่!J638"")"),0)</f>
        <v>0</v>
      </c>
      <c r="AV24" s="177">
        <f ca="1">IFERROR(__xludf.DUMMYFUNCTION("IMPORTRANGE(""https://docs.google.com/spreadsheets/d/1lOVebEIsI9qjGXl6EX66luk7wiuP2tBaryw-wKvv4e0/edit?usp=sharing"",""แพร่!J639"")"),0)</f>
        <v>0</v>
      </c>
      <c r="AW24" s="177">
        <f ca="1">IFERROR(__xludf.DUMMYFUNCTION("IMPORTRANGE(""https://docs.google.com/spreadsheets/d/1lOVebEIsI9qjGXl6EX66luk7wiuP2tBaryw-wKvv4e0/edit?usp=sharing"",""แพร่!J640"")"),0)</f>
        <v>0</v>
      </c>
    </row>
    <row r="25" spans="1:49" ht="19.5" x14ac:dyDescent="0.3">
      <c r="A25" s="89">
        <v>12</v>
      </c>
      <c r="B25" s="90" t="s">
        <v>51</v>
      </c>
      <c r="C25" s="174">
        <f t="shared" si="32"/>
        <v>0</v>
      </c>
      <c r="D25" s="175">
        <f t="shared" si="55"/>
        <v>0</v>
      </c>
      <c r="E25" s="403">
        <v>0</v>
      </c>
      <c r="F25" s="403">
        <v>0</v>
      </c>
      <c r="G25" s="403">
        <v>0</v>
      </c>
      <c r="H25" s="403">
        <v>0</v>
      </c>
      <c r="I25" s="403">
        <v>0</v>
      </c>
      <c r="J25" s="176">
        <f t="shared" si="34"/>
        <v>0</v>
      </c>
      <c r="K25" s="179">
        <f t="shared" si="35"/>
        <v>0</v>
      </c>
      <c r="L25" s="403">
        <v>0</v>
      </c>
      <c r="M25" s="87">
        <f t="shared" si="36"/>
        <v>0</v>
      </c>
      <c r="N25" s="87">
        <f t="shared" si="37"/>
        <v>0</v>
      </c>
      <c r="O25" s="403">
        <v>0</v>
      </c>
      <c r="P25" s="86">
        <f t="shared" si="38"/>
        <v>0</v>
      </c>
      <c r="Q25" s="87">
        <f t="shared" si="39"/>
        <v>0</v>
      </c>
      <c r="R25" s="87">
        <f ca="1">IFERROR(__xludf.DUMMYFUNCTION("IMPORTRANGE(""https://docs.google.com/spreadsheets/d/1dQrvX0vEcN7Gu0fnZ0B5S90AeR19zth4XlExFBeExMY/edit?usp=sharing"",""แม่ฮ่องสอน!Q616"")"),7275)</f>
        <v>7275</v>
      </c>
      <c r="S25" s="87">
        <f ca="1">IFERROR(__xludf.DUMMYFUNCTION("IMPORTRANGE(""https://docs.google.com/spreadsheets/d/1dQrvX0vEcN7Gu0fnZ0B5S90AeR19zth4XlExFBeExMY/edit?usp=sharing"",""แม่ฮ่องสอน!R616"")"),0)</f>
        <v>0</v>
      </c>
      <c r="T25" s="87">
        <f ca="1">IFERROR(__xludf.DUMMYFUNCTION("IMPORTRANGE(""https://docs.google.com/spreadsheets/d/1dQrvX0vEcN7Gu0fnZ0B5S90AeR19zth4XlExFBeExMY/edit?usp=sharing"",""แม่ฮ่องสอน!S616"")"),0)</f>
        <v>0</v>
      </c>
      <c r="U25" s="87">
        <f t="shared" ca="1" si="41"/>
        <v>0</v>
      </c>
      <c r="V25" s="87">
        <f t="shared" ca="1" si="42"/>
        <v>0</v>
      </c>
      <c r="W25" s="353">
        <f ca="1">IFERROR(__xludf.DUMMYFUNCTION("IMPORTRANGE(""https://docs.google.com/spreadsheets/d/1dQrvX0vEcN7Gu0fnZ0B5S90AeR19zth4XlExFBeExMY/edit?usp=sharing"",""แม่ฮ่องสอน!I626"")"),50)</f>
        <v>50</v>
      </c>
      <c r="X25" s="177">
        <f ca="1">IFERROR(__xludf.DUMMYFUNCTION("IMPORTRANGE(""https://docs.google.com/spreadsheets/d/1dQrvX0vEcN7Gu0fnZ0B5S90AeR19zth4XlExFBeExMY/edit?usp=sharing"",""แม่ฮ่องสอน!J626"")"),0)</f>
        <v>0</v>
      </c>
      <c r="Y25" s="354">
        <f t="shared" ca="1" si="44"/>
        <v>0</v>
      </c>
      <c r="Z25" s="177">
        <f ca="1">IFERROR(__xludf.DUMMYFUNCTION("IMPORTRANGE(""https://docs.google.com/spreadsheets/d/1dQrvX0vEcN7Gu0fnZ0B5S90AeR19zth4XlExFBeExMY/edit?usp=sharing"",""แม่ฮ่องสอน!I627"")"),1)</f>
        <v>1</v>
      </c>
      <c r="AA25" s="177">
        <f ca="1">IFERROR(__xludf.DUMMYFUNCTION("IMPORTRANGE(""https://docs.google.com/spreadsheets/d/1dQrvX0vEcN7Gu0fnZ0B5S90AeR19zth4XlExFBeExMY/edit?usp=sharing"",""แม่ฮ่องสอน!J627"")"),0)</f>
        <v>0</v>
      </c>
      <c r="AB25" s="354">
        <f t="shared" ca="1" si="46"/>
        <v>0</v>
      </c>
      <c r="AC25" s="177">
        <f ca="1">IFERROR(__xludf.DUMMYFUNCTION("IMPORTRANGE(""https://docs.google.com/spreadsheets/d/1dQrvX0vEcN7Gu0fnZ0B5S90AeR19zth4XlExFBeExMY/edit?usp=sharing"",""แม่ฮ่องสอน!I628"")"),1)</f>
        <v>1</v>
      </c>
      <c r="AD25" s="177">
        <f ca="1">IFERROR(__xludf.DUMMYFUNCTION("IMPORTRANGE(""https://docs.google.com/spreadsheets/d/1dQrvX0vEcN7Gu0fnZ0B5S90AeR19zth4XlExFBeExMY/edit?usp=sharing"",""แม่ฮ่องสอน!J628"")"),0)</f>
        <v>0</v>
      </c>
      <c r="AE25" s="354">
        <f t="shared" ca="1" si="48"/>
        <v>0</v>
      </c>
      <c r="AF25" s="177">
        <f ca="1">IFERROR(__xludf.DUMMYFUNCTION("IMPORTRANGE(""https://docs.google.com/spreadsheets/d/1dQrvX0vEcN7Gu0fnZ0B5S90AeR19zth4XlExFBeExMY/edit?usp=sharing"",""แม่ฮ่องสอน!J629"")"),0)</f>
        <v>0</v>
      </c>
      <c r="AG25" s="354">
        <f t="shared" ca="1" si="56"/>
        <v>0</v>
      </c>
      <c r="AH25" s="177">
        <f ca="1">IFERROR(__xludf.DUMMYFUNCTION("IMPORTRANGE(""https://docs.google.com/spreadsheets/d/1dQrvX0vEcN7Gu0fnZ0B5S90AeR19zth4XlExFBeExMY/edit?usp=sharing"",""แม่ฮ่องสอน!J630"")"),0)</f>
        <v>0</v>
      </c>
      <c r="AI25" s="354">
        <f t="shared" ca="1" si="49"/>
        <v>0</v>
      </c>
      <c r="AJ25" s="354">
        <f ca="1">IFERROR(__xludf.DUMMYFUNCTION("IMPORTRANGE(""https://docs.google.com/spreadsheets/d/1dQrvX0vEcN7Gu0fnZ0B5S90AeR19zth4XlExFBeExMY/edit?usp=sharing"",""แม่ฮ่องสอน!J631"")"),0)</f>
        <v>0</v>
      </c>
      <c r="AK25" s="354">
        <f t="shared" ca="1" si="50"/>
        <v>0</v>
      </c>
      <c r="AL25" s="354">
        <f ca="1">IFERROR(__xludf.DUMMYFUNCTION("IMPORTRANGE(""https://docs.google.com/spreadsheets/d/1dQrvX0vEcN7Gu0fnZ0B5S90AeR19zth4XlExFBeExMY/edit?usp=sharing"",""แม่ฮ่องสอน!J632"")"),0)</f>
        <v>0</v>
      </c>
      <c r="AM25" s="354">
        <f t="shared" ca="1" si="51"/>
        <v>0</v>
      </c>
      <c r="AN25" s="354">
        <f ca="1">IFERROR(__xludf.DUMMYFUNCTION("IMPORTRANGE(""https://docs.google.com/spreadsheets/d/1dQrvX0vEcN7Gu0fnZ0B5S90AeR19zth4XlExFBeExMY/edit?usp=sharing"",""แม่ฮ่องสอน!J633"")"),0)</f>
        <v>0</v>
      </c>
      <c r="AO25" s="354">
        <f ca="1">IFERROR(__xludf.DUMMYFUNCTION("IMPORTRANGE(""https://docs.google.com/spreadsheets/d/1dQrvX0vEcN7Gu0fnZ0B5S90AeR19zth4XlExFBeExMY/edit?usp=sharing"",""แม่ฮ่องสอน!J634"")"),0)</f>
        <v>0</v>
      </c>
      <c r="AP25" s="177">
        <f ca="1">IFERROR(__xludf.DUMMYFUNCTION("IMPORTRANGE(""https://docs.google.com/spreadsheets/d/1dQrvX0vEcN7Gu0fnZ0B5S90AeR19zth4XlExFBeExMY/edit?usp=sharing"",""แม่ฮ่องสอน!I635"")"),0)</f>
        <v>0</v>
      </c>
      <c r="AQ25" s="177">
        <f ca="1">IFERROR(__xludf.DUMMYFUNCTION("IMPORTRANGE(""https://docs.google.com/spreadsheets/d/1dQrvX0vEcN7Gu0fnZ0B5S90AeR19zth4XlExFBeExMY/edit?usp=sharing"",""แม่ฮ่องสอน!J635"")"),0)</f>
        <v>0</v>
      </c>
      <c r="AR25" s="354">
        <f t="shared" ca="1" si="53"/>
        <v>0</v>
      </c>
      <c r="AS25" s="177">
        <f ca="1">IFERROR(__xludf.DUMMYFUNCTION("IMPORTRANGE(""https://docs.google.com/spreadsheets/d/1dQrvX0vEcN7Gu0fnZ0B5S90AeR19zth4XlExFBeExMY/edit?usp=sharing"",""แม่ฮ่องสอน!J636"")"),0)</f>
        <v>0</v>
      </c>
      <c r="AT25" s="177">
        <f ca="1">IFERROR(__xludf.DUMMYFUNCTION("IMPORTRANGE(""https://docs.google.com/spreadsheets/d/1dQrvX0vEcN7Gu0fnZ0B5S90AeR19zth4XlExFBeExMY/edit?usp=sharing"",""แม่ฮ่องสอน!J637"")"),0)</f>
        <v>0</v>
      </c>
      <c r="AU25" s="177">
        <f ca="1">IFERROR(__xludf.DUMMYFUNCTION("IMPORTRANGE(""https://docs.google.com/spreadsheets/d/1dQrvX0vEcN7Gu0fnZ0B5S90AeR19zth4XlExFBeExMY/edit?usp=sharing"",""แม่ฮ่องสอน!J638"")"),0)</f>
        <v>0</v>
      </c>
      <c r="AV25" s="177">
        <f ca="1">IFERROR(__xludf.DUMMYFUNCTION("IMPORTRANGE(""https://docs.google.com/spreadsheets/d/1dQrvX0vEcN7Gu0fnZ0B5S90AeR19zth4XlExFBeExMY/edit?usp=sharing"",""แม่ฮ่องสอน!J639"")"),0)</f>
        <v>0</v>
      </c>
      <c r="AW25" s="177">
        <f ca="1">IFERROR(__xludf.DUMMYFUNCTION("IMPORTRANGE(""https://docs.google.com/spreadsheets/d/1dQrvX0vEcN7Gu0fnZ0B5S90AeR19zth4XlExFBeExMY/edit?usp=sharing"",""แม่ฮ่องสอน!J640"")"),0)</f>
        <v>0</v>
      </c>
    </row>
    <row r="26" spans="1:49" ht="19.5" x14ac:dyDescent="0.3">
      <c r="A26" s="89">
        <v>13</v>
      </c>
      <c r="B26" s="90" t="s">
        <v>52</v>
      </c>
      <c r="C26" s="174">
        <f t="shared" si="32"/>
        <v>0</v>
      </c>
      <c r="D26" s="175">
        <f t="shared" si="55"/>
        <v>0</v>
      </c>
      <c r="E26" s="403">
        <v>0</v>
      </c>
      <c r="F26" s="403">
        <v>0</v>
      </c>
      <c r="G26" s="403">
        <v>0</v>
      </c>
      <c r="H26" s="403">
        <v>0</v>
      </c>
      <c r="I26" s="403">
        <v>0</v>
      </c>
      <c r="J26" s="176">
        <f t="shared" si="34"/>
        <v>0</v>
      </c>
      <c r="K26" s="179">
        <f t="shared" si="35"/>
        <v>0</v>
      </c>
      <c r="L26" s="403">
        <v>0</v>
      </c>
      <c r="M26" s="87">
        <f t="shared" si="36"/>
        <v>0</v>
      </c>
      <c r="N26" s="87">
        <f t="shared" si="37"/>
        <v>0</v>
      </c>
      <c r="O26" s="403">
        <v>0</v>
      </c>
      <c r="P26" s="86">
        <f t="shared" si="38"/>
        <v>0</v>
      </c>
      <c r="Q26" s="87">
        <f t="shared" si="39"/>
        <v>0</v>
      </c>
      <c r="R26" s="87">
        <f ca="1">IFERROR(__xludf.DUMMYFUNCTION("IMPORTRANGE(""https://docs.google.com/spreadsheets/d/1DY4XTNNwjluuxqdfdn6qvOSlMRrZqUtmYcZR0ttFiG4/edit?usp=sharing"",""ลำปาง!Q616"")"),6825)</f>
        <v>6825</v>
      </c>
      <c r="S26" s="87">
        <f ca="1">IFERROR(__xludf.DUMMYFUNCTION("IMPORTRANGE(""https://docs.google.com/spreadsheets/d/1DY4XTNNwjluuxqdfdn6qvOSlMRrZqUtmYcZR0ttFiG4/edit?usp=sharing"",""ลำปาง!R616"")"),0)</f>
        <v>0</v>
      </c>
      <c r="T26" s="87">
        <f ca="1">IFERROR(__xludf.DUMMYFUNCTION("IMPORTRANGE(""https://docs.google.com/spreadsheets/d/1DY4XTNNwjluuxqdfdn6qvOSlMRrZqUtmYcZR0ttFiG4/edit?usp=sharing"",""ลำปาง!S616"")"),0)</f>
        <v>0</v>
      </c>
      <c r="U26" s="87">
        <f t="shared" ca="1" si="41"/>
        <v>0</v>
      </c>
      <c r="V26" s="87">
        <f t="shared" ca="1" si="42"/>
        <v>0</v>
      </c>
      <c r="W26" s="353">
        <f ca="1">IFERROR(__xludf.DUMMYFUNCTION("IMPORTRANGE(""https://docs.google.com/spreadsheets/d/1DY4XTNNwjluuxqdfdn6qvOSlMRrZqUtmYcZR0ttFiG4/edit?usp=sharing"",""ลำปาง!I626"")"),50)</f>
        <v>50</v>
      </c>
      <c r="X26" s="177">
        <f ca="1">IFERROR(__xludf.DUMMYFUNCTION("IMPORTRANGE(""https://docs.google.com/spreadsheets/d/1DY4XTNNwjluuxqdfdn6qvOSlMRrZqUtmYcZR0ttFiG4/edit?usp=sharing"",""ลำปาง!J626"")"),0)</f>
        <v>0</v>
      </c>
      <c r="Y26" s="354">
        <f t="shared" ca="1" si="44"/>
        <v>0</v>
      </c>
      <c r="Z26" s="177">
        <f ca="1">IFERROR(__xludf.DUMMYFUNCTION("IMPORTRANGE(""https://docs.google.com/spreadsheets/d/1DY4XTNNwjluuxqdfdn6qvOSlMRrZqUtmYcZR0ttFiG4/edit?usp=sharing"",""ลำปาง!I627"")"),0)</f>
        <v>0</v>
      </c>
      <c r="AA26" s="177">
        <f ca="1">IFERROR(__xludf.DUMMYFUNCTION("IMPORTRANGE(""https://docs.google.com/spreadsheets/d/1DY4XTNNwjluuxqdfdn6qvOSlMRrZqUtmYcZR0ttFiG4/edit?usp=sharing"",""ลำปาง!J627"")"),0)</f>
        <v>0</v>
      </c>
      <c r="AB26" s="354">
        <f t="shared" ca="1" si="46"/>
        <v>0</v>
      </c>
      <c r="AC26" s="177">
        <f ca="1">IFERROR(__xludf.DUMMYFUNCTION("IMPORTRANGE(""https://docs.google.com/spreadsheets/d/1DY4XTNNwjluuxqdfdn6qvOSlMRrZqUtmYcZR0ttFiG4/edit?usp=sharing"",""ลำปาง!I628"")"),0)</f>
        <v>0</v>
      </c>
      <c r="AD26" s="177">
        <f ca="1">IFERROR(__xludf.DUMMYFUNCTION("IMPORTRANGE(""https://docs.google.com/spreadsheets/d/1DY4XTNNwjluuxqdfdn6qvOSlMRrZqUtmYcZR0ttFiG4/edit?usp=sharing"",""ลำปาง!J628"")"),0)</f>
        <v>0</v>
      </c>
      <c r="AE26" s="354">
        <f t="shared" ca="1" si="48"/>
        <v>0</v>
      </c>
      <c r="AF26" s="177">
        <f ca="1">IFERROR(__xludf.DUMMYFUNCTION("IMPORTRANGE(""https://docs.google.com/spreadsheets/d/1DY4XTNNwjluuxqdfdn6qvOSlMRrZqUtmYcZR0ttFiG4/edit?usp=sharing"",""ลำปาง!J629"")"),0)</f>
        <v>0</v>
      </c>
      <c r="AG26" s="354">
        <f t="shared" ca="1" si="56"/>
        <v>0</v>
      </c>
      <c r="AH26" s="177">
        <f ca="1">IFERROR(__xludf.DUMMYFUNCTION("IMPORTRANGE(""https://docs.google.com/spreadsheets/d/1DY4XTNNwjluuxqdfdn6qvOSlMRrZqUtmYcZR0ttFiG4/edit?usp=sharing"",""ลำปาง!J630"")"),0)</f>
        <v>0</v>
      </c>
      <c r="AI26" s="354">
        <f t="shared" ca="1" si="49"/>
        <v>0</v>
      </c>
      <c r="AJ26" s="354">
        <f ca="1">IFERROR(__xludf.DUMMYFUNCTION("IMPORTRANGE(""https://docs.google.com/spreadsheets/d/1DY4XTNNwjluuxqdfdn6qvOSlMRrZqUtmYcZR0ttFiG4/edit?usp=sharing"",""ลำปาง!J631"")"),0)</f>
        <v>0</v>
      </c>
      <c r="AK26" s="354">
        <f t="shared" ca="1" si="50"/>
        <v>0</v>
      </c>
      <c r="AL26" s="354">
        <f ca="1">IFERROR(__xludf.DUMMYFUNCTION("IMPORTRANGE(""https://docs.google.com/spreadsheets/d/1DY4XTNNwjluuxqdfdn6qvOSlMRrZqUtmYcZR0ttFiG4/edit?usp=sharing"",""ลำปาง!J632"")"),0)</f>
        <v>0</v>
      </c>
      <c r="AM26" s="354">
        <f t="shared" ca="1" si="51"/>
        <v>0</v>
      </c>
      <c r="AN26" s="354">
        <f ca="1">IFERROR(__xludf.DUMMYFUNCTION("IMPORTRANGE(""https://docs.google.com/spreadsheets/d/1DY4XTNNwjluuxqdfdn6qvOSlMRrZqUtmYcZR0ttFiG4/edit?usp=sharing"",""ลำปาง!J633"")"),0)</f>
        <v>0</v>
      </c>
      <c r="AO26" s="354">
        <f ca="1">IFERROR(__xludf.DUMMYFUNCTION("IMPORTRANGE(""https://docs.google.com/spreadsheets/d/1DY4XTNNwjluuxqdfdn6qvOSlMRrZqUtmYcZR0ttFiG4/edit?usp=sharing"",""ลำปาง!J634"")"),0)</f>
        <v>0</v>
      </c>
      <c r="AP26" s="177">
        <f ca="1">IFERROR(__xludf.DUMMYFUNCTION("IMPORTRANGE(""https://docs.google.com/spreadsheets/d/1DY4XTNNwjluuxqdfdn6qvOSlMRrZqUtmYcZR0ttFiG4/edit?usp=sharing"",""ลำปาง!I635"")"),0)</f>
        <v>0</v>
      </c>
      <c r="AQ26" s="177">
        <f ca="1">IFERROR(__xludf.DUMMYFUNCTION("IMPORTRANGE(""https://docs.google.com/spreadsheets/d/1DY4XTNNwjluuxqdfdn6qvOSlMRrZqUtmYcZR0ttFiG4/edit?usp=sharing"",""ลำปาง!J635"")"),0)</f>
        <v>0</v>
      </c>
      <c r="AR26" s="354">
        <f t="shared" ca="1" si="53"/>
        <v>0</v>
      </c>
      <c r="AS26" s="177">
        <f ca="1">IFERROR(__xludf.DUMMYFUNCTION("IMPORTRANGE(""https://docs.google.com/spreadsheets/d/1DY4XTNNwjluuxqdfdn6qvOSlMRrZqUtmYcZR0ttFiG4/edit?usp=sharing"",""ลำปาง!J636"")"),0)</f>
        <v>0</v>
      </c>
      <c r="AT26" s="177">
        <f ca="1">IFERROR(__xludf.DUMMYFUNCTION("IMPORTRANGE(""https://docs.google.com/spreadsheets/d/1DY4XTNNwjluuxqdfdn6qvOSlMRrZqUtmYcZR0ttFiG4/edit?usp=sharing"",""ลำปาง!J637"")"),0)</f>
        <v>0</v>
      </c>
      <c r="AU26" s="177">
        <f ca="1">IFERROR(__xludf.DUMMYFUNCTION("IMPORTRANGE(""https://docs.google.com/spreadsheets/d/1DY4XTNNwjluuxqdfdn6qvOSlMRrZqUtmYcZR0ttFiG4/edit?usp=sharing"",""ลำปาง!J638"")"),0)</f>
        <v>0</v>
      </c>
      <c r="AV26" s="177">
        <f ca="1">IFERROR(__xludf.DUMMYFUNCTION("IMPORTRANGE(""https://docs.google.com/spreadsheets/d/1DY4XTNNwjluuxqdfdn6qvOSlMRrZqUtmYcZR0ttFiG4/edit?usp=sharing"",""ลำปาง!J639"")"),0)</f>
        <v>0</v>
      </c>
      <c r="AW26" s="177">
        <f ca="1">IFERROR(__xludf.DUMMYFUNCTION("IMPORTRANGE(""https://docs.google.com/spreadsheets/d/1DY4XTNNwjluuxqdfdn6qvOSlMRrZqUtmYcZR0ttFiG4/edit?usp=sharing"",""ลำปาง!J640"")"),0)</f>
        <v>0</v>
      </c>
    </row>
    <row r="27" spans="1:49" ht="19.5" x14ac:dyDescent="0.3">
      <c r="A27" s="89">
        <v>14</v>
      </c>
      <c r="B27" s="90" t="s">
        <v>53</v>
      </c>
      <c r="C27" s="174">
        <f t="shared" si="32"/>
        <v>0</v>
      </c>
      <c r="D27" s="175">
        <f t="shared" si="55"/>
        <v>0</v>
      </c>
      <c r="E27" s="403">
        <v>0</v>
      </c>
      <c r="F27" s="403">
        <v>0</v>
      </c>
      <c r="G27" s="403">
        <v>0</v>
      </c>
      <c r="H27" s="403">
        <v>0</v>
      </c>
      <c r="I27" s="403">
        <v>0</v>
      </c>
      <c r="J27" s="176">
        <f t="shared" si="34"/>
        <v>0</v>
      </c>
      <c r="K27" s="179">
        <f t="shared" si="35"/>
        <v>0</v>
      </c>
      <c r="L27" s="403">
        <v>0</v>
      </c>
      <c r="M27" s="87">
        <f t="shared" si="36"/>
        <v>0</v>
      </c>
      <c r="N27" s="87">
        <f t="shared" si="37"/>
        <v>0</v>
      </c>
      <c r="O27" s="403">
        <v>0</v>
      </c>
      <c r="P27" s="86">
        <f t="shared" si="38"/>
        <v>0</v>
      </c>
      <c r="Q27" s="87">
        <f t="shared" si="39"/>
        <v>0</v>
      </c>
      <c r="R27" s="87">
        <f ca="1">IFERROR(__xludf.DUMMYFUNCTION("IMPORTRANGE(""https://docs.google.com/spreadsheets/d/1ICwG78r0OFT8biBlxnBF8r7she7gNSzOvJ958PWT09c/edit?usp=sharing"",""ลำพูน!Q616"")"),6700)</f>
        <v>6700</v>
      </c>
      <c r="S27" s="87">
        <f ca="1">IFERROR(__xludf.DUMMYFUNCTION("IMPORTRANGE(""https://docs.google.com/spreadsheets/d/1ICwG78r0OFT8biBlxnBF8r7she7gNSzOvJ958PWT09c/edit?usp=sharing"",""ลำพูน!R616"")"),0)</f>
        <v>0</v>
      </c>
      <c r="T27" s="87">
        <f ca="1">IFERROR(__xludf.DUMMYFUNCTION("IMPORTRANGE(""https://docs.google.com/spreadsheets/d/1ICwG78r0OFT8biBlxnBF8r7she7gNSzOvJ958PWT09c/edit?usp=sharing"",""ลำพูน!S616"")"),0)</f>
        <v>0</v>
      </c>
      <c r="U27" s="87">
        <f t="shared" ca="1" si="41"/>
        <v>0</v>
      </c>
      <c r="V27" s="87">
        <f t="shared" ca="1" si="42"/>
        <v>0</v>
      </c>
      <c r="W27" s="353">
        <f ca="1">IFERROR(__xludf.DUMMYFUNCTION("IMPORTRANGE(""https://docs.google.com/spreadsheets/d/1ICwG78r0OFT8biBlxnBF8r7she7gNSzOvJ958PWT09c/edit?usp=sharing"",""ลำพูน!I626"")"),50)</f>
        <v>50</v>
      </c>
      <c r="X27" s="177">
        <f ca="1">IFERROR(__xludf.DUMMYFUNCTION("IMPORTRANGE(""https://docs.google.com/spreadsheets/d/1ICwG78r0OFT8biBlxnBF8r7she7gNSzOvJ958PWT09c/edit?usp=sharing"",""ลำพูน!J626"")"),0)</f>
        <v>0</v>
      </c>
      <c r="Y27" s="354">
        <f t="shared" ca="1" si="44"/>
        <v>0</v>
      </c>
      <c r="Z27" s="177">
        <f ca="1">IFERROR(__xludf.DUMMYFUNCTION("IMPORTRANGE(""https://docs.google.com/spreadsheets/d/1ICwG78r0OFT8biBlxnBF8r7she7gNSzOvJ958PWT09c/edit?usp=sharing"",""ลำพูน!I627"")"),0)</f>
        <v>0</v>
      </c>
      <c r="AA27" s="177">
        <f ca="1">IFERROR(__xludf.DUMMYFUNCTION("IMPORTRANGE(""https://docs.google.com/spreadsheets/d/1ICwG78r0OFT8biBlxnBF8r7she7gNSzOvJ958PWT09c/edit?usp=sharing"",""ลำพูน!J627"")"),0)</f>
        <v>0</v>
      </c>
      <c r="AB27" s="354">
        <f t="shared" ca="1" si="46"/>
        <v>0</v>
      </c>
      <c r="AC27" s="177">
        <f ca="1">IFERROR(__xludf.DUMMYFUNCTION("IMPORTRANGE(""https://docs.google.com/spreadsheets/d/1ICwG78r0OFT8biBlxnBF8r7she7gNSzOvJ958PWT09c/edit?usp=sharing"",""ลำพูน!I628"")"),0)</f>
        <v>0</v>
      </c>
      <c r="AD27" s="177">
        <f ca="1">IFERROR(__xludf.DUMMYFUNCTION("IMPORTRANGE(""https://docs.google.com/spreadsheets/d/1ICwG78r0OFT8biBlxnBF8r7she7gNSzOvJ958PWT09c/edit?usp=sharing"",""ลำพูน!J628"")"),0)</f>
        <v>0</v>
      </c>
      <c r="AE27" s="354">
        <f t="shared" ca="1" si="48"/>
        <v>0</v>
      </c>
      <c r="AF27" s="177">
        <f ca="1">IFERROR(__xludf.DUMMYFUNCTION("IMPORTRANGE(""https://docs.google.com/spreadsheets/d/1ICwG78r0OFT8biBlxnBF8r7she7gNSzOvJ958PWT09c/edit?usp=sharing"",""ลำพูน!J629"")"),0)</f>
        <v>0</v>
      </c>
      <c r="AG27" s="354">
        <f t="shared" ca="1" si="56"/>
        <v>0</v>
      </c>
      <c r="AH27" s="177">
        <f ca="1">IFERROR(__xludf.DUMMYFUNCTION("IMPORTRANGE(""https://docs.google.com/spreadsheets/d/1ICwG78r0OFT8biBlxnBF8r7she7gNSzOvJ958PWT09c/edit?usp=sharing"",""ลำพูน!J630"")"),0)</f>
        <v>0</v>
      </c>
      <c r="AI27" s="354">
        <f t="shared" ca="1" si="49"/>
        <v>0</v>
      </c>
      <c r="AJ27" s="354">
        <f ca="1">IFERROR(__xludf.DUMMYFUNCTION("IMPORTRANGE(""https://docs.google.com/spreadsheets/d/1ICwG78r0OFT8biBlxnBF8r7she7gNSzOvJ958PWT09c/edit?usp=sharing"",""ลำพูน!J631"")"),0)</f>
        <v>0</v>
      </c>
      <c r="AK27" s="354">
        <f t="shared" ca="1" si="50"/>
        <v>0</v>
      </c>
      <c r="AL27" s="354">
        <f ca="1">IFERROR(__xludf.DUMMYFUNCTION("IMPORTRANGE(""https://docs.google.com/spreadsheets/d/1ICwG78r0OFT8biBlxnBF8r7she7gNSzOvJ958PWT09c/edit?usp=sharing"",""ลำพูน!J632"")"),0)</f>
        <v>0</v>
      </c>
      <c r="AM27" s="354">
        <f t="shared" ca="1" si="51"/>
        <v>0</v>
      </c>
      <c r="AN27" s="354">
        <f ca="1">IFERROR(__xludf.DUMMYFUNCTION("IMPORTRANGE(""https://docs.google.com/spreadsheets/d/1ICwG78r0OFT8biBlxnBF8r7she7gNSzOvJ958PWT09c/edit?usp=sharing"",""ลำพูน!J633"")"),0)</f>
        <v>0</v>
      </c>
      <c r="AO27" s="354">
        <f ca="1">IFERROR(__xludf.DUMMYFUNCTION("IMPORTRANGE(""https://docs.google.com/spreadsheets/d/1ICwG78r0OFT8biBlxnBF8r7she7gNSzOvJ958PWT09c/edit?usp=sharing"",""ลำพูน!J634"")"),0)</f>
        <v>0</v>
      </c>
      <c r="AP27" s="177">
        <f ca="1">IFERROR(__xludf.DUMMYFUNCTION("IMPORTRANGE(""https://docs.google.com/spreadsheets/d/1ICwG78r0OFT8biBlxnBF8r7she7gNSzOvJ958PWT09c/edit?usp=sharing"",""ลำพูน!I635"")"),0)</f>
        <v>0</v>
      </c>
      <c r="AQ27" s="177">
        <f ca="1">IFERROR(__xludf.DUMMYFUNCTION("IMPORTRANGE(""https://docs.google.com/spreadsheets/d/1ICwG78r0OFT8biBlxnBF8r7she7gNSzOvJ958PWT09c/edit?usp=sharing"",""ลำพูน!J635"")"),0)</f>
        <v>0</v>
      </c>
      <c r="AR27" s="354">
        <f t="shared" ca="1" si="53"/>
        <v>0</v>
      </c>
      <c r="AS27" s="177">
        <f ca="1">IFERROR(__xludf.DUMMYFUNCTION("IMPORTRANGE(""https://docs.google.com/spreadsheets/d/1ICwG78r0OFT8biBlxnBF8r7she7gNSzOvJ958PWT09c/edit?usp=sharing"",""ลำพูน!J636"")"),0)</f>
        <v>0</v>
      </c>
      <c r="AT27" s="177">
        <f ca="1">IFERROR(__xludf.DUMMYFUNCTION("IMPORTRANGE(""https://docs.google.com/spreadsheets/d/1ICwG78r0OFT8biBlxnBF8r7she7gNSzOvJ958PWT09c/edit?usp=sharing"",""ลำพูน!J637"")"),0)</f>
        <v>0</v>
      </c>
      <c r="AU27" s="177">
        <f ca="1">IFERROR(__xludf.DUMMYFUNCTION("IMPORTRANGE(""https://docs.google.com/spreadsheets/d/1ICwG78r0OFT8biBlxnBF8r7she7gNSzOvJ958PWT09c/edit?usp=sharing"",""ลำพูน!J638"")"),0)</f>
        <v>0</v>
      </c>
      <c r="AV27" s="177">
        <f ca="1">IFERROR(__xludf.DUMMYFUNCTION("IMPORTRANGE(""https://docs.google.com/spreadsheets/d/1ICwG78r0OFT8biBlxnBF8r7she7gNSzOvJ958PWT09c/edit?usp=sharing"",""ลำพูน!J639"")"),0)</f>
        <v>0</v>
      </c>
      <c r="AW27" s="177">
        <f ca="1">IFERROR(__xludf.DUMMYFUNCTION("IMPORTRANGE(""https://docs.google.com/spreadsheets/d/1ICwG78r0OFT8biBlxnBF8r7she7gNSzOvJ958PWT09c/edit?usp=sharing"",""ลำพูน!J640"")"),0)</f>
        <v>0</v>
      </c>
    </row>
    <row r="28" spans="1:49" ht="19.5" x14ac:dyDescent="0.3">
      <c r="A28" s="89">
        <v>15</v>
      </c>
      <c r="B28" s="90" t="s">
        <v>54</v>
      </c>
      <c r="C28" s="174">
        <f t="shared" si="32"/>
        <v>0</v>
      </c>
      <c r="D28" s="175">
        <f t="shared" si="55"/>
        <v>0</v>
      </c>
      <c r="E28" s="403">
        <v>0</v>
      </c>
      <c r="F28" s="403">
        <v>0</v>
      </c>
      <c r="G28" s="403">
        <v>0</v>
      </c>
      <c r="H28" s="403">
        <v>0</v>
      </c>
      <c r="I28" s="403">
        <v>0</v>
      </c>
      <c r="J28" s="176">
        <f t="shared" si="34"/>
        <v>0</v>
      </c>
      <c r="K28" s="179">
        <f t="shared" si="35"/>
        <v>0</v>
      </c>
      <c r="L28" s="403">
        <v>0</v>
      </c>
      <c r="M28" s="87">
        <f t="shared" si="36"/>
        <v>0</v>
      </c>
      <c r="N28" s="87">
        <f t="shared" si="37"/>
        <v>0</v>
      </c>
      <c r="O28" s="403">
        <v>0</v>
      </c>
      <c r="P28" s="86">
        <f t="shared" si="38"/>
        <v>0</v>
      </c>
      <c r="Q28" s="87">
        <f t="shared" si="39"/>
        <v>0</v>
      </c>
      <c r="R28" s="87">
        <f ca="1">IFERROR(__xludf.DUMMYFUNCTION("IMPORTRANGE(""https://docs.google.com/spreadsheets/d/1B0f2xJpZUC6Z0xXnqKlZtEPzsf6L84eP1r1Q15seqRM/edit?usp=sharing"",""สุโขทัย!Q616"")"),11725)</f>
        <v>11725</v>
      </c>
      <c r="S28" s="87">
        <f ca="1">IFERROR(__xludf.DUMMYFUNCTION("IMPORTRANGE(""https://docs.google.com/spreadsheets/d/1B0f2xJpZUC6Z0xXnqKlZtEPzsf6L84eP1r1Q15seqRM/edit?usp=sharing"",""สุโขทัย!R616"")"),0)</f>
        <v>0</v>
      </c>
      <c r="T28" s="87">
        <f ca="1">IFERROR(__xludf.DUMMYFUNCTION("IMPORTRANGE(""https://docs.google.com/spreadsheets/d/1B0f2xJpZUC6Z0xXnqKlZtEPzsf6L84eP1r1Q15seqRM/edit?usp=sharing"",""สุโขทัย!S616"")"),0)</f>
        <v>0</v>
      </c>
      <c r="U28" s="87">
        <f t="shared" ca="1" si="41"/>
        <v>0</v>
      </c>
      <c r="V28" s="87">
        <f t="shared" ca="1" si="42"/>
        <v>0</v>
      </c>
      <c r="W28" s="353">
        <f ca="1">IFERROR(__xludf.DUMMYFUNCTION("IMPORTRANGE(""https://docs.google.com/spreadsheets/d/1B0f2xJpZUC6Z0xXnqKlZtEPzsf6L84eP1r1Q15seqRM/edit?usp=sharing"",""สุโขทัย!I626"")"),100)</f>
        <v>100</v>
      </c>
      <c r="X28" s="177">
        <f ca="1">IFERROR(__xludf.DUMMYFUNCTION("IMPORTRANGE(""https://docs.google.com/spreadsheets/d/1B0f2xJpZUC6Z0xXnqKlZtEPzsf6L84eP1r1Q15seqRM/edit?usp=sharing"",""สุโขทัย!J626"")"),0)</f>
        <v>0</v>
      </c>
      <c r="Y28" s="354">
        <f t="shared" ca="1" si="44"/>
        <v>0</v>
      </c>
      <c r="Z28" s="177">
        <f ca="1">IFERROR(__xludf.DUMMYFUNCTION("IMPORTRANGE(""https://docs.google.com/spreadsheets/d/1B0f2xJpZUC6Z0xXnqKlZtEPzsf6L84eP1r1Q15seqRM/edit?usp=sharing"",""สุโขทัย!I627"")"),0)</f>
        <v>0</v>
      </c>
      <c r="AA28" s="177">
        <f ca="1">IFERROR(__xludf.DUMMYFUNCTION("IMPORTRANGE(""https://docs.google.com/spreadsheets/d/1B0f2xJpZUC6Z0xXnqKlZtEPzsf6L84eP1r1Q15seqRM/edit?usp=sharing"",""สุโขทัย!J627"")"),0)</f>
        <v>0</v>
      </c>
      <c r="AB28" s="354">
        <f t="shared" ca="1" si="46"/>
        <v>0</v>
      </c>
      <c r="AC28" s="177">
        <f ca="1">IFERROR(__xludf.DUMMYFUNCTION("IMPORTRANGE(""https://docs.google.com/spreadsheets/d/1B0f2xJpZUC6Z0xXnqKlZtEPzsf6L84eP1r1Q15seqRM/edit?usp=sharing"",""สุโขทัย!I628"")"),0)</f>
        <v>0</v>
      </c>
      <c r="AD28" s="177">
        <f ca="1">IFERROR(__xludf.DUMMYFUNCTION("IMPORTRANGE(""https://docs.google.com/spreadsheets/d/1B0f2xJpZUC6Z0xXnqKlZtEPzsf6L84eP1r1Q15seqRM/edit?usp=sharing"",""สุโขทัย!J628"")"),0)</f>
        <v>0</v>
      </c>
      <c r="AE28" s="354">
        <f t="shared" ca="1" si="48"/>
        <v>0</v>
      </c>
      <c r="AF28" s="177">
        <f ca="1">IFERROR(__xludf.DUMMYFUNCTION("IMPORTRANGE(""https://docs.google.com/spreadsheets/d/1B0f2xJpZUC6Z0xXnqKlZtEPzsf6L84eP1r1Q15seqRM/edit?usp=sharing"",""สุโขทัย!J629"")"),0)</f>
        <v>0</v>
      </c>
      <c r="AG28" s="354">
        <f t="shared" ca="1" si="56"/>
        <v>0</v>
      </c>
      <c r="AH28" s="177">
        <f ca="1">IFERROR(__xludf.DUMMYFUNCTION("IMPORTRANGE(""https://docs.google.com/spreadsheets/d/1B0f2xJpZUC6Z0xXnqKlZtEPzsf6L84eP1r1Q15seqRM/edit?usp=sharing"",""สุโขทัย!J630"")"),0)</f>
        <v>0</v>
      </c>
      <c r="AI28" s="354">
        <f t="shared" ca="1" si="49"/>
        <v>0</v>
      </c>
      <c r="AJ28" s="354">
        <f ca="1">IFERROR(__xludf.DUMMYFUNCTION("IMPORTRANGE(""https://docs.google.com/spreadsheets/d/1B0f2xJpZUC6Z0xXnqKlZtEPzsf6L84eP1r1Q15seqRM/edit?usp=sharing"",""สุโขทัย!J631"")"),0)</f>
        <v>0</v>
      </c>
      <c r="AK28" s="354">
        <f t="shared" ca="1" si="50"/>
        <v>0</v>
      </c>
      <c r="AL28" s="354">
        <f ca="1">IFERROR(__xludf.DUMMYFUNCTION("IMPORTRANGE(""https://docs.google.com/spreadsheets/d/1B0f2xJpZUC6Z0xXnqKlZtEPzsf6L84eP1r1Q15seqRM/edit?usp=sharing"",""สุโขทัย!J632"")"),0)</f>
        <v>0</v>
      </c>
      <c r="AM28" s="354">
        <f t="shared" ca="1" si="51"/>
        <v>0</v>
      </c>
      <c r="AN28" s="354">
        <f ca="1">IFERROR(__xludf.DUMMYFUNCTION("IMPORTRANGE(""https://docs.google.com/spreadsheets/d/1B0f2xJpZUC6Z0xXnqKlZtEPzsf6L84eP1r1Q15seqRM/edit?usp=sharing"",""สุโขทัย!J633"")"),0)</f>
        <v>0</v>
      </c>
      <c r="AO28" s="354">
        <f ca="1">IFERROR(__xludf.DUMMYFUNCTION("IMPORTRANGE(""https://docs.google.com/spreadsheets/d/1B0f2xJpZUC6Z0xXnqKlZtEPzsf6L84eP1r1Q15seqRM/edit?usp=sharing"",""สุโขทัย!J634"")"),0)</f>
        <v>0</v>
      </c>
      <c r="AP28" s="177">
        <f ca="1">IFERROR(__xludf.DUMMYFUNCTION("IMPORTRANGE(""https://docs.google.com/spreadsheets/d/1B0f2xJpZUC6Z0xXnqKlZtEPzsf6L84eP1r1Q15seqRM/edit?usp=sharing"",""สุโขทัย!I635"")"),0)</f>
        <v>0</v>
      </c>
      <c r="AQ28" s="177">
        <f ca="1">IFERROR(__xludf.DUMMYFUNCTION("IMPORTRANGE(""https://docs.google.com/spreadsheets/d/1B0f2xJpZUC6Z0xXnqKlZtEPzsf6L84eP1r1Q15seqRM/edit?usp=sharing"",""สุโขทัย!J635"")"),0)</f>
        <v>0</v>
      </c>
      <c r="AR28" s="354">
        <f t="shared" ca="1" si="53"/>
        <v>0</v>
      </c>
      <c r="AS28" s="177">
        <f ca="1">IFERROR(__xludf.DUMMYFUNCTION("IMPORTRANGE(""https://docs.google.com/spreadsheets/d/1B0f2xJpZUC6Z0xXnqKlZtEPzsf6L84eP1r1Q15seqRM/edit?usp=sharing"",""สุโขทัย!J636"")"),0)</f>
        <v>0</v>
      </c>
      <c r="AT28" s="177">
        <f ca="1">IFERROR(__xludf.DUMMYFUNCTION("IMPORTRANGE(""https://docs.google.com/spreadsheets/d/1B0f2xJpZUC6Z0xXnqKlZtEPzsf6L84eP1r1Q15seqRM/edit?usp=sharing"",""สุโขทัย!J637"")"),0)</f>
        <v>0</v>
      </c>
      <c r="AU28" s="177">
        <f ca="1">IFERROR(__xludf.DUMMYFUNCTION("IMPORTRANGE(""https://docs.google.com/spreadsheets/d/1B0f2xJpZUC6Z0xXnqKlZtEPzsf6L84eP1r1Q15seqRM/edit?usp=sharing"",""สุโขทัย!J638"")"),0)</f>
        <v>0</v>
      </c>
      <c r="AV28" s="177">
        <f ca="1">IFERROR(__xludf.DUMMYFUNCTION("IMPORTRANGE(""https://docs.google.com/spreadsheets/d/1B0f2xJpZUC6Z0xXnqKlZtEPzsf6L84eP1r1Q15seqRM/edit?usp=sharing"",""สุโขทัย!J639"")"),0)</f>
        <v>0</v>
      </c>
      <c r="AW28" s="177">
        <f ca="1">IFERROR(__xludf.DUMMYFUNCTION("IMPORTRANGE(""https://docs.google.com/spreadsheets/d/1B0f2xJpZUC6Z0xXnqKlZtEPzsf6L84eP1r1Q15seqRM/edit?usp=sharing"",""สุโขทัย!J640"")"),0)</f>
        <v>0</v>
      </c>
    </row>
    <row r="29" spans="1:49" ht="19.5" x14ac:dyDescent="0.3">
      <c r="A29" s="89">
        <v>16</v>
      </c>
      <c r="B29" s="90" t="s">
        <v>55</v>
      </c>
      <c r="C29" s="174">
        <f t="shared" si="32"/>
        <v>0</v>
      </c>
      <c r="D29" s="175">
        <f t="shared" si="55"/>
        <v>0</v>
      </c>
      <c r="E29" s="403">
        <v>0</v>
      </c>
      <c r="F29" s="403">
        <v>0</v>
      </c>
      <c r="G29" s="403">
        <v>0</v>
      </c>
      <c r="H29" s="403">
        <v>0</v>
      </c>
      <c r="I29" s="403">
        <v>0</v>
      </c>
      <c r="J29" s="176">
        <f t="shared" si="34"/>
        <v>0</v>
      </c>
      <c r="K29" s="179">
        <f t="shared" si="35"/>
        <v>0</v>
      </c>
      <c r="L29" s="403">
        <v>0</v>
      </c>
      <c r="M29" s="87">
        <f t="shared" si="36"/>
        <v>0</v>
      </c>
      <c r="N29" s="87">
        <f t="shared" si="37"/>
        <v>0</v>
      </c>
      <c r="O29" s="403">
        <v>0</v>
      </c>
      <c r="P29" s="86">
        <f t="shared" si="38"/>
        <v>0</v>
      </c>
      <c r="Q29" s="87">
        <f t="shared" si="39"/>
        <v>0</v>
      </c>
      <c r="R29" s="87">
        <f ca="1">IFERROR(__xludf.DUMMYFUNCTION("IMPORTRANGE(""https://docs.google.com/spreadsheets/d/1v0b9pFQCsKUVExMei7AgY2yQkdeNQvtOssygGsXbiKo/edit?usp=sharing"",""อุตรดิตถ์!Q616"")"),6725)</f>
        <v>6725</v>
      </c>
      <c r="S29" s="87">
        <f ca="1">IFERROR(__xludf.DUMMYFUNCTION("IMPORTRANGE(""https://docs.google.com/spreadsheets/d/1v0b9pFQCsKUVExMei7AgY2yQkdeNQvtOssygGsXbiKo/edit?usp=sharing"",""อุตรดิตถ์!R616"")"),0)</f>
        <v>0</v>
      </c>
      <c r="T29" s="87">
        <f ca="1">IFERROR(__xludf.DUMMYFUNCTION("IMPORTRANGE(""https://docs.google.com/spreadsheets/d/1v0b9pFQCsKUVExMei7AgY2yQkdeNQvtOssygGsXbiKo/edit?usp=sharing"",""อุตรดิตถ์!S616"")"),0)</f>
        <v>0</v>
      </c>
      <c r="U29" s="87">
        <f t="shared" ca="1" si="41"/>
        <v>0</v>
      </c>
      <c r="V29" s="87">
        <f t="shared" ca="1" si="42"/>
        <v>0</v>
      </c>
      <c r="W29" s="353">
        <f ca="1">IFERROR(__xludf.DUMMYFUNCTION("IMPORTRANGE(""https://docs.google.com/spreadsheets/d/1v0b9pFQCsKUVExMei7AgY2yQkdeNQvtOssygGsXbiKo/edit?usp=sharing"",""อุตรดิตถ์!I626"")"),50)</f>
        <v>50</v>
      </c>
      <c r="X29" s="177">
        <f ca="1">IFERROR(__xludf.DUMMYFUNCTION("IMPORTRANGE(""https://docs.google.com/spreadsheets/d/1v0b9pFQCsKUVExMei7AgY2yQkdeNQvtOssygGsXbiKo/edit?usp=sharing"",""อุตรดิตถ์!J626"")"),0)</f>
        <v>0</v>
      </c>
      <c r="Y29" s="354">
        <f t="shared" ca="1" si="44"/>
        <v>0</v>
      </c>
      <c r="Z29" s="177">
        <f ca="1">IFERROR(__xludf.DUMMYFUNCTION("IMPORTRANGE(""https://docs.google.com/spreadsheets/d/1v0b9pFQCsKUVExMei7AgY2yQkdeNQvtOssygGsXbiKo/edit?usp=sharing"",""อุตรดิตถ์!I627"")"),0)</f>
        <v>0</v>
      </c>
      <c r="AA29" s="177">
        <f ca="1">IFERROR(__xludf.DUMMYFUNCTION("IMPORTRANGE(""https://docs.google.com/spreadsheets/d/1v0b9pFQCsKUVExMei7AgY2yQkdeNQvtOssygGsXbiKo/edit?usp=sharing"",""อุตรดิตถ์!J627"")"),0)</f>
        <v>0</v>
      </c>
      <c r="AB29" s="354">
        <f t="shared" ca="1" si="46"/>
        <v>0</v>
      </c>
      <c r="AC29" s="177">
        <f ca="1">IFERROR(__xludf.DUMMYFUNCTION("IMPORTRANGE(""https://docs.google.com/spreadsheets/d/1v0b9pFQCsKUVExMei7AgY2yQkdeNQvtOssygGsXbiKo/edit?usp=sharing"",""อุตรดิตถ์!I628"")"),0)</f>
        <v>0</v>
      </c>
      <c r="AD29" s="177">
        <f ca="1">IFERROR(__xludf.DUMMYFUNCTION("IMPORTRANGE(""https://docs.google.com/spreadsheets/d/1v0b9pFQCsKUVExMei7AgY2yQkdeNQvtOssygGsXbiKo/edit?usp=sharing"",""อุตรดิตถ์!J628"")"),0)</f>
        <v>0</v>
      </c>
      <c r="AE29" s="354">
        <f t="shared" ca="1" si="48"/>
        <v>0</v>
      </c>
      <c r="AF29" s="177">
        <f ca="1">IFERROR(__xludf.DUMMYFUNCTION("IMPORTRANGE(""https://docs.google.com/spreadsheets/d/1v0b9pFQCsKUVExMei7AgY2yQkdeNQvtOssygGsXbiKo/edit?usp=sharing"",""อุตรดิตถ์!J629"")"),0)</f>
        <v>0</v>
      </c>
      <c r="AG29" s="354">
        <f t="shared" ca="1" si="56"/>
        <v>0</v>
      </c>
      <c r="AH29" s="177">
        <f ca="1">IFERROR(__xludf.DUMMYFUNCTION("IMPORTRANGE(""https://docs.google.com/spreadsheets/d/1v0b9pFQCsKUVExMei7AgY2yQkdeNQvtOssygGsXbiKo/edit?usp=sharing"",""อุตรดิตถ์!J630"")"),0)</f>
        <v>0</v>
      </c>
      <c r="AI29" s="354">
        <f t="shared" ca="1" si="49"/>
        <v>0</v>
      </c>
      <c r="AJ29" s="354">
        <f ca="1">IFERROR(__xludf.DUMMYFUNCTION("IMPORTRANGE(""https://docs.google.com/spreadsheets/d/1v0b9pFQCsKUVExMei7AgY2yQkdeNQvtOssygGsXbiKo/edit?usp=sharing"",""อุตรดิตถ์!J631"")"),0)</f>
        <v>0</v>
      </c>
      <c r="AK29" s="354">
        <f t="shared" ca="1" si="50"/>
        <v>0</v>
      </c>
      <c r="AL29" s="354">
        <f ca="1">IFERROR(__xludf.DUMMYFUNCTION("IMPORTRANGE(""https://docs.google.com/spreadsheets/d/1v0b9pFQCsKUVExMei7AgY2yQkdeNQvtOssygGsXbiKo/edit?usp=sharing"",""อุตรดิตถ์!J632"")"),0)</f>
        <v>0</v>
      </c>
      <c r="AM29" s="354">
        <f t="shared" ca="1" si="51"/>
        <v>0</v>
      </c>
      <c r="AN29" s="354">
        <f ca="1">IFERROR(__xludf.DUMMYFUNCTION("IMPORTRANGE(""https://docs.google.com/spreadsheets/d/1v0b9pFQCsKUVExMei7AgY2yQkdeNQvtOssygGsXbiKo/edit?usp=sharing"",""อุตรดิตถ์!J633"")"),0)</f>
        <v>0</v>
      </c>
      <c r="AO29" s="354">
        <f ca="1">IFERROR(__xludf.DUMMYFUNCTION("IMPORTRANGE(""https://docs.google.com/spreadsheets/d/1v0b9pFQCsKUVExMei7AgY2yQkdeNQvtOssygGsXbiKo/edit?usp=sharing"",""อุตรดิตถ์!J634"")"),0)</f>
        <v>0</v>
      </c>
      <c r="AP29" s="177">
        <f ca="1">IFERROR(__xludf.DUMMYFUNCTION("IMPORTRANGE(""https://docs.google.com/spreadsheets/d/1v0b9pFQCsKUVExMei7AgY2yQkdeNQvtOssygGsXbiKo/edit?usp=sharing"",""อุตรดิตถ์!I635"")"),0)</f>
        <v>0</v>
      </c>
      <c r="AQ29" s="177">
        <f ca="1">IFERROR(__xludf.DUMMYFUNCTION("IMPORTRANGE(""https://docs.google.com/spreadsheets/d/1v0b9pFQCsKUVExMei7AgY2yQkdeNQvtOssygGsXbiKo/edit?usp=sharing"",""อุตรดิตถ์!J635"")"),0)</f>
        <v>0</v>
      </c>
      <c r="AR29" s="354">
        <f t="shared" ca="1" si="53"/>
        <v>0</v>
      </c>
      <c r="AS29" s="177">
        <f ca="1">IFERROR(__xludf.DUMMYFUNCTION("IMPORTRANGE(""https://docs.google.com/spreadsheets/d/1v0b9pFQCsKUVExMei7AgY2yQkdeNQvtOssygGsXbiKo/edit?usp=sharing"",""อุตรดิตถ์!J636"")"),0)</f>
        <v>0</v>
      </c>
      <c r="AT29" s="177">
        <f ca="1">IFERROR(__xludf.DUMMYFUNCTION("IMPORTRANGE(""https://docs.google.com/spreadsheets/d/1v0b9pFQCsKUVExMei7AgY2yQkdeNQvtOssygGsXbiKo/edit?usp=sharing"",""อุตรดิตถ์!J637"")"),0)</f>
        <v>0</v>
      </c>
      <c r="AU29" s="177">
        <f ca="1">IFERROR(__xludf.DUMMYFUNCTION("IMPORTRANGE(""https://docs.google.com/spreadsheets/d/1v0b9pFQCsKUVExMei7AgY2yQkdeNQvtOssygGsXbiKo/edit?usp=sharing"",""อุตรดิตถ์!J638"")"),0)</f>
        <v>0</v>
      </c>
      <c r="AV29" s="177">
        <f ca="1">IFERROR(__xludf.DUMMYFUNCTION("IMPORTRANGE(""https://docs.google.com/spreadsheets/d/1v0b9pFQCsKUVExMei7AgY2yQkdeNQvtOssygGsXbiKo/edit?usp=sharing"",""อุตรดิตถ์!J639"")"),0)</f>
        <v>0</v>
      </c>
      <c r="AW29" s="177">
        <f ca="1">IFERROR(__xludf.DUMMYFUNCTION("IMPORTRANGE(""https://docs.google.com/spreadsheets/d/1v0b9pFQCsKUVExMei7AgY2yQkdeNQvtOssygGsXbiKo/edit?usp=sharing"",""อุตรดิตถ์!J640"")"),0)</f>
        <v>0</v>
      </c>
    </row>
    <row r="30" spans="1:49" ht="19.5" x14ac:dyDescent="0.3">
      <c r="A30" s="100">
        <v>17</v>
      </c>
      <c r="B30" s="101" t="s">
        <v>56</v>
      </c>
      <c r="C30" s="182">
        <f t="shared" si="32"/>
        <v>0</v>
      </c>
      <c r="D30" s="183">
        <f t="shared" si="55"/>
        <v>0</v>
      </c>
      <c r="E30" s="409">
        <v>0</v>
      </c>
      <c r="F30" s="409">
        <v>0</v>
      </c>
      <c r="G30" s="409">
        <v>0</v>
      </c>
      <c r="H30" s="409">
        <v>0</v>
      </c>
      <c r="I30" s="409">
        <v>0</v>
      </c>
      <c r="J30" s="184">
        <f t="shared" si="34"/>
        <v>0</v>
      </c>
      <c r="K30" s="185">
        <f t="shared" si="35"/>
        <v>0</v>
      </c>
      <c r="L30" s="409">
        <v>0</v>
      </c>
      <c r="M30" s="109">
        <f t="shared" si="36"/>
        <v>0</v>
      </c>
      <c r="N30" s="109">
        <f t="shared" si="37"/>
        <v>0</v>
      </c>
      <c r="O30" s="409">
        <v>0</v>
      </c>
      <c r="P30" s="108">
        <f t="shared" si="38"/>
        <v>0</v>
      </c>
      <c r="Q30" s="109">
        <f t="shared" si="39"/>
        <v>0</v>
      </c>
      <c r="R30" s="109">
        <f ca="1">IFERROR(__xludf.DUMMYFUNCTION("IMPORTRANGE(""https://docs.google.com/spreadsheets/d/1UsNK1e-WWiCo2PvGqdNfdme4m17_Ezd3J69EeeiQPD0/edit?usp=sharing"",""อุทัยธานี!Q616"")"),1200)</f>
        <v>1200</v>
      </c>
      <c r="S30" s="109">
        <f ca="1">IFERROR(__xludf.DUMMYFUNCTION("IMPORTRANGE(""https://docs.google.com/spreadsheets/d/1UsNK1e-WWiCo2PvGqdNfdme4m17_Ezd3J69EeeiQPD0/edit?usp=sharing"",""อุทัยธานี!R616"")"),0)</f>
        <v>0</v>
      </c>
      <c r="T30" s="109">
        <f ca="1">IFERROR(__xludf.DUMMYFUNCTION("IMPORTRANGE(""https://docs.google.com/spreadsheets/d/1UsNK1e-WWiCo2PvGqdNfdme4m17_Ezd3J69EeeiQPD0/edit?usp=sharing"",""อุทัยธานี!S616"")"),0)</f>
        <v>0</v>
      </c>
      <c r="U30" s="109">
        <f t="shared" ca="1" si="41"/>
        <v>0</v>
      </c>
      <c r="V30" s="109">
        <f t="shared" ca="1" si="42"/>
        <v>0</v>
      </c>
      <c r="W30" s="356">
        <f ca="1">IFERROR(__xludf.DUMMYFUNCTION("IMPORTRANGE(""https://docs.google.com/spreadsheets/d/1UsNK1e-WWiCo2PvGqdNfdme4m17_Ezd3J69EeeiQPD0/edit?usp=sharing"",""อุทัยธานี!I626"")"),0)</f>
        <v>0</v>
      </c>
      <c r="X30" s="186">
        <f ca="1">IFERROR(__xludf.DUMMYFUNCTION("IMPORTRANGE(""https://docs.google.com/spreadsheets/d/1UsNK1e-WWiCo2PvGqdNfdme4m17_Ezd3J69EeeiQPD0/edit?usp=sharing"",""อุทัยธานี!J626"")"),0)</f>
        <v>0</v>
      </c>
      <c r="Y30" s="357">
        <f t="shared" ca="1" si="44"/>
        <v>0</v>
      </c>
      <c r="Z30" s="186">
        <f ca="1">IFERROR(__xludf.DUMMYFUNCTION("IMPORTRANGE(""https://docs.google.com/spreadsheets/d/1UsNK1e-WWiCo2PvGqdNfdme4m17_Ezd3J69EeeiQPD0/edit?usp=sharing"",""อุทัยธานี!I627"")"),0)</f>
        <v>0</v>
      </c>
      <c r="AA30" s="186">
        <f ca="1">IFERROR(__xludf.DUMMYFUNCTION("IMPORTRANGE(""https://docs.google.com/spreadsheets/d/1UsNK1e-WWiCo2PvGqdNfdme4m17_Ezd3J69EeeiQPD0/edit?usp=sharing"",""อุทัยธานี!J627"")"),0)</f>
        <v>0</v>
      </c>
      <c r="AB30" s="357">
        <f t="shared" ca="1" si="46"/>
        <v>0</v>
      </c>
      <c r="AC30" s="186">
        <f ca="1">IFERROR(__xludf.DUMMYFUNCTION("IMPORTRANGE(""https://docs.google.com/spreadsheets/d/1UsNK1e-WWiCo2PvGqdNfdme4m17_Ezd3J69EeeiQPD0/edit?usp=sharing"",""อุทัยธานี!I628"")"),0)</f>
        <v>0</v>
      </c>
      <c r="AD30" s="186">
        <f ca="1">IFERROR(__xludf.DUMMYFUNCTION("IMPORTRANGE(""https://docs.google.com/spreadsheets/d/1UsNK1e-WWiCo2PvGqdNfdme4m17_Ezd3J69EeeiQPD0/edit?usp=sharing"",""อุทัยธานี!J628"")"),0)</f>
        <v>0</v>
      </c>
      <c r="AE30" s="357">
        <f t="shared" ca="1" si="48"/>
        <v>0</v>
      </c>
      <c r="AF30" s="186">
        <f ca="1">IFERROR(__xludf.DUMMYFUNCTION("IMPORTRANGE(""https://docs.google.com/spreadsheets/d/1UsNK1e-WWiCo2PvGqdNfdme4m17_Ezd3J69EeeiQPD0/edit?usp=sharing"",""อุทัยธานี!J629"")"),0)</f>
        <v>0</v>
      </c>
      <c r="AG30" s="357">
        <f t="shared" ca="1" si="56"/>
        <v>0</v>
      </c>
      <c r="AH30" s="186">
        <f ca="1">IFERROR(__xludf.DUMMYFUNCTION("IMPORTRANGE(""https://docs.google.com/spreadsheets/d/1UsNK1e-WWiCo2PvGqdNfdme4m17_Ezd3J69EeeiQPD0/edit?usp=sharing"",""อุทัยธานี!J630"")"),0)</f>
        <v>0</v>
      </c>
      <c r="AI30" s="357">
        <f t="shared" ca="1" si="49"/>
        <v>0</v>
      </c>
      <c r="AJ30" s="357">
        <f ca="1">IFERROR(__xludf.DUMMYFUNCTION("IMPORTRANGE(""https://docs.google.com/spreadsheets/d/1UsNK1e-WWiCo2PvGqdNfdme4m17_Ezd3J69EeeiQPD0/edit?usp=sharing"",""อุทัยธานี!J631"")"),0)</f>
        <v>0</v>
      </c>
      <c r="AK30" s="357">
        <f t="shared" ca="1" si="50"/>
        <v>0</v>
      </c>
      <c r="AL30" s="357">
        <f ca="1">IFERROR(__xludf.DUMMYFUNCTION("IMPORTRANGE(""https://docs.google.com/spreadsheets/d/1UsNK1e-WWiCo2PvGqdNfdme4m17_Ezd3J69EeeiQPD0/edit?usp=sharing"",""อุทัยธานี!J632"")"),0)</f>
        <v>0</v>
      </c>
      <c r="AM30" s="357">
        <f t="shared" ca="1" si="51"/>
        <v>0</v>
      </c>
      <c r="AN30" s="357">
        <f ca="1">IFERROR(__xludf.DUMMYFUNCTION("IMPORTRANGE(""https://docs.google.com/spreadsheets/d/1UsNK1e-WWiCo2PvGqdNfdme4m17_Ezd3J69EeeiQPD0/edit?usp=sharing"",""อุทัยธานี!J633"")"),0)</f>
        <v>0</v>
      </c>
      <c r="AO30" s="357">
        <f ca="1">IFERROR(__xludf.DUMMYFUNCTION("IMPORTRANGE(""https://docs.google.com/spreadsheets/d/1UsNK1e-WWiCo2PvGqdNfdme4m17_Ezd3J69EeeiQPD0/edit?usp=sharing"",""อุทัยธานี!J634"")"),0)</f>
        <v>0</v>
      </c>
      <c r="AP30" s="186">
        <f ca="1">IFERROR(__xludf.DUMMYFUNCTION("IMPORTRANGE(""https://docs.google.com/spreadsheets/d/1UsNK1e-WWiCo2PvGqdNfdme4m17_Ezd3J69EeeiQPD0/edit?usp=sharing"",""อุทัยธานี!I635"")"),0)</f>
        <v>0</v>
      </c>
      <c r="AQ30" s="186">
        <f ca="1">IFERROR(__xludf.DUMMYFUNCTION("IMPORTRANGE(""https://docs.google.com/spreadsheets/d/1UsNK1e-WWiCo2PvGqdNfdme4m17_Ezd3J69EeeiQPD0/edit?usp=sharing"",""อุทัยธานี!J635"")"),0)</f>
        <v>0</v>
      </c>
      <c r="AR30" s="357">
        <f t="shared" ca="1" si="53"/>
        <v>0</v>
      </c>
      <c r="AS30" s="186">
        <f ca="1">IFERROR(__xludf.DUMMYFUNCTION("IMPORTRANGE(""https://docs.google.com/spreadsheets/d/1UsNK1e-WWiCo2PvGqdNfdme4m17_Ezd3J69EeeiQPD0/edit?usp=sharing"",""อุทัยธานี!J636"")"),0)</f>
        <v>0</v>
      </c>
      <c r="AT30" s="186">
        <f ca="1">IFERROR(__xludf.DUMMYFUNCTION("IMPORTRANGE(""https://docs.google.com/spreadsheets/d/1UsNK1e-WWiCo2PvGqdNfdme4m17_Ezd3J69EeeiQPD0/edit?usp=sharing"",""อุทัยธานี!J637"")"),0)</f>
        <v>0</v>
      </c>
      <c r="AU30" s="186">
        <f ca="1">IFERROR(__xludf.DUMMYFUNCTION("IMPORTRANGE(""https://docs.google.com/spreadsheets/d/1UsNK1e-WWiCo2PvGqdNfdme4m17_Ezd3J69EeeiQPD0/edit?usp=sharing"",""อุทัยธานี!J638"")"),0)</f>
        <v>0</v>
      </c>
      <c r="AV30" s="186">
        <f ca="1">IFERROR(__xludf.DUMMYFUNCTION("IMPORTRANGE(""https://docs.google.com/spreadsheets/d/1UsNK1e-WWiCo2PvGqdNfdme4m17_Ezd3J69EeeiQPD0/edit?usp=sharing"",""อุทัยธานี!J639"")"),0)</f>
        <v>0</v>
      </c>
      <c r="AW30" s="186">
        <f ca="1">IFERROR(__xludf.DUMMYFUNCTION("IMPORTRANGE(""https://docs.google.com/spreadsheets/d/1UsNK1e-WWiCo2PvGqdNfdme4m17_Ezd3J69EeeiQPD0/edit?usp=sharing"",""อุทัยธานี!J640"")"),0)</f>
        <v>0</v>
      </c>
    </row>
    <row r="31" spans="1:49" ht="19.5" x14ac:dyDescent="0.3">
      <c r="A31" s="625" t="s">
        <v>57</v>
      </c>
      <c r="B31" s="626"/>
      <c r="C31" s="161">
        <f t="shared" si="32"/>
        <v>0</v>
      </c>
      <c r="D31" s="161">
        <f t="shared" ref="D31:I31" si="57">SUM(D32:D51)</f>
        <v>0</v>
      </c>
      <c r="E31" s="161">
        <f t="shared" si="57"/>
        <v>0</v>
      </c>
      <c r="F31" s="161">
        <f t="shared" si="57"/>
        <v>0</v>
      </c>
      <c r="G31" s="161">
        <f t="shared" si="57"/>
        <v>0</v>
      </c>
      <c r="H31" s="161">
        <f t="shared" si="57"/>
        <v>0</v>
      </c>
      <c r="I31" s="161">
        <f t="shared" si="57"/>
        <v>0</v>
      </c>
      <c r="J31" s="161">
        <f t="shared" si="34"/>
        <v>0</v>
      </c>
      <c r="K31" s="162">
        <f t="shared" si="35"/>
        <v>0</v>
      </c>
      <c r="L31" s="161">
        <f>SUM(L32:L51)</f>
        <v>0</v>
      </c>
      <c r="M31" s="40">
        <f t="shared" si="36"/>
        <v>0</v>
      </c>
      <c r="N31" s="40">
        <f t="shared" si="37"/>
        <v>0</v>
      </c>
      <c r="O31" s="39">
        <f>SUM(O32:O51)</f>
        <v>0</v>
      </c>
      <c r="P31" s="39">
        <f t="shared" si="38"/>
        <v>0</v>
      </c>
      <c r="Q31" s="40">
        <f t="shared" si="39"/>
        <v>0</v>
      </c>
      <c r="R31" s="40">
        <f t="shared" ref="R31:T31" ca="1" si="58">SUM(R32:R51)</f>
        <v>170750</v>
      </c>
      <c r="S31" s="40">
        <f t="shared" ca="1" si="58"/>
        <v>0</v>
      </c>
      <c r="T31" s="40">
        <f t="shared" ca="1" si="58"/>
        <v>1752</v>
      </c>
      <c r="U31" s="40">
        <f t="shared" ca="1" si="41"/>
        <v>1.0260614934114203</v>
      </c>
      <c r="V31" s="40">
        <f t="shared" ca="1" si="42"/>
        <v>0</v>
      </c>
      <c r="W31" s="347">
        <f t="shared" ref="W31:X31" ca="1" si="59">SUM(W32:W51)</f>
        <v>1300</v>
      </c>
      <c r="X31" s="161">
        <f t="shared" ca="1" si="59"/>
        <v>0</v>
      </c>
      <c r="Y31" s="40">
        <f t="shared" ca="1" si="44"/>
        <v>0</v>
      </c>
      <c r="Z31" s="161">
        <f t="shared" ref="Z31:AA31" ca="1" si="60">SUM(Z32:Z51)</f>
        <v>7</v>
      </c>
      <c r="AA31" s="161">
        <f t="shared" ca="1" si="60"/>
        <v>2</v>
      </c>
      <c r="AB31" s="40">
        <f t="shared" ca="1" si="46"/>
        <v>28.571428571428573</v>
      </c>
      <c r="AC31" s="161">
        <f t="shared" ref="AC31:AD31" ca="1" si="61">SUM(AC32:AC51)</f>
        <v>7</v>
      </c>
      <c r="AD31" s="161">
        <f t="shared" ca="1" si="61"/>
        <v>0</v>
      </c>
      <c r="AE31" s="40">
        <f t="shared" ca="1" si="48"/>
        <v>0</v>
      </c>
      <c r="AF31" s="161">
        <f ca="1">SUM(AF32:AF51)</f>
        <v>0</v>
      </c>
      <c r="AG31" s="40">
        <f t="shared" ca="1" si="56"/>
        <v>0</v>
      </c>
      <c r="AH31" s="161">
        <f ca="1">SUM(AH32:AH51)</f>
        <v>0</v>
      </c>
      <c r="AI31" s="40">
        <f t="shared" ca="1" si="49"/>
        <v>0</v>
      </c>
      <c r="AJ31" s="40">
        <f ca="1">SUM(AJ32:AJ51)</f>
        <v>0</v>
      </c>
      <c r="AK31" s="40">
        <f t="shared" ca="1" si="50"/>
        <v>0</v>
      </c>
      <c r="AL31" s="40">
        <f ca="1">SUM(AL32:AL51)</f>
        <v>0</v>
      </c>
      <c r="AM31" s="40">
        <f t="shared" ca="1" si="51"/>
        <v>0</v>
      </c>
      <c r="AN31" s="40">
        <f t="shared" ref="AN31:AQ31" ca="1" si="62">SUM(AN32:AN51)</f>
        <v>0</v>
      </c>
      <c r="AO31" s="40">
        <f t="shared" ca="1" si="62"/>
        <v>0</v>
      </c>
      <c r="AP31" s="161">
        <f t="shared" ca="1" si="62"/>
        <v>0</v>
      </c>
      <c r="AQ31" s="161">
        <f t="shared" ca="1" si="62"/>
        <v>0</v>
      </c>
      <c r="AR31" s="40">
        <f t="shared" ca="1" si="53"/>
        <v>0</v>
      </c>
      <c r="AS31" s="161">
        <f t="shared" ref="AS31:AW31" ca="1" si="63">SUM(AS32:AS51)</f>
        <v>0</v>
      </c>
      <c r="AT31" s="161">
        <f t="shared" ca="1" si="63"/>
        <v>0</v>
      </c>
      <c r="AU31" s="161">
        <f t="shared" ca="1" si="63"/>
        <v>0</v>
      </c>
      <c r="AV31" s="161">
        <f t="shared" ca="1" si="63"/>
        <v>0</v>
      </c>
      <c r="AW31" s="161">
        <f t="shared" ca="1" si="63"/>
        <v>0</v>
      </c>
    </row>
    <row r="32" spans="1:49" ht="19.5" x14ac:dyDescent="0.3">
      <c r="A32" s="77">
        <v>1</v>
      </c>
      <c r="B32" s="78" t="s">
        <v>58</v>
      </c>
      <c r="C32" s="174">
        <f t="shared" si="32"/>
        <v>0</v>
      </c>
      <c r="D32" s="175">
        <f t="shared" ref="D32:D51" si="64">+E32+F32</f>
        <v>0</v>
      </c>
      <c r="E32" s="403">
        <v>0</v>
      </c>
      <c r="F32" s="403">
        <v>0</v>
      </c>
      <c r="G32" s="219">
        <v>0</v>
      </c>
      <c r="H32" s="219">
        <v>0</v>
      </c>
      <c r="I32" s="219">
        <v>0</v>
      </c>
      <c r="J32" s="177">
        <f t="shared" si="34"/>
        <v>0</v>
      </c>
      <c r="K32" s="178">
        <f t="shared" si="35"/>
        <v>0</v>
      </c>
      <c r="L32" s="219">
        <v>0</v>
      </c>
      <c r="M32" s="87">
        <f t="shared" si="36"/>
        <v>0</v>
      </c>
      <c r="N32" s="87">
        <f t="shared" si="37"/>
        <v>0</v>
      </c>
      <c r="O32" s="403">
        <v>0</v>
      </c>
      <c r="P32" s="86">
        <f t="shared" si="38"/>
        <v>0</v>
      </c>
      <c r="Q32" s="87">
        <f t="shared" si="39"/>
        <v>0</v>
      </c>
      <c r="R32" s="87">
        <f ca="1">IFERROR(__xludf.DUMMYFUNCTION("IMPORTRANGE(""https://docs.google.com/spreadsheets/d/1yhBcrRPreicbMKl9Bu_Snb2-OcQAF62RKfhTLhJ2eAA/edit?usp=sharing"",""กาฬสินธุ์!Q616"")"),6950)</f>
        <v>6950</v>
      </c>
      <c r="S32" s="87">
        <f ca="1">IFERROR(__xludf.DUMMYFUNCTION("IMPORTRANGE(""https://docs.google.com/spreadsheets/d/1yhBcrRPreicbMKl9Bu_Snb2-OcQAF62RKfhTLhJ2eAA/edit?usp=sharing"",""กาฬสินธุ์!R616"")"),0)</f>
        <v>0</v>
      </c>
      <c r="T32" s="87">
        <f ca="1">IFERROR(__xludf.DUMMYFUNCTION("IMPORTRANGE(""https://docs.google.com/spreadsheets/d/1yhBcrRPreicbMKl9Bu_Snb2-OcQAF62RKfhTLhJ2eAA/edit?usp=sharing"",""กาฬสินธุ์!S616"")"),0)</f>
        <v>0</v>
      </c>
      <c r="U32" s="87">
        <f t="shared" ca="1" si="41"/>
        <v>0</v>
      </c>
      <c r="V32" s="87">
        <f t="shared" ca="1" si="42"/>
        <v>0</v>
      </c>
      <c r="W32" s="353">
        <f ca="1">IFERROR(__xludf.DUMMYFUNCTION("IMPORTRANGE(""https://docs.google.com/spreadsheets/d/1yhBcrRPreicbMKl9Bu_Snb2-OcQAF62RKfhTLhJ2eAA/edit?usp=sharing"",""กาฬสินธุ์!I626"")"),50)</f>
        <v>50</v>
      </c>
      <c r="X32" s="177">
        <f ca="1">IFERROR(__xludf.DUMMYFUNCTION("IMPORTRANGE(""https://docs.google.com/spreadsheets/d/1yhBcrRPreicbMKl9Bu_Snb2-OcQAF62RKfhTLhJ2eAA/edit?usp=sharing"",""กาฬสินธุ์!J626"")"),0)</f>
        <v>0</v>
      </c>
      <c r="Y32" s="354">
        <f t="shared" ca="1" si="44"/>
        <v>0</v>
      </c>
      <c r="Z32" s="177">
        <f ca="1">IFERROR(__xludf.DUMMYFUNCTION("IMPORTRANGE(""https://docs.google.com/spreadsheets/d/1yhBcrRPreicbMKl9Bu_Snb2-OcQAF62RKfhTLhJ2eAA/edit?usp=sharing"",""กาฬสินธุ์!I627"")"),0)</f>
        <v>0</v>
      </c>
      <c r="AA32" s="177">
        <f ca="1">IFERROR(__xludf.DUMMYFUNCTION("IMPORTRANGE(""https://docs.google.com/spreadsheets/d/1yhBcrRPreicbMKl9Bu_Snb2-OcQAF62RKfhTLhJ2eAA/edit?usp=sharing"",""กาฬสินธุ์!J627"")"),0)</f>
        <v>0</v>
      </c>
      <c r="AB32" s="354">
        <f t="shared" ca="1" si="46"/>
        <v>0</v>
      </c>
      <c r="AC32" s="177">
        <f ca="1">IFERROR(__xludf.DUMMYFUNCTION("IMPORTRANGE(""https://docs.google.com/spreadsheets/d/1yhBcrRPreicbMKl9Bu_Snb2-OcQAF62RKfhTLhJ2eAA/edit?usp=sharing"",""กาฬสินธุ์!I628"")"),0)</f>
        <v>0</v>
      </c>
      <c r="AD32" s="177">
        <f ca="1">IFERROR(__xludf.DUMMYFUNCTION("IMPORTRANGE(""https://docs.google.com/spreadsheets/d/1yhBcrRPreicbMKl9Bu_Snb2-OcQAF62RKfhTLhJ2eAA/edit?usp=sharing"",""กาฬสินธุ์!J628"")"),0)</f>
        <v>0</v>
      </c>
      <c r="AE32" s="354">
        <f t="shared" ca="1" si="48"/>
        <v>0</v>
      </c>
      <c r="AF32" s="177">
        <f ca="1">IFERROR(__xludf.DUMMYFUNCTION("IMPORTRANGE(""https://docs.google.com/spreadsheets/d/1yhBcrRPreicbMKl9Bu_Snb2-OcQAF62RKfhTLhJ2eAA/edit?usp=sharing"",""กาฬสินธุ์!J629"")"),0)</f>
        <v>0</v>
      </c>
      <c r="AG32" s="354">
        <f t="shared" ca="1" si="56"/>
        <v>0</v>
      </c>
      <c r="AH32" s="177">
        <f ca="1">IFERROR(__xludf.DUMMYFUNCTION("IMPORTRANGE(""https://docs.google.com/spreadsheets/d/1yhBcrRPreicbMKl9Bu_Snb2-OcQAF62RKfhTLhJ2eAA/edit?usp=sharing"",""กาฬสินธุ์!J630"")"),0)</f>
        <v>0</v>
      </c>
      <c r="AI32" s="354">
        <f t="shared" ca="1" si="49"/>
        <v>0</v>
      </c>
      <c r="AJ32" s="354">
        <f ca="1">IFERROR(__xludf.DUMMYFUNCTION("IMPORTRANGE(""https://docs.google.com/spreadsheets/d/1yhBcrRPreicbMKl9Bu_Snb2-OcQAF62RKfhTLhJ2eAA/edit?usp=sharing"",""กาฬสินธุ์!J631"")"),0)</f>
        <v>0</v>
      </c>
      <c r="AK32" s="354">
        <f t="shared" ca="1" si="50"/>
        <v>0</v>
      </c>
      <c r="AL32" s="354">
        <f ca="1">IFERROR(__xludf.DUMMYFUNCTION("IMPORTRANGE(""https://docs.google.com/spreadsheets/d/1yhBcrRPreicbMKl9Bu_Snb2-OcQAF62RKfhTLhJ2eAA/edit?usp=sharing"",""กาฬสินธุ์!J632"")"),0)</f>
        <v>0</v>
      </c>
      <c r="AM32" s="354">
        <f t="shared" ca="1" si="51"/>
        <v>0</v>
      </c>
      <c r="AN32" s="354">
        <f ca="1">IFERROR(__xludf.DUMMYFUNCTION("IMPORTRANGE(""https://docs.google.com/spreadsheets/d/1yhBcrRPreicbMKl9Bu_Snb2-OcQAF62RKfhTLhJ2eAA/edit?usp=sharing"",""กาฬสินธุ์!J633"")"),0)</f>
        <v>0</v>
      </c>
      <c r="AO32" s="354">
        <f ca="1">IFERROR(__xludf.DUMMYFUNCTION("IMPORTRANGE(""https://docs.google.com/spreadsheets/d/1yhBcrRPreicbMKl9Bu_Snb2-OcQAF62RKfhTLhJ2eAA/edit?usp=sharing"",""กาฬสินธุ์!J634"")"),0)</f>
        <v>0</v>
      </c>
      <c r="AP32" s="177">
        <f ca="1">IFERROR(__xludf.DUMMYFUNCTION("IMPORTRANGE(""https://docs.google.com/spreadsheets/d/1yhBcrRPreicbMKl9Bu_Snb2-OcQAF62RKfhTLhJ2eAA/edit?usp=sharing"",""กาฬสินธุ์!I635"")"),0)</f>
        <v>0</v>
      </c>
      <c r="AQ32" s="177">
        <f ca="1">IFERROR(__xludf.DUMMYFUNCTION("IMPORTRANGE(""https://docs.google.com/spreadsheets/d/1yhBcrRPreicbMKl9Bu_Snb2-OcQAF62RKfhTLhJ2eAA/edit?usp=sharing"",""กาฬสินธุ์!J635"")"),0)</f>
        <v>0</v>
      </c>
      <c r="AR32" s="354">
        <f t="shared" ca="1" si="53"/>
        <v>0</v>
      </c>
      <c r="AS32" s="177">
        <f ca="1">IFERROR(__xludf.DUMMYFUNCTION("IMPORTRANGE(""https://docs.google.com/spreadsheets/d/1yhBcrRPreicbMKl9Bu_Snb2-OcQAF62RKfhTLhJ2eAA/edit?usp=sharing"",""กาฬสินธุ์!J636"")"),0)</f>
        <v>0</v>
      </c>
      <c r="AT32" s="177">
        <f ca="1">IFERROR(__xludf.DUMMYFUNCTION("IMPORTRANGE(""https://docs.google.com/spreadsheets/d/1yhBcrRPreicbMKl9Bu_Snb2-OcQAF62RKfhTLhJ2eAA/edit?usp=sharing"",""กาฬสินธุ์!J637"")"),0)</f>
        <v>0</v>
      </c>
      <c r="AU32" s="177">
        <f ca="1">IFERROR(__xludf.DUMMYFUNCTION("IMPORTRANGE(""https://docs.google.com/spreadsheets/d/1yhBcrRPreicbMKl9Bu_Snb2-OcQAF62RKfhTLhJ2eAA/edit?usp=sharing"",""กาฬสินธุ์!J638"")"),0)</f>
        <v>0</v>
      </c>
      <c r="AV32" s="177">
        <f ca="1">IFERROR(__xludf.DUMMYFUNCTION("IMPORTRANGE(""https://docs.google.com/spreadsheets/d/1yhBcrRPreicbMKl9Bu_Snb2-OcQAF62RKfhTLhJ2eAA/edit?usp=sharing"",""กาฬสินธุ์!J639"")"),0)</f>
        <v>0</v>
      </c>
      <c r="AW32" s="177">
        <f ca="1">IFERROR(__xludf.DUMMYFUNCTION("IMPORTRANGE(""https://docs.google.com/spreadsheets/d/1yhBcrRPreicbMKl9Bu_Snb2-OcQAF62RKfhTLhJ2eAA/edit?usp=sharing"",""กาฬสินธุ์!J640"")"),0)</f>
        <v>0</v>
      </c>
    </row>
    <row r="33" spans="1:49" ht="19.5" x14ac:dyDescent="0.3">
      <c r="A33" s="89">
        <v>2</v>
      </c>
      <c r="B33" s="90" t="s">
        <v>59</v>
      </c>
      <c r="C33" s="174">
        <f t="shared" si="32"/>
        <v>0</v>
      </c>
      <c r="D33" s="175">
        <f t="shared" si="64"/>
        <v>0</v>
      </c>
      <c r="E33" s="403">
        <v>0</v>
      </c>
      <c r="F33" s="403">
        <v>0</v>
      </c>
      <c r="G33" s="403">
        <v>0</v>
      </c>
      <c r="H33" s="403">
        <v>0</v>
      </c>
      <c r="I33" s="403">
        <v>0</v>
      </c>
      <c r="J33" s="176">
        <f t="shared" si="34"/>
        <v>0</v>
      </c>
      <c r="K33" s="179">
        <f t="shared" si="35"/>
        <v>0</v>
      </c>
      <c r="L33" s="403">
        <v>0</v>
      </c>
      <c r="M33" s="87">
        <f t="shared" si="36"/>
        <v>0</v>
      </c>
      <c r="N33" s="87">
        <f t="shared" si="37"/>
        <v>0</v>
      </c>
      <c r="O33" s="403">
        <v>0</v>
      </c>
      <c r="P33" s="86">
        <f t="shared" si="38"/>
        <v>0</v>
      </c>
      <c r="Q33" s="87">
        <f t="shared" si="39"/>
        <v>0</v>
      </c>
      <c r="R33" s="87">
        <f ca="1">IFERROR(__xludf.DUMMYFUNCTION("IMPORTRANGE(""https://docs.google.com/spreadsheets/d/1aHkj4IaQMThhwWwevcOymEh837vdxeC_PycurhTbGFA/edit?usp=sharing"",""ขอนแก่น!Q616"")"),12750)</f>
        <v>12750</v>
      </c>
      <c r="S33" s="87">
        <f ca="1">IFERROR(__xludf.DUMMYFUNCTION("IMPORTRANGE(""https://docs.google.com/spreadsheets/d/1aHkj4IaQMThhwWwevcOymEh837vdxeC_PycurhTbGFA/edit?usp=sharing"",""ขอนแก่น!R616"")"),0)</f>
        <v>0</v>
      </c>
      <c r="T33" s="87">
        <f ca="1">IFERROR(__xludf.DUMMYFUNCTION("IMPORTRANGE(""https://docs.google.com/spreadsheets/d/1aHkj4IaQMThhwWwevcOymEh837vdxeC_PycurhTbGFA/edit?usp=sharing"",""ขอนแก่น!S616"")"),0)</f>
        <v>0</v>
      </c>
      <c r="U33" s="87">
        <f t="shared" ca="1" si="41"/>
        <v>0</v>
      </c>
      <c r="V33" s="87">
        <f t="shared" ca="1" si="42"/>
        <v>0</v>
      </c>
      <c r="W33" s="353">
        <f ca="1">IFERROR(__xludf.DUMMYFUNCTION("IMPORTRANGE(""https://docs.google.com/spreadsheets/d/1aHkj4IaQMThhwWwevcOymEh837vdxeC_PycurhTbGFA/edit?usp=sharing"",""ขอนแก่น!I626"")"),100)</f>
        <v>100</v>
      </c>
      <c r="X33" s="177">
        <f ca="1">IFERROR(__xludf.DUMMYFUNCTION("IMPORTRANGE(""https://docs.google.com/spreadsheets/d/1aHkj4IaQMThhwWwevcOymEh837vdxeC_PycurhTbGFA/edit?usp=sharing"",""ขอนแก่น!J626"")"),0)</f>
        <v>0</v>
      </c>
      <c r="Y33" s="354">
        <f t="shared" ca="1" si="44"/>
        <v>0</v>
      </c>
      <c r="Z33" s="177">
        <f ca="1">IFERROR(__xludf.DUMMYFUNCTION("IMPORTRANGE(""https://docs.google.com/spreadsheets/d/1aHkj4IaQMThhwWwevcOymEh837vdxeC_PycurhTbGFA/edit?usp=sharing"",""ขอนแก่น!I627"")"),1)</f>
        <v>1</v>
      </c>
      <c r="AA33" s="177">
        <f ca="1">IFERROR(__xludf.DUMMYFUNCTION("IMPORTRANGE(""https://docs.google.com/spreadsheets/d/1aHkj4IaQMThhwWwevcOymEh837vdxeC_PycurhTbGFA/edit?usp=sharing"",""ขอนแก่น!J627"")"),0)</f>
        <v>0</v>
      </c>
      <c r="AB33" s="354">
        <f t="shared" ca="1" si="46"/>
        <v>0</v>
      </c>
      <c r="AC33" s="177">
        <f ca="1">IFERROR(__xludf.DUMMYFUNCTION("IMPORTRANGE(""https://docs.google.com/spreadsheets/d/1aHkj4IaQMThhwWwevcOymEh837vdxeC_PycurhTbGFA/edit?usp=sharing"",""ขอนแก่น!I628"")"),1)</f>
        <v>1</v>
      </c>
      <c r="AD33" s="177">
        <f ca="1">IFERROR(__xludf.DUMMYFUNCTION("IMPORTRANGE(""https://docs.google.com/spreadsheets/d/1aHkj4IaQMThhwWwevcOymEh837vdxeC_PycurhTbGFA/edit?usp=sharing"",""ขอนแก่น!J628"")"),0)</f>
        <v>0</v>
      </c>
      <c r="AE33" s="354">
        <f t="shared" ca="1" si="48"/>
        <v>0</v>
      </c>
      <c r="AF33" s="177">
        <f ca="1">IFERROR(__xludf.DUMMYFUNCTION("IMPORTRANGE(""https://docs.google.com/spreadsheets/d/1aHkj4IaQMThhwWwevcOymEh837vdxeC_PycurhTbGFA/edit?usp=sharing"",""ขอนแก่น!J629"")"),0)</f>
        <v>0</v>
      </c>
      <c r="AG33" s="354">
        <f t="shared" ca="1" si="56"/>
        <v>0</v>
      </c>
      <c r="AH33" s="177">
        <f ca="1">IFERROR(__xludf.DUMMYFUNCTION("IMPORTRANGE(""https://docs.google.com/spreadsheets/d/1aHkj4IaQMThhwWwevcOymEh837vdxeC_PycurhTbGFA/edit?usp=sharing"",""ขอนแก่น!J630"")"),0)</f>
        <v>0</v>
      </c>
      <c r="AI33" s="354">
        <f t="shared" ca="1" si="49"/>
        <v>0</v>
      </c>
      <c r="AJ33" s="354">
        <f ca="1">IFERROR(__xludf.DUMMYFUNCTION("IMPORTRANGE(""https://docs.google.com/spreadsheets/d/1aHkj4IaQMThhwWwevcOymEh837vdxeC_PycurhTbGFA/edit?usp=sharing"",""ขอนแก่น!J631"")"),0)</f>
        <v>0</v>
      </c>
      <c r="AK33" s="354">
        <f t="shared" ca="1" si="50"/>
        <v>0</v>
      </c>
      <c r="AL33" s="354">
        <f ca="1">IFERROR(__xludf.DUMMYFUNCTION("IMPORTRANGE(""https://docs.google.com/spreadsheets/d/1aHkj4IaQMThhwWwevcOymEh837vdxeC_PycurhTbGFA/edit?usp=sharing"",""ขอนแก่น!J632"")"),0)</f>
        <v>0</v>
      </c>
      <c r="AM33" s="354">
        <f t="shared" ca="1" si="51"/>
        <v>0</v>
      </c>
      <c r="AN33" s="354">
        <f ca="1">IFERROR(__xludf.DUMMYFUNCTION("IMPORTRANGE(""https://docs.google.com/spreadsheets/d/1aHkj4IaQMThhwWwevcOymEh837vdxeC_PycurhTbGFA/edit?usp=sharing"",""ขอนแก่น!J633"")"),0)</f>
        <v>0</v>
      </c>
      <c r="AO33" s="354">
        <f ca="1">IFERROR(__xludf.DUMMYFUNCTION("IMPORTRANGE(""https://docs.google.com/spreadsheets/d/1aHkj4IaQMThhwWwevcOymEh837vdxeC_PycurhTbGFA/edit?usp=sharing"",""ขอนแก่น!J634"")"),0)</f>
        <v>0</v>
      </c>
      <c r="AP33" s="177">
        <f ca="1">IFERROR(__xludf.DUMMYFUNCTION("IMPORTRANGE(""https://docs.google.com/spreadsheets/d/1aHkj4IaQMThhwWwevcOymEh837vdxeC_PycurhTbGFA/edit?usp=sharing"",""ขอนแก่น!I635"")"),0)</f>
        <v>0</v>
      </c>
      <c r="AQ33" s="177">
        <f ca="1">IFERROR(__xludf.DUMMYFUNCTION("IMPORTRANGE(""https://docs.google.com/spreadsheets/d/1aHkj4IaQMThhwWwevcOymEh837vdxeC_PycurhTbGFA/edit?usp=sharing"",""ขอนแก่น!J635"")"),0)</f>
        <v>0</v>
      </c>
      <c r="AR33" s="354">
        <f t="shared" ca="1" si="53"/>
        <v>0</v>
      </c>
      <c r="AS33" s="177">
        <f ca="1">IFERROR(__xludf.DUMMYFUNCTION("IMPORTRANGE(""https://docs.google.com/spreadsheets/d/1aHkj4IaQMThhwWwevcOymEh837vdxeC_PycurhTbGFA/edit?usp=sharing"",""ขอนแก่น!J636"")"),0)</f>
        <v>0</v>
      </c>
      <c r="AT33" s="177">
        <f ca="1">IFERROR(__xludf.DUMMYFUNCTION("IMPORTRANGE(""https://docs.google.com/spreadsheets/d/1aHkj4IaQMThhwWwevcOymEh837vdxeC_PycurhTbGFA/edit?usp=sharing"",""ขอนแก่น!J637"")"),0)</f>
        <v>0</v>
      </c>
      <c r="AU33" s="177">
        <f ca="1">IFERROR(__xludf.DUMMYFUNCTION("IMPORTRANGE(""https://docs.google.com/spreadsheets/d/1aHkj4IaQMThhwWwevcOymEh837vdxeC_PycurhTbGFA/edit?usp=sharing"",""ขอนแก่น!J638"")"),0)</f>
        <v>0</v>
      </c>
      <c r="AV33" s="177">
        <f ca="1">IFERROR(__xludf.DUMMYFUNCTION("IMPORTRANGE(""https://docs.google.com/spreadsheets/d/1aHkj4IaQMThhwWwevcOymEh837vdxeC_PycurhTbGFA/edit?usp=sharing"",""ขอนแก่น!J639"")"),0)</f>
        <v>0</v>
      </c>
      <c r="AW33" s="177">
        <f ca="1">IFERROR(__xludf.DUMMYFUNCTION("IMPORTRANGE(""https://docs.google.com/spreadsheets/d/1aHkj4IaQMThhwWwevcOymEh837vdxeC_PycurhTbGFA/edit?usp=sharing"",""ขอนแก่น!J640"")"),0)</f>
        <v>0</v>
      </c>
    </row>
    <row r="34" spans="1:49" ht="19.5" x14ac:dyDescent="0.3">
      <c r="A34" s="89">
        <v>3</v>
      </c>
      <c r="B34" s="90" t="s">
        <v>60</v>
      </c>
      <c r="C34" s="174">
        <f t="shared" si="32"/>
        <v>0</v>
      </c>
      <c r="D34" s="175">
        <f t="shared" si="64"/>
        <v>0</v>
      </c>
      <c r="E34" s="403">
        <v>0</v>
      </c>
      <c r="F34" s="403">
        <v>0</v>
      </c>
      <c r="G34" s="403">
        <v>0</v>
      </c>
      <c r="H34" s="403">
        <v>0</v>
      </c>
      <c r="I34" s="403">
        <v>0</v>
      </c>
      <c r="J34" s="176">
        <f t="shared" si="34"/>
        <v>0</v>
      </c>
      <c r="K34" s="179">
        <f t="shared" si="35"/>
        <v>0</v>
      </c>
      <c r="L34" s="403">
        <v>0</v>
      </c>
      <c r="M34" s="87">
        <f t="shared" si="36"/>
        <v>0</v>
      </c>
      <c r="N34" s="87">
        <f t="shared" si="37"/>
        <v>0</v>
      </c>
      <c r="O34" s="403">
        <v>0</v>
      </c>
      <c r="P34" s="86">
        <f t="shared" si="38"/>
        <v>0</v>
      </c>
      <c r="Q34" s="87">
        <f t="shared" si="39"/>
        <v>0</v>
      </c>
      <c r="R34" s="87">
        <f ca="1">IFERROR(__xludf.DUMMYFUNCTION("IMPORTRANGE(""https://docs.google.com/spreadsheets/d/1FvTu2DsIWUjP6WCWra38Bkj_oOl_sOMf14r5Fg5srxU/edit?usp=sharing"",""ชัยภูมิ!Q616"")"),11900)</f>
        <v>11900</v>
      </c>
      <c r="S34" s="87">
        <f ca="1">IFERROR(__xludf.DUMMYFUNCTION("IMPORTRANGE(""https://docs.google.com/spreadsheets/d/1FvTu2DsIWUjP6WCWra38Bkj_oOl_sOMf14r5Fg5srxU/edit?usp=sharing"",""ชัยภูมิ!R616"")"),0)</f>
        <v>0</v>
      </c>
      <c r="T34" s="87">
        <f ca="1">IFERROR(__xludf.DUMMYFUNCTION("IMPORTRANGE(""https://docs.google.com/spreadsheets/d/1FvTu2DsIWUjP6WCWra38Bkj_oOl_sOMf14r5Fg5srxU/edit?usp=sharing"",""ชัยภูมิ!S616"")"),0)</f>
        <v>0</v>
      </c>
      <c r="U34" s="87">
        <f t="shared" ca="1" si="41"/>
        <v>0</v>
      </c>
      <c r="V34" s="87">
        <f t="shared" ca="1" si="42"/>
        <v>0</v>
      </c>
      <c r="W34" s="353">
        <f ca="1">IFERROR(__xludf.DUMMYFUNCTION("IMPORTRANGE(""https://docs.google.com/spreadsheets/d/1FvTu2DsIWUjP6WCWra38Bkj_oOl_sOMf14r5Fg5srxU/edit?usp=sharing"",""ชัยภูมิ!I626"")"),100)</f>
        <v>100</v>
      </c>
      <c r="X34" s="177">
        <f ca="1">IFERROR(__xludf.DUMMYFUNCTION("IMPORTRANGE(""https://docs.google.com/spreadsheets/d/1FvTu2DsIWUjP6WCWra38Bkj_oOl_sOMf14r5Fg5srxU/edit?usp=sharing"",""ชัยภูมิ!J626"")"),0)</f>
        <v>0</v>
      </c>
      <c r="Y34" s="354">
        <f t="shared" ca="1" si="44"/>
        <v>0</v>
      </c>
      <c r="Z34" s="177">
        <f ca="1">IFERROR(__xludf.DUMMYFUNCTION("IMPORTRANGE(""https://docs.google.com/spreadsheets/d/1FvTu2DsIWUjP6WCWra38Bkj_oOl_sOMf14r5Fg5srxU/edit?usp=sharing"",""ชัยภูมิ!I627"")"),0)</f>
        <v>0</v>
      </c>
      <c r="AA34" s="177">
        <f ca="1">IFERROR(__xludf.DUMMYFUNCTION("IMPORTRANGE(""https://docs.google.com/spreadsheets/d/1FvTu2DsIWUjP6WCWra38Bkj_oOl_sOMf14r5Fg5srxU/edit?usp=sharing"",""ชัยภูมิ!J627"")"),0)</f>
        <v>0</v>
      </c>
      <c r="AB34" s="354">
        <f t="shared" ca="1" si="46"/>
        <v>0</v>
      </c>
      <c r="AC34" s="177">
        <f ca="1">IFERROR(__xludf.DUMMYFUNCTION("IMPORTRANGE(""https://docs.google.com/spreadsheets/d/1FvTu2DsIWUjP6WCWra38Bkj_oOl_sOMf14r5Fg5srxU/edit?usp=sharing"",""ชัยภูมิ!I628"")"),0)</f>
        <v>0</v>
      </c>
      <c r="AD34" s="177">
        <f ca="1">IFERROR(__xludf.DUMMYFUNCTION("IMPORTRANGE(""https://docs.google.com/spreadsheets/d/1FvTu2DsIWUjP6WCWra38Bkj_oOl_sOMf14r5Fg5srxU/edit?usp=sharing"",""ชัยภูมิ!J628"")"),0)</f>
        <v>0</v>
      </c>
      <c r="AE34" s="354">
        <f t="shared" ca="1" si="48"/>
        <v>0</v>
      </c>
      <c r="AF34" s="177">
        <f ca="1">IFERROR(__xludf.DUMMYFUNCTION("IMPORTRANGE(""https://docs.google.com/spreadsheets/d/1FvTu2DsIWUjP6WCWra38Bkj_oOl_sOMf14r5Fg5srxU/edit?usp=sharing"",""ชัยภูมิ!J629"")"),0)</f>
        <v>0</v>
      </c>
      <c r="AG34" s="354">
        <f t="shared" ca="1" si="56"/>
        <v>0</v>
      </c>
      <c r="AH34" s="177">
        <f ca="1">IFERROR(__xludf.DUMMYFUNCTION("IMPORTRANGE(""https://docs.google.com/spreadsheets/d/1FvTu2DsIWUjP6WCWra38Bkj_oOl_sOMf14r5Fg5srxU/edit?usp=sharing"",""ชัยภูมิ!J630"")"),0)</f>
        <v>0</v>
      </c>
      <c r="AI34" s="354">
        <f t="shared" ca="1" si="49"/>
        <v>0</v>
      </c>
      <c r="AJ34" s="354">
        <f ca="1">IFERROR(__xludf.DUMMYFUNCTION("IMPORTRANGE(""https://docs.google.com/spreadsheets/d/1FvTu2DsIWUjP6WCWra38Bkj_oOl_sOMf14r5Fg5srxU/edit?usp=sharing"",""ชัยภูมิ!J631"")"),0)</f>
        <v>0</v>
      </c>
      <c r="AK34" s="354">
        <f t="shared" ca="1" si="50"/>
        <v>0</v>
      </c>
      <c r="AL34" s="354">
        <f ca="1">IFERROR(__xludf.DUMMYFUNCTION("IMPORTRANGE(""https://docs.google.com/spreadsheets/d/1FvTu2DsIWUjP6WCWra38Bkj_oOl_sOMf14r5Fg5srxU/edit?usp=sharing"",""ชัยภูมิ!J632"")"),0)</f>
        <v>0</v>
      </c>
      <c r="AM34" s="354">
        <f t="shared" ca="1" si="51"/>
        <v>0</v>
      </c>
      <c r="AN34" s="354">
        <f ca="1">IFERROR(__xludf.DUMMYFUNCTION("IMPORTRANGE(""https://docs.google.com/spreadsheets/d/1FvTu2DsIWUjP6WCWra38Bkj_oOl_sOMf14r5Fg5srxU/edit?usp=sharing"",""ชัยภูมิ!J633"")"),0)</f>
        <v>0</v>
      </c>
      <c r="AO34" s="354">
        <f ca="1">IFERROR(__xludf.DUMMYFUNCTION("IMPORTRANGE(""https://docs.google.com/spreadsheets/d/1FvTu2DsIWUjP6WCWra38Bkj_oOl_sOMf14r5Fg5srxU/edit?usp=sharing"",""ชัยภูมิ!J634"")"),0)</f>
        <v>0</v>
      </c>
      <c r="AP34" s="177">
        <f ca="1">IFERROR(__xludf.DUMMYFUNCTION("IMPORTRANGE(""https://docs.google.com/spreadsheets/d/1FvTu2DsIWUjP6WCWra38Bkj_oOl_sOMf14r5Fg5srxU/edit?usp=sharing"",""ชัยภูมิ!I635"")"),0)</f>
        <v>0</v>
      </c>
      <c r="AQ34" s="177">
        <f ca="1">IFERROR(__xludf.DUMMYFUNCTION("IMPORTRANGE(""https://docs.google.com/spreadsheets/d/1FvTu2DsIWUjP6WCWra38Bkj_oOl_sOMf14r5Fg5srxU/edit?usp=sharing"",""ชัยภูมิ!J635"")"),0)</f>
        <v>0</v>
      </c>
      <c r="AR34" s="354">
        <f t="shared" ca="1" si="53"/>
        <v>0</v>
      </c>
      <c r="AS34" s="177">
        <f ca="1">IFERROR(__xludf.DUMMYFUNCTION("IMPORTRANGE(""https://docs.google.com/spreadsheets/d/1FvTu2DsIWUjP6WCWra38Bkj_oOl_sOMf14r5Fg5srxU/edit?usp=sharing"",""ชัยภูมิ!J636"")"),0)</f>
        <v>0</v>
      </c>
      <c r="AT34" s="177">
        <f ca="1">IFERROR(__xludf.DUMMYFUNCTION("IMPORTRANGE(""https://docs.google.com/spreadsheets/d/1FvTu2DsIWUjP6WCWra38Bkj_oOl_sOMf14r5Fg5srxU/edit?usp=sharing"",""ชัยภูมิ!J637"")"),0)</f>
        <v>0</v>
      </c>
      <c r="AU34" s="177">
        <f ca="1">IFERROR(__xludf.DUMMYFUNCTION("IMPORTRANGE(""https://docs.google.com/spreadsheets/d/1FvTu2DsIWUjP6WCWra38Bkj_oOl_sOMf14r5Fg5srxU/edit?usp=sharing"",""ชัยภูมิ!J638"")"),0)</f>
        <v>0</v>
      </c>
      <c r="AV34" s="177">
        <f ca="1">IFERROR(__xludf.DUMMYFUNCTION("IMPORTRANGE(""https://docs.google.com/spreadsheets/d/1FvTu2DsIWUjP6WCWra38Bkj_oOl_sOMf14r5Fg5srxU/edit?usp=sharing"",""ชัยภูมิ!J639"")"),0)</f>
        <v>0</v>
      </c>
      <c r="AW34" s="177">
        <f ca="1">IFERROR(__xludf.DUMMYFUNCTION("IMPORTRANGE(""https://docs.google.com/spreadsheets/d/1FvTu2DsIWUjP6WCWra38Bkj_oOl_sOMf14r5Fg5srxU/edit?usp=sharing"",""ชัยภูมิ!J640"")"),0)</f>
        <v>0</v>
      </c>
    </row>
    <row r="35" spans="1:49" ht="19.5" x14ac:dyDescent="0.3">
      <c r="A35" s="89">
        <v>4</v>
      </c>
      <c r="B35" s="90" t="s">
        <v>61</v>
      </c>
      <c r="C35" s="174">
        <f t="shared" si="32"/>
        <v>0</v>
      </c>
      <c r="D35" s="175">
        <f t="shared" si="64"/>
        <v>0</v>
      </c>
      <c r="E35" s="403">
        <v>0</v>
      </c>
      <c r="F35" s="403">
        <v>0</v>
      </c>
      <c r="G35" s="403">
        <v>0</v>
      </c>
      <c r="H35" s="403">
        <v>0</v>
      </c>
      <c r="I35" s="403">
        <v>0</v>
      </c>
      <c r="J35" s="176">
        <f t="shared" si="34"/>
        <v>0</v>
      </c>
      <c r="K35" s="179">
        <f t="shared" si="35"/>
        <v>0</v>
      </c>
      <c r="L35" s="403">
        <v>0</v>
      </c>
      <c r="M35" s="87">
        <f t="shared" si="36"/>
        <v>0</v>
      </c>
      <c r="N35" s="87">
        <f t="shared" si="37"/>
        <v>0</v>
      </c>
      <c r="O35" s="403">
        <v>0</v>
      </c>
      <c r="P35" s="86">
        <f t="shared" si="38"/>
        <v>0</v>
      </c>
      <c r="Q35" s="87">
        <f t="shared" si="39"/>
        <v>0</v>
      </c>
      <c r="R35" s="87">
        <f ca="1">IFERROR(__xludf.DUMMYFUNCTION("IMPORTRANGE(""https://docs.google.com/spreadsheets/d/1XVB7oCJ3pr-vBUdflwPQ8Z2LlzhnCvZaaYjAfP-647E/edit?usp=sharing"",""นครพนม!Q616"")"),6800)</f>
        <v>6800</v>
      </c>
      <c r="S35" s="87">
        <f ca="1">IFERROR(__xludf.DUMMYFUNCTION("IMPORTRANGE(""https://docs.google.com/spreadsheets/d/1XVB7oCJ3pr-vBUdflwPQ8Z2LlzhnCvZaaYjAfP-647E/edit?usp=sharing"",""นครพนม!R616"")"),0)</f>
        <v>0</v>
      </c>
      <c r="T35" s="87">
        <f ca="1">IFERROR(__xludf.DUMMYFUNCTION("IMPORTRANGE(""https://docs.google.com/spreadsheets/d/1XVB7oCJ3pr-vBUdflwPQ8Z2LlzhnCvZaaYjAfP-647E/edit?usp=sharing"",""นครพนม!S616"")"),0)</f>
        <v>0</v>
      </c>
      <c r="U35" s="87">
        <f t="shared" ca="1" si="41"/>
        <v>0</v>
      </c>
      <c r="V35" s="87">
        <f t="shared" ca="1" si="42"/>
        <v>0</v>
      </c>
      <c r="W35" s="353">
        <f ca="1">IFERROR(__xludf.DUMMYFUNCTION("IMPORTRANGE(""https://docs.google.com/spreadsheets/d/1XVB7oCJ3pr-vBUdflwPQ8Z2LlzhnCvZaaYjAfP-647E/edit?usp=sharing"",""นครพนม!I626"")"),50)</f>
        <v>50</v>
      </c>
      <c r="X35" s="177">
        <f ca="1">IFERROR(__xludf.DUMMYFUNCTION("IMPORTRANGE(""https://docs.google.com/spreadsheets/d/1XVB7oCJ3pr-vBUdflwPQ8Z2LlzhnCvZaaYjAfP-647E/edit?usp=sharing"",""นครพนม!J626"")"),0)</f>
        <v>0</v>
      </c>
      <c r="Y35" s="354">
        <f t="shared" ca="1" si="44"/>
        <v>0</v>
      </c>
      <c r="Z35" s="177">
        <f ca="1">IFERROR(__xludf.DUMMYFUNCTION("IMPORTRANGE(""https://docs.google.com/spreadsheets/d/1XVB7oCJ3pr-vBUdflwPQ8Z2LlzhnCvZaaYjAfP-647E/edit?usp=sharing"",""นครพนม!I627"")"),0)</f>
        <v>0</v>
      </c>
      <c r="AA35" s="177">
        <f ca="1">IFERROR(__xludf.DUMMYFUNCTION("IMPORTRANGE(""https://docs.google.com/spreadsheets/d/1XVB7oCJ3pr-vBUdflwPQ8Z2LlzhnCvZaaYjAfP-647E/edit?usp=sharing"",""นครพนม!J627"")"),0)</f>
        <v>0</v>
      </c>
      <c r="AB35" s="354">
        <f t="shared" ca="1" si="46"/>
        <v>0</v>
      </c>
      <c r="AC35" s="177">
        <f ca="1">IFERROR(__xludf.DUMMYFUNCTION("IMPORTRANGE(""https://docs.google.com/spreadsheets/d/1XVB7oCJ3pr-vBUdflwPQ8Z2LlzhnCvZaaYjAfP-647E/edit?usp=sharing"",""นครพนม!I628"")"),0)</f>
        <v>0</v>
      </c>
      <c r="AD35" s="177">
        <f ca="1">IFERROR(__xludf.DUMMYFUNCTION("IMPORTRANGE(""https://docs.google.com/spreadsheets/d/1XVB7oCJ3pr-vBUdflwPQ8Z2LlzhnCvZaaYjAfP-647E/edit?usp=sharing"",""นครพนม!J628"")"),0)</f>
        <v>0</v>
      </c>
      <c r="AE35" s="354">
        <f t="shared" ca="1" si="48"/>
        <v>0</v>
      </c>
      <c r="AF35" s="177">
        <f ca="1">IFERROR(__xludf.DUMMYFUNCTION("IMPORTRANGE(""https://docs.google.com/spreadsheets/d/1XVB7oCJ3pr-vBUdflwPQ8Z2LlzhnCvZaaYjAfP-647E/edit?usp=sharing"",""นครพนม!J629"")"),0)</f>
        <v>0</v>
      </c>
      <c r="AG35" s="354">
        <f t="shared" ca="1" si="56"/>
        <v>0</v>
      </c>
      <c r="AH35" s="177">
        <f ca="1">IFERROR(__xludf.DUMMYFUNCTION("IMPORTRANGE(""https://docs.google.com/spreadsheets/d/1XVB7oCJ3pr-vBUdflwPQ8Z2LlzhnCvZaaYjAfP-647E/edit?usp=sharing"",""นครพนม!J630"")"),0)</f>
        <v>0</v>
      </c>
      <c r="AI35" s="354">
        <f t="shared" ca="1" si="49"/>
        <v>0</v>
      </c>
      <c r="AJ35" s="354">
        <f ca="1">IFERROR(__xludf.DUMMYFUNCTION("IMPORTRANGE(""https://docs.google.com/spreadsheets/d/1XVB7oCJ3pr-vBUdflwPQ8Z2LlzhnCvZaaYjAfP-647E/edit?usp=sharing"",""นครพนม!J631"")"),0)</f>
        <v>0</v>
      </c>
      <c r="AK35" s="354">
        <f t="shared" ca="1" si="50"/>
        <v>0</v>
      </c>
      <c r="AL35" s="354">
        <f ca="1">IFERROR(__xludf.DUMMYFUNCTION("IMPORTRANGE(""https://docs.google.com/spreadsheets/d/1XVB7oCJ3pr-vBUdflwPQ8Z2LlzhnCvZaaYjAfP-647E/edit?usp=sharing"",""นครพนม!J632"")"),0)</f>
        <v>0</v>
      </c>
      <c r="AM35" s="354">
        <f t="shared" ca="1" si="51"/>
        <v>0</v>
      </c>
      <c r="AN35" s="354">
        <f ca="1">IFERROR(__xludf.DUMMYFUNCTION("IMPORTRANGE(""https://docs.google.com/spreadsheets/d/1XVB7oCJ3pr-vBUdflwPQ8Z2LlzhnCvZaaYjAfP-647E/edit?usp=sharing"",""นครพนม!J633"")"),0)</f>
        <v>0</v>
      </c>
      <c r="AO35" s="354">
        <f ca="1">IFERROR(__xludf.DUMMYFUNCTION("IMPORTRANGE(""https://docs.google.com/spreadsheets/d/1XVB7oCJ3pr-vBUdflwPQ8Z2LlzhnCvZaaYjAfP-647E/edit?usp=sharing"",""นครพนม!J634"")"),0)</f>
        <v>0</v>
      </c>
      <c r="AP35" s="177">
        <f ca="1">IFERROR(__xludf.DUMMYFUNCTION("IMPORTRANGE(""https://docs.google.com/spreadsheets/d/1XVB7oCJ3pr-vBUdflwPQ8Z2LlzhnCvZaaYjAfP-647E/edit?usp=sharing"",""นครพนม!I635"")"),0)</f>
        <v>0</v>
      </c>
      <c r="AQ35" s="177">
        <f ca="1">IFERROR(__xludf.DUMMYFUNCTION("IMPORTRANGE(""https://docs.google.com/spreadsheets/d/1XVB7oCJ3pr-vBUdflwPQ8Z2LlzhnCvZaaYjAfP-647E/edit?usp=sharing"",""นครพนม!J635"")"),0)</f>
        <v>0</v>
      </c>
      <c r="AR35" s="354">
        <f t="shared" ca="1" si="53"/>
        <v>0</v>
      </c>
      <c r="AS35" s="177">
        <f ca="1">IFERROR(__xludf.DUMMYFUNCTION("IMPORTRANGE(""https://docs.google.com/spreadsheets/d/1XVB7oCJ3pr-vBUdflwPQ8Z2LlzhnCvZaaYjAfP-647E/edit?usp=sharing"",""นครพนม!J636"")"),0)</f>
        <v>0</v>
      </c>
      <c r="AT35" s="177">
        <f ca="1">IFERROR(__xludf.DUMMYFUNCTION("IMPORTRANGE(""https://docs.google.com/spreadsheets/d/1XVB7oCJ3pr-vBUdflwPQ8Z2LlzhnCvZaaYjAfP-647E/edit?usp=sharing"",""นครพนม!J637"")"),0)</f>
        <v>0</v>
      </c>
      <c r="AU35" s="177">
        <f ca="1">IFERROR(__xludf.DUMMYFUNCTION("IMPORTRANGE(""https://docs.google.com/spreadsheets/d/1XVB7oCJ3pr-vBUdflwPQ8Z2LlzhnCvZaaYjAfP-647E/edit?usp=sharing"",""นครพนม!J638"")"),0)</f>
        <v>0</v>
      </c>
      <c r="AV35" s="177">
        <f ca="1">IFERROR(__xludf.DUMMYFUNCTION("IMPORTRANGE(""https://docs.google.com/spreadsheets/d/1XVB7oCJ3pr-vBUdflwPQ8Z2LlzhnCvZaaYjAfP-647E/edit?usp=sharing"",""นครพนม!J639"")"),0)</f>
        <v>0</v>
      </c>
      <c r="AW35" s="177">
        <f ca="1">IFERROR(__xludf.DUMMYFUNCTION("IMPORTRANGE(""https://docs.google.com/spreadsheets/d/1XVB7oCJ3pr-vBUdflwPQ8Z2LlzhnCvZaaYjAfP-647E/edit?usp=sharing"",""นครพนม!J640"")"),0)</f>
        <v>0</v>
      </c>
    </row>
    <row r="36" spans="1:49" ht="19.5" x14ac:dyDescent="0.3">
      <c r="A36" s="89">
        <v>5</v>
      </c>
      <c r="B36" s="90" t="s">
        <v>62</v>
      </c>
      <c r="C36" s="174">
        <f t="shared" si="32"/>
        <v>0</v>
      </c>
      <c r="D36" s="175">
        <f t="shared" si="64"/>
        <v>0</v>
      </c>
      <c r="E36" s="403">
        <v>0</v>
      </c>
      <c r="F36" s="403">
        <v>0</v>
      </c>
      <c r="G36" s="403">
        <v>0</v>
      </c>
      <c r="H36" s="403">
        <v>0</v>
      </c>
      <c r="I36" s="403">
        <v>0</v>
      </c>
      <c r="J36" s="176">
        <f t="shared" si="34"/>
        <v>0</v>
      </c>
      <c r="K36" s="179">
        <f t="shared" si="35"/>
        <v>0</v>
      </c>
      <c r="L36" s="403">
        <v>0</v>
      </c>
      <c r="M36" s="87">
        <f t="shared" si="36"/>
        <v>0</v>
      </c>
      <c r="N36" s="87">
        <f t="shared" si="37"/>
        <v>0</v>
      </c>
      <c r="O36" s="403">
        <v>0</v>
      </c>
      <c r="P36" s="86">
        <f t="shared" si="38"/>
        <v>0</v>
      </c>
      <c r="Q36" s="87">
        <f t="shared" si="39"/>
        <v>0</v>
      </c>
      <c r="R36" s="87">
        <f ca="1">IFERROR(__xludf.DUMMYFUNCTION("IMPORTRANGE(""https://docs.google.com/spreadsheets/d/1Mnpb-8PYAgn85W6KOTD40hc_Xc55CaLfHoGAbrZ8tls/edit?usp=sharing"",""นครราชสีมา!Q616"")"),22300)</f>
        <v>22300</v>
      </c>
      <c r="S36" s="87">
        <f ca="1">IFERROR(__xludf.DUMMYFUNCTION("IMPORTRANGE(""https://docs.google.com/spreadsheets/d/1Mnpb-8PYAgn85W6KOTD40hc_Xc55CaLfHoGAbrZ8tls/edit?usp=sharing"",""นครราชสีมา!R616"")"),0)</f>
        <v>0</v>
      </c>
      <c r="T36" s="87">
        <f ca="1">IFERROR(__xludf.DUMMYFUNCTION("IMPORTRANGE(""https://docs.google.com/spreadsheets/d/1Mnpb-8PYAgn85W6KOTD40hc_Xc55CaLfHoGAbrZ8tls/edit?usp=sharing"",""นครราชสีมา!S616"")"),752)</f>
        <v>752</v>
      </c>
      <c r="U36" s="87">
        <f t="shared" ca="1" si="41"/>
        <v>3.3721973094170403</v>
      </c>
      <c r="V36" s="87">
        <f t="shared" ca="1" si="42"/>
        <v>0</v>
      </c>
      <c r="W36" s="353">
        <f ca="1">IFERROR(__xludf.DUMMYFUNCTION("IMPORTRANGE(""https://docs.google.com/spreadsheets/d/1Mnpb-8PYAgn85W6KOTD40hc_Xc55CaLfHoGAbrZ8tls/edit?usp=sharing"",""นครราชสีมา!I626"")"),200)</f>
        <v>200</v>
      </c>
      <c r="X36" s="177">
        <f ca="1">IFERROR(__xludf.DUMMYFUNCTION("IMPORTRANGE(""https://docs.google.com/spreadsheets/d/1Mnpb-8PYAgn85W6KOTD40hc_Xc55CaLfHoGAbrZ8tls/edit?usp=sharing"",""นครราชสีมา!J626"")"),0)</f>
        <v>0</v>
      </c>
      <c r="Y36" s="354">
        <f t="shared" ca="1" si="44"/>
        <v>0</v>
      </c>
      <c r="Z36" s="177">
        <f ca="1">IFERROR(__xludf.DUMMYFUNCTION("IMPORTRANGE(""https://docs.google.com/spreadsheets/d/1Mnpb-8PYAgn85W6KOTD40hc_Xc55CaLfHoGAbrZ8tls/edit?usp=sharing"",""นครราชสีมา!I627"")"),0)</f>
        <v>0</v>
      </c>
      <c r="AA36" s="177">
        <f ca="1">IFERROR(__xludf.DUMMYFUNCTION("IMPORTRANGE(""https://docs.google.com/spreadsheets/d/1Mnpb-8PYAgn85W6KOTD40hc_Xc55CaLfHoGAbrZ8tls/edit?usp=sharing"",""นครราชสีมา!J627"")"),0)</f>
        <v>0</v>
      </c>
      <c r="AB36" s="354">
        <f t="shared" ca="1" si="46"/>
        <v>0</v>
      </c>
      <c r="AC36" s="177">
        <f ca="1">IFERROR(__xludf.DUMMYFUNCTION("IMPORTRANGE(""https://docs.google.com/spreadsheets/d/1Mnpb-8PYAgn85W6KOTD40hc_Xc55CaLfHoGAbrZ8tls/edit?usp=sharing"",""นครราชสีมา!I628"")"),0)</f>
        <v>0</v>
      </c>
      <c r="AD36" s="177">
        <f ca="1">IFERROR(__xludf.DUMMYFUNCTION("IMPORTRANGE(""https://docs.google.com/spreadsheets/d/1Mnpb-8PYAgn85W6KOTD40hc_Xc55CaLfHoGAbrZ8tls/edit?usp=sharing"",""นครราชสีมา!J628"")"),0)</f>
        <v>0</v>
      </c>
      <c r="AE36" s="354">
        <f t="shared" ca="1" si="48"/>
        <v>0</v>
      </c>
      <c r="AF36" s="177">
        <f ca="1">IFERROR(__xludf.DUMMYFUNCTION("IMPORTRANGE(""https://docs.google.com/spreadsheets/d/1Mnpb-8PYAgn85W6KOTD40hc_Xc55CaLfHoGAbrZ8tls/edit?usp=sharing"",""นครราชสีมา!J629"")"),0)</f>
        <v>0</v>
      </c>
      <c r="AG36" s="354">
        <f t="shared" ca="1" si="56"/>
        <v>0</v>
      </c>
      <c r="AH36" s="177">
        <f ca="1">IFERROR(__xludf.DUMMYFUNCTION("IMPORTRANGE(""https://docs.google.com/spreadsheets/d/1Mnpb-8PYAgn85W6KOTD40hc_Xc55CaLfHoGAbrZ8tls/edit?usp=sharing"",""นครราชสีมา!J630"")"),0)</f>
        <v>0</v>
      </c>
      <c r="AI36" s="354">
        <f t="shared" ca="1" si="49"/>
        <v>0</v>
      </c>
      <c r="AJ36" s="354">
        <f ca="1">IFERROR(__xludf.DUMMYFUNCTION("IMPORTRANGE(""https://docs.google.com/spreadsheets/d/1Mnpb-8PYAgn85W6KOTD40hc_Xc55CaLfHoGAbrZ8tls/edit?usp=sharing"",""นครราชสีมา!J631"")"),0)</f>
        <v>0</v>
      </c>
      <c r="AK36" s="354">
        <f t="shared" ca="1" si="50"/>
        <v>0</v>
      </c>
      <c r="AL36" s="354">
        <f ca="1">IFERROR(__xludf.DUMMYFUNCTION("IMPORTRANGE(""https://docs.google.com/spreadsheets/d/1Mnpb-8PYAgn85W6KOTD40hc_Xc55CaLfHoGAbrZ8tls/edit?usp=sharing"",""นครราชสีมา!J632"")"),0)</f>
        <v>0</v>
      </c>
      <c r="AM36" s="354">
        <f t="shared" ca="1" si="51"/>
        <v>0</v>
      </c>
      <c r="AN36" s="354">
        <f ca="1">IFERROR(__xludf.DUMMYFUNCTION("IMPORTRANGE(""https://docs.google.com/spreadsheets/d/1Mnpb-8PYAgn85W6KOTD40hc_Xc55CaLfHoGAbrZ8tls/edit?usp=sharing"",""นครราชสีมา!J633"")"),0)</f>
        <v>0</v>
      </c>
      <c r="AO36" s="354">
        <f ca="1">IFERROR(__xludf.DUMMYFUNCTION("IMPORTRANGE(""https://docs.google.com/spreadsheets/d/1Mnpb-8PYAgn85W6KOTD40hc_Xc55CaLfHoGAbrZ8tls/edit?usp=sharing"",""นครราชสีมา!J634"")"),0)</f>
        <v>0</v>
      </c>
      <c r="AP36" s="177">
        <f ca="1">IFERROR(__xludf.DUMMYFUNCTION("IMPORTRANGE(""https://docs.google.com/spreadsheets/d/1Mnpb-8PYAgn85W6KOTD40hc_Xc55CaLfHoGAbrZ8tls/edit?usp=sharing"",""นครราชสีมา!I635"")"),0)</f>
        <v>0</v>
      </c>
      <c r="AQ36" s="177">
        <f ca="1">IFERROR(__xludf.DUMMYFUNCTION("IMPORTRANGE(""https://docs.google.com/spreadsheets/d/1Mnpb-8PYAgn85W6KOTD40hc_Xc55CaLfHoGAbrZ8tls/edit?usp=sharing"",""นครราชสีมา!J635"")"),0)</f>
        <v>0</v>
      </c>
      <c r="AR36" s="354">
        <f t="shared" ca="1" si="53"/>
        <v>0</v>
      </c>
      <c r="AS36" s="177">
        <f ca="1">IFERROR(__xludf.DUMMYFUNCTION("IMPORTRANGE(""https://docs.google.com/spreadsheets/d/1Mnpb-8PYAgn85W6KOTD40hc_Xc55CaLfHoGAbrZ8tls/edit?usp=sharing"",""นครราชสีมา!J636"")"),0)</f>
        <v>0</v>
      </c>
      <c r="AT36" s="177">
        <f ca="1">IFERROR(__xludf.DUMMYFUNCTION("IMPORTRANGE(""https://docs.google.com/spreadsheets/d/1Mnpb-8PYAgn85W6KOTD40hc_Xc55CaLfHoGAbrZ8tls/edit?usp=sharing"",""นครราชสีมา!J637"")"),0)</f>
        <v>0</v>
      </c>
      <c r="AU36" s="177">
        <f ca="1">IFERROR(__xludf.DUMMYFUNCTION("IMPORTRANGE(""https://docs.google.com/spreadsheets/d/1Mnpb-8PYAgn85W6KOTD40hc_Xc55CaLfHoGAbrZ8tls/edit?usp=sharing"",""นครราชสีมา!J638"")"),0)</f>
        <v>0</v>
      </c>
      <c r="AV36" s="177">
        <f ca="1">IFERROR(__xludf.DUMMYFUNCTION("IMPORTRANGE(""https://docs.google.com/spreadsheets/d/1Mnpb-8PYAgn85W6KOTD40hc_Xc55CaLfHoGAbrZ8tls/edit?usp=sharing"",""นครราชสีมา!J639"")"),0)</f>
        <v>0</v>
      </c>
      <c r="AW36" s="177">
        <f ca="1">IFERROR(__xludf.DUMMYFUNCTION("IMPORTRANGE(""https://docs.google.com/spreadsheets/d/1Mnpb-8PYAgn85W6KOTD40hc_Xc55CaLfHoGAbrZ8tls/edit?usp=sharing"",""นครราชสีมา!J640"")"),0)</f>
        <v>0</v>
      </c>
    </row>
    <row r="37" spans="1:49" ht="19.5" x14ac:dyDescent="0.3">
      <c r="A37" s="89">
        <v>6</v>
      </c>
      <c r="B37" s="90" t="s">
        <v>63</v>
      </c>
      <c r="C37" s="174">
        <f t="shared" si="32"/>
        <v>0</v>
      </c>
      <c r="D37" s="175">
        <f t="shared" si="64"/>
        <v>0</v>
      </c>
      <c r="E37" s="403">
        <v>0</v>
      </c>
      <c r="F37" s="403">
        <v>0</v>
      </c>
      <c r="G37" s="403">
        <v>0</v>
      </c>
      <c r="H37" s="403">
        <v>0</v>
      </c>
      <c r="I37" s="403">
        <v>0</v>
      </c>
      <c r="J37" s="176">
        <f t="shared" si="34"/>
        <v>0</v>
      </c>
      <c r="K37" s="179">
        <f t="shared" si="35"/>
        <v>0</v>
      </c>
      <c r="L37" s="403">
        <v>0</v>
      </c>
      <c r="M37" s="87">
        <f t="shared" si="36"/>
        <v>0</v>
      </c>
      <c r="N37" s="87">
        <f t="shared" si="37"/>
        <v>0</v>
      </c>
      <c r="O37" s="403">
        <v>0</v>
      </c>
      <c r="P37" s="86">
        <f t="shared" si="38"/>
        <v>0</v>
      </c>
      <c r="Q37" s="87">
        <f t="shared" si="39"/>
        <v>0</v>
      </c>
      <c r="R37" s="87">
        <f ca="1">IFERROR(__xludf.DUMMYFUNCTION("IMPORTRANGE(""https://docs.google.com/spreadsheets/d/1xoDLGBv9CYbyosIhki0kTq6IpYNj-gpjxfobnaDiut0/edit?usp=sharing"",""บึงกาฬ!Q616"")"),1800)</f>
        <v>1800</v>
      </c>
      <c r="S37" s="87">
        <f ca="1">IFERROR(__xludf.DUMMYFUNCTION("IMPORTRANGE(""https://docs.google.com/spreadsheets/d/1xoDLGBv9CYbyosIhki0kTq6IpYNj-gpjxfobnaDiut0/edit?usp=sharing"",""บึงกาฬ!R616"")"),0)</f>
        <v>0</v>
      </c>
      <c r="T37" s="87">
        <f ca="1">IFERROR(__xludf.DUMMYFUNCTION("IMPORTRANGE(""https://docs.google.com/spreadsheets/d/1xoDLGBv9CYbyosIhki0kTq6IpYNj-gpjxfobnaDiut0/edit?usp=sharing"",""บึงกาฬ!S616"")"),0)</f>
        <v>0</v>
      </c>
      <c r="U37" s="87">
        <f t="shared" ca="1" si="41"/>
        <v>0</v>
      </c>
      <c r="V37" s="87">
        <f t="shared" ca="1" si="42"/>
        <v>0</v>
      </c>
      <c r="W37" s="353">
        <f ca="1">IFERROR(__xludf.DUMMYFUNCTION("IMPORTRANGE(""https://docs.google.com/spreadsheets/d/1xoDLGBv9CYbyosIhki0kTq6IpYNj-gpjxfobnaDiut0/edit?usp=sharing"",""บึงกาฬ!I626"")"),0)</f>
        <v>0</v>
      </c>
      <c r="X37" s="177">
        <f ca="1">IFERROR(__xludf.DUMMYFUNCTION("IMPORTRANGE(""https://docs.google.com/spreadsheets/d/1xoDLGBv9CYbyosIhki0kTq6IpYNj-gpjxfobnaDiut0/edit?usp=sharing"",""บึงกาฬ!J626"")"),0)</f>
        <v>0</v>
      </c>
      <c r="Y37" s="354">
        <f t="shared" ca="1" si="44"/>
        <v>0</v>
      </c>
      <c r="Z37" s="177">
        <f ca="1">IFERROR(__xludf.DUMMYFUNCTION("IMPORTRANGE(""https://docs.google.com/spreadsheets/d/1xoDLGBv9CYbyosIhki0kTq6IpYNj-gpjxfobnaDiut0/edit?usp=sharing"",""บึงกาฬ!I627"")"),1)</f>
        <v>1</v>
      </c>
      <c r="AA37" s="177">
        <f ca="1">IFERROR(__xludf.DUMMYFUNCTION("IMPORTRANGE(""https://docs.google.com/spreadsheets/d/1xoDLGBv9CYbyosIhki0kTq6IpYNj-gpjxfobnaDiut0/edit?usp=sharing"",""บึงกาฬ!J627"")"),0)</f>
        <v>0</v>
      </c>
      <c r="AB37" s="354">
        <f t="shared" ca="1" si="46"/>
        <v>0</v>
      </c>
      <c r="AC37" s="177">
        <f ca="1">IFERROR(__xludf.DUMMYFUNCTION("IMPORTRANGE(""https://docs.google.com/spreadsheets/d/1xoDLGBv9CYbyosIhki0kTq6IpYNj-gpjxfobnaDiut0/edit?usp=sharing"",""บึงกาฬ!I628"")"),1)</f>
        <v>1</v>
      </c>
      <c r="AD37" s="177">
        <f ca="1">IFERROR(__xludf.DUMMYFUNCTION("IMPORTRANGE(""https://docs.google.com/spreadsheets/d/1xoDLGBv9CYbyosIhki0kTq6IpYNj-gpjxfobnaDiut0/edit?usp=sharing"",""บึงกาฬ!J628"")"),0)</f>
        <v>0</v>
      </c>
      <c r="AE37" s="354">
        <f t="shared" ca="1" si="48"/>
        <v>0</v>
      </c>
      <c r="AF37" s="177">
        <f ca="1">IFERROR(__xludf.DUMMYFUNCTION("IMPORTRANGE(""https://docs.google.com/spreadsheets/d/1xoDLGBv9CYbyosIhki0kTq6IpYNj-gpjxfobnaDiut0/edit?usp=sharing"",""บึงกาฬ!J629"")"),0)</f>
        <v>0</v>
      </c>
      <c r="AG37" s="354">
        <f t="shared" ca="1" si="56"/>
        <v>0</v>
      </c>
      <c r="AH37" s="177">
        <f ca="1">IFERROR(__xludf.DUMMYFUNCTION("IMPORTRANGE(""https://docs.google.com/spreadsheets/d/1xoDLGBv9CYbyosIhki0kTq6IpYNj-gpjxfobnaDiut0/edit?usp=sharing"",""บึงกาฬ!J630"")"),0)</f>
        <v>0</v>
      </c>
      <c r="AI37" s="354">
        <f t="shared" ca="1" si="49"/>
        <v>0</v>
      </c>
      <c r="AJ37" s="354">
        <f ca="1">IFERROR(__xludf.DUMMYFUNCTION("IMPORTRANGE(""https://docs.google.com/spreadsheets/d/1xoDLGBv9CYbyosIhki0kTq6IpYNj-gpjxfobnaDiut0/edit?usp=sharing"",""บึงกาฬ!J631"")"),0)</f>
        <v>0</v>
      </c>
      <c r="AK37" s="354">
        <f t="shared" ca="1" si="50"/>
        <v>0</v>
      </c>
      <c r="AL37" s="354">
        <f ca="1">IFERROR(__xludf.DUMMYFUNCTION("IMPORTRANGE(""https://docs.google.com/spreadsheets/d/1xoDLGBv9CYbyosIhki0kTq6IpYNj-gpjxfobnaDiut0/edit?usp=sharing"",""บึงกาฬ!J632"")"),0)</f>
        <v>0</v>
      </c>
      <c r="AM37" s="354">
        <f t="shared" ca="1" si="51"/>
        <v>0</v>
      </c>
      <c r="AN37" s="354">
        <f ca="1">IFERROR(__xludf.DUMMYFUNCTION("IMPORTRANGE(""https://docs.google.com/spreadsheets/d/1xoDLGBv9CYbyosIhki0kTq6IpYNj-gpjxfobnaDiut0/edit?usp=sharing"",""บึงกาฬ!J633"")"),0)</f>
        <v>0</v>
      </c>
      <c r="AO37" s="354">
        <f ca="1">IFERROR(__xludf.DUMMYFUNCTION("IMPORTRANGE(""https://docs.google.com/spreadsheets/d/1xoDLGBv9CYbyosIhki0kTq6IpYNj-gpjxfobnaDiut0/edit?usp=sharing"",""บึงกาฬ!J634"")"),0)</f>
        <v>0</v>
      </c>
      <c r="AP37" s="177">
        <f ca="1">IFERROR(__xludf.DUMMYFUNCTION("IMPORTRANGE(""https://docs.google.com/spreadsheets/d/1xoDLGBv9CYbyosIhki0kTq6IpYNj-gpjxfobnaDiut0/edit?usp=sharing"",""บึงกาฬ!I635"")"),0)</f>
        <v>0</v>
      </c>
      <c r="AQ37" s="177">
        <f ca="1">IFERROR(__xludf.DUMMYFUNCTION("IMPORTRANGE(""https://docs.google.com/spreadsheets/d/1xoDLGBv9CYbyosIhki0kTq6IpYNj-gpjxfobnaDiut0/edit?usp=sharing"",""บึงกาฬ!J635"")"),0)</f>
        <v>0</v>
      </c>
      <c r="AR37" s="354">
        <f t="shared" ca="1" si="53"/>
        <v>0</v>
      </c>
      <c r="AS37" s="177">
        <f ca="1">IFERROR(__xludf.DUMMYFUNCTION("IMPORTRANGE(""https://docs.google.com/spreadsheets/d/1xoDLGBv9CYbyosIhki0kTq6IpYNj-gpjxfobnaDiut0/edit?usp=sharing"",""บึงกาฬ!J636"")"),0)</f>
        <v>0</v>
      </c>
      <c r="AT37" s="177">
        <f ca="1">IFERROR(__xludf.DUMMYFUNCTION("IMPORTRANGE(""https://docs.google.com/spreadsheets/d/1xoDLGBv9CYbyosIhki0kTq6IpYNj-gpjxfobnaDiut0/edit?usp=sharing"",""บึงกาฬ!J637"")"),0)</f>
        <v>0</v>
      </c>
      <c r="AU37" s="177">
        <f ca="1">IFERROR(__xludf.DUMMYFUNCTION("IMPORTRANGE(""https://docs.google.com/spreadsheets/d/1xoDLGBv9CYbyosIhki0kTq6IpYNj-gpjxfobnaDiut0/edit?usp=sharing"",""บึงกาฬ!J638"")"),0)</f>
        <v>0</v>
      </c>
      <c r="AV37" s="177">
        <f ca="1">IFERROR(__xludf.DUMMYFUNCTION("IMPORTRANGE(""https://docs.google.com/spreadsheets/d/1xoDLGBv9CYbyosIhki0kTq6IpYNj-gpjxfobnaDiut0/edit?usp=sharing"",""บึงกาฬ!J639"")"),0)</f>
        <v>0</v>
      </c>
      <c r="AW37" s="177">
        <f ca="1">IFERROR(__xludf.DUMMYFUNCTION("IMPORTRANGE(""https://docs.google.com/spreadsheets/d/1xoDLGBv9CYbyosIhki0kTq6IpYNj-gpjxfobnaDiut0/edit?usp=sharing"",""บึงกาฬ!J640"")"),0)</f>
        <v>0</v>
      </c>
    </row>
    <row r="38" spans="1:49" ht="19.5" x14ac:dyDescent="0.3">
      <c r="A38" s="89">
        <v>7</v>
      </c>
      <c r="B38" s="90" t="s">
        <v>64</v>
      </c>
      <c r="C38" s="174">
        <f t="shared" si="32"/>
        <v>0</v>
      </c>
      <c r="D38" s="175">
        <f t="shared" si="64"/>
        <v>0</v>
      </c>
      <c r="E38" s="403">
        <v>0</v>
      </c>
      <c r="F38" s="403">
        <v>0</v>
      </c>
      <c r="G38" s="403">
        <v>0</v>
      </c>
      <c r="H38" s="403">
        <v>0</v>
      </c>
      <c r="I38" s="403">
        <v>0</v>
      </c>
      <c r="J38" s="176">
        <f t="shared" si="34"/>
        <v>0</v>
      </c>
      <c r="K38" s="179">
        <f t="shared" si="35"/>
        <v>0</v>
      </c>
      <c r="L38" s="403">
        <v>0</v>
      </c>
      <c r="M38" s="87">
        <f t="shared" si="36"/>
        <v>0</v>
      </c>
      <c r="N38" s="87">
        <f t="shared" si="37"/>
        <v>0</v>
      </c>
      <c r="O38" s="403">
        <v>0</v>
      </c>
      <c r="P38" s="86">
        <f t="shared" si="38"/>
        <v>0</v>
      </c>
      <c r="Q38" s="87">
        <f t="shared" si="39"/>
        <v>0</v>
      </c>
      <c r="R38" s="87">
        <f ca="1">IFERROR(__xludf.DUMMYFUNCTION("IMPORTRANGE(""https://docs.google.com/spreadsheets/d/1MMPq-JyI6DSgQETxuSiXkesP-P7JHuemnE6QJIa-Nlw/edit?usp=sharing"",""บุรีรัมย์!Q616"")"),12075)</f>
        <v>12075</v>
      </c>
      <c r="S38" s="87">
        <f ca="1">IFERROR(__xludf.DUMMYFUNCTION("IMPORTRANGE(""https://docs.google.com/spreadsheets/d/1MMPq-JyI6DSgQETxuSiXkesP-P7JHuemnE6QJIa-Nlw/edit?usp=sharing"",""บุรีรัมย์!R616"")"),0)</f>
        <v>0</v>
      </c>
      <c r="T38" s="87">
        <f ca="1">IFERROR(__xludf.DUMMYFUNCTION("IMPORTRANGE(""https://docs.google.com/spreadsheets/d/1MMPq-JyI6DSgQETxuSiXkesP-P7JHuemnE6QJIa-Nlw/edit?usp=sharing"",""บุรีรัมย์!S616"")"),0)</f>
        <v>0</v>
      </c>
      <c r="U38" s="87">
        <f t="shared" ca="1" si="41"/>
        <v>0</v>
      </c>
      <c r="V38" s="87">
        <f t="shared" ca="1" si="42"/>
        <v>0</v>
      </c>
      <c r="W38" s="353">
        <f ca="1">IFERROR(__xludf.DUMMYFUNCTION("IMPORTRANGE(""https://docs.google.com/spreadsheets/d/1MMPq-JyI6DSgQETxuSiXkesP-P7JHuemnE6QJIa-Nlw/edit?usp=sharing"",""บุรีรัมย์!I626"")"),100)</f>
        <v>100</v>
      </c>
      <c r="X38" s="177">
        <f ca="1">IFERROR(__xludf.DUMMYFUNCTION("IMPORTRANGE(""https://docs.google.com/spreadsheets/d/1MMPq-JyI6DSgQETxuSiXkesP-P7JHuemnE6QJIa-Nlw/edit?usp=sharing"",""บุรีรัมย์!J626"")"),0)</f>
        <v>0</v>
      </c>
      <c r="Y38" s="354">
        <f t="shared" ca="1" si="44"/>
        <v>0</v>
      </c>
      <c r="Z38" s="177">
        <f ca="1">IFERROR(__xludf.DUMMYFUNCTION("IMPORTRANGE(""https://docs.google.com/spreadsheets/d/1MMPq-JyI6DSgQETxuSiXkesP-P7JHuemnE6QJIa-Nlw/edit?usp=sharing"",""บุรีรัมย์!I627"")"),0)</f>
        <v>0</v>
      </c>
      <c r="AA38" s="177">
        <f ca="1">IFERROR(__xludf.DUMMYFUNCTION("IMPORTRANGE(""https://docs.google.com/spreadsheets/d/1MMPq-JyI6DSgQETxuSiXkesP-P7JHuemnE6QJIa-Nlw/edit?usp=sharing"",""บุรีรัมย์!J627"")"),0)</f>
        <v>0</v>
      </c>
      <c r="AB38" s="354">
        <f t="shared" ca="1" si="46"/>
        <v>0</v>
      </c>
      <c r="AC38" s="177">
        <f ca="1">IFERROR(__xludf.DUMMYFUNCTION("IMPORTRANGE(""https://docs.google.com/spreadsheets/d/1MMPq-JyI6DSgQETxuSiXkesP-P7JHuemnE6QJIa-Nlw/edit?usp=sharing"",""บุรีรัมย์!I628"")"),0)</f>
        <v>0</v>
      </c>
      <c r="AD38" s="177">
        <f ca="1">IFERROR(__xludf.DUMMYFUNCTION("IMPORTRANGE(""https://docs.google.com/spreadsheets/d/1MMPq-JyI6DSgQETxuSiXkesP-P7JHuemnE6QJIa-Nlw/edit?usp=sharing"",""บุรีรัมย์!J628"")"),0)</f>
        <v>0</v>
      </c>
      <c r="AE38" s="354">
        <f t="shared" ca="1" si="48"/>
        <v>0</v>
      </c>
      <c r="AF38" s="177">
        <f ca="1">IFERROR(__xludf.DUMMYFUNCTION("IMPORTRANGE(""https://docs.google.com/spreadsheets/d/1MMPq-JyI6DSgQETxuSiXkesP-P7JHuemnE6QJIa-Nlw/edit?usp=sharing"",""บุรีรัมย์!J629"")"),0)</f>
        <v>0</v>
      </c>
      <c r="AG38" s="354">
        <f t="shared" ca="1" si="56"/>
        <v>0</v>
      </c>
      <c r="AH38" s="177">
        <f ca="1">IFERROR(__xludf.DUMMYFUNCTION("IMPORTRANGE(""https://docs.google.com/spreadsheets/d/1MMPq-JyI6DSgQETxuSiXkesP-P7JHuemnE6QJIa-Nlw/edit?usp=sharing"",""บุรีรัมย์!J630"")"),0)</f>
        <v>0</v>
      </c>
      <c r="AI38" s="354">
        <f t="shared" ca="1" si="49"/>
        <v>0</v>
      </c>
      <c r="AJ38" s="354">
        <f ca="1">IFERROR(__xludf.DUMMYFUNCTION("IMPORTRANGE(""https://docs.google.com/spreadsheets/d/1MMPq-JyI6DSgQETxuSiXkesP-P7JHuemnE6QJIa-Nlw/edit?usp=sharing"",""บุรีรัมย์!J631"")"),0)</f>
        <v>0</v>
      </c>
      <c r="AK38" s="354">
        <f t="shared" ca="1" si="50"/>
        <v>0</v>
      </c>
      <c r="AL38" s="354">
        <f ca="1">IFERROR(__xludf.DUMMYFUNCTION("IMPORTRANGE(""https://docs.google.com/spreadsheets/d/1MMPq-JyI6DSgQETxuSiXkesP-P7JHuemnE6QJIa-Nlw/edit?usp=sharing"",""บุรีรัมย์!J632"")"),0)</f>
        <v>0</v>
      </c>
      <c r="AM38" s="354">
        <f t="shared" ca="1" si="51"/>
        <v>0</v>
      </c>
      <c r="AN38" s="354">
        <f ca="1">IFERROR(__xludf.DUMMYFUNCTION("IMPORTRANGE(""https://docs.google.com/spreadsheets/d/1MMPq-JyI6DSgQETxuSiXkesP-P7JHuemnE6QJIa-Nlw/edit?usp=sharing"",""บุรีรัมย์!J633"")"),0)</f>
        <v>0</v>
      </c>
      <c r="AO38" s="354">
        <f ca="1">IFERROR(__xludf.DUMMYFUNCTION("IMPORTRANGE(""https://docs.google.com/spreadsheets/d/1MMPq-JyI6DSgQETxuSiXkesP-P7JHuemnE6QJIa-Nlw/edit?usp=sharing"",""บุรีรัมย์!J634"")"),0)</f>
        <v>0</v>
      </c>
      <c r="AP38" s="177">
        <f ca="1">IFERROR(__xludf.DUMMYFUNCTION("IMPORTRANGE(""https://docs.google.com/spreadsheets/d/1MMPq-JyI6DSgQETxuSiXkesP-P7JHuemnE6QJIa-Nlw/edit?usp=sharing"",""บุรีรัมย์!I635"")"),0)</f>
        <v>0</v>
      </c>
      <c r="AQ38" s="177">
        <f ca="1">IFERROR(__xludf.DUMMYFUNCTION("IMPORTRANGE(""https://docs.google.com/spreadsheets/d/1MMPq-JyI6DSgQETxuSiXkesP-P7JHuemnE6QJIa-Nlw/edit?usp=sharing"",""บุรีรัมย์!J635"")"),0)</f>
        <v>0</v>
      </c>
      <c r="AR38" s="354">
        <f t="shared" ca="1" si="53"/>
        <v>0</v>
      </c>
      <c r="AS38" s="177">
        <f ca="1">IFERROR(__xludf.DUMMYFUNCTION("IMPORTRANGE(""https://docs.google.com/spreadsheets/d/1MMPq-JyI6DSgQETxuSiXkesP-P7JHuemnE6QJIa-Nlw/edit?usp=sharing"",""บุรีรัมย์!J636"")"),0)</f>
        <v>0</v>
      </c>
      <c r="AT38" s="177">
        <f ca="1">IFERROR(__xludf.DUMMYFUNCTION("IMPORTRANGE(""https://docs.google.com/spreadsheets/d/1MMPq-JyI6DSgQETxuSiXkesP-P7JHuemnE6QJIa-Nlw/edit?usp=sharing"",""บุรีรัมย์!J637"")"),0)</f>
        <v>0</v>
      </c>
      <c r="AU38" s="177">
        <f ca="1">IFERROR(__xludf.DUMMYFUNCTION("IMPORTRANGE(""https://docs.google.com/spreadsheets/d/1MMPq-JyI6DSgQETxuSiXkesP-P7JHuemnE6QJIa-Nlw/edit?usp=sharing"",""บุรีรัมย์!J638"")"),0)</f>
        <v>0</v>
      </c>
      <c r="AV38" s="177">
        <f ca="1">IFERROR(__xludf.DUMMYFUNCTION("IMPORTRANGE(""https://docs.google.com/spreadsheets/d/1MMPq-JyI6DSgQETxuSiXkesP-P7JHuemnE6QJIa-Nlw/edit?usp=sharing"",""บุรีรัมย์!J639"")"),0)</f>
        <v>0</v>
      </c>
      <c r="AW38" s="177">
        <f ca="1">IFERROR(__xludf.DUMMYFUNCTION("IMPORTRANGE(""https://docs.google.com/spreadsheets/d/1MMPq-JyI6DSgQETxuSiXkesP-P7JHuemnE6QJIa-Nlw/edit?usp=sharing"",""บุรีรัมย์!J640"")"),0)</f>
        <v>0</v>
      </c>
    </row>
    <row r="39" spans="1:49" ht="19.5" x14ac:dyDescent="0.3">
      <c r="A39" s="89">
        <v>8</v>
      </c>
      <c r="B39" s="90" t="s">
        <v>65</v>
      </c>
      <c r="C39" s="174">
        <f t="shared" si="32"/>
        <v>0</v>
      </c>
      <c r="D39" s="175">
        <f t="shared" si="64"/>
        <v>0</v>
      </c>
      <c r="E39" s="403">
        <v>0</v>
      </c>
      <c r="F39" s="403">
        <v>0</v>
      </c>
      <c r="G39" s="403">
        <v>0</v>
      </c>
      <c r="H39" s="403">
        <v>0</v>
      </c>
      <c r="I39" s="403">
        <v>0</v>
      </c>
      <c r="J39" s="176">
        <f t="shared" si="34"/>
        <v>0</v>
      </c>
      <c r="K39" s="179">
        <f t="shared" si="35"/>
        <v>0</v>
      </c>
      <c r="L39" s="403">
        <v>0</v>
      </c>
      <c r="M39" s="87">
        <f t="shared" si="36"/>
        <v>0</v>
      </c>
      <c r="N39" s="87">
        <f t="shared" si="37"/>
        <v>0</v>
      </c>
      <c r="O39" s="403">
        <v>0</v>
      </c>
      <c r="P39" s="86">
        <f t="shared" si="38"/>
        <v>0</v>
      </c>
      <c r="Q39" s="87">
        <f t="shared" si="39"/>
        <v>0</v>
      </c>
      <c r="R39" s="87">
        <f ca="1">IFERROR(__xludf.DUMMYFUNCTION("IMPORTRANGE(""https://docs.google.com/spreadsheets/d/1l6IZ8xUPgMrESzcTYwhA1k_tPjeQjJPTqlm8Gd9eU5g/edit?usp=sharing"",""มหาสารคาม!Q616"")"),7425)</f>
        <v>7425</v>
      </c>
      <c r="S39" s="87">
        <f ca="1">IFERROR(__xludf.DUMMYFUNCTION("IMPORTRANGE(""https://docs.google.com/spreadsheets/d/1l6IZ8xUPgMrESzcTYwhA1k_tPjeQjJPTqlm8Gd9eU5g/edit?usp=sharing"",""มหาสารคาม!R616"")"),0)</f>
        <v>0</v>
      </c>
      <c r="T39" s="87">
        <f ca="1">IFERROR(__xludf.DUMMYFUNCTION("IMPORTRANGE(""https://docs.google.com/spreadsheets/d/1l6IZ8xUPgMrESzcTYwhA1k_tPjeQjJPTqlm8Gd9eU5g/edit?usp=sharing"",""มหาสารคาม!S616"")"),0)</f>
        <v>0</v>
      </c>
      <c r="U39" s="87">
        <f t="shared" ca="1" si="41"/>
        <v>0</v>
      </c>
      <c r="V39" s="87">
        <f t="shared" ca="1" si="42"/>
        <v>0</v>
      </c>
      <c r="W39" s="353">
        <f ca="1">IFERROR(__xludf.DUMMYFUNCTION("IMPORTRANGE(""https://docs.google.com/spreadsheets/d/1l6IZ8xUPgMrESzcTYwhA1k_tPjeQjJPTqlm8Gd9eU5g/edit?usp=sharing"",""มหาสารคาม!I626"")"),50)</f>
        <v>50</v>
      </c>
      <c r="X39" s="177">
        <f ca="1">IFERROR(__xludf.DUMMYFUNCTION("IMPORTRANGE(""https://docs.google.com/spreadsheets/d/1l6IZ8xUPgMrESzcTYwhA1k_tPjeQjJPTqlm8Gd9eU5g/edit?usp=sharing"",""มหาสารคาม!J626"")"),0)</f>
        <v>0</v>
      </c>
      <c r="Y39" s="354">
        <f t="shared" ca="1" si="44"/>
        <v>0</v>
      </c>
      <c r="Z39" s="177">
        <f ca="1">IFERROR(__xludf.DUMMYFUNCTION("IMPORTRANGE(""https://docs.google.com/spreadsheets/d/1l6IZ8xUPgMrESzcTYwhA1k_tPjeQjJPTqlm8Gd9eU5g/edit?usp=sharing"",""มหาสารคาม!I627"")"),1)</f>
        <v>1</v>
      </c>
      <c r="AA39" s="177">
        <f ca="1">IFERROR(__xludf.DUMMYFUNCTION("IMPORTRANGE(""https://docs.google.com/spreadsheets/d/1l6IZ8xUPgMrESzcTYwhA1k_tPjeQjJPTqlm8Gd9eU5g/edit?usp=sharing"",""มหาสารคาม!J627"")"),0)</f>
        <v>0</v>
      </c>
      <c r="AB39" s="354">
        <f t="shared" ca="1" si="46"/>
        <v>0</v>
      </c>
      <c r="AC39" s="177">
        <f ca="1">IFERROR(__xludf.DUMMYFUNCTION("IMPORTRANGE(""https://docs.google.com/spreadsheets/d/1l6IZ8xUPgMrESzcTYwhA1k_tPjeQjJPTqlm8Gd9eU5g/edit?usp=sharing"",""มหาสารคาม!I628"")"),1)</f>
        <v>1</v>
      </c>
      <c r="AD39" s="177">
        <f ca="1">IFERROR(__xludf.DUMMYFUNCTION("IMPORTRANGE(""https://docs.google.com/spreadsheets/d/1l6IZ8xUPgMrESzcTYwhA1k_tPjeQjJPTqlm8Gd9eU5g/edit?usp=sharing"",""มหาสารคาม!J628"")"),0)</f>
        <v>0</v>
      </c>
      <c r="AE39" s="354">
        <f t="shared" ca="1" si="48"/>
        <v>0</v>
      </c>
      <c r="AF39" s="177">
        <f ca="1">IFERROR(__xludf.DUMMYFUNCTION("IMPORTRANGE(""https://docs.google.com/spreadsheets/d/1l6IZ8xUPgMrESzcTYwhA1k_tPjeQjJPTqlm8Gd9eU5g/edit?usp=sharing"",""มหาสารคาม!J629"")"),0)</f>
        <v>0</v>
      </c>
      <c r="AG39" s="354">
        <f t="shared" ca="1" si="56"/>
        <v>0</v>
      </c>
      <c r="AH39" s="177">
        <f ca="1">IFERROR(__xludf.DUMMYFUNCTION("IMPORTRANGE(""https://docs.google.com/spreadsheets/d/1l6IZ8xUPgMrESzcTYwhA1k_tPjeQjJPTqlm8Gd9eU5g/edit?usp=sharing"",""มหาสารคาม!J630"")"),0)</f>
        <v>0</v>
      </c>
      <c r="AI39" s="354">
        <f t="shared" ca="1" si="49"/>
        <v>0</v>
      </c>
      <c r="AJ39" s="354">
        <f ca="1">IFERROR(__xludf.DUMMYFUNCTION("IMPORTRANGE(""https://docs.google.com/spreadsheets/d/1l6IZ8xUPgMrESzcTYwhA1k_tPjeQjJPTqlm8Gd9eU5g/edit?usp=sharing"",""มหาสารคาม!J631"")"),0)</f>
        <v>0</v>
      </c>
      <c r="AK39" s="354">
        <f t="shared" ca="1" si="50"/>
        <v>0</v>
      </c>
      <c r="AL39" s="354">
        <f ca="1">IFERROR(__xludf.DUMMYFUNCTION("IMPORTRANGE(""https://docs.google.com/spreadsheets/d/1l6IZ8xUPgMrESzcTYwhA1k_tPjeQjJPTqlm8Gd9eU5g/edit?usp=sharing"",""มหาสารคาม!J632"")"),0)</f>
        <v>0</v>
      </c>
      <c r="AM39" s="354">
        <f t="shared" ca="1" si="51"/>
        <v>0</v>
      </c>
      <c r="AN39" s="354">
        <f ca="1">IFERROR(__xludf.DUMMYFUNCTION("IMPORTRANGE(""https://docs.google.com/spreadsheets/d/1l6IZ8xUPgMrESzcTYwhA1k_tPjeQjJPTqlm8Gd9eU5g/edit?usp=sharing"",""มหาสารคาม!J633"")"),0)</f>
        <v>0</v>
      </c>
      <c r="AO39" s="354">
        <f ca="1">IFERROR(__xludf.DUMMYFUNCTION("IMPORTRANGE(""https://docs.google.com/spreadsheets/d/1l6IZ8xUPgMrESzcTYwhA1k_tPjeQjJPTqlm8Gd9eU5g/edit?usp=sharing"",""มหาสารคาม!J634"")"),0)</f>
        <v>0</v>
      </c>
      <c r="AP39" s="177">
        <f ca="1">IFERROR(__xludf.DUMMYFUNCTION("IMPORTRANGE(""https://docs.google.com/spreadsheets/d/1l6IZ8xUPgMrESzcTYwhA1k_tPjeQjJPTqlm8Gd9eU5g/edit?usp=sharing"",""มหาสารคาม!I635"")"),0)</f>
        <v>0</v>
      </c>
      <c r="AQ39" s="177">
        <f ca="1">IFERROR(__xludf.DUMMYFUNCTION("IMPORTRANGE(""https://docs.google.com/spreadsheets/d/1l6IZ8xUPgMrESzcTYwhA1k_tPjeQjJPTqlm8Gd9eU5g/edit?usp=sharing"",""มหาสารคาม!J635"")"),0)</f>
        <v>0</v>
      </c>
      <c r="AR39" s="354">
        <f t="shared" ca="1" si="53"/>
        <v>0</v>
      </c>
      <c r="AS39" s="177">
        <f ca="1">IFERROR(__xludf.DUMMYFUNCTION("IMPORTRANGE(""https://docs.google.com/spreadsheets/d/1l6IZ8xUPgMrESzcTYwhA1k_tPjeQjJPTqlm8Gd9eU5g/edit?usp=sharing"",""มหาสารคาม!J636"")"),0)</f>
        <v>0</v>
      </c>
      <c r="AT39" s="177">
        <f ca="1">IFERROR(__xludf.DUMMYFUNCTION("IMPORTRANGE(""https://docs.google.com/spreadsheets/d/1l6IZ8xUPgMrESzcTYwhA1k_tPjeQjJPTqlm8Gd9eU5g/edit?usp=sharing"",""มหาสารคาม!J637"")"),0)</f>
        <v>0</v>
      </c>
      <c r="AU39" s="177">
        <f ca="1">IFERROR(__xludf.DUMMYFUNCTION("IMPORTRANGE(""https://docs.google.com/spreadsheets/d/1l6IZ8xUPgMrESzcTYwhA1k_tPjeQjJPTqlm8Gd9eU5g/edit?usp=sharing"",""มหาสารคาม!J638"")"),0)</f>
        <v>0</v>
      </c>
      <c r="AV39" s="177">
        <f ca="1">IFERROR(__xludf.DUMMYFUNCTION("IMPORTRANGE(""https://docs.google.com/spreadsheets/d/1l6IZ8xUPgMrESzcTYwhA1k_tPjeQjJPTqlm8Gd9eU5g/edit?usp=sharing"",""มหาสารคาม!J639"")"),0)</f>
        <v>0</v>
      </c>
      <c r="AW39" s="177">
        <f ca="1">IFERROR(__xludf.DUMMYFUNCTION("IMPORTRANGE(""https://docs.google.com/spreadsheets/d/1l6IZ8xUPgMrESzcTYwhA1k_tPjeQjJPTqlm8Gd9eU5g/edit?usp=sharing"",""มหาสารคาม!J640"")"),0)</f>
        <v>0</v>
      </c>
    </row>
    <row r="40" spans="1:49" ht="19.5" x14ac:dyDescent="0.3">
      <c r="A40" s="89">
        <v>9</v>
      </c>
      <c r="B40" s="90" t="s">
        <v>66</v>
      </c>
      <c r="C40" s="174">
        <f t="shared" si="32"/>
        <v>0</v>
      </c>
      <c r="D40" s="175">
        <f t="shared" si="64"/>
        <v>0</v>
      </c>
      <c r="E40" s="403">
        <v>0</v>
      </c>
      <c r="F40" s="403">
        <v>0</v>
      </c>
      <c r="G40" s="403">
        <v>0</v>
      </c>
      <c r="H40" s="403">
        <v>0</v>
      </c>
      <c r="I40" s="403">
        <v>0</v>
      </c>
      <c r="J40" s="176">
        <f t="shared" si="34"/>
        <v>0</v>
      </c>
      <c r="K40" s="179">
        <f t="shared" si="35"/>
        <v>0</v>
      </c>
      <c r="L40" s="403">
        <v>0</v>
      </c>
      <c r="M40" s="87">
        <f t="shared" si="36"/>
        <v>0</v>
      </c>
      <c r="N40" s="87">
        <f t="shared" si="37"/>
        <v>0</v>
      </c>
      <c r="O40" s="403">
        <v>0</v>
      </c>
      <c r="P40" s="86">
        <f t="shared" si="38"/>
        <v>0</v>
      </c>
      <c r="Q40" s="87">
        <f t="shared" si="39"/>
        <v>0</v>
      </c>
      <c r="R40" s="87">
        <f ca="1">IFERROR(__xludf.DUMMYFUNCTION("IMPORTRANGE(""https://docs.google.com/spreadsheets/d/1uB74YLqNjWX6FObjekfB2NtSYigTQyR2rq9u4Ub2Sq4/edit?usp=sharing"",""มุกดาหาร!Q616"")"),12275)</f>
        <v>12275</v>
      </c>
      <c r="S40" s="87">
        <f ca="1">IFERROR(__xludf.DUMMYFUNCTION("IMPORTRANGE(""https://docs.google.com/spreadsheets/d/1uB74YLqNjWX6FObjekfB2NtSYigTQyR2rq9u4Ub2Sq4/edit?usp=sharing"",""มุกดาหาร!R616"")"),0)</f>
        <v>0</v>
      </c>
      <c r="T40" s="87">
        <f ca="1">IFERROR(__xludf.DUMMYFUNCTION("IMPORTRANGE(""https://docs.google.com/spreadsheets/d/1uB74YLqNjWX6FObjekfB2NtSYigTQyR2rq9u4Ub2Sq4/edit?usp=sharing"",""มุกดาหาร!S616"")"),0)</f>
        <v>0</v>
      </c>
      <c r="U40" s="87">
        <f t="shared" ca="1" si="41"/>
        <v>0</v>
      </c>
      <c r="V40" s="87">
        <f t="shared" ca="1" si="42"/>
        <v>0</v>
      </c>
      <c r="W40" s="353">
        <f ca="1">IFERROR(__xludf.DUMMYFUNCTION("IMPORTRANGE(""https://docs.google.com/spreadsheets/d/1uB74YLqNjWX6FObjekfB2NtSYigTQyR2rq9u4Ub2Sq4/edit?usp=sharing"",""มุกดาหาร!I626"")"),100)</f>
        <v>100</v>
      </c>
      <c r="X40" s="177">
        <f ca="1">IFERROR(__xludf.DUMMYFUNCTION("IMPORTRANGE(""https://docs.google.com/spreadsheets/d/1uB74YLqNjWX6FObjekfB2NtSYigTQyR2rq9u4Ub2Sq4/edit?usp=sharing"",""มุกดาหาร!J626"")"),0)</f>
        <v>0</v>
      </c>
      <c r="Y40" s="354">
        <f t="shared" ca="1" si="44"/>
        <v>0</v>
      </c>
      <c r="Z40" s="177">
        <f ca="1">IFERROR(__xludf.DUMMYFUNCTION("IMPORTRANGE(""https://docs.google.com/spreadsheets/d/1uB74YLqNjWX6FObjekfB2NtSYigTQyR2rq9u4Ub2Sq4/edit?usp=sharing"",""มุกดาหาร!I627"")"),1)</f>
        <v>1</v>
      </c>
      <c r="AA40" s="177">
        <f ca="1">IFERROR(__xludf.DUMMYFUNCTION("IMPORTRANGE(""https://docs.google.com/spreadsheets/d/1uB74YLqNjWX6FObjekfB2NtSYigTQyR2rq9u4Ub2Sq4/edit?usp=sharing"",""มุกดาหาร!J627"")"),0)</f>
        <v>0</v>
      </c>
      <c r="AB40" s="354">
        <f t="shared" ca="1" si="46"/>
        <v>0</v>
      </c>
      <c r="AC40" s="177">
        <f ca="1">IFERROR(__xludf.DUMMYFUNCTION("IMPORTRANGE(""https://docs.google.com/spreadsheets/d/1uB74YLqNjWX6FObjekfB2NtSYigTQyR2rq9u4Ub2Sq4/edit?usp=sharing"",""มุกดาหาร!I628"")"),1)</f>
        <v>1</v>
      </c>
      <c r="AD40" s="177">
        <f ca="1">IFERROR(__xludf.DUMMYFUNCTION("IMPORTRANGE(""https://docs.google.com/spreadsheets/d/1uB74YLqNjWX6FObjekfB2NtSYigTQyR2rq9u4Ub2Sq4/edit?usp=sharing"",""มุกดาหาร!J628"")"),0)</f>
        <v>0</v>
      </c>
      <c r="AE40" s="354">
        <f t="shared" ca="1" si="48"/>
        <v>0</v>
      </c>
      <c r="AF40" s="177">
        <f ca="1">IFERROR(__xludf.DUMMYFUNCTION("IMPORTRANGE(""https://docs.google.com/spreadsheets/d/1uB74YLqNjWX6FObjekfB2NtSYigTQyR2rq9u4Ub2Sq4/edit?usp=sharing"",""มุกดาหาร!J629"")"),0)</f>
        <v>0</v>
      </c>
      <c r="AG40" s="354">
        <f t="shared" ca="1" si="56"/>
        <v>0</v>
      </c>
      <c r="AH40" s="177">
        <f ca="1">IFERROR(__xludf.DUMMYFUNCTION("IMPORTRANGE(""https://docs.google.com/spreadsheets/d/1uB74YLqNjWX6FObjekfB2NtSYigTQyR2rq9u4Ub2Sq4/edit?usp=sharing"",""มุกดาหาร!J630"")"),0)</f>
        <v>0</v>
      </c>
      <c r="AI40" s="354">
        <f t="shared" ca="1" si="49"/>
        <v>0</v>
      </c>
      <c r="AJ40" s="354">
        <f ca="1">IFERROR(__xludf.DUMMYFUNCTION("IMPORTRANGE(""https://docs.google.com/spreadsheets/d/1uB74YLqNjWX6FObjekfB2NtSYigTQyR2rq9u4Ub2Sq4/edit?usp=sharing"",""มุกดาหาร!J631"")"),0)</f>
        <v>0</v>
      </c>
      <c r="AK40" s="354">
        <f t="shared" ca="1" si="50"/>
        <v>0</v>
      </c>
      <c r="AL40" s="354">
        <f ca="1">IFERROR(__xludf.DUMMYFUNCTION("IMPORTRANGE(""https://docs.google.com/spreadsheets/d/1uB74YLqNjWX6FObjekfB2NtSYigTQyR2rq9u4Ub2Sq4/edit?usp=sharing"",""มุกดาหาร!J632"")"),0)</f>
        <v>0</v>
      </c>
      <c r="AM40" s="354">
        <f t="shared" ca="1" si="51"/>
        <v>0</v>
      </c>
      <c r="AN40" s="354">
        <f ca="1">IFERROR(__xludf.DUMMYFUNCTION("IMPORTRANGE(""https://docs.google.com/spreadsheets/d/1uB74YLqNjWX6FObjekfB2NtSYigTQyR2rq9u4Ub2Sq4/edit?usp=sharing"",""มุกดาหาร!J633"")"),0)</f>
        <v>0</v>
      </c>
      <c r="AO40" s="354">
        <f ca="1">IFERROR(__xludf.DUMMYFUNCTION("IMPORTRANGE(""https://docs.google.com/spreadsheets/d/1uB74YLqNjWX6FObjekfB2NtSYigTQyR2rq9u4Ub2Sq4/edit?usp=sharing"",""มุกดาหาร!J634"")"),0)</f>
        <v>0</v>
      </c>
      <c r="AP40" s="177">
        <f ca="1">IFERROR(__xludf.DUMMYFUNCTION("IMPORTRANGE(""https://docs.google.com/spreadsheets/d/1uB74YLqNjWX6FObjekfB2NtSYigTQyR2rq9u4Ub2Sq4/edit?usp=sharing"",""มุกดาหาร!I635"")"),0)</f>
        <v>0</v>
      </c>
      <c r="AQ40" s="177">
        <f ca="1">IFERROR(__xludf.DUMMYFUNCTION("IMPORTRANGE(""https://docs.google.com/spreadsheets/d/1uB74YLqNjWX6FObjekfB2NtSYigTQyR2rq9u4Ub2Sq4/edit?usp=sharing"",""มุกดาหาร!J635"")"),0)</f>
        <v>0</v>
      </c>
      <c r="AR40" s="354">
        <f t="shared" ca="1" si="53"/>
        <v>0</v>
      </c>
      <c r="AS40" s="177">
        <f ca="1">IFERROR(__xludf.DUMMYFUNCTION("IMPORTRANGE(""https://docs.google.com/spreadsheets/d/1uB74YLqNjWX6FObjekfB2NtSYigTQyR2rq9u4Ub2Sq4/edit?usp=sharing"",""มุกดาหาร!J636"")"),0)</f>
        <v>0</v>
      </c>
      <c r="AT40" s="177">
        <f ca="1">IFERROR(__xludf.DUMMYFUNCTION("IMPORTRANGE(""https://docs.google.com/spreadsheets/d/1uB74YLqNjWX6FObjekfB2NtSYigTQyR2rq9u4Ub2Sq4/edit?usp=sharing"",""มุกดาหาร!J637"")"),0)</f>
        <v>0</v>
      </c>
      <c r="AU40" s="177">
        <f ca="1">IFERROR(__xludf.DUMMYFUNCTION("IMPORTRANGE(""https://docs.google.com/spreadsheets/d/1uB74YLqNjWX6FObjekfB2NtSYigTQyR2rq9u4Ub2Sq4/edit?usp=sharing"",""มุกดาหาร!J638"")"),0)</f>
        <v>0</v>
      </c>
      <c r="AV40" s="177">
        <f ca="1">IFERROR(__xludf.DUMMYFUNCTION("IMPORTRANGE(""https://docs.google.com/spreadsheets/d/1uB74YLqNjWX6FObjekfB2NtSYigTQyR2rq9u4Ub2Sq4/edit?usp=sharing"",""มุกดาหาร!J639"")"),0)</f>
        <v>0</v>
      </c>
      <c r="AW40" s="177">
        <f ca="1">IFERROR(__xludf.DUMMYFUNCTION("IMPORTRANGE(""https://docs.google.com/spreadsheets/d/1uB74YLqNjWX6FObjekfB2NtSYigTQyR2rq9u4Ub2Sq4/edit?usp=sharing"",""มุกดาหาร!J640"")"),0)</f>
        <v>0</v>
      </c>
    </row>
    <row r="41" spans="1:49" ht="19.5" x14ac:dyDescent="0.3">
      <c r="A41" s="89">
        <v>10</v>
      </c>
      <c r="B41" s="90" t="s">
        <v>67</v>
      </c>
      <c r="C41" s="174">
        <f t="shared" si="32"/>
        <v>0</v>
      </c>
      <c r="D41" s="175">
        <f t="shared" si="64"/>
        <v>0</v>
      </c>
      <c r="E41" s="403">
        <v>0</v>
      </c>
      <c r="F41" s="403">
        <v>0</v>
      </c>
      <c r="G41" s="403">
        <v>0</v>
      </c>
      <c r="H41" s="403">
        <v>0</v>
      </c>
      <c r="I41" s="403">
        <v>0</v>
      </c>
      <c r="J41" s="176">
        <f t="shared" si="34"/>
        <v>0</v>
      </c>
      <c r="K41" s="179">
        <f t="shared" si="35"/>
        <v>0</v>
      </c>
      <c r="L41" s="403">
        <v>0</v>
      </c>
      <c r="M41" s="87">
        <f t="shared" si="36"/>
        <v>0</v>
      </c>
      <c r="N41" s="87">
        <f t="shared" si="37"/>
        <v>0</v>
      </c>
      <c r="O41" s="403">
        <v>0</v>
      </c>
      <c r="P41" s="86">
        <f t="shared" si="38"/>
        <v>0</v>
      </c>
      <c r="Q41" s="87">
        <f t="shared" si="39"/>
        <v>0</v>
      </c>
      <c r="R41" s="87">
        <f ca="1">IFERROR(__xludf.DUMMYFUNCTION("IMPORTRANGE(""https://docs.google.com/spreadsheets/d/1NexK3geCPxCTO1fzNF8dPec7yZyUx3OaWkFBC9HsQOo/edit?usp=sharing"",""ยโสธร!Q616"")"),12325)</f>
        <v>12325</v>
      </c>
      <c r="S41" s="87">
        <f ca="1">IFERROR(__xludf.DUMMYFUNCTION("IMPORTRANGE(""https://docs.google.com/spreadsheets/d/1NexK3geCPxCTO1fzNF8dPec7yZyUx3OaWkFBC9HsQOo/edit?usp=sharing"",""ยโสธร!R616"")"),0)</f>
        <v>0</v>
      </c>
      <c r="T41" s="87">
        <f ca="1">IFERROR(__xludf.DUMMYFUNCTION("IMPORTRANGE(""https://docs.google.com/spreadsheets/d/1NexK3geCPxCTO1fzNF8dPec7yZyUx3OaWkFBC9HsQOo/edit?usp=sharing"",""ยโสธร!S616"")"),0)</f>
        <v>0</v>
      </c>
      <c r="U41" s="87">
        <f t="shared" ca="1" si="41"/>
        <v>0</v>
      </c>
      <c r="V41" s="87">
        <f t="shared" ca="1" si="42"/>
        <v>0</v>
      </c>
      <c r="W41" s="353">
        <f ca="1">IFERROR(__xludf.DUMMYFUNCTION("IMPORTRANGE(""https://docs.google.com/spreadsheets/d/1NexK3geCPxCTO1fzNF8dPec7yZyUx3OaWkFBC9HsQOo/edit?usp=sharing"",""ยโสธร!I626"")"),100)</f>
        <v>100</v>
      </c>
      <c r="X41" s="177">
        <f ca="1">IFERROR(__xludf.DUMMYFUNCTION("IMPORTRANGE(""https://docs.google.com/spreadsheets/d/1NexK3geCPxCTO1fzNF8dPec7yZyUx3OaWkFBC9HsQOo/edit?usp=sharing"",""ยโสธร!J626"")"),0)</f>
        <v>0</v>
      </c>
      <c r="Y41" s="354">
        <f t="shared" ca="1" si="44"/>
        <v>0</v>
      </c>
      <c r="Z41" s="177">
        <f ca="1">IFERROR(__xludf.DUMMYFUNCTION("IMPORTRANGE(""https://docs.google.com/spreadsheets/d/1NexK3geCPxCTO1fzNF8dPec7yZyUx3OaWkFBC9HsQOo/edit?usp=sharing"",""ยโสธร!I627"")"),1)</f>
        <v>1</v>
      </c>
      <c r="AA41" s="177">
        <f ca="1">IFERROR(__xludf.DUMMYFUNCTION("IMPORTRANGE(""https://docs.google.com/spreadsheets/d/1NexK3geCPxCTO1fzNF8dPec7yZyUx3OaWkFBC9HsQOo/edit?usp=sharing"",""ยโสธร!J627"")"),0)</f>
        <v>0</v>
      </c>
      <c r="AB41" s="354">
        <f t="shared" ca="1" si="46"/>
        <v>0</v>
      </c>
      <c r="AC41" s="177">
        <f ca="1">IFERROR(__xludf.DUMMYFUNCTION("IMPORTRANGE(""https://docs.google.com/spreadsheets/d/1NexK3geCPxCTO1fzNF8dPec7yZyUx3OaWkFBC9HsQOo/edit?usp=sharing"",""ยโสธร!I628"")"),1)</f>
        <v>1</v>
      </c>
      <c r="AD41" s="177">
        <f ca="1">IFERROR(__xludf.DUMMYFUNCTION("IMPORTRANGE(""https://docs.google.com/spreadsheets/d/1NexK3geCPxCTO1fzNF8dPec7yZyUx3OaWkFBC9HsQOo/edit?usp=sharing"",""ยโสธร!J628"")"),0)</f>
        <v>0</v>
      </c>
      <c r="AE41" s="354">
        <f t="shared" ca="1" si="48"/>
        <v>0</v>
      </c>
      <c r="AF41" s="177">
        <f ca="1">IFERROR(__xludf.DUMMYFUNCTION("IMPORTRANGE(""https://docs.google.com/spreadsheets/d/1NexK3geCPxCTO1fzNF8dPec7yZyUx3OaWkFBC9HsQOo/edit?usp=sharing"",""ยโสธร!J629"")"),0)</f>
        <v>0</v>
      </c>
      <c r="AG41" s="354">
        <f t="shared" ca="1" si="56"/>
        <v>0</v>
      </c>
      <c r="AH41" s="177">
        <f ca="1">IFERROR(__xludf.DUMMYFUNCTION("IMPORTRANGE(""https://docs.google.com/spreadsheets/d/1NexK3geCPxCTO1fzNF8dPec7yZyUx3OaWkFBC9HsQOo/edit?usp=sharing"",""ยโสธร!J630"")"),0)</f>
        <v>0</v>
      </c>
      <c r="AI41" s="354">
        <f t="shared" ca="1" si="49"/>
        <v>0</v>
      </c>
      <c r="AJ41" s="354">
        <f ca="1">IFERROR(__xludf.DUMMYFUNCTION("IMPORTRANGE(""https://docs.google.com/spreadsheets/d/1NexK3geCPxCTO1fzNF8dPec7yZyUx3OaWkFBC9HsQOo/edit?usp=sharing"",""ยโสธร!J631"")"),0)</f>
        <v>0</v>
      </c>
      <c r="AK41" s="354">
        <f t="shared" ca="1" si="50"/>
        <v>0</v>
      </c>
      <c r="AL41" s="354">
        <f ca="1">IFERROR(__xludf.DUMMYFUNCTION("IMPORTRANGE(""https://docs.google.com/spreadsheets/d/1NexK3geCPxCTO1fzNF8dPec7yZyUx3OaWkFBC9HsQOo/edit?usp=sharing"",""ยโสธร!J632"")"),0)</f>
        <v>0</v>
      </c>
      <c r="AM41" s="354">
        <f t="shared" ca="1" si="51"/>
        <v>0</v>
      </c>
      <c r="AN41" s="354">
        <f ca="1">IFERROR(__xludf.DUMMYFUNCTION("IMPORTRANGE(""https://docs.google.com/spreadsheets/d/1NexK3geCPxCTO1fzNF8dPec7yZyUx3OaWkFBC9HsQOo/edit?usp=sharing"",""ยโสธร!J633"")"),0)</f>
        <v>0</v>
      </c>
      <c r="AO41" s="354">
        <f ca="1">IFERROR(__xludf.DUMMYFUNCTION("IMPORTRANGE(""https://docs.google.com/spreadsheets/d/1NexK3geCPxCTO1fzNF8dPec7yZyUx3OaWkFBC9HsQOo/edit?usp=sharing"",""ยโสธร!J634"")"),0)</f>
        <v>0</v>
      </c>
      <c r="AP41" s="177">
        <f ca="1">IFERROR(__xludf.DUMMYFUNCTION("IMPORTRANGE(""https://docs.google.com/spreadsheets/d/1NexK3geCPxCTO1fzNF8dPec7yZyUx3OaWkFBC9HsQOo/edit?usp=sharing"",""ยโสธร!I635"")"),0)</f>
        <v>0</v>
      </c>
      <c r="AQ41" s="177">
        <f ca="1">IFERROR(__xludf.DUMMYFUNCTION("IMPORTRANGE(""https://docs.google.com/spreadsheets/d/1NexK3geCPxCTO1fzNF8dPec7yZyUx3OaWkFBC9HsQOo/edit?usp=sharing"",""ยโสธร!J635"")"),0)</f>
        <v>0</v>
      </c>
      <c r="AR41" s="354">
        <f t="shared" ca="1" si="53"/>
        <v>0</v>
      </c>
      <c r="AS41" s="177">
        <f ca="1">IFERROR(__xludf.DUMMYFUNCTION("IMPORTRANGE(""https://docs.google.com/spreadsheets/d/1NexK3geCPxCTO1fzNF8dPec7yZyUx3OaWkFBC9HsQOo/edit?usp=sharing"",""ยโสธร!J636"")"),0)</f>
        <v>0</v>
      </c>
      <c r="AT41" s="177">
        <f ca="1">IFERROR(__xludf.DUMMYFUNCTION("IMPORTRANGE(""https://docs.google.com/spreadsheets/d/1NexK3geCPxCTO1fzNF8dPec7yZyUx3OaWkFBC9HsQOo/edit?usp=sharing"",""ยโสธร!J637"")"),0)</f>
        <v>0</v>
      </c>
      <c r="AU41" s="177">
        <f ca="1">IFERROR(__xludf.DUMMYFUNCTION("IMPORTRANGE(""https://docs.google.com/spreadsheets/d/1NexK3geCPxCTO1fzNF8dPec7yZyUx3OaWkFBC9HsQOo/edit?usp=sharing"",""ยโสธร!J638"")"),0)</f>
        <v>0</v>
      </c>
      <c r="AV41" s="177">
        <f ca="1">IFERROR(__xludf.DUMMYFUNCTION("IMPORTRANGE(""https://docs.google.com/spreadsheets/d/1NexK3geCPxCTO1fzNF8dPec7yZyUx3OaWkFBC9HsQOo/edit?usp=sharing"",""ยโสธร!J639"")"),0)</f>
        <v>0</v>
      </c>
      <c r="AW41" s="177">
        <f ca="1">IFERROR(__xludf.DUMMYFUNCTION("IMPORTRANGE(""https://docs.google.com/spreadsheets/d/1NexK3geCPxCTO1fzNF8dPec7yZyUx3OaWkFBC9HsQOo/edit?usp=sharing"",""ยโสธร!J640"")"),0)</f>
        <v>0</v>
      </c>
    </row>
    <row r="42" spans="1:49" ht="19.5" x14ac:dyDescent="0.3">
      <c r="A42" s="89">
        <v>11</v>
      </c>
      <c r="B42" s="90" t="s">
        <v>68</v>
      </c>
      <c r="C42" s="174">
        <f t="shared" si="32"/>
        <v>0</v>
      </c>
      <c r="D42" s="175">
        <f t="shared" si="64"/>
        <v>0</v>
      </c>
      <c r="E42" s="403">
        <v>0</v>
      </c>
      <c r="F42" s="403">
        <v>0</v>
      </c>
      <c r="G42" s="403">
        <v>0</v>
      </c>
      <c r="H42" s="403">
        <v>0</v>
      </c>
      <c r="I42" s="403">
        <v>0</v>
      </c>
      <c r="J42" s="176">
        <f t="shared" si="34"/>
        <v>0</v>
      </c>
      <c r="K42" s="179">
        <f t="shared" si="35"/>
        <v>0</v>
      </c>
      <c r="L42" s="403">
        <v>0</v>
      </c>
      <c r="M42" s="87">
        <f t="shared" si="36"/>
        <v>0</v>
      </c>
      <c r="N42" s="87">
        <f t="shared" si="37"/>
        <v>0</v>
      </c>
      <c r="O42" s="403">
        <v>0</v>
      </c>
      <c r="P42" s="86">
        <f t="shared" si="38"/>
        <v>0</v>
      </c>
      <c r="Q42" s="87">
        <f t="shared" si="39"/>
        <v>0</v>
      </c>
      <c r="R42" s="87">
        <f ca="1">IFERROR(__xludf.DUMMYFUNCTION("IMPORTRANGE(""https://docs.google.com/spreadsheets/d/1v_cJrbBlyqmnHPReHk44g9NrMRdENNlSy_E_c5M9fIg/edit?usp=sharing"",""ร้อยเอ็ด!Q616"")"),7000)</f>
        <v>7000</v>
      </c>
      <c r="S42" s="87">
        <f ca="1">IFERROR(__xludf.DUMMYFUNCTION("IMPORTRANGE(""https://docs.google.com/spreadsheets/d/1v_cJrbBlyqmnHPReHk44g9NrMRdENNlSy_E_c5M9fIg/edit?usp=sharing"",""ร้อยเอ็ด!R616"")"),0)</f>
        <v>0</v>
      </c>
      <c r="T42" s="87">
        <f ca="1">IFERROR(__xludf.DUMMYFUNCTION("IMPORTRANGE(""https://docs.google.com/spreadsheets/d/1v_cJrbBlyqmnHPReHk44g9NrMRdENNlSy_E_c5M9fIg/edit?usp=sharing"",""ร้อยเอ็ด!S616"")"),0)</f>
        <v>0</v>
      </c>
      <c r="U42" s="87">
        <f t="shared" ca="1" si="41"/>
        <v>0</v>
      </c>
      <c r="V42" s="87">
        <f t="shared" ca="1" si="42"/>
        <v>0</v>
      </c>
      <c r="W42" s="353">
        <f ca="1">IFERROR(__xludf.DUMMYFUNCTION("IMPORTRANGE(""https://docs.google.com/spreadsheets/d/1v_cJrbBlyqmnHPReHk44g9NrMRdENNlSy_E_c5M9fIg/edit?usp=sharing"",""ร้อยเอ็ด!I626"")"),50)</f>
        <v>50</v>
      </c>
      <c r="X42" s="177">
        <f ca="1">IFERROR(__xludf.DUMMYFUNCTION("IMPORTRANGE(""https://docs.google.com/spreadsheets/d/1v_cJrbBlyqmnHPReHk44g9NrMRdENNlSy_E_c5M9fIg/edit?usp=sharing"",""ร้อยเอ็ด!J626"")"),0)</f>
        <v>0</v>
      </c>
      <c r="Y42" s="354">
        <f t="shared" ca="1" si="44"/>
        <v>0</v>
      </c>
      <c r="Z42" s="177">
        <f ca="1">IFERROR(__xludf.DUMMYFUNCTION("IMPORTRANGE(""https://docs.google.com/spreadsheets/d/1v_cJrbBlyqmnHPReHk44g9NrMRdENNlSy_E_c5M9fIg/edit?usp=sharing"",""ร้อยเอ็ด!I627"")"),0)</f>
        <v>0</v>
      </c>
      <c r="AA42" s="177">
        <f ca="1">IFERROR(__xludf.DUMMYFUNCTION("IMPORTRANGE(""https://docs.google.com/spreadsheets/d/1v_cJrbBlyqmnHPReHk44g9NrMRdENNlSy_E_c5M9fIg/edit?usp=sharing"",""ร้อยเอ็ด!J627"")"),2)</f>
        <v>2</v>
      </c>
      <c r="AB42" s="354">
        <f t="shared" ca="1" si="46"/>
        <v>0</v>
      </c>
      <c r="AC42" s="177">
        <f ca="1">IFERROR(__xludf.DUMMYFUNCTION("IMPORTRANGE(""https://docs.google.com/spreadsheets/d/1v_cJrbBlyqmnHPReHk44g9NrMRdENNlSy_E_c5M9fIg/edit?usp=sharing"",""ร้อยเอ็ด!I628"")"),0)</f>
        <v>0</v>
      </c>
      <c r="AD42" s="177">
        <f ca="1">IFERROR(__xludf.DUMMYFUNCTION("IMPORTRANGE(""https://docs.google.com/spreadsheets/d/1v_cJrbBlyqmnHPReHk44g9NrMRdENNlSy_E_c5M9fIg/edit?usp=sharing"",""ร้อยเอ็ด!J628"")"),0)</f>
        <v>0</v>
      </c>
      <c r="AE42" s="354">
        <f t="shared" ca="1" si="48"/>
        <v>0</v>
      </c>
      <c r="AF42" s="177">
        <f ca="1">IFERROR(__xludf.DUMMYFUNCTION("IMPORTRANGE(""https://docs.google.com/spreadsheets/d/1v_cJrbBlyqmnHPReHk44g9NrMRdENNlSy_E_c5M9fIg/edit?usp=sharing"",""ร้อยเอ็ด!J629"")"),0)</f>
        <v>0</v>
      </c>
      <c r="AG42" s="354">
        <f t="shared" ca="1" si="56"/>
        <v>0</v>
      </c>
      <c r="AH42" s="177">
        <f ca="1">IFERROR(__xludf.DUMMYFUNCTION("IMPORTRANGE(""https://docs.google.com/spreadsheets/d/1v_cJrbBlyqmnHPReHk44g9NrMRdENNlSy_E_c5M9fIg/edit?usp=sharing"",""ร้อยเอ็ด!J630"")"),0)</f>
        <v>0</v>
      </c>
      <c r="AI42" s="354">
        <f t="shared" ca="1" si="49"/>
        <v>0</v>
      </c>
      <c r="AJ42" s="354">
        <f ca="1">IFERROR(__xludf.DUMMYFUNCTION("IMPORTRANGE(""https://docs.google.com/spreadsheets/d/1v_cJrbBlyqmnHPReHk44g9NrMRdENNlSy_E_c5M9fIg/edit?usp=sharing"",""ร้อยเอ็ด!J631"")"),0)</f>
        <v>0</v>
      </c>
      <c r="AK42" s="354">
        <f t="shared" ca="1" si="50"/>
        <v>0</v>
      </c>
      <c r="AL42" s="354">
        <f ca="1">IFERROR(__xludf.DUMMYFUNCTION("IMPORTRANGE(""https://docs.google.com/spreadsheets/d/1v_cJrbBlyqmnHPReHk44g9NrMRdENNlSy_E_c5M9fIg/edit?usp=sharing"",""ร้อยเอ็ด!J632"")"),0)</f>
        <v>0</v>
      </c>
      <c r="AM42" s="354">
        <f t="shared" ca="1" si="51"/>
        <v>0</v>
      </c>
      <c r="AN42" s="354">
        <f ca="1">IFERROR(__xludf.DUMMYFUNCTION("IMPORTRANGE(""https://docs.google.com/spreadsheets/d/1v_cJrbBlyqmnHPReHk44g9NrMRdENNlSy_E_c5M9fIg/edit?usp=sharing"",""ร้อยเอ็ด!J633"")"),0)</f>
        <v>0</v>
      </c>
      <c r="AO42" s="354">
        <f ca="1">IFERROR(__xludf.DUMMYFUNCTION("IMPORTRANGE(""https://docs.google.com/spreadsheets/d/1v_cJrbBlyqmnHPReHk44g9NrMRdENNlSy_E_c5M9fIg/edit?usp=sharing"",""ร้อยเอ็ด!J634"")"),0)</f>
        <v>0</v>
      </c>
      <c r="AP42" s="177">
        <f ca="1">IFERROR(__xludf.DUMMYFUNCTION("IMPORTRANGE(""https://docs.google.com/spreadsheets/d/1v_cJrbBlyqmnHPReHk44g9NrMRdENNlSy_E_c5M9fIg/edit?usp=sharing"",""ร้อยเอ็ด!I635"")"),0)</f>
        <v>0</v>
      </c>
      <c r="AQ42" s="177">
        <f ca="1">IFERROR(__xludf.DUMMYFUNCTION("IMPORTRANGE(""https://docs.google.com/spreadsheets/d/1v_cJrbBlyqmnHPReHk44g9NrMRdENNlSy_E_c5M9fIg/edit?usp=sharing"",""ร้อยเอ็ด!J635"")"),0)</f>
        <v>0</v>
      </c>
      <c r="AR42" s="354">
        <f t="shared" ca="1" si="53"/>
        <v>0</v>
      </c>
      <c r="AS42" s="177">
        <f ca="1">IFERROR(__xludf.DUMMYFUNCTION("IMPORTRANGE(""https://docs.google.com/spreadsheets/d/1v_cJrbBlyqmnHPReHk44g9NrMRdENNlSy_E_c5M9fIg/edit?usp=sharing"",""ร้อยเอ็ด!J636"")"),0)</f>
        <v>0</v>
      </c>
      <c r="AT42" s="177">
        <f ca="1">IFERROR(__xludf.DUMMYFUNCTION("IMPORTRANGE(""https://docs.google.com/spreadsheets/d/1v_cJrbBlyqmnHPReHk44g9NrMRdENNlSy_E_c5M9fIg/edit?usp=sharing"",""ร้อยเอ็ด!J637"")"),0)</f>
        <v>0</v>
      </c>
      <c r="AU42" s="177">
        <f ca="1">IFERROR(__xludf.DUMMYFUNCTION("IMPORTRANGE(""https://docs.google.com/spreadsheets/d/1v_cJrbBlyqmnHPReHk44g9NrMRdENNlSy_E_c5M9fIg/edit?usp=sharing"",""ร้อยเอ็ด!J638"")"),0)</f>
        <v>0</v>
      </c>
      <c r="AV42" s="177">
        <f ca="1">IFERROR(__xludf.DUMMYFUNCTION("IMPORTRANGE(""https://docs.google.com/spreadsheets/d/1v_cJrbBlyqmnHPReHk44g9NrMRdENNlSy_E_c5M9fIg/edit?usp=sharing"",""ร้อยเอ็ด!J639"")"),0)</f>
        <v>0</v>
      </c>
      <c r="AW42" s="177">
        <f ca="1">IFERROR(__xludf.DUMMYFUNCTION("IMPORTRANGE(""https://docs.google.com/spreadsheets/d/1v_cJrbBlyqmnHPReHk44g9NrMRdENNlSy_E_c5M9fIg/edit?usp=sharing"",""ร้อยเอ็ด!J640"")"),0)</f>
        <v>0</v>
      </c>
    </row>
    <row r="43" spans="1:49" ht="19.5" x14ac:dyDescent="0.3">
      <c r="A43" s="89">
        <v>12</v>
      </c>
      <c r="B43" s="90" t="s">
        <v>69</v>
      </c>
      <c r="C43" s="174">
        <f t="shared" si="32"/>
        <v>0</v>
      </c>
      <c r="D43" s="175">
        <f t="shared" si="64"/>
        <v>0</v>
      </c>
      <c r="E43" s="403">
        <v>0</v>
      </c>
      <c r="F43" s="403">
        <v>0</v>
      </c>
      <c r="G43" s="403">
        <v>0</v>
      </c>
      <c r="H43" s="403">
        <v>0</v>
      </c>
      <c r="I43" s="403">
        <v>0</v>
      </c>
      <c r="J43" s="176">
        <f t="shared" si="34"/>
        <v>0</v>
      </c>
      <c r="K43" s="179">
        <f t="shared" si="35"/>
        <v>0</v>
      </c>
      <c r="L43" s="403">
        <v>0</v>
      </c>
      <c r="M43" s="87">
        <f t="shared" si="36"/>
        <v>0</v>
      </c>
      <c r="N43" s="87">
        <f t="shared" si="37"/>
        <v>0</v>
      </c>
      <c r="O43" s="403">
        <v>0</v>
      </c>
      <c r="P43" s="86">
        <f t="shared" si="38"/>
        <v>0</v>
      </c>
      <c r="Q43" s="87">
        <f t="shared" si="39"/>
        <v>0</v>
      </c>
      <c r="R43" s="87">
        <f ca="1">IFERROR(__xludf.DUMMYFUNCTION("IMPORTRANGE(""https://docs.google.com/spreadsheets/d/1Ul4RCpCX66NxYADU1QpwAPjOmBzW64SsT11s1wzXw_c/edit?usp=sharing"",""เลย!Q616"")"),6850)</f>
        <v>6850</v>
      </c>
      <c r="S43" s="87">
        <f ca="1">IFERROR(__xludf.DUMMYFUNCTION("IMPORTRANGE(""https://docs.google.com/spreadsheets/d/1Ul4RCpCX66NxYADU1QpwAPjOmBzW64SsT11s1wzXw_c/edit?usp=sharing"",""เลย!R616"")"),0)</f>
        <v>0</v>
      </c>
      <c r="T43" s="87">
        <f ca="1">IFERROR(__xludf.DUMMYFUNCTION("IMPORTRANGE(""https://docs.google.com/spreadsheets/d/1Ul4RCpCX66NxYADU1QpwAPjOmBzW64SsT11s1wzXw_c/edit?usp=sharing"",""เลย!S616"")"),0)</f>
        <v>0</v>
      </c>
      <c r="U43" s="87">
        <f t="shared" ca="1" si="41"/>
        <v>0</v>
      </c>
      <c r="V43" s="87">
        <f t="shared" ca="1" si="42"/>
        <v>0</v>
      </c>
      <c r="W43" s="353">
        <f ca="1">IFERROR(__xludf.DUMMYFUNCTION("IMPORTRANGE(""https://docs.google.com/spreadsheets/d/1Ul4RCpCX66NxYADU1QpwAPjOmBzW64SsT11s1wzXw_c/edit?usp=sharing"",""เลย!I626"")"),50)</f>
        <v>50</v>
      </c>
      <c r="X43" s="177">
        <f ca="1">IFERROR(__xludf.DUMMYFUNCTION("IMPORTRANGE(""https://docs.google.com/spreadsheets/d/1Ul4RCpCX66NxYADU1QpwAPjOmBzW64SsT11s1wzXw_c/edit?usp=sharing"",""เลย!J626"")"),0)</f>
        <v>0</v>
      </c>
      <c r="Y43" s="354">
        <f t="shared" ca="1" si="44"/>
        <v>0</v>
      </c>
      <c r="Z43" s="177">
        <f ca="1">IFERROR(__xludf.DUMMYFUNCTION("IMPORTRANGE(""https://docs.google.com/spreadsheets/d/1Ul4RCpCX66NxYADU1QpwAPjOmBzW64SsT11s1wzXw_c/edit?usp=sharing"",""เลย!I627"")"),0)</f>
        <v>0</v>
      </c>
      <c r="AA43" s="177">
        <f ca="1">IFERROR(__xludf.DUMMYFUNCTION("IMPORTRANGE(""https://docs.google.com/spreadsheets/d/1Ul4RCpCX66NxYADU1QpwAPjOmBzW64SsT11s1wzXw_c/edit?usp=sharing"",""เลย!J627"")"),0)</f>
        <v>0</v>
      </c>
      <c r="AB43" s="354">
        <f t="shared" ca="1" si="46"/>
        <v>0</v>
      </c>
      <c r="AC43" s="177">
        <f ca="1">IFERROR(__xludf.DUMMYFUNCTION("IMPORTRANGE(""https://docs.google.com/spreadsheets/d/1Ul4RCpCX66NxYADU1QpwAPjOmBzW64SsT11s1wzXw_c/edit?usp=sharing"",""เลย!I628"")"),0)</f>
        <v>0</v>
      </c>
      <c r="AD43" s="177">
        <f ca="1">IFERROR(__xludf.DUMMYFUNCTION("IMPORTRANGE(""https://docs.google.com/spreadsheets/d/1Ul4RCpCX66NxYADU1QpwAPjOmBzW64SsT11s1wzXw_c/edit?usp=sharing"",""เลย!J628"")"),0)</f>
        <v>0</v>
      </c>
      <c r="AE43" s="354">
        <f t="shared" ca="1" si="48"/>
        <v>0</v>
      </c>
      <c r="AF43" s="177">
        <f ca="1">IFERROR(__xludf.DUMMYFUNCTION("IMPORTRANGE(""https://docs.google.com/spreadsheets/d/1Ul4RCpCX66NxYADU1QpwAPjOmBzW64SsT11s1wzXw_c/edit?usp=sharing"",""เลย!J629"")"),0)</f>
        <v>0</v>
      </c>
      <c r="AG43" s="354">
        <f t="shared" ca="1" si="56"/>
        <v>0</v>
      </c>
      <c r="AH43" s="177">
        <f ca="1">IFERROR(__xludf.DUMMYFUNCTION("IMPORTRANGE(""https://docs.google.com/spreadsheets/d/1Ul4RCpCX66NxYADU1QpwAPjOmBzW64SsT11s1wzXw_c/edit?usp=sharing"",""เลย!J630"")"),0)</f>
        <v>0</v>
      </c>
      <c r="AI43" s="354">
        <f t="shared" ca="1" si="49"/>
        <v>0</v>
      </c>
      <c r="AJ43" s="354">
        <f ca="1">IFERROR(__xludf.DUMMYFUNCTION("IMPORTRANGE(""https://docs.google.com/spreadsheets/d/1Ul4RCpCX66NxYADU1QpwAPjOmBzW64SsT11s1wzXw_c/edit?usp=sharing"",""เลย!J631"")"),0)</f>
        <v>0</v>
      </c>
      <c r="AK43" s="354">
        <f t="shared" ca="1" si="50"/>
        <v>0</v>
      </c>
      <c r="AL43" s="354">
        <f ca="1">IFERROR(__xludf.DUMMYFUNCTION("IMPORTRANGE(""https://docs.google.com/spreadsheets/d/1Ul4RCpCX66NxYADU1QpwAPjOmBzW64SsT11s1wzXw_c/edit?usp=sharing"",""เลย!J632"")"),0)</f>
        <v>0</v>
      </c>
      <c r="AM43" s="354">
        <f t="shared" ca="1" si="51"/>
        <v>0</v>
      </c>
      <c r="AN43" s="354">
        <f ca="1">IFERROR(__xludf.DUMMYFUNCTION("IMPORTRANGE(""https://docs.google.com/spreadsheets/d/1Ul4RCpCX66NxYADU1QpwAPjOmBzW64SsT11s1wzXw_c/edit?usp=sharing"",""เลย!J633"")"),0)</f>
        <v>0</v>
      </c>
      <c r="AO43" s="354">
        <f ca="1">IFERROR(__xludf.DUMMYFUNCTION("IMPORTRANGE(""https://docs.google.com/spreadsheets/d/1Ul4RCpCX66NxYADU1QpwAPjOmBzW64SsT11s1wzXw_c/edit?usp=sharing"",""เลย!J634"")"),0)</f>
        <v>0</v>
      </c>
      <c r="AP43" s="177">
        <f ca="1">IFERROR(__xludf.DUMMYFUNCTION("IMPORTRANGE(""https://docs.google.com/spreadsheets/d/1Ul4RCpCX66NxYADU1QpwAPjOmBzW64SsT11s1wzXw_c/edit?usp=sharing"",""เลย!I635"")"),0)</f>
        <v>0</v>
      </c>
      <c r="AQ43" s="177">
        <f ca="1">IFERROR(__xludf.DUMMYFUNCTION("IMPORTRANGE(""https://docs.google.com/spreadsheets/d/1Ul4RCpCX66NxYADU1QpwAPjOmBzW64SsT11s1wzXw_c/edit?usp=sharing"",""เลย!J635"")"),0)</f>
        <v>0</v>
      </c>
      <c r="AR43" s="354">
        <f t="shared" ca="1" si="53"/>
        <v>0</v>
      </c>
      <c r="AS43" s="177">
        <f ca="1">IFERROR(__xludf.DUMMYFUNCTION("IMPORTRANGE(""https://docs.google.com/spreadsheets/d/1Ul4RCpCX66NxYADU1QpwAPjOmBzW64SsT11s1wzXw_c/edit?usp=sharing"",""เลย!J636"")"),0)</f>
        <v>0</v>
      </c>
      <c r="AT43" s="177">
        <f ca="1">IFERROR(__xludf.DUMMYFUNCTION("IMPORTRANGE(""https://docs.google.com/spreadsheets/d/1Ul4RCpCX66NxYADU1QpwAPjOmBzW64SsT11s1wzXw_c/edit?usp=sharing"",""เลย!J637"")"),0)</f>
        <v>0</v>
      </c>
      <c r="AU43" s="177">
        <f ca="1">IFERROR(__xludf.DUMMYFUNCTION("IMPORTRANGE(""https://docs.google.com/spreadsheets/d/1Ul4RCpCX66NxYADU1QpwAPjOmBzW64SsT11s1wzXw_c/edit?usp=sharing"",""เลย!J638"")"),0)</f>
        <v>0</v>
      </c>
      <c r="AV43" s="177">
        <f ca="1">IFERROR(__xludf.DUMMYFUNCTION("IMPORTRANGE(""https://docs.google.com/spreadsheets/d/1Ul4RCpCX66NxYADU1QpwAPjOmBzW64SsT11s1wzXw_c/edit?usp=sharing"",""เลย!J639"")"),0)</f>
        <v>0</v>
      </c>
      <c r="AW43" s="177">
        <f ca="1">IFERROR(__xludf.DUMMYFUNCTION("IMPORTRANGE(""https://docs.google.com/spreadsheets/d/1Ul4RCpCX66NxYADU1QpwAPjOmBzW64SsT11s1wzXw_c/edit?usp=sharing"",""เลย!J640"")"),0)</f>
        <v>0</v>
      </c>
    </row>
    <row r="44" spans="1:49" ht="19.5" x14ac:dyDescent="0.3">
      <c r="A44" s="89">
        <v>13</v>
      </c>
      <c r="B44" s="90" t="s">
        <v>70</v>
      </c>
      <c r="C44" s="174">
        <f t="shared" si="32"/>
        <v>0</v>
      </c>
      <c r="D44" s="175">
        <f t="shared" si="64"/>
        <v>0</v>
      </c>
      <c r="E44" s="403">
        <v>0</v>
      </c>
      <c r="F44" s="403">
        <v>0</v>
      </c>
      <c r="G44" s="403">
        <v>0</v>
      </c>
      <c r="H44" s="403">
        <v>0</v>
      </c>
      <c r="I44" s="403">
        <v>0</v>
      </c>
      <c r="J44" s="176">
        <f t="shared" si="34"/>
        <v>0</v>
      </c>
      <c r="K44" s="179">
        <f t="shared" si="35"/>
        <v>0</v>
      </c>
      <c r="L44" s="403">
        <v>0</v>
      </c>
      <c r="M44" s="87">
        <f t="shared" si="36"/>
        <v>0</v>
      </c>
      <c r="N44" s="87">
        <f t="shared" si="37"/>
        <v>0</v>
      </c>
      <c r="O44" s="403">
        <v>0</v>
      </c>
      <c r="P44" s="86">
        <f t="shared" si="38"/>
        <v>0</v>
      </c>
      <c r="Q44" s="87">
        <f t="shared" si="39"/>
        <v>0</v>
      </c>
      <c r="R44" s="87">
        <f ca="1">IFERROR(__xludf.DUMMYFUNCTION("IMPORTRANGE(""https://docs.google.com/spreadsheets/d/1bRrNKwbHDVktQG10isr5vbWRtt5spIZPpkOSWgbT5ug/edit?usp=sharing"",""ศรีสะเกษ!Q616"")"),7050)</f>
        <v>7050</v>
      </c>
      <c r="S44" s="87">
        <f ca="1">IFERROR(__xludf.DUMMYFUNCTION("IMPORTRANGE(""https://docs.google.com/spreadsheets/d/1bRrNKwbHDVktQG10isr5vbWRtt5spIZPpkOSWgbT5ug/edit?usp=sharing"",""ศรีสะเกษ!R616"")"),0)</f>
        <v>0</v>
      </c>
      <c r="T44" s="87">
        <f ca="1">IFERROR(__xludf.DUMMYFUNCTION("IMPORTRANGE(""https://docs.google.com/spreadsheets/d/1bRrNKwbHDVktQG10isr5vbWRtt5spIZPpkOSWgbT5ug/edit?usp=sharing"",""ศรีสะเกษ!S616"")"),0)</f>
        <v>0</v>
      </c>
      <c r="U44" s="87">
        <f t="shared" ca="1" si="41"/>
        <v>0</v>
      </c>
      <c r="V44" s="87">
        <f t="shared" ca="1" si="42"/>
        <v>0</v>
      </c>
      <c r="W44" s="353">
        <f ca="1">IFERROR(__xludf.DUMMYFUNCTION("IMPORTRANGE(""https://docs.google.com/spreadsheets/d/1bRrNKwbHDVktQG10isr5vbWRtt5spIZPpkOSWgbT5ug/edit?usp=sharing"",""ศรีสะเกษ!I626"")"),50)</f>
        <v>50</v>
      </c>
      <c r="X44" s="177">
        <f ca="1">IFERROR(__xludf.DUMMYFUNCTION("IMPORTRANGE(""https://docs.google.com/spreadsheets/d/1bRrNKwbHDVktQG10isr5vbWRtt5spIZPpkOSWgbT5ug/edit?usp=sharing"",""ศรีสะเกษ!J626"")"),0)</f>
        <v>0</v>
      </c>
      <c r="Y44" s="354">
        <f t="shared" ca="1" si="44"/>
        <v>0</v>
      </c>
      <c r="Z44" s="177">
        <f ca="1">IFERROR(__xludf.DUMMYFUNCTION("IMPORTRANGE(""https://docs.google.com/spreadsheets/d/1bRrNKwbHDVktQG10isr5vbWRtt5spIZPpkOSWgbT5ug/edit?usp=sharing"",""ศรีสะเกษ!I627"")"),0)</f>
        <v>0</v>
      </c>
      <c r="AA44" s="177">
        <f ca="1">IFERROR(__xludf.DUMMYFUNCTION("IMPORTRANGE(""https://docs.google.com/spreadsheets/d/1bRrNKwbHDVktQG10isr5vbWRtt5spIZPpkOSWgbT5ug/edit?usp=sharing"",""ศรีสะเกษ!J627"")"),0)</f>
        <v>0</v>
      </c>
      <c r="AB44" s="354">
        <f t="shared" ca="1" si="46"/>
        <v>0</v>
      </c>
      <c r="AC44" s="177">
        <f ca="1">IFERROR(__xludf.DUMMYFUNCTION("IMPORTRANGE(""https://docs.google.com/spreadsheets/d/1bRrNKwbHDVktQG10isr5vbWRtt5spIZPpkOSWgbT5ug/edit?usp=sharing"",""ศรีสะเกษ!I628"")"),0)</f>
        <v>0</v>
      </c>
      <c r="AD44" s="177">
        <f ca="1">IFERROR(__xludf.DUMMYFUNCTION("IMPORTRANGE(""https://docs.google.com/spreadsheets/d/1bRrNKwbHDVktQG10isr5vbWRtt5spIZPpkOSWgbT5ug/edit?usp=sharing"",""ศรีสะเกษ!J628"")"),0)</f>
        <v>0</v>
      </c>
      <c r="AE44" s="354">
        <f t="shared" ca="1" si="48"/>
        <v>0</v>
      </c>
      <c r="AF44" s="177">
        <f ca="1">IFERROR(__xludf.DUMMYFUNCTION("IMPORTRANGE(""https://docs.google.com/spreadsheets/d/1bRrNKwbHDVktQG10isr5vbWRtt5spIZPpkOSWgbT5ug/edit?usp=sharing"",""ศรีสะเกษ!J629"")"),0)</f>
        <v>0</v>
      </c>
      <c r="AG44" s="354">
        <f t="shared" ca="1" si="56"/>
        <v>0</v>
      </c>
      <c r="AH44" s="177">
        <f ca="1">IFERROR(__xludf.DUMMYFUNCTION("IMPORTRANGE(""https://docs.google.com/spreadsheets/d/1bRrNKwbHDVktQG10isr5vbWRtt5spIZPpkOSWgbT5ug/edit?usp=sharing"",""ศรีสะเกษ!J630"")"),0)</f>
        <v>0</v>
      </c>
      <c r="AI44" s="354">
        <f t="shared" ca="1" si="49"/>
        <v>0</v>
      </c>
      <c r="AJ44" s="354">
        <f ca="1">IFERROR(__xludf.DUMMYFUNCTION("IMPORTRANGE(""https://docs.google.com/spreadsheets/d/1bRrNKwbHDVktQG10isr5vbWRtt5spIZPpkOSWgbT5ug/edit?usp=sharing"",""ศรีสะเกษ!J631"")"),0)</f>
        <v>0</v>
      </c>
      <c r="AK44" s="354">
        <f t="shared" ca="1" si="50"/>
        <v>0</v>
      </c>
      <c r="AL44" s="354">
        <f ca="1">IFERROR(__xludf.DUMMYFUNCTION("IMPORTRANGE(""https://docs.google.com/spreadsheets/d/1bRrNKwbHDVktQG10isr5vbWRtt5spIZPpkOSWgbT5ug/edit?usp=sharing"",""ศรีสะเกษ!J632"")"),0)</f>
        <v>0</v>
      </c>
      <c r="AM44" s="354">
        <f t="shared" ca="1" si="51"/>
        <v>0</v>
      </c>
      <c r="AN44" s="354">
        <f ca="1">IFERROR(__xludf.DUMMYFUNCTION("IMPORTRANGE(""https://docs.google.com/spreadsheets/d/1bRrNKwbHDVktQG10isr5vbWRtt5spIZPpkOSWgbT5ug/edit?usp=sharing"",""ศรีสะเกษ!J633"")"),0)</f>
        <v>0</v>
      </c>
      <c r="AO44" s="354">
        <f ca="1">IFERROR(__xludf.DUMMYFUNCTION("IMPORTRANGE(""https://docs.google.com/spreadsheets/d/1bRrNKwbHDVktQG10isr5vbWRtt5spIZPpkOSWgbT5ug/edit?usp=sharing"",""ศรีสะเกษ!J634"")"),0)</f>
        <v>0</v>
      </c>
      <c r="AP44" s="177">
        <f ca="1">IFERROR(__xludf.DUMMYFUNCTION("IMPORTRANGE(""https://docs.google.com/spreadsheets/d/1bRrNKwbHDVktQG10isr5vbWRtt5spIZPpkOSWgbT5ug/edit?usp=sharing"",""ศรีสะเกษ!I635"")"),0)</f>
        <v>0</v>
      </c>
      <c r="AQ44" s="177">
        <f ca="1">IFERROR(__xludf.DUMMYFUNCTION("IMPORTRANGE(""https://docs.google.com/spreadsheets/d/1bRrNKwbHDVktQG10isr5vbWRtt5spIZPpkOSWgbT5ug/edit?usp=sharing"",""ศรีสะเกษ!J635"")"),0)</f>
        <v>0</v>
      </c>
      <c r="AR44" s="354">
        <f t="shared" ca="1" si="53"/>
        <v>0</v>
      </c>
      <c r="AS44" s="177">
        <f ca="1">IFERROR(__xludf.DUMMYFUNCTION("IMPORTRANGE(""https://docs.google.com/spreadsheets/d/1bRrNKwbHDVktQG10isr5vbWRtt5spIZPpkOSWgbT5ug/edit?usp=sharing"",""ศรีสะเกษ!J636"")"),0)</f>
        <v>0</v>
      </c>
      <c r="AT44" s="177">
        <f ca="1">IFERROR(__xludf.DUMMYFUNCTION("IMPORTRANGE(""https://docs.google.com/spreadsheets/d/1bRrNKwbHDVktQG10isr5vbWRtt5spIZPpkOSWgbT5ug/edit?usp=sharing"",""ศรีสะเกษ!J637"")"),0)</f>
        <v>0</v>
      </c>
      <c r="AU44" s="177">
        <f ca="1">IFERROR(__xludf.DUMMYFUNCTION("IMPORTRANGE(""https://docs.google.com/spreadsheets/d/1bRrNKwbHDVktQG10isr5vbWRtt5spIZPpkOSWgbT5ug/edit?usp=sharing"",""ศรีสะเกษ!J638"")"),0)</f>
        <v>0</v>
      </c>
      <c r="AV44" s="177">
        <f ca="1">IFERROR(__xludf.DUMMYFUNCTION("IMPORTRANGE(""https://docs.google.com/spreadsheets/d/1bRrNKwbHDVktQG10isr5vbWRtt5spIZPpkOSWgbT5ug/edit?usp=sharing"",""ศรีสะเกษ!J639"")"),0)</f>
        <v>0</v>
      </c>
      <c r="AW44" s="177">
        <f ca="1">IFERROR(__xludf.DUMMYFUNCTION("IMPORTRANGE(""https://docs.google.com/spreadsheets/d/1bRrNKwbHDVktQG10isr5vbWRtt5spIZPpkOSWgbT5ug/edit?usp=sharing"",""ศรีสะเกษ!J640"")"),0)</f>
        <v>0</v>
      </c>
    </row>
    <row r="45" spans="1:49" ht="19.5" x14ac:dyDescent="0.3">
      <c r="A45" s="89">
        <v>14</v>
      </c>
      <c r="B45" s="90" t="s">
        <v>71</v>
      </c>
      <c r="C45" s="174">
        <f t="shared" si="32"/>
        <v>0</v>
      </c>
      <c r="D45" s="175">
        <f t="shared" si="64"/>
        <v>0</v>
      </c>
      <c r="E45" s="403">
        <v>0</v>
      </c>
      <c r="F45" s="403">
        <v>0</v>
      </c>
      <c r="G45" s="403">
        <v>0</v>
      </c>
      <c r="H45" s="403">
        <v>0</v>
      </c>
      <c r="I45" s="403">
        <v>0</v>
      </c>
      <c r="J45" s="176">
        <f t="shared" si="34"/>
        <v>0</v>
      </c>
      <c r="K45" s="179">
        <f t="shared" si="35"/>
        <v>0</v>
      </c>
      <c r="L45" s="403">
        <v>0</v>
      </c>
      <c r="M45" s="87">
        <f t="shared" si="36"/>
        <v>0</v>
      </c>
      <c r="N45" s="87">
        <f t="shared" si="37"/>
        <v>0</v>
      </c>
      <c r="O45" s="403">
        <v>0</v>
      </c>
      <c r="P45" s="86">
        <f t="shared" si="38"/>
        <v>0</v>
      </c>
      <c r="Q45" s="87">
        <f t="shared" si="39"/>
        <v>0</v>
      </c>
      <c r="R45" s="87">
        <f ca="1">IFERROR(__xludf.DUMMYFUNCTION("IMPORTRANGE(""https://docs.google.com/spreadsheets/d/17P34_Ow5kFBfdQD0qspb2UuPX5zpi6WMrQzslghyvrI/edit?usp=sharing"",""สกลนคร!Q616"")"),12550)</f>
        <v>12550</v>
      </c>
      <c r="S45" s="87">
        <f ca="1">IFERROR(__xludf.DUMMYFUNCTION("IMPORTRANGE(""https://docs.google.com/spreadsheets/d/17P34_Ow5kFBfdQD0qspb2UuPX5zpi6WMrQzslghyvrI/edit?usp=sharing"",""สกลนคร!R616"")"),0)</f>
        <v>0</v>
      </c>
      <c r="T45" s="87">
        <f ca="1">IFERROR(__xludf.DUMMYFUNCTION("IMPORTRANGE(""https://docs.google.com/spreadsheets/d/17P34_Ow5kFBfdQD0qspb2UuPX5zpi6WMrQzslghyvrI/edit?usp=sharing"",""สกลนคร!S616"")"),0)</f>
        <v>0</v>
      </c>
      <c r="U45" s="87">
        <f t="shared" ca="1" si="41"/>
        <v>0</v>
      </c>
      <c r="V45" s="87">
        <f t="shared" ca="1" si="42"/>
        <v>0</v>
      </c>
      <c r="W45" s="353">
        <f ca="1">IFERROR(__xludf.DUMMYFUNCTION("IMPORTRANGE(""https://docs.google.com/spreadsheets/d/17P34_Ow5kFBfdQD0qspb2UuPX5zpi6WMrQzslghyvrI/edit?usp=sharing"",""สกลนคร!I626"")"),100)</f>
        <v>100</v>
      </c>
      <c r="X45" s="177">
        <f ca="1">IFERROR(__xludf.DUMMYFUNCTION("IMPORTRANGE(""https://docs.google.com/spreadsheets/d/17P34_Ow5kFBfdQD0qspb2UuPX5zpi6WMrQzslghyvrI/edit?usp=sharing"",""สกลนคร!J626"")"),0)</f>
        <v>0</v>
      </c>
      <c r="Y45" s="354">
        <f t="shared" ca="1" si="44"/>
        <v>0</v>
      </c>
      <c r="Z45" s="177">
        <f ca="1">IFERROR(__xludf.DUMMYFUNCTION("IMPORTRANGE(""https://docs.google.com/spreadsheets/d/17P34_Ow5kFBfdQD0qspb2UuPX5zpi6WMrQzslghyvrI/edit?usp=sharing"",""สกลนคร!I627"")"),1)</f>
        <v>1</v>
      </c>
      <c r="AA45" s="177">
        <f ca="1">IFERROR(__xludf.DUMMYFUNCTION("IMPORTRANGE(""https://docs.google.com/spreadsheets/d/17P34_Ow5kFBfdQD0qspb2UuPX5zpi6WMrQzslghyvrI/edit?usp=sharing"",""สกลนคร!J627"")"),0)</f>
        <v>0</v>
      </c>
      <c r="AB45" s="354">
        <f t="shared" ca="1" si="46"/>
        <v>0</v>
      </c>
      <c r="AC45" s="177">
        <f ca="1">IFERROR(__xludf.DUMMYFUNCTION("IMPORTRANGE(""https://docs.google.com/spreadsheets/d/17P34_Ow5kFBfdQD0qspb2UuPX5zpi6WMrQzslghyvrI/edit?usp=sharing"",""สกลนคร!I628"")"),1)</f>
        <v>1</v>
      </c>
      <c r="AD45" s="177">
        <f ca="1">IFERROR(__xludf.DUMMYFUNCTION("IMPORTRANGE(""https://docs.google.com/spreadsheets/d/17P34_Ow5kFBfdQD0qspb2UuPX5zpi6WMrQzslghyvrI/edit?usp=sharing"",""สกลนคร!J628"")"),0)</f>
        <v>0</v>
      </c>
      <c r="AE45" s="354">
        <f t="shared" ca="1" si="48"/>
        <v>0</v>
      </c>
      <c r="AF45" s="177">
        <f ca="1">IFERROR(__xludf.DUMMYFUNCTION("IMPORTRANGE(""https://docs.google.com/spreadsheets/d/17P34_Ow5kFBfdQD0qspb2UuPX5zpi6WMrQzslghyvrI/edit?usp=sharing"",""สกลนคร!J629"")"),0)</f>
        <v>0</v>
      </c>
      <c r="AG45" s="354">
        <f t="shared" ca="1" si="56"/>
        <v>0</v>
      </c>
      <c r="AH45" s="177">
        <f ca="1">IFERROR(__xludf.DUMMYFUNCTION("IMPORTRANGE(""https://docs.google.com/spreadsheets/d/17P34_Ow5kFBfdQD0qspb2UuPX5zpi6WMrQzslghyvrI/edit?usp=sharing"",""สกลนคร!J630"")"),0)</f>
        <v>0</v>
      </c>
      <c r="AI45" s="354">
        <f t="shared" ca="1" si="49"/>
        <v>0</v>
      </c>
      <c r="AJ45" s="354">
        <f ca="1">IFERROR(__xludf.DUMMYFUNCTION("IMPORTRANGE(""https://docs.google.com/spreadsheets/d/17P34_Ow5kFBfdQD0qspb2UuPX5zpi6WMrQzslghyvrI/edit?usp=sharing"",""สกลนคร!J631"")"),0)</f>
        <v>0</v>
      </c>
      <c r="AK45" s="354">
        <f t="shared" ca="1" si="50"/>
        <v>0</v>
      </c>
      <c r="AL45" s="354">
        <f ca="1">IFERROR(__xludf.DUMMYFUNCTION("IMPORTRANGE(""https://docs.google.com/spreadsheets/d/17P34_Ow5kFBfdQD0qspb2UuPX5zpi6WMrQzslghyvrI/edit?usp=sharing"",""สกลนคร!J632"")"),0)</f>
        <v>0</v>
      </c>
      <c r="AM45" s="354">
        <f t="shared" ca="1" si="51"/>
        <v>0</v>
      </c>
      <c r="AN45" s="354">
        <f ca="1">IFERROR(__xludf.DUMMYFUNCTION("IMPORTRANGE(""https://docs.google.com/spreadsheets/d/17P34_Ow5kFBfdQD0qspb2UuPX5zpi6WMrQzslghyvrI/edit?usp=sharing"",""สกลนคร!J633"")"),0)</f>
        <v>0</v>
      </c>
      <c r="AO45" s="354">
        <f ca="1">IFERROR(__xludf.DUMMYFUNCTION("IMPORTRANGE(""https://docs.google.com/spreadsheets/d/17P34_Ow5kFBfdQD0qspb2UuPX5zpi6WMrQzslghyvrI/edit?usp=sharing"",""สกลนคร!J634"")"),0)</f>
        <v>0</v>
      </c>
      <c r="AP45" s="177">
        <f ca="1">IFERROR(__xludf.DUMMYFUNCTION("IMPORTRANGE(""https://docs.google.com/spreadsheets/d/17P34_Ow5kFBfdQD0qspb2UuPX5zpi6WMrQzslghyvrI/edit?usp=sharing"",""สกลนคร!I635"")"),0)</f>
        <v>0</v>
      </c>
      <c r="AQ45" s="177">
        <f ca="1">IFERROR(__xludf.DUMMYFUNCTION("IMPORTRANGE(""https://docs.google.com/spreadsheets/d/17P34_Ow5kFBfdQD0qspb2UuPX5zpi6WMrQzslghyvrI/edit?usp=sharing"",""สกลนคร!J635"")"),0)</f>
        <v>0</v>
      </c>
      <c r="AR45" s="354">
        <f t="shared" ca="1" si="53"/>
        <v>0</v>
      </c>
      <c r="AS45" s="177">
        <f ca="1">IFERROR(__xludf.DUMMYFUNCTION("IMPORTRANGE(""https://docs.google.com/spreadsheets/d/17P34_Ow5kFBfdQD0qspb2UuPX5zpi6WMrQzslghyvrI/edit?usp=sharing"",""สกลนคร!J636"")"),0)</f>
        <v>0</v>
      </c>
      <c r="AT45" s="177">
        <f ca="1">IFERROR(__xludf.DUMMYFUNCTION("IMPORTRANGE(""https://docs.google.com/spreadsheets/d/17P34_Ow5kFBfdQD0qspb2UuPX5zpi6WMrQzslghyvrI/edit?usp=sharing"",""สกลนคร!J637"")"),0)</f>
        <v>0</v>
      </c>
      <c r="AU45" s="177">
        <f ca="1">IFERROR(__xludf.DUMMYFUNCTION("IMPORTRANGE(""https://docs.google.com/spreadsheets/d/17P34_Ow5kFBfdQD0qspb2UuPX5zpi6WMrQzslghyvrI/edit?usp=sharing"",""สกลนคร!J638"")"),0)</f>
        <v>0</v>
      </c>
      <c r="AV45" s="177">
        <f ca="1">IFERROR(__xludf.DUMMYFUNCTION("IMPORTRANGE(""https://docs.google.com/spreadsheets/d/17P34_Ow5kFBfdQD0qspb2UuPX5zpi6WMrQzslghyvrI/edit?usp=sharing"",""สกลนคร!J639"")"),0)</f>
        <v>0</v>
      </c>
      <c r="AW45" s="177">
        <f ca="1">IFERROR(__xludf.DUMMYFUNCTION("IMPORTRANGE(""https://docs.google.com/spreadsheets/d/17P34_Ow5kFBfdQD0qspb2UuPX5zpi6WMrQzslghyvrI/edit?usp=sharing"",""สกลนคร!J640"")"),0)</f>
        <v>0</v>
      </c>
    </row>
    <row r="46" spans="1:49" ht="19.5" x14ac:dyDescent="0.3">
      <c r="A46" s="89">
        <v>15</v>
      </c>
      <c r="B46" s="90" t="s">
        <v>72</v>
      </c>
      <c r="C46" s="174">
        <f t="shared" si="32"/>
        <v>0</v>
      </c>
      <c r="D46" s="175">
        <f t="shared" si="64"/>
        <v>0</v>
      </c>
      <c r="E46" s="403">
        <v>0</v>
      </c>
      <c r="F46" s="403">
        <v>0</v>
      </c>
      <c r="G46" s="403">
        <v>0</v>
      </c>
      <c r="H46" s="403">
        <v>0</v>
      </c>
      <c r="I46" s="403">
        <v>0</v>
      </c>
      <c r="J46" s="176">
        <f t="shared" si="34"/>
        <v>0</v>
      </c>
      <c r="K46" s="179">
        <f t="shared" si="35"/>
        <v>0</v>
      </c>
      <c r="L46" s="403">
        <v>0</v>
      </c>
      <c r="M46" s="87">
        <f t="shared" si="36"/>
        <v>0</v>
      </c>
      <c r="N46" s="87">
        <f t="shared" si="37"/>
        <v>0</v>
      </c>
      <c r="O46" s="403">
        <v>0</v>
      </c>
      <c r="P46" s="86">
        <f t="shared" si="38"/>
        <v>0</v>
      </c>
      <c r="Q46" s="87">
        <f t="shared" si="39"/>
        <v>0</v>
      </c>
      <c r="R46" s="87">
        <f ca="1">IFERROR(__xludf.DUMMYFUNCTION("IMPORTRANGE(""https://docs.google.com/spreadsheets/d/1yswqbM3-AEpThF3ZSUa1AcmHnmRTF1vlJ1CZGcJ8YuU/edit?usp=sharing"",""สุรินทร์!Q616"")"),6925)</f>
        <v>6925</v>
      </c>
      <c r="S46" s="87">
        <f ca="1">IFERROR(__xludf.DUMMYFUNCTION("IMPORTRANGE(""https://docs.google.com/spreadsheets/d/1yswqbM3-AEpThF3ZSUa1AcmHnmRTF1vlJ1CZGcJ8YuU/edit?usp=sharing"",""สุรินทร์!R616"")"),0)</f>
        <v>0</v>
      </c>
      <c r="T46" s="87">
        <f ca="1">IFERROR(__xludf.DUMMYFUNCTION("IMPORTRANGE(""https://docs.google.com/spreadsheets/d/1yswqbM3-AEpThF3ZSUa1AcmHnmRTF1vlJ1CZGcJ8YuU/edit?usp=sharing"",""สุรินทร์!S616"")"),0)</f>
        <v>0</v>
      </c>
      <c r="U46" s="87">
        <f t="shared" ca="1" si="41"/>
        <v>0</v>
      </c>
      <c r="V46" s="87">
        <f t="shared" ca="1" si="42"/>
        <v>0</v>
      </c>
      <c r="W46" s="353">
        <f ca="1">IFERROR(__xludf.DUMMYFUNCTION("IMPORTRANGE(""https://docs.google.com/spreadsheets/d/1yswqbM3-AEpThF3ZSUa1AcmHnmRTF1vlJ1CZGcJ8YuU/edit?usp=sharing"",""สุรินทร์!I626"")"),50)</f>
        <v>50</v>
      </c>
      <c r="X46" s="177">
        <f ca="1">IFERROR(__xludf.DUMMYFUNCTION("IMPORTRANGE(""https://docs.google.com/spreadsheets/d/1yswqbM3-AEpThF3ZSUa1AcmHnmRTF1vlJ1CZGcJ8YuU/edit?usp=sharing"",""สุรินทร์!J626"")"),0)</f>
        <v>0</v>
      </c>
      <c r="Y46" s="354">
        <f t="shared" ca="1" si="44"/>
        <v>0</v>
      </c>
      <c r="Z46" s="177">
        <f ca="1">IFERROR(__xludf.DUMMYFUNCTION("IMPORTRANGE(""https://docs.google.com/spreadsheets/d/1yswqbM3-AEpThF3ZSUa1AcmHnmRTF1vlJ1CZGcJ8YuU/edit?usp=sharing"",""สุรินทร์!I627"")"),0)</f>
        <v>0</v>
      </c>
      <c r="AA46" s="177">
        <f ca="1">IFERROR(__xludf.DUMMYFUNCTION("IMPORTRANGE(""https://docs.google.com/spreadsheets/d/1yswqbM3-AEpThF3ZSUa1AcmHnmRTF1vlJ1CZGcJ8YuU/edit?usp=sharing"",""สุรินทร์!J627"")"),0)</f>
        <v>0</v>
      </c>
      <c r="AB46" s="354">
        <f t="shared" ca="1" si="46"/>
        <v>0</v>
      </c>
      <c r="AC46" s="177">
        <f ca="1">IFERROR(__xludf.DUMMYFUNCTION("IMPORTRANGE(""https://docs.google.com/spreadsheets/d/1yswqbM3-AEpThF3ZSUa1AcmHnmRTF1vlJ1CZGcJ8YuU/edit?usp=sharing"",""สุรินทร์!I628"")"),0)</f>
        <v>0</v>
      </c>
      <c r="AD46" s="177">
        <f ca="1">IFERROR(__xludf.DUMMYFUNCTION("IMPORTRANGE(""https://docs.google.com/spreadsheets/d/1yswqbM3-AEpThF3ZSUa1AcmHnmRTF1vlJ1CZGcJ8YuU/edit?usp=sharing"",""สุรินทร์!J628"")"),0)</f>
        <v>0</v>
      </c>
      <c r="AE46" s="354">
        <f t="shared" ca="1" si="48"/>
        <v>0</v>
      </c>
      <c r="AF46" s="177">
        <f ca="1">IFERROR(__xludf.DUMMYFUNCTION("IMPORTRANGE(""https://docs.google.com/spreadsheets/d/1yswqbM3-AEpThF3ZSUa1AcmHnmRTF1vlJ1CZGcJ8YuU/edit?usp=sharing"",""สุรินทร์!J629"")"),0)</f>
        <v>0</v>
      </c>
      <c r="AG46" s="354">
        <f t="shared" ca="1" si="56"/>
        <v>0</v>
      </c>
      <c r="AH46" s="177">
        <f ca="1">IFERROR(__xludf.DUMMYFUNCTION("IMPORTRANGE(""https://docs.google.com/spreadsheets/d/1yswqbM3-AEpThF3ZSUa1AcmHnmRTF1vlJ1CZGcJ8YuU/edit?usp=sharing"",""สุรินทร์!J630"")"),0)</f>
        <v>0</v>
      </c>
      <c r="AI46" s="354">
        <f t="shared" ca="1" si="49"/>
        <v>0</v>
      </c>
      <c r="AJ46" s="354">
        <f ca="1">IFERROR(__xludf.DUMMYFUNCTION("IMPORTRANGE(""https://docs.google.com/spreadsheets/d/1yswqbM3-AEpThF3ZSUa1AcmHnmRTF1vlJ1CZGcJ8YuU/edit?usp=sharing"",""สุรินทร์!J631"")"),0)</f>
        <v>0</v>
      </c>
      <c r="AK46" s="354">
        <f t="shared" ca="1" si="50"/>
        <v>0</v>
      </c>
      <c r="AL46" s="354">
        <f ca="1">IFERROR(__xludf.DUMMYFUNCTION("IMPORTRANGE(""https://docs.google.com/spreadsheets/d/1yswqbM3-AEpThF3ZSUa1AcmHnmRTF1vlJ1CZGcJ8YuU/edit?usp=sharing"",""สุรินทร์!J632"")"),0)</f>
        <v>0</v>
      </c>
      <c r="AM46" s="354">
        <f t="shared" ca="1" si="51"/>
        <v>0</v>
      </c>
      <c r="AN46" s="354">
        <f ca="1">IFERROR(__xludf.DUMMYFUNCTION("IMPORTRANGE(""https://docs.google.com/spreadsheets/d/1yswqbM3-AEpThF3ZSUa1AcmHnmRTF1vlJ1CZGcJ8YuU/edit?usp=sharing"",""สุรินทร์!J633"")"),0)</f>
        <v>0</v>
      </c>
      <c r="AO46" s="354">
        <f ca="1">IFERROR(__xludf.DUMMYFUNCTION("IMPORTRANGE(""https://docs.google.com/spreadsheets/d/1yswqbM3-AEpThF3ZSUa1AcmHnmRTF1vlJ1CZGcJ8YuU/edit?usp=sharing"",""สุรินทร์!J634"")"),0)</f>
        <v>0</v>
      </c>
      <c r="AP46" s="177">
        <f ca="1">IFERROR(__xludf.DUMMYFUNCTION("IMPORTRANGE(""https://docs.google.com/spreadsheets/d/1yswqbM3-AEpThF3ZSUa1AcmHnmRTF1vlJ1CZGcJ8YuU/edit?usp=sharing"",""สุรินทร์!I635"")"),0)</f>
        <v>0</v>
      </c>
      <c r="AQ46" s="177">
        <f ca="1">IFERROR(__xludf.DUMMYFUNCTION("IMPORTRANGE(""https://docs.google.com/spreadsheets/d/1yswqbM3-AEpThF3ZSUa1AcmHnmRTF1vlJ1CZGcJ8YuU/edit?usp=sharing"",""สุรินทร์!J635"")"),0)</f>
        <v>0</v>
      </c>
      <c r="AR46" s="354">
        <f t="shared" ca="1" si="53"/>
        <v>0</v>
      </c>
      <c r="AS46" s="177">
        <f ca="1">IFERROR(__xludf.DUMMYFUNCTION("IMPORTRANGE(""https://docs.google.com/spreadsheets/d/1yswqbM3-AEpThF3ZSUa1AcmHnmRTF1vlJ1CZGcJ8YuU/edit?usp=sharing"",""สุรินทร์!J636"")"),0)</f>
        <v>0</v>
      </c>
      <c r="AT46" s="177">
        <f ca="1">IFERROR(__xludf.DUMMYFUNCTION("IMPORTRANGE(""https://docs.google.com/spreadsheets/d/1yswqbM3-AEpThF3ZSUa1AcmHnmRTF1vlJ1CZGcJ8YuU/edit?usp=sharing"",""สุรินทร์!J637"")"),0)</f>
        <v>0</v>
      </c>
      <c r="AU46" s="177">
        <f ca="1">IFERROR(__xludf.DUMMYFUNCTION("IMPORTRANGE(""https://docs.google.com/spreadsheets/d/1yswqbM3-AEpThF3ZSUa1AcmHnmRTF1vlJ1CZGcJ8YuU/edit?usp=sharing"",""สุรินทร์!J638"")"),0)</f>
        <v>0</v>
      </c>
      <c r="AV46" s="177">
        <f ca="1">IFERROR(__xludf.DUMMYFUNCTION("IMPORTRANGE(""https://docs.google.com/spreadsheets/d/1yswqbM3-AEpThF3ZSUa1AcmHnmRTF1vlJ1CZGcJ8YuU/edit?usp=sharing"",""สุรินทร์!J639"")"),0)</f>
        <v>0</v>
      </c>
      <c r="AW46" s="177">
        <f ca="1">IFERROR(__xludf.DUMMYFUNCTION("IMPORTRANGE(""https://docs.google.com/spreadsheets/d/1yswqbM3-AEpThF3ZSUa1AcmHnmRTF1vlJ1CZGcJ8YuU/edit?usp=sharing"",""สุรินทร์!J640"")"),0)</f>
        <v>0</v>
      </c>
    </row>
    <row r="47" spans="1:49" ht="19.5" x14ac:dyDescent="0.3">
      <c r="A47" s="89">
        <v>16</v>
      </c>
      <c r="B47" s="90" t="s">
        <v>73</v>
      </c>
      <c r="C47" s="174">
        <f t="shared" si="32"/>
        <v>0</v>
      </c>
      <c r="D47" s="175">
        <f t="shared" si="64"/>
        <v>0</v>
      </c>
      <c r="E47" s="403">
        <v>0</v>
      </c>
      <c r="F47" s="403">
        <v>0</v>
      </c>
      <c r="G47" s="403">
        <v>0</v>
      </c>
      <c r="H47" s="403">
        <v>0</v>
      </c>
      <c r="I47" s="403">
        <v>0</v>
      </c>
      <c r="J47" s="176">
        <f t="shared" si="34"/>
        <v>0</v>
      </c>
      <c r="K47" s="179">
        <f t="shared" si="35"/>
        <v>0</v>
      </c>
      <c r="L47" s="403">
        <v>0</v>
      </c>
      <c r="M47" s="87">
        <f t="shared" si="36"/>
        <v>0</v>
      </c>
      <c r="N47" s="87">
        <f t="shared" si="37"/>
        <v>0</v>
      </c>
      <c r="O47" s="403">
        <v>0</v>
      </c>
      <c r="P47" s="86">
        <f t="shared" si="38"/>
        <v>0</v>
      </c>
      <c r="Q47" s="87">
        <f t="shared" si="39"/>
        <v>0</v>
      </c>
      <c r="R47" s="87">
        <f ca="1">IFERROR(__xludf.DUMMYFUNCTION("IMPORTRANGE(""https://docs.google.com/spreadsheets/d/13JHU_EFbsQOUQ0JSQ3dWy1VTRosIWcDq6Nc99z2qzdc/edit?usp=sharing"",""หนองคาย!Q616"")"),1225)</f>
        <v>1225</v>
      </c>
      <c r="S47" s="87">
        <f ca="1">IFERROR(__xludf.DUMMYFUNCTION("IMPORTRANGE(""https://docs.google.com/spreadsheets/d/13JHU_EFbsQOUQ0JSQ3dWy1VTRosIWcDq6Nc99z2qzdc/edit?usp=sharing"",""หนองคาย!R616"")"),0)</f>
        <v>0</v>
      </c>
      <c r="T47" s="87">
        <f ca="1">IFERROR(__xludf.DUMMYFUNCTION("IMPORTRANGE(""https://docs.google.com/spreadsheets/d/13JHU_EFbsQOUQ0JSQ3dWy1VTRosIWcDq6Nc99z2qzdc/edit?usp=sharing"",""หนองคาย!S616"")"),0)</f>
        <v>0</v>
      </c>
      <c r="U47" s="87">
        <f t="shared" ca="1" si="41"/>
        <v>0</v>
      </c>
      <c r="V47" s="87">
        <f t="shared" ca="1" si="42"/>
        <v>0</v>
      </c>
      <c r="W47" s="353">
        <f ca="1">IFERROR(__xludf.DUMMYFUNCTION("IMPORTRANGE(""https://docs.google.com/spreadsheets/d/13JHU_EFbsQOUQ0JSQ3dWy1VTRosIWcDq6Nc99z2qzdc/edit?usp=sharing"",""หนองคาย!I626"")"),0)</f>
        <v>0</v>
      </c>
      <c r="X47" s="177">
        <f ca="1">IFERROR(__xludf.DUMMYFUNCTION("IMPORTRANGE(""https://docs.google.com/spreadsheets/d/13JHU_EFbsQOUQ0JSQ3dWy1VTRosIWcDq6Nc99z2qzdc/edit?usp=sharing"",""หนองคาย!J626"")"),0)</f>
        <v>0</v>
      </c>
      <c r="Y47" s="354">
        <f t="shared" ca="1" si="44"/>
        <v>0</v>
      </c>
      <c r="Z47" s="177">
        <f ca="1">IFERROR(__xludf.DUMMYFUNCTION("IMPORTRANGE(""https://docs.google.com/spreadsheets/d/13JHU_EFbsQOUQ0JSQ3dWy1VTRosIWcDq6Nc99z2qzdc/edit?usp=sharing"",""หนองคาย!I627"")"),0)</f>
        <v>0</v>
      </c>
      <c r="AA47" s="177">
        <f ca="1">IFERROR(__xludf.DUMMYFUNCTION("IMPORTRANGE(""https://docs.google.com/spreadsheets/d/13JHU_EFbsQOUQ0JSQ3dWy1VTRosIWcDq6Nc99z2qzdc/edit?usp=sharing"",""หนองคาย!J627"")"),0)</f>
        <v>0</v>
      </c>
      <c r="AB47" s="354">
        <f t="shared" ca="1" si="46"/>
        <v>0</v>
      </c>
      <c r="AC47" s="177">
        <f ca="1">IFERROR(__xludf.DUMMYFUNCTION("IMPORTRANGE(""https://docs.google.com/spreadsheets/d/13JHU_EFbsQOUQ0JSQ3dWy1VTRosIWcDq6Nc99z2qzdc/edit?usp=sharing"",""หนองคาย!I628"")"),0)</f>
        <v>0</v>
      </c>
      <c r="AD47" s="177">
        <f ca="1">IFERROR(__xludf.DUMMYFUNCTION("IMPORTRANGE(""https://docs.google.com/spreadsheets/d/13JHU_EFbsQOUQ0JSQ3dWy1VTRosIWcDq6Nc99z2qzdc/edit?usp=sharing"",""หนองคาย!J628"")"),0)</f>
        <v>0</v>
      </c>
      <c r="AE47" s="354">
        <f t="shared" ca="1" si="48"/>
        <v>0</v>
      </c>
      <c r="AF47" s="177">
        <f ca="1">IFERROR(__xludf.DUMMYFUNCTION("IMPORTRANGE(""https://docs.google.com/spreadsheets/d/13JHU_EFbsQOUQ0JSQ3dWy1VTRosIWcDq6Nc99z2qzdc/edit?usp=sharing"",""หนองคาย!J629"")"),0)</f>
        <v>0</v>
      </c>
      <c r="AG47" s="354">
        <f t="shared" ca="1" si="56"/>
        <v>0</v>
      </c>
      <c r="AH47" s="177">
        <f ca="1">IFERROR(__xludf.DUMMYFUNCTION("IMPORTRANGE(""https://docs.google.com/spreadsheets/d/13JHU_EFbsQOUQ0JSQ3dWy1VTRosIWcDq6Nc99z2qzdc/edit?usp=sharing"",""หนองคาย!J630"")"),0)</f>
        <v>0</v>
      </c>
      <c r="AI47" s="354">
        <f t="shared" ca="1" si="49"/>
        <v>0</v>
      </c>
      <c r="AJ47" s="354">
        <f ca="1">IFERROR(__xludf.DUMMYFUNCTION("IMPORTRANGE(""https://docs.google.com/spreadsheets/d/13JHU_EFbsQOUQ0JSQ3dWy1VTRosIWcDq6Nc99z2qzdc/edit?usp=sharing"",""หนองคาย!J631"")"),0)</f>
        <v>0</v>
      </c>
      <c r="AK47" s="354">
        <f t="shared" ca="1" si="50"/>
        <v>0</v>
      </c>
      <c r="AL47" s="354">
        <f ca="1">IFERROR(__xludf.DUMMYFUNCTION("IMPORTRANGE(""https://docs.google.com/spreadsheets/d/13JHU_EFbsQOUQ0JSQ3dWy1VTRosIWcDq6Nc99z2qzdc/edit?usp=sharing"",""หนองคาย!J632"")"),0)</f>
        <v>0</v>
      </c>
      <c r="AM47" s="354">
        <f t="shared" ca="1" si="51"/>
        <v>0</v>
      </c>
      <c r="AN47" s="354">
        <f ca="1">IFERROR(__xludf.DUMMYFUNCTION("IMPORTRANGE(""https://docs.google.com/spreadsheets/d/13JHU_EFbsQOUQ0JSQ3dWy1VTRosIWcDq6Nc99z2qzdc/edit?usp=sharing"",""หนองคาย!J633"")"),0)</f>
        <v>0</v>
      </c>
      <c r="AO47" s="354">
        <f ca="1">IFERROR(__xludf.DUMMYFUNCTION("IMPORTRANGE(""https://docs.google.com/spreadsheets/d/13JHU_EFbsQOUQ0JSQ3dWy1VTRosIWcDq6Nc99z2qzdc/edit?usp=sharing"",""หนองคาย!J634"")"),0)</f>
        <v>0</v>
      </c>
      <c r="AP47" s="177">
        <f ca="1">IFERROR(__xludf.DUMMYFUNCTION("IMPORTRANGE(""https://docs.google.com/spreadsheets/d/13JHU_EFbsQOUQ0JSQ3dWy1VTRosIWcDq6Nc99z2qzdc/edit?usp=sharing"",""หนองคาย!I635"")"),0)</f>
        <v>0</v>
      </c>
      <c r="AQ47" s="177">
        <f ca="1">IFERROR(__xludf.DUMMYFUNCTION("IMPORTRANGE(""https://docs.google.com/spreadsheets/d/13JHU_EFbsQOUQ0JSQ3dWy1VTRosIWcDq6Nc99z2qzdc/edit?usp=sharing"",""หนองคาย!J635"")"),0)</f>
        <v>0</v>
      </c>
      <c r="AR47" s="354">
        <f t="shared" ca="1" si="53"/>
        <v>0</v>
      </c>
      <c r="AS47" s="177">
        <f ca="1">IFERROR(__xludf.DUMMYFUNCTION("IMPORTRANGE(""https://docs.google.com/spreadsheets/d/13JHU_EFbsQOUQ0JSQ3dWy1VTRosIWcDq6Nc99z2qzdc/edit?usp=sharing"",""หนองคาย!J636"")"),0)</f>
        <v>0</v>
      </c>
      <c r="AT47" s="177">
        <f ca="1">IFERROR(__xludf.DUMMYFUNCTION("IMPORTRANGE(""https://docs.google.com/spreadsheets/d/13JHU_EFbsQOUQ0JSQ3dWy1VTRosIWcDq6Nc99z2qzdc/edit?usp=sharing"",""หนองคาย!J637"")"),0)</f>
        <v>0</v>
      </c>
      <c r="AU47" s="177">
        <f ca="1">IFERROR(__xludf.DUMMYFUNCTION("IMPORTRANGE(""https://docs.google.com/spreadsheets/d/13JHU_EFbsQOUQ0JSQ3dWy1VTRosIWcDq6Nc99z2qzdc/edit?usp=sharing"",""หนองคาย!J638"")"),0)</f>
        <v>0</v>
      </c>
      <c r="AV47" s="177">
        <f ca="1">IFERROR(__xludf.DUMMYFUNCTION("IMPORTRANGE(""https://docs.google.com/spreadsheets/d/13JHU_EFbsQOUQ0JSQ3dWy1VTRosIWcDq6Nc99z2qzdc/edit?usp=sharing"",""หนองคาย!J639"")"),0)</f>
        <v>0</v>
      </c>
      <c r="AW47" s="177">
        <f ca="1">IFERROR(__xludf.DUMMYFUNCTION("IMPORTRANGE(""https://docs.google.com/spreadsheets/d/13JHU_EFbsQOUQ0JSQ3dWy1VTRosIWcDq6Nc99z2qzdc/edit?usp=sharing"",""หนองคาย!J640"")"),0)</f>
        <v>0</v>
      </c>
    </row>
    <row r="48" spans="1:49" ht="19.5" x14ac:dyDescent="0.3">
      <c r="A48" s="89">
        <v>17</v>
      </c>
      <c r="B48" s="90" t="s">
        <v>74</v>
      </c>
      <c r="C48" s="174">
        <f t="shared" si="32"/>
        <v>0</v>
      </c>
      <c r="D48" s="175">
        <f t="shared" si="64"/>
        <v>0</v>
      </c>
      <c r="E48" s="403">
        <v>0</v>
      </c>
      <c r="F48" s="403">
        <v>0</v>
      </c>
      <c r="G48" s="403">
        <v>0</v>
      </c>
      <c r="H48" s="403">
        <v>0</v>
      </c>
      <c r="I48" s="403">
        <v>0</v>
      </c>
      <c r="J48" s="176">
        <f t="shared" si="34"/>
        <v>0</v>
      </c>
      <c r="K48" s="179">
        <f t="shared" si="35"/>
        <v>0</v>
      </c>
      <c r="L48" s="403">
        <v>0</v>
      </c>
      <c r="M48" s="87">
        <f t="shared" si="36"/>
        <v>0</v>
      </c>
      <c r="N48" s="87">
        <f t="shared" si="37"/>
        <v>0</v>
      </c>
      <c r="O48" s="403">
        <v>0</v>
      </c>
      <c r="P48" s="86">
        <f t="shared" si="38"/>
        <v>0</v>
      </c>
      <c r="Q48" s="87">
        <f t="shared" si="39"/>
        <v>0</v>
      </c>
      <c r="R48" s="87">
        <f ca="1">IFERROR(__xludf.DUMMYFUNCTION("IMPORTRANGE(""https://docs.google.com/spreadsheets/d/1Hx73zIEgVdDZZaYSTc46Dqv64atFhpr3GelxLbaIN8A/edit?usp=sharing"",""หนองบัวลำภู!Q616"")"),6650)</f>
        <v>6650</v>
      </c>
      <c r="S48" s="87">
        <f ca="1">IFERROR(__xludf.DUMMYFUNCTION("IMPORTRANGE(""https://docs.google.com/spreadsheets/d/1Hx73zIEgVdDZZaYSTc46Dqv64atFhpr3GelxLbaIN8A/edit?usp=sharing"",""หนองบัวลำภู!R616"")"),0)</f>
        <v>0</v>
      </c>
      <c r="T48" s="87">
        <f ca="1">IFERROR(__xludf.DUMMYFUNCTION("IMPORTRANGE(""https://docs.google.com/spreadsheets/d/1Hx73zIEgVdDZZaYSTc46Dqv64atFhpr3GelxLbaIN8A/edit?usp=sharing"",""หนองบัวลำภู!S616"")"),1000)</f>
        <v>1000</v>
      </c>
      <c r="U48" s="87">
        <f t="shared" ca="1" si="41"/>
        <v>15.037593984962406</v>
      </c>
      <c r="V48" s="87">
        <f t="shared" ca="1" si="42"/>
        <v>0</v>
      </c>
      <c r="W48" s="353">
        <f ca="1">IFERROR(__xludf.DUMMYFUNCTION("IMPORTRANGE(""https://docs.google.com/spreadsheets/d/1Hx73zIEgVdDZZaYSTc46Dqv64atFhpr3GelxLbaIN8A/edit?usp=sharing"",""หนองบัวลำภู!I626"")"),50)</f>
        <v>50</v>
      </c>
      <c r="X48" s="177">
        <f ca="1">IFERROR(__xludf.DUMMYFUNCTION("IMPORTRANGE(""https://docs.google.com/spreadsheets/d/1Hx73zIEgVdDZZaYSTc46Dqv64atFhpr3GelxLbaIN8A/edit?usp=sharing"",""หนองบัวลำภู!J626"")"),0)</f>
        <v>0</v>
      </c>
      <c r="Y48" s="354">
        <f t="shared" ca="1" si="44"/>
        <v>0</v>
      </c>
      <c r="Z48" s="177">
        <f ca="1">IFERROR(__xludf.DUMMYFUNCTION("IMPORTRANGE(""https://docs.google.com/spreadsheets/d/1Hx73zIEgVdDZZaYSTc46Dqv64atFhpr3GelxLbaIN8A/edit?usp=sharing"",""หนองบัวลำภู!I627"")"),0)</f>
        <v>0</v>
      </c>
      <c r="AA48" s="177">
        <f ca="1">IFERROR(__xludf.DUMMYFUNCTION("IMPORTRANGE(""https://docs.google.com/spreadsheets/d/1Hx73zIEgVdDZZaYSTc46Dqv64atFhpr3GelxLbaIN8A/edit?usp=sharing"",""หนองบัวลำภู!J627"")"),0)</f>
        <v>0</v>
      </c>
      <c r="AB48" s="354">
        <f t="shared" ca="1" si="46"/>
        <v>0</v>
      </c>
      <c r="AC48" s="177">
        <f ca="1">IFERROR(__xludf.DUMMYFUNCTION("IMPORTRANGE(""https://docs.google.com/spreadsheets/d/1Hx73zIEgVdDZZaYSTc46Dqv64atFhpr3GelxLbaIN8A/edit?usp=sharing"",""หนองบัวลำภู!I628"")"),0)</f>
        <v>0</v>
      </c>
      <c r="AD48" s="177">
        <f ca="1">IFERROR(__xludf.DUMMYFUNCTION("IMPORTRANGE(""https://docs.google.com/spreadsheets/d/1Hx73zIEgVdDZZaYSTc46Dqv64atFhpr3GelxLbaIN8A/edit?usp=sharing"",""หนองบัวลำภู!J628"")"),0)</f>
        <v>0</v>
      </c>
      <c r="AE48" s="354">
        <f t="shared" ca="1" si="48"/>
        <v>0</v>
      </c>
      <c r="AF48" s="177">
        <f ca="1">IFERROR(__xludf.DUMMYFUNCTION("IMPORTRANGE(""https://docs.google.com/spreadsheets/d/1Hx73zIEgVdDZZaYSTc46Dqv64atFhpr3GelxLbaIN8A/edit?usp=sharing"",""หนองบัวลำภู!J629"")"),0)</f>
        <v>0</v>
      </c>
      <c r="AG48" s="354">
        <f t="shared" ca="1" si="56"/>
        <v>0</v>
      </c>
      <c r="AH48" s="177">
        <f ca="1">IFERROR(__xludf.DUMMYFUNCTION("IMPORTRANGE(""https://docs.google.com/spreadsheets/d/1Hx73zIEgVdDZZaYSTc46Dqv64atFhpr3GelxLbaIN8A/edit?usp=sharing"",""หนองบัวลำภู!J630"")"),0)</f>
        <v>0</v>
      </c>
      <c r="AI48" s="354">
        <f t="shared" ca="1" si="49"/>
        <v>0</v>
      </c>
      <c r="AJ48" s="354">
        <f ca="1">IFERROR(__xludf.DUMMYFUNCTION("IMPORTRANGE(""https://docs.google.com/spreadsheets/d/1Hx73zIEgVdDZZaYSTc46Dqv64atFhpr3GelxLbaIN8A/edit?usp=sharing"",""หนองบัวลำภู!J631"")"),0)</f>
        <v>0</v>
      </c>
      <c r="AK48" s="354">
        <f t="shared" ca="1" si="50"/>
        <v>0</v>
      </c>
      <c r="AL48" s="354">
        <f ca="1">IFERROR(__xludf.DUMMYFUNCTION("IMPORTRANGE(""https://docs.google.com/spreadsheets/d/1Hx73zIEgVdDZZaYSTc46Dqv64atFhpr3GelxLbaIN8A/edit?usp=sharing"",""หนองบัวลำภู!J632"")"),0)</f>
        <v>0</v>
      </c>
      <c r="AM48" s="354">
        <f t="shared" ca="1" si="51"/>
        <v>0</v>
      </c>
      <c r="AN48" s="354">
        <f ca="1">IFERROR(__xludf.DUMMYFUNCTION("IMPORTRANGE(""https://docs.google.com/spreadsheets/d/1Hx73zIEgVdDZZaYSTc46Dqv64atFhpr3GelxLbaIN8A/edit?usp=sharing"",""หนองบัวลำภู!J633"")"),0)</f>
        <v>0</v>
      </c>
      <c r="AO48" s="354">
        <f ca="1">IFERROR(__xludf.DUMMYFUNCTION("IMPORTRANGE(""https://docs.google.com/spreadsheets/d/1Hx73zIEgVdDZZaYSTc46Dqv64atFhpr3GelxLbaIN8A/edit?usp=sharing"",""หนองบัวลำภู!J634"")"),0)</f>
        <v>0</v>
      </c>
      <c r="AP48" s="177">
        <f ca="1">IFERROR(__xludf.DUMMYFUNCTION("IMPORTRANGE(""https://docs.google.com/spreadsheets/d/1Hx73zIEgVdDZZaYSTc46Dqv64atFhpr3GelxLbaIN8A/edit?usp=sharing"",""หนองบัวลำภู!I635"")"),0)</f>
        <v>0</v>
      </c>
      <c r="AQ48" s="177">
        <f ca="1">IFERROR(__xludf.DUMMYFUNCTION("IMPORTRANGE(""https://docs.google.com/spreadsheets/d/1Hx73zIEgVdDZZaYSTc46Dqv64atFhpr3GelxLbaIN8A/edit?usp=sharing"",""หนองบัวลำภู!J635"")"),0)</f>
        <v>0</v>
      </c>
      <c r="AR48" s="354">
        <f t="shared" ca="1" si="53"/>
        <v>0</v>
      </c>
      <c r="AS48" s="177">
        <f ca="1">IFERROR(__xludf.DUMMYFUNCTION("IMPORTRANGE(""https://docs.google.com/spreadsheets/d/1Hx73zIEgVdDZZaYSTc46Dqv64atFhpr3GelxLbaIN8A/edit?usp=sharing"",""หนองบัวลำภู!J636"")"),0)</f>
        <v>0</v>
      </c>
      <c r="AT48" s="177">
        <f ca="1">IFERROR(__xludf.DUMMYFUNCTION("IMPORTRANGE(""https://docs.google.com/spreadsheets/d/1Hx73zIEgVdDZZaYSTc46Dqv64atFhpr3GelxLbaIN8A/edit?usp=sharing"",""หนองบัวลำภู!J637"")"),0)</f>
        <v>0</v>
      </c>
      <c r="AU48" s="177">
        <f ca="1">IFERROR(__xludf.DUMMYFUNCTION("IMPORTRANGE(""https://docs.google.com/spreadsheets/d/1Hx73zIEgVdDZZaYSTc46Dqv64atFhpr3GelxLbaIN8A/edit?usp=sharing"",""หนองบัวลำภู!J638"")"),0)</f>
        <v>0</v>
      </c>
      <c r="AV48" s="177">
        <f ca="1">IFERROR(__xludf.DUMMYFUNCTION("IMPORTRANGE(""https://docs.google.com/spreadsheets/d/1Hx73zIEgVdDZZaYSTc46Dqv64atFhpr3GelxLbaIN8A/edit?usp=sharing"",""หนองบัวลำภู!J639"")"),0)</f>
        <v>0</v>
      </c>
      <c r="AW48" s="177">
        <f ca="1">IFERROR(__xludf.DUMMYFUNCTION("IMPORTRANGE(""https://docs.google.com/spreadsheets/d/1Hx73zIEgVdDZZaYSTc46Dqv64atFhpr3GelxLbaIN8A/edit?usp=sharing"",""หนองบัวลำภู!J640"")"),0)</f>
        <v>0</v>
      </c>
    </row>
    <row r="49" spans="1:49" ht="19.5" x14ac:dyDescent="0.3">
      <c r="A49" s="89">
        <v>18</v>
      </c>
      <c r="B49" s="90" t="s">
        <v>75</v>
      </c>
      <c r="C49" s="174">
        <f t="shared" si="32"/>
        <v>0</v>
      </c>
      <c r="D49" s="175">
        <f t="shared" si="64"/>
        <v>0</v>
      </c>
      <c r="E49" s="403">
        <v>0</v>
      </c>
      <c r="F49" s="403">
        <v>0</v>
      </c>
      <c r="G49" s="403">
        <v>0</v>
      </c>
      <c r="H49" s="403">
        <v>0</v>
      </c>
      <c r="I49" s="403">
        <v>0</v>
      </c>
      <c r="J49" s="176">
        <f t="shared" si="34"/>
        <v>0</v>
      </c>
      <c r="K49" s="179">
        <f t="shared" si="35"/>
        <v>0</v>
      </c>
      <c r="L49" s="403">
        <v>0</v>
      </c>
      <c r="M49" s="87">
        <f t="shared" si="36"/>
        <v>0</v>
      </c>
      <c r="N49" s="87">
        <f t="shared" si="37"/>
        <v>0</v>
      </c>
      <c r="O49" s="403">
        <v>0</v>
      </c>
      <c r="P49" s="86">
        <f t="shared" si="38"/>
        <v>0</v>
      </c>
      <c r="Q49" s="87">
        <f t="shared" si="39"/>
        <v>0</v>
      </c>
      <c r="R49" s="87">
        <f ca="1">IFERROR(__xludf.DUMMYFUNCTION("IMPORTRANGE(""https://docs.google.com/spreadsheets/d/1lFxr3ctmjFN90yc-xV6jrQ9Ty8BKYVBWnAZ15wcNIJc/edit?usp=sharing"",""อำนาจเจริญ!Q616"")"),6675)</f>
        <v>6675</v>
      </c>
      <c r="S49" s="87">
        <f ca="1">IFERROR(__xludf.DUMMYFUNCTION("IMPORTRANGE(""https://docs.google.com/spreadsheets/d/1lFxr3ctmjFN90yc-xV6jrQ9Ty8BKYVBWnAZ15wcNIJc/edit?usp=sharing"",""อำนาจเจริญ!R616"")"),0)</f>
        <v>0</v>
      </c>
      <c r="T49" s="87">
        <f ca="1">IFERROR(__xludf.DUMMYFUNCTION("IMPORTRANGE(""https://docs.google.com/spreadsheets/d/1lFxr3ctmjFN90yc-xV6jrQ9Ty8BKYVBWnAZ15wcNIJc/edit?usp=sharing"",""อำนาจเจริญ!S616"")"),0)</f>
        <v>0</v>
      </c>
      <c r="U49" s="87">
        <f t="shared" ca="1" si="41"/>
        <v>0</v>
      </c>
      <c r="V49" s="87">
        <f t="shared" ca="1" si="42"/>
        <v>0</v>
      </c>
      <c r="W49" s="353">
        <f ca="1">IFERROR(__xludf.DUMMYFUNCTION("IMPORTRANGE(""https://docs.google.com/spreadsheets/d/1lFxr3ctmjFN90yc-xV6jrQ9Ty8BKYVBWnAZ15wcNIJc/edit?usp=sharing"",""อำนาจเจริญ!I626"")"),50)</f>
        <v>50</v>
      </c>
      <c r="X49" s="177">
        <f ca="1">IFERROR(__xludf.DUMMYFUNCTION("IMPORTRANGE(""https://docs.google.com/spreadsheets/d/1lFxr3ctmjFN90yc-xV6jrQ9Ty8BKYVBWnAZ15wcNIJc/edit?usp=sharing"",""อำนาจเจริญ!J626"")"),0)</f>
        <v>0</v>
      </c>
      <c r="Y49" s="354">
        <f t="shared" ca="1" si="44"/>
        <v>0</v>
      </c>
      <c r="Z49" s="177">
        <f ca="1">IFERROR(__xludf.DUMMYFUNCTION("IMPORTRANGE(""https://docs.google.com/spreadsheets/d/1lFxr3ctmjFN90yc-xV6jrQ9Ty8BKYVBWnAZ15wcNIJc/edit?usp=sharing"",""อำนาจเจริญ!I627"")"),0)</f>
        <v>0</v>
      </c>
      <c r="AA49" s="177">
        <f ca="1">IFERROR(__xludf.DUMMYFUNCTION("IMPORTRANGE(""https://docs.google.com/spreadsheets/d/1lFxr3ctmjFN90yc-xV6jrQ9Ty8BKYVBWnAZ15wcNIJc/edit?usp=sharing"",""อำนาจเจริญ!J627"")"),0)</f>
        <v>0</v>
      </c>
      <c r="AB49" s="354">
        <f t="shared" ca="1" si="46"/>
        <v>0</v>
      </c>
      <c r="AC49" s="177">
        <f ca="1">IFERROR(__xludf.DUMMYFUNCTION("IMPORTRANGE(""https://docs.google.com/spreadsheets/d/1lFxr3ctmjFN90yc-xV6jrQ9Ty8BKYVBWnAZ15wcNIJc/edit?usp=sharing"",""อำนาจเจริญ!I628"")"),0)</f>
        <v>0</v>
      </c>
      <c r="AD49" s="177">
        <f ca="1">IFERROR(__xludf.DUMMYFUNCTION("IMPORTRANGE(""https://docs.google.com/spreadsheets/d/1lFxr3ctmjFN90yc-xV6jrQ9Ty8BKYVBWnAZ15wcNIJc/edit?usp=sharing"",""อำนาจเจริญ!J628"")"),0)</f>
        <v>0</v>
      </c>
      <c r="AE49" s="354">
        <f t="shared" ca="1" si="48"/>
        <v>0</v>
      </c>
      <c r="AF49" s="177">
        <f ca="1">IFERROR(__xludf.DUMMYFUNCTION("IMPORTRANGE(""https://docs.google.com/spreadsheets/d/1lFxr3ctmjFN90yc-xV6jrQ9Ty8BKYVBWnAZ15wcNIJc/edit?usp=sharing"",""อำนาจเจริญ!J629"")"),0)</f>
        <v>0</v>
      </c>
      <c r="AG49" s="354">
        <f t="shared" ca="1" si="56"/>
        <v>0</v>
      </c>
      <c r="AH49" s="177">
        <f ca="1">IFERROR(__xludf.DUMMYFUNCTION("IMPORTRANGE(""https://docs.google.com/spreadsheets/d/1lFxr3ctmjFN90yc-xV6jrQ9Ty8BKYVBWnAZ15wcNIJc/edit?usp=sharing"",""อำนาจเจริญ!J630"")"),0)</f>
        <v>0</v>
      </c>
      <c r="AI49" s="354">
        <f t="shared" ca="1" si="49"/>
        <v>0</v>
      </c>
      <c r="AJ49" s="354">
        <f ca="1">IFERROR(__xludf.DUMMYFUNCTION("IMPORTRANGE(""https://docs.google.com/spreadsheets/d/1lFxr3ctmjFN90yc-xV6jrQ9Ty8BKYVBWnAZ15wcNIJc/edit?usp=sharing"",""อำนาจเจริญ!J631"")"),0)</f>
        <v>0</v>
      </c>
      <c r="AK49" s="354">
        <f t="shared" ca="1" si="50"/>
        <v>0</v>
      </c>
      <c r="AL49" s="354">
        <f ca="1">IFERROR(__xludf.DUMMYFUNCTION("IMPORTRANGE(""https://docs.google.com/spreadsheets/d/1lFxr3ctmjFN90yc-xV6jrQ9Ty8BKYVBWnAZ15wcNIJc/edit?usp=sharing"",""อำนาจเจริญ!J632"")"),0)</f>
        <v>0</v>
      </c>
      <c r="AM49" s="354">
        <f t="shared" ca="1" si="51"/>
        <v>0</v>
      </c>
      <c r="AN49" s="354">
        <f ca="1">IFERROR(__xludf.DUMMYFUNCTION("IMPORTRANGE(""https://docs.google.com/spreadsheets/d/1lFxr3ctmjFN90yc-xV6jrQ9Ty8BKYVBWnAZ15wcNIJc/edit?usp=sharing"",""อำนาจเจริญ!J633"")"),0)</f>
        <v>0</v>
      </c>
      <c r="AO49" s="354">
        <f ca="1">IFERROR(__xludf.DUMMYFUNCTION("IMPORTRANGE(""https://docs.google.com/spreadsheets/d/1lFxr3ctmjFN90yc-xV6jrQ9Ty8BKYVBWnAZ15wcNIJc/edit?usp=sharing"",""อำนาจเจริญ!J634"")"),0)</f>
        <v>0</v>
      </c>
      <c r="AP49" s="177">
        <f ca="1">IFERROR(__xludf.DUMMYFUNCTION("IMPORTRANGE(""https://docs.google.com/spreadsheets/d/1lFxr3ctmjFN90yc-xV6jrQ9Ty8BKYVBWnAZ15wcNIJc/edit?usp=sharing"",""อำนาจเจริญ!I635"")"),0)</f>
        <v>0</v>
      </c>
      <c r="AQ49" s="177">
        <f ca="1">IFERROR(__xludf.DUMMYFUNCTION("IMPORTRANGE(""https://docs.google.com/spreadsheets/d/1lFxr3ctmjFN90yc-xV6jrQ9Ty8BKYVBWnAZ15wcNIJc/edit?usp=sharing"",""อำนาจเจริญ!J635"")"),0)</f>
        <v>0</v>
      </c>
      <c r="AR49" s="354">
        <f t="shared" ca="1" si="53"/>
        <v>0</v>
      </c>
      <c r="AS49" s="177">
        <f ca="1">IFERROR(__xludf.DUMMYFUNCTION("IMPORTRANGE(""https://docs.google.com/spreadsheets/d/1lFxr3ctmjFN90yc-xV6jrQ9Ty8BKYVBWnAZ15wcNIJc/edit?usp=sharing"",""อำนาจเจริญ!J636"")"),0)</f>
        <v>0</v>
      </c>
      <c r="AT49" s="177">
        <f ca="1">IFERROR(__xludf.DUMMYFUNCTION("IMPORTRANGE(""https://docs.google.com/spreadsheets/d/1lFxr3ctmjFN90yc-xV6jrQ9Ty8BKYVBWnAZ15wcNIJc/edit?usp=sharing"",""อำนาจเจริญ!J637"")"),0)</f>
        <v>0</v>
      </c>
      <c r="AU49" s="177">
        <f ca="1">IFERROR(__xludf.DUMMYFUNCTION("IMPORTRANGE(""https://docs.google.com/spreadsheets/d/1lFxr3ctmjFN90yc-xV6jrQ9Ty8BKYVBWnAZ15wcNIJc/edit?usp=sharing"",""อำนาจเจริญ!J638"")"),0)</f>
        <v>0</v>
      </c>
      <c r="AV49" s="177">
        <f ca="1">IFERROR(__xludf.DUMMYFUNCTION("IMPORTRANGE(""https://docs.google.com/spreadsheets/d/1lFxr3ctmjFN90yc-xV6jrQ9Ty8BKYVBWnAZ15wcNIJc/edit?usp=sharing"",""อำนาจเจริญ!J639"")"),0)</f>
        <v>0</v>
      </c>
      <c r="AW49" s="177">
        <f ca="1">IFERROR(__xludf.DUMMYFUNCTION("IMPORTRANGE(""https://docs.google.com/spreadsheets/d/1lFxr3ctmjFN90yc-xV6jrQ9Ty8BKYVBWnAZ15wcNIJc/edit?usp=sharing"",""อำนาจเจริญ!J640"")"),0)</f>
        <v>0</v>
      </c>
    </row>
    <row r="50" spans="1:49" ht="19.5" x14ac:dyDescent="0.3">
      <c r="A50" s="89">
        <v>19</v>
      </c>
      <c r="B50" s="90" t="s">
        <v>76</v>
      </c>
      <c r="C50" s="174">
        <f t="shared" si="32"/>
        <v>0</v>
      </c>
      <c r="D50" s="175">
        <f t="shared" si="64"/>
        <v>0</v>
      </c>
      <c r="E50" s="403">
        <v>0</v>
      </c>
      <c r="F50" s="403">
        <v>0</v>
      </c>
      <c r="G50" s="403">
        <v>0</v>
      </c>
      <c r="H50" s="403">
        <v>0</v>
      </c>
      <c r="I50" s="403">
        <v>0</v>
      </c>
      <c r="J50" s="176">
        <f t="shared" si="34"/>
        <v>0</v>
      </c>
      <c r="K50" s="179">
        <f t="shared" si="35"/>
        <v>0</v>
      </c>
      <c r="L50" s="403">
        <v>0</v>
      </c>
      <c r="M50" s="87">
        <f t="shared" si="36"/>
        <v>0</v>
      </c>
      <c r="N50" s="87">
        <f t="shared" si="37"/>
        <v>0</v>
      </c>
      <c r="O50" s="403">
        <v>0</v>
      </c>
      <c r="P50" s="86">
        <f t="shared" si="38"/>
        <v>0</v>
      </c>
      <c r="Q50" s="87">
        <f t="shared" si="39"/>
        <v>0</v>
      </c>
      <c r="R50" s="87">
        <f ca="1">IFERROR(__xludf.DUMMYFUNCTION("IMPORTRANGE(""https://docs.google.com/spreadsheets/d/1gF7RJpRnL-1oyjyeWxs5SFWEH7y8ahOZsQlyp2A2e-A/edit?usp=sharing"",""อุดรธานี!Q616"")"),2100)</f>
        <v>2100</v>
      </c>
      <c r="S50" s="87">
        <f ca="1">IFERROR(__xludf.DUMMYFUNCTION("IMPORTRANGE(""https://docs.google.com/spreadsheets/d/1gF7RJpRnL-1oyjyeWxs5SFWEH7y8ahOZsQlyp2A2e-A/edit?usp=sharing"",""อุดรธานี!R616"")"),0)</f>
        <v>0</v>
      </c>
      <c r="T50" s="87">
        <f ca="1">IFERROR(__xludf.DUMMYFUNCTION("IMPORTRANGE(""https://docs.google.com/spreadsheets/d/1gF7RJpRnL-1oyjyeWxs5SFWEH7y8ahOZsQlyp2A2e-A/edit?usp=sharing"",""อุดรธานี!S616"")"),0)</f>
        <v>0</v>
      </c>
      <c r="U50" s="87">
        <f t="shared" ca="1" si="41"/>
        <v>0</v>
      </c>
      <c r="V50" s="87">
        <f t="shared" ca="1" si="42"/>
        <v>0</v>
      </c>
      <c r="W50" s="353">
        <f ca="1">IFERROR(__xludf.DUMMYFUNCTION("IMPORTRANGE(""https://docs.google.com/spreadsheets/d/1gF7RJpRnL-1oyjyeWxs5SFWEH7y8ahOZsQlyp2A2e-A/edit?usp=sharing"",""อุดรธานี!I626"")"),0)</f>
        <v>0</v>
      </c>
      <c r="X50" s="177">
        <f ca="1">IFERROR(__xludf.DUMMYFUNCTION("IMPORTRANGE(""https://docs.google.com/spreadsheets/d/1gF7RJpRnL-1oyjyeWxs5SFWEH7y8ahOZsQlyp2A2e-A/edit?usp=sharing"",""อุดรธานี!J626"")"),0)</f>
        <v>0</v>
      </c>
      <c r="Y50" s="354">
        <f t="shared" ca="1" si="44"/>
        <v>0</v>
      </c>
      <c r="Z50" s="177">
        <f ca="1">IFERROR(__xludf.DUMMYFUNCTION("IMPORTRANGE(""https://docs.google.com/spreadsheets/d/1gF7RJpRnL-1oyjyeWxs5SFWEH7y8ahOZsQlyp2A2e-A/edit?usp=sharing"",""อุดรธานี!I627"")"),1)</f>
        <v>1</v>
      </c>
      <c r="AA50" s="177">
        <f ca="1">IFERROR(__xludf.DUMMYFUNCTION("IMPORTRANGE(""https://docs.google.com/spreadsheets/d/1gF7RJpRnL-1oyjyeWxs5SFWEH7y8ahOZsQlyp2A2e-A/edit?usp=sharing"",""อุดรธานี!J627"")"),0)</f>
        <v>0</v>
      </c>
      <c r="AB50" s="354">
        <f t="shared" ca="1" si="46"/>
        <v>0</v>
      </c>
      <c r="AC50" s="177">
        <f ca="1">IFERROR(__xludf.DUMMYFUNCTION("IMPORTRANGE(""https://docs.google.com/spreadsheets/d/1gF7RJpRnL-1oyjyeWxs5SFWEH7y8ahOZsQlyp2A2e-A/edit?usp=sharing"",""อุดรธานี!I628"")"),1)</f>
        <v>1</v>
      </c>
      <c r="AD50" s="177">
        <f ca="1">IFERROR(__xludf.DUMMYFUNCTION("IMPORTRANGE(""https://docs.google.com/spreadsheets/d/1gF7RJpRnL-1oyjyeWxs5SFWEH7y8ahOZsQlyp2A2e-A/edit?usp=sharing"",""อุดรธานี!J628"")"),0)</f>
        <v>0</v>
      </c>
      <c r="AE50" s="354">
        <f t="shared" ca="1" si="48"/>
        <v>0</v>
      </c>
      <c r="AF50" s="177">
        <f ca="1">IFERROR(__xludf.DUMMYFUNCTION("IMPORTRANGE(""https://docs.google.com/spreadsheets/d/1gF7RJpRnL-1oyjyeWxs5SFWEH7y8ahOZsQlyp2A2e-A/edit?usp=sharing"",""อุดรธานี!J629"")"),0)</f>
        <v>0</v>
      </c>
      <c r="AG50" s="354">
        <f t="shared" ca="1" si="56"/>
        <v>0</v>
      </c>
      <c r="AH50" s="177">
        <f ca="1">IFERROR(__xludf.DUMMYFUNCTION("IMPORTRANGE(""https://docs.google.com/spreadsheets/d/1gF7RJpRnL-1oyjyeWxs5SFWEH7y8ahOZsQlyp2A2e-A/edit?usp=sharing"",""อุดรธานี!J630"")"),0)</f>
        <v>0</v>
      </c>
      <c r="AI50" s="354">
        <f t="shared" ca="1" si="49"/>
        <v>0</v>
      </c>
      <c r="AJ50" s="354">
        <f ca="1">IFERROR(__xludf.DUMMYFUNCTION("IMPORTRANGE(""https://docs.google.com/spreadsheets/d/1gF7RJpRnL-1oyjyeWxs5SFWEH7y8ahOZsQlyp2A2e-A/edit?usp=sharing"",""อุดรธานี!J631"")"),0)</f>
        <v>0</v>
      </c>
      <c r="AK50" s="354">
        <f t="shared" ca="1" si="50"/>
        <v>0</v>
      </c>
      <c r="AL50" s="354">
        <f ca="1">IFERROR(__xludf.DUMMYFUNCTION("IMPORTRANGE(""https://docs.google.com/spreadsheets/d/1gF7RJpRnL-1oyjyeWxs5SFWEH7y8ahOZsQlyp2A2e-A/edit?usp=sharing"",""อุดรธานี!J632"")"),0)</f>
        <v>0</v>
      </c>
      <c r="AM50" s="354">
        <f t="shared" ca="1" si="51"/>
        <v>0</v>
      </c>
      <c r="AN50" s="354">
        <f ca="1">IFERROR(__xludf.DUMMYFUNCTION("IMPORTRANGE(""https://docs.google.com/spreadsheets/d/1gF7RJpRnL-1oyjyeWxs5SFWEH7y8ahOZsQlyp2A2e-A/edit?usp=sharing"",""อุดรธานี!J633"")"),0)</f>
        <v>0</v>
      </c>
      <c r="AO50" s="354">
        <f ca="1">IFERROR(__xludf.DUMMYFUNCTION("IMPORTRANGE(""https://docs.google.com/spreadsheets/d/1gF7RJpRnL-1oyjyeWxs5SFWEH7y8ahOZsQlyp2A2e-A/edit?usp=sharing"",""อุดรธานี!J634"")"),0)</f>
        <v>0</v>
      </c>
      <c r="AP50" s="177">
        <f ca="1">IFERROR(__xludf.DUMMYFUNCTION("IMPORTRANGE(""https://docs.google.com/spreadsheets/d/1gF7RJpRnL-1oyjyeWxs5SFWEH7y8ahOZsQlyp2A2e-A/edit?usp=sharing"",""อุดรธานี!I635"")"),0)</f>
        <v>0</v>
      </c>
      <c r="AQ50" s="177">
        <f ca="1">IFERROR(__xludf.DUMMYFUNCTION("IMPORTRANGE(""https://docs.google.com/spreadsheets/d/1gF7RJpRnL-1oyjyeWxs5SFWEH7y8ahOZsQlyp2A2e-A/edit?usp=sharing"",""อุดรธานี!J635"")"),0)</f>
        <v>0</v>
      </c>
      <c r="AR50" s="354">
        <f t="shared" ca="1" si="53"/>
        <v>0</v>
      </c>
      <c r="AS50" s="177">
        <f ca="1">IFERROR(__xludf.DUMMYFUNCTION("IMPORTRANGE(""https://docs.google.com/spreadsheets/d/1gF7RJpRnL-1oyjyeWxs5SFWEH7y8ahOZsQlyp2A2e-A/edit?usp=sharing"",""อุดรธานี!J636"")"),0)</f>
        <v>0</v>
      </c>
      <c r="AT50" s="177">
        <f ca="1">IFERROR(__xludf.DUMMYFUNCTION("IMPORTRANGE(""https://docs.google.com/spreadsheets/d/1gF7RJpRnL-1oyjyeWxs5SFWEH7y8ahOZsQlyp2A2e-A/edit?usp=sharing"",""อุดรธานี!J637"")"),0)</f>
        <v>0</v>
      </c>
      <c r="AU50" s="177">
        <f ca="1">IFERROR(__xludf.DUMMYFUNCTION("IMPORTRANGE(""https://docs.google.com/spreadsheets/d/1gF7RJpRnL-1oyjyeWxs5SFWEH7y8ahOZsQlyp2A2e-A/edit?usp=sharing"",""อุดรธานี!J638"")"),0)</f>
        <v>0</v>
      </c>
      <c r="AV50" s="177">
        <f ca="1">IFERROR(__xludf.DUMMYFUNCTION("IMPORTRANGE(""https://docs.google.com/spreadsheets/d/1gF7RJpRnL-1oyjyeWxs5SFWEH7y8ahOZsQlyp2A2e-A/edit?usp=sharing"",""อุดรธานี!J639"")"),0)</f>
        <v>0</v>
      </c>
      <c r="AW50" s="177">
        <f ca="1">IFERROR(__xludf.DUMMYFUNCTION("IMPORTRANGE(""https://docs.google.com/spreadsheets/d/1gF7RJpRnL-1oyjyeWxs5SFWEH7y8ahOZsQlyp2A2e-A/edit?usp=sharing"",""อุดรธานี!J640"")"),0)</f>
        <v>0</v>
      </c>
    </row>
    <row r="51" spans="1:49" ht="19.5" x14ac:dyDescent="0.3">
      <c r="A51" s="100">
        <v>20</v>
      </c>
      <c r="B51" s="101" t="s">
        <v>77</v>
      </c>
      <c r="C51" s="189">
        <f t="shared" si="32"/>
        <v>0</v>
      </c>
      <c r="D51" s="190">
        <f t="shared" si="64"/>
        <v>0</v>
      </c>
      <c r="E51" s="415">
        <v>0</v>
      </c>
      <c r="F51" s="415">
        <v>0</v>
      </c>
      <c r="G51" s="415">
        <v>0</v>
      </c>
      <c r="H51" s="415">
        <v>0</v>
      </c>
      <c r="I51" s="415">
        <v>0</v>
      </c>
      <c r="J51" s="191">
        <f t="shared" si="34"/>
        <v>0</v>
      </c>
      <c r="K51" s="192">
        <f t="shared" si="35"/>
        <v>0</v>
      </c>
      <c r="L51" s="415">
        <v>0</v>
      </c>
      <c r="M51" s="118">
        <f t="shared" si="36"/>
        <v>0</v>
      </c>
      <c r="N51" s="118">
        <f t="shared" si="37"/>
        <v>0</v>
      </c>
      <c r="O51" s="415">
        <v>0</v>
      </c>
      <c r="P51" s="117">
        <f t="shared" si="38"/>
        <v>0</v>
      </c>
      <c r="Q51" s="118">
        <f t="shared" si="39"/>
        <v>0</v>
      </c>
      <c r="R51" s="118">
        <f ca="1">IFERROR(__xludf.DUMMYFUNCTION("IMPORTRANGE(""https://docs.google.com/spreadsheets/d/1kfLP0j3INXRa8bTDpcEmoWewMBV61jlFlfzczfjWIgc/edit?usp=sharing"",""อุบลราชธานี!Q616"")"),7125)</f>
        <v>7125</v>
      </c>
      <c r="S51" s="118">
        <f ca="1">IFERROR(__xludf.DUMMYFUNCTION("IMPORTRANGE(""https://docs.google.com/spreadsheets/d/1kfLP0j3INXRa8bTDpcEmoWewMBV61jlFlfzczfjWIgc/edit?usp=sharing"",""อุบลราชธานี!R616"")"),0)</f>
        <v>0</v>
      </c>
      <c r="T51" s="118">
        <f ca="1">IFERROR(__xludf.DUMMYFUNCTION("IMPORTRANGE(""https://docs.google.com/spreadsheets/d/1kfLP0j3INXRa8bTDpcEmoWewMBV61jlFlfzczfjWIgc/edit?usp=sharing"",""อุบลราชธานี!S616"")"),0)</f>
        <v>0</v>
      </c>
      <c r="U51" s="118">
        <f t="shared" ca="1" si="41"/>
        <v>0</v>
      </c>
      <c r="V51" s="118">
        <f t="shared" ca="1" si="42"/>
        <v>0</v>
      </c>
      <c r="W51" s="356">
        <f ca="1">IFERROR(__xludf.DUMMYFUNCTION("IMPORTRANGE(""https://docs.google.com/spreadsheets/d/1kfLP0j3INXRa8bTDpcEmoWewMBV61jlFlfzczfjWIgc/edit?usp=sharing"",""อุบลราชธานี!I626"")"),50)</f>
        <v>50</v>
      </c>
      <c r="X51" s="186">
        <f ca="1">IFERROR(__xludf.DUMMYFUNCTION("IMPORTRANGE(""https://docs.google.com/spreadsheets/d/1kfLP0j3INXRa8bTDpcEmoWewMBV61jlFlfzczfjWIgc/edit?usp=sharing"",""อุบลราชธานี!J626"")"),0)</f>
        <v>0</v>
      </c>
      <c r="Y51" s="357">
        <f t="shared" ca="1" si="44"/>
        <v>0</v>
      </c>
      <c r="Z51" s="186">
        <f ca="1">IFERROR(__xludf.DUMMYFUNCTION("IMPORTRANGE(""https://docs.google.com/spreadsheets/d/1kfLP0j3INXRa8bTDpcEmoWewMBV61jlFlfzczfjWIgc/edit?usp=sharing"",""อุบลราชธานี!I627"")"),0)</f>
        <v>0</v>
      </c>
      <c r="AA51" s="186">
        <f ca="1">IFERROR(__xludf.DUMMYFUNCTION("IMPORTRANGE(""https://docs.google.com/spreadsheets/d/1kfLP0j3INXRa8bTDpcEmoWewMBV61jlFlfzczfjWIgc/edit?usp=sharing"",""อุบลราชธานี!J627"")"),0)</f>
        <v>0</v>
      </c>
      <c r="AB51" s="357">
        <f t="shared" ca="1" si="46"/>
        <v>0</v>
      </c>
      <c r="AC51" s="186">
        <f ca="1">IFERROR(__xludf.DUMMYFUNCTION("IMPORTRANGE(""https://docs.google.com/spreadsheets/d/1kfLP0j3INXRa8bTDpcEmoWewMBV61jlFlfzczfjWIgc/edit?usp=sharing"",""อุบลราชธานี!I628"")"),0)</f>
        <v>0</v>
      </c>
      <c r="AD51" s="186">
        <f ca="1">IFERROR(__xludf.DUMMYFUNCTION("IMPORTRANGE(""https://docs.google.com/spreadsheets/d/1kfLP0j3INXRa8bTDpcEmoWewMBV61jlFlfzczfjWIgc/edit?usp=sharing"",""อุบลราชธานี!J628"")"),0)</f>
        <v>0</v>
      </c>
      <c r="AE51" s="357">
        <f t="shared" ca="1" si="48"/>
        <v>0</v>
      </c>
      <c r="AF51" s="186">
        <f ca="1">IFERROR(__xludf.DUMMYFUNCTION("IMPORTRANGE(""https://docs.google.com/spreadsheets/d/1kfLP0j3INXRa8bTDpcEmoWewMBV61jlFlfzczfjWIgc/edit?usp=sharing"",""อุบลราชธานี!J629"")"),0)</f>
        <v>0</v>
      </c>
      <c r="AG51" s="357">
        <f t="shared" ca="1" si="56"/>
        <v>0</v>
      </c>
      <c r="AH51" s="186">
        <f ca="1">IFERROR(__xludf.DUMMYFUNCTION("IMPORTRANGE(""https://docs.google.com/spreadsheets/d/1kfLP0j3INXRa8bTDpcEmoWewMBV61jlFlfzczfjWIgc/edit?usp=sharing"",""อุบลราชธานี!J630"")"),0)</f>
        <v>0</v>
      </c>
      <c r="AI51" s="357">
        <f t="shared" ca="1" si="49"/>
        <v>0</v>
      </c>
      <c r="AJ51" s="357">
        <f ca="1">IFERROR(__xludf.DUMMYFUNCTION("IMPORTRANGE(""https://docs.google.com/spreadsheets/d/1kfLP0j3INXRa8bTDpcEmoWewMBV61jlFlfzczfjWIgc/edit?usp=sharing"",""อุบลราชธานี!J631"")"),0)</f>
        <v>0</v>
      </c>
      <c r="AK51" s="357">
        <f t="shared" ca="1" si="50"/>
        <v>0</v>
      </c>
      <c r="AL51" s="357">
        <f ca="1">IFERROR(__xludf.DUMMYFUNCTION("IMPORTRANGE(""https://docs.google.com/spreadsheets/d/1kfLP0j3INXRa8bTDpcEmoWewMBV61jlFlfzczfjWIgc/edit?usp=sharing"",""อุบลราชธานี!J632"")"),0)</f>
        <v>0</v>
      </c>
      <c r="AM51" s="357">
        <f t="shared" ca="1" si="51"/>
        <v>0</v>
      </c>
      <c r="AN51" s="357">
        <f ca="1">IFERROR(__xludf.DUMMYFUNCTION("IMPORTRANGE(""https://docs.google.com/spreadsheets/d/1kfLP0j3INXRa8bTDpcEmoWewMBV61jlFlfzczfjWIgc/edit?usp=sharing"",""อุบลราชธานี!J633"")"),0)</f>
        <v>0</v>
      </c>
      <c r="AO51" s="357">
        <f ca="1">IFERROR(__xludf.DUMMYFUNCTION("IMPORTRANGE(""https://docs.google.com/spreadsheets/d/1kfLP0j3INXRa8bTDpcEmoWewMBV61jlFlfzczfjWIgc/edit?usp=sharing"",""อุบลราชธานี!J634"")"),0)</f>
        <v>0</v>
      </c>
      <c r="AP51" s="186">
        <f ca="1">IFERROR(__xludf.DUMMYFUNCTION("IMPORTRANGE(""https://docs.google.com/spreadsheets/d/1kfLP0j3INXRa8bTDpcEmoWewMBV61jlFlfzczfjWIgc/edit?usp=sharing"",""อุบลราชธานี!I635"")"),0)</f>
        <v>0</v>
      </c>
      <c r="AQ51" s="186">
        <f ca="1">IFERROR(__xludf.DUMMYFUNCTION("IMPORTRANGE(""https://docs.google.com/spreadsheets/d/1kfLP0j3INXRa8bTDpcEmoWewMBV61jlFlfzczfjWIgc/edit?usp=sharing"",""อุบลราชธานี!J635"")"),0)</f>
        <v>0</v>
      </c>
      <c r="AR51" s="357">
        <f t="shared" ca="1" si="53"/>
        <v>0</v>
      </c>
      <c r="AS51" s="186">
        <f ca="1">IFERROR(__xludf.DUMMYFUNCTION("IMPORTRANGE(""https://docs.google.com/spreadsheets/d/1kfLP0j3INXRa8bTDpcEmoWewMBV61jlFlfzczfjWIgc/edit?usp=sharing"",""อุบลราชธานี!J636"")"),0)</f>
        <v>0</v>
      </c>
      <c r="AT51" s="186">
        <f ca="1">IFERROR(__xludf.DUMMYFUNCTION("IMPORTRANGE(""https://docs.google.com/spreadsheets/d/1kfLP0j3INXRa8bTDpcEmoWewMBV61jlFlfzczfjWIgc/edit?usp=sharing"",""อุบลราชธานี!J637"")"),0)</f>
        <v>0</v>
      </c>
      <c r="AU51" s="186">
        <f ca="1">IFERROR(__xludf.DUMMYFUNCTION("IMPORTRANGE(""https://docs.google.com/spreadsheets/d/1kfLP0j3INXRa8bTDpcEmoWewMBV61jlFlfzczfjWIgc/edit?usp=sharing"",""อุบลราชธานี!J638"")"),0)</f>
        <v>0</v>
      </c>
      <c r="AV51" s="186">
        <f ca="1">IFERROR(__xludf.DUMMYFUNCTION("IMPORTRANGE(""https://docs.google.com/spreadsheets/d/1kfLP0j3INXRa8bTDpcEmoWewMBV61jlFlfzczfjWIgc/edit?usp=sharing"",""อุบลราชธานี!J639"")"),0)</f>
        <v>0</v>
      </c>
      <c r="AW51" s="186">
        <f ca="1">IFERROR(__xludf.DUMMYFUNCTION("IMPORTRANGE(""https://docs.google.com/spreadsheets/d/1kfLP0j3INXRa8bTDpcEmoWewMBV61jlFlfzczfjWIgc/edit?usp=sharing"",""อุบลราชธานี!J640"")"),0)</f>
        <v>0</v>
      </c>
    </row>
    <row r="52" spans="1:49" ht="19.5" x14ac:dyDescent="0.3">
      <c r="A52" s="650" t="s">
        <v>78</v>
      </c>
      <c r="B52" s="583"/>
      <c r="C52" s="194">
        <f t="shared" si="32"/>
        <v>0</v>
      </c>
      <c r="D52" s="194">
        <f t="shared" ref="D52:I52" si="65">SUM(D53:D73)</f>
        <v>0</v>
      </c>
      <c r="E52" s="194">
        <f t="shared" si="65"/>
        <v>0</v>
      </c>
      <c r="F52" s="194">
        <f t="shared" si="65"/>
        <v>0</v>
      </c>
      <c r="G52" s="194">
        <f t="shared" si="65"/>
        <v>0</v>
      </c>
      <c r="H52" s="194">
        <f t="shared" si="65"/>
        <v>0</v>
      </c>
      <c r="I52" s="194">
        <f t="shared" si="65"/>
        <v>0</v>
      </c>
      <c r="J52" s="194">
        <f t="shared" si="34"/>
        <v>0</v>
      </c>
      <c r="K52" s="195">
        <f t="shared" si="35"/>
        <v>0</v>
      </c>
      <c r="L52" s="194">
        <f>SUM(L53:L73)</f>
        <v>0</v>
      </c>
      <c r="M52" s="120">
        <f t="shared" si="36"/>
        <v>0</v>
      </c>
      <c r="N52" s="120">
        <f t="shared" si="37"/>
        <v>0</v>
      </c>
      <c r="O52" s="119">
        <f>SUM(O53:O73)</f>
        <v>0</v>
      </c>
      <c r="P52" s="119">
        <f t="shared" si="38"/>
        <v>0</v>
      </c>
      <c r="Q52" s="120">
        <f t="shared" si="39"/>
        <v>0</v>
      </c>
      <c r="R52" s="120">
        <f t="shared" ref="R52:T52" ca="1" si="66">SUM(R53:R73)</f>
        <v>143975</v>
      </c>
      <c r="S52" s="120">
        <f t="shared" ca="1" si="66"/>
        <v>0</v>
      </c>
      <c r="T52" s="120">
        <f t="shared" ca="1" si="66"/>
        <v>3590</v>
      </c>
      <c r="U52" s="120">
        <f t="shared" ca="1" si="41"/>
        <v>2.4934884528563988</v>
      </c>
      <c r="V52" s="120">
        <f t="shared" ca="1" si="42"/>
        <v>0</v>
      </c>
      <c r="W52" s="347">
        <f t="shared" ref="W52:X52" ca="1" si="67">SUM(W53:W73)</f>
        <v>1060</v>
      </c>
      <c r="X52" s="161">
        <f t="shared" ca="1" si="67"/>
        <v>0</v>
      </c>
      <c r="Y52" s="40">
        <f t="shared" ca="1" si="44"/>
        <v>0</v>
      </c>
      <c r="Z52" s="161">
        <f t="shared" ref="Z52:AA52" ca="1" si="68">SUM(Z53:Z73)</f>
        <v>7</v>
      </c>
      <c r="AA52" s="161">
        <f t="shared" ca="1" si="68"/>
        <v>1</v>
      </c>
      <c r="AB52" s="40">
        <f t="shared" ca="1" si="46"/>
        <v>14.285714285714286</v>
      </c>
      <c r="AC52" s="161">
        <f t="shared" ref="AC52:AD52" ca="1" si="69">SUM(AC53:AC73)</f>
        <v>7</v>
      </c>
      <c r="AD52" s="161">
        <f t="shared" ca="1" si="69"/>
        <v>1</v>
      </c>
      <c r="AE52" s="40">
        <f t="shared" ca="1" si="48"/>
        <v>14.285714285714286</v>
      </c>
      <c r="AF52" s="161">
        <f ca="1">SUM(AF53:AF73)</f>
        <v>0</v>
      </c>
      <c r="AG52" s="40">
        <f t="shared" ca="1" si="56"/>
        <v>0</v>
      </c>
      <c r="AH52" s="161">
        <f ca="1">SUM(AH53:AH73)</f>
        <v>0</v>
      </c>
      <c r="AI52" s="40">
        <f t="shared" ca="1" si="49"/>
        <v>0</v>
      </c>
      <c r="AJ52" s="40">
        <f ca="1">SUM(AJ53:AJ73)</f>
        <v>0</v>
      </c>
      <c r="AK52" s="40">
        <f t="shared" ca="1" si="50"/>
        <v>0</v>
      </c>
      <c r="AL52" s="40">
        <f ca="1">SUM(AL53:AL73)</f>
        <v>0</v>
      </c>
      <c r="AM52" s="40">
        <f t="shared" ca="1" si="51"/>
        <v>0</v>
      </c>
      <c r="AN52" s="40">
        <f t="shared" ref="AN52:AQ52" ca="1" si="70">SUM(AN53:AN73)</f>
        <v>0</v>
      </c>
      <c r="AO52" s="40">
        <f t="shared" ca="1" si="70"/>
        <v>0</v>
      </c>
      <c r="AP52" s="161">
        <f t="shared" ca="1" si="70"/>
        <v>0</v>
      </c>
      <c r="AQ52" s="161">
        <f t="shared" ca="1" si="70"/>
        <v>0</v>
      </c>
      <c r="AR52" s="40">
        <f t="shared" ca="1" si="53"/>
        <v>0</v>
      </c>
      <c r="AS52" s="161">
        <f t="shared" ref="AS52:AW52" ca="1" si="71">SUM(AS53:AS73)</f>
        <v>0</v>
      </c>
      <c r="AT52" s="161">
        <f t="shared" ca="1" si="71"/>
        <v>0</v>
      </c>
      <c r="AU52" s="161">
        <f t="shared" ca="1" si="71"/>
        <v>0</v>
      </c>
      <c r="AV52" s="161">
        <f t="shared" ca="1" si="71"/>
        <v>0</v>
      </c>
      <c r="AW52" s="161">
        <f t="shared" ca="1" si="71"/>
        <v>0</v>
      </c>
    </row>
    <row r="53" spans="1:49" ht="19.5" x14ac:dyDescent="0.3">
      <c r="A53" s="77">
        <v>1</v>
      </c>
      <c r="B53" s="78" t="s">
        <v>79</v>
      </c>
      <c r="C53" s="174">
        <f t="shared" si="32"/>
        <v>0</v>
      </c>
      <c r="D53" s="175">
        <f t="shared" ref="D53:D73" si="72">+E53+F53</f>
        <v>0</v>
      </c>
      <c r="E53" s="403">
        <v>0</v>
      </c>
      <c r="F53" s="403">
        <v>0</v>
      </c>
      <c r="G53" s="219">
        <v>0</v>
      </c>
      <c r="H53" s="219">
        <v>0</v>
      </c>
      <c r="I53" s="219">
        <v>0</v>
      </c>
      <c r="J53" s="177">
        <f t="shared" si="34"/>
        <v>0</v>
      </c>
      <c r="K53" s="178">
        <f t="shared" si="35"/>
        <v>0</v>
      </c>
      <c r="L53" s="219">
        <v>0</v>
      </c>
      <c r="M53" s="87">
        <f t="shared" si="36"/>
        <v>0</v>
      </c>
      <c r="N53" s="87">
        <f t="shared" si="37"/>
        <v>0</v>
      </c>
      <c r="O53" s="403">
        <v>0</v>
      </c>
      <c r="P53" s="86">
        <f t="shared" si="38"/>
        <v>0</v>
      </c>
      <c r="Q53" s="87">
        <f t="shared" si="39"/>
        <v>0</v>
      </c>
      <c r="R53" s="87">
        <f ca="1">IFERROR(__xludf.DUMMYFUNCTION("IMPORTRANGE(""https://docs.google.com/spreadsheets/d/13wPX838HrBrQMCywv1BsuMkt4PEKTChp52zj44s2izQ/edit?usp=sharing"",""กาญจนบุรี!Q616"")"),11825)</f>
        <v>11825</v>
      </c>
      <c r="S53" s="87">
        <f ca="1">IFERROR(__xludf.DUMMYFUNCTION("IMPORTRANGE(""https://docs.google.com/spreadsheets/d/13wPX838HrBrQMCywv1BsuMkt4PEKTChp52zj44s2izQ/edit?usp=sharing"",""กาญจนบุรี!R616"")"),0)</f>
        <v>0</v>
      </c>
      <c r="T53" s="87">
        <f ca="1">IFERROR(__xludf.DUMMYFUNCTION("IMPORTRANGE(""https://docs.google.com/spreadsheets/d/13wPX838HrBrQMCywv1BsuMkt4PEKTChp52zj44s2izQ/edit?usp=sharing"",""กาญจนบุรี!S616"")"),0)</f>
        <v>0</v>
      </c>
      <c r="U53" s="87">
        <f t="shared" ca="1" si="41"/>
        <v>0</v>
      </c>
      <c r="V53" s="87">
        <f t="shared" ca="1" si="42"/>
        <v>0</v>
      </c>
      <c r="W53" s="353">
        <f ca="1">IFERROR(__xludf.DUMMYFUNCTION("IMPORTRANGE(""https://docs.google.com/spreadsheets/d/13wPX838HrBrQMCywv1BsuMkt4PEKTChp52zj44s2izQ/edit?usp=sharing"",""กาญจนบุรี!I626"")"),100)</f>
        <v>100</v>
      </c>
      <c r="X53" s="177">
        <f ca="1">IFERROR(__xludf.DUMMYFUNCTION("IMPORTRANGE(""https://docs.google.com/spreadsheets/d/13wPX838HrBrQMCywv1BsuMkt4PEKTChp52zj44s2izQ/edit?usp=sharing"",""กาญจนบุรี!J626"")"),0)</f>
        <v>0</v>
      </c>
      <c r="Y53" s="354">
        <f t="shared" ca="1" si="44"/>
        <v>0</v>
      </c>
      <c r="Z53" s="177">
        <f ca="1">IFERROR(__xludf.DUMMYFUNCTION("IMPORTRANGE(""https://docs.google.com/spreadsheets/d/13wPX838HrBrQMCywv1BsuMkt4PEKTChp52zj44s2izQ/edit?usp=sharing"",""กาญจนบุรี!I627"")"),0)</f>
        <v>0</v>
      </c>
      <c r="AA53" s="177">
        <f ca="1">IFERROR(__xludf.DUMMYFUNCTION("IMPORTRANGE(""https://docs.google.com/spreadsheets/d/13wPX838HrBrQMCywv1BsuMkt4PEKTChp52zj44s2izQ/edit?usp=sharing"",""กาญจนบุรี!J627"")"),0)</f>
        <v>0</v>
      </c>
      <c r="AB53" s="354">
        <f t="shared" ca="1" si="46"/>
        <v>0</v>
      </c>
      <c r="AC53" s="177">
        <f ca="1">IFERROR(__xludf.DUMMYFUNCTION("IMPORTRANGE(""https://docs.google.com/spreadsheets/d/13wPX838HrBrQMCywv1BsuMkt4PEKTChp52zj44s2izQ/edit?usp=sharing"",""กาญจนบุรี!I628"")"),0)</f>
        <v>0</v>
      </c>
      <c r="AD53" s="177">
        <f ca="1">IFERROR(__xludf.DUMMYFUNCTION("IMPORTRANGE(""https://docs.google.com/spreadsheets/d/13wPX838HrBrQMCywv1BsuMkt4PEKTChp52zj44s2izQ/edit?usp=sharing"",""กาญจนบุรี!J628"")"),0)</f>
        <v>0</v>
      </c>
      <c r="AE53" s="354">
        <f t="shared" ca="1" si="48"/>
        <v>0</v>
      </c>
      <c r="AF53" s="177">
        <f ca="1">IFERROR(__xludf.DUMMYFUNCTION("IMPORTRANGE(""https://docs.google.com/spreadsheets/d/13wPX838HrBrQMCywv1BsuMkt4PEKTChp52zj44s2izQ/edit?usp=sharing"",""กาญจนบุรี!J629"")"),0)</f>
        <v>0</v>
      </c>
      <c r="AG53" s="354">
        <f t="shared" ca="1" si="56"/>
        <v>0</v>
      </c>
      <c r="AH53" s="177">
        <f ca="1">IFERROR(__xludf.DUMMYFUNCTION("IMPORTRANGE(""https://docs.google.com/spreadsheets/d/13wPX838HrBrQMCywv1BsuMkt4PEKTChp52zj44s2izQ/edit?usp=sharing"",""กาญจนบุรี!J630"")"),0)</f>
        <v>0</v>
      </c>
      <c r="AI53" s="354">
        <f t="shared" ca="1" si="49"/>
        <v>0</v>
      </c>
      <c r="AJ53" s="354">
        <f ca="1">IFERROR(__xludf.DUMMYFUNCTION("IMPORTRANGE(""https://docs.google.com/spreadsheets/d/13wPX838HrBrQMCywv1BsuMkt4PEKTChp52zj44s2izQ/edit?usp=sharing"",""กาญจนบุรี!J631"")"),0)</f>
        <v>0</v>
      </c>
      <c r="AK53" s="354">
        <f t="shared" ca="1" si="50"/>
        <v>0</v>
      </c>
      <c r="AL53" s="354">
        <f ca="1">IFERROR(__xludf.DUMMYFUNCTION("IMPORTRANGE(""https://docs.google.com/spreadsheets/d/13wPX838HrBrQMCywv1BsuMkt4PEKTChp52zj44s2izQ/edit?usp=sharing"",""กาญจนบุรี!J632"")"),0)</f>
        <v>0</v>
      </c>
      <c r="AM53" s="354">
        <f t="shared" ca="1" si="51"/>
        <v>0</v>
      </c>
      <c r="AN53" s="354">
        <f ca="1">IFERROR(__xludf.DUMMYFUNCTION("IMPORTRANGE(""https://docs.google.com/spreadsheets/d/13wPX838HrBrQMCywv1BsuMkt4PEKTChp52zj44s2izQ/edit?usp=sharing"",""กาญจนบุรี!J633"")"),0)</f>
        <v>0</v>
      </c>
      <c r="AO53" s="354">
        <f ca="1">IFERROR(__xludf.DUMMYFUNCTION("IMPORTRANGE(""https://docs.google.com/spreadsheets/d/13wPX838HrBrQMCywv1BsuMkt4PEKTChp52zj44s2izQ/edit?usp=sharing"",""กาญจนบุรี!J634"")"),0)</f>
        <v>0</v>
      </c>
      <c r="AP53" s="177">
        <f ca="1">IFERROR(__xludf.DUMMYFUNCTION("IMPORTRANGE(""https://docs.google.com/spreadsheets/d/13wPX838HrBrQMCywv1BsuMkt4PEKTChp52zj44s2izQ/edit?usp=sharing"",""กาญจนบุรี!I635"")"),0)</f>
        <v>0</v>
      </c>
      <c r="AQ53" s="177">
        <f ca="1">IFERROR(__xludf.DUMMYFUNCTION("IMPORTRANGE(""https://docs.google.com/spreadsheets/d/13wPX838HrBrQMCywv1BsuMkt4PEKTChp52zj44s2izQ/edit?usp=sharing"",""กาญจนบุรี!J635"")"),0)</f>
        <v>0</v>
      </c>
      <c r="AR53" s="354">
        <f t="shared" ca="1" si="53"/>
        <v>0</v>
      </c>
      <c r="AS53" s="177">
        <f ca="1">IFERROR(__xludf.DUMMYFUNCTION("IMPORTRANGE(""https://docs.google.com/spreadsheets/d/13wPX838HrBrQMCywv1BsuMkt4PEKTChp52zj44s2izQ/edit?usp=sharing"",""กาญจนบุรี!J636"")"),0)</f>
        <v>0</v>
      </c>
      <c r="AT53" s="177">
        <f ca="1">IFERROR(__xludf.DUMMYFUNCTION("IMPORTRANGE(""https://docs.google.com/spreadsheets/d/13wPX838HrBrQMCywv1BsuMkt4PEKTChp52zj44s2izQ/edit?usp=sharing"",""กาญจนบุรี!J637"")"),0)</f>
        <v>0</v>
      </c>
      <c r="AU53" s="177">
        <f ca="1">IFERROR(__xludf.DUMMYFUNCTION("IMPORTRANGE(""https://docs.google.com/spreadsheets/d/13wPX838HrBrQMCywv1BsuMkt4PEKTChp52zj44s2izQ/edit?usp=sharing"",""กาญจนบุรี!J638"")"),0)</f>
        <v>0</v>
      </c>
      <c r="AV53" s="177">
        <f ca="1">IFERROR(__xludf.DUMMYFUNCTION("IMPORTRANGE(""https://docs.google.com/spreadsheets/d/13wPX838HrBrQMCywv1BsuMkt4PEKTChp52zj44s2izQ/edit?usp=sharing"",""กาญจนบุรี!J639"")"),0)</f>
        <v>0</v>
      </c>
      <c r="AW53" s="177">
        <f ca="1">IFERROR(__xludf.DUMMYFUNCTION("IMPORTRANGE(""https://docs.google.com/spreadsheets/d/13wPX838HrBrQMCywv1BsuMkt4PEKTChp52zj44s2izQ/edit?usp=sharing"",""กาญจนบุรี!J640"")"),0)</f>
        <v>0</v>
      </c>
    </row>
    <row r="54" spans="1:49" ht="19.5" x14ac:dyDescent="0.3">
      <c r="A54" s="89">
        <v>2</v>
      </c>
      <c r="B54" s="90" t="s">
        <v>80</v>
      </c>
      <c r="C54" s="174">
        <f t="shared" si="32"/>
        <v>0</v>
      </c>
      <c r="D54" s="175">
        <f t="shared" si="72"/>
        <v>0</v>
      </c>
      <c r="E54" s="403">
        <v>0</v>
      </c>
      <c r="F54" s="403">
        <v>0</v>
      </c>
      <c r="G54" s="403">
        <v>0</v>
      </c>
      <c r="H54" s="403">
        <v>0</v>
      </c>
      <c r="I54" s="403">
        <v>0</v>
      </c>
      <c r="J54" s="176">
        <f t="shared" si="34"/>
        <v>0</v>
      </c>
      <c r="K54" s="179">
        <f t="shared" si="35"/>
        <v>0</v>
      </c>
      <c r="L54" s="403">
        <v>0</v>
      </c>
      <c r="M54" s="87">
        <f t="shared" si="36"/>
        <v>0</v>
      </c>
      <c r="N54" s="87">
        <f t="shared" si="37"/>
        <v>0</v>
      </c>
      <c r="O54" s="403">
        <v>0</v>
      </c>
      <c r="P54" s="86">
        <f t="shared" si="38"/>
        <v>0</v>
      </c>
      <c r="Q54" s="87">
        <f t="shared" si="39"/>
        <v>0</v>
      </c>
      <c r="R54" s="87">
        <f ca="1">IFERROR(__xludf.DUMMYFUNCTION("IMPORTRANGE(""https://docs.google.com/spreadsheets/d/1ddFKvqj1W1NEiWytbGlB1zMx_ykJDVtmfEQ-6-lIUBA/edit?usp=sharing"",""จันทบุรี!Q616"")"),6750)</f>
        <v>6750</v>
      </c>
      <c r="S54" s="87">
        <f ca="1">IFERROR(__xludf.DUMMYFUNCTION("IMPORTRANGE(""https://docs.google.com/spreadsheets/d/1ddFKvqj1W1NEiWytbGlB1zMx_ykJDVtmfEQ-6-lIUBA/edit?usp=sharing"",""จันทบุรี!R616"")"),0)</f>
        <v>0</v>
      </c>
      <c r="T54" s="87">
        <f ca="1">IFERROR(__xludf.DUMMYFUNCTION("IMPORTRANGE(""https://docs.google.com/spreadsheets/d/1ddFKvqj1W1NEiWytbGlB1zMx_ykJDVtmfEQ-6-lIUBA/edit?usp=sharing"",""จันทบุรี!S616"")"),0)</f>
        <v>0</v>
      </c>
      <c r="U54" s="87">
        <f t="shared" ca="1" si="41"/>
        <v>0</v>
      </c>
      <c r="V54" s="87">
        <f t="shared" ca="1" si="42"/>
        <v>0</v>
      </c>
      <c r="W54" s="353">
        <f ca="1">IFERROR(__xludf.DUMMYFUNCTION("IMPORTRANGE(""https://docs.google.com/spreadsheets/d/1ddFKvqj1W1NEiWytbGlB1zMx_ykJDVtmfEQ-6-lIUBA/edit?usp=sharing"",""จันทบุรี!I626"")"),50)</f>
        <v>50</v>
      </c>
      <c r="X54" s="177">
        <f ca="1">IFERROR(__xludf.DUMMYFUNCTION("IMPORTRANGE(""https://docs.google.com/spreadsheets/d/1ddFKvqj1W1NEiWytbGlB1zMx_ykJDVtmfEQ-6-lIUBA/edit?usp=sharing"",""จันทบุรี!J626"")"),0)</f>
        <v>0</v>
      </c>
      <c r="Y54" s="354">
        <f t="shared" ca="1" si="44"/>
        <v>0</v>
      </c>
      <c r="Z54" s="177">
        <f ca="1">IFERROR(__xludf.DUMMYFUNCTION("IMPORTRANGE(""https://docs.google.com/spreadsheets/d/1ddFKvqj1W1NEiWytbGlB1zMx_ykJDVtmfEQ-6-lIUBA/edit?usp=sharing"",""จันทบุรี!I627"")"),0)</f>
        <v>0</v>
      </c>
      <c r="AA54" s="177">
        <f ca="1">IFERROR(__xludf.DUMMYFUNCTION("IMPORTRANGE(""https://docs.google.com/spreadsheets/d/1ddFKvqj1W1NEiWytbGlB1zMx_ykJDVtmfEQ-6-lIUBA/edit?usp=sharing"",""จันทบุรี!J627"")"),0)</f>
        <v>0</v>
      </c>
      <c r="AB54" s="354">
        <f t="shared" ca="1" si="46"/>
        <v>0</v>
      </c>
      <c r="AC54" s="177">
        <f ca="1">IFERROR(__xludf.DUMMYFUNCTION("IMPORTRANGE(""https://docs.google.com/spreadsheets/d/1ddFKvqj1W1NEiWytbGlB1zMx_ykJDVtmfEQ-6-lIUBA/edit?usp=sharing"",""จันทบุรี!I628"")"),0)</f>
        <v>0</v>
      </c>
      <c r="AD54" s="177">
        <f ca="1">IFERROR(__xludf.DUMMYFUNCTION("IMPORTRANGE(""https://docs.google.com/spreadsheets/d/1ddFKvqj1W1NEiWytbGlB1zMx_ykJDVtmfEQ-6-lIUBA/edit?usp=sharing"",""จันทบุรี!J628"")"),0)</f>
        <v>0</v>
      </c>
      <c r="AE54" s="354">
        <f t="shared" ca="1" si="48"/>
        <v>0</v>
      </c>
      <c r="AF54" s="177">
        <f ca="1">IFERROR(__xludf.DUMMYFUNCTION("IMPORTRANGE(""https://docs.google.com/spreadsheets/d/1ddFKvqj1W1NEiWytbGlB1zMx_ykJDVtmfEQ-6-lIUBA/edit?usp=sharing"",""จันทบุรี!J629"")"),0)</f>
        <v>0</v>
      </c>
      <c r="AG54" s="354">
        <f t="shared" ca="1" si="56"/>
        <v>0</v>
      </c>
      <c r="AH54" s="177">
        <f ca="1">IFERROR(__xludf.DUMMYFUNCTION("IMPORTRANGE(""https://docs.google.com/spreadsheets/d/1ddFKvqj1W1NEiWytbGlB1zMx_ykJDVtmfEQ-6-lIUBA/edit?usp=sharing"",""จันทบุรี!J630"")"),0)</f>
        <v>0</v>
      </c>
      <c r="AI54" s="354">
        <f t="shared" ca="1" si="49"/>
        <v>0</v>
      </c>
      <c r="AJ54" s="354">
        <f ca="1">IFERROR(__xludf.DUMMYFUNCTION("IMPORTRANGE(""https://docs.google.com/spreadsheets/d/1ddFKvqj1W1NEiWytbGlB1zMx_ykJDVtmfEQ-6-lIUBA/edit?usp=sharing"",""จันทบุรี!J631"")"),0)</f>
        <v>0</v>
      </c>
      <c r="AK54" s="354">
        <f t="shared" ca="1" si="50"/>
        <v>0</v>
      </c>
      <c r="AL54" s="354">
        <f ca="1">IFERROR(__xludf.DUMMYFUNCTION("IMPORTRANGE(""https://docs.google.com/spreadsheets/d/1ddFKvqj1W1NEiWytbGlB1zMx_ykJDVtmfEQ-6-lIUBA/edit?usp=sharing"",""จันทบุรี!J632"")"),0)</f>
        <v>0</v>
      </c>
      <c r="AM54" s="354">
        <f t="shared" ca="1" si="51"/>
        <v>0</v>
      </c>
      <c r="AN54" s="354">
        <f ca="1">IFERROR(__xludf.DUMMYFUNCTION("IMPORTRANGE(""https://docs.google.com/spreadsheets/d/1ddFKvqj1W1NEiWytbGlB1zMx_ykJDVtmfEQ-6-lIUBA/edit?usp=sharing"",""จันทบุรี!J633"")"),0)</f>
        <v>0</v>
      </c>
      <c r="AO54" s="354">
        <f ca="1">IFERROR(__xludf.DUMMYFUNCTION("IMPORTRANGE(""https://docs.google.com/spreadsheets/d/1ddFKvqj1W1NEiWytbGlB1zMx_ykJDVtmfEQ-6-lIUBA/edit?usp=sharing"",""จันทบุรี!J634"")"),0)</f>
        <v>0</v>
      </c>
      <c r="AP54" s="177">
        <f ca="1">IFERROR(__xludf.DUMMYFUNCTION("IMPORTRANGE(""https://docs.google.com/spreadsheets/d/1ddFKvqj1W1NEiWytbGlB1zMx_ykJDVtmfEQ-6-lIUBA/edit?usp=sharing"",""จันทบุรี!I635"")"),0)</f>
        <v>0</v>
      </c>
      <c r="AQ54" s="177">
        <f ca="1">IFERROR(__xludf.DUMMYFUNCTION("IMPORTRANGE(""https://docs.google.com/spreadsheets/d/1ddFKvqj1W1NEiWytbGlB1zMx_ykJDVtmfEQ-6-lIUBA/edit?usp=sharing"",""จันทบุรี!J635"")"),0)</f>
        <v>0</v>
      </c>
      <c r="AR54" s="354">
        <f t="shared" ca="1" si="53"/>
        <v>0</v>
      </c>
      <c r="AS54" s="177">
        <f ca="1">IFERROR(__xludf.DUMMYFUNCTION("IMPORTRANGE(""https://docs.google.com/spreadsheets/d/1ddFKvqj1W1NEiWytbGlB1zMx_ykJDVtmfEQ-6-lIUBA/edit?usp=sharing"",""จันทบุรี!J636"")"),0)</f>
        <v>0</v>
      </c>
      <c r="AT54" s="177">
        <f ca="1">IFERROR(__xludf.DUMMYFUNCTION("IMPORTRANGE(""https://docs.google.com/spreadsheets/d/1ddFKvqj1W1NEiWytbGlB1zMx_ykJDVtmfEQ-6-lIUBA/edit?usp=sharing"",""จันทบุรี!J637"")"),0)</f>
        <v>0</v>
      </c>
      <c r="AU54" s="177">
        <f ca="1">IFERROR(__xludf.DUMMYFUNCTION("IMPORTRANGE(""https://docs.google.com/spreadsheets/d/1ddFKvqj1W1NEiWytbGlB1zMx_ykJDVtmfEQ-6-lIUBA/edit?usp=sharing"",""จันทบุรี!J638"")"),0)</f>
        <v>0</v>
      </c>
      <c r="AV54" s="177">
        <f ca="1">IFERROR(__xludf.DUMMYFUNCTION("IMPORTRANGE(""https://docs.google.com/spreadsheets/d/1ddFKvqj1W1NEiWytbGlB1zMx_ykJDVtmfEQ-6-lIUBA/edit?usp=sharing"",""จันทบุรี!J639"")"),0)</f>
        <v>0</v>
      </c>
      <c r="AW54" s="177">
        <f ca="1">IFERROR(__xludf.DUMMYFUNCTION("IMPORTRANGE(""https://docs.google.com/spreadsheets/d/1ddFKvqj1W1NEiWytbGlB1zMx_ykJDVtmfEQ-6-lIUBA/edit?usp=sharing"",""จันทบุรี!J640"")"),0)</f>
        <v>0</v>
      </c>
    </row>
    <row r="55" spans="1:49" ht="19.5" x14ac:dyDescent="0.3">
      <c r="A55" s="89">
        <v>3</v>
      </c>
      <c r="B55" s="90" t="s">
        <v>81</v>
      </c>
      <c r="C55" s="174">
        <f t="shared" si="32"/>
        <v>0</v>
      </c>
      <c r="D55" s="175">
        <f t="shared" si="72"/>
        <v>0</v>
      </c>
      <c r="E55" s="403">
        <v>0</v>
      </c>
      <c r="F55" s="403">
        <v>0</v>
      </c>
      <c r="G55" s="403">
        <v>0</v>
      </c>
      <c r="H55" s="403">
        <v>0</v>
      </c>
      <c r="I55" s="403">
        <v>0</v>
      </c>
      <c r="J55" s="176">
        <f t="shared" si="34"/>
        <v>0</v>
      </c>
      <c r="K55" s="179">
        <f t="shared" si="35"/>
        <v>0</v>
      </c>
      <c r="L55" s="403">
        <v>0</v>
      </c>
      <c r="M55" s="87">
        <f t="shared" si="36"/>
        <v>0</v>
      </c>
      <c r="N55" s="87">
        <f t="shared" si="37"/>
        <v>0</v>
      </c>
      <c r="O55" s="403">
        <v>0</v>
      </c>
      <c r="P55" s="86">
        <f t="shared" si="38"/>
        <v>0</v>
      </c>
      <c r="Q55" s="87">
        <f t="shared" si="39"/>
        <v>0</v>
      </c>
      <c r="R55" s="87">
        <f ca="1">IFERROR(__xludf.DUMMYFUNCTION("IMPORTRANGE(""https://docs.google.com/spreadsheets/d/1T1PQvRODqOBZk8BRht_U031fIS1beLA0Ub2CEytj2q0/edit?usp=sharing"",""ฉะเชิงเทรา!Q616"")"),1275)</f>
        <v>1275</v>
      </c>
      <c r="S55" s="87">
        <f ca="1">IFERROR(__xludf.DUMMYFUNCTION("IMPORTRANGE(""https://docs.google.com/spreadsheets/d/1T1PQvRODqOBZk8BRht_U031fIS1beLA0Ub2CEytj2q0/edit?usp=sharing"",""ฉะเชิงเทรา!R616"")"),0)</f>
        <v>0</v>
      </c>
      <c r="T55" s="87">
        <f ca="1">IFERROR(__xludf.DUMMYFUNCTION("IMPORTRANGE(""https://docs.google.com/spreadsheets/d/1T1PQvRODqOBZk8BRht_U031fIS1beLA0Ub2CEytj2q0/edit?usp=sharing"",""ฉะเชิงเทรา!S616"")"),0)</f>
        <v>0</v>
      </c>
      <c r="U55" s="87">
        <f t="shared" ca="1" si="41"/>
        <v>0</v>
      </c>
      <c r="V55" s="87">
        <f t="shared" ca="1" si="42"/>
        <v>0</v>
      </c>
      <c r="W55" s="353">
        <f ca="1">IFERROR(__xludf.DUMMYFUNCTION("IMPORTRANGE(""https://docs.google.com/spreadsheets/d/1T1PQvRODqOBZk8BRht_U031fIS1beLA0Ub2CEytj2q0/edit?usp=sharing"",""ฉะเชิงเทรา!I626"")"),0)</f>
        <v>0</v>
      </c>
      <c r="X55" s="177">
        <f ca="1">IFERROR(__xludf.DUMMYFUNCTION("IMPORTRANGE(""https://docs.google.com/spreadsheets/d/1T1PQvRODqOBZk8BRht_U031fIS1beLA0Ub2CEytj2q0/edit?usp=sharing"",""ฉะเชิงเทรา!J626"")"),0)</f>
        <v>0</v>
      </c>
      <c r="Y55" s="354">
        <f t="shared" ca="1" si="44"/>
        <v>0</v>
      </c>
      <c r="Z55" s="177">
        <f ca="1">IFERROR(__xludf.DUMMYFUNCTION("IMPORTRANGE(""https://docs.google.com/spreadsheets/d/1T1PQvRODqOBZk8BRht_U031fIS1beLA0Ub2CEytj2q0/edit?usp=sharing"",""ฉะเชิงเทรา!I627"")"),0)</f>
        <v>0</v>
      </c>
      <c r="AA55" s="177">
        <f ca="1">IFERROR(__xludf.DUMMYFUNCTION("IMPORTRANGE(""https://docs.google.com/spreadsheets/d/1T1PQvRODqOBZk8BRht_U031fIS1beLA0Ub2CEytj2q0/edit?usp=sharing"",""ฉะเชิงเทรา!J627"")"),0)</f>
        <v>0</v>
      </c>
      <c r="AB55" s="354">
        <f t="shared" ca="1" si="46"/>
        <v>0</v>
      </c>
      <c r="AC55" s="177">
        <f ca="1">IFERROR(__xludf.DUMMYFUNCTION("IMPORTRANGE(""https://docs.google.com/spreadsheets/d/1T1PQvRODqOBZk8BRht_U031fIS1beLA0Ub2CEytj2q0/edit?usp=sharing"",""ฉะเชิงเทรา!I628"")"),0)</f>
        <v>0</v>
      </c>
      <c r="AD55" s="177">
        <f ca="1">IFERROR(__xludf.DUMMYFUNCTION("IMPORTRANGE(""https://docs.google.com/spreadsheets/d/1T1PQvRODqOBZk8BRht_U031fIS1beLA0Ub2CEytj2q0/edit?usp=sharing"",""ฉะเชิงเทรา!J628"")"),0)</f>
        <v>0</v>
      </c>
      <c r="AE55" s="354">
        <f t="shared" ca="1" si="48"/>
        <v>0</v>
      </c>
      <c r="AF55" s="177">
        <f ca="1">IFERROR(__xludf.DUMMYFUNCTION("IMPORTRANGE(""https://docs.google.com/spreadsheets/d/1T1PQvRODqOBZk8BRht_U031fIS1beLA0Ub2CEytj2q0/edit?usp=sharing"",""ฉะเชิงเทรา!J629"")"),0)</f>
        <v>0</v>
      </c>
      <c r="AG55" s="354">
        <f t="shared" ca="1" si="56"/>
        <v>0</v>
      </c>
      <c r="AH55" s="177">
        <f ca="1">IFERROR(__xludf.DUMMYFUNCTION("IMPORTRANGE(""https://docs.google.com/spreadsheets/d/1T1PQvRODqOBZk8BRht_U031fIS1beLA0Ub2CEytj2q0/edit?usp=sharing"",""ฉะเชิงเทรา!J630"")"),0)</f>
        <v>0</v>
      </c>
      <c r="AI55" s="354">
        <f t="shared" ca="1" si="49"/>
        <v>0</v>
      </c>
      <c r="AJ55" s="354">
        <f ca="1">IFERROR(__xludf.DUMMYFUNCTION("IMPORTRANGE(""https://docs.google.com/spreadsheets/d/1T1PQvRODqOBZk8BRht_U031fIS1beLA0Ub2CEytj2q0/edit?usp=sharing"",""ฉะเชิงเทรา!J631"")"),0)</f>
        <v>0</v>
      </c>
      <c r="AK55" s="354">
        <f t="shared" ca="1" si="50"/>
        <v>0</v>
      </c>
      <c r="AL55" s="354">
        <f ca="1">IFERROR(__xludf.DUMMYFUNCTION("IMPORTRANGE(""https://docs.google.com/spreadsheets/d/1T1PQvRODqOBZk8BRht_U031fIS1beLA0Ub2CEytj2q0/edit?usp=sharing"",""ฉะเชิงเทรา!J632"")"),0)</f>
        <v>0</v>
      </c>
      <c r="AM55" s="354">
        <f t="shared" ca="1" si="51"/>
        <v>0</v>
      </c>
      <c r="AN55" s="354">
        <f ca="1">IFERROR(__xludf.DUMMYFUNCTION("IMPORTRANGE(""https://docs.google.com/spreadsheets/d/1T1PQvRODqOBZk8BRht_U031fIS1beLA0Ub2CEytj2q0/edit?usp=sharing"",""ฉะเชิงเทรา!J633"")"),0)</f>
        <v>0</v>
      </c>
      <c r="AO55" s="354">
        <f ca="1">IFERROR(__xludf.DUMMYFUNCTION("IMPORTRANGE(""https://docs.google.com/spreadsheets/d/1T1PQvRODqOBZk8BRht_U031fIS1beLA0Ub2CEytj2q0/edit?usp=sharing"",""ฉะเชิงเทรา!J634"")"),0)</f>
        <v>0</v>
      </c>
      <c r="AP55" s="177">
        <f ca="1">IFERROR(__xludf.DUMMYFUNCTION("IMPORTRANGE(""https://docs.google.com/spreadsheets/d/1T1PQvRODqOBZk8BRht_U031fIS1beLA0Ub2CEytj2q0/edit?usp=sharing"",""ฉะเชิงเทรา!I635"")"),0)</f>
        <v>0</v>
      </c>
      <c r="AQ55" s="177">
        <f ca="1">IFERROR(__xludf.DUMMYFUNCTION("IMPORTRANGE(""https://docs.google.com/spreadsheets/d/1T1PQvRODqOBZk8BRht_U031fIS1beLA0Ub2CEytj2q0/edit?usp=sharing"",""ฉะเชิงเทรา!J635"")"),0)</f>
        <v>0</v>
      </c>
      <c r="AR55" s="354">
        <f t="shared" ca="1" si="53"/>
        <v>0</v>
      </c>
      <c r="AS55" s="177">
        <f ca="1">IFERROR(__xludf.DUMMYFUNCTION("IMPORTRANGE(""https://docs.google.com/spreadsheets/d/1T1PQvRODqOBZk8BRht_U031fIS1beLA0Ub2CEytj2q0/edit?usp=sharing"",""ฉะเชิงเทรา!J636"")"),0)</f>
        <v>0</v>
      </c>
      <c r="AT55" s="177">
        <f ca="1">IFERROR(__xludf.DUMMYFUNCTION("IMPORTRANGE(""https://docs.google.com/spreadsheets/d/1T1PQvRODqOBZk8BRht_U031fIS1beLA0Ub2CEytj2q0/edit?usp=sharing"",""ฉะเชิงเทรา!J637"")"),0)</f>
        <v>0</v>
      </c>
      <c r="AU55" s="177">
        <f ca="1">IFERROR(__xludf.DUMMYFUNCTION("IMPORTRANGE(""https://docs.google.com/spreadsheets/d/1T1PQvRODqOBZk8BRht_U031fIS1beLA0Ub2CEytj2q0/edit?usp=sharing"",""ฉะเชิงเทรา!J638"")"),0)</f>
        <v>0</v>
      </c>
      <c r="AV55" s="177">
        <f ca="1">IFERROR(__xludf.DUMMYFUNCTION("IMPORTRANGE(""https://docs.google.com/spreadsheets/d/1T1PQvRODqOBZk8BRht_U031fIS1beLA0Ub2CEytj2q0/edit?usp=sharing"",""ฉะเชิงเทรา!J639"")"),0)</f>
        <v>0</v>
      </c>
      <c r="AW55" s="177">
        <f ca="1">IFERROR(__xludf.DUMMYFUNCTION("IMPORTRANGE(""https://docs.google.com/spreadsheets/d/1T1PQvRODqOBZk8BRht_U031fIS1beLA0Ub2CEytj2q0/edit?usp=sharing"",""ฉะเชิงเทรา!J640"")"),0)</f>
        <v>0</v>
      </c>
    </row>
    <row r="56" spans="1:49" ht="19.5" x14ac:dyDescent="0.3">
      <c r="A56" s="89">
        <v>4</v>
      </c>
      <c r="B56" s="90" t="s">
        <v>82</v>
      </c>
      <c r="C56" s="174">
        <f t="shared" si="32"/>
        <v>0</v>
      </c>
      <c r="D56" s="175">
        <f t="shared" si="72"/>
        <v>0</v>
      </c>
      <c r="E56" s="403">
        <v>0</v>
      </c>
      <c r="F56" s="403">
        <v>0</v>
      </c>
      <c r="G56" s="403">
        <v>0</v>
      </c>
      <c r="H56" s="403">
        <v>0</v>
      </c>
      <c r="I56" s="403">
        <v>0</v>
      </c>
      <c r="J56" s="176">
        <f t="shared" si="34"/>
        <v>0</v>
      </c>
      <c r="K56" s="179">
        <f t="shared" si="35"/>
        <v>0</v>
      </c>
      <c r="L56" s="403">
        <v>0</v>
      </c>
      <c r="M56" s="87">
        <f t="shared" si="36"/>
        <v>0</v>
      </c>
      <c r="N56" s="87">
        <f t="shared" si="37"/>
        <v>0</v>
      </c>
      <c r="O56" s="403">
        <v>0</v>
      </c>
      <c r="P56" s="86">
        <f t="shared" si="38"/>
        <v>0</v>
      </c>
      <c r="Q56" s="87">
        <f t="shared" si="39"/>
        <v>0</v>
      </c>
      <c r="R56" s="87">
        <f ca="1">IFERROR(__xludf.DUMMYFUNCTION("IMPORTRANGE(""https://docs.google.com/spreadsheets/d/11tr1B-Bhyr79v2bkwVh5h_fR-PStkgjlZtkrZpYurG0/edit?usp=sharing"",""ชลบุรี!Q616"")"),1875)</f>
        <v>1875</v>
      </c>
      <c r="S56" s="87">
        <f ca="1">IFERROR(__xludf.DUMMYFUNCTION("IMPORTRANGE(""https://docs.google.com/spreadsheets/d/11tr1B-Bhyr79v2bkwVh5h_fR-PStkgjlZtkrZpYurG0/edit?usp=sharing"",""ชลบุรี!R616"")"),0)</f>
        <v>0</v>
      </c>
      <c r="T56" s="87">
        <f ca="1">IFERROR(__xludf.DUMMYFUNCTION("IMPORTRANGE(""https://docs.google.com/spreadsheets/d/11tr1B-Bhyr79v2bkwVh5h_fR-PStkgjlZtkrZpYurG0/edit?usp=sharing"",""ชลบุรี!S616"")"),0)</f>
        <v>0</v>
      </c>
      <c r="U56" s="87">
        <f t="shared" ca="1" si="41"/>
        <v>0</v>
      </c>
      <c r="V56" s="87">
        <f t="shared" ca="1" si="42"/>
        <v>0</v>
      </c>
      <c r="W56" s="353">
        <f ca="1">IFERROR(__xludf.DUMMYFUNCTION("IMPORTRANGE(""https://docs.google.com/spreadsheets/d/11tr1B-Bhyr79v2bkwVh5h_fR-PStkgjlZtkrZpYurG0/edit?usp=sharing"",""ชลบุรี!I626"")"),0)</f>
        <v>0</v>
      </c>
      <c r="X56" s="177">
        <f ca="1">IFERROR(__xludf.DUMMYFUNCTION("IMPORTRANGE(""https://docs.google.com/spreadsheets/d/11tr1B-Bhyr79v2bkwVh5h_fR-PStkgjlZtkrZpYurG0/edit?usp=sharing"",""ชลบุรี!J626"")"),0)</f>
        <v>0</v>
      </c>
      <c r="Y56" s="354">
        <f t="shared" ca="1" si="44"/>
        <v>0</v>
      </c>
      <c r="Z56" s="177">
        <f ca="1">IFERROR(__xludf.DUMMYFUNCTION("IMPORTRANGE(""https://docs.google.com/spreadsheets/d/11tr1B-Bhyr79v2bkwVh5h_fR-PStkgjlZtkrZpYurG0/edit?usp=sharing"",""ชลบุรี!I627"")"),1)</f>
        <v>1</v>
      </c>
      <c r="AA56" s="177">
        <f ca="1">IFERROR(__xludf.DUMMYFUNCTION("IMPORTRANGE(""https://docs.google.com/spreadsheets/d/11tr1B-Bhyr79v2bkwVh5h_fR-PStkgjlZtkrZpYurG0/edit?usp=sharing"",""ชลบุรี!J627"")"),0)</f>
        <v>0</v>
      </c>
      <c r="AB56" s="354">
        <f t="shared" ca="1" si="46"/>
        <v>0</v>
      </c>
      <c r="AC56" s="177">
        <f ca="1">IFERROR(__xludf.DUMMYFUNCTION("IMPORTRANGE(""https://docs.google.com/spreadsheets/d/11tr1B-Bhyr79v2bkwVh5h_fR-PStkgjlZtkrZpYurG0/edit?usp=sharing"",""ชลบุรี!I628"")"),1)</f>
        <v>1</v>
      </c>
      <c r="AD56" s="177">
        <f ca="1">IFERROR(__xludf.DUMMYFUNCTION("IMPORTRANGE(""https://docs.google.com/spreadsheets/d/11tr1B-Bhyr79v2bkwVh5h_fR-PStkgjlZtkrZpYurG0/edit?usp=sharing"",""ชลบุรี!J628"")"),0)</f>
        <v>0</v>
      </c>
      <c r="AE56" s="354">
        <f t="shared" ca="1" si="48"/>
        <v>0</v>
      </c>
      <c r="AF56" s="177">
        <f ca="1">IFERROR(__xludf.DUMMYFUNCTION("IMPORTRANGE(""https://docs.google.com/spreadsheets/d/11tr1B-Bhyr79v2bkwVh5h_fR-PStkgjlZtkrZpYurG0/edit?usp=sharing"",""ชลบุรี!J629"")"),0)</f>
        <v>0</v>
      </c>
      <c r="AG56" s="354">
        <f t="shared" ca="1" si="56"/>
        <v>0</v>
      </c>
      <c r="AH56" s="177">
        <f ca="1">IFERROR(__xludf.DUMMYFUNCTION("IMPORTRANGE(""https://docs.google.com/spreadsheets/d/11tr1B-Bhyr79v2bkwVh5h_fR-PStkgjlZtkrZpYurG0/edit?usp=sharing"",""ชลบุรี!J630"")"),0)</f>
        <v>0</v>
      </c>
      <c r="AI56" s="354">
        <f t="shared" ca="1" si="49"/>
        <v>0</v>
      </c>
      <c r="AJ56" s="354">
        <f ca="1">IFERROR(__xludf.DUMMYFUNCTION("IMPORTRANGE(""https://docs.google.com/spreadsheets/d/11tr1B-Bhyr79v2bkwVh5h_fR-PStkgjlZtkrZpYurG0/edit?usp=sharing"",""ชลบุรี!J631"")"),0)</f>
        <v>0</v>
      </c>
      <c r="AK56" s="354">
        <f t="shared" ca="1" si="50"/>
        <v>0</v>
      </c>
      <c r="AL56" s="354">
        <f ca="1">IFERROR(__xludf.DUMMYFUNCTION("IMPORTRANGE(""https://docs.google.com/spreadsheets/d/11tr1B-Bhyr79v2bkwVh5h_fR-PStkgjlZtkrZpYurG0/edit?usp=sharing"",""ชลบุรี!J632"")"),0)</f>
        <v>0</v>
      </c>
      <c r="AM56" s="354">
        <f t="shared" ca="1" si="51"/>
        <v>0</v>
      </c>
      <c r="AN56" s="354">
        <f ca="1">IFERROR(__xludf.DUMMYFUNCTION("IMPORTRANGE(""https://docs.google.com/spreadsheets/d/11tr1B-Bhyr79v2bkwVh5h_fR-PStkgjlZtkrZpYurG0/edit?usp=sharing"",""ชลบุรี!J633"")"),0)</f>
        <v>0</v>
      </c>
      <c r="AO56" s="354">
        <f ca="1">IFERROR(__xludf.DUMMYFUNCTION("IMPORTRANGE(""https://docs.google.com/spreadsheets/d/11tr1B-Bhyr79v2bkwVh5h_fR-PStkgjlZtkrZpYurG0/edit?usp=sharing"",""ชลบุรี!J634"")"),0)</f>
        <v>0</v>
      </c>
      <c r="AP56" s="177">
        <f ca="1">IFERROR(__xludf.DUMMYFUNCTION("IMPORTRANGE(""https://docs.google.com/spreadsheets/d/11tr1B-Bhyr79v2bkwVh5h_fR-PStkgjlZtkrZpYurG0/edit?usp=sharing"",""ชลบุรี!I635"")"),0)</f>
        <v>0</v>
      </c>
      <c r="AQ56" s="177">
        <f ca="1">IFERROR(__xludf.DUMMYFUNCTION("IMPORTRANGE(""https://docs.google.com/spreadsheets/d/11tr1B-Bhyr79v2bkwVh5h_fR-PStkgjlZtkrZpYurG0/edit?usp=sharing"",""ชลบุรี!J635"")"),0)</f>
        <v>0</v>
      </c>
      <c r="AR56" s="354">
        <f t="shared" ca="1" si="53"/>
        <v>0</v>
      </c>
      <c r="AS56" s="177">
        <f ca="1">IFERROR(__xludf.DUMMYFUNCTION("IMPORTRANGE(""https://docs.google.com/spreadsheets/d/11tr1B-Bhyr79v2bkwVh5h_fR-PStkgjlZtkrZpYurG0/edit?usp=sharing"",""ชลบุรี!J636"")"),0)</f>
        <v>0</v>
      </c>
      <c r="AT56" s="177">
        <f ca="1">IFERROR(__xludf.DUMMYFUNCTION("IMPORTRANGE(""https://docs.google.com/spreadsheets/d/11tr1B-Bhyr79v2bkwVh5h_fR-PStkgjlZtkrZpYurG0/edit?usp=sharing"",""ชลบุรี!J637"")"),0)</f>
        <v>0</v>
      </c>
      <c r="AU56" s="177">
        <f ca="1">IFERROR(__xludf.DUMMYFUNCTION("IMPORTRANGE(""https://docs.google.com/spreadsheets/d/11tr1B-Bhyr79v2bkwVh5h_fR-PStkgjlZtkrZpYurG0/edit?usp=sharing"",""ชลบุรี!J638"")"),0)</f>
        <v>0</v>
      </c>
      <c r="AV56" s="177">
        <f ca="1">IFERROR(__xludf.DUMMYFUNCTION("IMPORTRANGE(""https://docs.google.com/spreadsheets/d/11tr1B-Bhyr79v2bkwVh5h_fR-PStkgjlZtkrZpYurG0/edit?usp=sharing"",""ชลบุรี!J639"")"),0)</f>
        <v>0</v>
      </c>
      <c r="AW56" s="177">
        <f ca="1">IFERROR(__xludf.DUMMYFUNCTION("IMPORTRANGE(""https://docs.google.com/spreadsheets/d/11tr1B-Bhyr79v2bkwVh5h_fR-PStkgjlZtkrZpYurG0/edit?usp=sharing"",""ชลบุรี!J640"")"),0)</f>
        <v>0</v>
      </c>
    </row>
    <row r="57" spans="1:49" ht="19.5" x14ac:dyDescent="0.3">
      <c r="A57" s="89">
        <v>5</v>
      </c>
      <c r="B57" s="90" t="s">
        <v>83</v>
      </c>
      <c r="C57" s="174">
        <f t="shared" si="32"/>
        <v>0</v>
      </c>
      <c r="D57" s="175">
        <f t="shared" si="72"/>
        <v>0</v>
      </c>
      <c r="E57" s="403">
        <v>0</v>
      </c>
      <c r="F57" s="403">
        <v>0</v>
      </c>
      <c r="G57" s="403">
        <v>0</v>
      </c>
      <c r="H57" s="403">
        <v>0</v>
      </c>
      <c r="I57" s="403">
        <v>0</v>
      </c>
      <c r="J57" s="176">
        <f t="shared" si="34"/>
        <v>0</v>
      </c>
      <c r="K57" s="179">
        <f t="shared" si="35"/>
        <v>0</v>
      </c>
      <c r="L57" s="403">
        <v>0</v>
      </c>
      <c r="M57" s="87">
        <f t="shared" si="36"/>
        <v>0</v>
      </c>
      <c r="N57" s="87">
        <f t="shared" si="37"/>
        <v>0</v>
      </c>
      <c r="O57" s="403">
        <v>0</v>
      </c>
      <c r="P57" s="86">
        <f t="shared" si="38"/>
        <v>0</v>
      </c>
      <c r="Q57" s="87">
        <f t="shared" si="39"/>
        <v>0</v>
      </c>
      <c r="R57" s="87">
        <f ca="1">IFERROR(__xludf.DUMMYFUNCTION("IMPORTRANGE(""https://docs.google.com/spreadsheets/d/1hh-FVnSX0vozXhGluamEcS54Dw9_zqW0N7qJUWgJ0Sw/edit?usp=sharing"",""ชัยนาท!Q616"")"),6700)</f>
        <v>6700</v>
      </c>
      <c r="S57" s="87">
        <f ca="1">IFERROR(__xludf.DUMMYFUNCTION("IMPORTRANGE(""https://docs.google.com/spreadsheets/d/1hh-FVnSX0vozXhGluamEcS54Dw9_zqW0N7qJUWgJ0Sw/edit?usp=sharing"",""ชัยนาท!R616"")"),0)</f>
        <v>0</v>
      </c>
      <c r="T57" s="87">
        <f ca="1">IFERROR(__xludf.DUMMYFUNCTION("IMPORTRANGE(""https://docs.google.com/spreadsheets/d/1hh-FVnSX0vozXhGluamEcS54Dw9_zqW0N7qJUWgJ0Sw/edit?usp=sharing"",""ชัยนาท!S616"")"),0)</f>
        <v>0</v>
      </c>
      <c r="U57" s="87">
        <f t="shared" ca="1" si="41"/>
        <v>0</v>
      </c>
      <c r="V57" s="87">
        <f t="shared" ca="1" si="42"/>
        <v>0</v>
      </c>
      <c r="W57" s="353">
        <f ca="1">IFERROR(__xludf.DUMMYFUNCTION("IMPORTRANGE(""https://docs.google.com/spreadsheets/d/1hh-FVnSX0vozXhGluamEcS54Dw9_zqW0N7qJUWgJ0Sw/edit?usp=sharing"",""ชัยนาท!I626"")"),50)</f>
        <v>50</v>
      </c>
      <c r="X57" s="177">
        <f ca="1">IFERROR(__xludf.DUMMYFUNCTION("IMPORTRANGE(""https://docs.google.com/spreadsheets/d/1hh-FVnSX0vozXhGluamEcS54Dw9_zqW0N7qJUWgJ0Sw/edit?usp=sharing"",""ชัยนาท!J626"")"),0)</f>
        <v>0</v>
      </c>
      <c r="Y57" s="354">
        <f t="shared" ca="1" si="44"/>
        <v>0</v>
      </c>
      <c r="Z57" s="177">
        <f ca="1">IFERROR(__xludf.DUMMYFUNCTION("IMPORTRANGE(""https://docs.google.com/spreadsheets/d/1hh-FVnSX0vozXhGluamEcS54Dw9_zqW0N7qJUWgJ0Sw/edit?usp=sharing"",""ชัยนาท!I627"")"),0)</f>
        <v>0</v>
      </c>
      <c r="AA57" s="177">
        <f ca="1">IFERROR(__xludf.DUMMYFUNCTION("IMPORTRANGE(""https://docs.google.com/spreadsheets/d/1hh-FVnSX0vozXhGluamEcS54Dw9_zqW0N7qJUWgJ0Sw/edit?usp=sharing"",""ชัยนาท!J627"")"),0)</f>
        <v>0</v>
      </c>
      <c r="AB57" s="354">
        <f t="shared" ca="1" si="46"/>
        <v>0</v>
      </c>
      <c r="AC57" s="177">
        <f ca="1">IFERROR(__xludf.DUMMYFUNCTION("IMPORTRANGE(""https://docs.google.com/spreadsheets/d/1hh-FVnSX0vozXhGluamEcS54Dw9_zqW0N7qJUWgJ0Sw/edit?usp=sharing"",""ชัยนาท!I628"")"),0)</f>
        <v>0</v>
      </c>
      <c r="AD57" s="177">
        <f ca="1">IFERROR(__xludf.DUMMYFUNCTION("IMPORTRANGE(""https://docs.google.com/spreadsheets/d/1hh-FVnSX0vozXhGluamEcS54Dw9_zqW0N7qJUWgJ0Sw/edit?usp=sharing"",""ชัยนาท!J628"")"),0)</f>
        <v>0</v>
      </c>
      <c r="AE57" s="354">
        <f t="shared" ca="1" si="48"/>
        <v>0</v>
      </c>
      <c r="AF57" s="177">
        <f ca="1">IFERROR(__xludf.DUMMYFUNCTION("IMPORTRANGE(""https://docs.google.com/spreadsheets/d/1hh-FVnSX0vozXhGluamEcS54Dw9_zqW0N7qJUWgJ0Sw/edit?usp=sharing"",""ชัยนาท!J629"")"),0)</f>
        <v>0</v>
      </c>
      <c r="AG57" s="354">
        <f t="shared" ca="1" si="56"/>
        <v>0</v>
      </c>
      <c r="AH57" s="177">
        <f ca="1">IFERROR(__xludf.DUMMYFUNCTION("IMPORTRANGE(""https://docs.google.com/spreadsheets/d/1hh-FVnSX0vozXhGluamEcS54Dw9_zqW0N7qJUWgJ0Sw/edit?usp=sharing"",""ชัยนาท!J630"")"),0)</f>
        <v>0</v>
      </c>
      <c r="AI57" s="354">
        <f t="shared" ca="1" si="49"/>
        <v>0</v>
      </c>
      <c r="AJ57" s="354">
        <f ca="1">IFERROR(__xludf.DUMMYFUNCTION("IMPORTRANGE(""https://docs.google.com/spreadsheets/d/1hh-FVnSX0vozXhGluamEcS54Dw9_zqW0N7qJUWgJ0Sw/edit?usp=sharing"",""ชัยนาท!J631"")"),0)</f>
        <v>0</v>
      </c>
      <c r="AK57" s="354">
        <f t="shared" ca="1" si="50"/>
        <v>0</v>
      </c>
      <c r="AL57" s="354">
        <f ca="1">IFERROR(__xludf.DUMMYFUNCTION("IMPORTRANGE(""https://docs.google.com/spreadsheets/d/1hh-FVnSX0vozXhGluamEcS54Dw9_zqW0N7qJUWgJ0Sw/edit?usp=sharing"",""ชัยนาท!J632"")"),0)</f>
        <v>0</v>
      </c>
      <c r="AM57" s="354">
        <f t="shared" ca="1" si="51"/>
        <v>0</v>
      </c>
      <c r="AN57" s="354">
        <f ca="1">IFERROR(__xludf.DUMMYFUNCTION("IMPORTRANGE(""https://docs.google.com/spreadsheets/d/1hh-FVnSX0vozXhGluamEcS54Dw9_zqW0N7qJUWgJ0Sw/edit?usp=sharing"",""ชัยนาท!J633"")"),0)</f>
        <v>0</v>
      </c>
      <c r="AO57" s="354">
        <f ca="1">IFERROR(__xludf.DUMMYFUNCTION("IMPORTRANGE(""https://docs.google.com/spreadsheets/d/1hh-FVnSX0vozXhGluamEcS54Dw9_zqW0N7qJUWgJ0Sw/edit?usp=sharing"",""ชัยนาท!J634"")"),0)</f>
        <v>0</v>
      </c>
      <c r="AP57" s="177">
        <f ca="1">IFERROR(__xludf.DUMMYFUNCTION("IMPORTRANGE(""https://docs.google.com/spreadsheets/d/1hh-FVnSX0vozXhGluamEcS54Dw9_zqW0N7qJUWgJ0Sw/edit?usp=sharing"",""ชัยนาท!I635"")"),0)</f>
        <v>0</v>
      </c>
      <c r="AQ57" s="177">
        <f ca="1">IFERROR(__xludf.DUMMYFUNCTION("IMPORTRANGE(""https://docs.google.com/spreadsheets/d/1hh-FVnSX0vozXhGluamEcS54Dw9_zqW0N7qJUWgJ0Sw/edit?usp=sharing"",""ชัยนาท!J635"")"),0)</f>
        <v>0</v>
      </c>
      <c r="AR57" s="354">
        <f t="shared" ca="1" si="53"/>
        <v>0</v>
      </c>
      <c r="AS57" s="177">
        <f ca="1">IFERROR(__xludf.DUMMYFUNCTION("IMPORTRANGE(""https://docs.google.com/spreadsheets/d/1hh-FVnSX0vozXhGluamEcS54Dw9_zqW0N7qJUWgJ0Sw/edit?usp=sharing"",""ชัยนาท!J636"")"),0)</f>
        <v>0</v>
      </c>
      <c r="AT57" s="177">
        <f ca="1">IFERROR(__xludf.DUMMYFUNCTION("IMPORTRANGE(""https://docs.google.com/spreadsheets/d/1hh-FVnSX0vozXhGluamEcS54Dw9_zqW0N7qJUWgJ0Sw/edit?usp=sharing"",""ชัยนาท!J637"")"),0)</f>
        <v>0</v>
      </c>
      <c r="AU57" s="177">
        <f ca="1">IFERROR(__xludf.DUMMYFUNCTION("IMPORTRANGE(""https://docs.google.com/spreadsheets/d/1hh-FVnSX0vozXhGluamEcS54Dw9_zqW0N7qJUWgJ0Sw/edit?usp=sharing"",""ชัยนาท!J638"")"),0)</f>
        <v>0</v>
      </c>
      <c r="AV57" s="177">
        <f ca="1">IFERROR(__xludf.DUMMYFUNCTION("IMPORTRANGE(""https://docs.google.com/spreadsheets/d/1hh-FVnSX0vozXhGluamEcS54Dw9_zqW0N7qJUWgJ0Sw/edit?usp=sharing"",""ชัยนาท!J639"")"),0)</f>
        <v>0</v>
      </c>
      <c r="AW57" s="177">
        <f ca="1">IFERROR(__xludf.DUMMYFUNCTION("IMPORTRANGE(""https://docs.google.com/spreadsheets/d/1hh-FVnSX0vozXhGluamEcS54Dw9_zqW0N7qJUWgJ0Sw/edit?usp=sharing"",""ชัยนาท!J640"")"),0)</f>
        <v>0</v>
      </c>
    </row>
    <row r="58" spans="1:49" ht="19.5" x14ac:dyDescent="0.3">
      <c r="A58" s="89">
        <v>6</v>
      </c>
      <c r="B58" s="90" t="s">
        <v>84</v>
      </c>
      <c r="C58" s="174">
        <f t="shared" si="32"/>
        <v>0</v>
      </c>
      <c r="D58" s="175">
        <f t="shared" si="72"/>
        <v>0</v>
      </c>
      <c r="E58" s="403">
        <v>0</v>
      </c>
      <c r="F58" s="403">
        <v>0</v>
      </c>
      <c r="G58" s="403">
        <v>0</v>
      </c>
      <c r="H58" s="403">
        <v>0</v>
      </c>
      <c r="I58" s="403">
        <v>0</v>
      </c>
      <c r="J58" s="176">
        <f t="shared" si="34"/>
        <v>0</v>
      </c>
      <c r="K58" s="179">
        <f t="shared" si="35"/>
        <v>0</v>
      </c>
      <c r="L58" s="403">
        <v>0</v>
      </c>
      <c r="M58" s="87">
        <f t="shared" si="36"/>
        <v>0</v>
      </c>
      <c r="N58" s="87">
        <f t="shared" si="37"/>
        <v>0</v>
      </c>
      <c r="O58" s="403">
        <v>0</v>
      </c>
      <c r="P58" s="86">
        <f t="shared" si="38"/>
        <v>0</v>
      </c>
      <c r="Q58" s="87">
        <f t="shared" si="39"/>
        <v>0</v>
      </c>
      <c r="R58" s="87">
        <f ca="1">IFERROR(__xludf.DUMMYFUNCTION("IMPORTRANGE(""https://docs.google.com/spreadsheets/d/1jkqa6GXxSacMcY1eN8AHjMNJ_7dDXMJVRLDlaFSOdPM/edit?usp=sharing"",""ตราด!Q616"")"),1775)</f>
        <v>1775</v>
      </c>
      <c r="S58" s="87">
        <f ca="1">IFERROR(__xludf.DUMMYFUNCTION("IMPORTRANGE(""https://docs.google.com/spreadsheets/d/1jkqa6GXxSacMcY1eN8AHjMNJ_7dDXMJVRLDlaFSOdPM/edit?usp=sharing"",""ตราด!R616"")"),0)</f>
        <v>0</v>
      </c>
      <c r="T58" s="87">
        <f ca="1">IFERROR(__xludf.DUMMYFUNCTION("IMPORTRANGE(""https://docs.google.com/spreadsheets/d/1jkqa6GXxSacMcY1eN8AHjMNJ_7dDXMJVRLDlaFSOdPM/edit?usp=sharing"",""ตราด!S616"")"),0)</f>
        <v>0</v>
      </c>
      <c r="U58" s="87">
        <f t="shared" ca="1" si="41"/>
        <v>0</v>
      </c>
      <c r="V58" s="87">
        <f t="shared" ca="1" si="42"/>
        <v>0</v>
      </c>
      <c r="W58" s="353">
        <f ca="1">IFERROR(__xludf.DUMMYFUNCTION("IMPORTRANGE(""https://docs.google.com/spreadsheets/d/1jkqa6GXxSacMcY1eN8AHjMNJ_7dDXMJVRLDlaFSOdPM/edit?usp=sharing"",""ตราด!I626"")"),0)</f>
        <v>0</v>
      </c>
      <c r="X58" s="177">
        <f ca="1">IFERROR(__xludf.DUMMYFUNCTION("IMPORTRANGE(""https://docs.google.com/spreadsheets/d/1jkqa6GXxSacMcY1eN8AHjMNJ_7dDXMJVRLDlaFSOdPM/edit?usp=sharing"",""ตราด!J626"")"),0)</f>
        <v>0</v>
      </c>
      <c r="Y58" s="354">
        <f t="shared" ca="1" si="44"/>
        <v>0</v>
      </c>
      <c r="Z58" s="177">
        <f ca="1">IFERROR(__xludf.DUMMYFUNCTION("IMPORTRANGE(""https://docs.google.com/spreadsheets/d/1jkqa6GXxSacMcY1eN8AHjMNJ_7dDXMJVRLDlaFSOdPM/edit?usp=sharing"",""ตราด!I627"")"),1)</f>
        <v>1</v>
      </c>
      <c r="AA58" s="177">
        <f ca="1">IFERROR(__xludf.DUMMYFUNCTION("IMPORTRANGE(""https://docs.google.com/spreadsheets/d/1jkqa6GXxSacMcY1eN8AHjMNJ_7dDXMJVRLDlaFSOdPM/edit?usp=sharing"",""ตราด!J627"")"),1)</f>
        <v>1</v>
      </c>
      <c r="AB58" s="354">
        <f t="shared" ca="1" si="46"/>
        <v>100</v>
      </c>
      <c r="AC58" s="177">
        <f ca="1">IFERROR(__xludf.DUMMYFUNCTION("IMPORTRANGE(""https://docs.google.com/spreadsheets/d/1jkqa6GXxSacMcY1eN8AHjMNJ_7dDXMJVRLDlaFSOdPM/edit?usp=sharing"",""ตราด!I628"")"),1)</f>
        <v>1</v>
      </c>
      <c r="AD58" s="177">
        <f ca="1">IFERROR(__xludf.DUMMYFUNCTION("IMPORTRANGE(""https://docs.google.com/spreadsheets/d/1jkqa6GXxSacMcY1eN8AHjMNJ_7dDXMJVRLDlaFSOdPM/edit?usp=sharing"",""ตราด!J628"")"),1)</f>
        <v>1</v>
      </c>
      <c r="AE58" s="354">
        <f t="shared" ca="1" si="48"/>
        <v>100</v>
      </c>
      <c r="AF58" s="177">
        <f ca="1">IFERROR(__xludf.DUMMYFUNCTION("IMPORTRANGE(""https://docs.google.com/spreadsheets/d/1jkqa6GXxSacMcY1eN8AHjMNJ_7dDXMJVRLDlaFSOdPM/edit?usp=sharing"",""ตราด!J629"")"),0)</f>
        <v>0</v>
      </c>
      <c r="AG58" s="354">
        <f t="shared" ca="1" si="56"/>
        <v>0</v>
      </c>
      <c r="AH58" s="177">
        <f ca="1">IFERROR(__xludf.DUMMYFUNCTION("IMPORTRANGE(""https://docs.google.com/spreadsheets/d/1jkqa6GXxSacMcY1eN8AHjMNJ_7dDXMJVRLDlaFSOdPM/edit?usp=sharing"",""ตราด!J630"")"),0)</f>
        <v>0</v>
      </c>
      <c r="AI58" s="354">
        <f t="shared" ca="1" si="49"/>
        <v>0</v>
      </c>
      <c r="AJ58" s="354">
        <f ca="1">IFERROR(__xludf.DUMMYFUNCTION("IMPORTRANGE(""https://docs.google.com/spreadsheets/d/1jkqa6GXxSacMcY1eN8AHjMNJ_7dDXMJVRLDlaFSOdPM/edit?usp=sharing"",""ตราด!J631"")"),0)</f>
        <v>0</v>
      </c>
      <c r="AK58" s="354">
        <f t="shared" ca="1" si="50"/>
        <v>0</v>
      </c>
      <c r="AL58" s="354">
        <f ca="1">IFERROR(__xludf.DUMMYFUNCTION("IMPORTRANGE(""https://docs.google.com/spreadsheets/d/1jkqa6GXxSacMcY1eN8AHjMNJ_7dDXMJVRLDlaFSOdPM/edit?usp=sharing"",""ตราด!J632"")"),0)</f>
        <v>0</v>
      </c>
      <c r="AM58" s="354">
        <f t="shared" ca="1" si="51"/>
        <v>0</v>
      </c>
      <c r="AN58" s="354">
        <f ca="1">IFERROR(__xludf.DUMMYFUNCTION("IMPORTRANGE(""https://docs.google.com/spreadsheets/d/1jkqa6GXxSacMcY1eN8AHjMNJ_7dDXMJVRLDlaFSOdPM/edit?usp=sharing"",""ตราด!J633"")"),0)</f>
        <v>0</v>
      </c>
      <c r="AO58" s="354">
        <f ca="1">IFERROR(__xludf.DUMMYFUNCTION("IMPORTRANGE(""https://docs.google.com/spreadsheets/d/1jkqa6GXxSacMcY1eN8AHjMNJ_7dDXMJVRLDlaFSOdPM/edit?usp=sharing"",""ตราด!J634"")"),0)</f>
        <v>0</v>
      </c>
      <c r="AP58" s="177">
        <f ca="1">IFERROR(__xludf.DUMMYFUNCTION("IMPORTRANGE(""https://docs.google.com/spreadsheets/d/1jkqa6GXxSacMcY1eN8AHjMNJ_7dDXMJVRLDlaFSOdPM/edit?usp=sharing"",""ตราด!I635"")"),0)</f>
        <v>0</v>
      </c>
      <c r="AQ58" s="177">
        <f ca="1">IFERROR(__xludf.DUMMYFUNCTION("IMPORTRANGE(""https://docs.google.com/spreadsheets/d/1jkqa6GXxSacMcY1eN8AHjMNJ_7dDXMJVRLDlaFSOdPM/edit?usp=sharing"",""ตราด!J635"")"),0)</f>
        <v>0</v>
      </c>
      <c r="AR58" s="354">
        <f t="shared" ca="1" si="53"/>
        <v>0</v>
      </c>
      <c r="AS58" s="177">
        <f ca="1">IFERROR(__xludf.DUMMYFUNCTION("IMPORTRANGE(""https://docs.google.com/spreadsheets/d/1jkqa6GXxSacMcY1eN8AHjMNJ_7dDXMJVRLDlaFSOdPM/edit?usp=sharing"",""ตราด!J636"")"),0)</f>
        <v>0</v>
      </c>
      <c r="AT58" s="177">
        <f ca="1">IFERROR(__xludf.DUMMYFUNCTION("IMPORTRANGE(""https://docs.google.com/spreadsheets/d/1jkqa6GXxSacMcY1eN8AHjMNJ_7dDXMJVRLDlaFSOdPM/edit?usp=sharing"",""ตราด!J637"")"),0)</f>
        <v>0</v>
      </c>
      <c r="AU58" s="177">
        <f ca="1">IFERROR(__xludf.DUMMYFUNCTION("IMPORTRANGE(""https://docs.google.com/spreadsheets/d/1jkqa6GXxSacMcY1eN8AHjMNJ_7dDXMJVRLDlaFSOdPM/edit?usp=sharing"",""ตราด!J638"")"),0)</f>
        <v>0</v>
      </c>
      <c r="AV58" s="177">
        <f ca="1">IFERROR(__xludf.DUMMYFUNCTION("IMPORTRANGE(""https://docs.google.com/spreadsheets/d/1jkqa6GXxSacMcY1eN8AHjMNJ_7dDXMJVRLDlaFSOdPM/edit?usp=sharing"",""ตราด!J639"")"),0)</f>
        <v>0</v>
      </c>
      <c r="AW58" s="177">
        <f ca="1">IFERROR(__xludf.DUMMYFUNCTION("IMPORTRANGE(""https://docs.google.com/spreadsheets/d/1jkqa6GXxSacMcY1eN8AHjMNJ_7dDXMJVRLDlaFSOdPM/edit?usp=sharing"",""ตราด!J640"")"),0)</f>
        <v>0</v>
      </c>
    </row>
    <row r="59" spans="1:49" ht="19.5" x14ac:dyDescent="0.3">
      <c r="A59" s="89">
        <v>7</v>
      </c>
      <c r="B59" s="90" t="s">
        <v>85</v>
      </c>
      <c r="C59" s="174">
        <f t="shared" si="32"/>
        <v>0</v>
      </c>
      <c r="D59" s="175">
        <f t="shared" si="72"/>
        <v>0</v>
      </c>
      <c r="E59" s="403">
        <v>0</v>
      </c>
      <c r="F59" s="403">
        <v>0</v>
      </c>
      <c r="G59" s="403">
        <v>0</v>
      </c>
      <c r="H59" s="403">
        <v>0</v>
      </c>
      <c r="I59" s="403">
        <v>0</v>
      </c>
      <c r="J59" s="176">
        <f t="shared" si="34"/>
        <v>0</v>
      </c>
      <c r="K59" s="179">
        <f t="shared" si="35"/>
        <v>0</v>
      </c>
      <c r="L59" s="403">
        <v>0</v>
      </c>
      <c r="M59" s="87">
        <f t="shared" si="36"/>
        <v>0</v>
      </c>
      <c r="N59" s="87">
        <f t="shared" si="37"/>
        <v>0</v>
      </c>
      <c r="O59" s="403">
        <v>0</v>
      </c>
      <c r="P59" s="86">
        <f t="shared" si="38"/>
        <v>0</v>
      </c>
      <c r="Q59" s="87">
        <f t="shared" si="39"/>
        <v>0</v>
      </c>
      <c r="R59" s="87">
        <f ca="1">IFERROR(__xludf.DUMMYFUNCTION("IMPORTRANGE(""https://docs.google.com/spreadsheets/d/18hSgUJ3VwClqi_qtULmmW3cLr0oe3OKaSYoKzdpTsYQ/edit?usp=sharing"",""นครนายก!Q616"")"),6600)</f>
        <v>6600</v>
      </c>
      <c r="S59" s="87">
        <f ca="1">IFERROR(__xludf.DUMMYFUNCTION("IMPORTRANGE(""https://docs.google.com/spreadsheets/d/18hSgUJ3VwClqi_qtULmmW3cLr0oe3OKaSYoKzdpTsYQ/edit?usp=sharing"",""นครนายก!R616"")"),0)</f>
        <v>0</v>
      </c>
      <c r="T59" s="87">
        <f ca="1">IFERROR(__xludf.DUMMYFUNCTION("IMPORTRANGE(""https://docs.google.com/spreadsheets/d/18hSgUJ3VwClqi_qtULmmW3cLr0oe3OKaSYoKzdpTsYQ/edit?usp=sharing"",""นครนายก!S616"")"),0)</f>
        <v>0</v>
      </c>
      <c r="U59" s="87">
        <f t="shared" ca="1" si="41"/>
        <v>0</v>
      </c>
      <c r="V59" s="87">
        <f t="shared" ca="1" si="42"/>
        <v>0</v>
      </c>
      <c r="W59" s="353">
        <f ca="1">IFERROR(__xludf.DUMMYFUNCTION("IMPORTRANGE(""https://docs.google.com/spreadsheets/d/18hSgUJ3VwClqi_qtULmmW3cLr0oe3OKaSYoKzdpTsYQ/edit?usp=sharing"",""นครนายก!I626"")"),50)</f>
        <v>50</v>
      </c>
      <c r="X59" s="177">
        <f ca="1">IFERROR(__xludf.DUMMYFUNCTION("IMPORTRANGE(""https://docs.google.com/spreadsheets/d/18hSgUJ3VwClqi_qtULmmW3cLr0oe3OKaSYoKzdpTsYQ/edit?usp=sharing"",""นครนายก!J626"")"),0)</f>
        <v>0</v>
      </c>
      <c r="Y59" s="354">
        <f t="shared" ca="1" si="44"/>
        <v>0</v>
      </c>
      <c r="Z59" s="177">
        <f ca="1">IFERROR(__xludf.DUMMYFUNCTION("IMPORTRANGE(""https://docs.google.com/spreadsheets/d/18hSgUJ3VwClqi_qtULmmW3cLr0oe3OKaSYoKzdpTsYQ/edit?usp=sharing"",""นครนายก!I627"")"),0)</f>
        <v>0</v>
      </c>
      <c r="AA59" s="177">
        <f ca="1">IFERROR(__xludf.DUMMYFUNCTION("IMPORTRANGE(""https://docs.google.com/spreadsheets/d/18hSgUJ3VwClqi_qtULmmW3cLr0oe3OKaSYoKzdpTsYQ/edit?usp=sharing"",""นครนายก!J627"")"),0)</f>
        <v>0</v>
      </c>
      <c r="AB59" s="354">
        <f t="shared" ca="1" si="46"/>
        <v>0</v>
      </c>
      <c r="AC59" s="177">
        <f ca="1">IFERROR(__xludf.DUMMYFUNCTION("IMPORTRANGE(""https://docs.google.com/spreadsheets/d/18hSgUJ3VwClqi_qtULmmW3cLr0oe3OKaSYoKzdpTsYQ/edit?usp=sharing"",""นครนายก!I628"")"),0)</f>
        <v>0</v>
      </c>
      <c r="AD59" s="177">
        <f ca="1">IFERROR(__xludf.DUMMYFUNCTION("IMPORTRANGE(""https://docs.google.com/spreadsheets/d/18hSgUJ3VwClqi_qtULmmW3cLr0oe3OKaSYoKzdpTsYQ/edit?usp=sharing"",""นครนายก!J628"")"),0)</f>
        <v>0</v>
      </c>
      <c r="AE59" s="354">
        <f t="shared" ca="1" si="48"/>
        <v>0</v>
      </c>
      <c r="AF59" s="177">
        <f ca="1">IFERROR(__xludf.DUMMYFUNCTION("IMPORTRANGE(""https://docs.google.com/spreadsheets/d/18hSgUJ3VwClqi_qtULmmW3cLr0oe3OKaSYoKzdpTsYQ/edit?usp=sharing"",""นครนายก!J629"")"),0)</f>
        <v>0</v>
      </c>
      <c r="AG59" s="354">
        <f t="shared" ca="1" si="56"/>
        <v>0</v>
      </c>
      <c r="AH59" s="177">
        <f ca="1">IFERROR(__xludf.DUMMYFUNCTION("IMPORTRANGE(""https://docs.google.com/spreadsheets/d/18hSgUJ3VwClqi_qtULmmW3cLr0oe3OKaSYoKzdpTsYQ/edit?usp=sharing"",""นครนายก!J630"")"),0)</f>
        <v>0</v>
      </c>
      <c r="AI59" s="354">
        <f t="shared" ca="1" si="49"/>
        <v>0</v>
      </c>
      <c r="AJ59" s="354">
        <f ca="1">IFERROR(__xludf.DUMMYFUNCTION("IMPORTRANGE(""https://docs.google.com/spreadsheets/d/18hSgUJ3VwClqi_qtULmmW3cLr0oe3OKaSYoKzdpTsYQ/edit?usp=sharing"",""นครนายก!J631"")"),0)</f>
        <v>0</v>
      </c>
      <c r="AK59" s="354">
        <f t="shared" ca="1" si="50"/>
        <v>0</v>
      </c>
      <c r="AL59" s="354">
        <f ca="1">IFERROR(__xludf.DUMMYFUNCTION("IMPORTRANGE(""https://docs.google.com/spreadsheets/d/18hSgUJ3VwClqi_qtULmmW3cLr0oe3OKaSYoKzdpTsYQ/edit?usp=sharing"",""นครนายก!J632"")"),0)</f>
        <v>0</v>
      </c>
      <c r="AM59" s="354">
        <f t="shared" ca="1" si="51"/>
        <v>0</v>
      </c>
      <c r="AN59" s="354">
        <f ca="1">IFERROR(__xludf.DUMMYFUNCTION("IMPORTRANGE(""https://docs.google.com/spreadsheets/d/18hSgUJ3VwClqi_qtULmmW3cLr0oe3OKaSYoKzdpTsYQ/edit?usp=sharing"",""นครนายก!J633"")"),0)</f>
        <v>0</v>
      </c>
      <c r="AO59" s="354">
        <f ca="1">IFERROR(__xludf.DUMMYFUNCTION("IMPORTRANGE(""https://docs.google.com/spreadsheets/d/18hSgUJ3VwClqi_qtULmmW3cLr0oe3OKaSYoKzdpTsYQ/edit?usp=sharing"",""นครนายก!J634"")"),0)</f>
        <v>0</v>
      </c>
      <c r="AP59" s="177">
        <f ca="1">IFERROR(__xludf.DUMMYFUNCTION("IMPORTRANGE(""https://docs.google.com/spreadsheets/d/18hSgUJ3VwClqi_qtULmmW3cLr0oe3OKaSYoKzdpTsYQ/edit?usp=sharing"",""นครนายก!I635"")"),0)</f>
        <v>0</v>
      </c>
      <c r="AQ59" s="177">
        <f ca="1">IFERROR(__xludf.DUMMYFUNCTION("IMPORTRANGE(""https://docs.google.com/spreadsheets/d/18hSgUJ3VwClqi_qtULmmW3cLr0oe3OKaSYoKzdpTsYQ/edit?usp=sharing"",""นครนายก!J635"")"),0)</f>
        <v>0</v>
      </c>
      <c r="AR59" s="354">
        <f t="shared" ca="1" si="53"/>
        <v>0</v>
      </c>
      <c r="AS59" s="177">
        <f ca="1">IFERROR(__xludf.DUMMYFUNCTION("IMPORTRANGE(""https://docs.google.com/spreadsheets/d/18hSgUJ3VwClqi_qtULmmW3cLr0oe3OKaSYoKzdpTsYQ/edit?usp=sharing"",""นครนายก!J636"")"),0)</f>
        <v>0</v>
      </c>
      <c r="AT59" s="177">
        <f ca="1">IFERROR(__xludf.DUMMYFUNCTION("IMPORTRANGE(""https://docs.google.com/spreadsheets/d/18hSgUJ3VwClqi_qtULmmW3cLr0oe3OKaSYoKzdpTsYQ/edit?usp=sharing"",""นครนายก!J637"")"),0)</f>
        <v>0</v>
      </c>
      <c r="AU59" s="177">
        <f ca="1">IFERROR(__xludf.DUMMYFUNCTION("IMPORTRANGE(""https://docs.google.com/spreadsheets/d/18hSgUJ3VwClqi_qtULmmW3cLr0oe3OKaSYoKzdpTsYQ/edit?usp=sharing"",""นครนายก!J638"")"),0)</f>
        <v>0</v>
      </c>
      <c r="AV59" s="177">
        <f ca="1">IFERROR(__xludf.DUMMYFUNCTION("IMPORTRANGE(""https://docs.google.com/spreadsheets/d/18hSgUJ3VwClqi_qtULmmW3cLr0oe3OKaSYoKzdpTsYQ/edit?usp=sharing"",""นครนายก!J639"")"),0)</f>
        <v>0</v>
      </c>
      <c r="AW59" s="177">
        <f ca="1">IFERROR(__xludf.DUMMYFUNCTION("IMPORTRANGE(""https://docs.google.com/spreadsheets/d/18hSgUJ3VwClqi_qtULmmW3cLr0oe3OKaSYoKzdpTsYQ/edit?usp=sharing"",""นครนายก!J640"")"),0)</f>
        <v>0</v>
      </c>
    </row>
    <row r="60" spans="1:49" ht="19.5" x14ac:dyDescent="0.3">
      <c r="A60" s="89">
        <v>8</v>
      </c>
      <c r="B60" s="90" t="s">
        <v>86</v>
      </c>
      <c r="C60" s="174">
        <f t="shared" si="32"/>
        <v>0</v>
      </c>
      <c r="D60" s="175">
        <f t="shared" si="72"/>
        <v>0</v>
      </c>
      <c r="E60" s="403">
        <v>0</v>
      </c>
      <c r="F60" s="403">
        <v>0</v>
      </c>
      <c r="G60" s="403">
        <v>0</v>
      </c>
      <c r="H60" s="403">
        <v>0</v>
      </c>
      <c r="I60" s="403">
        <v>0</v>
      </c>
      <c r="J60" s="176">
        <f t="shared" si="34"/>
        <v>0</v>
      </c>
      <c r="K60" s="179">
        <f t="shared" si="35"/>
        <v>0</v>
      </c>
      <c r="L60" s="403">
        <v>0</v>
      </c>
      <c r="M60" s="87">
        <f t="shared" si="36"/>
        <v>0</v>
      </c>
      <c r="N60" s="87">
        <f t="shared" si="37"/>
        <v>0</v>
      </c>
      <c r="O60" s="403">
        <v>0</v>
      </c>
      <c r="P60" s="86">
        <f t="shared" si="38"/>
        <v>0</v>
      </c>
      <c r="Q60" s="87">
        <f t="shared" si="39"/>
        <v>0</v>
      </c>
      <c r="R60" s="87">
        <f ca="1">IFERROR(__xludf.DUMMYFUNCTION("IMPORTRANGE(""https://docs.google.com/spreadsheets/d/1YTZo6WM2dQ6Ix6FSdnL5P7uVnVKu40sxZu975tgG10E/edit?usp=sharing"",""นครปฐม!Q616"")"),7275)</f>
        <v>7275</v>
      </c>
      <c r="S60" s="87">
        <f ca="1">IFERROR(__xludf.DUMMYFUNCTION("IMPORTRANGE(""https://docs.google.com/spreadsheets/d/1YTZo6WM2dQ6Ix6FSdnL5P7uVnVKu40sxZu975tgG10E/edit?usp=sharing"",""นครปฐม!R616"")"),0)</f>
        <v>0</v>
      </c>
      <c r="T60" s="87">
        <f ca="1">IFERROR(__xludf.DUMMYFUNCTION("IMPORTRANGE(""https://docs.google.com/spreadsheets/d/1YTZo6WM2dQ6Ix6FSdnL5P7uVnVKu40sxZu975tgG10E/edit?usp=sharing"",""นครปฐม!S616"")"),0)</f>
        <v>0</v>
      </c>
      <c r="U60" s="87">
        <f t="shared" ca="1" si="41"/>
        <v>0</v>
      </c>
      <c r="V60" s="87">
        <f t="shared" ca="1" si="42"/>
        <v>0</v>
      </c>
      <c r="W60" s="353">
        <f ca="1">IFERROR(__xludf.DUMMYFUNCTION("IMPORTRANGE(""https://docs.google.com/spreadsheets/d/1YTZo6WM2dQ6Ix6FSdnL5P7uVnVKu40sxZu975tgG10E/edit?usp=sharing"",""นครปฐม!I626"")"),50)</f>
        <v>50</v>
      </c>
      <c r="X60" s="177">
        <f ca="1">IFERROR(__xludf.DUMMYFUNCTION("IMPORTRANGE(""https://docs.google.com/spreadsheets/d/1YTZo6WM2dQ6Ix6FSdnL5P7uVnVKu40sxZu975tgG10E/edit?usp=sharing"",""นครปฐม!J626"")"),0)</f>
        <v>0</v>
      </c>
      <c r="Y60" s="354">
        <f t="shared" ca="1" si="44"/>
        <v>0</v>
      </c>
      <c r="Z60" s="177">
        <f ca="1">IFERROR(__xludf.DUMMYFUNCTION("IMPORTRANGE(""https://docs.google.com/spreadsheets/d/1YTZo6WM2dQ6Ix6FSdnL5P7uVnVKu40sxZu975tgG10E/edit?usp=sharing"",""นครปฐม!I627"")"),1)</f>
        <v>1</v>
      </c>
      <c r="AA60" s="177">
        <f ca="1">IFERROR(__xludf.DUMMYFUNCTION("IMPORTRANGE(""https://docs.google.com/spreadsheets/d/1YTZo6WM2dQ6Ix6FSdnL5P7uVnVKu40sxZu975tgG10E/edit?usp=sharing"",""นครปฐม!J627"")"),0)</f>
        <v>0</v>
      </c>
      <c r="AB60" s="354">
        <f t="shared" ca="1" si="46"/>
        <v>0</v>
      </c>
      <c r="AC60" s="177">
        <f ca="1">IFERROR(__xludf.DUMMYFUNCTION("IMPORTRANGE(""https://docs.google.com/spreadsheets/d/1YTZo6WM2dQ6Ix6FSdnL5P7uVnVKu40sxZu975tgG10E/edit?usp=sharing"",""นครปฐม!I628"")"),1)</f>
        <v>1</v>
      </c>
      <c r="AD60" s="177">
        <f ca="1">IFERROR(__xludf.DUMMYFUNCTION("IMPORTRANGE(""https://docs.google.com/spreadsheets/d/1YTZo6WM2dQ6Ix6FSdnL5P7uVnVKu40sxZu975tgG10E/edit?usp=sharing"",""นครปฐม!J628"")"),0)</f>
        <v>0</v>
      </c>
      <c r="AE60" s="354">
        <f t="shared" ca="1" si="48"/>
        <v>0</v>
      </c>
      <c r="AF60" s="177">
        <f ca="1">IFERROR(__xludf.DUMMYFUNCTION("IMPORTRANGE(""https://docs.google.com/spreadsheets/d/1YTZo6WM2dQ6Ix6FSdnL5P7uVnVKu40sxZu975tgG10E/edit?usp=sharing"",""นครปฐม!J629"")"),0)</f>
        <v>0</v>
      </c>
      <c r="AG60" s="354">
        <f t="shared" ca="1" si="56"/>
        <v>0</v>
      </c>
      <c r="AH60" s="177">
        <f ca="1">IFERROR(__xludf.DUMMYFUNCTION("IMPORTRANGE(""https://docs.google.com/spreadsheets/d/1YTZo6WM2dQ6Ix6FSdnL5P7uVnVKu40sxZu975tgG10E/edit?usp=sharing"",""นครปฐม!J630"")"),0)</f>
        <v>0</v>
      </c>
      <c r="AI60" s="354">
        <f t="shared" ca="1" si="49"/>
        <v>0</v>
      </c>
      <c r="AJ60" s="354">
        <f ca="1">IFERROR(__xludf.DUMMYFUNCTION("IMPORTRANGE(""https://docs.google.com/spreadsheets/d/1YTZo6WM2dQ6Ix6FSdnL5P7uVnVKu40sxZu975tgG10E/edit?usp=sharing"",""นครปฐม!J631"")"),0)</f>
        <v>0</v>
      </c>
      <c r="AK60" s="354">
        <f t="shared" ca="1" si="50"/>
        <v>0</v>
      </c>
      <c r="AL60" s="354">
        <f ca="1">IFERROR(__xludf.DUMMYFUNCTION("IMPORTRANGE(""https://docs.google.com/spreadsheets/d/1YTZo6WM2dQ6Ix6FSdnL5P7uVnVKu40sxZu975tgG10E/edit?usp=sharing"",""นครปฐม!J632"")"),0)</f>
        <v>0</v>
      </c>
      <c r="AM60" s="354">
        <f t="shared" ca="1" si="51"/>
        <v>0</v>
      </c>
      <c r="AN60" s="354">
        <f ca="1">IFERROR(__xludf.DUMMYFUNCTION("IMPORTRANGE(""https://docs.google.com/spreadsheets/d/1YTZo6WM2dQ6Ix6FSdnL5P7uVnVKu40sxZu975tgG10E/edit?usp=sharing"",""นครปฐม!J633"")"),0)</f>
        <v>0</v>
      </c>
      <c r="AO60" s="354">
        <f ca="1">IFERROR(__xludf.DUMMYFUNCTION("IMPORTRANGE(""https://docs.google.com/spreadsheets/d/1YTZo6WM2dQ6Ix6FSdnL5P7uVnVKu40sxZu975tgG10E/edit?usp=sharing"",""นครปฐม!J634"")"),0)</f>
        <v>0</v>
      </c>
      <c r="AP60" s="177">
        <f ca="1">IFERROR(__xludf.DUMMYFUNCTION("IMPORTRANGE(""https://docs.google.com/spreadsheets/d/1YTZo6WM2dQ6Ix6FSdnL5P7uVnVKu40sxZu975tgG10E/edit?usp=sharing"",""นครปฐม!I635"")"),0)</f>
        <v>0</v>
      </c>
      <c r="AQ60" s="177">
        <f ca="1">IFERROR(__xludf.DUMMYFUNCTION("IMPORTRANGE(""https://docs.google.com/spreadsheets/d/1YTZo6WM2dQ6Ix6FSdnL5P7uVnVKu40sxZu975tgG10E/edit?usp=sharing"",""นครปฐม!J635"")"),0)</f>
        <v>0</v>
      </c>
      <c r="AR60" s="354">
        <f t="shared" ca="1" si="53"/>
        <v>0</v>
      </c>
      <c r="AS60" s="177">
        <f ca="1">IFERROR(__xludf.DUMMYFUNCTION("IMPORTRANGE(""https://docs.google.com/spreadsheets/d/1YTZo6WM2dQ6Ix6FSdnL5P7uVnVKu40sxZu975tgG10E/edit?usp=sharing"",""นครปฐม!J636"")"),0)</f>
        <v>0</v>
      </c>
      <c r="AT60" s="177">
        <f ca="1">IFERROR(__xludf.DUMMYFUNCTION("IMPORTRANGE(""https://docs.google.com/spreadsheets/d/1YTZo6WM2dQ6Ix6FSdnL5P7uVnVKu40sxZu975tgG10E/edit?usp=sharing"",""นครปฐม!J637"")"),0)</f>
        <v>0</v>
      </c>
      <c r="AU60" s="177">
        <f ca="1">IFERROR(__xludf.DUMMYFUNCTION("IMPORTRANGE(""https://docs.google.com/spreadsheets/d/1YTZo6WM2dQ6Ix6FSdnL5P7uVnVKu40sxZu975tgG10E/edit?usp=sharing"",""นครปฐม!J638"")"),0)</f>
        <v>0</v>
      </c>
      <c r="AV60" s="177">
        <f ca="1">IFERROR(__xludf.DUMMYFUNCTION("IMPORTRANGE(""https://docs.google.com/spreadsheets/d/1YTZo6WM2dQ6Ix6FSdnL5P7uVnVKu40sxZu975tgG10E/edit?usp=sharing"",""นครปฐม!J639"")"),0)</f>
        <v>0</v>
      </c>
      <c r="AW60" s="177">
        <f ca="1">IFERROR(__xludf.DUMMYFUNCTION("IMPORTRANGE(""https://docs.google.com/spreadsheets/d/1YTZo6WM2dQ6Ix6FSdnL5P7uVnVKu40sxZu975tgG10E/edit?usp=sharing"",""นครปฐม!J640"")"),0)</f>
        <v>0</v>
      </c>
    </row>
    <row r="61" spans="1:49" ht="19.5" x14ac:dyDescent="0.3">
      <c r="A61" s="89">
        <v>9</v>
      </c>
      <c r="B61" s="90" t="s">
        <v>87</v>
      </c>
      <c r="C61" s="174">
        <f t="shared" si="32"/>
        <v>0</v>
      </c>
      <c r="D61" s="175">
        <f t="shared" si="72"/>
        <v>0</v>
      </c>
      <c r="E61" s="403">
        <v>0</v>
      </c>
      <c r="F61" s="403">
        <v>0</v>
      </c>
      <c r="G61" s="403">
        <v>0</v>
      </c>
      <c r="H61" s="403">
        <v>0</v>
      </c>
      <c r="I61" s="403">
        <v>0</v>
      </c>
      <c r="J61" s="176">
        <f t="shared" si="34"/>
        <v>0</v>
      </c>
      <c r="K61" s="179">
        <f t="shared" si="35"/>
        <v>0</v>
      </c>
      <c r="L61" s="403">
        <v>0</v>
      </c>
      <c r="M61" s="87">
        <f t="shared" si="36"/>
        <v>0</v>
      </c>
      <c r="N61" s="87">
        <f t="shared" si="37"/>
        <v>0</v>
      </c>
      <c r="O61" s="403">
        <v>0</v>
      </c>
      <c r="P61" s="86">
        <f t="shared" si="38"/>
        <v>0</v>
      </c>
      <c r="Q61" s="87">
        <f t="shared" si="39"/>
        <v>0</v>
      </c>
      <c r="R61" s="87">
        <f ca="1">IFERROR(__xludf.DUMMYFUNCTION("IMPORTRANGE(""https://docs.google.com/spreadsheets/d/1OYoGg4WDg5RIzwGeB10padOxJF9E_Vljuvvct_M7RDo/edit?usp=sharing"",""ปทุมธานี!Q616"")"),12275)</f>
        <v>12275</v>
      </c>
      <c r="S61" s="87">
        <f ca="1">IFERROR(__xludf.DUMMYFUNCTION("IMPORTRANGE(""https://docs.google.com/spreadsheets/d/1OYoGg4WDg5RIzwGeB10padOxJF9E_Vljuvvct_M7RDo/edit?usp=sharing"",""ปทุมธานี!R616"")"),0)</f>
        <v>0</v>
      </c>
      <c r="T61" s="87">
        <f ca="1">IFERROR(__xludf.DUMMYFUNCTION("IMPORTRANGE(""https://docs.google.com/spreadsheets/d/1OYoGg4WDg5RIzwGeB10padOxJF9E_Vljuvvct_M7RDo/edit?usp=sharing"",""ปทุมธานี!S616"")"),2940)</f>
        <v>2940</v>
      </c>
      <c r="U61" s="87">
        <f t="shared" ca="1" si="41"/>
        <v>23.951120162932789</v>
      </c>
      <c r="V61" s="87">
        <f t="shared" ca="1" si="42"/>
        <v>0</v>
      </c>
      <c r="W61" s="353">
        <f ca="1">IFERROR(__xludf.DUMMYFUNCTION("IMPORTRANGE(""https://docs.google.com/spreadsheets/d/1OYoGg4WDg5RIzwGeB10padOxJF9E_Vljuvvct_M7RDo/edit?usp=sharing"",""ปทุมธานี!I626"")"),100)</f>
        <v>100</v>
      </c>
      <c r="X61" s="177">
        <f ca="1">IFERROR(__xludf.DUMMYFUNCTION("IMPORTRANGE(""https://docs.google.com/spreadsheets/d/1OYoGg4WDg5RIzwGeB10padOxJF9E_Vljuvvct_M7RDo/edit?usp=sharing"",""ปทุมธานี!J626"")"),0)</f>
        <v>0</v>
      </c>
      <c r="Y61" s="354">
        <f t="shared" ca="1" si="44"/>
        <v>0</v>
      </c>
      <c r="Z61" s="177">
        <f ca="1">IFERROR(__xludf.DUMMYFUNCTION("IMPORTRANGE(""https://docs.google.com/spreadsheets/d/1OYoGg4WDg5RIzwGeB10padOxJF9E_Vljuvvct_M7RDo/edit?usp=sharing"",""ปทุมธานี!I627"")"),1)</f>
        <v>1</v>
      </c>
      <c r="AA61" s="177">
        <f ca="1">IFERROR(__xludf.DUMMYFUNCTION("IMPORTRANGE(""https://docs.google.com/spreadsheets/d/1OYoGg4WDg5RIzwGeB10padOxJF9E_Vljuvvct_M7RDo/edit?usp=sharing"",""ปทุมธานี!J627"")"),0)</f>
        <v>0</v>
      </c>
      <c r="AB61" s="354">
        <f t="shared" ca="1" si="46"/>
        <v>0</v>
      </c>
      <c r="AC61" s="177">
        <f ca="1">IFERROR(__xludf.DUMMYFUNCTION("IMPORTRANGE(""https://docs.google.com/spreadsheets/d/1OYoGg4WDg5RIzwGeB10padOxJF9E_Vljuvvct_M7RDo/edit?usp=sharing"",""ปทุมธานี!I628"")"),1)</f>
        <v>1</v>
      </c>
      <c r="AD61" s="177">
        <f ca="1">IFERROR(__xludf.DUMMYFUNCTION("IMPORTRANGE(""https://docs.google.com/spreadsheets/d/1OYoGg4WDg5RIzwGeB10padOxJF9E_Vljuvvct_M7RDo/edit?usp=sharing"",""ปทุมธานี!J628"")"),0)</f>
        <v>0</v>
      </c>
      <c r="AE61" s="354">
        <f t="shared" ca="1" si="48"/>
        <v>0</v>
      </c>
      <c r="AF61" s="177">
        <f ca="1">IFERROR(__xludf.DUMMYFUNCTION("IMPORTRANGE(""https://docs.google.com/spreadsheets/d/1OYoGg4WDg5RIzwGeB10padOxJF9E_Vljuvvct_M7RDo/edit?usp=sharing"",""ปทุมธานี!J629"")"),0)</f>
        <v>0</v>
      </c>
      <c r="AG61" s="354">
        <f t="shared" ca="1" si="56"/>
        <v>0</v>
      </c>
      <c r="AH61" s="177">
        <f ca="1">IFERROR(__xludf.DUMMYFUNCTION("IMPORTRANGE(""https://docs.google.com/spreadsheets/d/1OYoGg4WDg5RIzwGeB10padOxJF9E_Vljuvvct_M7RDo/edit?usp=sharing"",""ปทุมธานี!J630"")"),0)</f>
        <v>0</v>
      </c>
      <c r="AI61" s="354">
        <f t="shared" ca="1" si="49"/>
        <v>0</v>
      </c>
      <c r="AJ61" s="354">
        <f ca="1">IFERROR(__xludf.DUMMYFUNCTION("IMPORTRANGE(""https://docs.google.com/spreadsheets/d/1OYoGg4WDg5RIzwGeB10padOxJF9E_Vljuvvct_M7RDo/edit?usp=sharing"",""ปทุมธานี!J631"")"),0)</f>
        <v>0</v>
      </c>
      <c r="AK61" s="354">
        <f t="shared" ca="1" si="50"/>
        <v>0</v>
      </c>
      <c r="AL61" s="354">
        <f ca="1">IFERROR(__xludf.DUMMYFUNCTION("IMPORTRANGE(""https://docs.google.com/spreadsheets/d/1OYoGg4WDg5RIzwGeB10padOxJF9E_Vljuvvct_M7RDo/edit?usp=sharing"",""ปทุมธานี!J632"")"),0)</f>
        <v>0</v>
      </c>
      <c r="AM61" s="354">
        <f t="shared" ca="1" si="51"/>
        <v>0</v>
      </c>
      <c r="AN61" s="354">
        <f ca="1">IFERROR(__xludf.DUMMYFUNCTION("IMPORTRANGE(""https://docs.google.com/spreadsheets/d/1OYoGg4WDg5RIzwGeB10padOxJF9E_Vljuvvct_M7RDo/edit?usp=sharing"",""ปทุมธานี!J633"")"),0)</f>
        <v>0</v>
      </c>
      <c r="AO61" s="354">
        <f ca="1">IFERROR(__xludf.DUMMYFUNCTION("IMPORTRANGE(""https://docs.google.com/spreadsheets/d/1OYoGg4WDg5RIzwGeB10padOxJF9E_Vljuvvct_M7RDo/edit?usp=sharing"",""ปทุมธานี!J634"")"),0)</f>
        <v>0</v>
      </c>
      <c r="AP61" s="177">
        <f ca="1">IFERROR(__xludf.DUMMYFUNCTION("IMPORTRANGE(""https://docs.google.com/spreadsheets/d/1OYoGg4WDg5RIzwGeB10padOxJF9E_Vljuvvct_M7RDo/edit?usp=sharing"",""ปทุมธานี!I635"")"),0)</f>
        <v>0</v>
      </c>
      <c r="AQ61" s="177">
        <f ca="1">IFERROR(__xludf.DUMMYFUNCTION("IMPORTRANGE(""https://docs.google.com/spreadsheets/d/1OYoGg4WDg5RIzwGeB10padOxJF9E_Vljuvvct_M7RDo/edit?usp=sharing"",""ปทุมธานี!J635"")"),0)</f>
        <v>0</v>
      </c>
      <c r="AR61" s="354">
        <f t="shared" ca="1" si="53"/>
        <v>0</v>
      </c>
      <c r="AS61" s="177">
        <f ca="1">IFERROR(__xludf.DUMMYFUNCTION("IMPORTRANGE(""https://docs.google.com/spreadsheets/d/1OYoGg4WDg5RIzwGeB10padOxJF9E_Vljuvvct_M7RDo/edit?usp=sharing"",""ปทุมธานี!J636"")"),0)</f>
        <v>0</v>
      </c>
      <c r="AT61" s="177">
        <f ca="1">IFERROR(__xludf.DUMMYFUNCTION("IMPORTRANGE(""https://docs.google.com/spreadsheets/d/1OYoGg4WDg5RIzwGeB10padOxJF9E_Vljuvvct_M7RDo/edit?usp=sharing"",""ปทุมธานี!J637"")"),0)</f>
        <v>0</v>
      </c>
      <c r="AU61" s="177">
        <f ca="1">IFERROR(__xludf.DUMMYFUNCTION("IMPORTRANGE(""https://docs.google.com/spreadsheets/d/1OYoGg4WDg5RIzwGeB10padOxJF9E_Vljuvvct_M7RDo/edit?usp=sharing"",""ปทุมธานี!J638"")"),0)</f>
        <v>0</v>
      </c>
      <c r="AV61" s="177">
        <f ca="1">IFERROR(__xludf.DUMMYFUNCTION("IMPORTRANGE(""https://docs.google.com/spreadsheets/d/1OYoGg4WDg5RIzwGeB10padOxJF9E_Vljuvvct_M7RDo/edit?usp=sharing"",""ปทุมธานี!J639"")"),0)</f>
        <v>0</v>
      </c>
      <c r="AW61" s="177">
        <f ca="1">IFERROR(__xludf.DUMMYFUNCTION("IMPORTRANGE(""https://docs.google.com/spreadsheets/d/1OYoGg4WDg5RIzwGeB10padOxJF9E_Vljuvvct_M7RDo/edit?usp=sharing"",""ปทุมธานี!J640"")"),0)</f>
        <v>0</v>
      </c>
    </row>
    <row r="62" spans="1:49" ht="19.5" x14ac:dyDescent="0.3">
      <c r="A62" s="89">
        <v>10</v>
      </c>
      <c r="B62" s="90" t="s">
        <v>88</v>
      </c>
      <c r="C62" s="174">
        <f t="shared" si="32"/>
        <v>0</v>
      </c>
      <c r="D62" s="175">
        <f t="shared" si="72"/>
        <v>0</v>
      </c>
      <c r="E62" s="403">
        <v>0</v>
      </c>
      <c r="F62" s="403">
        <v>0</v>
      </c>
      <c r="G62" s="403">
        <v>0</v>
      </c>
      <c r="H62" s="403">
        <v>0</v>
      </c>
      <c r="I62" s="403">
        <v>0</v>
      </c>
      <c r="J62" s="176">
        <f t="shared" si="34"/>
        <v>0</v>
      </c>
      <c r="K62" s="179">
        <f t="shared" si="35"/>
        <v>0</v>
      </c>
      <c r="L62" s="403">
        <v>0</v>
      </c>
      <c r="M62" s="87">
        <f t="shared" si="36"/>
        <v>0</v>
      </c>
      <c r="N62" s="87">
        <f t="shared" si="37"/>
        <v>0</v>
      </c>
      <c r="O62" s="403">
        <v>0</v>
      </c>
      <c r="P62" s="86">
        <f t="shared" si="38"/>
        <v>0</v>
      </c>
      <c r="Q62" s="87">
        <f t="shared" si="39"/>
        <v>0</v>
      </c>
      <c r="R62" s="87">
        <f ca="1">IFERROR(__xludf.DUMMYFUNCTION("IMPORTRANGE(""https://docs.google.com/spreadsheets/d/1GbCIE4D4wk9FUozzqk7SxfDMxDVBwVmI5zcaVUSzKAc/edit?usp=sharing"",""ประจวบคีรีขันธ์!Q616"")"),1800)</f>
        <v>1800</v>
      </c>
      <c r="S62" s="87">
        <f ca="1">IFERROR(__xludf.DUMMYFUNCTION("IMPORTRANGE(""https://docs.google.com/spreadsheets/d/1GbCIE4D4wk9FUozzqk7SxfDMxDVBwVmI5zcaVUSzKAc/edit?usp=sharing"",""ประจวบคีรีขันธ์!R616"")"),0)</f>
        <v>0</v>
      </c>
      <c r="T62" s="87">
        <f ca="1">IFERROR(__xludf.DUMMYFUNCTION("IMPORTRANGE(""https://docs.google.com/spreadsheets/d/1GbCIE4D4wk9FUozzqk7SxfDMxDVBwVmI5zcaVUSzKAc/edit?usp=sharing"",""ประจวบคีรีขันธ์!S616"")"),0)</f>
        <v>0</v>
      </c>
      <c r="U62" s="87">
        <f t="shared" ca="1" si="41"/>
        <v>0</v>
      </c>
      <c r="V62" s="87">
        <f t="shared" ca="1" si="42"/>
        <v>0</v>
      </c>
      <c r="W62" s="353">
        <f ca="1">IFERROR(__xludf.DUMMYFUNCTION("IMPORTRANGE(""https://docs.google.com/spreadsheets/d/1GbCIE4D4wk9FUozzqk7SxfDMxDVBwVmI5zcaVUSzKAc/edit?usp=sharing"",""ประจวบคีรีขันธ์!I626"")"),0)</f>
        <v>0</v>
      </c>
      <c r="X62" s="177">
        <f ca="1">IFERROR(__xludf.DUMMYFUNCTION("IMPORTRANGE(""https://docs.google.com/spreadsheets/d/1GbCIE4D4wk9FUozzqk7SxfDMxDVBwVmI5zcaVUSzKAc/edit?usp=sharing"",""ประจวบคีรีขันธ์!J626"")"),0)</f>
        <v>0</v>
      </c>
      <c r="Y62" s="354">
        <f t="shared" ca="1" si="44"/>
        <v>0</v>
      </c>
      <c r="Z62" s="177">
        <f ca="1">IFERROR(__xludf.DUMMYFUNCTION("IMPORTRANGE(""https://docs.google.com/spreadsheets/d/1GbCIE4D4wk9FUozzqk7SxfDMxDVBwVmI5zcaVUSzKAc/edit?usp=sharing"",""ประจวบคีรีขันธ์!I627"")"),1)</f>
        <v>1</v>
      </c>
      <c r="AA62" s="177">
        <f ca="1">IFERROR(__xludf.DUMMYFUNCTION("IMPORTRANGE(""https://docs.google.com/spreadsheets/d/1GbCIE4D4wk9FUozzqk7SxfDMxDVBwVmI5zcaVUSzKAc/edit?usp=sharing"",""ประจวบคีรีขันธ์!J627"")"),0)</f>
        <v>0</v>
      </c>
      <c r="AB62" s="354">
        <f t="shared" ca="1" si="46"/>
        <v>0</v>
      </c>
      <c r="AC62" s="177">
        <f ca="1">IFERROR(__xludf.DUMMYFUNCTION("IMPORTRANGE(""https://docs.google.com/spreadsheets/d/1GbCIE4D4wk9FUozzqk7SxfDMxDVBwVmI5zcaVUSzKAc/edit?usp=sharing"",""ประจวบคีรีขันธ์!I628"")"),1)</f>
        <v>1</v>
      </c>
      <c r="AD62" s="177">
        <f ca="1">IFERROR(__xludf.DUMMYFUNCTION("IMPORTRANGE(""https://docs.google.com/spreadsheets/d/1GbCIE4D4wk9FUozzqk7SxfDMxDVBwVmI5zcaVUSzKAc/edit?usp=sharing"",""ประจวบคีรีขันธ์!J628"")"),0)</f>
        <v>0</v>
      </c>
      <c r="AE62" s="354">
        <f t="shared" ca="1" si="48"/>
        <v>0</v>
      </c>
      <c r="AF62" s="177">
        <f ca="1">IFERROR(__xludf.DUMMYFUNCTION("IMPORTRANGE(""https://docs.google.com/spreadsheets/d/1GbCIE4D4wk9FUozzqk7SxfDMxDVBwVmI5zcaVUSzKAc/edit?usp=sharing"",""ประจวบคีรีขันธ์!J629"")"),0)</f>
        <v>0</v>
      </c>
      <c r="AG62" s="354">
        <f t="shared" ca="1" si="56"/>
        <v>0</v>
      </c>
      <c r="AH62" s="177">
        <f ca="1">IFERROR(__xludf.DUMMYFUNCTION("IMPORTRANGE(""https://docs.google.com/spreadsheets/d/1GbCIE4D4wk9FUozzqk7SxfDMxDVBwVmI5zcaVUSzKAc/edit?usp=sharing"",""ประจวบคีรีขันธ์!J630"")"),0)</f>
        <v>0</v>
      </c>
      <c r="AI62" s="354">
        <f t="shared" ca="1" si="49"/>
        <v>0</v>
      </c>
      <c r="AJ62" s="354">
        <f ca="1">IFERROR(__xludf.DUMMYFUNCTION("IMPORTRANGE(""https://docs.google.com/spreadsheets/d/1GbCIE4D4wk9FUozzqk7SxfDMxDVBwVmI5zcaVUSzKAc/edit?usp=sharing"",""ประจวบคีรีขันธ์!J631"")"),0)</f>
        <v>0</v>
      </c>
      <c r="AK62" s="354">
        <f t="shared" ca="1" si="50"/>
        <v>0</v>
      </c>
      <c r="AL62" s="354">
        <f ca="1">IFERROR(__xludf.DUMMYFUNCTION("IMPORTRANGE(""https://docs.google.com/spreadsheets/d/1GbCIE4D4wk9FUozzqk7SxfDMxDVBwVmI5zcaVUSzKAc/edit?usp=sharing"",""ประจวบคีรีขันธ์!J632"")"),0)</f>
        <v>0</v>
      </c>
      <c r="AM62" s="354">
        <f t="shared" ca="1" si="51"/>
        <v>0</v>
      </c>
      <c r="AN62" s="354">
        <f ca="1">IFERROR(__xludf.DUMMYFUNCTION("IMPORTRANGE(""https://docs.google.com/spreadsheets/d/1GbCIE4D4wk9FUozzqk7SxfDMxDVBwVmI5zcaVUSzKAc/edit?usp=sharing"",""ประจวบคีรีขันธ์!J633"")"),0)</f>
        <v>0</v>
      </c>
      <c r="AO62" s="354">
        <f ca="1">IFERROR(__xludf.DUMMYFUNCTION("IMPORTRANGE(""https://docs.google.com/spreadsheets/d/1GbCIE4D4wk9FUozzqk7SxfDMxDVBwVmI5zcaVUSzKAc/edit?usp=sharing"",""ประจวบคีรีขันธ์!J634"")"),0)</f>
        <v>0</v>
      </c>
      <c r="AP62" s="177">
        <f ca="1">IFERROR(__xludf.DUMMYFUNCTION("IMPORTRANGE(""https://docs.google.com/spreadsheets/d/1GbCIE4D4wk9FUozzqk7SxfDMxDVBwVmI5zcaVUSzKAc/edit?usp=sharing"",""ประจวบคีรีขันธ์!I635"")"),0)</f>
        <v>0</v>
      </c>
      <c r="AQ62" s="177">
        <f ca="1">IFERROR(__xludf.DUMMYFUNCTION("IMPORTRANGE(""https://docs.google.com/spreadsheets/d/1GbCIE4D4wk9FUozzqk7SxfDMxDVBwVmI5zcaVUSzKAc/edit?usp=sharing"",""ประจวบคีรีขันธ์!J635"")"),0)</f>
        <v>0</v>
      </c>
      <c r="AR62" s="354">
        <f t="shared" ca="1" si="53"/>
        <v>0</v>
      </c>
      <c r="AS62" s="177">
        <f ca="1">IFERROR(__xludf.DUMMYFUNCTION("IMPORTRANGE(""https://docs.google.com/spreadsheets/d/1GbCIE4D4wk9FUozzqk7SxfDMxDVBwVmI5zcaVUSzKAc/edit?usp=sharing"",""ประจวบคีรีขันธ์!J636"")"),0)</f>
        <v>0</v>
      </c>
      <c r="AT62" s="177">
        <f ca="1">IFERROR(__xludf.DUMMYFUNCTION("IMPORTRANGE(""https://docs.google.com/spreadsheets/d/1GbCIE4D4wk9FUozzqk7SxfDMxDVBwVmI5zcaVUSzKAc/edit?usp=sharing"",""ประจวบคีรีขันธ์!J637"")"),0)</f>
        <v>0</v>
      </c>
      <c r="AU62" s="177">
        <f ca="1">IFERROR(__xludf.DUMMYFUNCTION("IMPORTRANGE(""https://docs.google.com/spreadsheets/d/1GbCIE4D4wk9FUozzqk7SxfDMxDVBwVmI5zcaVUSzKAc/edit?usp=sharing"",""ประจวบคีรีขันธ์!J638"")"),0)</f>
        <v>0</v>
      </c>
      <c r="AV62" s="177">
        <f ca="1">IFERROR(__xludf.DUMMYFUNCTION("IMPORTRANGE(""https://docs.google.com/spreadsheets/d/1GbCIE4D4wk9FUozzqk7SxfDMxDVBwVmI5zcaVUSzKAc/edit?usp=sharing"",""ประจวบคีรีขันธ์!J639"")"),0)</f>
        <v>0</v>
      </c>
      <c r="AW62" s="177">
        <f ca="1">IFERROR(__xludf.DUMMYFUNCTION("IMPORTRANGE(""https://docs.google.com/spreadsheets/d/1GbCIE4D4wk9FUozzqk7SxfDMxDVBwVmI5zcaVUSzKAc/edit?usp=sharing"",""ประจวบคีรีขันธ์!J640"")"),0)</f>
        <v>0</v>
      </c>
    </row>
    <row r="63" spans="1:49" ht="19.5" x14ac:dyDescent="0.3">
      <c r="A63" s="89">
        <v>11</v>
      </c>
      <c r="B63" s="90" t="s">
        <v>89</v>
      </c>
      <c r="C63" s="174">
        <f t="shared" si="32"/>
        <v>0</v>
      </c>
      <c r="D63" s="175">
        <f t="shared" si="72"/>
        <v>0</v>
      </c>
      <c r="E63" s="403">
        <v>0</v>
      </c>
      <c r="F63" s="403">
        <v>0</v>
      </c>
      <c r="G63" s="403">
        <v>0</v>
      </c>
      <c r="H63" s="403">
        <v>0</v>
      </c>
      <c r="I63" s="403">
        <v>0</v>
      </c>
      <c r="J63" s="176">
        <f t="shared" si="34"/>
        <v>0</v>
      </c>
      <c r="K63" s="179">
        <f t="shared" si="35"/>
        <v>0</v>
      </c>
      <c r="L63" s="403">
        <v>0</v>
      </c>
      <c r="M63" s="87">
        <f t="shared" si="36"/>
        <v>0</v>
      </c>
      <c r="N63" s="87">
        <f t="shared" si="37"/>
        <v>0</v>
      </c>
      <c r="O63" s="403">
        <v>0</v>
      </c>
      <c r="P63" s="86">
        <f t="shared" si="38"/>
        <v>0</v>
      </c>
      <c r="Q63" s="87">
        <f t="shared" si="39"/>
        <v>0</v>
      </c>
      <c r="R63" s="87">
        <f ca="1">IFERROR(__xludf.DUMMYFUNCTION("IMPORTRANGE(""https://docs.google.com/spreadsheets/d/1vVf6wykvW_lAyu7Yo9L4hUTqHqIeP_qcVuxCtosJEbg/edit?usp=sharing"",""ปราจีนบุรี!Q616"")"),6675)</f>
        <v>6675</v>
      </c>
      <c r="S63" s="87">
        <f ca="1">IFERROR(__xludf.DUMMYFUNCTION("IMPORTRANGE(""https://docs.google.com/spreadsheets/d/1vVf6wykvW_lAyu7Yo9L4hUTqHqIeP_qcVuxCtosJEbg/edit?usp=sharing"",""ปราจีนบุรี!R616"")"),0)</f>
        <v>0</v>
      </c>
      <c r="T63" s="87">
        <f ca="1">IFERROR(__xludf.DUMMYFUNCTION("IMPORTRANGE(""https://docs.google.com/spreadsheets/d/1vVf6wykvW_lAyu7Yo9L4hUTqHqIeP_qcVuxCtosJEbg/edit?usp=sharing"",""ปราจีนบุรี!S616"")"),0)</f>
        <v>0</v>
      </c>
      <c r="U63" s="87">
        <f t="shared" ca="1" si="41"/>
        <v>0</v>
      </c>
      <c r="V63" s="87">
        <f t="shared" ca="1" si="42"/>
        <v>0</v>
      </c>
      <c r="W63" s="353">
        <f ca="1">IFERROR(__xludf.DUMMYFUNCTION("IMPORTRANGE(""https://docs.google.com/spreadsheets/d/1vVf6wykvW_lAyu7Yo9L4hUTqHqIeP_qcVuxCtosJEbg/edit?usp=sharing"",""ปราจีนบุรี!I626"")"),50)</f>
        <v>50</v>
      </c>
      <c r="X63" s="177">
        <f ca="1">IFERROR(__xludf.DUMMYFUNCTION("IMPORTRANGE(""https://docs.google.com/spreadsheets/d/1vVf6wykvW_lAyu7Yo9L4hUTqHqIeP_qcVuxCtosJEbg/edit?usp=sharing"",""ปราจีนบุรี!J626"")"),0)</f>
        <v>0</v>
      </c>
      <c r="Y63" s="354">
        <f t="shared" ca="1" si="44"/>
        <v>0</v>
      </c>
      <c r="Z63" s="177">
        <f ca="1">IFERROR(__xludf.DUMMYFUNCTION("IMPORTRANGE(""https://docs.google.com/spreadsheets/d/1vVf6wykvW_lAyu7Yo9L4hUTqHqIeP_qcVuxCtosJEbg/edit?usp=sharing"",""ปราจีนบุรี!I627"")"),0)</f>
        <v>0</v>
      </c>
      <c r="AA63" s="177">
        <f ca="1">IFERROR(__xludf.DUMMYFUNCTION("IMPORTRANGE(""https://docs.google.com/spreadsheets/d/1vVf6wykvW_lAyu7Yo9L4hUTqHqIeP_qcVuxCtosJEbg/edit?usp=sharing"",""ปราจีนบุรี!J627"")"),0)</f>
        <v>0</v>
      </c>
      <c r="AB63" s="354">
        <f t="shared" ca="1" si="46"/>
        <v>0</v>
      </c>
      <c r="AC63" s="177">
        <f ca="1">IFERROR(__xludf.DUMMYFUNCTION("IMPORTRANGE(""https://docs.google.com/spreadsheets/d/1vVf6wykvW_lAyu7Yo9L4hUTqHqIeP_qcVuxCtosJEbg/edit?usp=sharing"",""ปราจีนบุรี!I628"")"),0)</f>
        <v>0</v>
      </c>
      <c r="AD63" s="177">
        <f ca="1">IFERROR(__xludf.DUMMYFUNCTION("IMPORTRANGE(""https://docs.google.com/spreadsheets/d/1vVf6wykvW_lAyu7Yo9L4hUTqHqIeP_qcVuxCtosJEbg/edit?usp=sharing"",""ปราจีนบุรี!J628"")"),0)</f>
        <v>0</v>
      </c>
      <c r="AE63" s="354">
        <f t="shared" ca="1" si="48"/>
        <v>0</v>
      </c>
      <c r="AF63" s="177">
        <f ca="1">IFERROR(__xludf.DUMMYFUNCTION("IMPORTRANGE(""https://docs.google.com/spreadsheets/d/1vVf6wykvW_lAyu7Yo9L4hUTqHqIeP_qcVuxCtosJEbg/edit?usp=sharing"",""ปราจีนบุรี!J629"")"),0)</f>
        <v>0</v>
      </c>
      <c r="AG63" s="354">
        <f t="shared" ca="1" si="56"/>
        <v>0</v>
      </c>
      <c r="AH63" s="177">
        <f ca="1">IFERROR(__xludf.DUMMYFUNCTION("IMPORTRANGE(""https://docs.google.com/spreadsheets/d/1vVf6wykvW_lAyu7Yo9L4hUTqHqIeP_qcVuxCtosJEbg/edit?usp=sharing"",""ปราจีนบุรี!J630"")"),0)</f>
        <v>0</v>
      </c>
      <c r="AI63" s="354">
        <f t="shared" ca="1" si="49"/>
        <v>0</v>
      </c>
      <c r="AJ63" s="354">
        <f ca="1">IFERROR(__xludf.DUMMYFUNCTION("IMPORTRANGE(""https://docs.google.com/spreadsheets/d/1vVf6wykvW_lAyu7Yo9L4hUTqHqIeP_qcVuxCtosJEbg/edit?usp=sharing"",""ปราจีนบุรี!J631"")"),0)</f>
        <v>0</v>
      </c>
      <c r="AK63" s="354">
        <f t="shared" ca="1" si="50"/>
        <v>0</v>
      </c>
      <c r="AL63" s="354">
        <f ca="1">IFERROR(__xludf.DUMMYFUNCTION("IMPORTRANGE(""https://docs.google.com/spreadsheets/d/1vVf6wykvW_lAyu7Yo9L4hUTqHqIeP_qcVuxCtosJEbg/edit?usp=sharing"",""ปราจีนบุรี!J632"")"),0)</f>
        <v>0</v>
      </c>
      <c r="AM63" s="354">
        <f t="shared" ca="1" si="51"/>
        <v>0</v>
      </c>
      <c r="AN63" s="354">
        <f ca="1">IFERROR(__xludf.DUMMYFUNCTION("IMPORTRANGE(""https://docs.google.com/spreadsheets/d/1vVf6wykvW_lAyu7Yo9L4hUTqHqIeP_qcVuxCtosJEbg/edit?usp=sharing"",""ปราจีนบุรี!J633"")"),0)</f>
        <v>0</v>
      </c>
      <c r="AO63" s="354">
        <f ca="1">IFERROR(__xludf.DUMMYFUNCTION("IMPORTRANGE(""https://docs.google.com/spreadsheets/d/1vVf6wykvW_lAyu7Yo9L4hUTqHqIeP_qcVuxCtosJEbg/edit?usp=sharing"",""ปราจีนบุรี!J634"")"),0)</f>
        <v>0</v>
      </c>
      <c r="AP63" s="177">
        <f ca="1">IFERROR(__xludf.DUMMYFUNCTION("IMPORTRANGE(""https://docs.google.com/spreadsheets/d/1vVf6wykvW_lAyu7Yo9L4hUTqHqIeP_qcVuxCtosJEbg/edit?usp=sharing"",""ปราจีนบุรี!I635"")"),0)</f>
        <v>0</v>
      </c>
      <c r="AQ63" s="177">
        <f ca="1">IFERROR(__xludf.DUMMYFUNCTION("IMPORTRANGE(""https://docs.google.com/spreadsheets/d/1vVf6wykvW_lAyu7Yo9L4hUTqHqIeP_qcVuxCtosJEbg/edit?usp=sharing"",""ปราจีนบุรี!J635"")"),0)</f>
        <v>0</v>
      </c>
      <c r="AR63" s="354">
        <f t="shared" ca="1" si="53"/>
        <v>0</v>
      </c>
      <c r="AS63" s="177">
        <f ca="1">IFERROR(__xludf.DUMMYFUNCTION("IMPORTRANGE(""https://docs.google.com/spreadsheets/d/1vVf6wykvW_lAyu7Yo9L4hUTqHqIeP_qcVuxCtosJEbg/edit?usp=sharing"",""ปราจีนบุรี!J636"")"),0)</f>
        <v>0</v>
      </c>
      <c r="AT63" s="177">
        <f ca="1">IFERROR(__xludf.DUMMYFUNCTION("IMPORTRANGE(""https://docs.google.com/spreadsheets/d/1vVf6wykvW_lAyu7Yo9L4hUTqHqIeP_qcVuxCtosJEbg/edit?usp=sharing"",""ปราจีนบุรี!J637"")"),0)</f>
        <v>0</v>
      </c>
      <c r="AU63" s="177">
        <f ca="1">IFERROR(__xludf.DUMMYFUNCTION("IMPORTRANGE(""https://docs.google.com/spreadsheets/d/1vVf6wykvW_lAyu7Yo9L4hUTqHqIeP_qcVuxCtosJEbg/edit?usp=sharing"",""ปราจีนบุรี!J638"")"),0)</f>
        <v>0</v>
      </c>
      <c r="AV63" s="177">
        <f ca="1">IFERROR(__xludf.DUMMYFUNCTION("IMPORTRANGE(""https://docs.google.com/spreadsheets/d/1vVf6wykvW_lAyu7Yo9L4hUTqHqIeP_qcVuxCtosJEbg/edit?usp=sharing"",""ปราจีนบุรี!J639"")"),0)</f>
        <v>0</v>
      </c>
      <c r="AW63" s="177">
        <f ca="1">IFERROR(__xludf.DUMMYFUNCTION("IMPORTRANGE(""https://docs.google.com/spreadsheets/d/1vVf6wykvW_lAyu7Yo9L4hUTqHqIeP_qcVuxCtosJEbg/edit?usp=sharing"",""ปราจีนบุรี!J640"")"),0)</f>
        <v>0</v>
      </c>
    </row>
    <row r="64" spans="1:49" ht="19.5" x14ac:dyDescent="0.3">
      <c r="A64" s="89">
        <v>12</v>
      </c>
      <c r="B64" s="90" t="s">
        <v>90</v>
      </c>
      <c r="C64" s="174">
        <f t="shared" si="32"/>
        <v>0</v>
      </c>
      <c r="D64" s="175">
        <f t="shared" si="72"/>
        <v>0</v>
      </c>
      <c r="E64" s="403">
        <v>0</v>
      </c>
      <c r="F64" s="403">
        <v>0</v>
      </c>
      <c r="G64" s="403">
        <v>0</v>
      </c>
      <c r="H64" s="403">
        <v>0</v>
      </c>
      <c r="I64" s="403">
        <v>0</v>
      </c>
      <c r="J64" s="176">
        <f t="shared" si="34"/>
        <v>0</v>
      </c>
      <c r="K64" s="179">
        <f t="shared" si="35"/>
        <v>0</v>
      </c>
      <c r="L64" s="403">
        <v>0</v>
      </c>
      <c r="M64" s="87">
        <f t="shared" si="36"/>
        <v>0</v>
      </c>
      <c r="N64" s="87">
        <f t="shared" si="37"/>
        <v>0</v>
      </c>
      <c r="O64" s="403">
        <v>0</v>
      </c>
      <c r="P64" s="86">
        <f t="shared" si="38"/>
        <v>0</v>
      </c>
      <c r="Q64" s="87">
        <f t="shared" si="39"/>
        <v>0</v>
      </c>
      <c r="R64" s="87">
        <f ca="1">IFERROR(__xludf.DUMMYFUNCTION("IMPORTRANGE(""https://docs.google.com/spreadsheets/d/1BIDqLLg5jk3v59G8NlR8rk5xfQDKne0sAvZHSj7TI6I/edit?usp=sharing"",""พระนครศรีอยุธยา!Q616"")"),21900)</f>
        <v>21900</v>
      </c>
      <c r="S64" s="87">
        <f ca="1">IFERROR(__xludf.DUMMYFUNCTION("IMPORTRANGE(""https://docs.google.com/spreadsheets/d/1BIDqLLg5jk3v59G8NlR8rk5xfQDKne0sAvZHSj7TI6I/edit?usp=sharing"",""พระนครศรีอยุธยา!R616"")"),0)</f>
        <v>0</v>
      </c>
      <c r="T64" s="87">
        <f ca="1">IFERROR(__xludf.DUMMYFUNCTION("IMPORTRANGE(""https://docs.google.com/spreadsheets/d/1BIDqLLg5jk3v59G8NlR8rk5xfQDKne0sAvZHSj7TI6I/edit?usp=sharing"",""พระนครศรีอยุธยา!S616"")"),0)</f>
        <v>0</v>
      </c>
      <c r="U64" s="87">
        <f t="shared" ca="1" si="41"/>
        <v>0</v>
      </c>
      <c r="V64" s="87">
        <f t="shared" ca="1" si="42"/>
        <v>0</v>
      </c>
      <c r="W64" s="353">
        <f ca="1">IFERROR(__xludf.DUMMYFUNCTION("IMPORTRANGE(""https://docs.google.com/spreadsheets/d/1BIDqLLg5jk3v59G8NlR8rk5xfQDKne0sAvZHSj7TI6I/edit?usp=sharing"",""พระนครศรีอยุธยา!I626"")"),200)</f>
        <v>200</v>
      </c>
      <c r="X64" s="177">
        <f ca="1">IFERROR(__xludf.DUMMYFUNCTION("IMPORTRANGE(""https://docs.google.com/spreadsheets/d/1BIDqLLg5jk3v59G8NlR8rk5xfQDKne0sAvZHSj7TI6I/edit?usp=sharing"",""พระนครศรีอยุธยา!J626"")"),0)</f>
        <v>0</v>
      </c>
      <c r="Y64" s="354">
        <f t="shared" ca="1" si="44"/>
        <v>0</v>
      </c>
      <c r="Z64" s="177">
        <f ca="1">IFERROR(__xludf.DUMMYFUNCTION("IMPORTRANGE(""https://docs.google.com/spreadsheets/d/1BIDqLLg5jk3v59G8NlR8rk5xfQDKne0sAvZHSj7TI6I/edit?usp=sharing"",""พระนครศรีอยุธยา!I627"")"),0)</f>
        <v>0</v>
      </c>
      <c r="AA64" s="177">
        <f ca="1">IFERROR(__xludf.DUMMYFUNCTION("IMPORTRANGE(""https://docs.google.com/spreadsheets/d/1BIDqLLg5jk3v59G8NlR8rk5xfQDKne0sAvZHSj7TI6I/edit?usp=sharing"",""พระนครศรีอยุธยา!J627"")"),0)</f>
        <v>0</v>
      </c>
      <c r="AB64" s="354">
        <f t="shared" ca="1" si="46"/>
        <v>0</v>
      </c>
      <c r="AC64" s="177">
        <f ca="1">IFERROR(__xludf.DUMMYFUNCTION("IMPORTRANGE(""https://docs.google.com/spreadsheets/d/1BIDqLLg5jk3v59G8NlR8rk5xfQDKne0sAvZHSj7TI6I/edit?usp=sharing"",""พระนครศรีอยุธยา!I628"")"),0)</f>
        <v>0</v>
      </c>
      <c r="AD64" s="177">
        <f ca="1">IFERROR(__xludf.DUMMYFUNCTION("IMPORTRANGE(""https://docs.google.com/spreadsheets/d/1BIDqLLg5jk3v59G8NlR8rk5xfQDKne0sAvZHSj7TI6I/edit?usp=sharing"",""พระนครศรีอยุธยา!J628"")"),0)</f>
        <v>0</v>
      </c>
      <c r="AE64" s="354">
        <f t="shared" ca="1" si="48"/>
        <v>0</v>
      </c>
      <c r="AF64" s="177">
        <f ca="1">IFERROR(__xludf.DUMMYFUNCTION("IMPORTRANGE(""https://docs.google.com/spreadsheets/d/1BIDqLLg5jk3v59G8NlR8rk5xfQDKne0sAvZHSj7TI6I/edit?usp=sharing"",""พระนครศรีอยุธยา!J629"")"),0)</f>
        <v>0</v>
      </c>
      <c r="AG64" s="354">
        <f t="shared" ca="1" si="56"/>
        <v>0</v>
      </c>
      <c r="AH64" s="177">
        <f ca="1">IFERROR(__xludf.DUMMYFUNCTION("IMPORTRANGE(""https://docs.google.com/spreadsheets/d/1BIDqLLg5jk3v59G8NlR8rk5xfQDKne0sAvZHSj7TI6I/edit?usp=sharing"",""พระนครศรีอยุธยา!J630"")"),0)</f>
        <v>0</v>
      </c>
      <c r="AI64" s="354">
        <f t="shared" ca="1" si="49"/>
        <v>0</v>
      </c>
      <c r="AJ64" s="354">
        <f ca="1">IFERROR(__xludf.DUMMYFUNCTION("IMPORTRANGE(""https://docs.google.com/spreadsheets/d/1BIDqLLg5jk3v59G8NlR8rk5xfQDKne0sAvZHSj7TI6I/edit?usp=sharing"",""พระนครศรีอยุธยา!J631"")"),0)</f>
        <v>0</v>
      </c>
      <c r="AK64" s="354">
        <f t="shared" ca="1" si="50"/>
        <v>0</v>
      </c>
      <c r="AL64" s="354">
        <f ca="1">IFERROR(__xludf.DUMMYFUNCTION("IMPORTRANGE(""https://docs.google.com/spreadsheets/d/1BIDqLLg5jk3v59G8NlR8rk5xfQDKne0sAvZHSj7TI6I/edit?usp=sharing"",""พระนครศรีอยุธยา!J632"")"),0)</f>
        <v>0</v>
      </c>
      <c r="AM64" s="354">
        <f t="shared" ca="1" si="51"/>
        <v>0</v>
      </c>
      <c r="AN64" s="354">
        <f ca="1">IFERROR(__xludf.DUMMYFUNCTION("IMPORTRANGE(""https://docs.google.com/spreadsheets/d/1BIDqLLg5jk3v59G8NlR8rk5xfQDKne0sAvZHSj7TI6I/edit?usp=sharing"",""พระนครศรีอยุธยา!J633"")"),0)</f>
        <v>0</v>
      </c>
      <c r="AO64" s="354">
        <f ca="1">IFERROR(__xludf.DUMMYFUNCTION("IMPORTRANGE(""https://docs.google.com/spreadsheets/d/1BIDqLLg5jk3v59G8NlR8rk5xfQDKne0sAvZHSj7TI6I/edit?usp=sharing"",""พระนครศรีอยุธยา!J634"")"),0)</f>
        <v>0</v>
      </c>
      <c r="AP64" s="177">
        <f ca="1">IFERROR(__xludf.DUMMYFUNCTION("IMPORTRANGE(""https://docs.google.com/spreadsheets/d/1BIDqLLg5jk3v59G8NlR8rk5xfQDKne0sAvZHSj7TI6I/edit?usp=sharing"",""พระนครศรีอยุธยา!I635"")"),0)</f>
        <v>0</v>
      </c>
      <c r="AQ64" s="177">
        <f ca="1">IFERROR(__xludf.DUMMYFUNCTION("IMPORTRANGE(""https://docs.google.com/spreadsheets/d/1BIDqLLg5jk3v59G8NlR8rk5xfQDKne0sAvZHSj7TI6I/edit?usp=sharing"",""พระนครศรีอยุธยา!J635"")"),0)</f>
        <v>0</v>
      </c>
      <c r="AR64" s="354">
        <f t="shared" ca="1" si="53"/>
        <v>0</v>
      </c>
      <c r="AS64" s="177">
        <f ca="1">IFERROR(__xludf.DUMMYFUNCTION("IMPORTRANGE(""https://docs.google.com/spreadsheets/d/1BIDqLLg5jk3v59G8NlR8rk5xfQDKne0sAvZHSj7TI6I/edit?usp=sharing"",""พระนครศรีอยุธยา!J636"")"),0)</f>
        <v>0</v>
      </c>
      <c r="AT64" s="177">
        <f ca="1">IFERROR(__xludf.DUMMYFUNCTION("IMPORTRANGE(""https://docs.google.com/spreadsheets/d/1BIDqLLg5jk3v59G8NlR8rk5xfQDKne0sAvZHSj7TI6I/edit?usp=sharing"",""พระนครศรีอยุธยา!J637"")"),0)</f>
        <v>0</v>
      </c>
      <c r="AU64" s="177">
        <f ca="1">IFERROR(__xludf.DUMMYFUNCTION("IMPORTRANGE(""https://docs.google.com/spreadsheets/d/1BIDqLLg5jk3v59G8NlR8rk5xfQDKne0sAvZHSj7TI6I/edit?usp=sharing"",""พระนครศรีอยุธยา!J638"")"),0)</f>
        <v>0</v>
      </c>
      <c r="AV64" s="177">
        <f ca="1">IFERROR(__xludf.DUMMYFUNCTION("IMPORTRANGE(""https://docs.google.com/spreadsheets/d/1BIDqLLg5jk3v59G8NlR8rk5xfQDKne0sAvZHSj7TI6I/edit?usp=sharing"",""พระนครศรีอยุธยา!J639"")"),0)</f>
        <v>0</v>
      </c>
      <c r="AW64" s="177">
        <f ca="1">IFERROR(__xludf.DUMMYFUNCTION("IMPORTRANGE(""https://docs.google.com/spreadsheets/d/1BIDqLLg5jk3v59G8NlR8rk5xfQDKne0sAvZHSj7TI6I/edit?usp=sharing"",""พระนครศรีอยุธยา!J640"")"),0)</f>
        <v>0</v>
      </c>
    </row>
    <row r="65" spans="1:49" ht="19.5" x14ac:dyDescent="0.3">
      <c r="A65" s="89">
        <v>13</v>
      </c>
      <c r="B65" s="90" t="s">
        <v>91</v>
      </c>
      <c r="C65" s="174">
        <f t="shared" si="32"/>
        <v>0</v>
      </c>
      <c r="D65" s="175">
        <f t="shared" si="72"/>
        <v>0</v>
      </c>
      <c r="E65" s="403">
        <v>0</v>
      </c>
      <c r="F65" s="403">
        <v>0</v>
      </c>
      <c r="G65" s="403">
        <v>0</v>
      </c>
      <c r="H65" s="403">
        <v>0</v>
      </c>
      <c r="I65" s="403">
        <v>0</v>
      </c>
      <c r="J65" s="176">
        <f t="shared" si="34"/>
        <v>0</v>
      </c>
      <c r="K65" s="179">
        <f t="shared" si="35"/>
        <v>0</v>
      </c>
      <c r="L65" s="403">
        <v>0</v>
      </c>
      <c r="M65" s="87">
        <f t="shared" si="36"/>
        <v>0</v>
      </c>
      <c r="N65" s="87">
        <f t="shared" si="37"/>
        <v>0</v>
      </c>
      <c r="O65" s="403">
        <v>0</v>
      </c>
      <c r="P65" s="86">
        <f t="shared" si="38"/>
        <v>0</v>
      </c>
      <c r="Q65" s="87">
        <f t="shared" si="39"/>
        <v>0</v>
      </c>
      <c r="R65" s="87">
        <f ca="1">IFERROR(__xludf.DUMMYFUNCTION("IMPORTRANGE(""https://docs.google.com/spreadsheets/d/1YXvxf8Yu6_rV4hTBrwMqAcAnv6DfhUxh5emyM3CJp_w/edit?usp=sharing"",""เพชรบุรี!Q616"")"),6700)</f>
        <v>6700</v>
      </c>
      <c r="S65" s="87">
        <f ca="1">IFERROR(__xludf.DUMMYFUNCTION("IMPORTRANGE(""https://docs.google.com/spreadsheets/d/1YXvxf8Yu6_rV4hTBrwMqAcAnv6DfhUxh5emyM3CJp_w/edit?usp=sharing"",""เพชรบุรี!R616"")"),0)</f>
        <v>0</v>
      </c>
      <c r="T65" s="87">
        <f ca="1">IFERROR(__xludf.DUMMYFUNCTION("IMPORTRANGE(""https://docs.google.com/spreadsheets/d/1YXvxf8Yu6_rV4hTBrwMqAcAnv6DfhUxh5emyM3CJp_w/edit?usp=sharing"",""เพชรบุรี!S616"")"),0)</f>
        <v>0</v>
      </c>
      <c r="U65" s="87">
        <f t="shared" ca="1" si="41"/>
        <v>0</v>
      </c>
      <c r="V65" s="87">
        <f t="shared" ca="1" si="42"/>
        <v>0</v>
      </c>
      <c r="W65" s="353">
        <f ca="1">IFERROR(__xludf.DUMMYFUNCTION("IMPORTRANGE(""https://docs.google.com/spreadsheets/d/1YXvxf8Yu6_rV4hTBrwMqAcAnv6DfhUxh5emyM3CJp_w/edit?usp=sharing"",""เพชรบุรี!I626"")"),50)</f>
        <v>50</v>
      </c>
      <c r="X65" s="177">
        <f ca="1">IFERROR(__xludf.DUMMYFUNCTION("IMPORTRANGE(""https://docs.google.com/spreadsheets/d/1YXvxf8Yu6_rV4hTBrwMqAcAnv6DfhUxh5emyM3CJp_w/edit?usp=sharing"",""เพชรบุรี!J626"")"),0)</f>
        <v>0</v>
      </c>
      <c r="Y65" s="354">
        <f t="shared" ca="1" si="44"/>
        <v>0</v>
      </c>
      <c r="Z65" s="177">
        <f ca="1">IFERROR(__xludf.DUMMYFUNCTION("IMPORTRANGE(""https://docs.google.com/spreadsheets/d/1YXvxf8Yu6_rV4hTBrwMqAcAnv6DfhUxh5emyM3CJp_w/edit?usp=sharing"",""เพชรบุรี!I627"")"),0)</f>
        <v>0</v>
      </c>
      <c r="AA65" s="177">
        <f ca="1">IFERROR(__xludf.DUMMYFUNCTION("IMPORTRANGE(""https://docs.google.com/spreadsheets/d/1YXvxf8Yu6_rV4hTBrwMqAcAnv6DfhUxh5emyM3CJp_w/edit?usp=sharing"",""เพชรบุรี!J627"")"),0)</f>
        <v>0</v>
      </c>
      <c r="AB65" s="354">
        <f t="shared" ca="1" si="46"/>
        <v>0</v>
      </c>
      <c r="AC65" s="177">
        <f ca="1">IFERROR(__xludf.DUMMYFUNCTION("IMPORTRANGE(""https://docs.google.com/spreadsheets/d/1YXvxf8Yu6_rV4hTBrwMqAcAnv6DfhUxh5emyM3CJp_w/edit?usp=sharing"",""เพชรบุรี!I628"")"),0)</f>
        <v>0</v>
      </c>
      <c r="AD65" s="177">
        <f ca="1">IFERROR(__xludf.DUMMYFUNCTION("IMPORTRANGE(""https://docs.google.com/spreadsheets/d/1YXvxf8Yu6_rV4hTBrwMqAcAnv6DfhUxh5emyM3CJp_w/edit?usp=sharing"",""เพชรบุรี!J628"")"),0)</f>
        <v>0</v>
      </c>
      <c r="AE65" s="354">
        <f t="shared" ca="1" si="48"/>
        <v>0</v>
      </c>
      <c r="AF65" s="177">
        <f ca="1">IFERROR(__xludf.DUMMYFUNCTION("IMPORTRANGE(""https://docs.google.com/spreadsheets/d/1YXvxf8Yu6_rV4hTBrwMqAcAnv6DfhUxh5emyM3CJp_w/edit?usp=sharing"",""เพชรบุรี!J629"")"),0)</f>
        <v>0</v>
      </c>
      <c r="AG65" s="354">
        <f t="shared" ca="1" si="56"/>
        <v>0</v>
      </c>
      <c r="AH65" s="177">
        <f ca="1">IFERROR(__xludf.DUMMYFUNCTION("IMPORTRANGE(""https://docs.google.com/spreadsheets/d/1YXvxf8Yu6_rV4hTBrwMqAcAnv6DfhUxh5emyM3CJp_w/edit?usp=sharing"",""เพชรบุรี!J630"")"),0)</f>
        <v>0</v>
      </c>
      <c r="AI65" s="354">
        <f t="shared" ca="1" si="49"/>
        <v>0</v>
      </c>
      <c r="AJ65" s="354">
        <f ca="1">IFERROR(__xludf.DUMMYFUNCTION("IMPORTRANGE(""https://docs.google.com/spreadsheets/d/1YXvxf8Yu6_rV4hTBrwMqAcAnv6DfhUxh5emyM3CJp_w/edit?usp=sharing"",""เพชรบุรี!J631"")"),0)</f>
        <v>0</v>
      </c>
      <c r="AK65" s="354">
        <f t="shared" ca="1" si="50"/>
        <v>0</v>
      </c>
      <c r="AL65" s="354">
        <f ca="1">IFERROR(__xludf.DUMMYFUNCTION("IMPORTRANGE(""https://docs.google.com/spreadsheets/d/1YXvxf8Yu6_rV4hTBrwMqAcAnv6DfhUxh5emyM3CJp_w/edit?usp=sharing"",""เพชรบุรี!J632"")"),0)</f>
        <v>0</v>
      </c>
      <c r="AM65" s="354">
        <f t="shared" ca="1" si="51"/>
        <v>0</v>
      </c>
      <c r="AN65" s="354">
        <f ca="1">IFERROR(__xludf.DUMMYFUNCTION("IMPORTRANGE(""https://docs.google.com/spreadsheets/d/1YXvxf8Yu6_rV4hTBrwMqAcAnv6DfhUxh5emyM3CJp_w/edit?usp=sharing"",""เพชรบุรี!J633"")"),0)</f>
        <v>0</v>
      </c>
      <c r="AO65" s="354">
        <f ca="1">IFERROR(__xludf.DUMMYFUNCTION("IMPORTRANGE(""https://docs.google.com/spreadsheets/d/1YXvxf8Yu6_rV4hTBrwMqAcAnv6DfhUxh5emyM3CJp_w/edit?usp=sharing"",""เพชรบุรี!J634"")"),0)</f>
        <v>0</v>
      </c>
      <c r="AP65" s="177">
        <f ca="1">IFERROR(__xludf.DUMMYFUNCTION("IMPORTRANGE(""https://docs.google.com/spreadsheets/d/1YXvxf8Yu6_rV4hTBrwMqAcAnv6DfhUxh5emyM3CJp_w/edit?usp=sharing"",""เพชรบุรี!I635"")"),0)</f>
        <v>0</v>
      </c>
      <c r="AQ65" s="177">
        <f ca="1">IFERROR(__xludf.DUMMYFUNCTION("IMPORTRANGE(""https://docs.google.com/spreadsheets/d/1YXvxf8Yu6_rV4hTBrwMqAcAnv6DfhUxh5emyM3CJp_w/edit?usp=sharing"",""เพชรบุรี!J635"")"),0)</f>
        <v>0</v>
      </c>
      <c r="AR65" s="354">
        <f t="shared" ca="1" si="53"/>
        <v>0</v>
      </c>
      <c r="AS65" s="177">
        <f ca="1">IFERROR(__xludf.DUMMYFUNCTION("IMPORTRANGE(""https://docs.google.com/spreadsheets/d/1YXvxf8Yu6_rV4hTBrwMqAcAnv6DfhUxh5emyM3CJp_w/edit?usp=sharing"",""เพชรบุรี!J636"")"),0)</f>
        <v>0</v>
      </c>
      <c r="AT65" s="177">
        <f ca="1">IFERROR(__xludf.DUMMYFUNCTION("IMPORTRANGE(""https://docs.google.com/spreadsheets/d/1YXvxf8Yu6_rV4hTBrwMqAcAnv6DfhUxh5emyM3CJp_w/edit?usp=sharing"",""เพชรบุรี!J637"")"),0)</f>
        <v>0</v>
      </c>
      <c r="AU65" s="177">
        <f ca="1">IFERROR(__xludf.DUMMYFUNCTION("IMPORTRANGE(""https://docs.google.com/spreadsheets/d/1YXvxf8Yu6_rV4hTBrwMqAcAnv6DfhUxh5emyM3CJp_w/edit?usp=sharing"",""เพชรบุรี!J638"")"),0)</f>
        <v>0</v>
      </c>
      <c r="AV65" s="177">
        <f ca="1">IFERROR(__xludf.DUMMYFUNCTION("IMPORTRANGE(""https://docs.google.com/spreadsheets/d/1YXvxf8Yu6_rV4hTBrwMqAcAnv6DfhUxh5emyM3CJp_w/edit?usp=sharing"",""เพชรบุรี!J639"")"),0)</f>
        <v>0</v>
      </c>
      <c r="AW65" s="177">
        <f ca="1">IFERROR(__xludf.DUMMYFUNCTION("IMPORTRANGE(""https://docs.google.com/spreadsheets/d/1YXvxf8Yu6_rV4hTBrwMqAcAnv6DfhUxh5emyM3CJp_w/edit?usp=sharing"",""เพชรบุรี!J640"")"),0)</f>
        <v>0</v>
      </c>
    </row>
    <row r="66" spans="1:49" ht="19.5" x14ac:dyDescent="0.3">
      <c r="A66" s="89">
        <v>14</v>
      </c>
      <c r="B66" s="90" t="s">
        <v>92</v>
      </c>
      <c r="C66" s="174">
        <f t="shared" si="32"/>
        <v>0</v>
      </c>
      <c r="D66" s="175">
        <f t="shared" si="72"/>
        <v>0</v>
      </c>
      <c r="E66" s="403">
        <v>0</v>
      </c>
      <c r="F66" s="403">
        <v>0</v>
      </c>
      <c r="G66" s="403">
        <v>0</v>
      </c>
      <c r="H66" s="403">
        <v>0</v>
      </c>
      <c r="I66" s="403">
        <v>0</v>
      </c>
      <c r="J66" s="176">
        <f t="shared" si="34"/>
        <v>0</v>
      </c>
      <c r="K66" s="179">
        <f t="shared" si="35"/>
        <v>0</v>
      </c>
      <c r="L66" s="403">
        <v>0</v>
      </c>
      <c r="M66" s="87">
        <f t="shared" si="36"/>
        <v>0</v>
      </c>
      <c r="N66" s="87">
        <f t="shared" si="37"/>
        <v>0</v>
      </c>
      <c r="O66" s="403">
        <v>0</v>
      </c>
      <c r="P66" s="86">
        <f t="shared" si="38"/>
        <v>0</v>
      </c>
      <c r="Q66" s="87">
        <f t="shared" si="39"/>
        <v>0</v>
      </c>
      <c r="R66" s="87">
        <f ca="1">IFERROR(__xludf.DUMMYFUNCTION("IMPORTRANGE(""https://docs.google.com/spreadsheets/d/19KBlQQs7uwvsao6t2n-KvW3Ax8J8uRRfZPq1zPbXgKc/edit?usp=sharing"",""ระยอง!Q616"")"),7300)</f>
        <v>7300</v>
      </c>
      <c r="S66" s="87">
        <f ca="1">IFERROR(__xludf.DUMMYFUNCTION("IMPORTRANGE(""https://docs.google.com/spreadsheets/d/19KBlQQs7uwvsao6t2n-KvW3Ax8J8uRRfZPq1zPbXgKc/edit?usp=sharing"",""ระยอง!R616"")"),0)</f>
        <v>0</v>
      </c>
      <c r="T66" s="87">
        <f ca="1">IFERROR(__xludf.DUMMYFUNCTION("IMPORTRANGE(""https://docs.google.com/spreadsheets/d/19KBlQQs7uwvsao6t2n-KvW3Ax8J8uRRfZPq1zPbXgKc/edit?usp=sharing"",""ระยอง!S616"")"),0)</f>
        <v>0</v>
      </c>
      <c r="U66" s="87">
        <f t="shared" ca="1" si="41"/>
        <v>0</v>
      </c>
      <c r="V66" s="87">
        <f t="shared" ca="1" si="42"/>
        <v>0</v>
      </c>
      <c r="W66" s="353">
        <f ca="1">IFERROR(__xludf.DUMMYFUNCTION("IMPORTRANGE(""https://docs.google.com/spreadsheets/d/19KBlQQs7uwvsao6t2n-KvW3Ax8J8uRRfZPq1zPbXgKc/edit?usp=sharing"",""ระยอง!I626"")"),50)</f>
        <v>50</v>
      </c>
      <c r="X66" s="177">
        <f ca="1">IFERROR(__xludf.DUMMYFUNCTION("IMPORTRANGE(""https://docs.google.com/spreadsheets/d/19KBlQQs7uwvsao6t2n-KvW3Ax8J8uRRfZPq1zPbXgKc/edit?usp=sharing"",""ระยอง!J626"")"),0)</f>
        <v>0</v>
      </c>
      <c r="Y66" s="354">
        <f t="shared" ca="1" si="44"/>
        <v>0</v>
      </c>
      <c r="Z66" s="177">
        <f ca="1">IFERROR(__xludf.DUMMYFUNCTION("IMPORTRANGE(""https://docs.google.com/spreadsheets/d/19KBlQQs7uwvsao6t2n-KvW3Ax8J8uRRfZPq1zPbXgKc/edit?usp=sharing"",""ระยอง!I627"")"),1)</f>
        <v>1</v>
      </c>
      <c r="AA66" s="177">
        <f ca="1">IFERROR(__xludf.DUMMYFUNCTION("IMPORTRANGE(""https://docs.google.com/spreadsheets/d/19KBlQQs7uwvsao6t2n-KvW3Ax8J8uRRfZPq1zPbXgKc/edit?usp=sharing"",""ระยอง!J627"")"),0)</f>
        <v>0</v>
      </c>
      <c r="AB66" s="354">
        <f t="shared" ca="1" si="46"/>
        <v>0</v>
      </c>
      <c r="AC66" s="177">
        <f ca="1">IFERROR(__xludf.DUMMYFUNCTION("IMPORTRANGE(""https://docs.google.com/spreadsheets/d/19KBlQQs7uwvsao6t2n-KvW3Ax8J8uRRfZPq1zPbXgKc/edit?usp=sharing"",""ระยอง!I628"")"),1)</f>
        <v>1</v>
      </c>
      <c r="AD66" s="177">
        <f ca="1">IFERROR(__xludf.DUMMYFUNCTION("IMPORTRANGE(""https://docs.google.com/spreadsheets/d/19KBlQQs7uwvsao6t2n-KvW3Ax8J8uRRfZPq1zPbXgKc/edit?usp=sharing"",""ระยอง!J628"")"),0)</f>
        <v>0</v>
      </c>
      <c r="AE66" s="354">
        <f t="shared" ca="1" si="48"/>
        <v>0</v>
      </c>
      <c r="AF66" s="177">
        <f ca="1">IFERROR(__xludf.DUMMYFUNCTION("IMPORTRANGE(""https://docs.google.com/spreadsheets/d/19KBlQQs7uwvsao6t2n-KvW3Ax8J8uRRfZPq1zPbXgKc/edit?usp=sharing"",""ระยอง!J629"")"),0)</f>
        <v>0</v>
      </c>
      <c r="AG66" s="354">
        <f t="shared" ca="1" si="56"/>
        <v>0</v>
      </c>
      <c r="AH66" s="177">
        <f ca="1">IFERROR(__xludf.DUMMYFUNCTION("IMPORTRANGE(""https://docs.google.com/spreadsheets/d/19KBlQQs7uwvsao6t2n-KvW3Ax8J8uRRfZPq1zPbXgKc/edit?usp=sharing"",""ระยอง!J630"")"),0)</f>
        <v>0</v>
      </c>
      <c r="AI66" s="354">
        <f t="shared" ca="1" si="49"/>
        <v>0</v>
      </c>
      <c r="AJ66" s="354">
        <f ca="1">IFERROR(__xludf.DUMMYFUNCTION("IMPORTRANGE(""https://docs.google.com/spreadsheets/d/19KBlQQs7uwvsao6t2n-KvW3Ax8J8uRRfZPq1zPbXgKc/edit?usp=sharing"",""ระยอง!J631"")"),0)</f>
        <v>0</v>
      </c>
      <c r="AK66" s="354">
        <f t="shared" ca="1" si="50"/>
        <v>0</v>
      </c>
      <c r="AL66" s="354">
        <f ca="1">IFERROR(__xludf.DUMMYFUNCTION("IMPORTRANGE(""https://docs.google.com/spreadsheets/d/19KBlQQs7uwvsao6t2n-KvW3Ax8J8uRRfZPq1zPbXgKc/edit?usp=sharing"",""ระยอง!J632"")"),0)</f>
        <v>0</v>
      </c>
      <c r="AM66" s="354">
        <f t="shared" ca="1" si="51"/>
        <v>0</v>
      </c>
      <c r="AN66" s="354">
        <f ca="1">IFERROR(__xludf.DUMMYFUNCTION("IMPORTRANGE(""https://docs.google.com/spreadsheets/d/19KBlQQs7uwvsao6t2n-KvW3Ax8J8uRRfZPq1zPbXgKc/edit?usp=sharing"",""ระยอง!J633"")"),0)</f>
        <v>0</v>
      </c>
      <c r="AO66" s="354">
        <f ca="1">IFERROR(__xludf.DUMMYFUNCTION("IMPORTRANGE(""https://docs.google.com/spreadsheets/d/19KBlQQs7uwvsao6t2n-KvW3Ax8J8uRRfZPq1zPbXgKc/edit?usp=sharing"",""ระยอง!J634"")"),0)</f>
        <v>0</v>
      </c>
      <c r="AP66" s="177">
        <f ca="1">IFERROR(__xludf.DUMMYFUNCTION("IMPORTRANGE(""https://docs.google.com/spreadsheets/d/19KBlQQs7uwvsao6t2n-KvW3Ax8J8uRRfZPq1zPbXgKc/edit?usp=sharing"",""ระยอง!I635"")"),0)</f>
        <v>0</v>
      </c>
      <c r="AQ66" s="177">
        <f ca="1">IFERROR(__xludf.DUMMYFUNCTION("IMPORTRANGE(""https://docs.google.com/spreadsheets/d/19KBlQQs7uwvsao6t2n-KvW3Ax8J8uRRfZPq1zPbXgKc/edit?usp=sharing"",""ระยอง!J635"")"),0)</f>
        <v>0</v>
      </c>
      <c r="AR66" s="354">
        <f t="shared" ca="1" si="53"/>
        <v>0</v>
      </c>
      <c r="AS66" s="177">
        <f ca="1">IFERROR(__xludf.DUMMYFUNCTION("IMPORTRANGE(""https://docs.google.com/spreadsheets/d/19KBlQQs7uwvsao6t2n-KvW3Ax8J8uRRfZPq1zPbXgKc/edit?usp=sharing"",""ระยอง!J636"")"),0)</f>
        <v>0</v>
      </c>
      <c r="AT66" s="177">
        <f ca="1">IFERROR(__xludf.DUMMYFUNCTION("IMPORTRANGE(""https://docs.google.com/spreadsheets/d/19KBlQQs7uwvsao6t2n-KvW3Ax8J8uRRfZPq1zPbXgKc/edit?usp=sharing"",""ระยอง!J637"")"),0)</f>
        <v>0</v>
      </c>
      <c r="AU66" s="177">
        <f ca="1">IFERROR(__xludf.DUMMYFUNCTION("IMPORTRANGE(""https://docs.google.com/spreadsheets/d/19KBlQQs7uwvsao6t2n-KvW3Ax8J8uRRfZPq1zPbXgKc/edit?usp=sharing"",""ระยอง!J638"")"),0)</f>
        <v>0</v>
      </c>
      <c r="AV66" s="177">
        <f ca="1">IFERROR(__xludf.DUMMYFUNCTION("IMPORTRANGE(""https://docs.google.com/spreadsheets/d/19KBlQQs7uwvsao6t2n-KvW3Ax8J8uRRfZPq1zPbXgKc/edit?usp=sharing"",""ระยอง!J639"")"),0)</f>
        <v>0</v>
      </c>
      <c r="AW66" s="177">
        <f ca="1">IFERROR(__xludf.DUMMYFUNCTION("IMPORTRANGE(""https://docs.google.com/spreadsheets/d/19KBlQQs7uwvsao6t2n-KvW3Ax8J8uRRfZPq1zPbXgKc/edit?usp=sharing"",""ระยอง!J640"")"),0)</f>
        <v>0</v>
      </c>
    </row>
    <row r="67" spans="1:49" ht="19.5" x14ac:dyDescent="0.3">
      <c r="A67" s="89">
        <v>15</v>
      </c>
      <c r="B67" s="90" t="s">
        <v>93</v>
      </c>
      <c r="C67" s="174">
        <f t="shared" si="32"/>
        <v>0</v>
      </c>
      <c r="D67" s="175">
        <f t="shared" si="72"/>
        <v>0</v>
      </c>
      <c r="E67" s="403">
        <v>0</v>
      </c>
      <c r="F67" s="403">
        <v>0</v>
      </c>
      <c r="G67" s="403">
        <v>0</v>
      </c>
      <c r="H67" s="403">
        <v>0</v>
      </c>
      <c r="I67" s="403">
        <v>0</v>
      </c>
      <c r="J67" s="176">
        <f t="shared" si="34"/>
        <v>0</v>
      </c>
      <c r="K67" s="179">
        <f t="shared" si="35"/>
        <v>0</v>
      </c>
      <c r="L67" s="403">
        <v>0</v>
      </c>
      <c r="M67" s="87">
        <f t="shared" si="36"/>
        <v>0</v>
      </c>
      <c r="N67" s="87">
        <f t="shared" si="37"/>
        <v>0</v>
      </c>
      <c r="O67" s="403">
        <v>0</v>
      </c>
      <c r="P67" s="86">
        <f t="shared" si="38"/>
        <v>0</v>
      </c>
      <c r="Q67" s="87">
        <f t="shared" si="39"/>
        <v>0</v>
      </c>
      <c r="R67" s="87">
        <f ca="1">IFERROR(__xludf.DUMMYFUNCTION("IMPORTRANGE(""https://docs.google.com/spreadsheets/d/1jQ6P4QcrGM89YfqcC_PxOHGCMq5ezhucwJd8ci-NHng/edit?usp=sharing"",""ราชบุรี!Q616"")"),7350)</f>
        <v>7350</v>
      </c>
      <c r="S67" s="87">
        <f ca="1">IFERROR(__xludf.DUMMYFUNCTION("IMPORTRANGE(""https://docs.google.com/spreadsheets/d/1jQ6P4QcrGM89YfqcC_PxOHGCMq5ezhucwJd8ci-NHng/edit?usp=sharing"",""ราชบุรี!R616"")"),0)</f>
        <v>0</v>
      </c>
      <c r="T67" s="87">
        <f ca="1">IFERROR(__xludf.DUMMYFUNCTION("IMPORTRANGE(""https://docs.google.com/spreadsheets/d/1jQ6P4QcrGM89YfqcC_PxOHGCMq5ezhucwJd8ci-NHng/edit?usp=sharing"",""ราชบุรี!S616"")"),0)</f>
        <v>0</v>
      </c>
      <c r="U67" s="87">
        <f t="shared" ca="1" si="41"/>
        <v>0</v>
      </c>
      <c r="V67" s="87">
        <f t="shared" ca="1" si="42"/>
        <v>0</v>
      </c>
      <c r="W67" s="353">
        <f ca="1">IFERROR(__xludf.DUMMYFUNCTION("IMPORTRANGE(""https://docs.google.com/spreadsheets/d/1jQ6P4QcrGM89YfqcC_PxOHGCMq5ezhucwJd8ci-NHng/edit?usp=sharing"",""ราชบุรี!I626"")"),50)</f>
        <v>50</v>
      </c>
      <c r="X67" s="177">
        <f ca="1">IFERROR(__xludf.DUMMYFUNCTION("IMPORTRANGE(""https://docs.google.com/spreadsheets/d/1jQ6P4QcrGM89YfqcC_PxOHGCMq5ezhucwJd8ci-NHng/edit?usp=sharing"",""ราชบุรี!J626"")"),0)</f>
        <v>0</v>
      </c>
      <c r="Y67" s="354">
        <f t="shared" ca="1" si="44"/>
        <v>0</v>
      </c>
      <c r="Z67" s="177">
        <f ca="1">IFERROR(__xludf.DUMMYFUNCTION("IMPORTRANGE(""https://docs.google.com/spreadsheets/d/1jQ6P4QcrGM89YfqcC_PxOHGCMq5ezhucwJd8ci-NHng/edit?usp=sharing"",""ราชบุรี!I627"")"),1)</f>
        <v>1</v>
      </c>
      <c r="AA67" s="177">
        <f ca="1">IFERROR(__xludf.DUMMYFUNCTION("IMPORTRANGE(""https://docs.google.com/spreadsheets/d/1jQ6P4QcrGM89YfqcC_PxOHGCMq5ezhucwJd8ci-NHng/edit?usp=sharing"",""ราชบุรี!J627"")"),0)</f>
        <v>0</v>
      </c>
      <c r="AB67" s="354">
        <f t="shared" ca="1" si="46"/>
        <v>0</v>
      </c>
      <c r="AC67" s="177">
        <f ca="1">IFERROR(__xludf.DUMMYFUNCTION("IMPORTRANGE(""https://docs.google.com/spreadsheets/d/1jQ6P4QcrGM89YfqcC_PxOHGCMq5ezhucwJd8ci-NHng/edit?usp=sharing"",""ราชบุรี!I628"")"),1)</f>
        <v>1</v>
      </c>
      <c r="AD67" s="177">
        <f ca="1">IFERROR(__xludf.DUMMYFUNCTION("IMPORTRANGE(""https://docs.google.com/spreadsheets/d/1jQ6P4QcrGM89YfqcC_PxOHGCMq5ezhucwJd8ci-NHng/edit?usp=sharing"",""ราชบุรี!J628"")"),0)</f>
        <v>0</v>
      </c>
      <c r="AE67" s="354">
        <f t="shared" ca="1" si="48"/>
        <v>0</v>
      </c>
      <c r="AF67" s="177">
        <f ca="1">IFERROR(__xludf.DUMMYFUNCTION("IMPORTRANGE(""https://docs.google.com/spreadsheets/d/1jQ6P4QcrGM89YfqcC_PxOHGCMq5ezhucwJd8ci-NHng/edit?usp=sharing"",""ราชบุรี!J629"")"),0)</f>
        <v>0</v>
      </c>
      <c r="AG67" s="354">
        <f t="shared" ca="1" si="56"/>
        <v>0</v>
      </c>
      <c r="AH67" s="177">
        <f ca="1">IFERROR(__xludf.DUMMYFUNCTION("IMPORTRANGE(""https://docs.google.com/spreadsheets/d/1jQ6P4QcrGM89YfqcC_PxOHGCMq5ezhucwJd8ci-NHng/edit?usp=sharing"",""ราชบุรี!J630"")"),0)</f>
        <v>0</v>
      </c>
      <c r="AI67" s="354">
        <f t="shared" ca="1" si="49"/>
        <v>0</v>
      </c>
      <c r="AJ67" s="354">
        <f ca="1">IFERROR(__xludf.DUMMYFUNCTION("IMPORTRANGE(""https://docs.google.com/spreadsheets/d/1jQ6P4QcrGM89YfqcC_PxOHGCMq5ezhucwJd8ci-NHng/edit?usp=sharing"",""ราชบุรี!J631"")"),0)</f>
        <v>0</v>
      </c>
      <c r="AK67" s="354">
        <f t="shared" ca="1" si="50"/>
        <v>0</v>
      </c>
      <c r="AL67" s="354">
        <f ca="1">IFERROR(__xludf.DUMMYFUNCTION("IMPORTRANGE(""https://docs.google.com/spreadsheets/d/1jQ6P4QcrGM89YfqcC_PxOHGCMq5ezhucwJd8ci-NHng/edit?usp=sharing"",""ราชบุรี!J632"")"),0)</f>
        <v>0</v>
      </c>
      <c r="AM67" s="354">
        <f t="shared" ca="1" si="51"/>
        <v>0</v>
      </c>
      <c r="AN67" s="354">
        <f ca="1">IFERROR(__xludf.DUMMYFUNCTION("IMPORTRANGE(""https://docs.google.com/spreadsheets/d/1jQ6P4QcrGM89YfqcC_PxOHGCMq5ezhucwJd8ci-NHng/edit?usp=sharing"",""ราชบุรี!J633"")"),0)</f>
        <v>0</v>
      </c>
      <c r="AO67" s="354">
        <f ca="1">IFERROR(__xludf.DUMMYFUNCTION("IMPORTRANGE(""https://docs.google.com/spreadsheets/d/1jQ6P4QcrGM89YfqcC_PxOHGCMq5ezhucwJd8ci-NHng/edit?usp=sharing"",""ราชบุรี!J634"")"),0)</f>
        <v>0</v>
      </c>
      <c r="AP67" s="177">
        <f ca="1">IFERROR(__xludf.DUMMYFUNCTION("IMPORTRANGE(""https://docs.google.com/spreadsheets/d/1jQ6P4QcrGM89YfqcC_PxOHGCMq5ezhucwJd8ci-NHng/edit?usp=sharing"",""ราชบุรี!I635"")"),0)</f>
        <v>0</v>
      </c>
      <c r="AQ67" s="177">
        <f ca="1">IFERROR(__xludf.DUMMYFUNCTION("IMPORTRANGE(""https://docs.google.com/spreadsheets/d/1jQ6P4QcrGM89YfqcC_PxOHGCMq5ezhucwJd8ci-NHng/edit?usp=sharing"",""ราชบุรี!J635"")"),0)</f>
        <v>0</v>
      </c>
      <c r="AR67" s="354">
        <f t="shared" ca="1" si="53"/>
        <v>0</v>
      </c>
      <c r="AS67" s="177">
        <f ca="1">IFERROR(__xludf.DUMMYFUNCTION("IMPORTRANGE(""https://docs.google.com/spreadsheets/d/1jQ6P4QcrGM89YfqcC_PxOHGCMq5ezhucwJd8ci-NHng/edit?usp=sharing"",""ราชบุรี!J636"")"),0)</f>
        <v>0</v>
      </c>
      <c r="AT67" s="177">
        <f ca="1">IFERROR(__xludf.DUMMYFUNCTION("IMPORTRANGE(""https://docs.google.com/spreadsheets/d/1jQ6P4QcrGM89YfqcC_PxOHGCMq5ezhucwJd8ci-NHng/edit?usp=sharing"",""ราชบุรี!J637"")"),0)</f>
        <v>0</v>
      </c>
      <c r="AU67" s="177">
        <f ca="1">IFERROR(__xludf.DUMMYFUNCTION("IMPORTRANGE(""https://docs.google.com/spreadsheets/d/1jQ6P4QcrGM89YfqcC_PxOHGCMq5ezhucwJd8ci-NHng/edit?usp=sharing"",""ราชบุรี!J638"")"),0)</f>
        <v>0</v>
      </c>
      <c r="AV67" s="177">
        <f ca="1">IFERROR(__xludf.DUMMYFUNCTION("IMPORTRANGE(""https://docs.google.com/spreadsheets/d/1jQ6P4QcrGM89YfqcC_PxOHGCMq5ezhucwJd8ci-NHng/edit?usp=sharing"",""ราชบุรี!J639"")"),0)</f>
        <v>0</v>
      </c>
      <c r="AW67" s="177">
        <f ca="1">IFERROR(__xludf.DUMMYFUNCTION("IMPORTRANGE(""https://docs.google.com/spreadsheets/d/1jQ6P4QcrGM89YfqcC_PxOHGCMq5ezhucwJd8ci-NHng/edit?usp=sharing"",""ราชบุรี!J640"")"),0)</f>
        <v>0</v>
      </c>
    </row>
    <row r="68" spans="1:49" ht="19.5" x14ac:dyDescent="0.3">
      <c r="A68" s="89">
        <v>16</v>
      </c>
      <c r="B68" s="90" t="s">
        <v>94</v>
      </c>
      <c r="C68" s="174">
        <f t="shared" si="32"/>
        <v>0</v>
      </c>
      <c r="D68" s="175">
        <f t="shared" si="72"/>
        <v>0</v>
      </c>
      <c r="E68" s="403">
        <v>0</v>
      </c>
      <c r="F68" s="403">
        <v>0</v>
      </c>
      <c r="G68" s="403">
        <v>0</v>
      </c>
      <c r="H68" s="403">
        <v>0</v>
      </c>
      <c r="I68" s="403">
        <v>0</v>
      </c>
      <c r="J68" s="176">
        <f t="shared" si="34"/>
        <v>0</v>
      </c>
      <c r="K68" s="179">
        <f t="shared" si="35"/>
        <v>0</v>
      </c>
      <c r="L68" s="403">
        <v>0</v>
      </c>
      <c r="M68" s="87">
        <f t="shared" si="36"/>
        <v>0</v>
      </c>
      <c r="N68" s="87">
        <f t="shared" si="37"/>
        <v>0</v>
      </c>
      <c r="O68" s="403">
        <v>0</v>
      </c>
      <c r="P68" s="86">
        <f t="shared" si="38"/>
        <v>0</v>
      </c>
      <c r="Q68" s="87">
        <f t="shared" si="39"/>
        <v>0</v>
      </c>
      <c r="R68" s="87">
        <f ca="1">IFERROR(__xludf.DUMMYFUNCTION("IMPORTRANGE(""https://docs.google.com/spreadsheets/d/1lufeA2cfFqM-elVq2hznhDzC6Pr7wkJ9ZG_sYNGCMCU/edit?usp=sharing"",""ลพบุรี!Q616"")"),6775)</f>
        <v>6775</v>
      </c>
      <c r="S68" s="87">
        <f ca="1">IFERROR(__xludf.DUMMYFUNCTION("IMPORTRANGE(""https://docs.google.com/spreadsheets/d/1lufeA2cfFqM-elVq2hznhDzC6Pr7wkJ9ZG_sYNGCMCU/edit?usp=sharing"",""ลพบุรี!R616"")"),0)</f>
        <v>0</v>
      </c>
      <c r="T68" s="87">
        <f ca="1">IFERROR(__xludf.DUMMYFUNCTION("IMPORTRANGE(""https://docs.google.com/spreadsheets/d/1lufeA2cfFqM-elVq2hznhDzC6Pr7wkJ9ZG_sYNGCMCU/edit?usp=sharing"",""ลพบุรี!S616"")"),0)</f>
        <v>0</v>
      </c>
      <c r="U68" s="87">
        <f t="shared" ca="1" si="41"/>
        <v>0</v>
      </c>
      <c r="V68" s="87">
        <f t="shared" ca="1" si="42"/>
        <v>0</v>
      </c>
      <c r="W68" s="353">
        <f ca="1">IFERROR(__xludf.DUMMYFUNCTION("IMPORTRANGE(""https://docs.google.com/spreadsheets/d/1lufeA2cfFqM-elVq2hznhDzC6Pr7wkJ9ZG_sYNGCMCU/edit?usp=sharing"",""ลพบุรี!I626"")"),50)</f>
        <v>50</v>
      </c>
      <c r="X68" s="177">
        <f ca="1">IFERROR(__xludf.DUMMYFUNCTION("IMPORTRANGE(""https://docs.google.com/spreadsheets/d/1lufeA2cfFqM-elVq2hznhDzC6Pr7wkJ9ZG_sYNGCMCU/edit?usp=sharing"",""ลพบุรี!J626"")"),0)</f>
        <v>0</v>
      </c>
      <c r="Y68" s="354">
        <f t="shared" ca="1" si="44"/>
        <v>0</v>
      </c>
      <c r="Z68" s="177">
        <f ca="1">IFERROR(__xludf.DUMMYFUNCTION("IMPORTRANGE(""https://docs.google.com/spreadsheets/d/1lufeA2cfFqM-elVq2hznhDzC6Pr7wkJ9ZG_sYNGCMCU/edit?usp=sharing"",""ลพบุรี!I627"")"),0)</f>
        <v>0</v>
      </c>
      <c r="AA68" s="177">
        <f ca="1">IFERROR(__xludf.DUMMYFUNCTION("IMPORTRANGE(""https://docs.google.com/spreadsheets/d/1lufeA2cfFqM-elVq2hznhDzC6Pr7wkJ9ZG_sYNGCMCU/edit?usp=sharing"",""ลพบุรี!J627"")"),0)</f>
        <v>0</v>
      </c>
      <c r="AB68" s="354">
        <f t="shared" ca="1" si="46"/>
        <v>0</v>
      </c>
      <c r="AC68" s="177">
        <f ca="1">IFERROR(__xludf.DUMMYFUNCTION("IMPORTRANGE(""https://docs.google.com/spreadsheets/d/1lufeA2cfFqM-elVq2hznhDzC6Pr7wkJ9ZG_sYNGCMCU/edit?usp=sharing"",""ลพบุรี!I628"")"),0)</f>
        <v>0</v>
      </c>
      <c r="AD68" s="177">
        <f ca="1">IFERROR(__xludf.DUMMYFUNCTION("IMPORTRANGE(""https://docs.google.com/spreadsheets/d/1lufeA2cfFqM-elVq2hznhDzC6Pr7wkJ9ZG_sYNGCMCU/edit?usp=sharing"",""ลพบุรี!J628"")"),0)</f>
        <v>0</v>
      </c>
      <c r="AE68" s="354">
        <f t="shared" ca="1" si="48"/>
        <v>0</v>
      </c>
      <c r="AF68" s="177">
        <f ca="1">IFERROR(__xludf.DUMMYFUNCTION("IMPORTRANGE(""https://docs.google.com/spreadsheets/d/1lufeA2cfFqM-elVq2hznhDzC6Pr7wkJ9ZG_sYNGCMCU/edit?usp=sharing"",""ลพบุรี!J629"")"),0)</f>
        <v>0</v>
      </c>
      <c r="AG68" s="354">
        <f t="shared" ca="1" si="56"/>
        <v>0</v>
      </c>
      <c r="AH68" s="177">
        <f ca="1">IFERROR(__xludf.DUMMYFUNCTION("IMPORTRANGE(""https://docs.google.com/spreadsheets/d/1lufeA2cfFqM-elVq2hznhDzC6Pr7wkJ9ZG_sYNGCMCU/edit?usp=sharing"",""ลพบุรี!J630"")"),0)</f>
        <v>0</v>
      </c>
      <c r="AI68" s="354">
        <f t="shared" ca="1" si="49"/>
        <v>0</v>
      </c>
      <c r="AJ68" s="437">
        <f ca="1">IFERROR(__xludf.DUMMYFUNCTION("IMPORTRANGE(""https://docs.google.com/spreadsheets/d/1lufeA2cfFqM-elVq2hznhDzC6Pr7wkJ9ZG_sYNGCMCU/edit?usp=sharing"",""ลพบุรี!J631"")"),0)</f>
        <v>0</v>
      </c>
      <c r="AK68" s="354">
        <f t="shared" ca="1" si="50"/>
        <v>0</v>
      </c>
      <c r="AL68" s="354">
        <f ca="1">IFERROR(__xludf.DUMMYFUNCTION("IMPORTRANGE(""https://docs.google.com/spreadsheets/d/1lufeA2cfFqM-elVq2hznhDzC6Pr7wkJ9ZG_sYNGCMCU/edit?usp=sharing"",""ลพบุรี!J632"")"),0)</f>
        <v>0</v>
      </c>
      <c r="AM68" s="354">
        <f t="shared" ca="1" si="51"/>
        <v>0</v>
      </c>
      <c r="AN68" s="354">
        <f ca="1">IFERROR(__xludf.DUMMYFUNCTION("IMPORTRANGE(""https://docs.google.com/spreadsheets/d/1lufeA2cfFqM-elVq2hznhDzC6Pr7wkJ9ZG_sYNGCMCU/edit?usp=sharing"",""ลพบุรี!J633"")"),0)</f>
        <v>0</v>
      </c>
      <c r="AO68" s="354">
        <f ca="1">IFERROR(__xludf.DUMMYFUNCTION("IMPORTRANGE(""https://docs.google.com/spreadsheets/d/1lufeA2cfFqM-elVq2hznhDzC6Pr7wkJ9ZG_sYNGCMCU/edit?usp=sharing"",""ลพบุรี!J634"")"),0)</f>
        <v>0</v>
      </c>
      <c r="AP68" s="177">
        <f ca="1">IFERROR(__xludf.DUMMYFUNCTION("IMPORTRANGE(""https://docs.google.com/spreadsheets/d/1lufeA2cfFqM-elVq2hznhDzC6Pr7wkJ9ZG_sYNGCMCU/edit?usp=sharing"",""ลพบุรี!I635"")"),0)</f>
        <v>0</v>
      </c>
      <c r="AQ68" s="177">
        <f ca="1">IFERROR(__xludf.DUMMYFUNCTION("IMPORTRANGE(""https://docs.google.com/spreadsheets/d/1lufeA2cfFqM-elVq2hznhDzC6Pr7wkJ9ZG_sYNGCMCU/edit?usp=sharing"",""ลพบุรี!J635"")"),0)</f>
        <v>0</v>
      </c>
      <c r="AR68" s="354">
        <f t="shared" ca="1" si="53"/>
        <v>0</v>
      </c>
      <c r="AS68" s="177">
        <f ca="1">IFERROR(__xludf.DUMMYFUNCTION("IMPORTRANGE(""https://docs.google.com/spreadsheets/d/1lufeA2cfFqM-elVq2hznhDzC6Pr7wkJ9ZG_sYNGCMCU/edit?usp=sharing"",""ลพบุรี!J636"")"),0)</f>
        <v>0</v>
      </c>
      <c r="AT68" s="177">
        <f ca="1">IFERROR(__xludf.DUMMYFUNCTION("IMPORTRANGE(""https://docs.google.com/spreadsheets/d/1lufeA2cfFqM-elVq2hznhDzC6Pr7wkJ9ZG_sYNGCMCU/edit?usp=sharing"",""ลพบุรี!J637"")"),0)</f>
        <v>0</v>
      </c>
      <c r="AU68" s="177">
        <f ca="1">IFERROR(__xludf.DUMMYFUNCTION("IMPORTRANGE(""https://docs.google.com/spreadsheets/d/1lufeA2cfFqM-elVq2hznhDzC6Pr7wkJ9ZG_sYNGCMCU/edit?usp=sharing"",""ลพบุรี!J638"")"),0)</f>
        <v>0</v>
      </c>
      <c r="AV68" s="177">
        <f ca="1">IFERROR(__xludf.DUMMYFUNCTION("IMPORTRANGE(""https://docs.google.com/spreadsheets/d/1lufeA2cfFqM-elVq2hznhDzC6Pr7wkJ9ZG_sYNGCMCU/edit?usp=sharing"",""ลพบุรี!J639"")"),0)</f>
        <v>0</v>
      </c>
      <c r="AW68" s="177">
        <f ca="1">IFERROR(__xludf.DUMMYFUNCTION("IMPORTRANGE(""https://docs.google.com/spreadsheets/d/1lufeA2cfFqM-elVq2hznhDzC6Pr7wkJ9ZG_sYNGCMCU/edit?usp=sharing"",""ลพบุรี!J640"")"),0)</f>
        <v>0</v>
      </c>
    </row>
    <row r="69" spans="1:49" ht="19.5" x14ac:dyDescent="0.3">
      <c r="A69" s="89">
        <v>17</v>
      </c>
      <c r="B69" s="90" t="s">
        <v>95</v>
      </c>
      <c r="C69" s="174">
        <f t="shared" si="32"/>
        <v>0</v>
      </c>
      <c r="D69" s="175">
        <f t="shared" si="72"/>
        <v>0</v>
      </c>
      <c r="E69" s="403">
        <v>0</v>
      </c>
      <c r="F69" s="403">
        <v>0</v>
      </c>
      <c r="G69" s="403">
        <v>0</v>
      </c>
      <c r="H69" s="403">
        <v>0</v>
      </c>
      <c r="I69" s="403">
        <v>0</v>
      </c>
      <c r="J69" s="176">
        <f t="shared" si="34"/>
        <v>0</v>
      </c>
      <c r="K69" s="179">
        <f t="shared" si="35"/>
        <v>0</v>
      </c>
      <c r="L69" s="403">
        <v>0</v>
      </c>
      <c r="M69" s="87">
        <f t="shared" si="36"/>
        <v>0</v>
      </c>
      <c r="N69" s="87">
        <f t="shared" si="37"/>
        <v>0</v>
      </c>
      <c r="O69" s="403">
        <v>0</v>
      </c>
      <c r="P69" s="86">
        <f t="shared" si="38"/>
        <v>0</v>
      </c>
      <c r="Q69" s="87">
        <f t="shared" si="39"/>
        <v>0</v>
      </c>
      <c r="R69" s="87">
        <f ca="1">IFERROR(__xludf.DUMMYFUNCTION("IMPORTRANGE(""https://docs.google.com/spreadsheets/d/10oOiF7loTyfsTkbd4MpaIm0HQ9SwB7IYHdIUvt-U1Uc/edit?usp=sharing"",""สระแก้ว!Q616"")"),11725)</f>
        <v>11725</v>
      </c>
      <c r="S69" s="87">
        <f ca="1">IFERROR(__xludf.DUMMYFUNCTION("IMPORTRANGE(""https://docs.google.com/spreadsheets/d/10oOiF7loTyfsTkbd4MpaIm0HQ9SwB7IYHdIUvt-U1Uc/edit?usp=sharing"",""สระแก้ว!R616"")"),0)</f>
        <v>0</v>
      </c>
      <c r="T69" s="87">
        <f ca="1">IFERROR(__xludf.DUMMYFUNCTION("IMPORTRANGE(""https://docs.google.com/spreadsheets/d/10oOiF7loTyfsTkbd4MpaIm0HQ9SwB7IYHdIUvt-U1Uc/edit?usp=sharing"",""สระแก้ว!S616"")"),0)</f>
        <v>0</v>
      </c>
      <c r="U69" s="87">
        <f t="shared" ca="1" si="41"/>
        <v>0</v>
      </c>
      <c r="V69" s="87">
        <f t="shared" ca="1" si="42"/>
        <v>0</v>
      </c>
      <c r="W69" s="353">
        <f ca="1">IFERROR(__xludf.DUMMYFUNCTION("IMPORTRANGE(""https://docs.google.com/spreadsheets/d/10oOiF7loTyfsTkbd4MpaIm0HQ9SwB7IYHdIUvt-U1Uc/edit?usp=sharing"",""สระแก้ว!I626"")"),100)</f>
        <v>100</v>
      </c>
      <c r="X69" s="177">
        <f ca="1">IFERROR(__xludf.DUMMYFUNCTION("IMPORTRANGE(""https://docs.google.com/spreadsheets/d/10oOiF7loTyfsTkbd4MpaIm0HQ9SwB7IYHdIUvt-U1Uc/edit?usp=sharing"",""สระแก้ว!J626"")"),0)</f>
        <v>0</v>
      </c>
      <c r="Y69" s="354">
        <f t="shared" ca="1" si="44"/>
        <v>0</v>
      </c>
      <c r="Z69" s="177">
        <f ca="1">IFERROR(__xludf.DUMMYFUNCTION("IMPORTRANGE(""https://docs.google.com/spreadsheets/d/10oOiF7loTyfsTkbd4MpaIm0HQ9SwB7IYHdIUvt-U1Uc/edit?usp=sharing"",""สระแก้ว!I627"")"),0)</f>
        <v>0</v>
      </c>
      <c r="AA69" s="177">
        <f ca="1">IFERROR(__xludf.DUMMYFUNCTION("IMPORTRANGE(""https://docs.google.com/spreadsheets/d/10oOiF7loTyfsTkbd4MpaIm0HQ9SwB7IYHdIUvt-U1Uc/edit?usp=sharing"",""สระแก้ว!J627"")"),0)</f>
        <v>0</v>
      </c>
      <c r="AB69" s="354">
        <f t="shared" ca="1" si="46"/>
        <v>0</v>
      </c>
      <c r="AC69" s="177">
        <f ca="1">IFERROR(__xludf.DUMMYFUNCTION("IMPORTRANGE(""https://docs.google.com/spreadsheets/d/10oOiF7loTyfsTkbd4MpaIm0HQ9SwB7IYHdIUvt-U1Uc/edit?usp=sharing"",""สระแก้ว!I628"")"),0)</f>
        <v>0</v>
      </c>
      <c r="AD69" s="177">
        <f ca="1">IFERROR(__xludf.DUMMYFUNCTION("IMPORTRANGE(""https://docs.google.com/spreadsheets/d/10oOiF7loTyfsTkbd4MpaIm0HQ9SwB7IYHdIUvt-U1Uc/edit?usp=sharing"",""สระแก้ว!J628"")"),0)</f>
        <v>0</v>
      </c>
      <c r="AE69" s="354">
        <f t="shared" ca="1" si="48"/>
        <v>0</v>
      </c>
      <c r="AF69" s="177">
        <f ca="1">IFERROR(__xludf.DUMMYFUNCTION("IMPORTRANGE(""https://docs.google.com/spreadsheets/d/10oOiF7loTyfsTkbd4MpaIm0HQ9SwB7IYHdIUvt-U1Uc/edit?usp=sharing"",""สระแก้ว!J629"")"),0)</f>
        <v>0</v>
      </c>
      <c r="AG69" s="354">
        <f t="shared" ca="1" si="56"/>
        <v>0</v>
      </c>
      <c r="AH69" s="177">
        <f ca="1">IFERROR(__xludf.DUMMYFUNCTION("IMPORTRANGE(""https://docs.google.com/spreadsheets/d/10oOiF7loTyfsTkbd4MpaIm0HQ9SwB7IYHdIUvt-U1Uc/edit?usp=sharing"",""สระแก้ว!J630"")"),0)</f>
        <v>0</v>
      </c>
      <c r="AI69" s="354">
        <f t="shared" ca="1" si="49"/>
        <v>0</v>
      </c>
      <c r="AJ69" s="354">
        <f ca="1">IFERROR(__xludf.DUMMYFUNCTION("IMPORTRANGE(""https://docs.google.com/spreadsheets/d/10oOiF7loTyfsTkbd4MpaIm0HQ9SwB7IYHdIUvt-U1Uc/edit?usp=sharing"",""สระแก้ว!J631"")"),0)</f>
        <v>0</v>
      </c>
      <c r="AK69" s="354">
        <f t="shared" ca="1" si="50"/>
        <v>0</v>
      </c>
      <c r="AL69" s="354">
        <f ca="1">IFERROR(__xludf.DUMMYFUNCTION("IMPORTRANGE(""https://docs.google.com/spreadsheets/d/10oOiF7loTyfsTkbd4MpaIm0HQ9SwB7IYHdIUvt-U1Uc/edit?usp=sharing"",""สระแก้ว!J632"")"),0)</f>
        <v>0</v>
      </c>
      <c r="AM69" s="354">
        <f t="shared" ca="1" si="51"/>
        <v>0</v>
      </c>
      <c r="AN69" s="354">
        <f ca="1">IFERROR(__xludf.DUMMYFUNCTION("IMPORTRANGE(""https://docs.google.com/spreadsheets/d/10oOiF7loTyfsTkbd4MpaIm0HQ9SwB7IYHdIUvt-U1Uc/edit?usp=sharing"",""สระแก้ว!J633"")"),0)</f>
        <v>0</v>
      </c>
      <c r="AO69" s="354">
        <f ca="1">IFERROR(__xludf.DUMMYFUNCTION("IMPORTRANGE(""https://docs.google.com/spreadsheets/d/10oOiF7loTyfsTkbd4MpaIm0HQ9SwB7IYHdIUvt-U1Uc/edit?usp=sharing"",""สระแก้ว!J634"")"),0)</f>
        <v>0</v>
      </c>
      <c r="AP69" s="177">
        <f ca="1">IFERROR(__xludf.DUMMYFUNCTION("IMPORTRANGE(""https://docs.google.com/spreadsheets/d/10oOiF7loTyfsTkbd4MpaIm0HQ9SwB7IYHdIUvt-U1Uc/edit?usp=sharing"",""สระแก้ว!I635"")"),0)</f>
        <v>0</v>
      </c>
      <c r="AQ69" s="177">
        <f ca="1">IFERROR(__xludf.DUMMYFUNCTION("IMPORTRANGE(""https://docs.google.com/spreadsheets/d/10oOiF7loTyfsTkbd4MpaIm0HQ9SwB7IYHdIUvt-U1Uc/edit?usp=sharing"",""สระแก้ว!J635"")"),0)</f>
        <v>0</v>
      </c>
      <c r="AR69" s="354">
        <f t="shared" ca="1" si="53"/>
        <v>0</v>
      </c>
      <c r="AS69" s="177">
        <f ca="1">IFERROR(__xludf.DUMMYFUNCTION("IMPORTRANGE(""https://docs.google.com/spreadsheets/d/10oOiF7loTyfsTkbd4MpaIm0HQ9SwB7IYHdIUvt-U1Uc/edit?usp=sharing"",""สระแก้ว!J636"")"),0)</f>
        <v>0</v>
      </c>
      <c r="AT69" s="177">
        <f ca="1">IFERROR(__xludf.DUMMYFUNCTION("IMPORTRANGE(""https://docs.google.com/spreadsheets/d/10oOiF7loTyfsTkbd4MpaIm0HQ9SwB7IYHdIUvt-U1Uc/edit?usp=sharing"",""สระแก้ว!J637"")"),0)</f>
        <v>0</v>
      </c>
      <c r="AU69" s="177">
        <f ca="1">IFERROR(__xludf.DUMMYFUNCTION("IMPORTRANGE(""https://docs.google.com/spreadsheets/d/10oOiF7loTyfsTkbd4MpaIm0HQ9SwB7IYHdIUvt-U1Uc/edit?usp=sharing"",""สระแก้ว!J638"")"),0)</f>
        <v>0</v>
      </c>
      <c r="AV69" s="177">
        <f ca="1">IFERROR(__xludf.DUMMYFUNCTION("IMPORTRANGE(""https://docs.google.com/spreadsheets/d/10oOiF7loTyfsTkbd4MpaIm0HQ9SwB7IYHdIUvt-U1Uc/edit?usp=sharing"",""สระแก้ว!J639"")"),0)</f>
        <v>0</v>
      </c>
      <c r="AW69" s="177">
        <f ca="1">IFERROR(__xludf.DUMMYFUNCTION("IMPORTRANGE(""https://docs.google.com/spreadsheets/d/10oOiF7loTyfsTkbd4MpaIm0HQ9SwB7IYHdIUvt-U1Uc/edit?usp=sharing"",""สระแก้ว!J640"")"),0)</f>
        <v>0</v>
      </c>
    </row>
    <row r="70" spans="1:49" ht="19.5" x14ac:dyDescent="0.3">
      <c r="A70" s="89">
        <v>18</v>
      </c>
      <c r="B70" s="90" t="s">
        <v>96</v>
      </c>
      <c r="C70" s="174">
        <f t="shared" si="32"/>
        <v>0</v>
      </c>
      <c r="D70" s="175">
        <f t="shared" si="72"/>
        <v>0</v>
      </c>
      <c r="E70" s="403">
        <v>0</v>
      </c>
      <c r="F70" s="403">
        <v>0</v>
      </c>
      <c r="G70" s="403">
        <v>0</v>
      </c>
      <c r="H70" s="403">
        <v>0</v>
      </c>
      <c r="I70" s="403">
        <v>0</v>
      </c>
      <c r="J70" s="176">
        <f t="shared" si="34"/>
        <v>0</v>
      </c>
      <c r="K70" s="179">
        <f t="shared" si="35"/>
        <v>0</v>
      </c>
      <c r="L70" s="403">
        <v>0</v>
      </c>
      <c r="M70" s="87">
        <f t="shared" si="36"/>
        <v>0</v>
      </c>
      <c r="N70" s="87">
        <f t="shared" si="37"/>
        <v>0</v>
      </c>
      <c r="O70" s="403">
        <v>0</v>
      </c>
      <c r="P70" s="86">
        <f t="shared" si="38"/>
        <v>0</v>
      </c>
      <c r="Q70" s="87">
        <f t="shared" si="39"/>
        <v>0</v>
      </c>
      <c r="R70" s="87">
        <f ca="1">IFERROR(__xludf.DUMMYFUNCTION("IMPORTRANGE(""https://docs.google.com/spreadsheets/d/1xmPlrr1QbdSIKvl1dWUl9K4PjAfSL9oeMr_37QVzcxc/edit?usp=sharing"",""สระบุรี!Q616"")"),6825)</f>
        <v>6825</v>
      </c>
      <c r="S70" s="87">
        <f ca="1">IFERROR(__xludf.DUMMYFUNCTION("IMPORTRANGE(""https://docs.google.com/spreadsheets/d/1xmPlrr1QbdSIKvl1dWUl9K4PjAfSL9oeMr_37QVzcxc/edit?usp=sharing"",""สระบุรี!R616"")"),0)</f>
        <v>0</v>
      </c>
      <c r="T70" s="87">
        <f ca="1">IFERROR(__xludf.DUMMYFUNCTION("IMPORTRANGE(""https://docs.google.com/spreadsheets/d/1xmPlrr1QbdSIKvl1dWUl9K4PjAfSL9oeMr_37QVzcxc/edit?usp=sharing"",""สระบุรี!S616"")"),0)</f>
        <v>0</v>
      </c>
      <c r="U70" s="87">
        <f t="shared" ca="1" si="41"/>
        <v>0</v>
      </c>
      <c r="V70" s="87">
        <f t="shared" ca="1" si="42"/>
        <v>0</v>
      </c>
      <c r="W70" s="353">
        <f ca="1">IFERROR(__xludf.DUMMYFUNCTION("IMPORTRANGE(""https://docs.google.com/spreadsheets/d/1xmPlrr1QbdSIKvl1dWUl9K4PjAfSL9oeMr_37QVzcxc/edit?usp=sharing"",""สระบุรี!I626"")"),50)</f>
        <v>50</v>
      </c>
      <c r="X70" s="177">
        <f ca="1">IFERROR(__xludf.DUMMYFUNCTION("IMPORTRANGE(""https://docs.google.com/spreadsheets/d/1xmPlrr1QbdSIKvl1dWUl9K4PjAfSL9oeMr_37QVzcxc/edit?usp=sharing"",""สระบุรี!J626"")"),0)</f>
        <v>0</v>
      </c>
      <c r="Y70" s="354">
        <f t="shared" ca="1" si="44"/>
        <v>0</v>
      </c>
      <c r="Z70" s="177">
        <f ca="1">IFERROR(__xludf.DUMMYFUNCTION("IMPORTRANGE(""https://docs.google.com/spreadsheets/d/1xmPlrr1QbdSIKvl1dWUl9K4PjAfSL9oeMr_37QVzcxc/edit?usp=sharing"",""สระบุรี!I627"")"),0)</f>
        <v>0</v>
      </c>
      <c r="AA70" s="177">
        <f ca="1">IFERROR(__xludf.DUMMYFUNCTION("IMPORTRANGE(""https://docs.google.com/spreadsheets/d/1xmPlrr1QbdSIKvl1dWUl9K4PjAfSL9oeMr_37QVzcxc/edit?usp=sharing"",""สระบุรี!J627"")"),0)</f>
        <v>0</v>
      </c>
      <c r="AB70" s="354">
        <f t="shared" ca="1" si="46"/>
        <v>0</v>
      </c>
      <c r="AC70" s="177">
        <f ca="1">IFERROR(__xludf.DUMMYFUNCTION("IMPORTRANGE(""https://docs.google.com/spreadsheets/d/1xmPlrr1QbdSIKvl1dWUl9K4PjAfSL9oeMr_37QVzcxc/edit?usp=sharing"",""สระบุรี!I628"")"),0)</f>
        <v>0</v>
      </c>
      <c r="AD70" s="177">
        <f ca="1">IFERROR(__xludf.DUMMYFUNCTION("IMPORTRANGE(""https://docs.google.com/spreadsheets/d/1xmPlrr1QbdSIKvl1dWUl9K4PjAfSL9oeMr_37QVzcxc/edit?usp=sharing"",""สระบุรี!J628"")"),0)</f>
        <v>0</v>
      </c>
      <c r="AE70" s="354">
        <f t="shared" ca="1" si="48"/>
        <v>0</v>
      </c>
      <c r="AF70" s="177">
        <f ca="1">IFERROR(__xludf.DUMMYFUNCTION("IMPORTRANGE(""https://docs.google.com/spreadsheets/d/1xmPlrr1QbdSIKvl1dWUl9K4PjAfSL9oeMr_37QVzcxc/edit?usp=sharing"",""สระบุรี!J629"")"),0)</f>
        <v>0</v>
      </c>
      <c r="AG70" s="354">
        <f t="shared" ca="1" si="56"/>
        <v>0</v>
      </c>
      <c r="AH70" s="177">
        <f ca="1">IFERROR(__xludf.DUMMYFUNCTION("IMPORTRANGE(""https://docs.google.com/spreadsheets/d/1xmPlrr1QbdSIKvl1dWUl9K4PjAfSL9oeMr_37QVzcxc/edit?usp=sharing"",""สระบุรี!J630"")"),0)</f>
        <v>0</v>
      </c>
      <c r="AI70" s="354">
        <f t="shared" ca="1" si="49"/>
        <v>0</v>
      </c>
      <c r="AJ70" s="354">
        <f ca="1">IFERROR(__xludf.DUMMYFUNCTION("IMPORTRANGE(""https://docs.google.com/spreadsheets/d/1xmPlrr1QbdSIKvl1dWUl9K4PjAfSL9oeMr_37QVzcxc/edit?usp=sharing"",""สระบุรี!J631"")"),0)</f>
        <v>0</v>
      </c>
      <c r="AK70" s="354">
        <f t="shared" ca="1" si="50"/>
        <v>0</v>
      </c>
      <c r="AL70" s="354">
        <f ca="1">IFERROR(__xludf.DUMMYFUNCTION("IMPORTRANGE(""https://docs.google.com/spreadsheets/d/1xmPlrr1QbdSIKvl1dWUl9K4PjAfSL9oeMr_37QVzcxc/edit?usp=sharing"",""สระบุรี!J632"")"),0)</f>
        <v>0</v>
      </c>
      <c r="AM70" s="354">
        <f t="shared" ca="1" si="51"/>
        <v>0</v>
      </c>
      <c r="AN70" s="354">
        <f ca="1">IFERROR(__xludf.DUMMYFUNCTION("IMPORTRANGE(""https://docs.google.com/spreadsheets/d/1xmPlrr1QbdSIKvl1dWUl9K4PjAfSL9oeMr_37QVzcxc/edit?usp=sharing"",""สระบุรี!J633"")"),0)</f>
        <v>0</v>
      </c>
      <c r="AO70" s="354">
        <f ca="1">IFERROR(__xludf.DUMMYFUNCTION("IMPORTRANGE(""https://docs.google.com/spreadsheets/d/1xmPlrr1QbdSIKvl1dWUl9K4PjAfSL9oeMr_37QVzcxc/edit?usp=sharing"",""สระบุรี!J634"")"),0)</f>
        <v>0</v>
      </c>
      <c r="AP70" s="177">
        <f ca="1">IFERROR(__xludf.DUMMYFUNCTION("IMPORTRANGE(""https://docs.google.com/spreadsheets/d/1xmPlrr1QbdSIKvl1dWUl9K4PjAfSL9oeMr_37QVzcxc/edit?usp=sharing"",""สระบุรี!I635"")"),0)</f>
        <v>0</v>
      </c>
      <c r="AQ70" s="177">
        <f ca="1">IFERROR(__xludf.DUMMYFUNCTION("IMPORTRANGE(""https://docs.google.com/spreadsheets/d/1xmPlrr1QbdSIKvl1dWUl9K4PjAfSL9oeMr_37QVzcxc/edit?usp=sharing"",""สระบุรี!J635"")"),0)</f>
        <v>0</v>
      </c>
      <c r="AR70" s="354">
        <f t="shared" ca="1" si="53"/>
        <v>0</v>
      </c>
      <c r="AS70" s="177">
        <f ca="1">IFERROR(__xludf.DUMMYFUNCTION("IMPORTRANGE(""https://docs.google.com/spreadsheets/d/1xmPlrr1QbdSIKvl1dWUl9K4PjAfSL9oeMr_37QVzcxc/edit?usp=sharing"",""สระบุรี!J636"")"),0)</f>
        <v>0</v>
      </c>
      <c r="AT70" s="177">
        <f ca="1">IFERROR(__xludf.DUMMYFUNCTION("IMPORTRANGE(""https://docs.google.com/spreadsheets/d/1xmPlrr1QbdSIKvl1dWUl9K4PjAfSL9oeMr_37QVzcxc/edit?usp=sharing"",""สระบุรี!J637"")"),0)</f>
        <v>0</v>
      </c>
      <c r="AU70" s="177">
        <f ca="1">IFERROR(__xludf.DUMMYFUNCTION("IMPORTRANGE(""https://docs.google.com/spreadsheets/d/1xmPlrr1QbdSIKvl1dWUl9K4PjAfSL9oeMr_37QVzcxc/edit?usp=sharing"",""สระบุรี!J638"")"),0)</f>
        <v>0</v>
      </c>
      <c r="AV70" s="177">
        <f ca="1">IFERROR(__xludf.DUMMYFUNCTION("IMPORTRANGE(""https://docs.google.com/spreadsheets/d/1xmPlrr1QbdSIKvl1dWUl9K4PjAfSL9oeMr_37QVzcxc/edit?usp=sharing"",""สระบุรี!J639"")"),0)</f>
        <v>0</v>
      </c>
      <c r="AW70" s="177">
        <f ca="1">IFERROR(__xludf.DUMMYFUNCTION("IMPORTRANGE(""https://docs.google.com/spreadsheets/d/1xmPlrr1QbdSIKvl1dWUl9K4PjAfSL9oeMr_37QVzcxc/edit?usp=sharing"",""สระบุรี!J640"")"),0)</f>
        <v>0</v>
      </c>
    </row>
    <row r="71" spans="1:49" ht="19.5" x14ac:dyDescent="0.3">
      <c r="A71" s="89">
        <v>19</v>
      </c>
      <c r="B71" s="90" t="s">
        <v>97</v>
      </c>
      <c r="C71" s="174">
        <f t="shared" si="32"/>
        <v>0</v>
      </c>
      <c r="D71" s="175">
        <f t="shared" si="72"/>
        <v>0</v>
      </c>
      <c r="E71" s="403">
        <v>0</v>
      </c>
      <c r="F71" s="403">
        <v>0</v>
      </c>
      <c r="G71" s="403">
        <v>0</v>
      </c>
      <c r="H71" s="403">
        <v>0</v>
      </c>
      <c r="I71" s="403">
        <v>0</v>
      </c>
      <c r="J71" s="176">
        <f t="shared" si="34"/>
        <v>0</v>
      </c>
      <c r="K71" s="179">
        <f t="shared" si="35"/>
        <v>0</v>
      </c>
      <c r="L71" s="403">
        <v>0</v>
      </c>
      <c r="M71" s="87">
        <f t="shared" si="36"/>
        <v>0</v>
      </c>
      <c r="N71" s="87">
        <f t="shared" si="37"/>
        <v>0</v>
      </c>
      <c r="O71" s="403">
        <v>0</v>
      </c>
      <c r="P71" s="86">
        <f t="shared" si="38"/>
        <v>0</v>
      </c>
      <c r="Q71" s="87">
        <f t="shared" si="39"/>
        <v>0</v>
      </c>
      <c r="R71" s="87">
        <f ca="1">IFERROR(__xludf.DUMMYFUNCTION("IMPORTRANGE(""https://docs.google.com/spreadsheets/d/1j51vR6CYVGhABJpv6tkstgok82RLpXieLzW1yOY5rHw/edit?usp=sharing"",""สิงห์บุรี!Q616"")"),4650)</f>
        <v>4650</v>
      </c>
      <c r="S71" s="87">
        <f ca="1">IFERROR(__xludf.DUMMYFUNCTION("IMPORTRANGE(""https://docs.google.com/spreadsheets/d/1j51vR6CYVGhABJpv6tkstgok82RLpXieLzW1yOY5rHw/edit?usp=sharing"",""สิงห์บุรี!R616"")"),0)</f>
        <v>0</v>
      </c>
      <c r="T71" s="87">
        <f ca="1">IFERROR(__xludf.DUMMYFUNCTION("IMPORTRANGE(""https://docs.google.com/spreadsheets/d/1j51vR6CYVGhABJpv6tkstgok82RLpXieLzW1yOY5rHw/edit?usp=sharing"",""สิงห์บุรี!S616"")"),650)</f>
        <v>650</v>
      </c>
      <c r="U71" s="87">
        <f t="shared" ca="1" si="41"/>
        <v>13.978494623655914</v>
      </c>
      <c r="V71" s="87">
        <f t="shared" ca="1" si="42"/>
        <v>0</v>
      </c>
      <c r="W71" s="353">
        <f ca="1">IFERROR(__xludf.DUMMYFUNCTION("IMPORTRANGE(""https://docs.google.com/spreadsheets/d/1j51vR6CYVGhABJpv6tkstgok82RLpXieLzW1yOY5rHw/edit?usp=sharing"",""สิงห์บุรี!I626"")"),30)</f>
        <v>30</v>
      </c>
      <c r="X71" s="177">
        <f ca="1">IFERROR(__xludf.DUMMYFUNCTION("IMPORTRANGE(""https://docs.google.com/spreadsheets/d/1j51vR6CYVGhABJpv6tkstgok82RLpXieLzW1yOY5rHw/edit?usp=sharing"",""สิงห์บุรี!J626"")"),0)</f>
        <v>0</v>
      </c>
      <c r="Y71" s="354">
        <f t="shared" ca="1" si="44"/>
        <v>0</v>
      </c>
      <c r="Z71" s="177">
        <f ca="1">IFERROR(__xludf.DUMMYFUNCTION("IMPORTRANGE(""https://docs.google.com/spreadsheets/d/1j51vR6CYVGhABJpv6tkstgok82RLpXieLzW1yOY5rHw/edit?usp=sharing"",""สิงห์บุรี!I627"")"),0)</f>
        <v>0</v>
      </c>
      <c r="AA71" s="177">
        <f ca="1">IFERROR(__xludf.DUMMYFUNCTION("IMPORTRANGE(""https://docs.google.com/spreadsheets/d/1j51vR6CYVGhABJpv6tkstgok82RLpXieLzW1yOY5rHw/edit?usp=sharing"",""สิงห์บุรี!J627"")"),0)</f>
        <v>0</v>
      </c>
      <c r="AB71" s="354">
        <f t="shared" ca="1" si="46"/>
        <v>0</v>
      </c>
      <c r="AC71" s="177">
        <f ca="1">IFERROR(__xludf.DUMMYFUNCTION("IMPORTRANGE(""https://docs.google.com/spreadsheets/d/1j51vR6CYVGhABJpv6tkstgok82RLpXieLzW1yOY5rHw/edit?usp=sharing"",""สิงห์บุรี!I628"")"),0)</f>
        <v>0</v>
      </c>
      <c r="AD71" s="177">
        <f ca="1">IFERROR(__xludf.DUMMYFUNCTION("IMPORTRANGE(""https://docs.google.com/spreadsheets/d/1j51vR6CYVGhABJpv6tkstgok82RLpXieLzW1yOY5rHw/edit?usp=sharing"",""สิงห์บุรี!J628"")"),0)</f>
        <v>0</v>
      </c>
      <c r="AE71" s="354">
        <f t="shared" ca="1" si="48"/>
        <v>0</v>
      </c>
      <c r="AF71" s="177">
        <f ca="1">IFERROR(__xludf.DUMMYFUNCTION("IMPORTRANGE(""https://docs.google.com/spreadsheets/d/1j51vR6CYVGhABJpv6tkstgok82RLpXieLzW1yOY5rHw/edit?usp=sharing"",""สิงห์บุรี!J629"")"),0)</f>
        <v>0</v>
      </c>
      <c r="AG71" s="354">
        <f t="shared" ca="1" si="56"/>
        <v>0</v>
      </c>
      <c r="AH71" s="177">
        <f ca="1">IFERROR(__xludf.DUMMYFUNCTION("IMPORTRANGE(""https://docs.google.com/spreadsheets/d/1j51vR6CYVGhABJpv6tkstgok82RLpXieLzW1yOY5rHw/edit?usp=sharing"",""สิงห์บุรี!J630"")"),0)</f>
        <v>0</v>
      </c>
      <c r="AI71" s="354">
        <f t="shared" ca="1" si="49"/>
        <v>0</v>
      </c>
      <c r="AJ71" s="354">
        <f ca="1">IFERROR(__xludf.DUMMYFUNCTION("IMPORTRANGE(""https://docs.google.com/spreadsheets/d/1j51vR6CYVGhABJpv6tkstgok82RLpXieLzW1yOY5rHw/edit?usp=sharing"",""สิงห์บุรี!J631"")"),0)</f>
        <v>0</v>
      </c>
      <c r="AK71" s="354">
        <f t="shared" ca="1" si="50"/>
        <v>0</v>
      </c>
      <c r="AL71" s="354">
        <f ca="1">IFERROR(__xludf.DUMMYFUNCTION("IMPORTRANGE(""https://docs.google.com/spreadsheets/d/1j51vR6CYVGhABJpv6tkstgok82RLpXieLzW1yOY5rHw/edit?usp=sharing"",""สิงห์บุรี!J632"")"),0)</f>
        <v>0</v>
      </c>
      <c r="AM71" s="354">
        <f t="shared" ca="1" si="51"/>
        <v>0</v>
      </c>
      <c r="AN71" s="354">
        <f ca="1">IFERROR(__xludf.DUMMYFUNCTION("IMPORTRANGE(""https://docs.google.com/spreadsheets/d/1j51vR6CYVGhABJpv6tkstgok82RLpXieLzW1yOY5rHw/edit?usp=sharing"",""สิงห์บุรี!J633"")"),0)</f>
        <v>0</v>
      </c>
      <c r="AO71" s="354">
        <f ca="1">IFERROR(__xludf.DUMMYFUNCTION("IMPORTRANGE(""https://docs.google.com/spreadsheets/d/1j51vR6CYVGhABJpv6tkstgok82RLpXieLzW1yOY5rHw/edit?usp=sharing"",""สิงห์บุรี!J634"")"),0)</f>
        <v>0</v>
      </c>
      <c r="AP71" s="177">
        <f ca="1">IFERROR(__xludf.DUMMYFUNCTION("IMPORTRANGE(""https://docs.google.com/spreadsheets/d/1j51vR6CYVGhABJpv6tkstgok82RLpXieLzW1yOY5rHw/edit?usp=sharing"",""สิงห์บุรี!I635"")"),0)</f>
        <v>0</v>
      </c>
      <c r="AQ71" s="177">
        <f ca="1">IFERROR(__xludf.DUMMYFUNCTION("IMPORTRANGE(""https://docs.google.com/spreadsheets/d/1j51vR6CYVGhABJpv6tkstgok82RLpXieLzW1yOY5rHw/edit?usp=sharing"",""สิงห์บุรี!J635"")"),0)</f>
        <v>0</v>
      </c>
      <c r="AR71" s="354">
        <f t="shared" ca="1" si="53"/>
        <v>0</v>
      </c>
      <c r="AS71" s="177">
        <f ca="1">IFERROR(__xludf.DUMMYFUNCTION("IMPORTRANGE(""https://docs.google.com/spreadsheets/d/1j51vR6CYVGhABJpv6tkstgok82RLpXieLzW1yOY5rHw/edit?usp=sharing"",""สิงห์บุรี!J636"")"),0)</f>
        <v>0</v>
      </c>
      <c r="AT71" s="177">
        <f ca="1">IFERROR(__xludf.DUMMYFUNCTION("IMPORTRANGE(""https://docs.google.com/spreadsheets/d/1j51vR6CYVGhABJpv6tkstgok82RLpXieLzW1yOY5rHw/edit?usp=sharing"",""สิงห์บุรี!J637"")"),0)</f>
        <v>0</v>
      </c>
      <c r="AU71" s="177">
        <f ca="1">IFERROR(__xludf.DUMMYFUNCTION("IMPORTRANGE(""https://docs.google.com/spreadsheets/d/1j51vR6CYVGhABJpv6tkstgok82RLpXieLzW1yOY5rHw/edit?usp=sharing"",""สิงห์บุรี!J638"")"),0)</f>
        <v>0</v>
      </c>
      <c r="AV71" s="177">
        <f ca="1">IFERROR(__xludf.DUMMYFUNCTION("IMPORTRANGE(""https://docs.google.com/spreadsheets/d/1j51vR6CYVGhABJpv6tkstgok82RLpXieLzW1yOY5rHw/edit?usp=sharing"",""สิงห์บุรี!J639"")"),0)</f>
        <v>0</v>
      </c>
      <c r="AW71" s="177">
        <f ca="1">IFERROR(__xludf.DUMMYFUNCTION("IMPORTRANGE(""https://docs.google.com/spreadsheets/d/1j51vR6CYVGhABJpv6tkstgok82RLpXieLzW1yOY5rHw/edit?usp=sharing"",""สิงห์บุรี!J640"")"),0)</f>
        <v>0</v>
      </c>
    </row>
    <row r="72" spans="1:49" ht="19.5" x14ac:dyDescent="0.3">
      <c r="A72" s="89">
        <v>20</v>
      </c>
      <c r="B72" s="90" t="s">
        <v>98</v>
      </c>
      <c r="C72" s="174">
        <f t="shared" si="32"/>
        <v>0</v>
      </c>
      <c r="D72" s="175">
        <f t="shared" si="72"/>
        <v>0</v>
      </c>
      <c r="E72" s="403">
        <v>0</v>
      </c>
      <c r="F72" s="403">
        <v>0</v>
      </c>
      <c r="G72" s="403">
        <v>0</v>
      </c>
      <c r="H72" s="403">
        <v>0</v>
      </c>
      <c r="I72" s="403">
        <v>0</v>
      </c>
      <c r="J72" s="176">
        <f t="shared" si="34"/>
        <v>0</v>
      </c>
      <c r="K72" s="179">
        <f t="shared" si="35"/>
        <v>0</v>
      </c>
      <c r="L72" s="403">
        <v>0</v>
      </c>
      <c r="M72" s="87">
        <f t="shared" si="36"/>
        <v>0</v>
      </c>
      <c r="N72" s="87">
        <f t="shared" si="37"/>
        <v>0</v>
      </c>
      <c r="O72" s="403">
        <v>0</v>
      </c>
      <c r="P72" s="86">
        <f t="shared" si="38"/>
        <v>0</v>
      </c>
      <c r="Q72" s="87">
        <f t="shared" si="39"/>
        <v>0</v>
      </c>
      <c r="R72" s="87">
        <f ca="1">IFERROR(__xludf.DUMMYFUNCTION("IMPORTRANGE(""https://docs.google.com/spreadsheets/d/1H1EalTWKUSzO4Z1-1CwzoDUaVffgrThEBe2sl74kKG0/edit?usp=sharing"",""สุพรรณบุรี!Q616"")"),1250)</f>
        <v>1250</v>
      </c>
      <c r="S72" s="87">
        <f ca="1">IFERROR(__xludf.DUMMYFUNCTION("IMPORTRANGE(""https://docs.google.com/spreadsheets/d/1H1EalTWKUSzO4Z1-1CwzoDUaVffgrThEBe2sl74kKG0/edit?usp=sharing"",""สุพรรณบุรี!R616"")"),0)</f>
        <v>0</v>
      </c>
      <c r="T72" s="87">
        <f ca="1">IFERROR(__xludf.DUMMYFUNCTION("IMPORTRANGE(""https://docs.google.com/spreadsheets/d/1H1EalTWKUSzO4Z1-1CwzoDUaVffgrThEBe2sl74kKG0/edit?usp=sharing"",""สุพรรณบุรี!S616"")"),0)</f>
        <v>0</v>
      </c>
      <c r="U72" s="87">
        <f t="shared" ca="1" si="41"/>
        <v>0</v>
      </c>
      <c r="V72" s="87">
        <f t="shared" ca="1" si="42"/>
        <v>0</v>
      </c>
      <c r="W72" s="353">
        <f ca="1">IFERROR(__xludf.DUMMYFUNCTION("IMPORTRANGE(""https://docs.google.com/spreadsheets/d/1H1EalTWKUSzO4Z1-1CwzoDUaVffgrThEBe2sl74kKG0/edit?usp=sharing"",""สุพรรณบุรี!I626"")"),0)</f>
        <v>0</v>
      </c>
      <c r="X72" s="177">
        <f ca="1">IFERROR(__xludf.DUMMYFUNCTION("IMPORTRANGE(""https://docs.google.com/spreadsheets/d/1H1EalTWKUSzO4Z1-1CwzoDUaVffgrThEBe2sl74kKG0/edit?usp=sharing"",""สุพรรณบุรี!J626"")"),0)</f>
        <v>0</v>
      </c>
      <c r="Y72" s="354">
        <f t="shared" ca="1" si="44"/>
        <v>0</v>
      </c>
      <c r="Z72" s="177">
        <f ca="1">IFERROR(__xludf.DUMMYFUNCTION("IMPORTRANGE(""https://docs.google.com/spreadsheets/d/1H1EalTWKUSzO4Z1-1CwzoDUaVffgrThEBe2sl74kKG0/edit?usp=sharing"",""สุพรรณบุรี!I627"")"),0)</f>
        <v>0</v>
      </c>
      <c r="AA72" s="177">
        <f ca="1">IFERROR(__xludf.DUMMYFUNCTION("IMPORTRANGE(""https://docs.google.com/spreadsheets/d/1H1EalTWKUSzO4Z1-1CwzoDUaVffgrThEBe2sl74kKG0/edit?usp=sharing"",""สุพรรณบุรี!J627"")"),0)</f>
        <v>0</v>
      </c>
      <c r="AB72" s="354">
        <f t="shared" ca="1" si="46"/>
        <v>0</v>
      </c>
      <c r="AC72" s="177">
        <f ca="1">IFERROR(__xludf.DUMMYFUNCTION("IMPORTRANGE(""https://docs.google.com/spreadsheets/d/1H1EalTWKUSzO4Z1-1CwzoDUaVffgrThEBe2sl74kKG0/edit?usp=sharing"",""สุพรรณบุรี!I628"")"),0)</f>
        <v>0</v>
      </c>
      <c r="AD72" s="177">
        <f ca="1">IFERROR(__xludf.DUMMYFUNCTION("IMPORTRANGE(""https://docs.google.com/spreadsheets/d/1H1EalTWKUSzO4Z1-1CwzoDUaVffgrThEBe2sl74kKG0/edit?usp=sharing"",""สุพรรณบุรี!J628"")"),0)</f>
        <v>0</v>
      </c>
      <c r="AE72" s="354">
        <f t="shared" ca="1" si="48"/>
        <v>0</v>
      </c>
      <c r="AF72" s="177">
        <f ca="1">IFERROR(__xludf.DUMMYFUNCTION("IMPORTRANGE(""https://docs.google.com/spreadsheets/d/1H1EalTWKUSzO4Z1-1CwzoDUaVffgrThEBe2sl74kKG0/edit?usp=sharing"",""สุพรรณบุรี!J629"")"),0)</f>
        <v>0</v>
      </c>
      <c r="AG72" s="354">
        <f t="shared" ca="1" si="56"/>
        <v>0</v>
      </c>
      <c r="AH72" s="177">
        <f ca="1">IFERROR(__xludf.DUMMYFUNCTION("IMPORTRANGE(""https://docs.google.com/spreadsheets/d/1H1EalTWKUSzO4Z1-1CwzoDUaVffgrThEBe2sl74kKG0/edit?usp=sharing"",""สุพรรณบุรี!J630"")"),0)</f>
        <v>0</v>
      </c>
      <c r="AI72" s="354">
        <f t="shared" ca="1" si="49"/>
        <v>0</v>
      </c>
      <c r="AJ72" s="354">
        <f ca="1">IFERROR(__xludf.DUMMYFUNCTION("IMPORTRANGE(""https://docs.google.com/spreadsheets/d/1H1EalTWKUSzO4Z1-1CwzoDUaVffgrThEBe2sl74kKG0/edit?usp=sharing"",""สุพรรณบุรี!J631"")"),0)</f>
        <v>0</v>
      </c>
      <c r="AK72" s="354">
        <f t="shared" ca="1" si="50"/>
        <v>0</v>
      </c>
      <c r="AL72" s="354">
        <f ca="1">IFERROR(__xludf.DUMMYFUNCTION("IMPORTRANGE(""https://docs.google.com/spreadsheets/d/1H1EalTWKUSzO4Z1-1CwzoDUaVffgrThEBe2sl74kKG0/edit?usp=sharing"",""สุพรรณบุรี!J632"")"),0)</f>
        <v>0</v>
      </c>
      <c r="AM72" s="354">
        <f t="shared" ca="1" si="51"/>
        <v>0</v>
      </c>
      <c r="AN72" s="354">
        <f ca="1">IFERROR(__xludf.DUMMYFUNCTION("IMPORTRANGE(""https://docs.google.com/spreadsheets/d/1H1EalTWKUSzO4Z1-1CwzoDUaVffgrThEBe2sl74kKG0/edit?usp=sharing"",""สุพรรณบุรี!J633"")"),0)</f>
        <v>0</v>
      </c>
      <c r="AO72" s="354">
        <f ca="1">IFERROR(__xludf.DUMMYFUNCTION("IMPORTRANGE(""https://docs.google.com/spreadsheets/d/1H1EalTWKUSzO4Z1-1CwzoDUaVffgrThEBe2sl74kKG0/edit?usp=sharing"",""สุพรรณบุรี!J634"")"),0)</f>
        <v>0</v>
      </c>
      <c r="AP72" s="177">
        <f ca="1">IFERROR(__xludf.DUMMYFUNCTION("IMPORTRANGE(""https://docs.google.com/spreadsheets/d/1H1EalTWKUSzO4Z1-1CwzoDUaVffgrThEBe2sl74kKG0/edit?usp=sharing"",""สุพรรณบุรี!I635"")"),0)</f>
        <v>0</v>
      </c>
      <c r="AQ72" s="177">
        <f ca="1">IFERROR(__xludf.DUMMYFUNCTION("IMPORTRANGE(""https://docs.google.com/spreadsheets/d/1H1EalTWKUSzO4Z1-1CwzoDUaVffgrThEBe2sl74kKG0/edit?usp=sharing"",""สุพรรณบุรี!J635"")"),0)</f>
        <v>0</v>
      </c>
      <c r="AR72" s="354">
        <f t="shared" ca="1" si="53"/>
        <v>0</v>
      </c>
      <c r="AS72" s="177">
        <f ca="1">IFERROR(__xludf.DUMMYFUNCTION("IMPORTRANGE(""https://docs.google.com/spreadsheets/d/1H1EalTWKUSzO4Z1-1CwzoDUaVffgrThEBe2sl74kKG0/edit?usp=sharing"",""สุพรรณบุรี!J636"")"),0)</f>
        <v>0</v>
      </c>
      <c r="AT72" s="177">
        <f ca="1">IFERROR(__xludf.DUMMYFUNCTION("IMPORTRANGE(""https://docs.google.com/spreadsheets/d/1H1EalTWKUSzO4Z1-1CwzoDUaVffgrThEBe2sl74kKG0/edit?usp=sharing"",""สุพรรณบุรี!J637"")"),0)</f>
        <v>0</v>
      </c>
      <c r="AU72" s="177">
        <f ca="1">IFERROR(__xludf.DUMMYFUNCTION("IMPORTRANGE(""https://docs.google.com/spreadsheets/d/1H1EalTWKUSzO4Z1-1CwzoDUaVffgrThEBe2sl74kKG0/edit?usp=sharing"",""สุพรรณบุรี!J638"")"),0)</f>
        <v>0</v>
      </c>
      <c r="AV72" s="177">
        <f ca="1">IFERROR(__xludf.DUMMYFUNCTION("IMPORTRANGE(""https://docs.google.com/spreadsheets/d/1H1EalTWKUSzO4Z1-1CwzoDUaVffgrThEBe2sl74kKG0/edit?usp=sharing"",""สุพรรณบุรี!J639"")"),0)</f>
        <v>0</v>
      </c>
      <c r="AW72" s="177">
        <f ca="1">IFERROR(__xludf.DUMMYFUNCTION("IMPORTRANGE(""https://docs.google.com/spreadsheets/d/1H1EalTWKUSzO4Z1-1CwzoDUaVffgrThEBe2sl74kKG0/edit?usp=sharing"",""สุพรรณบุรี!J640"")"),0)</f>
        <v>0</v>
      </c>
    </row>
    <row r="73" spans="1:49" ht="19.5" x14ac:dyDescent="0.3">
      <c r="A73" s="100">
        <v>21</v>
      </c>
      <c r="B73" s="101" t="s">
        <v>99</v>
      </c>
      <c r="C73" s="182">
        <f t="shared" si="32"/>
        <v>0</v>
      </c>
      <c r="D73" s="183">
        <f t="shared" si="72"/>
        <v>0</v>
      </c>
      <c r="E73" s="409">
        <v>0</v>
      </c>
      <c r="F73" s="409">
        <v>0</v>
      </c>
      <c r="G73" s="409">
        <v>0</v>
      </c>
      <c r="H73" s="409">
        <v>0</v>
      </c>
      <c r="I73" s="409">
        <v>0</v>
      </c>
      <c r="J73" s="184">
        <f t="shared" si="34"/>
        <v>0</v>
      </c>
      <c r="K73" s="185">
        <f t="shared" si="35"/>
        <v>0</v>
      </c>
      <c r="L73" s="409">
        <v>0</v>
      </c>
      <c r="M73" s="109">
        <f t="shared" si="36"/>
        <v>0</v>
      </c>
      <c r="N73" s="109">
        <f t="shared" si="37"/>
        <v>0</v>
      </c>
      <c r="O73" s="409">
        <v>0</v>
      </c>
      <c r="P73" s="108">
        <f t="shared" si="38"/>
        <v>0</v>
      </c>
      <c r="Q73" s="109">
        <f t="shared" si="39"/>
        <v>0</v>
      </c>
      <c r="R73" s="109">
        <f ca="1">IFERROR(__xludf.DUMMYFUNCTION("IMPORTRANGE(""https://docs.google.com/spreadsheets/d/1BmIruG_sIrJLYao_Pdr7zVArWsfoBt2692TMi6x_854/edit?usp=sharing"",""อ่างทอง!Q616"")"),4675)</f>
        <v>4675</v>
      </c>
      <c r="S73" s="109">
        <f ca="1">IFERROR(__xludf.DUMMYFUNCTION("IMPORTRANGE(""https://docs.google.com/spreadsheets/d/1BmIruG_sIrJLYao_Pdr7zVArWsfoBt2692TMi6x_854/edit?usp=sharing"",""อ่างทอง!R616"")"),0)</f>
        <v>0</v>
      </c>
      <c r="T73" s="109">
        <f ca="1">IFERROR(__xludf.DUMMYFUNCTION("IMPORTRANGE(""https://docs.google.com/spreadsheets/d/1BmIruG_sIrJLYao_Pdr7zVArWsfoBt2692TMi6x_854/edit?usp=sharing"",""อ่างทอง!S616"")"),0)</f>
        <v>0</v>
      </c>
      <c r="U73" s="109">
        <f t="shared" ca="1" si="41"/>
        <v>0</v>
      </c>
      <c r="V73" s="109">
        <f t="shared" ca="1" si="42"/>
        <v>0</v>
      </c>
      <c r="W73" s="356">
        <f ca="1">IFERROR(__xludf.DUMMYFUNCTION("IMPORTRANGE(""https://docs.google.com/spreadsheets/d/1BmIruG_sIrJLYao_Pdr7zVArWsfoBt2692TMi6x_854/edit?usp=sharing"",""อ่างทอง!I626"")"),30)</f>
        <v>30</v>
      </c>
      <c r="X73" s="186">
        <f ca="1">IFERROR(__xludf.DUMMYFUNCTION("IMPORTRANGE(""https://docs.google.com/spreadsheets/d/1BmIruG_sIrJLYao_Pdr7zVArWsfoBt2692TMi6x_854/edit?usp=sharing"",""อ่างทอง!J626"")"),0)</f>
        <v>0</v>
      </c>
      <c r="Y73" s="357">
        <f t="shared" ca="1" si="44"/>
        <v>0</v>
      </c>
      <c r="Z73" s="186">
        <f ca="1">IFERROR(__xludf.DUMMYFUNCTION("IMPORTRANGE(""https://docs.google.com/spreadsheets/d/1BmIruG_sIrJLYao_Pdr7zVArWsfoBt2692TMi6x_854/edit?usp=sharing"",""อ่างทอง!I627"")"),0)</f>
        <v>0</v>
      </c>
      <c r="AA73" s="186">
        <f ca="1">IFERROR(__xludf.DUMMYFUNCTION("IMPORTRANGE(""https://docs.google.com/spreadsheets/d/1BmIruG_sIrJLYao_Pdr7zVArWsfoBt2692TMi6x_854/edit?usp=sharing"",""อ่างทอง!J627"")"),0)</f>
        <v>0</v>
      </c>
      <c r="AB73" s="357">
        <f t="shared" ca="1" si="46"/>
        <v>0</v>
      </c>
      <c r="AC73" s="186">
        <f ca="1">IFERROR(__xludf.DUMMYFUNCTION("IMPORTRANGE(""https://docs.google.com/spreadsheets/d/1BmIruG_sIrJLYao_Pdr7zVArWsfoBt2692TMi6x_854/edit?usp=sharing"",""อ่างทอง!I628"")"),0)</f>
        <v>0</v>
      </c>
      <c r="AD73" s="186">
        <f ca="1">IFERROR(__xludf.DUMMYFUNCTION("IMPORTRANGE(""https://docs.google.com/spreadsheets/d/1BmIruG_sIrJLYao_Pdr7zVArWsfoBt2692TMi6x_854/edit?usp=sharing"",""อ่างทอง!J628"")"),0)</f>
        <v>0</v>
      </c>
      <c r="AE73" s="357">
        <f t="shared" ca="1" si="48"/>
        <v>0</v>
      </c>
      <c r="AF73" s="186">
        <f ca="1">IFERROR(__xludf.DUMMYFUNCTION("IMPORTRANGE(""https://docs.google.com/spreadsheets/d/1BmIruG_sIrJLYao_Pdr7zVArWsfoBt2692TMi6x_854/edit?usp=sharing"",""อ่างทอง!J629"")"),0)</f>
        <v>0</v>
      </c>
      <c r="AG73" s="357">
        <f t="shared" ca="1" si="56"/>
        <v>0</v>
      </c>
      <c r="AH73" s="186">
        <f ca="1">IFERROR(__xludf.DUMMYFUNCTION("IMPORTRANGE(""https://docs.google.com/spreadsheets/d/1BmIruG_sIrJLYao_Pdr7zVArWsfoBt2692TMi6x_854/edit?usp=sharing"",""อ่างทอง!J630"")"),0)</f>
        <v>0</v>
      </c>
      <c r="AI73" s="357">
        <f t="shared" ca="1" si="49"/>
        <v>0</v>
      </c>
      <c r="AJ73" s="357">
        <f ca="1">IFERROR(__xludf.DUMMYFUNCTION("IMPORTRANGE(""https://docs.google.com/spreadsheets/d/1BmIruG_sIrJLYao_Pdr7zVArWsfoBt2692TMi6x_854/edit?usp=sharing"",""อ่างทอง!J631"")"),0)</f>
        <v>0</v>
      </c>
      <c r="AK73" s="357">
        <f t="shared" ca="1" si="50"/>
        <v>0</v>
      </c>
      <c r="AL73" s="357">
        <f ca="1">IFERROR(__xludf.DUMMYFUNCTION("IMPORTRANGE(""https://docs.google.com/spreadsheets/d/1BmIruG_sIrJLYao_Pdr7zVArWsfoBt2692TMi6x_854/edit?usp=sharing"",""อ่างทอง!J632"")"),0)</f>
        <v>0</v>
      </c>
      <c r="AM73" s="357">
        <f t="shared" ca="1" si="51"/>
        <v>0</v>
      </c>
      <c r="AN73" s="357">
        <f ca="1">IFERROR(__xludf.DUMMYFUNCTION("IMPORTRANGE(""https://docs.google.com/spreadsheets/d/1BmIruG_sIrJLYao_Pdr7zVArWsfoBt2692TMi6x_854/edit?usp=sharing"",""อ่างทอง!J633"")"),0)</f>
        <v>0</v>
      </c>
      <c r="AO73" s="357">
        <f ca="1">IFERROR(__xludf.DUMMYFUNCTION("IMPORTRANGE(""https://docs.google.com/spreadsheets/d/1BmIruG_sIrJLYao_Pdr7zVArWsfoBt2692TMi6x_854/edit?usp=sharing"",""อ่างทอง!J634"")"),0)</f>
        <v>0</v>
      </c>
      <c r="AP73" s="186">
        <f ca="1">IFERROR(__xludf.DUMMYFUNCTION("IMPORTRANGE(""https://docs.google.com/spreadsheets/d/1BmIruG_sIrJLYao_Pdr7zVArWsfoBt2692TMi6x_854/edit?usp=sharing"",""อ่างทอง!I635"")"),0)</f>
        <v>0</v>
      </c>
      <c r="AQ73" s="186">
        <f ca="1">IFERROR(__xludf.DUMMYFUNCTION("IMPORTRANGE(""https://docs.google.com/spreadsheets/d/1BmIruG_sIrJLYao_Pdr7zVArWsfoBt2692TMi6x_854/edit?usp=sharing"",""อ่างทอง!J635"")"),0)</f>
        <v>0</v>
      </c>
      <c r="AR73" s="357">
        <f t="shared" ca="1" si="53"/>
        <v>0</v>
      </c>
      <c r="AS73" s="186">
        <f ca="1">IFERROR(__xludf.DUMMYFUNCTION("IMPORTRANGE(""https://docs.google.com/spreadsheets/d/1BmIruG_sIrJLYao_Pdr7zVArWsfoBt2692TMi6x_854/edit?usp=sharing"",""อ่างทอง!J636"")"),0)</f>
        <v>0</v>
      </c>
      <c r="AT73" s="186">
        <f ca="1">IFERROR(__xludf.DUMMYFUNCTION("IMPORTRANGE(""https://docs.google.com/spreadsheets/d/1BmIruG_sIrJLYao_Pdr7zVArWsfoBt2692TMi6x_854/edit?usp=sharing"",""อ่างทอง!J637"")"),0)</f>
        <v>0</v>
      </c>
      <c r="AU73" s="186">
        <f ca="1">IFERROR(__xludf.DUMMYFUNCTION("IMPORTRANGE(""https://docs.google.com/spreadsheets/d/1BmIruG_sIrJLYao_Pdr7zVArWsfoBt2692TMi6x_854/edit?usp=sharing"",""อ่างทอง!J638"")"),0)</f>
        <v>0</v>
      </c>
      <c r="AV73" s="438">
        <f ca="1">IFERROR(__xludf.DUMMYFUNCTION("IMPORTRANGE(""https://docs.google.com/spreadsheets/d/1BmIruG_sIrJLYao_Pdr7zVArWsfoBt2692TMi6x_854/edit?usp=sharing"",""อ่างทอง!J639"")"),0)</f>
        <v>0</v>
      </c>
      <c r="AW73" s="186">
        <f ca="1">IFERROR(__xludf.DUMMYFUNCTION("IMPORTRANGE(""https://docs.google.com/spreadsheets/d/1BmIruG_sIrJLYao_Pdr7zVArWsfoBt2692TMi6x_854/edit?usp=sharing"",""อ่างทอง!J640"")"),0)</f>
        <v>0</v>
      </c>
    </row>
    <row r="74" spans="1:49" ht="19.5" x14ac:dyDescent="0.3">
      <c r="A74" s="624" t="s">
        <v>100</v>
      </c>
      <c r="B74" s="604"/>
      <c r="C74" s="161">
        <f t="shared" si="32"/>
        <v>0</v>
      </c>
      <c r="D74" s="161">
        <f t="shared" ref="D74:I74" si="73">SUM(D75:D88)</f>
        <v>0</v>
      </c>
      <c r="E74" s="161">
        <f t="shared" si="73"/>
        <v>0</v>
      </c>
      <c r="F74" s="161">
        <f t="shared" si="73"/>
        <v>0</v>
      </c>
      <c r="G74" s="161">
        <f t="shared" si="73"/>
        <v>0</v>
      </c>
      <c r="H74" s="161">
        <f t="shared" si="73"/>
        <v>0</v>
      </c>
      <c r="I74" s="161">
        <f t="shared" si="73"/>
        <v>0</v>
      </c>
      <c r="J74" s="161">
        <f t="shared" si="34"/>
        <v>0</v>
      </c>
      <c r="K74" s="162">
        <f t="shared" si="35"/>
        <v>0</v>
      </c>
      <c r="L74" s="161">
        <f>SUM(L75:L88)</f>
        <v>0</v>
      </c>
      <c r="M74" s="40">
        <f t="shared" si="36"/>
        <v>0</v>
      </c>
      <c r="N74" s="40">
        <f t="shared" si="37"/>
        <v>0</v>
      </c>
      <c r="O74" s="39">
        <f>SUM(O75:O88)</f>
        <v>0</v>
      </c>
      <c r="P74" s="39">
        <f t="shared" si="38"/>
        <v>0</v>
      </c>
      <c r="Q74" s="40">
        <f t="shared" si="39"/>
        <v>0</v>
      </c>
      <c r="R74" s="40">
        <f t="shared" ref="R74:T74" ca="1" si="74">SUM(R75:R88)</f>
        <v>83175</v>
      </c>
      <c r="S74" s="40">
        <f t="shared" ca="1" si="74"/>
        <v>0</v>
      </c>
      <c r="T74" s="40">
        <f t="shared" ca="1" si="74"/>
        <v>2925</v>
      </c>
      <c r="U74" s="40">
        <f t="shared" ca="1" si="41"/>
        <v>3.5166816952209197</v>
      </c>
      <c r="V74" s="40">
        <f t="shared" ca="1" si="42"/>
        <v>0</v>
      </c>
      <c r="W74" s="347">
        <f t="shared" ref="W74:X74" ca="1" si="75">SUM(W75:W88)</f>
        <v>550</v>
      </c>
      <c r="X74" s="161">
        <f t="shared" ca="1" si="75"/>
        <v>0</v>
      </c>
      <c r="Y74" s="40">
        <f t="shared" ca="1" si="44"/>
        <v>0</v>
      </c>
      <c r="Z74" s="161">
        <f t="shared" ref="Z74:AA74" ca="1" si="76">SUM(Z75:Z88)</f>
        <v>9</v>
      </c>
      <c r="AA74" s="161">
        <f t="shared" ca="1" si="76"/>
        <v>0</v>
      </c>
      <c r="AB74" s="40">
        <f t="shared" ca="1" si="46"/>
        <v>0</v>
      </c>
      <c r="AC74" s="161">
        <f t="shared" ref="AC74:AD74" ca="1" si="77">SUM(AC75:AC88)</f>
        <v>9</v>
      </c>
      <c r="AD74" s="161">
        <f t="shared" ca="1" si="77"/>
        <v>0</v>
      </c>
      <c r="AE74" s="40">
        <f t="shared" ca="1" si="48"/>
        <v>0</v>
      </c>
      <c r="AF74" s="161">
        <f ca="1">SUM(AF75:AF88)</f>
        <v>0</v>
      </c>
      <c r="AG74" s="40">
        <f t="shared" ca="1" si="56"/>
        <v>0</v>
      </c>
      <c r="AH74" s="161">
        <f ca="1">SUM(AH75:AH88)</f>
        <v>0</v>
      </c>
      <c r="AI74" s="40">
        <f t="shared" ca="1" si="49"/>
        <v>0</v>
      </c>
      <c r="AJ74" s="40">
        <f ca="1">SUM(AJ75:AJ88)</f>
        <v>0</v>
      </c>
      <c r="AK74" s="40">
        <f t="shared" ca="1" si="50"/>
        <v>0</v>
      </c>
      <c r="AL74" s="40">
        <f ca="1">SUM(AL75:AL88)</f>
        <v>0</v>
      </c>
      <c r="AM74" s="40">
        <f t="shared" ca="1" si="51"/>
        <v>0</v>
      </c>
      <c r="AN74" s="40">
        <f t="shared" ref="AN74:AQ74" ca="1" si="78">SUM(AN75:AN88)</f>
        <v>0</v>
      </c>
      <c r="AO74" s="40">
        <f t="shared" ca="1" si="78"/>
        <v>0</v>
      </c>
      <c r="AP74" s="161">
        <f t="shared" ca="1" si="78"/>
        <v>0</v>
      </c>
      <c r="AQ74" s="161">
        <f t="shared" ca="1" si="78"/>
        <v>0</v>
      </c>
      <c r="AR74" s="40">
        <f t="shared" ca="1" si="53"/>
        <v>0</v>
      </c>
      <c r="AS74" s="161">
        <f t="shared" ref="AS74:AW74" ca="1" si="79">SUM(AS75:AS88)</f>
        <v>0</v>
      </c>
      <c r="AT74" s="161">
        <f t="shared" ca="1" si="79"/>
        <v>0</v>
      </c>
      <c r="AU74" s="161">
        <f t="shared" ca="1" si="79"/>
        <v>0</v>
      </c>
      <c r="AV74" s="161">
        <f t="shared" ca="1" si="79"/>
        <v>0</v>
      </c>
      <c r="AW74" s="161">
        <f t="shared" ca="1" si="79"/>
        <v>0</v>
      </c>
    </row>
    <row r="75" spans="1:49" ht="19.5" x14ac:dyDescent="0.3">
      <c r="A75" s="77">
        <v>1</v>
      </c>
      <c r="B75" s="78" t="s">
        <v>101</v>
      </c>
      <c r="C75" s="174">
        <f t="shared" si="32"/>
        <v>0</v>
      </c>
      <c r="D75" s="175">
        <f t="shared" ref="D75:D88" si="80">+E75+F75</f>
        <v>0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176">
        <f t="shared" si="34"/>
        <v>0</v>
      </c>
      <c r="K75" s="179">
        <f t="shared" si="35"/>
        <v>0</v>
      </c>
      <c r="L75" s="403">
        <v>0</v>
      </c>
      <c r="M75" s="87">
        <f t="shared" si="36"/>
        <v>0</v>
      </c>
      <c r="N75" s="87">
        <f t="shared" si="37"/>
        <v>0</v>
      </c>
      <c r="O75" s="403">
        <v>0</v>
      </c>
      <c r="P75" s="86">
        <f t="shared" si="38"/>
        <v>0</v>
      </c>
      <c r="Q75" s="87">
        <f t="shared" si="39"/>
        <v>0</v>
      </c>
      <c r="R75" s="87">
        <f ca="1">IFERROR(__xludf.DUMMYFUNCTION("IMPORTRANGE(""https://docs.google.com/spreadsheets/d/1kKUcYdkIfrgTSj8iHHHB2MD2FAtwyyocFgqGQn6ADyI/edit?usp=sharing"",""กระบี่!Q616"")"),1800)</f>
        <v>1800</v>
      </c>
      <c r="S75" s="87">
        <f ca="1">IFERROR(__xludf.DUMMYFUNCTION("IMPORTRANGE(""https://docs.google.com/spreadsheets/d/1kKUcYdkIfrgTSj8iHHHB2MD2FAtwyyocFgqGQn6ADyI/edit?usp=sharing"",""กระบี่!R616"")"),0)</f>
        <v>0</v>
      </c>
      <c r="T75" s="87">
        <f ca="1">IFERROR(__xludf.DUMMYFUNCTION("IMPORTRANGE(""https://docs.google.com/spreadsheets/d/1kKUcYdkIfrgTSj8iHHHB2MD2FAtwyyocFgqGQn6ADyI/edit?usp=sharing"",""กระบี่!S616"")"),0)</f>
        <v>0</v>
      </c>
      <c r="U75" s="87">
        <f t="shared" ca="1" si="41"/>
        <v>0</v>
      </c>
      <c r="V75" s="87">
        <f t="shared" ca="1" si="42"/>
        <v>0</v>
      </c>
      <c r="W75" s="353">
        <f ca="1">IFERROR(__xludf.DUMMYFUNCTION("IMPORTRANGE(""https://docs.google.com/spreadsheets/d/1kKUcYdkIfrgTSj8iHHHB2MD2FAtwyyocFgqGQn6ADyI/edit?usp=sharing"",""กระบี่!I626"")"),0)</f>
        <v>0</v>
      </c>
      <c r="X75" s="177">
        <f ca="1">IFERROR(__xludf.DUMMYFUNCTION("IMPORTRANGE(""https://docs.google.com/spreadsheets/d/1kKUcYdkIfrgTSj8iHHHB2MD2FAtwyyocFgqGQn6ADyI/edit?usp=sharing"",""กระบี่!J626"")"),0)</f>
        <v>0</v>
      </c>
      <c r="Y75" s="354">
        <f t="shared" ca="1" si="44"/>
        <v>0</v>
      </c>
      <c r="Z75" s="177">
        <f ca="1">IFERROR(__xludf.DUMMYFUNCTION("IMPORTRANGE(""https://docs.google.com/spreadsheets/d/1kKUcYdkIfrgTSj8iHHHB2MD2FAtwyyocFgqGQn6ADyI/edit?usp=sharing"",""กระบี่!I627"")"),1)</f>
        <v>1</v>
      </c>
      <c r="AA75" s="177">
        <f ca="1">IFERROR(__xludf.DUMMYFUNCTION("IMPORTRANGE(""https://docs.google.com/spreadsheets/d/1kKUcYdkIfrgTSj8iHHHB2MD2FAtwyyocFgqGQn6ADyI/edit?usp=sharing"",""กระบี่!J627"")"),0)</f>
        <v>0</v>
      </c>
      <c r="AB75" s="354">
        <f t="shared" ca="1" si="46"/>
        <v>0</v>
      </c>
      <c r="AC75" s="177">
        <f ca="1">IFERROR(__xludf.DUMMYFUNCTION("IMPORTRANGE(""https://docs.google.com/spreadsheets/d/1kKUcYdkIfrgTSj8iHHHB2MD2FAtwyyocFgqGQn6ADyI/edit?usp=sharing"",""กระบี่!I628"")"),1)</f>
        <v>1</v>
      </c>
      <c r="AD75" s="177">
        <f ca="1">IFERROR(__xludf.DUMMYFUNCTION("IMPORTRANGE(""https://docs.google.com/spreadsheets/d/1kKUcYdkIfrgTSj8iHHHB2MD2FAtwyyocFgqGQn6ADyI/edit?usp=sharing"",""กระบี่!J628"")"),0)</f>
        <v>0</v>
      </c>
      <c r="AE75" s="354">
        <f t="shared" ca="1" si="48"/>
        <v>0</v>
      </c>
      <c r="AF75" s="177">
        <f ca="1">IFERROR(__xludf.DUMMYFUNCTION("IMPORTRANGE(""https://docs.google.com/spreadsheets/d/1kKUcYdkIfrgTSj8iHHHB2MD2FAtwyyocFgqGQn6ADyI/edit?usp=sharing"",""กระบี่!J629"")"),0)</f>
        <v>0</v>
      </c>
      <c r="AG75" s="354">
        <f t="shared" ca="1" si="56"/>
        <v>0</v>
      </c>
      <c r="AH75" s="177">
        <f ca="1">IFERROR(__xludf.DUMMYFUNCTION("IMPORTRANGE(""https://docs.google.com/spreadsheets/d/1kKUcYdkIfrgTSj8iHHHB2MD2FAtwyyocFgqGQn6ADyI/edit?usp=sharing"",""กระบี่!J630"")"),0)</f>
        <v>0</v>
      </c>
      <c r="AI75" s="354">
        <f t="shared" ca="1" si="49"/>
        <v>0</v>
      </c>
      <c r="AJ75" s="354">
        <f ca="1">IFERROR(__xludf.DUMMYFUNCTION("IMPORTRANGE(""https://docs.google.com/spreadsheets/d/1kKUcYdkIfrgTSj8iHHHB2MD2FAtwyyocFgqGQn6ADyI/edit?usp=sharing"",""กระบี่!J631"")"),0)</f>
        <v>0</v>
      </c>
      <c r="AK75" s="354">
        <f t="shared" ca="1" si="50"/>
        <v>0</v>
      </c>
      <c r="AL75" s="354">
        <f ca="1">IFERROR(__xludf.DUMMYFUNCTION("IMPORTRANGE(""https://docs.google.com/spreadsheets/d/1kKUcYdkIfrgTSj8iHHHB2MD2FAtwyyocFgqGQn6ADyI/edit?usp=sharing"",""กระบี่!J632"")"),0)</f>
        <v>0</v>
      </c>
      <c r="AM75" s="354">
        <f t="shared" ca="1" si="51"/>
        <v>0</v>
      </c>
      <c r="AN75" s="354">
        <f ca="1">IFERROR(__xludf.DUMMYFUNCTION("IMPORTRANGE(""https://docs.google.com/spreadsheets/d/1kKUcYdkIfrgTSj8iHHHB2MD2FAtwyyocFgqGQn6ADyI/edit?usp=sharing"",""กระบี่!J633"")"),0)</f>
        <v>0</v>
      </c>
      <c r="AO75" s="354">
        <f ca="1">IFERROR(__xludf.DUMMYFUNCTION("IMPORTRANGE(""https://docs.google.com/spreadsheets/d/1kKUcYdkIfrgTSj8iHHHB2MD2FAtwyyocFgqGQn6ADyI/edit?usp=sharing"",""กระบี่!J634"")"),0)</f>
        <v>0</v>
      </c>
      <c r="AP75" s="177">
        <f ca="1">IFERROR(__xludf.DUMMYFUNCTION("IMPORTRANGE(""https://docs.google.com/spreadsheets/d/1kKUcYdkIfrgTSj8iHHHB2MD2FAtwyyocFgqGQn6ADyI/edit?usp=sharing"",""กระบี่!I635"")"),0)</f>
        <v>0</v>
      </c>
      <c r="AQ75" s="177">
        <f ca="1">IFERROR(__xludf.DUMMYFUNCTION("IMPORTRANGE(""https://docs.google.com/spreadsheets/d/1kKUcYdkIfrgTSj8iHHHB2MD2FAtwyyocFgqGQn6ADyI/edit?usp=sharing"",""กระบี่!J635"")"),0)</f>
        <v>0</v>
      </c>
      <c r="AR75" s="354">
        <f t="shared" ca="1" si="53"/>
        <v>0</v>
      </c>
      <c r="AS75" s="177">
        <f ca="1">IFERROR(__xludf.DUMMYFUNCTION("IMPORTRANGE(""https://docs.google.com/spreadsheets/d/1kKUcYdkIfrgTSj8iHHHB2MD2FAtwyyocFgqGQn6ADyI/edit?usp=sharing"",""กระบี่!J636"")"),0)</f>
        <v>0</v>
      </c>
      <c r="AT75" s="177">
        <f ca="1">IFERROR(__xludf.DUMMYFUNCTION("IMPORTRANGE(""https://docs.google.com/spreadsheets/d/1kKUcYdkIfrgTSj8iHHHB2MD2FAtwyyocFgqGQn6ADyI/edit?usp=sharing"",""กระบี่!J637"")"),0)</f>
        <v>0</v>
      </c>
      <c r="AU75" s="177">
        <f ca="1">IFERROR(__xludf.DUMMYFUNCTION("IMPORTRANGE(""https://docs.google.com/spreadsheets/d/1kKUcYdkIfrgTSj8iHHHB2MD2FAtwyyocFgqGQn6ADyI/edit?usp=sharing"",""กระบี่!J638"")"),0)</f>
        <v>0</v>
      </c>
      <c r="AV75" s="177">
        <f ca="1">IFERROR(__xludf.DUMMYFUNCTION("IMPORTRANGE(""https://docs.google.com/spreadsheets/d/1kKUcYdkIfrgTSj8iHHHB2MD2FAtwyyocFgqGQn6ADyI/edit?usp=sharing"",""กระบี่!J639"")"),0)</f>
        <v>0</v>
      </c>
      <c r="AW75" s="177">
        <f ca="1">IFERROR(__xludf.DUMMYFUNCTION("IMPORTRANGE(""https://docs.google.com/spreadsheets/d/1kKUcYdkIfrgTSj8iHHHB2MD2FAtwyyocFgqGQn6ADyI/edit?usp=sharing"",""กระบี่!J640"")"),0)</f>
        <v>0</v>
      </c>
    </row>
    <row r="76" spans="1:49" ht="19.5" x14ac:dyDescent="0.3">
      <c r="A76" s="89">
        <v>2</v>
      </c>
      <c r="B76" s="90" t="s">
        <v>102</v>
      </c>
      <c r="C76" s="174">
        <f t="shared" si="32"/>
        <v>0</v>
      </c>
      <c r="D76" s="175">
        <f t="shared" si="80"/>
        <v>0</v>
      </c>
      <c r="E76" s="403">
        <v>0</v>
      </c>
      <c r="F76" s="403">
        <v>0</v>
      </c>
      <c r="G76" s="403">
        <v>0</v>
      </c>
      <c r="H76" s="403">
        <v>0</v>
      </c>
      <c r="I76" s="403">
        <v>0</v>
      </c>
      <c r="J76" s="176">
        <f t="shared" si="34"/>
        <v>0</v>
      </c>
      <c r="K76" s="179">
        <f t="shared" si="35"/>
        <v>0</v>
      </c>
      <c r="L76" s="403">
        <v>0</v>
      </c>
      <c r="M76" s="87">
        <f t="shared" si="36"/>
        <v>0</v>
      </c>
      <c r="N76" s="87">
        <f t="shared" si="37"/>
        <v>0</v>
      </c>
      <c r="O76" s="403">
        <v>0</v>
      </c>
      <c r="P76" s="86">
        <f t="shared" si="38"/>
        <v>0</v>
      </c>
      <c r="Q76" s="87">
        <f t="shared" si="39"/>
        <v>0</v>
      </c>
      <c r="R76" s="87">
        <f ca="1">IFERROR(__xludf.DUMMYFUNCTION("IMPORTRANGE(""https://docs.google.com/spreadsheets/d/1GwtLaSlNZkLk7iDqcyZz22giiy40b_usZZBXYciEN1U/edit?usp=sharing"",""ชุมพร!Q616"")"),7300)</f>
        <v>7300</v>
      </c>
      <c r="S76" s="87">
        <f ca="1">IFERROR(__xludf.DUMMYFUNCTION("IMPORTRANGE(""https://docs.google.com/spreadsheets/d/1GwtLaSlNZkLk7iDqcyZz22giiy40b_usZZBXYciEN1U/edit?usp=sharing"",""ชุมพร!R616"")"),0)</f>
        <v>0</v>
      </c>
      <c r="T76" s="87">
        <f ca="1">IFERROR(__xludf.DUMMYFUNCTION("IMPORTRANGE(""https://docs.google.com/spreadsheets/d/1GwtLaSlNZkLk7iDqcyZz22giiy40b_usZZBXYciEN1U/edit?usp=sharing"",""ชุมพร!S616"")"),0)</f>
        <v>0</v>
      </c>
      <c r="U76" s="87">
        <f t="shared" ca="1" si="41"/>
        <v>0</v>
      </c>
      <c r="V76" s="87">
        <f t="shared" ca="1" si="42"/>
        <v>0</v>
      </c>
      <c r="W76" s="353">
        <f ca="1">IFERROR(__xludf.DUMMYFUNCTION("IMPORTRANGE(""https://docs.google.com/spreadsheets/d/1GwtLaSlNZkLk7iDqcyZz22giiy40b_usZZBXYciEN1U/edit?usp=sharing"",""ชุมพร!I626"")"),50)</f>
        <v>50</v>
      </c>
      <c r="X76" s="177">
        <f ca="1">IFERROR(__xludf.DUMMYFUNCTION("IMPORTRANGE(""https://docs.google.com/spreadsheets/d/1GwtLaSlNZkLk7iDqcyZz22giiy40b_usZZBXYciEN1U/edit?usp=sharing"",""ชุมพร!J626"")"),0)</f>
        <v>0</v>
      </c>
      <c r="Y76" s="354">
        <f t="shared" ca="1" si="44"/>
        <v>0</v>
      </c>
      <c r="Z76" s="177">
        <f ca="1">IFERROR(__xludf.DUMMYFUNCTION("IMPORTRANGE(""https://docs.google.com/spreadsheets/d/1GwtLaSlNZkLk7iDqcyZz22giiy40b_usZZBXYciEN1U/edit?usp=sharing"",""ชุมพร!I627"")"),1)</f>
        <v>1</v>
      </c>
      <c r="AA76" s="177">
        <f ca="1">IFERROR(__xludf.DUMMYFUNCTION("IMPORTRANGE(""https://docs.google.com/spreadsheets/d/1GwtLaSlNZkLk7iDqcyZz22giiy40b_usZZBXYciEN1U/edit?usp=sharing"",""ชุมพร!J627"")"),0)</f>
        <v>0</v>
      </c>
      <c r="AB76" s="354">
        <f t="shared" ca="1" si="46"/>
        <v>0</v>
      </c>
      <c r="AC76" s="177">
        <f ca="1">IFERROR(__xludf.DUMMYFUNCTION("IMPORTRANGE(""https://docs.google.com/spreadsheets/d/1GwtLaSlNZkLk7iDqcyZz22giiy40b_usZZBXYciEN1U/edit?usp=sharing"",""ชุมพร!I628"")"),1)</f>
        <v>1</v>
      </c>
      <c r="AD76" s="177">
        <f ca="1">IFERROR(__xludf.DUMMYFUNCTION("IMPORTRANGE(""https://docs.google.com/spreadsheets/d/1GwtLaSlNZkLk7iDqcyZz22giiy40b_usZZBXYciEN1U/edit?usp=sharing"",""ชุมพร!J628"")"),0)</f>
        <v>0</v>
      </c>
      <c r="AE76" s="354">
        <f t="shared" ca="1" si="48"/>
        <v>0</v>
      </c>
      <c r="AF76" s="177">
        <f ca="1">IFERROR(__xludf.DUMMYFUNCTION("IMPORTRANGE(""https://docs.google.com/spreadsheets/d/1GwtLaSlNZkLk7iDqcyZz22giiy40b_usZZBXYciEN1U/edit?usp=sharing"",""ชุมพร!J629"")"),0)</f>
        <v>0</v>
      </c>
      <c r="AG76" s="354">
        <f t="shared" ca="1" si="56"/>
        <v>0</v>
      </c>
      <c r="AH76" s="177">
        <f ca="1">IFERROR(__xludf.DUMMYFUNCTION("IMPORTRANGE(""https://docs.google.com/spreadsheets/d/1GwtLaSlNZkLk7iDqcyZz22giiy40b_usZZBXYciEN1U/edit?usp=sharing"",""ชุมพร!J630"")"),0)</f>
        <v>0</v>
      </c>
      <c r="AI76" s="354">
        <f t="shared" ca="1" si="49"/>
        <v>0</v>
      </c>
      <c r="AJ76" s="354">
        <f ca="1">IFERROR(__xludf.DUMMYFUNCTION("IMPORTRANGE(""https://docs.google.com/spreadsheets/d/1GwtLaSlNZkLk7iDqcyZz22giiy40b_usZZBXYciEN1U/edit?usp=sharing"",""ชุมพร!J631"")"),0)</f>
        <v>0</v>
      </c>
      <c r="AK76" s="354">
        <f t="shared" ca="1" si="50"/>
        <v>0</v>
      </c>
      <c r="AL76" s="354">
        <f ca="1">IFERROR(__xludf.DUMMYFUNCTION("IMPORTRANGE(""https://docs.google.com/spreadsheets/d/1GwtLaSlNZkLk7iDqcyZz22giiy40b_usZZBXYciEN1U/edit?usp=sharing"",""ชุมพร!J632"")"),0)</f>
        <v>0</v>
      </c>
      <c r="AM76" s="354">
        <f t="shared" ca="1" si="51"/>
        <v>0</v>
      </c>
      <c r="AN76" s="354">
        <f ca="1">IFERROR(__xludf.DUMMYFUNCTION("IMPORTRANGE(""https://docs.google.com/spreadsheets/d/1GwtLaSlNZkLk7iDqcyZz22giiy40b_usZZBXYciEN1U/edit?usp=sharing"",""ชุมพร!J633"")"),0)</f>
        <v>0</v>
      </c>
      <c r="AO76" s="354">
        <f ca="1">IFERROR(__xludf.DUMMYFUNCTION("IMPORTRANGE(""https://docs.google.com/spreadsheets/d/1GwtLaSlNZkLk7iDqcyZz22giiy40b_usZZBXYciEN1U/edit?usp=sharing"",""ชุมพร!J634"")"),0)</f>
        <v>0</v>
      </c>
      <c r="AP76" s="177">
        <f ca="1">IFERROR(__xludf.DUMMYFUNCTION("IMPORTRANGE(""https://docs.google.com/spreadsheets/d/1GwtLaSlNZkLk7iDqcyZz22giiy40b_usZZBXYciEN1U/edit?usp=sharing"",""ชุมพร!I635"")"),0)</f>
        <v>0</v>
      </c>
      <c r="AQ76" s="177">
        <f ca="1">IFERROR(__xludf.DUMMYFUNCTION("IMPORTRANGE(""https://docs.google.com/spreadsheets/d/1GwtLaSlNZkLk7iDqcyZz22giiy40b_usZZBXYciEN1U/edit?usp=sharing"",""ชุมพร!J635"")"),0)</f>
        <v>0</v>
      </c>
      <c r="AR76" s="354">
        <f t="shared" ca="1" si="53"/>
        <v>0</v>
      </c>
      <c r="AS76" s="177">
        <f ca="1">IFERROR(__xludf.DUMMYFUNCTION("IMPORTRANGE(""https://docs.google.com/spreadsheets/d/1GwtLaSlNZkLk7iDqcyZz22giiy40b_usZZBXYciEN1U/edit?usp=sharing"",""ชุมพร!J636"")"),0)</f>
        <v>0</v>
      </c>
      <c r="AT76" s="177">
        <f ca="1">IFERROR(__xludf.DUMMYFUNCTION("IMPORTRANGE(""https://docs.google.com/spreadsheets/d/1GwtLaSlNZkLk7iDqcyZz22giiy40b_usZZBXYciEN1U/edit?usp=sharing"",""ชุมพร!J637"")"),0)</f>
        <v>0</v>
      </c>
      <c r="AU76" s="177">
        <f ca="1">IFERROR(__xludf.DUMMYFUNCTION("IMPORTRANGE(""https://docs.google.com/spreadsheets/d/1GwtLaSlNZkLk7iDqcyZz22giiy40b_usZZBXYciEN1U/edit?usp=sharing"",""ชุมพร!J638"")"),0)</f>
        <v>0</v>
      </c>
      <c r="AV76" s="177">
        <f ca="1">IFERROR(__xludf.DUMMYFUNCTION("IMPORTRANGE(""https://docs.google.com/spreadsheets/d/1GwtLaSlNZkLk7iDqcyZz22giiy40b_usZZBXYciEN1U/edit?usp=sharing"",""ชุมพร!J639"")"),0)</f>
        <v>0</v>
      </c>
      <c r="AW76" s="177">
        <f ca="1">IFERROR(__xludf.DUMMYFUNCTION("IMPORTRANGE(""https://docs.google.com/spreadsheets/d/1GwtLaSlNZkLk7iDqcyZz22giiy40b_usZZBXYciEN1U/edit?usp=sharing"",""ชุมพร!J640"")"),0)</f>
        <v>0</v>
      </c>
    </row>
    <row r="77" spans="1:49" ht="19.5" x14ac:dyDescent="0.3">
      <c r="A77" s="89">
        <v>3</v>
      </c>
      <c r="B77" s="90" t="s">
        <v>103</v>
      </c>
      <c r="C77" s="174">
        <f t="shared" si="32"/>
        <v>0</v>
      </c>
      <c r="D77" s="175">
        <f t="shared" si="80"/>
        <v>0</v>
      </c>
      <c r="E77" s="403">
        <v>0</v>
      </c>
      <c r="F77" s="403">
        <v>0</v>
      </c>
      <c r="G77" s="403">
        <v>0</v>
      </c>
      <c r="H77" s="403">
        <v>0</v>
      </c>
      <c r="I77" s="403">
        <v>0</v>
      </c>
      <c r="J77" s="176">
        <f t="shared" si="34"/>
        <v>0</v>
      </c>
      <c r="K77" s="179">
        <f t="shared" si="35"/>
        <v>0</v>
      </c>
      <c r="L77" s="403">
        <v>0</v>
      </c>
      <c r="M77" s="87">
        <f t="shared" si="36"/>
        <v>0</v>
      </c>
      <c r="N77" s="87">
        <f t="shared" si="37"/>
        <v>0</v>
      </c>
      <c r="O77" s="403">
        <v>0</v>
      </c>
      <c r="P77" s="86">
        <f t="shared" si="38"/>
        <v>0</v>
      </c>
      <c r="Q77" s="87">
        <f t="shared" si="39"/>
        <v>0</v>
      </c>
      <c r="R77" s="87">
        <f ca="1">IFERROR(__xludf.DUMMYFUNCTION("IMPORTRANGE(""https://docs.google.com/spreadsheets/d/16pAz3pOhQEZBhvFNMa5KGgZS6iKWpsKX0pg6tQmwFpo/edit?usp=sharing"",""ตรัง!Q616"")"),7350)</f>
        <v>7350</v>
      </c>
      <c r="S77" s="87">
        <f ca="1">IFERROR(__xludf.DUMMYFUNCTION("IMPORTRANGE(""https://docs.google.com/spreadsheets/d/16pAz3pOhQEZBhvFNMa5KGgZS6iKWpsKX0pg6tQmwFpo/edit?usp=sharing"",""ตรัง!R616"")"),0)</f>
        <v>0</v>
      </c>
      <c r="T77" s="87">
        <f ca="1">IFERROR(__xludf.DUMMYFUNCTION("IMPORTRANGE(""https://docs.google.com/spreadsheets/d/16pAz3pOhQEZBhvFNMa5KGgZS6iKWpsKX0pg6tQmwFpo/edit?usp=sharing"",""ตรัง!S616"")"),0)</f>
        <v>0</v>
      </c>
      <c r="U77" s="87">
        <f t="shared" ca="1" si="41"/>
        <v>0</v>
      </c>
      <c r="V77" s="87">
        <f t="shared" ca="1" si="42"/>
        <v>0</v>
      </c>
      <c r="W77" s="353">
        <f ca="1">IFERROR(__xludf.DUMMYFUNCTION("IMPORTRANGE(""https://docs.google.com/spreadsheets/d/16pAz3pOhQEZBhvFNMa5KGgZS6iKWpsKX0pg6tQmwFpo/edit?usp=sharing"",""ตรัง!I626"")"),50)</f>
        <v>50</v>
      </c>
      <c r="X77" s="177">
        <f ca="1">IFERROR(__xludf.DUMMYFUNCTION("IMPORTRANGE(""https://docs.google.com/spreadsheets/d/16pAz3pOhQEZBhvFNMa5KGgZS6iKWpsKX0pg6tQmwFpo/edit?usp=sharing"",""ตรัง!J626"")"),0)</f>
        <v>0</v>
      </c>
      <c r="Y77" s="354">
        <f t="shared" ca="1" si="44"/>
        <v>0</v>
      </c>
      <c r="Z77" s="177">
        <f ca="1">IFERROR(__xludf.DUMMYFUNCTION("IMPORTRANGE(""https://docs.google.com/spreadsheets/d/16pAz3pOhQEZBhvFNMa5KGgZS6iKWpsKX0pg6tQmwFpo/edit?usp=sharing"",""ตรัง!I627"")"),1)</f>
        <v>1</v>
      </c>
      <c r="AA77" s="177">
        <f ca="1">IFERROR(__xludf.DUMMYFUNCTION("IMPORTRANGE(""https://docs.google.com/spreadsheets/d/16pAz3pOhQEZBhvFNMa5KGgZS6iKWpsKX0pg6tQmwFpo/edit?usp=sharing"",""ตรัง!J627"")"),0)</f>
        <v>0</v>
      </c>
      <c r="AB77" s="354">
        <f t="shared" ca="1" si="46"/>
        <v>0</v>
      </c>
      <c r="AC77" s="177">
        <f ca="1">IFERROR(__xludf.DUMMYFUNCTION("IMPORTRANGE(""https://docs.google.com/spreadsheets/d/16pAz3pOhQEZBhvFNMa5KGgZS6iKWpsKX0pg6tQmwFpo/edit?usp=sharing"",""ตรัง!I628"")"),1)</f>
        <v>1</v>
      </c>
      <c r="AD77" s="177">
        <f ca="1">IFERROR(__xludf.DUMMYFUNCTION("IMPORTRANGE(""https://docs.google.com/spreadsheets/d/16pAz3pOhQEZBhvFNMa5KGgZS6iKWpsKX0pg6tQmwFpo/edit?usp=sharing"",""ตรัง!J628"")"),0)</f>
        <v>0</v>
      </c>
      <c r="AE77" s="354">
        <f t="shared" ca="1" si="48"/>
        <v>0</v>
      </c>
      <c r="AF77" s="177">
        <f ca="1">IFERROR(__xludf.DUMMYFUNCTION("IMPORTRANGE(""https://docs.google.com/spreadsheets/d/16pAz3pOhQEZBhvFNMa5KGgZS6iKWpsKX0pg6tQmwFpo/edit?usp=sharing"",""ตรัง!J629"")"),0)</f>
        <v>0</v>
      </c>
      <c r="AG77" s="354">
        <f t="shared" ca="1" si="56"/>
        <v>0</v>
      </c>
      <c r="AH77" s="177">
        <f ca="1">IFERROR(__xludf.DUMMYFUNCTION("IMPORTRANGE(""https://docs.google.com/spreadsheets/d/16pAz3pOhQEZBhvFNMa5KGgZS6iKWpsKX0pg6tQmwFpo/edit?usp=sharing"",""ตรัง!J630"")"),0)</f>
        <v>0</v>
      </c>
      <c r="AI77" s="354">
        <f t="shared" ca="1" si="49"/>
        <v>0</v>
      </c>
      <c r="AJ77" s="354">
        <f ca="1">IFERROR(__xludf.DUMMYFUNCTION("IMPORTRANGE(""https://docs.google.com/spreadsheets/d/16pAz3pOhQEZBhvFNMa5KGgZS6iKWpsKX0pg6tQmwFpo/edit?usp=sharing"",""ตรัง!J631"")"),0)</f>
        <v>0</v>
      </c>
      <c r="AK77" s="354">
        <f t="shared" ca="1" si="50"/>
        <v>0</v>
      </c>
      <c r="AL77" s="354">
        <f ca="1">IFERROR(__xludf.DUMMYFUNCTION("IMPORTRANGE(""https://docs.google.com/spreadsheets/d/16pAz3pOhQEZBhvFNMa5KGgZS6iKWpsKX0pg6tQmwFpo/edit?usp=sharing"",""ตรัง!J632"")"),0)</f>
        <v>0</v>
      </c>
      <c r="AM77" s="354">
        <f t="shared" ca="1" si="51"/>
        <v>0</v>
      </c>
      <c r="AN77" s="354">
        <f ca="1">IFERROR(__xludf.DUMMYFUNCTION("IMPORTRANGE(""https://docs.google.com/spreadsheets/d/16pAz3pOhQEZBhvFNMa5KGgZS6iKWpsKX0pg6tQmwFpo/edit?usp=sharing"",""ตรัง!J633"")"),0)</f>
        <v>0</v>
      </c>
      <c r="AO77" s="354">
        <f ca="1">IFERROR(__xludf.DUMMYFUNCTION("IMPORTRANGE(""https://docs.google.com/spreadsheets/d/16pAz3pOhQEZBhvFNMa5KGgZS6iKWpsKX0pg6tQmwFpo/edit?usp=sharing"",""ตรัง!J634"")"),0)</f>
        <v>0</v>
      </c>
      <c r="AP77" s="177">
        <f ca="1">IFERROR(__xludf.DUMMYFUNCTION("IMPORTRANGE(""https://docs.google.com/spreadsheets/d/16pAz3pOhQEZBhvFNMa5KGgZS6iKWpsKX0pg6tQmwFpo/edit?usp=sharing"",""ตรัง!I635"")"),0)</f>
        <v>0</v>
      </c>
      <c r="AQ77" s="177">
        <f ca="1">IFERROR(__xludf.DUMMYFUNCTION("IMPORTRANGE(""https://docs.google.com/spreadsheets/d/16pAz3pOhQEZBhvFNMa5KGgZS6iKWpsKX0pg6tQmwFpo/edit?usp=sharing"",""ตรัง!J635"")"),0)</f>
        <v>0</v>
      </c>
      <c r="AR77" s="354">
        <f t="shared" ca="1" si="53"/>
        <v>0</v>
      </c>
      <c r="AS77" s="177">
        <f ca="1">IFERROR(__xludf.DUMMYFUNCTION("IMPORTRANGE(""https://docs.google.com/spreadsheets/d/16pAz3pOhQEZBhvFNMa5KGgZS6iKWpsKX0pg6tQmwFpo/edit?usp=sharing"",""ตรัง!J636"")"),0)</f>
        <v>0</v>
      </c>
      <c r="AT77" s="177">
        <f ca="1">IFERROR(__xludf.DUMMYFUNCTION("IMPORTRANGE(""https://docs.google.com/spreadsheets/d/16pAz3pOhQEZBhvFNMa5KGgZS6iKWpsKX0pg6tQmwFpo/edit?usp=sharing"",""ตรัง!J637"")"),0)</f>
        <v>0</v>
      </c>
      <c r="AU77" s="177">
        <f ca="1">IFERROR(__xludf.DUMMYFUNCTION("IMPORTRANGE(""https://docs.google.com/spreadsheets/d/16pAz3pOhQEZBhvFNMa5KGgZS6iKWpsKX0pg6tQmwFpo/edit?usp=sharing"",""ตรัง!J638"")"),0)</f>
        <v>0</v>
      </c>
      <c r="AV77" s="177">
        <f ca="1">IFERROR(__xludf.DUMMYFUNCTION("IMPORTRANGE(""https://docs.google.com/spreadsheets/d/16pAz3pOhQEZBhvFNMa5KGgZS6iKWpsKX0pg6tQmwFpo/edit?usp=sharing"",""ตรัง!J639"")"),0)</f>
        <v>0</v>
      </c>
      <c r="AW77" s="177">
        <f ca="1">IFERROR(__xludf.DUMMYFUNCTION("IMPORTRANGE(""https://docs.google.com/spreadsheets/d/16pAz3pOhQEZBhvFNMa5KGgZS6iKWpsKX0pg6tQmwFpo/edit?usp=sharing"",""ตรัง!J640"")"),0)</f>
        <v>0</v>
      </c>
    </row>
    <row r="78" spans="1:49" ht="19.5" x14ac:dyDescent="0.3">
      <c r="A78" s="89">
        <v>4</v>
      </c>
      <c r="B78" s="90" t="s">
        <v>104</v>
      </c>
      <c r="C78" s="174">
        <f t="shared" si="32"/>
        <v>0</v>
      </c>
      <c r="D78" s="175">
        <f t="shared" si="80"/>
        <v>0</v>
      </c>
      <c r="E78" s="403">
        <v>0</v>
      </c>
      <c r="F78" s="403">
        <v>0</v>
      </c>
      <c r="G78" s="403">
        <v>0</v>
      </c>
      <c r="H78" s="403">
        <v>0</v>
      </c>
      <c r="I78" s="403">
        <v>0</v>
      </c>
      <c r="J78" s="176">
        <f t="shared" si="34"/>
        <v>0</v>
      </c>
      <c r="K78" s="179">
        <f t="shared" si="35"/>
        <v>0</v>
      </c>
      <c r="L78" s="403">
        <v>0</v>
      </c>
      <c r="M78" s="87">
        <f t="shared" si="36"/>
        <v>0</v>
      </c>
      <c r="N78" s="87">
        <f t="shared" si="37"/>
        <v>0</v>
      </c>
      <c r="O78" s="403">
        <v>0</v>
      </c>
      <c r="P78" s="86">
        <f t="shared" si="38"/>
        <v>0</v>
      </c>
      <c r="Q78" s="87">
        <f t="shared" si="39"/>
        <v>0</v>
      </c>
      <c r="R78" s="87">
        <f ca="1">IFERROR(__xludf.DUMMYFUNCTION("IMPORTRANGE(""https://docs.google.com/spreadsheets/d/1Dj4jcHCTV9JXKCaMoheSXS52JE63kDKyG7bPXnFogHk/edit?usp=sharing"",""นครศรีธรรมราช!Q616"")"),12675)</f>
        <v>12675</v>
      </c>
      <c r="S78" s="87">
        <f ca="1">IFERROR(__xludf.DUMMYFUNCTION("IMPORTRANGE(""https://docs.google.com/spreadsheets/d/1Dj4jcHCTV9JXKCaMoheSXS52JE63kDKyG7bPXnFogHk/edit?usp=sharing"",""นครศรีธรรมราช!R616"")"),0)</f>
        <v>0</v>
      </c>
      <c r="T78" s="87">
        <f ca="1">IFERROR(__xludf.DUMMYFUNCTION("IMPORTRANGE(""https://docs.google.com/spreadsheets/d/1Dj4jcHCTV9JXKCaMoheSXS52JE63kDKyG7bPXnFogHk/edit?usp=sharing"",""นครศรีธรรมราช!S616"")"),0)</f>
        <v>0</v>
      </c>
      <c r="U78" s="87">
        <f t="shared" ca="1" si="41"/>
        <v>0</v>
      </c>
      <c r="V78" s="87">
        <f t="shared" ca="1" si="42"/>
        <v>0</v>
      </c>
      <c r="W78" s="353">
        <f ca="1">IFERROR(__xludf.DUMMYFUNCTION("IMPORTRANGE(""https://docs.google.com/spreadsheets/d/1Dj4jcHCTV9JXKCaMoheSXS52JE63kDKyG7bPXnFogHk/edit?usp=sharing"",""นครศรีธรรมราช!I626"")"),100)</f>
        <v>100</v>
      </c>
      <c r="X78" s="177">
        <f ca="1">IFERROR(__xludf.DUMMYFUNCTION("IMPORTRANGE(""https://docs.google.com/spreadsheets/d/1Dj4jcHCTV9JXKCaMoheSXS52JE63kDKyG7bPXnFogHk/edit?usp=sharing"",""นครศรีธรรมราช!J626"")"),0)</f>
        <v>0</v>
      </c>
      <c r="Y78" s="354">
        <f t="shared" ca="1" si="44"/>
        <v>0</v>
      </c>
      <c r="Z78" s="177">
        <f ca="1">IFERROR(__xludf.DUMMYFUNCTION("IMPORTRANGE(""https://docs.google.com/spreadsheets/d/1Dj4jcHCTV9JXKCaMoheSXS52JE63kDKyG7bPXnFogHk/edit?usp=sharing"",""นครศรีธรรมราช!I627"")"),1)</f>
        <v>1</v>
      </c>
      <c r="AA78" s="177">
        <f ca="1">IFERROR(__xludf.DUMMYFUNCTION("IMPORTRANGE(""https://docs.google.com/spreadsheets/d/1Dj4jcHCTV9JXKCaMoheSXS52JE63kDKyG7bPXnFogHk/edit?usp=sharing"",""นครศรีธรรมราช!J627"")"),0)</f>
        <v>0</v>
      </c>
      <c r="AB78" s="354">
        <f t="shared" ca="1" si="46"/>
        <v>0</v>
      </c>
      <c r="AC78" s="177">
        <f ca="1">IFERROR(__xludf.DUMMYFUNCTION("IMPORTRANGE(""https://docs.google.com/spreadsheets/d/1Dj4jcHCTV9JXKCaMoheSXS52JE63kDKyG7bPXnFogHk/edit?usp=sharing"",""นครศรีธรรมราช!I628"")"),1)</f>
        <v>1</v>
      </c>
      <c r="AD78" s="177">
        <f ca="1">IFERROR(__xludf.DUMMYFUNCTION("IMPORTRANGE(""https://docs.google.com/spreadsheets/d/1Dj4jcHCTV9JXKCaMoheSXS52JE63kDKyG7bPXnFogHk/edit?usp=sharing"",""นครศรีธรรมราช!J628"")"),0)</f>
        <v>0</v>
      </c>
      <c r="AE78" s="354">
        <f t="shared" ca="1" si="48"/>
        <v>0</v>
      </c>
      <c r="AF78" s="177">
        <f ca="1">IFERROR(__xludf.DUMMYFUNCTION("IMPORTRANGE(""https://docs.google.com/spreadsheets/d/1Dj4jcHCTV9JXKCaMoheSXS52JE63kDKyG7bPXnFogHk/edit?usp=sharing"",""นครศรีธรรมราช!J629"")"),0)</f>
        <v>0</v>
      </c>
      <c r="AG78" s="354">
        <f t="shared" ca="1" si="56"/>
        <v>0</v>
      </c>
      <c r="AH78" s="177">
        <f ca="1">IFERROR(__xludf.DUMMYFUNCTION("IMPORTRANGE(""https://docs.google.com/spreadsheets/d/1Dj4jcHCTV9JXKCaMoheSXS52JE63kDKyG7bPXnFogHk/edit?usp=sharing"",""นครศรีธรรมราช!J630"")"),0)</f>
        <v>0</v>
      </c>
      <c r="AI78" s="354">
        <f t="shared" ca="1" si="49"/>
        <v>0</v>
      </c>
      <c r="AJ78" s="354">
        <f ca="1">IFERROR(__xludf.DUMMYFUNCTION("IMPORTRANGE(""https://docs.google.com/spreadsheets/d/1Dj4jcHCTV9JXKCaMoheSXS52JE63kDKyG7bPXnFogHk/edit?usp=sharing"",""นครศรีธรรมราช!J631"")"),0)</f>
        <v>0</v>
      </c>
      <c r="AK78" s="354">
        <f t="shared" ca="1" si="50"/>
        <v>0</v>
      </c>
      <c r="AL78" s="354">
        <f ca="1">IFERROR(__xludf.DUMMYFUNCTION("IMPORTRANGE(""https://docs.google.com/spreadsheets/d/1Dj4jcHCTV9JXKCaMoheSXS52JE63kDKyG7bPXnFogHk/edit?usp=sharing"",""นครศรีธรรมราช!J632"")"),0)</f>
        <v>0</v>
      </c>
      <c r="AM78" s="354">
        <f t="shared" ca="1" si="51"/>
        <v>0</v>
      </c>
      <c r="AN78" s="354">
        <f ca="1">IFERROR(__xludf.DUMMYFUNCTION("IMPORTRANGE(""https://docs.google.com/spreadsheets/d/1Dj4jcHCTV9JXKCaMoheSXS52JE63kDKyG7bPXnFogHk/edit?usp=sharing"",""นครศรีธรรมราช!J633"")"),0)</f>
        <v>0</v>
      </c>
      <c r="AO78" s="354">
        <f ca="1">IFERROR(__xludf.DUMMYFUNCTION("IMPORTRANGE(""https://docs.google.com/spreadsheets/d/1Dj4jcHCTV9JXKCaMoheSXS52JE63kDKyG7bPXnFogHk/edit?usp=sharing"",""นครศรีธรรมราช!J634"")"),0)</f>
        <v>0</v>
      </c>
      <c r="AP78" s="177">
        <f ca="1">IFERROR(__xludf.DUMMYFUNCTION("IMPORTRANGE(""https://docs.google.com/spreadsheets/d/1Dj4jcHCTV9JXKCaMoheSXS52JE63kDKyG7bPXnFogHk/edit?usp=sharing"",""นครศรีธรรมราช!I635"")"),0)</f>
        <v>0</v>
      </c>
      <c r="AQ78" s="177">
        <f ca="1">IFERROR(__xludf.DUMMYFUNCTION("IMPORTRANGE(""https://docs.google.com/spreadsheets/d/1Dj4jcHCTV9JXKCaMoheSXS52JE63kDKyG7bPXnFogHk/edit?usp=sharing"",""นครศรีธรรมราช!J635"")"),0)</f>
        <v>0</v>
      </c>
      <c r="AR78" s="354">
        <f t="shared" ca="1" si="53"/>
        <v>0</v>
      </c>
      <c r="AS78" s="177">
        <f ca="1">IFERROR(__xludf.DUMMYFUNCTION("IMPORTRANGE(""https://docs.google.com/spreadsheets/d/1Dj4jcHCTV9JXKCaMoheSXS52JE63kDKyG7bPXnFogHk/edit?usp=sharing"",""นครศรีธรรมราช!J636"")"),0)</f>
        <v>0</v>
      </c>
      <c r="AT78" s="177">
        <f ca="1">IFERROR(__xludf.DUMMYFUNCTION("IMPORTRANGE(""https://docs.google.com/spreadsheets/d/1Dj4jcHCTV9JXKCaMoheSXS52JE63kDKyG7bPXnFogHk/edit?usp=sharing"",""นครศรีธรรมราช!J637"")"),0)</f>
        <v>0</v>
      </c>
      <c r="AU78" s="177">
        <f ca="1">IFERROR(__xludf.DUMMYFUNCTION("IMPORTRANGE(""https://docs.google.com/spreadsheets/d/1Dj4jcHCTV9JXKCaMoheSXS52JE63kDKyG7bPXnFogHk/edit?usp=sharing"",""นครศรีธรรมราช!J638"")"),0)</f>
        <v>0</v>
      </c>
      <c r="AV78" s="177">
        <f ca="1">IFERROR(__xludf.DUMMYFUNCTION("IMPORTRANGE(""https://docs.google.com/spreadsheets/d/1Dj4jcHCTV9JXKCaMoheSXS52JE63kDKyG7bPXnFogHk/edit?usp=sharing"",""นครศรีธรรมราช!J639"")"),0)</f>
        <v>0</v>
      </c>
      <c r="AW78" s="177">
        <f ca="1">IFERROR(__xludf.DUMMYFUNCTION("IMPORTRANGE(""https://docs.google.com/spreadsheets/d/1Dj4jcHCTV9JXKCaMoheSXS52JE63kDKyG7bPXnFogHk/edit?usp=sharing"",""นครศรีธรรมราช!J640"")"),0)</f>
        <v>0</v>
      </c>
    </row>
    <row r="79" spans="1:49" ht="19.5" x14ac:dyDescent="0.3">
      <c r="A79" s="89">
        <v>5</v>
      </c>
      <c r="B79" s="90" t="s">
        <v>105</v>
      </c>
      <c r="C79" s="174">
        <f t="shared" si="32"/>
        <v>0</v>
      </c>
      <c r="D79" s="175">
        <f t="shared" si="80"/>
        <v>0</v>
      </c>
      <c r="E79" s="403">
        <v>0</v>
      </c>
      <c r="F79" s="403">
        <v>0</v>
      </c>
      <c r="G79" s="403">
        <v>0</v>
      </c>
      <c r="H79" s="403">
        <v>0</v>
      </c>
      <c r="I79" s="403">
        <v>0</v>
      </c>
      <c r="J79" s="176">
        <f t="shared" si="34"/>
        <v>0</v>
      </c>
      <c r="K79" s="179">
        <f t="shared" si="35"/>
        <v>0</v>
      </c>
      <c r="L79" s="403">
        <v>0</v>
      </c>
      <c r="M79" s="87">
        <f t="shared" si="36"/>
        <v>0</v>
      </c>
      <c r="N79" s="87">
        <f t="shared" si="37"/>
        <v>0</v>
      </c>
      <c r="O79" s="403">
        <v>0</v>
      </c>
      <c r="P79" s="86">
        <f t="shared" si="38"/>
        <v>0</v>
      </c>
      <c r="Q79" s="87">
        <f t="shared" si="39"/>
        <v>0</v>
      </c>
      <c r="R79" s="87">
        <f ca="1">IFERROR(__xludf.DUMMYFUNCTION("IMPORTRANGE(""https://docs.google.com/spreadsheets/d/1iodCdmuK2GR3jzUwk8tpccY2JHQQA-87DLOtJP-ooyU/edit?usp=sharing"",""นราธิวาส!Q616"")"),6825)</f>
        <v>6825</v>
      </c>
      <c r="S79" s="87">
        <f ca="1">IFERROR(__xludf.DUMMYFUNCTION("IMPORTRANGE(""https://docs.google.com/spreadsheets/d/1iodCdmuK2GR3jzUwk8tpccY2JHQQA-87DLOtJP-ooyU/edit?usp=sharing"",""นราธิวาส!R616"")"),0)</f>
        <v>0</v>
      </c>
      <c r="T79" s="87">
        <f ca="1">IFERROR(__xludf.DUMMYFUNCTION("IMPORTRANGE(""https://docs.google.com/spreadsheets/d/1iodCdmuK2GR3jzUwk8tpccY2JHQQA-87DLOtJP-ooyU/edit?usp=sharing"",""นราธิวาส!S616"")"),1825)</f>
        <v>1825</v>
      </c>
      <c r="U79" s="87">
        <f t="shared" ca="1" si="41"/>
        <v>26.739926739926741</v>
      </c>
      <c r="V79" s="87">
        <f t="shared" ca="1" si="42"/>
        <v>0</v>
      </c>
      <c r="W79" s="353">
        <f ca="1">IFERROR(__xludf.DUMMYFUNCTION("IMPORTRANGE(""https://docs.google.com/spreadsheets/d/1iodCdmuK2GR3jzUwk8tpccY2JHQQA-87DLOtJP-ooyU/edit?usp=sharing"",""นราธิวาส!I626"")"),50)</f>
        <v>50</v>
      </c>
      <c r="X79" s="177">
        <f ca="1">IFERROR(__xludf.DUMMYFUNCTION("IMPORTRANGE(""https://docs.google.com/spreadsheets/d/1iodCdmuK2GR3jzUwk8tpccY2JHQQA-87DLOtJP-ooyU/edit?usp=sharing"",""นราธิวาส!J626"")"),0)</f>
        <v>0</v>
      </c>
      <c r="Y79" s="354">
        <f t="shared" ca="1" si="44"/>
        <v>0</v>
      </c>
      <c r="Z79" s="177">
        <f ca="1">IFERROR(__xludf.DUMMYFUNCTION("IMPORTRANGE(""https://docs.google.com/spreadsheets/d/1iodCdmuK2GR3jzUwk8tpccY2JHQQA-87DLOtJP-ooyU/edit?usp=sharing"",""นราธิวาส!I627"")"),0)</f>
        <v>0</v>
      </c>
      <c r="AA79" s="177">
        <f ca="1">IFERROR(__xludf.DUMMYFUNCTION("IMPORTRANGE(""https://docs.google.com/spreadsheets/d/1iodCdmuK2GR3jzUwk8tpccY2JHQQA-87DLOtJP-ooyU/edit?usp=sharing"",""นราธิวาส!J627"")"),0)</f>
        <v>0</v>
      </c>
      <c r="AB79" s="354">
        <f t="shared" ca="1" si="46"/>
        <v>0</v>
      </c>
      <c r="AC79" s="177">
        <f ca="1">IFERROR(__xludf.DUMMYFUNCTION("IMPORTRANGE(""https://docs.google.com/spreadsheets/d/1iodCdmuK2GR3jzUwk8tpccY2JHQQA-87DLOtJP-ooyU/edit?usp=sharing"",""นราธิวาส!I628"")"),0)</f>
        <v>0</v>
      </c>
      <c r="AD79" s="177">
        <f ca="1">IFERROR(__xludf.DUMMYFUNCTION("IMPORTRANGE(""https://docs.google.com/spreadsheets/d/1iodCdmuK2GR3jzUwk8tpccY2JHQQA-87DLOtJP-ooyU/edit?usp=sharing"",""นราธิวาส!J628"")"),0)</f>
        <v>0</v>
      </c>
      <c r="AE79" s="354">
        <f t="shared" ca="1" si="48"/>
        <v>0</v>
      </c>
      <c r="AF79" s="177">
        <f ca="1">IFERROR(__xludf.DUMMYFUNCTION("IMPORTRANGE(""https://docs.google.com/spreadsheets/d/1iodCdmuK2GR3jzUwk8tpccY2JHQQA-87DLOtJP-ooyU/edit?usp=sharing"",""นราธิวาส!J629"")"),0)</f>
        <v>0</v>
      </c>
      <c r="AG79" s="354">
        <f t="shared" ca="1" si="56"/>
        <v>0</v>
      </c>
      <c r="AH79" s="177">
        <f ca="1">IFERROR(__xludf.DUMMYFUNCTION("IMPORTRANGE(""https://docs.google.com/spreadsheets/d/1iodCdmuK2GR3jzUwk8tpccY2JHQQA-87DLOtJP-ooyU/edit?usp=sharing"",""นราธิวาส!J630"")"),0)</f>
        <v>0</v>
      </c>
      <c r="AI79" s="354">
        <f t="shared" ca="1" si="49"/>
        <v>0</v>
      </c>
      <c r="AJ79" s="354">
        <f ca="1">IFERROR(__xludf.DUMMYFUNCTION("IMPORTRANGE(""https://docs.google.com/spreadsheets/d/1iodCdmuK2GR3jzUwk8tpccY2JHQQA-87DLOtJP-ooyU/edit?usp=sharing"",""นราธิวาส!J631"")"),0)</f>
        <v>0</v>
      </c>
      <c r="AK79" s="354">
        <f t="shared" ca="1" si="50"/>
        <v>0</v>
      </c>
      <c r="AL79" s="354">
        <f ca="1">IFERROR(__xludf.DUMMYFUNCTION("IMPORTRANGE(""https://docs.google.com/spreadsheets/d/1iodCdmuK2GR3jzUwk8tpccY2JHQQA-87DLOtJP-ooyU/edit?usp=sharing"",""นราธิวาส!J632"")"),0)</f>
        <v>0</v>
      </c>
      <c r="AM79" s="354">
        <f t="shared" ca="1" si="51"/>
        <v>0</v>
      </c>
      <c r="AN79" s="354">
        <f ca="1">IFERROR(__xludf.DUMMYFUNCTION("IMPORTRANGE(""https://docs.google.com/spreadsheets/d/1iodCdmuK2GR3jzUwk8tpccY2JHQQA-87DLOtJP-ooyU/edit?usp=sharing"",""นราธิวาส!J633"")"),0)</f>
        <v>0</v>
      </c>
      <c r="AO79" s="354">
        <f ca="1">IFERROR(__xludf.DUMMYFUNCTION("IMPORTRANGE(""https://docs.google.com/spreadsheets/d/1iodCdmuK2GR3jzUwk8tpccY2JHQQA-87DLOtJP-ooyU/edit?usp=sharing"",""นราธิวาส!J634"")"),0)</f>
        <v>0</v>
      </c>
      <c r="AP79" s="177">
        <f ca="1">IFERROR(__xludf.DUMMYFUNCTION("IMPORTRANGE(""https://docs.google.com/spreadsheets/d/1iodCdmuK2GR3jzUwk8tpccY2JHQQA-87DLOtJP-ooyU/edit?usp=sharing"",""นราธิวาส!I635"")"),0)</f>
        <v>0</v>
      </c>
      <c r="AQ79" s="177">
        <f ca="1">IFERROR(__xludf.DUMMYFUNCTION("IMPORTRANGE(""https://docs.google.com/spreadsheets/d/1iodCdmuK2GR3jzUwk8tpccY2JHQQA-87DLOtJP-ooyU/edit?usp=sharing"",""นราธิวาส!J635"")"),0)</f>
        <v>0</v>
      </c>
      <c r="AR79" s="354">
        <f t="shared" ca="1" si="53"/>
        <v>0</v>
      </c>
      <c r="AS79" s="177">
        <f ca="1">IFERROR(__xludf.DUMMYFUNCTION("IMPORTRANGE(""https://docs.google.com/spreadsheets/d/1iodCdmuK2GR3jzUwk8tpccY2JHQQA-87DLOtJP-ooyU/edit?usp=sharing"",""นราธิวาส!J636"")"),0)</f>
        <v>0</v>
      </c>
      <c r="AT79" s="177">
        <f ca="1">IFERROR(__xludf.DUMMYFUNCTION("IMPORTRANGE(""https://docs.google.com/spreadsheets/d/1iodCdmuK2GR3jzUwk8tpccY2JHQQA-87DLOtJP-ooyU/edit?usp=sharing"",""นราธิวาส!J637"")"),0)</f>
        <v>0</v>
      </c>
      <c r="AU79" s="177">
        <f ca="1">IFERROR(__xludf.DUMMYFUNCTION("IMPORTRANGE(""https://docs.google.com/spreadsheets/d/1iodCdmuK2GR3jzUwk8tpccY2JHQQA-87DLOtJP-ooyU/edit?usp=sharing"",""นราธิวาส!J638"")"),0)</f>
        <v>0</v>
      </c>
      <c r="AV79" s="177">
        <f ca="1">IFERROR(__xludf.DUMMYFUNCTION("IMPORTRANGE(""https://docs.google.com/spreadsheets/d/1iodCdmuK2GR3jzUwk8tpccY2JHQQA-87DLOtJP-ooyU/edit?usp=sharing"",""นราธิวาส!J639"")"),0)</f>
        <v>0</v>
      </c>
      <c r="AW79" s="177">
        <f ca="1">IFERROR(__xludf.DUMMYFUNCTION("IMPORTRANGE(""https://docs.google.com/spreadsheets/d/1iodCdmuK2GR3jzUwk8tpccY2JHQQA-87DLOtJP-ooyU/edit?usp=sharing"",""นราธิวาส!J640"")"),0)</f>
        <v>0</v>
      </c>
    </row>
    <row r="80" spans="1:49" ht="19.5" x14ac:dyDescent="0.3">
      <c r="A80" s="89">
        <v>6</v>
      </c>
      <c r="B80" s="90" t="s">
        <v>106</v>
      </c>
      <c r="C80" s="174">
        <f t="shared" si="32"/>
        <v>0</v>
      </c>
      <c r="D80" s="175">
        <f t="shared" si="80"/>
        <v>0</v>
      </c>
      <c r="E80" s="403">
        <v>0</v>
      </c>
      <c r="F80" s="403">
        <v>0</v>
      </c>
      <c r="G80" s="403">
        <v>0</v>
      </c>
      <c r="H80" s="403">
        <v>0</v>
      </c>
      <c r="I80" s="403">
        <v>0</v>
      </c>
      <c r="J80" s="176">
        <f t="shared" si="34"/>
        <v>0</v>
      </c>
      <c r="K80" s="179">
        <f t="shared" si="35"/>
        <v>0</v>
      </c>
      <c r="L80" s="403">
        <v>0</v>
      </c>
      <c r="M80" s="87">
        <f t="shared" si="36"/>
        <v>0</v>
      </c>
      <c r="N80" s="87">
        <f t="shared" si="37"/>
        <v>0</v>
      </c>
      <c r="O80" s="403">
        <v>0</v>
      </c>
      <c r="P80" s="86">
        <f t="shared" si="38"/>
        <v>0</v>
      </c>
      <c r="Q80" s="87">
        <f t="shared" si="39"/>
        <v>0</v>
      </c>
      <c r="R80" s="87">
        <f ca="1">IFERROR(__xludf.DUMMYFUNCTION("IMPORTRANGE(""https://docs.google.com/spreadsheets/d/1SDNX3JhDdYRuIOsj0Wh2M-Qa_eaXl0NbWmhAOTbfQAs/edit?usp=sharing"",""ปัตตานี!Q616"")"),6800)</f>
        <v>6800</v>
      </c>
      <c r="S80" s="87">
        <f ca="1">IFERROR(__xludf.DUMMYFUNCTION("IMPORTRANGE(""https://docs.google.com/spreadsheets/d/1SDNX3JhDdYRuIOsj0Wh2M-Qa_eaXl0NbWmhAOTbfQAs/edit?usp=sharing"",""ปัตตานี!R616"")"),0)</f>
        <v>0</v>
      </c>
      <c r="T80" s="87">
        <f ca="1">IFERROR(__xludf.DUMMYFUNCTION("IMPORTRANGE(""https://docs.google.com/spreadsheets/d/1SDNX3JhDdYRuIOsj0Wh2M-Qa_eaXl0NbWmhAOTbfQAs/edit?usp=sharing"",""ปัตตานี!S616"")"),0)</f>
        <v>0</v>
      </c>
      <c r="U80" s="87">
        <f t="shared" ca="1" si="41"/>
        <v>0</v>
      </c>
      <c r="V80" s="87">
        <f t="shared" ca="1" si="42"/>
        <v>0</v>
      </c>
      <c r="W80" s="353">
        <f ca="1">IFERROR(__xludf.DUMMYFUNCTION("IMPORTRANGE(""https://docs.google.com/spreadsheets/d/1SDNX3JhDdYRuIOsj0Wh2M-Qa_eaXl0NbWmhAOTbfQAs/edit?usp=sharing"",""ปัตตานี!I626"")"),50)</f>
        <v>50</v>
      </c>
      <c r="X80" s="177">
        <f ca="1">IFERROR(__xludf.DUMMYFUNCTION("IMPORTRANGE(""https://docs.google.com/spreadsheets/d/1SDNX3JhDdYRuIOsj0Wh2M-Qa_eaXl0NbWmhAOTbfQAs/edit?usp=sharing"",""ปัตตานี!J626"")"),0)</f>
        <v>0</v>
      </c>
      <c r="Y80" s="354">
        <f t="shared" ca="1" si="44"/>
        <v>0</v>
      </c>
      <c r="Z80" s="177">
        <f ca="1">IFERROR(__xludf.DUMMYFUNCTION("IMPORTRANGE(""https://docs.google.com/spreadsheets/d/1SDNX3JhDdYRuIOsj0Wh2M-Qa_eaXl0NbWmhAOTbfQAs/edit?usp=sharing"",""ปัตตานี!I627"")"),0)</f>
        <v>0</v>
      </c>
      <c r="AA80" s="177">
        <f ca="1">IFERROR(__xludf.DUMMYFUNCTION("IMPORTRANGE(""https://docs.google.com/spreadsheets/d/1SDNX3JhDdYRuIOsj0Wh2M-Qa_eaXl0NbWmhAOTbfQAs/edit?usp=sharing"",""ปัตตานี!J627"")"),0)</f>
        <v>0</v>
      </c>
      <c r="AB80" s="354">
        <f t="shared" ca="1" si="46"/>
        <v>0</v>
      </c>
      <c r="AC80" s="177">
        <f ca="1">IFERROR(__xludf.DUMMYFUNCTION("IMPORTRANGE(""https://docs.google.com/spreadsheets/d/1SDNX3JhDdYRuIOsj0Wh2M-Qa_eaXl0NbWmhAOTbfQAs/edit?usp=sharing"",""ปัตตานี!I628"")"),0)</f>
        <v>0</v>
      </c>
      <c r="AD80" s="177">
        <f ca="1">IFERROR(__xludf.DUMMYFUNCTION("IMPORTRANGE(""https://docs.google.com/spreadsheets/d/1SDNX3JhDdYRuIOsj0Wh2M-Qa_eaXl0NbWmhAOTbfQAs/edit?usp=sharing"",""ปัตตานี!J628"")"),0)</f>
        <v>0</v>
      </c>
      <c r="AE80" s="354">
        <f t="shared" ca="1" si="48"/>
        <v>0</v>
      </c>
      <c r="AF80" s="177">
        <f ca="1">IFERROR(__xludf.DUMMYFUNCTION("IMPORTRANGE(""https://docs.google.com/spreadsheets/d/1SDNX3JhDdYRuIOsj0Wh2M-Qa_eaXl0NbWmhAOTbfQAs/edit?usp=sharing"",""ปัตตานี!J629"")"),0)</f>
        <v>0</v>
      </c>
      <c r="AG80" s="354">
        <f t="shared" ca="1" si="56"/>
        <v>0</v>
      </c>
      <c r="AH80" s="177">
        <f ca="1">IFERROR(__xludf.DUMMYFUNCTION("IMPORTRANGE(""https://docs.google.com/spreadsheets/d/1SDNX3JhDdYRuIOsj0Wh2M-Qa_eaXl0NbWmhAOTbfQAs/edit?usp=sharing"",""ปัตตานี!J630"")"),0)</f>
        <v>0</v>
      </c>
      <c r="AI80" s="354">
        <f t="shared" ca="1" si="49"/>
        <v>0</v>
      </c>
      <c r="AJ80" s="354">
        <f ca="1">IFERROR(__xludf.DUMMYFUNCTION("IMPORTRANGE(""https://docs.google.com/spreadsheets/d/1SDNX3JhDdYRuIOsj0Wh2M-Qa_eaXl0NbWmhAOTbfQAs/edit?usp=sharing"",""ปัตตานี!J631"")"),0)</f>
        <v>0</v>
      </c>
      <c r="AK80" s="354">
        <f t="shared" ca="1" si="50"/>
        <v>0</v>
      </c>
      <c r="AL80" s="354">
        <f ca="1">IFERROR(__xludf.DUMMYFUNCTION("IMPORTRANGE(""https://docs.google.com/spreadsheets/d/1SDNX3JhDdYRuIOsj0Wh2M-Qa_eaXl0NbWmhAOTbfQAs/edit?usp=sharing"",""ปัตตานี!J632"")"),0)</f>
        <v>0</v>
      </c>
      <c r="AM80" s="354">
        <f t="shared" ca="1" si="51"/>
        <v>0</v>
      </c>
      <c r="AN80" s="354">
        <f ca="1">IFERROR(__xludf.DUMMYFUNCTION("IMPORTRANGE(""https://docs.google.com/spreadsheets/d/1SDNX3JhDdYRuIOsj0Wh2M-Qa_eaXl0NbWmhAOTbfQAs/edit?usp=sharing"",""ปัตตานี!J633"")"),0)</f>
        <v>0</v>
      </c>
      <c r="AO80" s="354">
        <f ca="1">IFERROR(__xludf.DUMMYFUNCTION("IMPORTRANGE(""https://docs.google.com/spreadsheets/d/1SDNX3JhDdYRuIOsj0Wh2M-Qa_eaXl0NbWmhAOTbfQAs/edit?usp=sharing"",""ปัตตานี!J634"")"),0)</f>
        <v>0</v>
      </c>
      <c r="AP80" s="177">
        <f ca="1">IFERROR(__xludf.DUMMYFUNCTION("IMPORTRANGE(""https://docs.google.com/spreadsheets/d/1SDNX3JhDdYRuIOsj0Wh2M-Qa_eaXl0NbWmhAOTbfQAs/edit?usp=sharing"",""ปัตตานี!I635"")"),0)</f>
        <v>0</v>
      </c>
      <c r="AQ80" s="177">
        <f ca="1">IFERROR(__xludf.DUMMYFUNCTION("IMPORTRANGE(""https://docs.google.com/spreadsheets/d/1SDNX3JhDdYRuIOsj0Wh2M-Qa_eaXl0NbWmhAOTbfQAs/edit?usp=sharing"",""ปัตตานี!J635"")"),0)</f>
        <v>0</v>
      </c>
      <c r="AR80" s="354">
        <f t="shared" ca="1" si="53"/>
        <v>0</v>
      </c>
      <c r="AS80" s="177">
        <f ca="1">IFERROR(__xludf.DUMMYFUNCTION("IMPORTRANGE(""https://docs.google.com/spreadsheets/d/1SDNX3JhDdYRuIOsj0Wh2M-Qa_eaXl0NbWmhAOTbfQAs/edit?usp=sharing"",""ปัตตานี!J636"")"),0)</f>
        <v>0</v>
      </c>
      <c r="AT80" s="177">
        <f ca="1">IFERROR(__xludf.DUMMYFUNCTION("IMPORTRANGE(""https://docs.google.com/spreadsheets/d/1SDNX3JhDdYRuIOsj0Wh2M-Qa_eaXl0NbWmhAOTbfQAs/edit?usp=sharing"",""ปัตตานี!J637"")"),0)</f>
        <v>0</v>
      </c>
      <c r="AU80" s="177">
        <f ca="1">IFERROR(__xludf.DUMMYFUNCTION("IMPORTRANGE(""https://docs.google.com/spreadsheets/d/1SDNX3JhDdYRuIOsj0Wh2M-Qa_eaXl0NbWmhAOTbfQAs/edit?usp=sharing"",""ปัตตานี!J638"")"),0)</f>
        <v>0</v>
      </c>
      <c r="AV80" s="177">
        <f ca="1">IFERROR(__xludf.DUMMYFUNCTION("IMPORTRANGE(""https://docs.google.com/spreadsheets/d/1SDNX3JhDdYRuIOsj0Wh2M-Qa_eaXl0NbWmhAOTbfQAs/edit?usp=sharing"",""ปัตตานี!J639"")"),0)</f>
        <v>0</v>
      </c>
      <c r="AW80" s="177">
        <f ca="1">IFERROR(__xludf.DUMMYFUNCTION("IMPORTRANGE(""https://docs.google.com/spreadsheets/d/1SDNX3JhDdYRuIOsj0Wh2M-Qa_eaXl0NbWmhAOTbfQAs/edit?usp=sharing"",""ปัตตานี!J640"")"),0)</f>
        <v>0</v>
      </c>
    </row>
    <row r="81" spans="1:49" ht="19.5" x14ac:dyDescent="0.3">
      <c r="A81" s="89">
        <v>7</v>
      </c>
      <c r="B81" s="90" t="s">
        <v>107</v>
      </c>
      <c r="C81" s="174">
        <f t="shared" si="32"/>
        <v>0</v>
      </c>
      <c r="D81" s="175">
        <f t="shared" si="80"/>
        <v>0</v>
      </c>
      <c r="E81" s="403">
        <v>0</v>
      </c>
      <c r="F81" s="403">
        <v>0</v>
      </c>
      <c r="G81" s="403">
        <v>0</v>
      </c>
      <c r="H81" s="403">
        <v>0</v>
      </c>
      <c r="I81" s="403">
        <v>0</v>
      </c>
      <c r="J81" s="176">
        <f t="shared" si="34"/>
        <v>0</v>
      </c>
      <c r="K81" s="179">
        <f t="shared" si="35"/>
        <v>0</v>
      </c>
      <c r="L81" s="403">
        <v>0</v>
      </c>
      <c r="M81" s="87">
        <f t="shared" si="36"/>
        <v>0</v>
      </c>
      <c r="N81" s="87">
        <f t="shared" si="37"/>
        <v>0</v>
      </c>
      <c r="O81" s="403">
        <v>0</v>
      </c>
      <c r="P81" s="86">
        <f t="shared" si="38"/>
        <v>0</v>
      </c>
      <c r="Q81" s="87">
        <f t="shared" si="39"/>
        <v>0</v>
      </c>
      <c r="R81" s="87">
        <f ca="1">IFERROR(__xludf.DUMMYFUNCTION("IMPORTRANGE(""https://docs.google.com/spreadsheets/d/16JDLGguT8s5DsGCND1KcwHP_AWR_zDMTqLHPLJUKhaU/edit?usp=sharing"",""พังงา!Q616"")"),7300)</f>
        <v>7300</v>
      </c>
      <c r="S81" s="87">
        <f ca="1">IFERROR(__xludf.DUMMYFUNCTION("IMPORTRANGE(""https://docs.google.com/spreadsheets/d/16JDLGguT8s5DsGCND1KcwHP_AWR_zDMTqLHPLJUKhaU/edit?usp=sharing"",""พังงา!R616"")"),0)</f>
        <v>0</v>
      </c>
      <c r="T81" s="87">
        <f ca="1">IFERROR(__xludf.DUMMYFUNCTION("IMPORTRANGE(""https://docs.google.com/spreadsheets/d/16JDLGguT8s5DsGCND1KcwHP_AWR_zDMTqLHPLJUKhaU/edit?usp=sharing"",""พังงา!S616"")"),0)</f>
        <v>0</v>
      </c>
      <c r="U81" s="87">
        <f t="shared" ca="1" si="41"/>
        <v>0</v>
      </c>
      <c r="V81" s="87">
        <f t="shared" ca="1" si="42"/>
        <v>0</v>
      </c>
      <c r="W81" s="353">
        <f ca="1">IFERROR(__xludf.DUMMYFUNCTION("IMPORTRANGE(""https://docs.google.com/spreadsheets/d/16JDLGguT8s5DsGCND1KcwHP_AWR_zDMTqLHPLJUKhaU/edit?usp=sharing"",""พังงา!I626"")"),50)</f>
        <v>50</v>
      </c>
      <c r="X81" s="177">
        <f ca="1">IFERROR(__xludf.DUMMYFUNCTION("IMPORTRANGE(""https://docs.google.com/spreadsheets/d/16JDLGguT8s5DsGCND1KcwHP_AWR_zDMTqLHPLJUKhaU/edit?usp=sharing"",""พังงา!J626"")"),0)</f>
        <v>0</v>
      </c>
      <c r="Y81" s="354">
        <f t="shared" ca="1" si="44"/>
        <v>0</v>
      </c>
      <c r="Z81" s="177">
        <f ca="1">IFERROR(__xludf.DUMMYFUNCTION("IMPORTRANGE(""https://docs.google.com/spreadsheets/d/16JDLGguT8s5DsGCND1KcwHP_AWR_zDMTqLHPLJUKhaU/edit?usp=sharing"",""พังงา!I627"")"),1)</f>
        <v>1</v>
      </c>
      <c r="AA81" s="177">
        <f ca="1">IFERROR(__xludf.DUMMYFUNCTION("IMPORTRANGE(""https://docs.google.com/spreadsheets/d/16JDLGguT8s5DsGCND1KcwHP_AWR_zDMTqLHPLJUKhaU/edit?usp=sharing"",""พังงา!J627"")"),0)</f>
        <v>0</v>
      </c>
      <c r="AB81" s="354">
        <f t="shared" ca="1" si="46"/>
        <v>0</v>
      </c>
      <c r="AC81" s="177">
        <f ca="1">IFERROR(__xludf.DUMMYFUNCTION("IMPORTRANGE(""https://docs.google.com/spreadsheets/d/16JDLGguT8s5DsGCND1KcwHP_AWR_zDMTqLHPLJUKhaU/edit?usp=sharing"",""พังงา!I628"")"),1)</f>
        <v>1</v>
      </c>
      <c r="AD81" s="177">
        <f ca="1">IFERROR(__xludf.DUMMYFUNCTION("IMPORTRANGE(""https://docs.google.com/spreadsheets/d/16JDLGguT8s5DsGCND1KcwHP_AWR_zDMTqLHPLJUKhaU/edit?usp=sharing"",""พังงา!J628"")"),0)</f>
        <v>0</v>
      </c>
      <c r="AE81" s="354">
        <f t="shared" ca="1" si="48"/>
        <v>0</v>
      </c>
      <c r="AF81" s="177">
        <f ca="1">IFERROR(__xludf.DUMMYFUNCTION("IMPORTRANGE(""https://docs.google.com/spreadsheets/d/16JDLGguT8s5DsGCND1KcwHP_AWR_zDMTqLHPLJUKhaU/edit?usp=sharing"",""พังงา!J629"")"),0)</f>
        <v>0</v>
      </c>
      <c r="AG81" s="354">
        <f t="shared" ca="1" si="56"/>
        <v>0</v>
      </c>
      <c r="AH81" s="177">
        <f ca="1">IFERROR(__xludf.DUMMYFUNCTION("IMPORTRANGE(""https://docs.google.com/spreadsheets/d/16JDLGguT8s5DsGCND1KcwHP_AWR_zDMTqLHPLJUKhaU/edit?usp=sharing"",""พังงา!J630"")"),0)</f>
        <v>0</v>
      </c>
      <c r="AI81" s="354">
        <f t="shared" ca="1" si="49"/>
        <v>0</v>
      </c>
      <c r="AJ81" s="354">
        <f ca="1">IFERROR(__xludf.DUMMYFUNCTION("IMPORTRANGE(""https://docs.google.com/spreadsheets/d/16JDLGguT8s5DsGCND1KcwHP_AWR_zDMTqLHPLJUKhaU/edit?usp=sharing"",""พังงา!J631"")"),0)</f>
        <v>0</v>
      </c>
      <c r="AK81" s="354">
        <f t="shared" ca="1" si="50"/>
        <v>0</v>
      </c>
      <c r="AL81" s="354">
        <f ca="1">IFERROR(__xludf.DUMMYFUNCTION("IMPORTRANGE(""https://docs.google.com/spreadsheets/d/16JDLGguT8s5DsGCND1KcwHP_AWR_zDMTqLHPLJUKhaU/edit?usp=sharing"",""พังงา!J632"")"),0)</f>
        <v>0</v>
      </c>
      <c r="AM81" s="354">
        <f t="shared" ca="1" si="51"/>
        <v>0</v>
      </c>
      <c r="AN81" s="354">
        <f ca="1">IFERROR(__xludf.DUMMYFUNCTION("IMPORTRANGE(""https://docs.google.com/spreadsheets/d/16JDLGguT8s5DsGCND1KcwHP_AWR_zDMTqLHPLJUKhaU/edit?usp=sharing"",""พังงา!J633"")"),0)</f>
        <v>0</v>
      </c>
      <c r="AO81" s="354">
        <f ca="1">IFERROR(__xludf.DUMMYFUNCTION("IMPORTRANGE(""https://docs.google.com/spreadsheets/d/16JDLGguT8s5DsGCND1KcwHP_AWR_zDMTqLHPLJUKhaU/edit?usp=sharing"",""พังงา!J634"")"),0)</f>
        <v>0</v>
      </c>
      <c r="AP81" s="177">
        <f ca="1">IFERROR(__xludf.DUMMYFUNCTION("IMPORTRANGE(""https://docs.google.com/spreadsheets/d/16JDLGguT8s5DsGCND1KcwHP_AWR_zDMTqLHPLJUKhaU/edit?usp=sharing"",""พังงา!I635"")"),0)</f>
        <v>0</v>
      </c>
      <c r="AQ81" s="177">
        <f ca="1">IFERROR(__xludf.DUMMYFUNCTION("IMPORTRANGE(""https://docs.google.com/spreadsheets/d/16JDLGguT8s5DsGCND1KcwHP_AWR_zDMTqLHPLJUKhaU/edit?usp=sharing"",""พังงา!J635"")"),0)</f>
        <v>0</v>
      </c>
      <c r="AR81" s="354">
        <f t="shared" ca="1" si="53"/>
        <v>0</v>
      </c>
      <c r="AS81" s="177">
        <f ca="1">IFERROR(__xludf.DUMMYFUNCTION("IMPORTRANGE(""https://docs.google.com/spreadsheets/d/16JDLGguT8s5DsGCND1KcwHP_AWR_zDMTqLHPLJUKhaU/edit?usp=sharing"",""พังงา!J636"")"),0)</f>
        <v>0</v>
      </c>
      <c r="AT81" s="177">
        <f ca="1">IFERROR(__xludf.DUMMYFUNCTION("IMPORTRANGE(""https://docs.google.com/spreadsheets/d/16JDLGguT8s5DsGCND1KcwHP_AWR_zDMTqLHPLJUKhaU/edit?usp=sharing"",""พังงา!J637"")"),0)</f>
        <v>0</v>
      </c>
      <c r="AU81" s="177">
        <f ca="1">IFERROR(__xludf.DUMMYFUNCTION("IMPORTRANGE(""https://docs.google.com/spreadsheets/d/16JDLGguT8s5DsGCND1KcwHP_AWR_zDMTqLHPLJUKhaU/edit?usp=sharing"",""พังงา!J638"")"),0)</f>
        <v>0</v>
      </c>
      <c r="AV81" s="177">
        <f ca="1">IFERROR(__xludf.DUMMYFUNCTION("IMPORTRANGE(""https://docs.google.com/spreadsheets/d/16JDLGguT8s5DsGCND1KcwHP_AWR_zDMTqLHPLJUKhaU/edit?usp=sharing"",""พังงา!J639"")"),0)</f>
        <v>0</v>
      </c>
      <c r="AW81" s="177">
        <f ca="1">IFERROR(__xludf.DUMMYFUNCTION("IMPORTRANGE(""https://docs.google.com/spreadsheets/d/16JDLGguT8s5DsGCND1KcwHP_AWR_zDMTqLHPLJUKhaU/edit?usp=sharing"",""พังงา!J640"")"),0)</f>
        <v>0</v>
      </c>
    </row>
    <row r="82" spans="1:49" ht="19.5" x14ac:dyDescent="0.3">
      <c r="A82" s="89">
        <v>8</v>
      </c>
      <c r="B82" s="90" t="s">
        <v>108</v>
      </c>
      <c r="C82" s="174">
        <f t="shared" si="32"/>
        <v>0</v>
      </c>
      <c r="D82" s="175">
        <f t="shared" si="80"/>
        <v>0</v>
      </c>
      <c r="E82" s="403">
        <v>0</v>
      </c>
      <c r="F82" s="403">
        <v>0</v>
      </c>
      <c r="G82" s="403">
        <v>0</v>
      </c>
      <c r="H82" s="403">
        <v>0</v>
      </c>
      <c r="I82" s="403">
        <v>0</v>
      </c>
      <c r="J82" s="176">
        <f t="shared" si="34"/>
        <v>0</v>
      </c>
      <c r="K82" s="179">
        <f t="shared" si="35"/>
        <v>0</v>
      </c>
      <c r="L82" s="403">
        <v>0</v>
      </c>
      <c r="M82" s="87">
        <f t="shared" si="36"/>
        <v>0</v>
      </c>
      <c r="N82" s="87">
        <f t="shared" si="37"/>
        <v>0</v>
      </c>
      <c r="O82" s="403">
        <v>0</v>
      </c>
      <c r="P82" s="86">
        <f t="shared" si="38"/>
        <v>0</v>
      </c>
      <c r="Q82" s="87">
        <f t="shared" si="39"/>
        <v>0</v>
      </c>
      <c r="R82" s="87">
        <f ca="1">IFERROR(__xludf.DUMMYFUNCTION("IMPORTRANGE(""https://docs.google.com/spreadsheets/d/17ht0gPKzzT3PObBL1XJkeRmntBXI7wGjpLV7QorqlTk/edit?usp=sharing"",""พัทลุง!Q616"")"),6775)</f>
        <v>6775</v>
      </c>
      <c r="S82" s="87">
        <f ca="1">IFERROR(__xludf.DUMMYFUNCTION("IMPORTRANGE(""https://docs.google.com/spreadsheets/d/17ht0gPKzzT3PObBL1XJkeRmntBXI7wGjpLV7QorqlTk/edit?usp=sharing"",""พัทลุง!R616"")"),0)</f>
        <v>0</v>
      </c>
      <c r="T82" s="87">
        <f ca="1">IFERROR(__xludf.DUMMYFUNCTION("IMPORTRANGE(""https://docs.google.com/spreadsheets/d/17ht0gPKzzT3PObBL1XJkeRmntBXI7wGjpLV7QorqlTk/edit?usp=sharing"",""พัทลุง!S616"")"),0)</f>
        <v>0</v>
      </c>
      <c r="U82" s="87">
        <f t="shared" ca="1" si="41"/>
        <v>0</v>
      </c>
      <c r="V82" s="87">
        <f t="shared" ca="1" si="42"/>
        <v>0</v>
      </c>
      <c r="W82" s="353">
        <f ca="1">IFERROR(__xludf.DUMMYFUNCTION("IMPORTRANGE(""https://docs.google.com/spreadsheets/d/17ht0gPKzzT3PObBL1XJkeRmntBXI7wGjpLV7QorqlTk/edit?usp=sharing"",""พัทลุง!I626"")"),50)</f>
        <v>50</v>
      </c>
      <c r="X82" s="177">
        <f ca="1">IFERROR(__xludf.DUMMYFUNCTION("IMPORTRANGE(""https://docs.google.com/spreadsheets/d/17ht0gPKzzT3PObBL1XJkeRmntBXI7wGjpLV7QorqlTk/edit?usp=sharing"",""พัทลุง!J626"")"),0)</f>
        <v>0</v>
      </c>
      <c r="Y82" s="354">
        <f t="shared" ca="1" si="44"/>
        <v>0</v>
      </c>
      <c r="Z82" s="177">
        <f ca="1">IFERROR(__xludf.DUMMYFUNCTION("IMPORTRANGE(""https://docs.google.com/spreadsheets/d/17ht0gPKzzT3PObBL1XJkeRmntBXI7wGjpLV7QorqlTk/edit?usp=sharing"",""พัทลุง!I627"")"),0)</f>
        <v>0</v>
      </c>
      <c r="AA82" s="177">
        <f ca="1">IFERROR(__xludf.DUMMYFUNCTION("IMPORTRANGE(""https://docs.google.com/spreadsheets/d/17ht0gPKzzT3PObBL1XJkeRmntBXI7wGjpLV7QorqlTk/edit?usp=sharing"",""พัทลุง!J627"")"),0)</f>
        <v>0</v>
      </c>
      <c r="AB82" s="354">
        <f t="shared" ca="1" si="46"/>
        <v>0</v>
      </c>
      <c r="AC82" s="177">
        <f ca="1">IFERROR(__xludf.DUMMYFUNCTION("IMPORTRANGE(""https://docs.google.com/spreadsheets/d/17ht0gPKzzT3PObBL1XJkeRmntBXI7wGjpLV7QorqlTk/edit?usp=sharing"",""พัทลุง!I628"")"),0)</f>
        <v>0</v>
      </c>
      <c r="AD82" s="177">
        <f ca="1">IFERROR(__xludf.DUMMYFUNCTION("IMPORTRANGE(""https://docs.google.com/spreadsheets/d/17ht0gPKzzT3PObBL1XJkeRmntBXI7wGjpLV7QorqlTk/edit?usp=sharing"",""พัทลุง!J628"")"),0)</f>
        <v>0</v>
      </c>
      <c r="AE82" s="354">
        <f t="shared" ca="1" si="48"/>
        <v>0</v>
      </c>
      <c r="AF82" s="177">
        <f ca="1">IFERROR(__xludf.DUMMYFUNCTION("IMPORTRANGE(""https://docs.google.com/spreadsheets/d/17ht0gPKzzT3PObBL1XJkeRmntBXI7wGjpLV7QorqlTk/edit?usp=sharing"",""พัทลุง!J629"")"),0)</f>
        <v>0</v>
      </c>
      <c r="AG82" s="354">
        <f t="shared" ca="1" si="56"/>
        <v>0</v>
      </c>
      <c r="AH82" s="177">
        <f ca="1">IFERROR(__xludf.DUMMYFUNCTION("IMPORTRANGE(""https://docs.google.com/spreadsheets/d/17ht0gPKzzT3PObBL1XJkeRmntBXI7wGjpLV7QorqlTk/edit?usp=sharing"",""พัทลุง!J630"")"),0)</f>
        <v>0</v>
      </c>
      <c r="AI82" s="354">
        <f t="shared" ca="1" si="49"/>
        <v>0</v>
      </c>
      <c r="AJ82" s="354">
        <f ca="1">IFERROR(__xludf.DUMMYFUNCTION("IMPORTRANGE(""https://docs.google.com/spreadsheets/d/17ht0gPKzzT3PObBL1XJkeRmntBXI7wGjpLV7QorqlTk/edit?usp=sharing"",""พัทลุง!J631"")"),0)</f>
        <v>0</v>
      </c>
      <c r="AK82" s="354">
        <f t="shared" ca="1" si="50"/>
        <v>0</v>
      </c>
      <c r="AL82" s="354">
        <f ca="1">IFERROR(__xludf.DUMMYFUNCTION("IMPORTRANGE(""https://docs.google.com/spreadsheets/d/17ht0gPKzzT3PObBL1XJkeRmntBXI7wGjpLV7QorqlTk/edit?usp=sharing"",""พัทลุง!J632"")"),0)</f>
        <v>0</v>
      </c>
      <c r="AM82" s="354">
        <f t="shared" ca="1" si="51"/>
        <v>0</v>
      </c>
      <c r="AN82" s="354">
        <f ca="1">IFERROR(__xludf.DUMMYFUNCTION("IMPORTRANGE(""https://docs.google.com/spreadsheets/d/17ht0gPKzzT3PObBL1XJkeRmntBXI7wGjpLV7QorqlTk/edit?usp=sharing"",""พัทลุง!J633"")"),0)</f>
        <v>0</v>
      </c>
      <c r="AO82" s="354">
        <f ca="1">IFERROR(__xludf.DUMMYFUNCTION("IMPORTRANGE(""https://docs.google.com/spreadsheets/d/17ht0gPKzzT3PObBL1XJkeRmntBXI7wGjpLV7QorqlTk/edit?usp=sharing"",""พัทลุง!J634"")"),0)</f>
        <v>0</v>
      </c>
      <c r="AP82" s="177">
        <f ca="1">IFERROR(__xludf.DUMMYFUNCTION("IMPORTRANGE(""https://docs.google.com/spreadsheets/d/17ht0gPKzzT3PObBL1XJkeRmntBXI7wGjpLV7QorqlTk/edit?usp=sharing"",""พัทลุง!I635"")"),0)</f>
        <v>0</v>
      </c>
      <c r="AQ82" s="177">
        <f ca="1">IFERROR(__xludf.DUMMYFUNCTION("IMPORTRANGE(""https://docs.google.com/spreadsheets/d/17ht0gPKzzT3PObBL1XJkeRmntBXI7wGjpLV7QorqlTk/edit?usp=sharing"",""พัทลุง!J635"")"),0)</f>
        <v>0</v>
      </c>
      <c r="AR82" s="354">
        <f t="shared" ca="1" si="53"/>
        <v>0</v>
      </c>
      <c r="AS82" s="177">
        <f ca="1">IFERROR(__xludf.DUMMYFUNCTION("IMPORTRANGE(""https://docs.google.com/spreadsheets/d/17ht0gPKzzT3PObBL1XJkeRmntBXI7wGjpLV7QorqlTk/edit?usp=sharing"",""พัทลุง!J636"")"),0)</f>
        <v>0</v>
      </c>
      <c r="AT82" s="177">
        <f ca="1">IFERROR(__xludf.DUMMYFUNCTION("IMPORTRANGE(""https://docs.google.com/spreadsheets/d/17ht0gPKzzT3PObBL1XJkeRmntBXI7wGjpLV7QorqlTk/edit?usp=sharing"",""พัทลุง!J637"")"),0)</f>
        <v>0</v>
      </c>
      <c r="AU82" s="177">
        <f ca="1">IFERROR(__xludf.DUMMYFUNCTION("IMPORTRANGE(""https://docs.google.com/spreadsheets/d/17ht0gPKzzT3PObBL1XJkeRmntBXI7wGjpLV7QorqlTk/edit?usp=sharing"",""พัทลุง!J638"")"),0)</f>
        <v>0</v>
      </c>
      <c r="AV82" s="177">
        <f ca="1">IFERROR(__xludf.DUMMYFUNCTION("IMPORTRANGE(""https://docs.google.com/spreadsheets/d/17ht0gPKzzT3PObBL1XJkeRmntBXI7wGjpLV7QorqlTk/edit?usp=sharing"",""พัทลุง!J639"")"),0)</f>
        <v>0</v>
      </c>
      <c r="AW82" s="177">
        <f ca="1">IFERROR(__xludf.DUMMYFUNCTION("IMPORTRANGE(""https://docs.google.com/spreadsheets/d/17ht0gPKzzT3PObBL1XJkeRmntBXI7wGjpLV7QorqlTk/edit?usp=sharing"",""พัทลุง!J640"")"),0)</f>
        <v>0</v>
      </c>
    </row>
    <row r="83" spans="1:49" ht="19.5" x14ac:dyDescent="0.3">
      <c r="A83" s="89">
        <v>9</v>
      </c>
      <c r="B83" s="90" t="s">
        <v>109</v>
      </c>
      <c r="C83" s="174">
        <f t="shared" si="32"/>
        <v>0</v>
      </c>
      <c r="D83" s="175">
        <f t="shared" si="80"/>
        <v>0</v>
      </c>
      <c r="E83" s="403">
        <v>0</v>
      </c>
      <c r="F83" s="403">
        <v>0</v>
      </c>
      <c r="G83" s="403">
        <v>0</v>
      </c>
      <c r="H83" s="403">
        <v>0</v>
      </c>
      <c r="I83" s="403">
        <v>0</v>
      </c>
      <c r="J83" s="176">
        <f t="shared" si="34"/>
        <v>0</v>
      </c>
      <c r="K83" s="179">
        <f t="shared" si="35"/>
        <v>0</v>
      </c>
      <c r="L83" s="403">
        <v>0</v>
      </c>
      <c r="M83" s="87">
        <f t="shared" si="36"/>
        <v>0</v>
      </c>
      <c r="N83" s="87">
        <f t="shared" si="37"/>
        <v>0</v>
      </c>
      <c r="O83" s="403">
        <v>0</v>
      </c>
      <c r="P83" s="86">
        <f t="shared" si="38"/>
        <v>0</v>
      </c>
      <c r="Q83" s="87">
        <f t="shared" si="39"/>
        <v>0</v>
      </c>
      <c r="R83" s="87">
        <f ca="1">IFERROR(__xludf.DUMMYFUNCTION("IMPORTRANGE(""https://docs.google.com/spreadsheets/d/1rd4qoM1q_hsgaolqNGfrim9gbsoLxQsda4-vOz5x_BM/edit?usp=sharing"",""ภูเก็ต!Q616"")"),1675)</f>
        <v>1675</v>
      </c>
      <c r="S83" s="87">
        <f ca="1">IFERROR(__xludf.DUMMYFUNCTION("IMPORTRANGE(""https://docs.google.com/spreadsheets/d/1rd4qoM1q_hsgaolqNGfrim9gbsoLxQsda4-vOz5x_BM/edit?usp=sharing"",""ภูเก็ต!R616"")"),0)</f>
        <v>0</v>
      </c>
      <c r="T83" s="87">
        <f ca="1">IFERROR(__xludf.DUMMYFUNCTION("IMPORTRANGE(""https://docs.google.com/spreadsheets/d/1rd4qoM1q_hsgaolqNGfrim9gbsoLxQsda4-vOz5x_BM/edit?usp=sharing"",""ภูเก็ต!S616"")"),0)</f>
        <v>0</v>
      </c>
      <c r="U83" s="87">
        <f t="shared" ca="1" si="41"/>
        <v>0</v>
      </c>
      <c r="V83" s="87">
        <f t="shared" ca="1" si="42"/>
        <v>0</v>
      </c>
      <c r="W83" s="353">
        <f ca="1">IFERROR(__xludf.DUMMYFUNCTION("IMPORTRANGE(""https://docs.google.com/spreadsheets/d/1rd4qoM1q_hsgaolqNGfrim9gbsoLxQsda4-vOz5x_BM/edit?usp=sharing"",""ภูเก็ต!I626"")"),0)</f>
        <v>0</v>
      </c>
      <c r="X83" s="177">
        <f ca="1">IFERROR(__xludf.DUMMYFUNCTION("IMPORTRANGE(""https://docs.google.com/spreadsheets/d/1rd4qoM1q_hsgaolqNGfrim9gbsoLxQsda4-vOz5x_BM/edit?usp=sharing"",""ภูเก็ต!J626"")"),0)</f>
        <v>0</v>
      </c>
      <c r="Y83" s="354">
        <f t="shared" ca="1" si="44"/>
        <v>0</v>
      </c>
      <c r="Z83" s="177">
        <f ca="1">IFERROR(__xludf.DUMMYFUNCTION("IMPORTRANGE(""https://docs.google.com/spreadsheets/d/1rd4qoM1q_hsgaolqNGfrim9gbsoLxQsda4-vOz5x_BM/edit?usp=sharing"",""ภูเก็ต!I627"")"),1)</f>
        <v>1</v>
      </c>
      <c r="AA83" s="177">
        <f ca="1">IFERROR(__xludf.DUMMYFUNCTION("IMPORTRANGE(""https://docs.google.com/spreadsheets/d/1rd4qoM1q_hsgaolqNGfrim9gbsoLxQsda4-vOz5x_BM/edit?usp=sharing"",""ภูเก็ต!J627"")"),0)</f>
        <v>0</v>
      </c>
      <c r="AB83" s="354">
        <f t="shared" ca="1" si="46"/>
        <v>0</v>
      </c>
      <c r="AC83" s="177">
        <f ca="1">IFERROR(__xludf.DUMMYFUNCTION("IMPORTRANGE(""https://docs.google.com/spreadsheets/d/1rd4qoM1q_hsgaolqNGfrim9gbsoLxQsda4-vOz5x_BM/edit?usp=sharing"",""ภูเก็ต!I628"")"),1)</f>
        <v>1</v>
      </c>
      <c r="AD83" s="177">
        <f ca="1">IFERROR(__xludf.DUMMYFUNCTION("IMPORTRANGE(""https://docs.google.com/spreadsheets/d/1rd4qoM1q_hsgaolqNGfrim9gbsoLxQsda4-vOz5x_BM/edit?usp=sharing"",""ภูเก็ต!J628"")"),0)</f>
        <v>0</v>
      </c>
      <c r="AE83" s="354">
        <f t="shared" ca="1" si="48"/>
        <v>0</v>
      </c>
      <c r="AF83" s="177">
        <f ca="1">IFERROR(__xludf.DUMMYFUNCTION("IMPORTRANGE(""https://docs.google.com/spreadsheets/d/1rd4qoM1q_hsgaolqNGfrim9gbsoLxQsda4-vOz5x_BM/edit?usp=sharing"",""ภูเก็ต!J629"")"),0)</f>
        <v>0</v>
      </c>
      <c r="AG83" s="354">
        <f t="shared" ca="1" si="56"/>
        <v>0</v>
      </c>
      <c r="AH83" s="177">
        <f ca="1">IFERROR(__xludf.DUMMYFUNCTION("IMPORTRANGE(""https://docs.google.com/spreadsheets/d/1rd4qoM1q_hsgaolqNGfrim9gbsoLxQsda4-vOz5x_BM/edit?usp=sharing"",""ภูเก็ต!J630"")"),0)</f>
        <v>0</v>
      </c>
      <c r="AI83" s="354">
        <f t="shared" ca="1" si="49"/>
        <v>0</v>
      </c>
      <c r="AJ83" s="354">
        <f ca="1">IFERROR(__xludf.DUMMYFUNCTION("IMPORTRANGE(""https://docs.google.com/spreadsheets/d/1rd4qoM1q_hsgaolqNGfrim9gbsoLxQsda4-vOz5x_BM/edit?usp=sharing"",""ภูเก็ต!J631"")"),0)</f>
        <v>0</v>
      </c>
      <c r="AK83" s="354">
        <f t="shared" ca="1" si="50"/>
        <v>0</v>
      </c>
      <c r="AL83" s="354">
        <f ca="1">IFERROR(__xludf.DUMMYFUNCTION("IMPORTRANGE(""https://docs.google.com/spreadsheets/d/1rd4qoM1q_hsgaolqNGfrim9gbsoLxQsda4-vOz5x_BM/edit?usp=sharing"",""ภูเก็ต!J632"")"),0)</f>
        <v>0</v>
      </c>
      <c r="AM83" s="354">
        <f t="shared" ca="1" si="51"/>
        <v>0</v>
      </c>
      <c r="AN83" s="354">
        <f ca="1">IFERROR(__xludf.DUMMYFUNCTION("IMPORTRANGE(""https://docs.google.com/spreadsheets/d/1rd4qoM1q_hsgaolqNGfrim9gbsoLxQsda4-vOz5x_BM/edit?usp=sharing"",""ภูเก็ต!J633"")"),0)</f>
        <v>0</v>
      </c>
      <c r="AO83" s="354">
        <f ca="1">IFERROR(__xludf.DUMMYFUNCTION("IMPORTRANGE(""https://docs.google.com/spreadsheets/d/1rd4qoM1q_hsgaolqNGfrim9gbsoLxQsda4-vOz5x_BM/edit?usp=sharing"",""ภูเก็ต!J634"")"),0)</f>
        <v>0</v>
      </c>
      <c r="AP83" s="177">
        <f ca="1">IFERROR(__xludf.DUMMYFUNCTION("IMPORTRANGE(""https://docs.google.com/spreadsheets/d/1rd4qoM1q_hsgaolqNGfrim9gbsoLxQsda4-vOz5x_BM/edit?usp=sharing"",""ภูเก็ต!I635"")"),0)</f>
        <v>0</v>
      </c>
      <c r="AQ83" s="177">
        <f ca="1">IFERROR(__xludf.DUMMYFUNCTION("IMPORTRANGE(""https://docs.google.com/spreadsheets/d/1rd4qoM1q_hsgaolqNGfrim9gbsoLxQsda4-vOz5x_BM/edit?usp=sharing"",""ภูเก็ต!J635"")"),0)</f>
        <v>0</v>
      </c>
      <c r="AR83" s="354">
        <f t="shared" ca="1" si="53"/>
        <v>0</v>
      </c>
      <c r="AS83" s="177">
        <f ca="1">IFERROR(__xludf.DUMMYFUNCTION("IMPORTRANGE(""https://docs.google.com/spreadsheets/d/1rd4qoM1q_hsgaolqNGfrim9gbsoLxQsda4-vOz5x_BM/edit?usp=sharing"",""ภูเก็ต!J636"")"),0)</f>
        <v>0</v>
      </c>
      <c r="AT83" s="177">
        <f ca="1">IFERROR(__xludf.DUMMYFUNCTION("IMPORTRANGE(""https://docs.google.com/spreadsheets/d/1rd4qoM1q_hsgaolqNGfrim9gbsoLxQsda4-vOz5x_BM/edit?usp=sharing"",""ภูเก็ต!J637"")"),0)</f>
        <v>0</v>
      </c>
      <c r="AU83" s="177">
        <f ca="1">IFERROR(__xludf.DUMMYFUNCTION("IMPORTRANGE(""https://docs.google.com/spreadsheets/d/1rd4qoM1q_hsgaolqNGfrim9gbsoLxQsda4-vOz5x_BM/edit?usp=sharing"",""ภูเก็ต!J638"")"),0)</f>
        <v>0</v>
      </c>
      <c r="AV83" s="177">
        <f ca="1">IFERROR(__xludf.DUMMYFUNCTION("IMPORTRANGE(""https://docs.google.com/spreadsheets/d/1rd4qoM1q_hsgaolqNGfrim9gbsoLxQsda4-vOz5x_BM/edit?usp=sharing"",""ภูเก็ต!J639"")"),0)</f>
        <v>0</v>
      </c>
      <c r="AW83" s="177">
        <f ca="1">IFERROR(__xludf.DUMMYFUNCTION("IMPORTRANGE(""https://docs.google.com/spreadsheets/d/1rd4qoM1q_hsgaolqNGfrim9gbsoLxQsda4-vOz5x_BM/edit?usp=sharing"",""ภูเก็ต!J640"")"),0)</f>
        <v>0</v>
      </c>
    </row>
    <row r="84" spans="1:49" ht="19.5" x14ac:dyDescent="0.3">
      <c r="A84" s="89">
        <v>10</v>
      </c>
      <c r="B84" s="90" t="s">
        <v>110</v>
      </c>
      <c r="C84" s="174">
        <f t="shared" si="32"/>
        <v>0</v>
      </c>
      <c r="D84" s="175">
        <f t="shared" si="80"/>
        <v>0</v>
      </c>
      <c r="E84" s="403">
        <v>0</v>
      </c>
      <c r="F84" s="403">
        <v>0</v>
      </c>
      <c r="G84" s="403">
        <v>0</v>
      </c>
      <c r="H84" s="403">
        <v>0</v>
      </c>
      <c r="I84" s="403">
        <v>0</v>
      </c>
      <c r="J84" s="176">
        <f t="shared" si="34"/>
        <v>0</v>
      </c>
      <c r="K84" s="179">
        <f t="shared" si="35"/>
        <v>0</v>
      </c>
      <c r="L84" s="403">
        <v>0</v>
      </c>
      <c r="M84" s="87">
        <f t="shared" si="36"/>
        <v>0</v>
      </c>
      <c r="N84" s="87">
        <f t="shared" si="37"/>
        <v>0</v>
      </c>
      <c r="O84" s="403">
        <v>0</v>
      </c>
      <c r="P84" s="86">
        <f t="shared" si="38"/>
        <v>0</v>
      </c>
      <c r="Q84" s="87">
        <f t="shared" si="39"/>
        <v>0</v>
      </c>
      <c r="R84" s="87">
        <f ca="1">IFERROR(__xludf.DUMMYFUNCTION("IMPORTRANGE(""https://docs.google.com/spreadsheets/d/1woKwKjgoLssDvPcPeVyezB5izizAn4X1JDrys69n6xI/edit?usp=sharing"",""ยะลา!Q616"")"),6700)</f>
        <v>6700</v>
      </c>
      <c r="S84" s="87">
        <f ca="1">IFERROR(__xludf.DUMMYFUNCTION("IMPORTRANGE(""https://docs.google.com/spreadsheets/d/1woKwKjgoLssDvPcPeVyezB5izizAn4X1JDrys69n6xI/edit?usp=sharing"",""ยะลา!R616"")"),0)</f>
        <v>0</v>
      </c>
      <c r="T84" s="87">
        <f ca="1">IFERROR(__xludf.DUMMYFUNCTION("IMPORTRANGE(""https://docs.google.com/spreadsheets/d/1woKwKjgoLssDvPcPeVyezB5izizAn4X1JDrys69n6xI/edit?usp=sharing"",""ยะลา!S616"")"),0)</f>
        <v>0</v>
      </c>
      <c r="U84" s="87">
        <f t="shared" ca="1" si="41"/>
        <v>0</v>
      </c>
      <c r="V84" s="87">
        <f t="shared" ca="1" si="42"/>
        <v>0</v>
      </c>
      <c r="W84" s="353">
        <f ca="1">IFERROR(__xludf.DUMMYFUNCTION("IMPORTRANGE(""https://docs.google.com/spreadsheets/d/1woKwKjgoLssDvPcPeVyezB5izizAn4X1JDrys69n6xI/edit?usp=sharing"",""ยะลา!I626"")"),50)</f>
        <v>50</v>
      </c>
      <c r="X84" s="177">
        <f ca="1">IFERROR(__xludf.DUMMYFUNCTION("IMPORTRANGE(""https://docs.google.com/spreadsheets/d/1woKwKjgoLssDvPcPeVyezB5izizAn4X1JDrys69n6xI/edit?usp=sharing"",""ยะลา!J626"")"),0)</f>
        <v>0</v>
      </c>
      <c r="Y84" s="354">
        <f t="shared" ca="1" si="44"/>
        <v>0</v>
      </c>
      <c r="Z84" s="177">
        <f ca="1">IFERROR(__xludf.DUMMYFUNCTION("IMPORTRANGE(""https://docs.google.com/spreadsheets/d/1woKwKjgoLssDvPcPeVyezB5izizAn4X1JDrys69n6xI/edit?usp=sharing"",""ยะลา!I627"")"),0)</f>
        <v>0</v>
      </c>
      <c r="AA84" s="177">
        <f ca="1">IFERROR(__xludf.DUMMYFUNCTION("IMPORTRANGE(""https://docs.google.com/spreadsheets/d/1woKwKjgoLssDvPcPeVyezB5izizAn4X1JDrys69n6xI/edit?usp=sharing"",""ยะลา!J627"")"),0)</f>
        <v>0</v>
      </c>
      <c r="AB84" s="354">
        <f t="shared" ca="1" si="46"/>
        <v>0</v>
      </c>
      <c r="AC84" s="177">
        <f ca="1">IFERROR(__xludf.DUMMYFUNCTION("IMPORTRANGE(""https://docs.google.com/spreadsheets/d/1woKwKjgoLssDvPcPeVyezB5izizAn4X1JDrys69n6xI/edit?usp=sharing"",""ยะลา!I628"")"),0)</f>
        <v>0</v>
      </c>
      <c r="AD84" s="177">
        <f ca="1">IFERROR(__xludf.DUMMYFUNCTION("IMPORTRANGE(""https://docs.google.com/spreadsheets/d/1woKwKjgoLssDvPcPeVyezB5izizAn4X1JDrys69n6xI/edit?usp=sharing"",""ยะลา!J628"")"),0)</f>
        <v>0</v>
      </c>
      <c r="AE84" s="354">
        <f t="shared" ca="1" si="48"/>
        <v>0</v>
      </c>
      <c r="AF84" s="177">
        <f ca="1">IFERROR(__xludf.DUMMYFUNCTION("IMPORTRANGE(""https://docs.google.com/spreadsheets/d/1woKwKjgoLssDvPcPeVyezB5izizAn4X1JDrys69n6xI/edit?usp=sharing"",""ยะลา!J629"")"),0)</f>
        <v>0</v>
      </c>
      <c r="AG84" s="354">
        <f t="shared" ca="1" si="56"/>
        <v>0</v>
      </c>
      <c r="AH84" s="177">
        <f ca="1">IFERROR(__xludf.DUMMYFUNCTION("IMPORTRANGE(""https://docs.google.com/spreadsheets/d/1woKwKjgoLssDvPcPeVyezB5izizAn4X1JDrys69n6xI/edit?usp=sharing"",""ยะลา!J630"")"),0)</f>
        <v>0</v>
      </c>
      <c r="AI84" s="354">
        <f t="shared" ca="1" si="49"/>
        <v>0</v>
      </c>
      <c r="AJ84" s="354">
        <f ca="1">IFERROR(__xludf.DUMMYFUNCTION("IMPORTRANGE(""https://docs.google.com/spreadsheets/d/1woKwKjgoLssDvPcPeVyezB5izizAn4X1JDrys69n6xI/edit?usp=sharing"",""ยะลา!J631"")"),0)</f>
        <v>0</v>
      </c>
      <c r="AK84" s="354">
        <f t="shared" ca="1" si="50"/>
        <v>0</v>
      </c>
      <c r="AL84" s="354">
        <f ca="1">IFERROR(__xludf.DUMMYFUNCTION("IMPORTRANGE(""https://docs.google.com/spreadsheets/d/1woKwKjgoLssDvPcPeVyezB5izizAn4X1JDrys69n6xI/edit?usp=sharing"",""ยะลา!J632"")"),0)</f>
        <v>0</v>
      </c>
      <c r="AM84" s="354">
        <f t="shared" ca="1" si="51"/>
        <v>0</v>
      </c>
      <c r="AN84" s="354">
        <f ca="1">IFERROR(__xludf.DUMMYFUNCTION("IMPORTRANGE(""https://docs.google.com/spreadsheets/d/1woKwKjgoLssDvPcPeVyezB5izizAn4X1JDrys69n6xI/edit?usp=sharing"",""ยะลา!J633"")"),0)</f>
        <v>0</v>
      </c>
      <c r="AO84" s="354">
        <f ca="1">IFERROR(__xludf.DUMMYFUNCTION("IMPORTRANGE(""https://docs.google.com/spreadsheets/d/1woKwKjgoLssDvPcPeVyezB5izizAn4X1JDrys69n6xI/edit?usp=sharing"",""ยะลา!J634"")"),0)</f>
        <v>0</v>
      </c>
      <c r="AP84" s="177">
        <f ca="1">IFERROR(__xludf.DUMMYFUNCTION("IMPORTRANGE(""https://docs.google.com/spreadsheets/d/1woKwKjgoLssDvPcPeVyezB5izizAn4X1JDrys69n6xI/edit?usp=sharing"",""ยะลา!I635"")"),0)</f>
        <v>0</v>
      </c>
      <c r="AQ84" s="177">
        <f ca="1">IFERROR(__xludf.DUMMYFUNCTION("IMPORTRANGE(""https://docs.google.com/spreadsheets/d/1woKwKjgoLssDvPcPeVyezB5izizAn4X1JDrys69n6xI/edit?usp=sharing"",""ยะลา!J635"")"),0)</f>
        <v>0</v>
      </c>
      <c r="AR84" s="354">
        <f t="shared" ca="1" si="53"/>
        <v>0</v>
      </c>
      <c r="AS84" s="177">
        <f ca="1">IFERROR(__xludf.DUMMYFUNCTION("IMPORTRANGE(""https://docs.google.com/spreadsheets/d/1woKwKjgoLssDvPcPeVyezB5izizAn4X1JDrys69n6xI/edit?usp=sharing"",""ยะลา!J636"")"),0)</f>
        <v>0</v>
      </c>
      <c r="AT84" s="177">
        <f ca="1">IFERROR(__xludf.DUMMYFUNCTION("IMPORTRANGE(""https://docs.google.com/spreadsheets/d/1woKwKjgoLssDvPcPeVyezB5izizAn4X1JDrys69n6xI/edit?usp=sharing"",""ยะลา!J637"")"),0)</f>
        <v>0</v>
      </c>
      <c r="AU84" s="177">
        <f ca="1">IFERROR(__xludf.DUMMYFUNCTION("IMPORTRANGE(""https://docs.google.com/spreadsheets/d/1woKwKjgoLssDvPcPeVyezB5izizAn4X1JDrys69n6xI/edit?usp=sharing"",""ยะลา!J638"")"),0)</f>
        <v>0</v>
      </c>
      <c r="AV84" s="177">
        <f ca="1">IFERROR(__xludf.DUMMYFUNCTION("IMPORTRANGE(""https://docs.google.com/spreadsheets/d/1woKwKjgoLssDvPcPeVyezB5izizAn4X1JDrys69n6xI/edit?usp=sharing"",""ยะลา!J639"")"),0)</f>
        <v>0</v>
      </c>
      <c r="AW84" s="177">
        <f ca="1">IFERROR(__xludf.DUMMYFUNCTION("IMPORTRANGE(""https://docs.google.com/spreadsheets/d/1woKwKjgoLssDvPcPeVyezB5izizAn4X1JDrys69n6xI/edit?usp=sharing"",""ยะลา!J640"")"),0)</f>
        <v>0</v>
      </c>
    </row>
    <row r="85" spans="1:49" ht="19.5" x14ac:dyDescent="0.3">
      <c r="A85" s="89">
        <v>11</v>
      </c>
      <c r="B85" s="90" t="s">
        <v>111</v>
      </c>
      <c r="C85" s="174">
        <f t="shared" si="32"/>
        <v>0</v>
      </c>
      <c r="D85" s="175">
        <f t="shared" si="80"/>
        <v>0</v>
      </c>
      <c r="E85" s="403">
        <v>0</v>
      </c>
      <c r="F85" s="403">
        <v>0</v>
      </c>
      <c r="G85" s="403">
        <v>0</v>
      </c>
      <c r="H85" s="403">
        <v>0</v>
      </c>
      <c r="I85" s="403">
        <v>0</v>
      </c>
      <c r="J85" s="176">
        <f t="shared" si="34"/>
        <v>0</v>
      </c>
      <c r="K85" s="179">
        <f t="shared" si="35"/>
        <v>0</v>
      </c>
      <c r="L85" s="403">
        <v>0</v>
      </c>
      <c r="M85" s="87">
        <f t="shared" si="36"/>
        <v>0</v>
      </c>
      <c r="N85" s="87">
        <f t="shared" si="37"/>
        <v>0</v>
      </c>
      <c r="O85" s="403">
        <v>0</v>
      </c>
      <c r="P85" s="86">
        <f t="shared" si="38"/>
        <v>0</v>
      </c>
      <c r="Q85" s="87">
        <f t="shared" si="39"/>
        <v>0</v>
      </c>
      <c r="R85" s="87">
        <f ca="1">IFERROR(__xludf.DUMMYFUNCTION("IMPORTRANGE(""https://docs.google.com/spreadsheets/d/1qfrKjzMhm2HJfxQ-qVlJlJQ25Hne1d0khsySbZyGtPA/edit?usp=sharing"",""ระนอง!Q616"")"),1725)</f>
        <v>1725</v>
      </c>
      <c r="S85" s="87">
        <f ca="1">IFERROR(__xludf.DUMMYFUNCTION("IMPORTRANGE(""https://docs.google.com/spreadsheets/d/1qfrKjzMhm2HJfxQ-qVlJlJQ25Hne1d0khsySbZyGtPA/edit?usp=sharing"",""ระนอง!R616"")"),0)</f>
        <v>0</v>
      </c>
      <c r="T85" s="87">
        <f ca="1">IFERROR(__xludf.DUMMYFUNCTION("IMPORTRANGE(""https://docs.google.com/spreadsheets/d/1qfrKjzMhm2HJfxQ-qVlJlJQ25Hne1d0khsySbZyGtPA/edit?usp=sharing"",""ระนอง!S616"")"),0)</f>
        <v>0</v>
      </c>
      <c r="U85" s="87">
        <f t="shared" ca="1" si="41"/>
        <v>0</v>
      </c>
      <c r="V85" s="87">
        <f t="shared" ca="1" si="42"/>
        <v>0</v>
      </c>
      <c r="W85" s="353">
        <f ca="1">IFERROR(__xludf.DUMMYFUNCTION("IMPORTRANGE(""https://docs.google.com/spreadsheets/d/1qfrKjzMhm2HJfxQ-qVlJlJQ25Hne1d0khsySbZyGtPA/edit?usp=sharing"",""ระนอง!I626"")"),0)</f>
        <v>0</v>
      </c>
      <c r="X85" s="177">
        <f ca="1">IFERROR(__xludf.DUMMYFUNCTION("IMPORTRANGE(""https://docs.google.com/spreadsheets/d/1qfrKjzMhm2HJfxQ-qVlJlJQ25Hne1d0khsySbZyGtPA/edit?usp=sharing"",""ระนอง!J626"")"),0)</f>
        <v>0</v>
      </c>
      <c r="Y85" s="354">
        <f t="shared" ca="1" si="44"/>
        <v>0</v>
      </c>
      <c r="Z85" s="177">
        <f ca="1">IFERROR(__xludf.DUMMYFUNCTION("IMPORTRANGE(""https://docs.google.com/spreadsheets/d/1qfrKjzMhm2HJfxQ-qVlJlJQ25Hne1d0khsySbZyGtPA/edit?usp=sharing"",""ระนอง!I627"")"),1)</f>
        <v>1</v>
      </c>
      <c r="AA85" s="177">
        <f ca="1">IFERROR(__xludf.DUMMYFUNCTION("IMPORTRANGE(""https://docs.google.com/spreadsheets/d/1qfrKjzMhm2HJfxQ-qVlJlJQ25Hne1d0khsySbZyGtPA/edit?usp=sharing"",""ระนอง!J627"")"),0)</f>
        <v>0</v>
      </c>
      <c r="AB85" s="354">
        <f t="shared" ca="1" si="46"/>
        <v>0</v>
      </c>
      <c r="AC85" s="177">
        <f ca="1">IFERROR(__xludf.DUMMYFUNCTION("IMPORTRANGE(""https://docs.google.com/spreadsheets/d/1qfrKjzMhm2HJfxQ-qVlJlJQ25Hne1d0khsySbZyGtPA/edit?usp=sharing"",""ระนอง!I628"")"),1)</f>
        <v>1</v>
      </c>
      <c r="AD85" s="177">
        <f ca="1">IFERROR(__xludf.DUMMYFUNCTION("IMPORTRANGE(""https://docs.google.com/spreadsheets/d/1qfrKjzMhm2HJfxQ-qVlJlJQ25Hne1d0khsySbZyGtPA/edit?usp=sharing"",""ระนอง!J628"")"),0)</f>
        <v>0</v>
      </c>
      <c r="AE85" s="354">
        <f t="shared" ca="1" si="48"/>
        <v>0</v>
      </c>
      <c r="AF85" s="177">
        <f ca="1">IFERROR(__xludf.DUMMYFUNCTION("IMPORTRANGE(""https://docs.google.com/spreadsheets/d/1qfrKjzMhm2HJfxQ-qVlJlJQ25Hne1d0khsySbZyGtPA/edit?usp=sharing"",""ระนอง!J629"")"),0)</f>
        <v>0</v>
      </c>
      <c r="AG85" s="354">
        <f t="shared" ca="1" si="56"/>
        <v>0</v>
      </c>
      <c r="AH85" s="177">
        <f ca="1">IFERROR(__xludf.DUMMYFUNCTION("IMPORTRANGE(""https://docs.google.com/spreadsheets/d/1qfrKjzMhm2HJfxQ-qVlJlJQ25Hne1d0khsySbZyGtPA/edit?usp=sharing"",""ระนอง!J630"")"),0)</f>
        <v>0</v>
      </c>
      <c r="AI85" s="354">
        <f t="shared" ca="1" si="49"/>
        <v>0</v>
      </c>
      <c r="AJ85" s="354">
        <f ca="1">IFERROR(__xludf.DUMMYFUNCTION("IMPORTRANGE(""https://docs.google.com/spreadsheets/d/1qfrKjzMhm2HJfxQ-qVlJlJQ25Hne1d0khsySbZyGtPA/edit?usp=sharing"",""ระนอง!J631"")"),0)</f>
        <v>0</v>
      </c>
      <c r="AK85" s="354">
        <f t="shared" ca="1" si="50"/>
        <v>0</v>
      </c>
      <c r="AL85" s="354">
        <f ca="1">IFERROR(__xludf.DUMMYFUNCTION("IMPORTRANGE(""https://docs.google.com/spreadsheets/d/1qfrKjzMhm2HJfxQ-qVlJlJQ25Hne1d0khsySbZyGtPA/edit?usp=sharing"",""ระนอง!J632"")"),0)</f>
        <v>0</v>
      </c>
      <c r="AM85" s="354">
        <f t="shared" ca="1" si="51"/>
        <v>0</v>
      </c>
      <c r="AN85" s="354">
        <f ca="1">IFERROR(__xludf.DUMMYFUNCTION("IMPORTRANGE(""https://docs.google.com/spreadsheets/d/1qfrKjzMhm2HJfxQ-qVlJlJQ25Hne1d0khsySbZyGtPA/edit?usp=sharing"",""ระนอง!J633"")"),0)</f>
        <v>0</v>
      </c>
      <c r="AO85" s="354">
        <f ca="1">IFERROR(__xludf.DUMMYFUNCTION("IMPORTRANGE(""https://docs.google.com/spreadsheets/d/1qfrKjzMhm2HJfxQ-qVlJlJQ25Hne1d0khsySbZyGtPA/edit?usp=sharing"",""ระนอง!J634"")"),0)</f>
        <v>0</v>
      </c>
      <c r="AP85" s="177">
        <f ca="1">IFERROR(__xludf.DUMMYFUNCTION("IMPORTRANGE(""https://docs.google.com/spreadsheets/d/1qfrKjzMhm2HJfxQ-qVlJlJQ25Hne1d0khsySbZyGtPA/edit?usp=sharing"",""ระนอง!I635"")"),0)</f>
        <v>0</v>
      </c>
      <c r="AQ85" s="177">
        <f ca="1">IFERROR(__xludf.DUMMYFUNCTION("IMPORTRANGE(""https://docs.google.com/spreadsheets/d/1qfrKjzMhm2HJfxQ-qVlJlJQ25Hne1d0khsySbZyGtPA/edit?usp=sharing"",""ระนอง!J635"")"),0)</f>
        <v>0</v>
      </c>
      <c r="AR85" s="354">
        <f t="shared" ca="1" si="53"/>
        <v>0</v>
      </c>
      <c r="AS85" s="177">
        <f ca="1">IFERROR(__xludf.DUMMYFUNCTION("IMPORTRANGE(""https://docs.google.com/spreadsheets/d/1qfrKjzMhm2HJfxQ-qVlJlJQ25Hne1d0khsySbZyGtPA/edit?usp=sharing"",""ระนอง!J636"")"),0)</f>
        <v>0</v>
      </c>
      <c r="AT85" s="177">
        <f ca="1">IFERROR(__xludf.DUMMYFUNCTION("IMPORTRANGE(""https://docs.google.com/spreadsheets/d/1qfrKjzMhm2HJfxQ-qVlJlJQ25Hne1d0khsySbZyGtPA/edit?usp=sharing"",""ระนอง!J637"")"),0)</f>
        <v>0</v>
      </c>
      <c r="AU85" s="177">
        <f ca="1">IFERROR(__xludf.DUMMYFUNCTION("IMPORTRANGE(""https://docs.google.com/spreadsheets/d/1qfrKjzMhm2HJfxQ-qVlJlJQ25Hne1d0khsySbZyGtPA/edit?usp=sharing"",""ระนอง!J638"")"),0)</f>
        <v>0</v>
      </c>
      <c r="AV85" s="177">
        <f ca="1">IFERROR(__xludf.DUMMYFUNCTION("IMPORTRANGE(""https://docs.google.com/spreadsheets/d/1qfrKjzMhm2HJfxQ-qVlJlJQ25Hne1d0khsySbZyGtPA/edit?usp=sharing"",""ระนอง!J639"")"),0)</f>
        <v>0</v>
      </c>
      <c r="AW85" s="177">
        <f ca="1">IFERROR(__xludf.DUMMYFUNCTION("IMPORTRANGE(""https://docs.google.com/spreadsheets/d/1qfrKjzMhm2HJfxQ-qVlJlJQ25Hne1d0khsySbZyGtPA/edit?usp=sharing"",""ระนอง!J640"")"),0)</f>
        <v>0</v>
      </c>
    </row>
    <row r="86" spans="1:49" ht="19.5" x14ac:dyDescent="0.3">
      <c r="A86" s="89">
        <v>12</v>
      </c>
      <c r="B86" s="90" t="s">
        <v>112</v>
      </c>
      <c r="C86" s="174">
        <f t="shared" si="32"/>
        <v>0</v>
      </c>
      <c r="D86" s="175">
        <f t="shared" si="80"/>
        <v>0</v>
      </c>
      <c r="E86" s="403">
        <v>0</v>
      </c>
      <c r="F86" s="403">
        <v>0</v>
      </c>
      <c r="G86" s="403">
        <v>0</v>
      </c>
      <c r="H86" s="403">
        <v>0</v>
      </c>
      <c r="I86" s="403">
        <v>0</v>
      </c>
      <c r="J86" s="176">
        <f t="shared" si="34"/>
        <v>0</v>
      </c>
      <c r="K86" s="179">
        <f t="shared" si="35"/>
        <v>0</v>
      </c>
      <c r="L86" s="403">
        <v>0</v>
      </c>
      <c r="M86" s="87">
        <f t="shared" si="36"/>
        <v>0</v>
      </c>
      <c r="N86" s="87">
        <f t="shared" si="37"/>
        <v>0</v>
      </c>
      <c r="O86" s="403">
        <v>0</v>
      </c>
      <c r="P86" s="86">
        <f t="shared" si="38"/>
        <v>0</v>
      </c>
      <c r="Q86" s="87">
        <f t="shared" si="39"/>
        <v>0</v>
      </c>
      <c r="R86" s="87">
        <f ca="1">IFERROR(__xludf.DUMMYFUNCTION("IMPORTRANGE(""https://docs.google.com/spreadsheets/d/1IbSCnFOKpZsnFogBHJnL_isstZVaOMnFiIN0fGTPZZw/edit?usp=sharing"",""สงขลา!Q616"")"),6900)</f>
        <v>6900</v>
      </c>
      <c r="S86" s="87">
        <f ca="1">IFERROR(__xludf.DUMMYFUNCTION("IMPORTRANGE(""https://docs.google.com/spreadsheets/d/1IbSCnFOKpZsnFogBHJnL_isstZVaOMnFiIN0fGTPZZw/edit?usp=sharing"",""สงขลา!R616"")"),0)</f>
        <v>0</v>
      </c>
      <c r="T86" s="87">
        <f ca="1">IFERROR(__xludf.DUMMYFUNCTION("IMPORTRANGE(""https://docs.google.com/spreadsheets/d/1IbSCnFOKpZsnFogBHJnL_isstZVaOMnFiIN0fGTPZZw/edit?usp=sharing"",""สงขลา!S616"")"),0)</f>
        <v>0</v>
      </c>
      <c r="U86" s="87">
        <f t="shared" ca="1" si="41"/>
        <v>0</v>
      </c>
      <c r="V86" s="87">
        <f t="shared" ca="1" si="42"/>
        <v>0</v>
      </c>
      <c r="W86" s="353">
        <f ca="1">IFERROR(__xludf.DUMMYFUNCTION("IMPORTRANGE(""https://docs.google.com/spreadsheets/d/1IbSCnFOKpZsnFogBHJnL_isstZVaOMnFiIN0fGTPZZw/edit?usp=sharing"",""สงขลา!I626"")"),50)</f>
        <v>50</v>
      </c>
      <c r="X86" s="177">
        <f ca="1">IFERROR(__xludf.DUMMYFUNCTION("IMPORTRANGE(""https://docs.google.com/spreadsheets/d/1IbSCnFOKpZsnFogBHJnL_isstZVaOMnFiIN0fGTPZZw/edit?usp=sharing"",""สงขลา!J626"")"),0)</f>
        <v>0</v>
      </c>
      <c r="Y86" s="354">
        <f t="shared" ca="1" si="44"/>
        <v>0</v>
      </c>
      <c r="Z86" s="177">
        <f ca="1">IFERROR(__xludf.DUMMYFUNCTION("IMPORTRANGE(""https://docs.google.com/spreadsheets/d/1IbSCnFOKpZsnFogBHJnL_isstZVaOMnFiIN0fGTPZZw/edit?usp=sharing"",""สงขลา!I627"")"),0)</f>
        <v>0</v>
      </c>
      <c r="AA86" s="177">
        <f ca="1">IFERROR(__xludf.DUMMYFUNCTION("IMPORTRANGE(""https://docs.google.com/spreadsheets/d/1IbSCnFOKpZsnFogBHJnL_isstZVaOMnFiIN0fGTPZZw/edit?usp=sharing"",""สงขลา!J627"")"),0)</f>
        <v>0</v>
      </c>
      <c r="AB86" s="354">
        <f t="shared" ca="1" si="46"/>
        <v>0</v>
      </c>
      <c r="AC86" s="177">
        <f ca="1">IFERROR(__xludf.DUMMYFUNCTION("IMPORTRANGE(""https://docs.google.com/spreadsheets/d/1IbSCnFOKpZsnFogBHJnL_isstZVaOMnFiIN0fGTPZZw/edit?usp=sharing"",""สงขลา!I628"")"),0)</f>
        <v>0</v>
      </c>
      <c r="AD86" s="177">
        <f ca="1">IFERROR(__xludf.DUMMYFUNCTION("IMPORTRANGE(""https://docs.google.com/spreadsheets/d/1IbSCnFOKpZsnFogBHJnL_isstZVaOMnFiIN0fGTPZZw/edit?usp=sharing"",""สงขลา!J628"")"),0)</f>
        <v>0</v>
      </c>
      <c r="AE86" s="354">
        <f t="shared" ca="1" si="48"/>
        <v>0</v>
      </c>
      <c r="AF86" s="177">
        <f ca="1">IFERROR(__xludf.DUMMYFUNCTION("IMPORTRANGE(""https://docs.google.com/spreadsheets/d/1IbSCnFOKpZsnFogBHJnL_isstZVaOMnFiIN0fGTPZZw/edit?usp=sharing"",""สงขลา!J629"")"),0)</f>
        <v>0</v>
      </c>
      <c r="AG86" s="354">
        <f t="shared" ca="1" si="56"/>
        <v>0</v>
      </c>
      <c r="AH86" s="177">
        <f ca="1">IFERROR(__xludf.DUMMYFUNCTION("IMPORTRANGE(""https://docs.google.com/spreadsheets/d/1IbSCnFOKpZsnFogBHJnL_isstZVaOMnFiIN0fGTPZZw/edit?usp=sharing"",""สงขลา!J630"")"),0)</f>
        <v>0</v>
      </c>
      <c r="AI86" s="354">
        <f t="shared" ca="1" si="49"/>
        <v>0</v>
      </c>
      <c r="AJ86" s="354">
        <f ca="1">IFERROR(__xludf.DUMMYFUNCTION("IMPORTRANGE(""https://docs.google.com/spreadsheets/d/1IbSCnFOKpZsnFogBHJnL_isstZVaOMnFiIN0fGTPZZw/edit?usp=sharing"",""สงขลา!J631"")"),0)</f>
        <v>0</v>
      </c>
      <c r="AK86" s="354">
        <f t="shared" ca="1" si="50"/>
        <v>0</v>
      </c>
      <c r="AL86" s="354">
        <f ca="1">IFERROR(__xludf.DUMMYFUNCTION("IMPORTRANGE(""https://docs.google.com/spreadsheets/d/1IbSCnFOKpZsnFogBHJnL_isstZVaOMnFiIN0fGTPZZw/edit?usp=sharing"",""สงขลา!J632"")"),0)</f>
        <v>0</v>
      </c>
      <c r="AM86" s="354">
        <f t="shared" ca="1" si="51"/>
        <v>0</v>
      </c>
      <c r="AN86" s="354">
        <f ca="1">IFERROR(__xludf.DUMMYFUNCTION("IMPORTRANGE(""https://docs.google.com/spreadsheets/d/1IbSCnFOKpZsnFogBHJnL_isstZVaOMnFiIN0fGTPZZw/edit?usp=sharing"",""สงขลา!J633"")"),0)</f>
        <v>0</v>
      </c>
      <c r="AO86" s="354">
        <f ca="1">IFERROR(__xludf.DUMMYFUNCTION("IMPORTRANGE(""https://docs.google.com/spreadsheets/d/1IbSCnFOKpZsnFogBHJnL_isstZVaOMnFiIN0fGTPZZw/edit?usp=sharing"",""สงขลา!J634"")"),0)</f>
        <v>0</v>
      </c>
      <c r="AP86" s="177">
        <f ca="1">IFERROR(__xludf.DUMMYFUNCTION("IMPORTRANGE(""https://docs.google.com/spreadsheets/d/1IbSCnFOKpZsnFogBHJnL_isstZVaOMnFiIN0fGTPZZw/edit?usp=sharing"",""สงขลา!I635"")"),0)</f>
        <v>0</v>
      </c>
      <c r="AQ86" s="177">
        <f ca="1">IFERROR(__xludf.DUMMYFUNCTION("IMPORTRANGE(""https://docs.google.com/spreadsheets/d/1IbSCnFOKpZsnFogBHJnL_isstZVaOMnFiIN0fGTPZZw/edit?usp=sharing"",""สงขลา!J635"")"),0)</f>
        <v>0</v>
      </c>
      <c r="AR86" s="354">
        <f t="shared" ca="1" si="53"/>
        <v>0</v>
      </c>
      <c r="AS86" s="177">
        <f ca="1">IFERROR(__xludf.DUMMYFUNCTION("IMPORTRANGE(""https://docs.google.com/spreadsheets/d/1IbSCnFOKpZsnFogBHJnL_isstZVaOMnFiIN0fGTPZZw/edit?usp=sharing"",""สงขลา!J636"")"),0)</f>
        <v>0</v>
      </c>
      <c r="AT86" s="177">
        <f ca="1">IFERROR(__xludf.DUMMYFUNCTION("IMPORTRANGE(""https://docs.google.com/spreadsheets/d/1IbSCnFOKpZsnFogBHJnL_isstZVaOMnFiIN0fGTPZZw/edit?usp=sharing"",""สงขลา!J637"")"),0)</f>
        <v>0</v>
      </c>
      <c r="AU86" s="177">
        <f ca="1">IFERROR(__xludf.DUMMYFUNCTION("IMPORTRANGE(""https://docs.google.com/spreadsheets/d/1IbSCnFOKpZsnFogBHJnL_isstZVaOMnFiIN0fGTPZZw/edit?usp=sharing"",""สงขลา!J638"")"),0)</f>
        <v>0</v>
      </c>
      <c r="AV86" s="177">
        <f ca="1">IFERROR(__xludf.DUMMYFUNCTION("IMPORTRANGE(""https://docs.google.com/spreadsheets/d/1IbSCnFOKpZsnFogBHJnL_isstZVaOMnFiIN0fGTPZZw/edit?usp=sharing"",""สงขลา!J639"")"),0)</f>
        <v>0</v>
      </c>
      <c r="AW86" s="177">
        <f ca="1">IFERROR(__xludf.DUMMYFUNCTION("IMPORTRANGE(""https://docs.google.com/spreadsheets/d/1IbSCnFOKpZsnFogBHJnL_isstZVaOMnFiIN0fGTPZZw/edit?usp=sharing"",""สงขลา!J640"")"),0)</f>
        <v>0</v>
      </c>
    </row>
    <row r="87" spans="1:49" ht="19.5" x14ac:dyDescent="0.3">
      <c r="A87" s="89">
        <v>13</v>
      </c>
      <c r="B87" s="90" t="s">
        <v>113</v>
      </c>
      <c r="C87" s="174">
        <f t="shared" si="32"/>
        <v>0</v>
      </c>
      <c r="D87" s="175">
        <f t="shared" si="80"/>
        <v>0</v>
      </c>
      <c r="E87" s="403">
        <v>0</v>
      </c>
      <c r="F87" s="403">
        <v>0</v>
      </c>
      <c r="G87" s="403">
        <v>0</v>
      </c>
      <c r="H87" s="403">
        <v>0</v>
      </c>
      <c r="I87" s="403">
        <v>0</v>
      </c>
      <c r="J87" s="176">
        <f t="shared" si="34"/>
        <v>0</v>
      </c>
      <c r="K87" s="179">
        <f t="shared" si="35"/>
        <v>0</v>
      </c>
      <c r="L87" s="403">
        <v>0</v>
      </c>
      <c r="M87" s="87">
        <f t="shared" si="36"/>
        <v>0</v>
      </c>
      <c r="N87" s="87">
        <f t="shared" si="37"/>
        <v>0</v>
      </c>
      <c r="O87" s="403">
        <v>0</v>
      </c>
      <c r="P87" s="86">
        <f t="shared" si="38"/>
        <v>0</v>
      </c>
      <c r="Q87" s="87">
        <f t="shared" si="39"/>
        <v>0</v>
      </c>
      <c r="R87" s="87">
        <f ca="1">IFERROR(__xludf.DUMMYFUNCTION("IMPORTRANGE(""https://docs.google.com/spreadsheets/d/1q9nWasZJ-K8bFGvbE9n0qSRuKGA4Toe3Y89cKCiVtCU/edit?usp=sharing"",""สตูล!Q616"")"),7275)</f>
        <v>7275</v>
      </c>
      <c r="S87" s="87">
        <f ca="1">IFERROR(__xludf.DUMMYFUNCTION("IMPORTRANGE(""https://docs.google.com/spreadsheets/d/1q9nWasZJ-K8bFGvbE9n0qSRuKGA4Toe3Y89cKCiVtCU/edit?usp=sharing"",""สตูล!R616"")"),0)</f>
        <v>0</v>
      </c>
      <c r="T87" s="87">
        <f ca="1">IFERROR(__xludf.DUMMYFUNCTION("IMPORTRANGE(""https://docs.google.com/spreadsheets/d/1q9nWasZJ-K8bFGvbE9n0qSRuKGA4Toe3Y89cKCiVtCU/edit?usp=sharing"",""สตูล!S616"")"),0)</f>
        <v>0</v>
      </c>
      <c r="U87" s="87">
        <f t="shared" ca="1" si="41"/>
        <v>0</v>
      </c>
      <c r="V87" s="87">
        <f t="shared" ca="1" si="42"/>
        <v>0</v>
      </c>
      <c r="W87" s="353">
        <f ca="1">IFERROR(__xludf.DUMMYFUNCTION("IMPORTRANGE(""https://docs.google.com/spreadsheets/d/1q9nWasZJ-K8bFGvbE9n0qSRuKGA4Toe3Y89cKCiVtCU/edit?usp=sharing"",""สตูล!I626"")"),50)</f>
        <v>50</v>
      </c>
      <c r="X87" s="177">
        <f ca="1">IFERROR(__xludf.DUMMYFUNCTION("IMPORTRANGE(""https://docs.google.com/spreadsheets/d/1q9nWasZJ-K8bFGvbE9n0qSRuKGA4Toe3Y89cKCiVtCU/edit?usp=sharing"",""สตูล!J626"")"),0)</f>
        <v>0</v>
      </c>
      <c r="Y87" s="354">
        <f t="shared" ca="1" si="44"/>
        <v>0</v>
      </c>
      <c r="Z87" s="177">
        <f ca="1">IFERROR(__xludf.DUMMYFUNCTION("IMPORTRANGE(""https://docs.google.com/spreadsheets/d/1q9nWasZJ-K8bFGvbE9n0qSRuKGA4Toe3Y89cKCiVtCU/edit?usp=sharing"",""สตูล!I627"")"),1)</f>
        <v>1</v>
      </c>
      <c r="AA87" s="177">
        <f ca="1">IFERROR(__xludf.DUMMYFUNCTION("IMPORTRANGE(""https://docs.google.com/spreadsheets/d/1q9nWasZJ-K8bFGvbE9n0qSRuKGA4Toe3Y89cKCiVtCU/edit?usp=sharing"",""สตูล!J627"")"),0)</f>
        <v>0</v>
      </c>
      <c r="AB87" s="354">
        <f t="shared" ca="1" si="46"/>
        <v>0</v>
      </c>
      <c r="AC87" s="177">
        <f ca="1">IFERROR(__xludf.DUMMYFUNCTION("IMPORTRANGE(""https://docs.google.com/spreadsheets/d/1q9nWasZJ-K8bFGvbE9n0qSRuKGA4Toe3Y89cKCiVtCU/edit?usp=sharing"",""สตูล!I628"")"),1)</f>
        <v>1</v>
      </c>
      <c r="AD87" s="177">
        <f ca="1">IFERROR(__xludf.DUMMYFUNCTION("IMPORTRANGE(""https://docs.google.com/spreadsheets/d/1q9nWasZJ-K8bFGvbE9n0qSRuKGA4Toe3Y89cKCiVtCU/edit?usp=sharing"",""สตูล!J628"")"),0)</f>
        <v>0</v>
      </c>
      <c r="AE87" s="354">
        <f t="shared" ca="1" si="48"/>
        <v>0</v>
      </c>
      <c r="AF87" s="177">
        <f ca="1">IFERROR(__xludf.DUMMYFUNCTION("IMPORTRANGE(""https://docs.google.com/spreadsheets/d/1q9nWasZJ-K8bFGvbE9n0qSRuKGA4Toe3Y89cKCiVtCU/edit?usp=sharing"",""สตูล!J629"")"),0)</f>
        <v>0</v>
      </c>
      <c r="AG87" s="354">
        <f t="shared" ca="1" si="56"/>
        <v>0</v>
      </c>
      <c r="AH87" s="177">
        <f ca="1">IFERROR(__xludf.DUMMYFUNCTION("IMPORTRANGE(""https://docs.google.com/spreadsheets/d/1q9nWasZJ-K8bFGvbE9n0qSRuKGA4Toe3Y89cKCiVtCU/edit?usp=sharing"",""สตูล!J630"")"),0)</f>
        <v>0</v>
      </c>
      <c r="AI87" s="354">
        <f t="shared" ca="1" si="49"/>
        <v>0</v>
      </c>
      <c r="AJ87" s="354">
        <f ca="1">IFERROR(__xludf.DUMMYFUNCTION("IMPORTRANGE(""https://docs.google.com/spreadsheets/d/1q9nWasZJ-K8bFGvbE9n0qSRuKGA4Toe3Y89cKCiVtCU/edit?usp=sharing"",""สตูล!J631"")"),0)</f>
        <v>0</v>
      </c>
      <c r="AK87" s="354">
        <f t="shared" ca="1" si="50"/>
        <v>0</v>
      </c>
      <c r="AL87" s="354">
        <f ca="1">IFERROR(__xludf.DUMMYFUNCTION("IMPORTRANGE(""https://docs.google.com/spreadsheets/d/1q9nWasZJ-K8bFGvbE9n0qSRuKGA4Toe3Y89cKCiVtCU/edit?usp=sharing"",""สตูล!J632"")"),0)</f>
        <v>0</v>
      </c>
      <c r="AM87" s="354">
        <f t="shared" ca="1" si="51"/>
        <v>0</v>
      </c>
      <c r="AN87" s="354">
        <f ca="1">IFERROR(__xludf.DUMMYFUNCTION("IMPORTRANGE(""https://docs.google.com/spreadsheets/d/1q9nWasZJ-K8bFGvbE9n0qSRuKGA4Toe3Y89cKCiVtCU/edit?usp=sharing"",""สตูล!J633"")"),0)</f>
        <v>0</v>
      </c>
      <c r="AO87" s="354">
        <f ca="1">IFERROR(__xludf.DUMMYFUNCTION("IMPORTRANGE(""https://docs.google.com/spreadsheets/d/1q9nWasZJ-K8bFGvbE9n0qSRuKGA4Toe3Y89cKCiVtCU/edit?usp=sharing"",""สตูล!J634"")"),0)</f>
        <v>0</v>
      </c>
      <c r="AP87" s="177">
        <f ca="1">IFERROR(__xludf.DUMMYFUNCTION("IMPORTRANGE(""https://docs.google.com/spreadsheets/d/1q9nWasZJ-K8bFGvbE9n0qSRuKGA4Toe3Y89cKCiVtCU/edit?usp=sharing"",""สตูล!I635"")"),0)</f>
        <v>0</v>
      </c>
      <c r="AQ87" s="177">
        <f ca="1">IFERROR(__xludf.DUMMYFUNCTION("IMPORTRANGE(""https://docs.google.com/spreadsheets/d/1q9nWasZJ-K8bFGvbE9n0qSRuKGA4Toe3Y89cKCiVtCU/edit?usp=sharing"",""สตูล!J635"")"),0)</f>
        <v>0</v>
      </c>
      <c r="AR87" s="354">
        <f t="shared" ca="1" si="53"/>
        <v>0</v>
      </c>
      <c r="AS87" s="177">
        <f ca="1">IFERROR(__xludf.DUMMYFUNCTION("IMPORTRANGE(""https://docs.google.com/spreadsheets/d/1q9nWasZJ-K8bFGvbE9n0qSRuKGA4Toe3Y89cKCiVtCU/edit?usp=sharing"",""สตูล!J636"")"),0)</f>
        <v>0</v>
      </c>
      <c r="AT87" s="177">
        <f ca="1">IFERROR(__xludf.DUMMYFUNCTION("IMPORTRANGE(""https://docs.google.com/spreadsheets/d/1q9nWasZJ-K8bFGvbE9n0qSRuKGA4Toe3Y89cKCiVtCU/edit?usp=sharing"",""สตูล!J637"")"),0)</f>
        <v>0</v>
      </c>
      <c r="AU87" s="177">
        <f ca="1">IFERROR(__xludf.DUMMYFUNCTION("IMPORTRANGE(""https://docs.google.com/spreadsheets/d/1q9nWasZJ-K8bFGvbE9n0qSRuKGA4Toe3Y89cKCiVtCU/edit?usp=sharing"",""สตูล!J638"")"),0)</f>
        <v>0</v>
      </c>
      <c r="AV87" s="177">
        <f ca="1">IFERROR(__xludf.DUMMYFUNCTION("IMPORTRANGE(""https://docs.google.com/spreadsheets/d/1q9nWasZJ-K8bFGvbE9n0qSRuKGA4Toe3Y89cKCiVtCU/edit?usp=sharing"",""สตูล!J639"")"),0)</f>
        <v>0</v>
      </c>
      <c r="AW87" s="177">
        <f ca="1">IFERROR(__xludf.DUMMYFUNCTION("IMPORTRANGE(""https://docs.google.com/spreadsheets/d/1q9nWasZJ-K8bFGvbE9n0qSRuKGA4Toe3Y89cKCiVtCU/edit?usp=sharing"",""สตูล!J640"")"),0)</f>
        <v>0</v>
      </c>
    </row>
    <row r="88" spans="1:49" ht="19.5" x14ac:dyDescent="0.3">
      <c r="A88" s="100">
        <v>14</v>
      </c>
      <c r="B88" s="101" t="s">
        <v>114</v>
      </c>
      <c r="C88" s="182">
        <f t="shared" si="32"/>
        <v>0</v>
      </c>
      <c r="D88" s="183">
        <f t="shared" si="80"/>
        <v>0</v>
      </c>
      <c r="E88" s="409">
        <v>0</v>
      </c>
      <c r="F88" s="409">
        <v>0</v>
      </c>
      <c r="G88" s="409">
        <v>0</v>
      </c>
      <c r="H88" s="409">
        <v>0</v>
      </c>
      <c r="I88" s="409">
        <v>0</v>
      </c>
      <c r="J88" s="184">
        <f t="shared" si="34"/>
        <v>0</v>
      </c>
      <c r="K88" s="185">
        <f t="shared" si="35"/>
        <v>0</v>
      </c>
      <c r="L88" s="409">
        <v>0</v>
      </c>
      <c r="M88" s="109">
        <f t="shared" si="36"/>
        <v>0</v>
      </c>
      <c r="N88" s="109">
        <f t="shared" si="37"/>
        <v>0</v>
      </c>
      <c r="O88" s="409">
        <v>0</v>
      </c>
      <c r="P88" s="108">
        <f t="shared" si="38"/>
        <v>0</v>
      </c>
      <c r="Q88" s="109">
        <f t="shared" si="39"/>
        <v>0</v>
      </c>
      <c r="R88" s="109">
        <f ca="1">IFERROR(__xludf.DUMMYFUNCTION("IMPORTRANGE(""https://docs.google.com/spreadsheets/d/18T20gbkS_WBjdscyTOV05cvq_JqvqQ17C81mpxf7Ncs/edit?usp=sharing"",""สุราษฎร์ธานี!Q616"")"),2075)</f>
        <v>2075</v>
      </c>
      <c r="S88" s="109">
        <f ca="1">IFERROR(__xludf.DUMMYFUNCTION("IMPORTRANGE(""https://docs.google.com/spreadsheets/d/18T20gbkS_WBjdscyTOV05cvq_JqvqQ17C81mpxf7Ncs/edit?usp=sharing"",""สุราษฎร์ธานี!R616"")"),0)</f>
        <v>0</v>
      </c>
      <c r="T88" s="109">
        <f ca="1">IFERROR(__xludf.DUMMYFUNCTION("IMPORTRANGE(""https://docs.google.com/spreadsheets/d/18T20gbkS_WBjdscyTOV05cvq_JqvqQ17C81mpxf7Ncs/edit?usp=sharing"",""สุราษฎร์ธานี!S616"")"),1100)</f>
        <v>1100</v>
      </c>
      <c r="U88" s="109">
        <f t="shared" ca="1" si="41"/>
        <v>53.012048192771083</v>
      </c>
      <c r="V88" s="109">
        <f t="shared" ca="1" si="42"/>
        <v>0</v>
      </c>
      <c r="W88" s="356">
        <f ca="1">IFERROR(__xludf.DUMMYFUNCTION("IMPORTRANGE(""https://docs.google.com/spreadsheets/d/18T20gbkS_WBjdscyTOV05cvq_JqvqQ17C81mpxf7Ncs/edit?usp=sharing"",""สุราษฎร์ธานี!I626"")"),0)</f>
        <v>0</v>
      </c>
      <c r="X88" s="186">
        <f ca="1">IFERROR(__xludf.DUMMYFUNCTION("IMPORTRANGE(""https://docs.google.com/spreadsheets/d/18T20gbkS_WBjdscyTOV05cvq_JqvqQ17C81mpxf7Ncs/edit?usp=sharing"",""สุราษฎร์ธานี!J626"")"),0)</f>
        <v>0</v>
      </c>
      <c r="Y88" s="357">
        <f t="shared" ca="1" si="44"/>
        <v>0</v>
      </c>
      <c r="Z88" s="186">
        <f ca="1">IFERROR(__xludf.DUMMYFUNCTION("IMPORTRANGE(""https://docs.google.com/spreadsheets/d/18T20gbkS_WBjdscyTOV05cvq_JqvqQ17C81mpxf7Ncs/edit?usp=sharing"",""สุราษฎร์ธานี!I627"")"),1)</f>
        <v>1</v>
      </c>
      <c r="AA88" s="186">
        <f ca="1">IFERROR(__xludf.DUMMYFUNCTION("IMPORTRANGE(""https://docs.google.com/spreadsheets/d/18T20gbkS_WBjdscyTOV05cvq_JqvqQ17C81mpxf7Ncs/edit?usp=sharing"",""สุราษฎร์ธานี!J627"")"),0)</f>
        <v>0</v>
      </c>
      <c r="AB88" s="357">
        <f t="shared" ca="1" si="46"/>
        <v>0</v>
      </c>
      <c r="AC88" s="186">
        <f ca="1">IFERROR(__xludf.DUMMYFUNCTION("IMPORTRANGE(""https://docs.google.com/spreadsheets/d/18T20gbkS_WBjdscyTOV05cvq_JqvqQ17C81mpxf7Ncs/edit?usp=sharing"",""สุราษฎร์ธานี!I628"")"),1)</f>
        <v>1</v>
      </c>
      <c r="AD88" s="186">
        <f ca="1">IFERROR(__xludf.DUMMYFUNCTION("IMPORTRANGE(""https://docs.google.com/spreadsheets/d/18T20gbkS_WBjdscyTOV05cvq_JqvqQ17C81mpxf7Ncs/edit?usp=sharing"",""สุราษฎร์ธานี!J628"")"),0)</f>
        <v>0</v>
      </c>
      <c r="AE88" s="357">
        <f t="shared" ca="1" si="48"/>
        <v>0</v>
      </c>
      <c r="AF88" s="186">
        <f ca="1">IFERROR(__xludf.DUMMYFUNCTION("IMPORTRANGE(""https://docs.google.com/spreadsheets/d/18T20gbkS_WBjdscyTOV05cvq_JqvqQ17C81mpxf7Ncs/edit?usp=sharing"",""สุราษฎร์ธานี!J629"")"),0)</f>
        <v>0</v>
      </c>
      <c r="AG88" s="357">
        <f t="shared" ca="1" si="56"/>
        <v>0</v>
      </c>
      <c r="AH88" s="186">
        <f ca="1">IFERROR(__xludf.DUMMYFUNCTION("IMPORTRANGE(""https://docs.google.com/spreadsheets/d/18T20gbkS_WBjdscyTOV05cvq_JqvqQ17C81mpxf7Ncs/edit?usp=sharing"",""สุราษฎร์ธานี!J630"")"),0)</f>
        <v>0</v>
      </c>
      <c r="AI88" s="357">
        <f t="shared" ca="1" si="49"/>
        <v>0</v>
      </c>
      <c r="AJ88" s="357">
        <f ca="1">IFERROR(__xludf.DUMMYFUNCTION("IMPORTRANGE(""https://docs.google.com/spreadsheets/d/18T20gbkS_WBjdscyTOV05cvq_JqvqQ17C81mpxf7Ncs/edit?usp=sharing"",""สุราษฎร์ธานี!J631"")"),0)</f>
        <v>0</v>
      </c>
      <c r="AK88" s="357">
        <f t="shared" ca="1" si="50"/>
        <v>0</v>
      </c>
      <c r="AL88" s="357">
        <f ca="1">IFERROR(__xludf.DUMMYFUNCTION("IMPORTRANGE(""https://docs.google.com/spreadsheets/d/18T20gbkS_WBjdscyTOV05cvq_JqvqQ17C81mpxf7Ncs/edit?usp=sharing"",""สุราษฎร์ธานี!J632"")"),0)</f>
        <v>0</v>
      </c>
      <c r="AM88" s="357">
        <f t="shared" ca="1" si="51"/>
        <v>0</v>
      </c>
      <c r="AN88" s="357">
        <f ca="1">IFERROR(__xludf.DUMMYFUNCTION("IMPORTRANGE(""https://docs.google.com/spreadsheets/d/18T20gbkS_WBjdscyTOV05cvq_JqvqQ17C81mpxf7Ncs/edit?usp=sharing"",""สุราษฎร์ธานี!J633"")"),0)</f>
        <v>0</v>
      </c>
      <c r="AO88" s="357">
        <f ca="1">IFERROR(__xludf.DUMMYFUNCTION("IMPORTRANGE(""https://docs.google.com/spreadsheets/d/18T20gbkS_WBjdscyTOV05cvq_JqvqQ17C81mpxf7Ncs/edit?usp=sharing"",""สุราษฎร์ธานี!J634"")"),0)</f>
        <v>0</v>
      </c>
      <c r="AP88" s="186">
        <f ca="1">IFERROR(__xludf.DUMMYFUNCTION("IMPORTRANGE(""https://docs.google.com/spreadsheets/d/18T20gbkS_WBjdscyTOV05cvq_JqvqQ17C81mpxf7Ncs/edit?usp=sharing"",""สุราษฎร์ธานี!I635"")"),0)</f>
        <v>0</v>
      </c>
      <c r="AQ88" s="186">
        <f ca="1">IFERROR(__xludf.DUMMYFUNCTION("IMPORTRANGE(""https://docs.google.com/spreadsheets/d/18T20gbkS_WBjdscyTOV05cvq_JqvqQ17C81mpxf7Ncs/edit?usp=sharing"",""สุราษฎร์ธานี!J635"")"),0)</f>
        <v>0</v>
      </c>
      <c r="AR88" s="357">
        <f t="shared" ca="1" si="53"/>
        <v>0</v>
      </c>
      <c r="AS88" s="186">
        <f ca="1">IFERROR(__xludf.DUMMYFUNCTION("IMPORTRANGE(""https://docs.google.com/spreadsheets/d/18T20gbkS_WBjdscyTOV05cvq_JqvqQ17C81mpxf7Ncs/edit?usp=sharing"",""สุราษฎร์ธานี!J636"")"),0)</f>
        <v>0</v>
      </c>
      <c r="AT88" s="186">
        <f ca="1">IFERROR(__xludf.DUMMYFUNCTION("IMPORTRANGE(""https://docs.google.com/spreadsheets/d/18T20gbkS_WBjdscyTOV05cvq_JqvqQ17C81mpxf7Ncs/edit?usp=sharing"",""สุราษฎร์ธานี!J637"")"),0)</f>
        <v>0</v>
      </c>
      <c r="AU88" s="186">
        <f ca="1">IFERROR(__xludf.DUMMYFUNCTION("IMPORTRANGE(""https://docs.google.com/spreadsheets/d/18T20gbkS_WBjdscyTOV05cvq_JqvqQ17C81mpxf7Ncs/edit?usp=sharing"",""สุราษฎร์ธานี!J638"")"),0)</f>
        <v>0</v>
      </c>
      <c r="AV88" s="186">
        <f ca="1">IFERROR(__xludf.DUMMYFUNCTION("IMPORTRANGE(""https://docs.google.com/spreadsheets/d/18T20gbkS_WBjdscyTOV05cvq_JqvqQ17C81mpxf7Ncs/edit?usp=sharing"",""สุราษฎร์ธานี!J639"")"),0)</f>
        <v>0</v>
      </c>
      <c r="AW88" s="186">
        <f ca="1">IFERROR(__xludf.DUMMYFUNCTION("IMPORTRANGE(""https://docs.google.com/spreadsheets/d/18T20gbkS_WBjdscyTOV05cvq_JqvqQ17C81mpxf7Ncs/edit?usp=sharing"",""สุราษฎร์ธานี!J640"")"),0)</f>
        <v>0</v>
      </c>
    </row>
    <row r="89" spans="1:49" ht="19.5" hidden="1" x14ac:dyDescent="0.3">
      <c r="A89" s="632" t="s">
        <v>115</v>
      </c>
      <c r="B89" s="633"/>
      <c r="C89" s="46">
        <f t="shared" ref="C89:T89" si="81">SUM(C90:C106)</f>
        <v>0</v>
      </c>
      <c r="D89" s="45">
        <f t="shared" si="81"/>
        <v>0</v>
      </c>
      <c r="E89" s="45">
        <f t="shared" si="81"/>
        <v>0</v>
      </c>
      <c r="F89" s="45">
        <f t="shared" si="81"/>
        <v>0</v>
      </c>
      <c r="G89" s="45">
        <f t="shared" si="81"/>
        <v>0</v>
      </c>
      <c r="H89" s="45">
        <f t="shared" si="81"/>
        <v>0</v>
      </c>
      <c r="I89" s="45">
        <f t="shared" si="81"/>
        <v>0</v>
      </c>
      <c r="J89" s="45">
        <f t="shared" si="81"/>
        <v>0</v>
      </c>
      <c r="K89" s="47">
        <f t="shared" si="81"/>
        <v>0</v>
      </c>
      <c r="L89" s="45">
        <f t="shared" si="81"/>
        <v>0</v>
      </c>
      <c r="M89" s="47">
        <f t="shared" si="81"/>
        <v>0</v>
      </c>
      <c r="N89" s="47">
        <f t="shared" si="81"/>
        <v>0</v>
      </c>
      <c r="O89" s="45">
        <f t="shared" si="81"/>
        <v>0</v>
      </c>
      <c r="P89" s="45">
        <f t="shared" si="81"/>
        <v>0</v>
      </c>
      <c r="Q89" s="45">
        <f t="shared" si="81"/>
        <v>0</v>
      </c>
      <c r="R89" s="45">
        <f t="shared" si="81"/>
        <v>0</v>
      </c>
      <c r="S89" s="45">
        <f t="shared" si="81"/>
        <v>0</v>
      </c>
      <c r="T89" s="45">
        <f t="shared" si="81"/>
        <v>0</v>
      </c>
      <c r="U89" s="45">
        <f t="shared" si="41"/>
        <v>0</v>
      </c>
      <c r="V89" s="45">
        <f t="shared" si="42"/>
        <v>0</v>
      </c>
      <c r="W89" s="45"/>
      <c r="X89" s="45"/>
      <c r="Y89" s="48"/>
      <c r="Z89" s="45"/>
      <c r="AA89" s="45"/>
      <c r="AB89" s="48"/>
      <c r="AC89" s="45"/>
      <c r="AD89" s="45"/>
      <c r="AE89" s="48"/>
      <c r="AF89" s="45"/>
      <c r="AG89" s="45"/>
      <c r="AH89" s="48"/>
      <c r="AI89" s="45"/>
      <c r="AJ89" s="45"/>
      <c r="AK89" s="48"/>
      <c r="AL89" s="45"/>
      <c r="AM89" s="45"/>
      <c r="AN89" s="45"/>
      <c r="AO89" s="45"/>
      <c r="AP89" s="48"/>
      <c r="AQ89" s="45"/>
      <c r="AR89" s="45"/>
      <c r="AS89" s="48"/>
      <c r="AT89" s="45"/>
      <c r="AU89" s="45"/>
      <c r="AV89" s="48"/>
      <c r="AW89" s="45"/>
    </row>
    <row r="90" spans="1:49" ht="19.5" hidden="1" x14ac:dyDescent="0.3">
      <c r="A90" s="197"/>
      <c r="B90" s="125" t="s">
        <v>116</v>
      </c>
      <c r="C90" s="198">
        <f t="shared" ref="C90:C106" si="82">D90+G90</f>
        <v>0</v>
      </c>
      <c r="D90" s="199">
        <f t="shared" ref="D90:D106" si="83">+E90+F90</f>
        <v>0</v>
      </c>
      <c r="E90" s="215">
        <v>0</v>
      </c>
      <c r="F90" s="215">
        <v>0</v>
      </c>
      <c r="G90" s="215">
        <v>0</v>
      </c>
      <c r="H90" s="215">
        <v>0</v>
      </c>
      <c r="I90" s="215">
        <v>0</v>
      </c>
      <c r="J90" s="81">
        <f t="shared" ref="J90:J106" si="84">L90+O90</f>
        <v>0</v>
      </c>
      <c r="K90" s="126">
        <f t="shared" ref="K90:K106" si="85">IF(C90&gt;0,J90*100/C90,0)</f>
        <v>0</v>
      </c>
      <c r="L90" s="215">
        <v>0</v>
      </c>
      <c r="M90" s="84">
        <f t="shared" ref="M90:M106" si="86">IF(D90&gt;0,L90*100/D90,0)</f>
        <v>0</v>
      </c>
      <c r="N90" s="84">
        <f t="shared" ref="N90:N106" si="87">IF(H90&gt;0,L90*100/H90,0)</f>
        <v>0</v>
      </c>
      <c r="O90" s="418">
        <v>0</v>
      </c>
      <c r="P90" s="85">
        <f t="shared" ref="P90:P106" si="88">IF(G90&gt;0,O90*100/G90,0)</f>
        <v>0</v>
      </c>
      <c r="Q90" s="84">
        <f t="shared" ref="Q90:Q106" si="89">IF(I90&gt;0,O90*100/I90,0)</f>
        <v>0</v>
      </c>
      <c r="R90" s="127">
        <v>0</v>
      </c>
      <c r="S90" s="127">
        <v>0</v>
      </c>
      <c r="T90" s="127">
        <v>0</v>
      </c>
      <c r="U90" s="84">
        <f t="shared" si="41"/>
        <v>0</v>
      </c>
      <c r="V90" s="84">
        <f t="shared" si="42"/>
        <v>0</v>
      </c>
      <c r="W90" s="81"/>
      <c r="X90" s="81"/>
      <c r="Y90" s="84"/>
      <c r="Z90" s="81"/>
      <c r="AA90" s="81"/>
      <c r="AB90" s="84"/>
      <c r="AC90" s="81"/>
      <c r="AD90" s="81"/>
      <c r="AE90" s="84"/>
      <c r="AF90" s="81"/>
      <c r="AG90" s="81"/>
      <c r="AH90" s="84"/>
      <c r="AI90" s="81"/>
      <c r="AJ90" s="81"/>
      <c r="AK90" s="84"/>
      <c r="AL90" s="81"/>
      <c r="AM90" s="81"/>
      <c r="AN90" s="81"/>
      <c r="AO90" s="81"/>
      <c r="AP90" s="84"/>
      <c r="AQ90" s="81"/>
      <c r="AR90" s="81"/>
      <c r="AS90" s="84"/>
      <c r="AT90" s="81"/>
      <c r="AU90" s="81"/>
      <c r="AV90" s="84"/>
      <c r="AW90" s="81"/>
    </row>
    <row r="91" spans="1:49" ht="19.5" hidden="1" x14ac:dyDescent="0.3">
      <c r="A91" s="201"/>
      <c r="B91" s="129" t="s">
        <v>117</v>
      </c>
      <c r="C91" s="202">
        <f t="shared" si="82"/>
        <v>0</v>
      </c>
      <c r="D91" s="203">
        <f t="shared" si="83"/>
        <v>0</v>
      </c>
      <c r="E91" s="216">
        <v>0</v>
      </c>
      <c r="F91" s="216">
        <v>0</v>
      </c>
      <c r="G91" s="216">
        <v>0</v>
      </c>
      <c r="H91" s="216">
        <v>0</v>
      </c>
      <c r="I91" s="216">
        <v>0</v>
      </c>
      <c r="J91" s="93">
        <f t="shared" si="84"/>
        <v>0</v>
      </c>
      <c r="K91" s="94">
        <f t="shared" si="85"/>
        <v>0</v>
      </c>
      <c r="L91" s="216">
        <v>0</v>
      </c>
      <c r="M91" s="95">
        <f t="shared" si="86"/>
        <v>0</v>
      </c>
      <c r="N91" s="95">
        <f t="shared" si="87"/>
        <v>0</v>
      </c>
      <c r="O91" s="419">
        <v>0</v>
      </c>
      <c r="P91" s="96">
        <f t="shared" si="88"/>
        <v>0</v>
      </c>
      <c r="Q91" s="95">
        <f t="shared" si="89"/>
        <v>0</v>
      </c>
      <c r="R91" s="130">
        <v>0</v>
      </c>
      <c r="S91" s="130">
        <v>0</v>
      </c>
      <c r="T91" s="130">
        <v>0</v>
      </c>
      <c r="U91" s="95">
        <f t="shared" si="41"/>
        <v>0</v>
      </c>
      <c r="V91" s="95">
        <f t="shared" si="42"/>
        <v>0</v>
      </c>
      <c r="W91" s="93"/>
      <c r="X91" s="93"/>
      <c r="Y91" s="95"/>
      <c r="Z91" s="93"/>
      <c r="AA91" s="93"/>
      <c r="AB91" s="95"/>
      <c r="AC91" s="93"/>
      <c r="AD91" s="93"/>
      <c r="AE91" s="95"/>
      <c r="AF91" s="93"/>
      <c r="AG91" s="93"/>
      <c r="AH91" s="95"/>
      <c r="AI91" s="93"/>
      <c r="AJ91" s="93"/>
      <c r="AK91" s="95"/>
      <c r="AL91" s="93"/>
      <c r="AM91" s="93"/>
      <c r="AN91" s="93"/>
      <c r="AO91" s="93"/>
      <c r="AP91" s="95"/>
      <c r="AQ91" s="93"/>
      <c r="AR91" s="93"/>
      <c r="AS91" s="95"/>
      <c r="AT91" s="93"/>
      <c r="AU91" s="93"/>
      <c r="AV91" s="95"/>
      <c r="AW91" s="93"/>
    </row>
    <row r="92" spans="1:49" ht="19.5" hidden="1" x14ac:dyDescent="0.3">
      <c r="A92" s="201"/>
      <c r="B92" s="129" t="s">
        <v>118</v>
      </c>
      <c r="C92" s="202">
        <f t="shared" si="82"/>
        <v>0</v>
      </c>
      <c r="D92" s="203">
        <f t="shared" si="83"/>
        <v>0</v>
      </c>
      <c r="E92" s="216">
        <v>0</v>
      </c>
      <c r="F92" s="216">
        <v>0</v>
      </c>
      <c r="G92" s="216">
        <v>0</v>
      </c>
      <c r="H92" s="216">
        <v>0</v>
      </c>
      <c r="I92" s="216">
        <v>0</v>
      </c>
      <c r="J92" s="93">
        <f t="shared" si="84"/>
        <v>0</v>
      </c>
      <c r="K92" s="94">
        <f t="shared" si="85"/>
        <v>0</v>
      </c>
      <c r="L92" s="216">
        <v>0</v>
      </c>
      <c r="M92" s="95">
        <f t="shared" si="86"/>
        <v>0</v>
      </c>
      <c r="N92" s="95">
        <f t="shared" si="87"/>
        <v>0</v>
      </c>
      <c r="O92" s="419">
        <v>0</v>
      </c>
      <c r="P92" s="96">
        <f t="shared" si="88"/>
        <v>0</v>
      </c>
      <c r="Q92" s="95">
        <f t="shared" si="89"/>
        <v>0</v>
      </c>
      <c r="R92" s="130">
        <v>0</v>
      </c>
      <c r="S92" s="130">
        <v>0</v>
      </c>
      <c r="T92" s="130">
        <v>0</v>
      </c>
      <c r="U92" s="95">
        <f t="shared" si="41"/>
        <v>0</v>
      </c>
      <c r="V92" s="95">
        <f t="shared" si="42"/>
        <v>0</v>
      </c>
      <c r="W92" s="93"/>
      <c r="X92" s="93"/>
      <c r="Y92" s="95"/>
      <c r="Z92" s="93"/>
      <c r="AA92" s="93"/>
      <c r="AB92" s="95"/>
      <c r="AC92" s="93"/>
      <c r="AD92" s="93"/>
      <c r="AE92" s="95"/>
      <c r="AF92" s="93"/>
      <c r="AG92" s="93"/>
      <c r="AH92" s="95"/>
      <c r="AI92" s="93"/>
      <c r="AJ92" s="93"/>
      <c r="AK92" s="95"/>
      <c r="AL92" s="93"/>
      <c r="AM92" s="93"/>
      <c r="AN92" s="93"/>
      <c r="AO92" s="93"/>
      <c r="AP92" s="95"/>
      <c r="AQ92" s="93"/>
      <c r="AR92" s="93"/>
      <c r="AS92" s="95"/>
      <c r="AT92" s="93"/>
      <c r="AU92" s="93"/>
      <c r="AV92" s="95"/>
      <c r="AW92" s="93"/>
    </row>
    <row r="93" spans="1:49" ht="19.5" hidden="1" x14ac:dyDescent="0.3">
      <c r="A93" s="201"/>
      <c r="B93" s="129" t="s">
        <v>119</v>
      </c>
      <c r="C93" s="202">
        <f t="shared" si="82"/>
        <v>0</v>
      </c>
      <c r="D93" s="203">
        <f t="shared" si="83"/>
        <v>0</v>
      </c>
      <c r="E93" s="216">
        <v>0</v>
      </c>
      <c r="F93" s="216">
        <v>0</v>
      </c>
      <c r="G93" s="216">
        <v>0</v>
      </c>
      <c r="H93" s="216">
        <v>0</v>
      </c>
      <c r="I93" s="216">
        <v>0</v>
      </c>
      <c r="J93" s="93">
        <f t="shared" si="84"/>
        <v>0</v>
      </c>
      <c r="K93" s="94">
        <f t="shared" si="85"/>
        <v>0</v>
      </c>
      <c r="L93" s="216">
        <v>0</v>
      </c>
      <c r="M93" s="95">
        <f t="shared" si="86"/>
        <v>0</v>
      </c>
      <c r="N93" s="95">
        <f t="shared" si="87"/>
        <v>0</v>
      </c>
      <c r="O93" s="419">
        <v>0</v>
      </c>
      <c r="P93" s="96">
        <f t="shared" si="88"/>
        <v>0</v>
      </c>
      <c r="Q93" s="95">
        <f t="shared" si="89"/>
        <v>0</v>
      </c>
      <c r="R93" s="130">
        <v>0</v>
      </c>
      <c r="S93" s="130">
        <v>0</v>
      </c>
      <c r="T93" s="130">
        <v>0</v>
      </c>
      <c r="U93" s="95">
        <f t="shared" si="41"/>
        <v>0</v>
      </c>
      <c r="V93" s="95">
        <f t="shared" si="42"/>
        <v>0</v>
      </c>
      <c r="W93" s="93"/>
      <c r="X93" s="93"/>
      <c r="Y93" s="95"/>
      <c r="Z93" s="93"/>
      <c r="AA93" s="93"/>
      <c r="AB93" s="95"/>
      <c r="AC93" s="93"/>
      <c r="AD93" s="93"/>
      <c r="AE93" s="95"/>
      <c r="AF93" s="93"/>
      <c r="AG93" s="93"/>
      <c r="AH93" s="95"/>
      <c r="AI93" s="93"/>
      <c r="AJ93" s="93"/>
      <c r="AK93" s="95"/>
      <c r="AL93" s="93"/>
      <c r="AM93" s="93"/>
      <c r="AN93" s="93"/>
      <c r="AO93" s="93"/>
      <c r="AP93" s="95"/>
      <c r="AQ93" s="93"/>
      <c r="AR93" s="93"/>
      <c r="AS93" s="95"/>
      <c r="AT93" s="93"/>
      <c r="AU93" s="93"/>
      <c r="AV93" s="95"/>
      <c r="AW93" s="93"/>
    </row>
    <row r="94" spans="1:49" ht="19.5" hidden="1" x14ac:dyDescent="0.3">
      <c r="A94" s="201"/>
      <c r="B94" s="129" t="s">
        <v>120</v>
      </c>
      <c r="C94" s="202">
        <f t="shared" si="82"/>
        <v>0</v>
      </c>
      <c r="D94" s="203">
        <f t="shared" si="83"/>
        <v>0</v>
      </c>
      <c r="E94" s="216">
        <v>0</v>
      </c>
      <c r="F94" s="216">
        <v>0</v>
      </c>
      <c r="G94" s="216">
        <v>0</v>
      </c>
      <c r="H94" s="216">
        <v>0</v>
      </c>
      <c r="I94" s="216">
        <v>0</v>
      </c>
      <c r="J94" s="93">
        <f t="shared" si="84"/>
        <v>0</v>
      </c>
      <c r="K94" s="94">
        <f t="shared" si="85"/>
        <v>0</v>
      </c>
      <c r="L94" s="216">
        <v>0</v>
      </c>
      <c r="M94" s="95">
        <f t="shared" si="86"/>
        <v>0</v>
      </c>
      <c r="N94" s="95">
        <f t="shared" si="87"/>
        <v>0</v>
      </c>
      <c r="O94" s="419">
        <v>0</v>
      </c>
      <c r="P94" s="96">
        <f t="shared" si="88"/>
        <v>0</v>
      </c>
      <c r="Q94" s="95">
        <f t="shared" si="89"/>
        <v>0</v>
      </c>
      <c r="R94" s="130">
        <v>0</v>
      </c>
      <c r="S94" s="130">
        <v>0</v>
      </c>
      <c r="T94" s="130">
        <v>0</v>
      </c>
      <c r="U94" s="95">
        <f t="shared" si="41"/>
        <v>0</v>
      </c>
      <c r="V94" s="95">
        <f t="shared" si="42"/>
        <v>0</v>
      </c>
      <c r="W94" s="93"/>
      <c r="X94" s="93"/>
      <c r="Y94" s="95"/>
      <c r="Z94" s="93"/>
      <c r="AA94" s="93"/>
      <c r="AB94" s="95"/>
      <c r="AC94" s="93"/>
      <c r="AD94" s="93"/>
      <c r="AE94" s="95"/>
      <c r="AF94" s="93"/>
      <c r="AG94" s="93"/>
      <c r="AH94" s="95"/>
      <c r="AI94" s="93"/>
      <c r="AJ94" s="93"/>
      <c r="AK94" s="95"/>
      <c r="AL94" s="93"/>
      <c r="AM94" s="93"/>
      <c r="AN94" s="93"/>
      <c r="AO94" s="93"/>
      <c r="AP94" s="95"/>
      <c r="AQ94" s="93"/>
      <c r="AR94" s="93"/>
      <c r="AS94" s="95"/>
      <c r="AT94" s="93"/>
      <c r="AU94" s="93"/>
      <c r="AV94" s="95"/>
      <c r="AW94" s="93"/>
    </row>
    <row r="95" spans="1:49" ht="19.5" hidden="1" x14ac:dyDescent="0.3">
      <c r="A95" s="201"/>
      <c r="B95" s="129" t="s">
        <v>121</v>
      </c>
      <c r="C95" s="202">
        <f t="shared" si="82"/>
        <v>0</v>
      </c>
      <c r="D95" s="203">
        <f t="shared" si="83"/>
        <v>0</v>
      </c>
      <c r="E95" s="216">
        <v>0</v>
      </c>
      <c r="F95" s="216">
        <v>0</v>
      </c>
      <c r="G95" s="216">
        <v>0</v>
      </c>
      <c r="H95" s="216">
        <v>0</v>
      </c>
      <c r="I95" s="216">
        <v>0</v>
      </c>
      <c r="J95" s="93">
        <f t="shared" si="84"/>
        <v>0</v>
      </c>
      <c r="K95" s="94">
        <f t="shared" si="85"/>
        <v>0</v>
      </c>
      <c r="L95" s="216">
        <v>0</v>
      </c>
      <c r="M95" s="95">
        <f t="shared" si="86"/>
        <v>0</v>
      </c>
      <c r="N95" s="95">
        <f t="shared" si="87"/>
        <v>0</v>
      </c>
      <c r="O95" s="419">
        <v>0</v>
      </c>
      <c r="P95" s="96">
        <f t="shared" si="88"/>
        <v>0</v>
      </c>
      <c r="Q95" s="95">
        <f t="shared" si="89"/>
        <v>0</v>
      </c>
      <c r="R95" s="130">
        <v>0</v>
      </c>
      <c r="S95" s="130">
        <v>0</v>
      </c>
      <c r="T95" s="130">
        <v>0</v>
      </c>
      <c r="U95" s="95">
        <f t="shared" si="41"/>
        <v>0</v>
      </c>
      <c r="V95" s="95">
        <f t="shared" si="42"/>
        <v>0</v>
      </c>
      <c r="W95" s="93"/>
      <c r="X95" s="93"/>
      <c r="Y95" s="95"/>
      <c r="Z95" s="93"/>
      <c r="AA95" s="93"/>
      <c r="AB95" s="95"/>
      <c r="AC95" s="93"/>
      <c r="AD95" s="93"/>
      <c r="AE95" s="95"/>
      <c r="AF95" s="93"/>
      <c r="AG95" s="93"/>
      <c r="AH95" s="95"/>
      <c r="AI95" s="93"/>
      <c r="AJ95" s="93"/>
      <c r="AK95" s="95"/>
      <c r="AL95" s="93"/>
      <c r="AM95" s="93"/>
      <c r="AN95" s="93"/>
      <c r="AO95" s="93"/>
      <c r="AP95" s="95"/>
      <c r="AQ95" s="93"/>
      <c r="AR95" s="93"/>
      <c r="AS95" s="95"/>
      <c r="AT95" s="93"/>
      <c r="AU95" s="93"/>
      <c r="AV95" s="95"/>
      <c r="AW95" s="93"/>
    </row>
    <row r="96" spans="1:49" ht="19.5" hidden="1" x14ac:dyDescent="0.3">
      <c r="A96" s="201"/>
      <c r="B96" s="129" t="s">
        <v>122</v>
      </c>
      <c r="C96" s="202">
        <f t="shared" si="82"/>
        <v>0</v>
      </c>
      <c r="D96" s="203">
        <f t="shared" si="83"/>
        <v>0</v>
      </c>
      <c r="E96" s="216">
        <v>0</v>
      </c>
      <c r="F96" s="216">
        <v>0</v>
      </c>
      <c r="G96" s="216">
        <v>0</v>
      </c>
      <c r="H96" s="216">
        <v>0</v>
      </c>
      <c r="I96" s="216">
        <v>0</v>
      </c>
      <c r="J96" s="93">
        <f t="shared" si="84"/>
        <v>0</v>
      </c>
      <c r="K96" s="94">
        <f t="shared" si="85"/>
        <v>0</v>
      </c>
      <c r="L96" s="216">
        <v>0</v>
      </c>
      <c r="M96" s="95">
        <f t="shared" si="86"/>
        <v>0</v>
      </c>
      <c r="N96" s="95">
        <f t="shared" si="87"/>
        <v>0</v>
      </c>
      <c r="O96" s="419">
        <v>0</v>
      </c>
      <c r="P96" s="96">
        <f t="shared" si="88"/>
        <v>0</v>
      </c>
      <c r="Q96" s="95">
        <f t="shared" si="89"/>
        <v>0</v>
      </c>
      <c r="R96" s="130">
        <v>0</v>
      </c>
      <c r="S96" s="130">
        <v>0</v>
      </c>
      <c r="T96" s="130">
        <v>0</v>
      </c>
      <c r="U96" s="95">
        <f t="shared" si="41"/>
        <v>0</v>
      </c>
      <c r="V96" s="95">
        <f t="shared" si="42"/>
        <v>0</v>
      </c>
      <c r="W96" s="93"/>
      <c r="X96" s="93"/>
      <c r="Y96" s="95"/>
      <c r="Z96" s="93"/>
      <c r="AA96" s="93"/>
      <c r="AB96" s="95"/>
      <c r="AC96" s="93"/>
      <c r="AD96" s="93"/>
      <c r="AE96" s="95"/>
      <c r="AF96" s="93"/>
      <c r="AG96" s="93"/>
      <c r="AH96" s="95"/>
      <c r="AI96" s="93"/>
      <c r="AJ96" s="93"/>
      <c r="AK96" s="95"/>
      <c r="AL96" s="93"/>
      <c r="AM96" s="93"/>
      <c r="AN96" s="93"/>
      <c r="AO96" s="93"/>
      <c r="AP96" s="95"/>
      <c r="AQ96" s="93"/>
      <c r="AR96" s="93"/>
      <c r="AS96" s="95"/>
      <c r="AT96" s="93"/>
      <c r="AU96" s="93"/>
      <c r="AV96" s="95"/>
      <c r="AW96" s="93"/>
    </row>
    <row r="97" spans="1:49" ht="19.5" hidden="1" x14ac:dyDescent="0.3">
      <c r="A97" s="201"/>
      <c r="B97" s="129" t="s">
        <v>123</v>
      </c>
      <c r="C97" s="202">
        <f t="shared" si="82"/>
        <v>0</v>
      </c>
      <c r="D97" s="203">
        <f t="shared" si="83"/>
        <v>0</v>
      </c>
      <c r="E97" s="216">
        <v>0</v>
      </c>
      <c r="F97" s="216">
        <v>0</v>
      </c>
      <c r="G97" s="216">
        <v>0</v>
      </c>
      <c r="H97" s="216">
        <v>0</v>
      </c>
      <c r="I97" s="216">
        <v>0</v>
      </c>
      <c r="J97" s="93">
        <f t="shared" si="84"/>
        <v>0</v>
      </c>
      <c r="K97" s="94">
        <f t="shared" si="85"/>
        <v>0</v>
      </c>
      <c r="L97" s="216">
        <v>0</v>
      </c>
      <c r="M97" s="95">
        <f t="shared" si="86"/>
        <v>0</v>
      </c>
      <c r="N97" s="95">
        <f t="shared" si="87"/>
        <v>0</v>
      </c>
      <c r="O97" s="419">
        <v>0</v>
      </c>
      <c r="P97" s="96">
        <f t="shared" si="88"/>
        <v>0</v>
      </c>
      <c r="Q97" s="95">
        <f t="shared" si="89"/>
        <v>0</v>
      </c>
      <c r="R97" s="130">
        <v>0</v>
      </c>
      <c r="S97" s="130">
        <v>0</v>
      </c>
      <c r="T97" s="130">
        <v>0</v>
      </c>
      <c r="U97" s="95">
        <f t="shared" si="41"/>
        <v>0</v>
      </c>
      <c r="V97" s="95">
        <f t="shared" si="42"/>
        <v>0</v>
      </c>
      <c r="W97" s="93"/>
      <c r="X97" s="93"/>
      <c r="Y97" s="95"/>
      <c r="Z97" s="93"/>
      <c r="AA97" s="93"/>
      <c r="AB97" s="95"/>
      <c r="AC97" s="93"/>
      <c r="AD97" s="93"/>
      <c r="AE97" s="95"/>
      <c r="AF97" s="93"/>
      <c r="AG97" s="93"/>
      <c r="AH97" s="95"/>
      <c r="AI97" s="93"/>
      <c r="AJ97" s="93"/>
      <c r="AK97" s="95"/>
      <c r="AL97" s="93"/>
      <c r="AM97" s="93"/>
      <c r="AN97" s="93"/>
      <c r="AO97" s="93"/>
      <c r="AP97" s="95"/>
      <c r="AQ97" s="93"/>
      <c r="AR97" s="93"/>
      <c r="AS97" s="95"/>
      <c r="AT97" s="93"/>
      <c r="AU97" s="93"/>
      <c r="AV97" s="95"/>
      <c r="AW97" s="93"/>
    </row>
    <row r="98" spans="1:49" ht="19.5" hidden="1" x14ac:dyDescent="0.3">
      <c r="A98" s="201"/>
      <c r="B98" s="129" t="s">
        <v>124</v>
      </c>
      <c r="C98" s="202">
        <f t="shared" si="82"/>
        <v>0</v>
      </c>
      <c r="D98" s="203">
        <f t="shared" si="83"/>
        <v>0</v>
      </c>
      <c r="E98" s="216">
        <v>0</v>
      </c>
      <c r="F98" s="216">
        <v>0</v>
      </c>
      <c r="G98" s="216">
        <v>0</v>
      </c>
      <c r="H98" s="216">
        <v>0</v>
      </c>
      <c r="I98" s="216">
        <v>0</v>
      </c>
      <c r="J98" s="93">
        <f t="shared" si="84"/>
        <v>0</v>
      </c>
      <c r="K98" s="94">
        <f t="shared" si="85"/>
        <v>0</v>
      </c>
      <c r="L98" s="216">
        <v>0</v>
      </c>
      <c r="M98" s="95">
        <f t="shared" si="86"/>
        <v>0</v>
      </c>
      <c r="N98" s="95">
        <f t="shared" si="87"/>
        <v>0</v>
      </c>
      <c r="O98" s="419">
        <v>0</v>
      </c>
      <c r="P98" s="96">
        <f t="shared" si="88"/>
        <v>0</v>
      </c>
      <c r="Q98" s="95">
        <f t="shared" si="89"/>
        <v>0</v>
      </c>
      <c r="R98" s="130">
        <v>0</v>
      </c>
      <c r="S98" s="130">
        <v>0</v>
      </c>
      <c r="T98" s="130">
        <v>0</v>
      </c>
      <c r="U98" s="95">
        <f t="shared" si="41"/>
        <v>0</v>
      </c>
      <c r="V98" s="95">
        <f t="shared" si="42"/>
        <v>0</v>
      </c>
      <c r="W98" s="93"/>
      <c r="X98" s="93"/>
      <c r="Y98" s="95"/>
      <c r="Z98" s="93"/>
      <c r="AA98" s="93"/>
      <c r="AB98" s="95"/>
      <c r="AC98" s="93"/>
      <c r="AD98" s="93"/>
      <c r="AE98" s="95"/>
      <c r="AF98" s="93"/>
      <c r="AG98" s="93"/>
      <c r="AH98" s="95"/>
      <c r="AI98" s="93"/>
      <c r="AJ98" s="93"/>
      <c r="AK98" s="95"/>
      <c r="AL98" s="93"/>
      <c r="AM98" s="93"/>
      <c r="AN98" s="93"/>
      <c r="AO98" s="93"/>
      <c r="AP98" s="95"/>
      <c r="AQ98" s="93"/>
      <c r="AR98" s="93"/>
      <c r="AS98" s="95"/>
      <c r="AT98" s="93"/>
      <c r="AU98" s="93"/>
      <c r="AV98" s="95"/>
      <c r="AW98" s="93"/>
    </row>
    <row r="99" spans="1:49" ht="19.5" hidden="1" x14ac:dyDescent="0.3">
      <c r="A99" s="201"/>
      <c r="B99" s="129" t="s">
        <v>125</v>
      </c>
      <c r="C99" s="202">
        <f t="shared" si="82"/>
        <v>0</v>
      </c>
      <c r="D99" s="203">
        <f t="shared" si="83"/>
        <v>0</v>
      </c>
      <c r="E99" s="216">
        <v>0</v>
      </c>
      <c r="F99" s="216">
        <v>0</v>
      </c>
      <c r="G99" s="216">
        <v>0</v>
      </c>
      <c r="H99" s="216">
        <v>0</v>
      </c>
      <c r="I99" s="216">
        <v>0</v>
      </c>
      <c r="J99" s="93">
        <f t="shared" si="84"/>
        <v>0</v>
      </c>
      <c r="K99" s="94">
        <f t="shared" si="85"/>
        <v>0</v>
      </c>
      <c r="L99" s="216">
        <v>0</v>
      </c>
      <c r="M99" s="95">
        <f t="shared" si="86"/>
        <v>0</v>
      </c>
      <c r="N99" s="95">
        <f t="shared" si="87"/>
        <v>0</v>
      </c>
      <c r="O99" s="419">
        <v>0</v>
      </c>
      <c r="P99" s="96">
        <f t="shared" si="88"/>
        <v>0</v>
      </c>
      <c r="Q99" s="95">
        <f t="shared" si="89"/>
        <v>0</v>
      </c>
      <c r="R99" s="130">
        <v>0</v>
      </c>
      <c r="S99" s="130">
        <v>0</v>
      </c>
      <c r="T99" s="130">
        <v>0</v>
      </c>
      <c r="U99" s="95">
        <f t="shared" si="41"/>
        <v>0</v>
      </c>
      <c r="V99" s="95">
        <f t="shared" si="42"/>
        <v>0</v>
      </c>
      <c r="W99" s="93"/>
      <c r="X99" s="93"/>
      <c r="Y99" s="95"/>
      <c r="Z99" s="93"/>
      <c r="AA99" s="93"/>
      <c r="AB99" s="95"/>
      <c r="AC99" s="93"/>
      <c r="AD99" s="93"/>
      <c r="AE99" s="95"/>
      <c r="AF99" s="93"/>
      <c r="AG99" s="93"/>
      <c r="AH99" s="95"/>
      <c r="AI99" s="93"/>
      <c r="AJ99" s="93"/>
      <c r="AK99" s="95"/>
      <c r="AL99" s="93"/>
      <c r="AM99" s="93"/>
      <c r="AN99" s="93"/>
      <c r="AO99" s="93"/>
      <c r="AP99" s="95"/>
      <c r="AQ99" s="93"/>
      <c r="AR99" s="93"/>
      <c r="AS99" s="95"/>
      <c r="AT99" s="93"/>
      <c r="AU99" s="93"/>
      <c r="AV99" s="95"/>
      <c r="AW99" s="93"/>
    </row>
    <row r="100" spans="1:49" ht="19.5" hidden="1" x14ac:dyDescent="0.3">
      <c r="A100" s="201"/>
      <c r="B100" s="129" t="s">
        <v>126</v>
      </c>
      <c r="C100" s="202">
        <f t="shared" si="82"/>
        <v>0</v>
      </c>
      <c r="D100" s="203">
        <f t="shared" si="83"/>
        <v>0</v>
      </c>
      <c r="E100" s="216">
        <v>0</v>
      </c>
      <c r="F100" s="216">
        <v>0</v>
      </c>
      <c r="G100" s="216">
        <v>0</v>
      </c>
      <c r="H100" s="216">
        <v>0</v>
      </c>
      <c r="I100" s="216">
        <v>0</v>
      </c>
      <c r="J100" s="93">
        <f t="shared" si="84"/>
        <v>0</v>
      </c>
      <c r="K100" s="94">
        <f t="shared" si="85"/>
        <v>0</v>
      </c>
      <c r="L100" s="216">
        <v>0</v>
      </c>
      <c r="M100" s="95">
        <f t="shared" si="86"/>
        <v>0</v>
      </c>
      <c r="N100" s="95">
        <f t="shared" si="87"/>
        <v>0</v>
      </c>
      <c r="O100" s="419">
        <v>0</v>
      </c>
      <c r="P100" s="96">
        <f t="shared" si="88"/>
        <v>0</v>
      </c>
      <c r="Q100" s="95">
        <f t="shared" si="89"/>
        <v>0</v>
      </c>
      <c r="R100" s="130">
        <v>0</v>
      </c>
      <c r="S100" s="130">
        <v>0</v>
      </c>
      <c r="T100" s="130">
        <v>0</v>
      </c>
      <c r="U100" s="95">
        <f t="shared" si="41"/>
        <v>0</v>
      </c>
      <c r="V100" s="95">
        <f t="shared" si="42"/>
        <v>0</v>
      </c>
      <c r="W100" s="93"/>
      <c r="X100" s="93"/>
      <c r="Y100" s="95"/>
      <c r="Z100" s="93"/>
      <c r="AA100" s="93"/>
      <c r="AB100" s="95"/>
      <c r="AC100" s="93"/>
      <c r="AD100" s="93"/>
      <c r="AE100" s="95"/>
      <c r="AF100" s="93"/>
      <c r="AG100" s="93"/>
      <c r="AH100" s="95"/>
      <c r="AI100" s="93"/>
      <c r="AJ100" s="93"/>
      <c r="AK100" s="95"/>
      <c r="AL100" s="93"/>
      <c r="AM100" s="93"/>
      <c r="AN100" s="93"/>
      <c r="AO100" s="93"/>
      <c r="AP100" s="95"/>
      <c r="AQ100" s="93"/>
      <c r="AR100" s="93"/>
      <c r="AS100" s="95"/>
      <c r="AT100" s="93"/>
      <c r="AU100" s="93"/>
      <c r="AV100" s="95"/>
      <c r="AW100" s="93"/>
    </row>
    <row r="101" spans="1:49" ht="19.5" hidden="1" x14ac:dyDescent="0.3">
      <c r="A101" s="201"/>
      <c r="B101" s="129" t="s">
        <v>127</v>
      </c>
      <c r="C101" s="202">
        <f t="shared" si="82"/>
        <v>0</v>
      </c>
      <c r="D101" s="203">
        <f t="shared" si="83"/>
        <v>0</v>
      </c>
      <c r="E101" s="216">
        <v>0</v>
      </c>
      <c r="F101" s="216">
        <v>0</v>
      </c>
      <c r="G101" s="216">
        <v>0</v>
      </c>
      <c r="H101" s="216">
        <v>0</v>
      </c>
      <c r="I101" s="216">
        <v>0</v>
      </c>
      <c r="J101" s="93">
        <f t="shared" si="84"/>
        <v>0</v>
      </c>
      <c r="K101" s="94">
        <f t="shared" si="85"/>
        <v>0</v>
      </c>
      <c r="L101" s="216">
        <v>0</v>
      </c>
      <c r="M101" s="95">
        <f t="shared" si="86"/>
        <v>0</v>
      </c>
      <c r="N101" s="95">
        <f t="shared" si="87"/>
        <v>0</v>
      </c>
      <c r="O101" s="419">
        <v>0</v>
      </c>
      <c r="P101" s="96">
        <f t="shared" si="88"/>
        <v>0</v>
      </c>
      <c r="Q101" s="95">
        <f t="shared" si="89"/>
        <v>0</v>
      </c>
      <c r="R101" s="130">
        <v>0</v>
      </c>
      <c r="S101" s="130">
        <v>0</v>
      </c>
      <c r="T101" s="130">
        <v>0</v>
      </c>
      <c r="U101" s="95">
        <f t="shared" si="41"/>
        <v>0</v>
      </c>
      <c r="V101" s="95">
        <f t="shared" si="42"/>
        <v>0</v>
      </c>
      <c r="W101" s="93"/>
      <c r="X101" s="93"/>
      <c r="Y101" s="95"/>
      <c r="Z101" s="93"/>
      <c r="AA101" s="93"/>
      <c r="AB101" s="95"/>
      <c r="AC101" s="93"/>
      <c r="AD101" s="93"/>
      <c r="AE101" s="95"/>
      <c r="AF101" s="93"/>
      <c r="AG101" s="93"/>
      <c r="AH101" s="95"/>
      <c r="AI101" s="93"/>
      <c r="AJ101" s="93"/>
      <c r="AK101" s="95"/>
      <c r="AL101" s="93"/>
      <c r="AM101" s="93"/>
      <c r="AN101" s="93"/>
      <c r="AO101" s="93"/>
      <c r="AP101" s="95"/>
      <c r="AQ101" s="93"/>
      <c r="AR101" s="93"/>
      <c r="AS101" s="95"/>
      <c r="AT101" s="93"/>
      <c r="AU101" s="93"/>
      <c r="AV101" s="95"/>
      <c r="AW101" s="93"/>
    </row>
    <row r="102" spans="1:49" ht="19.5" hidden="1" x14ac:dyDescent="0.3">
      <c r="A102" s="201"/>
      <c r="B102" s="129" t="s">
        <v>128</v>
      </c>
      <c r="C102" s="202">
        <f t="shared" si="82"/>
        <v>0</v>
      </c>
      <c r="D102" s="203">
        <f t="shared" si="83"/>
        <v>0</v>
      </c>
      <c r="E102" s="216">
        <v>0</v>
      </c>
      <c r="F102" s="216">
        <v>0</v>
      </c>
      <c r="G102" s="216">
        <v>0</v>
      </c>
      <c r="H102" s="216">
        <v>0</v>
      </c>
      <c r="I102" s="216">
        <v>0</v>
      </c>
      <c r="J102" s="93">
        <f t="shared" si="84"/>
        <v>0</v>
      </c>
      <c r="K102" s="94">
        <f t="shared" si="85"/>
        <v>0</v>
      </c>
      <c r="L102" s="216">
        <v>0</v>
      </c>
      <c r="M102" s="95">
        <f t="shared" si="86"/>
        <v>0</v>
      </c>
      <c r="N102" s="95">
        <f t="shared" si="87"/>
        <v>0</v>
      </c>
      <c r="O102" s="419">
        <v>0</v>
      </c>
      <c r="P102" s="96">
        <f t="shared" si="88"/>
        <v>0</v>
      </c>
      <c r="Q102" s="95">
        <f t="shared" si="89"/>
        <v>0</v>
      </c>
      <c r="R102" s="130">
        <v>0</v>
      </c>
      <c r="S102" s="130">
        <v>0</v>
      </c>
      <c r="T102" s="130">
        <v>0</v>
      </c>
      <c r="U102" s="95">
        <f t="shared" si="41"/>
        <v>0</v>
      </c>
      <c r="V102" s="95">
        <f t="shared" si="42"/>
        <v>0</v>
      </c>
      <c r="W102" s="93"/>
      <c r="X102" s="93"/>
      <c r="Y102" s="95"/>
      <c r="Z102" s="93"/>
      <c r="AA102" s="93"/>
      <c r="AB102" s="95"/>
      <c r="AC102" s="93"/>
      <c r="AD102" s="93"/>
      <c r="AE102" s="95"/>
      <c r="AF102" s="93"/>
      <c r="AG102" s="93"/>
      <c r="AH102" s="95"/>
      <c r="AI102" s="93"/>
      <c r="AJ102" s="93"/>
      <c r="AK102" s="95"/>
      <c r="AL102" s="93"/>
      <c r="AM102" s="93"/>
      <c r="AN102" s="93"/>
      <c r="AO102" s="93"/>
      <c r="AP102" s="95"/>
      <c r="AQ102" s="93"/>
      <c r="AR102" s="93"/>
      <c r="AS102" s="95"/>
      <c r="AT102" s="93"/>
      <c r="AU102" s="93"/>
      <c r="AV102" s="95"/>
      <c r="AW102" s="93"/>
    </row>
    <row r="103" spans="1:49" ht="19.5" hidden="1" x14ac:dyDescent="0.3">
      <c r="A103" s="201"/>
      <c r="B103" s="129" t="s">
        <v>129</v>
      </c>
      <c r="C103" s="202">
        <f t="shared" si="82"/>
        <v>0</v>
      </c>
      <c r="D103" s="203">
        <f t="shared" si="83"/>
        <v>0</v>
      </c>
      <c r="E103" s="216">
        <v>0</v>
      </c>
      <c r="F103" s="216">
        <v>0</v>
      </c>
      <c r="G103" s="216">
        <v>0</v>
      </c>
      <c r="H103" s="216">
        <v>0</v>
      </c>
      <c r="I103" s="216">
        <v>0</v>
      </c>
      <c r="J103" s="93">
        <f t="shared" si="84"/>
        <v>0</v>
      </c>
      <c r="K103" s="94">
        <f t="shared" si="85"/>
        <v>0</v>
      </c>
      <c r="L103" s="216">
        <v>0</v>
      </c>
      <c r="M103" s="95">
        <f t="shared" si="86"/>
        <v>0</v>
      </c>
      <c r="N103" s="95">
        <f t="shared" si="87"/>
        <v>0</v>
      </c>
      <c r="O103" s="419">
        <v>0</v>
      </c>
      <c r="P103" s="96">
        <f t="shared" si="88"/>
        <v>0</v>
      </c>
      <c r="Q103" s="95">
        <f t="shared" si="89"/>
        <v>0</v>
      </c>
      <c r="R103" s="131">
        <v>0</v>
      </c>
      <c r="S103" s="131">
        <v>0</v>
      </c>
      <c r="T103" s="131">
        <v>0</v>
      </c>
      <c r="U103" s="132">
        <f t="shared" si="41"/>
        <v>0</v>
      </c>
      <c r="V103" s="132">
        <f t="shared" si="42"/>
        <v>0</v>
      </c>
      <c r="W103" s="249"/>
      <c r="X103" s="249"/>
      <c r="Y103" s="132"/>
      <c r="Z103" s="249"/>
      <c r="AA103" s="249"/>
      <c r="AB103" s="132"/>
      <c r="AC103" s="249"/>
      <c r="AD103" s="249"/>
      <c r="AE103" s="132"/>
      <c r="AF103" s="249"/>
      <c r="AG103" s="249"/>
      <c r="AH103" s="132"/>
      <c r="AI103" s="249"/>
      <c r="AJ103" s="249"/>
      <c r="AK103" s="132"/>
      <c r="AL103" s="249"/>
      <c r="AM103" s="249"/>
      <c r="AN103" s="249"/>
      <c r="AO103" s="249"/>
      <c r="AP103" s="132"/>
      <c r="AQ103" s="249"/>
      <c r="AR103" s="249"/>
      <c r="AS103" s="132"/>
      <c r="AT103" s="249"/>
      <c r="AU103" s="249"/>
      <c r="AV103" s="132"/>
      <c r="AW103" s="249"/>
    </row>
    <row r="104" spans="1:49" ht="19.5" hidden="1" x14ac:dyDescent="0.3">
      <c r="A104" s="201"/>
      <c r="B104" s="129" t="s">
        <v>130</v>
      </c>
      <c r="C104" s="202">
        <f t="shared" si="82"/>
        <v>0</v>
      </c>
      <c r="D104" s="203">
        <f t="shared" si="83"/>
        <v>0</v>
      </c>
      <c r="E104" s="216">
        <v>0</v>
      </c>
      <c r="F104" s="216">
        <v>0</v>
      </c>
      <c r="G104" s="216">
        <v>0</v>
      </c>
      <c r="H104" s="216">
        <v>0</v>
      </c>
      <c r="I104" s="216">
        <v>0</v>
      </c>
      <c r="J104" s="93">
        <f t="shared" si="84"/>
        <v>0</v>
      </c>
      <c r="K104" s="94">
        <f t="shared" si="85"/>
        <v>0</v>
      </c>
      <c r="L104" s="216">
        <v>0</v>
      </c>
      <c r="M104" s="95">
        <f t="shared" si="86"/>
        <v>0</v>
      </c>
      <c r="N104" s="95">
        <f t="shared" si="87"/>
        <v>0</v>
      </c>
      <c r="O104" s="419">
        <v>0</v>
      </c>
      <c r="P104" s="96">
        <f t="shared" si="88"/>
        <v>0</v>
      </c>
      <c r="Q104" s="95">
        <f t="shared" si="89"/>
        <v>0</v>
      </c>
      <c r="R104" s="130">
        <v>0</v>
      </c>
      <c r="S104" s="130">
        <v>0</v>
      </c>
      <c r="T104" s="130">
        <v>0</v>
      </c>
      <c r="U104" s="95">
        <f t="shared" si="41"/>
        <v>0</v>
      </c>
      <c r="V104" s="95">
        <f t="shared" si="42"/>
        <v>0</v>
      </c>
      <c r="W104" s="364"/>
      <c r="X104" s="364"/>
      <c r="Y104" s="364"/>
      <c r="Z104" s="364"/>
      <c r="AA104" s="364"/>
      <c r="AB104" s="364"/>
      <c r="AC104" s="364"/>
      <c r="AD104" s="364"/>
      <c r="AE104" s="364"/>
      <c r="AF104" s="364"/>
      <c r="AG104" s="364"/>
      <c r="AH104" s="364"/>
      <c r="AI104" s="364"/>
      <c r="AJ104" s="364"/>
      <c r="AK104" s="364"/>
      <c r="AL104" s="364"/>
      <c r="AM104" s="364"/>
      <c r="AN104" s="364"/>
      <c r="AO104" s="364"/>
      <c r="AP104" s="364"/>
      <c r="AQ104" s="364"/>
      <c r="AR104" s="364"/>
      <c r="AS104" s="364"/>
      <c r="AT104" s="364"/>
      <c r="AU104" s="364"/>
      <c r="AV104" s="364"/>
      <c r="AW104" s="364"/>
    </row>
    <row r="105" spans="1:49" ht="19.5" hidden="1" x14ac:dyDescent="0.3">
      <c r="A105" s="201"/>
      <c r="B105" s="133" t="s">
        <v>131</v>
      </c>
      <c r="C105" s="202">
        <f t="shared" si="82"/>
        <v>0</v>
      </c>
      <c r="D105" s="203">
        <f t="shared" si="83"/>
        <v>0</v>
      </c>
      <c r="E105" s="216">
        <v>0</v>
      </c>
      <c r="F105" s="216">
        <v>0</v>
      </c>
      <c r="G105" s="216">
        <v>0</v>
      </c>
      <c r="H105" s="216">
        <v>0</v>
      </c>
      <c r="I105" s="216">
        <v>0</v>
      </c>
      <c r="J105" s="93">
        <f t="shared" si="84"/>
        <v>0</v>
      </c>
      <c r="K105" s="94">
        <f t="shared" si="85"/>
        <v>0</v>
      </c>
      <c r="L105" s="216">
        <v>0</v>
      </c>
      <c r="M105" s="95">
        <f t="shared" si="86"/>
        <v>0</v>
      </c>
      <c r="N105" s="95">
        <f t="shared" si="87"/>
        <v>0</v>
      </c>
      <c r="O105" s="419">
        <v>0</v>
      </c>
      <c r="P105" s="96">
        <f t="shared" si="88"/>
        <v>0</v>
      </c>
      <c r="Q105" s="95">
        <f t="shared" si="89"/>
        <v>0</v>
      </c>
      <c r="R105" s="134">
        <v>0</v>
      </c>
      <c r="S105" s="134">
        <v>0</v>
      </c>
      <c r="T105" s="134">
        <v>0</v>
      </c>
      <c r="U105" s="135">
        <f t="shared" si="41"/>
        <v>0</v>
      </c>
      <c r="V105" s="135">
        <f t="shared" si="42"/>
        <v>0</v>
      </c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</row>
    <row r="106" spans="1:49" ht="19.5" hidden="1" x14ac:dyDescent="0.3">
      <c r="A106" s="205"/>
      <c r="B106" s="137" t="s">
        <v>132</v>
      </c>
      <c r="C106" s="206">
        <f t="shared" si="82"/>
        <v>0</v>
      </c>
      <c r="D106" s="207">
        <f t="shared" si="83"/>
        <v>0</v>
      </c>
      <c r="E106" s="217">
        <v>0</v>
      </c>
      <c r="F106" s="217">
        <v>0</v>
      </c>
      <c r="G106" s="217">
        <v>0</v>
      </c>
      <c r="H106" s="217">
        <v>0</v>
      </c>
      <c r="I106" s="217">
        <v>0</v>
      </c>
      <c r="J106" s="104">
        <f t="shared" si="84"/>
        <v>0</v>
      </c>
      <c r="K106" s="105">
        <f t="shared" si="85"/>
        <v>0</v>
      </c>
      <c r="L106" s="217">
        <v>0</v>
      </c>
      <c r="M106" s="106">
        <f t="shared" si="86"/>
        <v>0</v>
      </c>
      <c r="N106" s="106">
        <f t="shared" si="87"/>
        <v>0</v>
      </c>
      <c r="O106" s="420">
        <v>0</v>
      </c>
      <c r="P106" s="107">
        <f t="shared" si="88"/>
        <v>0</v>
      </c>
      <c r="Q106" s="106">
        <f t="shared" si="89"/>
        <v>0</v>
      </c>
      <c r="R106" s="138">
        <v>0</v>
      </c>
      <c r="S106" s="138">
        <v>0</v>
      </c>
      <c r="T106" s="138">
        <v>0</v>
      </c>
      <c r="U106" s="106">
        <f t="shared" si="41"/>
        <v>0</v>
      </c>
      <c r="V106" s="106">
        <f t="shared" si="42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</row>
  </sheetData>
  <mergeCells count="49">
    <mergeCell ref="AU3:AU4"/>
    <mergeCell ref="AV3:AV4"/>
    <mergeCell ref="AW3:AW4"/>
    <mergeCell ref="C4:G4"/>
    <mergeCell ref="H4:I4"/>
    <mergeCell ref="AF3:AG4"/>
    <mergeCell ref="AH3:AI4"/>
    <mergeCell ref="AJ3:AK4"/>
    <mergeCell ref="AL3:AM4"/>
    <mergeCell ref="AN3:AN4"/>
    <mergeCell ref="AO3:AO4"/>
    <mergeCell ref="AP3:AR4"/>
    <mergeCell ref="AC3:AE4"/>
    <mergeCell ref="J4:Q4"/>
    <mergeCell ref="T4:T6"/>
    <mergeCell ref="U4:U6"/>
    <mergeCell ref="AD5:AE5"/>
    <mergeCell ref="AS3:AS4"/>
    <mergeCell ref="AT3:AT4"/>
    <mergeCell ref="J5:K5"/>
    <mergeCell ref="L5:N5"/>
    <mergeCell ref="O5:Q5"/>
    <mergeCell ref="AF5:AG5"/>
    <mergeCell ref="AH5:AI5"/>
    <mergeCell ref="AJ5:AK5"/>
    <mergeCell ref="AL5:AM5"/>
    <mergeCell ref="AQ5:AR5"/>
    <mergeCell ref="AA5:AB5"/>
    <mergeCell ref="Z3:AB4"/>
    <mergeCell ref="R3:V3"/>
    <mergeCell ref="R4:R6"/>
    <mergeCell ref="S4:S6"/>
    <mergeCell ref="C2:Y2"/>
    <mergeCell ref="C3:Q3"/>
    <mergeCell ref="W3:Y4"/>
    <mergeCell ref="C5:C6"/>
    <mergeCell ref="D5:D6"/>
    <mergeCell ref="E5:E6"/>
    <mergeCell ref="F5:F6"/>
    <mergeCell ref="G5:G6"/>
    <mergeCell ref="X5:Y5"/>
    <mergeCell ref="V4:V6"/>
    <mergeCell ref="A31:B31"/>
    <mergeCell ref="A52:B52"/>
    <mergeCell ref="A74:B74"/>
    <mergeCell ref="A89:B89"/>
    <mergeCell ref="A2:B6"/>
    <mergeCell ref="A7:B7"/>
    <mergeCell ref="A13:B13"/>
  </mergeCells>
  <printOptions horizontalCentered="1"/>
  <pageMargins left="0.23622047244094491" right="0.23622047244094491" top="0.55118110236220474" bottom="0.55118110236220474" header="0" footer="0"/>
  <pageSetup paperSize="9" scale="45" fitToWidth="0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2" manualBreakCount="2">
    <brk id="22" max="1048575" man="1"/>
    <brk id="4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FF00"/>
    <outlinePr summaryBelow="0" summaryRight="0"/>
  </sheetPr>
  <dimension ref="A1:BZ106"/>
  <sheetViews>
    <sheetView view="pageBreakPreview" zoomScale="60" zoomScaleNormal="70" workbookViewId="0">
      <selection activeCell="L26" sqref="L26"/>
    </sheetView>
  </sheetViews>
  <sheetFormatPr defaultColWidth="12.5703125" defaultRowHeight="15.75" customHeight="1" x14ac:dyDescent="0.2"/>
  <cols>
    <col min="3" max="3" width="12" bestFit="1" customWidth="1"/>
    <col min="18" max="18" width="21" bestFit="1" customWidth="1"/>
    <col min="19" max="19" width="11" bestFit="1" customWidth="1"/>
    <col min="20" max="20" width="15" bestFit="1" customWidth="1"/>
    <col min="21" max="21" width="10.85546875" bestFit="1" customWidth="1"/>
    <col min="22" max="22" width="12" bestFit="1" customWidth="1"/>
    <col min="54" max="57" width="12.140625" customWidth="1"/>
    <col min="58" max="58" width="11.42578125" customWidth="1"/>
    <col min="59" max="67" width="12.140625" customWidth="1"/>
    <col min="68" max="68" width="10.7109375" customWidth="1"/>
    <col min="69" max="70" width="12.140625" customWidth="1"/>
    <col min="71" max="71" width="10.28515625" customWidth="1"/>
    <col min="72" max="72" width="12.140625" customWidth="1"/>
    <col min="73" max="73" width="11.42578125" customWidth="1"/>
    <col min="74" max="74" width="10.85546875" customWidth="1"/>
    <col min="75" max="75" width="9" customWidth="1"/>
    <col min="76" max="76" width="12.140625" customWidth="1"/>
    <col min="77" max="77" width="9.42578125" bestFit="1" customWidth="1"/>
    <col min="78" max="78" width="12.140625" customWidth="1"/>
  </cols>
  <sheetData>
    <row r="1" spans="1:78" ht="15.75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4"/>
    </row>
    <row r="2" spans="1:78" ht="19.5" x14ac:dyDescent="0.2">
      <c r="A2" s="616" t="s">
        <v>1</v>
      </c>
      <c r="B2" s="617"/>
      <c r="C2" s="689" t="s">
        <v>243</v>
      </c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607"/>
    </row>
    <row r="3" spans="1:78" ht="19.5" x14ac:dyDescent="0.2">
      <c r="A3" s="618"/>
      <c r="B3" s="619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584" t="s">
        <v>4</v>
      </c>
      <c r="S3" s="585"/>
      <c r="T3" s="585"/>
      <c r="U3" s="585"/>
      <c r="V3" s="585"/>
      <c r="W3" s="696" t="s">
        <v>244</v>
      </c>
      <c r="X3" s="585"/>
      <c r="Y3" s="607"/>
      <c r="Z3" s="699" t="s">
        <v>245</v>
      </c>
      <c r="AA3" s="585"/>
      <c r="AB3" s="607"/>
      <c r="AC3" s="700" t="s">
        <v>246</v>
      </c>
      <c r="AD3" s="598"/>
      <c r="AE3" s="598"/>
      <c r="AF3" s="598"/>
      <c r="AG3" s="598"/>
      <c r="AH3" s="598"/>
      <c r="AI3" s="598"/>
      <c r="AJ3" s="598"/>
      <c r="AK3" s="583"/>
      <c r="AL3" s="701" t="s">
        <v>247</v>
      </c>
      <c r="AM3" s="585"/>
      <c r="AN3" s="585"/>
      <c r="AO3" s="585"/>
      <c r="AP3" s="585"/>
      <c r="AQ3" s="585"/>
      <c r="AR3" s="585"/>
      <c r="AS3" s="585"/>
      <c r="AT3" s="585"/>
      <c r="AU3" s="585"/>
      <c r="AV3" s="607"/>
      <c r="AW3" s="701" t="s">
        <v>248</v>
      </c>
      <c r="AX3" s="585"/>
      <c r="AY3" s="585"/>
      <c r="AZ3" s="585"/>
      <c r="BA3" s="607"/>
      <c r="BB3" s="681" t="s">
        <v>249</v>
      </c>
      <c r="BC3" s="598"/>
      <c r="BD3" s="598"/>
      <c r="BE3" s="598"/>
      <c r="BF3" s="598"/>
      <c r="BG3" s="598"/>
      <c r="BH3" s="598"/>
      <c r="BI3" s="598"/>
      <c r="BJ3" s="598"/>
      <c r="BK3" s="598"/>
      <c r="BL3" s="598"/>
      <c r="BM3" s="598"/>
      <c r="BN3" s="598"/>
      <c r="BO3" s="598"/>
      <c r="BP3" s="598"/>
      <c r="BQ3" s="583"/>
      <c r="BR3" s="681" t="s">
        <v>250</v>
      </c>
      <c r="BS3" s="598"/>
      <c r="BT3" s="598"/>
      <c r="BU3" s="598"/>
      <c r="BV3" s="598"/>
      <c r="BW3" s="598"/>
      <c r="BX3" s="598"/>
      <c r="BY3" s="598"/>
      <c r="BZ3" s="583"/>
    </row>
    <row r="4" spans="1:78" ht="15.75" customHeight="1" x14ac:dyDescent="0.3">
      <c r="A4" s="618"/>
      <c r="B4" s="619"/>
      <c r="C4" s="609" t="s">
        <v>7</v>
      </c>
      <c r="D4" s="598"/>
      <c r="E4" s="598"/>
      <c r="F4" s="598"/>
      <c r="G4" s="583"/>
      <c r="H4" s="612" t="s">
        <v>8</v>
      </c>
      <c r="I4" s="583"/>
      <c r="J4" s="613" t="s">
        <v>9</v>
      </c>
      <c r="K4" s="598"/>
      <c r="L4" s="598"/>
      <c r="M4" s="598"/>
      <c r="N4" s="598"/>
      <c r="O4" s="598"/>
      <c r="P4" s="598"/>
      <c r="Q4" s="583"/>
      <c r="R4" s="614" t="s">
        <v>10</v>
      </c>
      <c r="S4" s="615" t="s">
        <v>11</v>
      </c>
      <c r="T4" s="594" t="s">
        <v>12</v>
      </c>
      <c r="U4" s="752" t="s">
        <v>13</v>
      </c>
      <c r="V4" s="752" t="s">
        <v>14</v>
      </c>
      <c r="W4" s="641"/>
      <c r="X4" s="592"/>
      <c r="Y4" s="593"/>
      <c r="Z4" s="592"/>
      <c r="AA4" s="592"/>
      <c r="AB4" s="593"/>
      <c r="AC4" s="697" t="s">
        <v>179</v>
      </c>
      <c r="AD4" s="592"/>
      <c r="AE4" s="593"/>
      <c r="AF4" s="677" t="s">
        <v>251</v>
      </c>
      <c r="AG4" s="592"/>
      <c r="AH4" s="593"/>
      <c r="AI4" s="677" t="s">
        <v>252</v>
      </c>
      <c r="AJ4" s="592"/>
      <c r="AK4" s="593"/>
      <c r="AL4" s="702" t="s">
        <v>179</v>
      </c>
      <c r="AM4" s="592"/>
      <c r="AN4" s="593"/>
      <c r="AO4" s="697" t="s">
        <v>253</v>
      </c>
      <c r="AP4" s="593"/>
      <c r="AQ4" s="697" t="s">
        <v>254</v>
      </c>
      <c r="AR4" s="592"/>
      <c r="AS4" s="593"/>
      <c r="AT4" s="697" t="s">
        <v>255</v>
      </c>
      <c r="AU4" s="592"/>
      <c r="AV4" s="593"/>
      <c r="AW4" s="592"/>
      <c r="AX4" s="592"/>
      <c r="AY4" s="592"/>
      <c r="AZ4" s="592"/>
      <c r="BA4" s="593"/>
      <c r="BB4" s="698" t="s">
        <v>179</v>
      </c>
      <c r="BC4" s="592"/>
      <c r="BD4" s="592"/>
      <c r="BE4" s="592"/>
      <c r="BF4" s="592"/>
      <c r="BG4" s="593"/>
      <c r="BH4" s="697" t="s">
        <v>256</v>
      </c>
      <c r="BI4" s="592"/>
      <c r="BJ4" s="592"/>
      <c r="BK4" s="592"/>
      <c r="BL4" s="593"/>
      <c r="BM4" s="697" t="s">
        <v>257</v>
      </c>
      <c r="BN4" s="592"/>
      <c r="BO4" s="592"/>
      <c r="BP4" s="592"/>
      <c r="BQ4" s="593"/>
      <c r="BR4" s="702" t="s">
        <v>179</v>
      </c>
      <c r="BS4" s="592"/>
      <c r="BT4" s="593"/>
      <c r="BU4" s="697" t="s">
        <v>258</v>
      </c>
      <c r="BV4" s="592"/>
      <c r="BW4" s="593"/>
      <c r="BX4" s="697" t="s">
        <v>259</v>
      </c>
      <c r="BY4" s="592"/>
      <c r="BZ4" s="593"/>
    </row>
    <row r="5" spans="1:78" ht="15.75" customHeight="1" x14ac:dyDescent="0.3">
      <c r="A5" s="618"/>
      <c r="B5" s="619"/>
      <c r="C5" s="726" t="s">
        <v>19</v>
      </c>
      <c r="D5" s="727" t="s">
        <v>20</v>
      </c>
      <c r="E5" s="728" t="s">
        <v>21</v>
      </c>
      <c r="F5" s="729" t="s">
        <v>22</v>
      </c>
      <c r="G5" s="730" t="s">
        <v>23</v>
      </c>
      <c r="H5" s="6" t="s">
        <v>24</v>
      </c>
      <c r="I5" s="6" t="s">
        <v>25</v>
      </c>
      <c r="J5" s="589" t="s">
        <v>26</v>
      </c>
      <c r="K5" s="590"/>
      <c r="L5" s="591" t="s">
        <v>24</v>
      </c>
      <c r="M5" s="592"/>
      <c r="N5" s="593"/>
      <c r="O5" s="611" t="s">
        <v>25</v>
      </c>
      <c r="P5" s="592"/>
      <c r="Q5" s="593"/>
      <c r="R5" s="595"/>
      <c r="S5" s="595"/>
      <c r="T5" s="595"/>
      <c r="U5" s="753"/>
      <c r="V5" s="753"/>
      <c r="W5" s="439" t="s">
        <v>27</v>
      </c>
      <c r="X5" s="654" t="s">
        <v>28</v>
      </c>
      <c r="Y5" s="593"/>
      <c r="Z5" s="144" t="s">
        <v>27</v>
      </c>
      <c r="AA5" s="654" t="s">
        <v>28</v>
      </c>
      <c r="AB5" s="593"/>
      <c r="AC5" s="428" t="s">
        <v>27</v>
      </c>
      <c r="AD5" s="654" t="s">
        <v>28</v>
      </c>
      <c r="AE5" s="593"/>
      <c r="AF5" s="654" t="s">
        <v>28</v>
      </c>
      <c r="AG5" s="592"/>
      <c r="AH5" s="593"/>
      <c r="AI5" s="654" t="s">
        <v>28</v>
      </c>
      <c r="AJ5" s="592"/>
      <c r="AK5" s="593"/>
      <c r="AL5" s="440" t="s">
        <v>27</v>
      </c>
      <c r="AM5" s="654" t="s">
        <v>28</v>
      </c>
      <c r="AN5" s="593"/>
      <c r="AO5" s="654" t="s">
        <v>28</v>
      </c>
      <c r="AP5" s="593"/>
      <c r="AQ5" s="654" t="s">
        <v>28</v>
      </c>
      <c r="AR5" s="592"/>
      <c r="AS5" s="593"/>
      <c r="AT5" s="654" t="s">
        <v>28</v>
      </c>
      <c r="AU5" s="592"/>
      <c r="AV5" s="593"/>
      <c r="AW5" s="441" t="s">
        <v>27</v>
      </c>
      <c r="AX5" s="654" t="s">
        <v>28</v>
      </c>
      <c r="AY5" s="592"/>
      <c r="AZ5" s="592"/>
      <c r="BA5" s="593"/>
      <c r="BB5" s="698" t="s">
        <v>27</v>
      </c>
      <c r="BC5" s="593"/>
      <c r="BD5" s="654" t="s">
        <v>28</v>
      </c>
      <c r="BE5" s="592"/>
      <c r="BF5" s="592"/>
      <c r="BG5" s="593"/>
      <c r="BH5" s="698" t="s">
        <v>27</v>
      </c>
      <c r="BI5" s="593"/>
      <c r="BJ5" s="654" t="s">
        <v>28</v>
      </c>
      <c r="BK5" s="592"/>
      <c r="BL5" s="593"/>
      <c r="BM5" s="698" t="s">
        <v>27</v>
      </c>
      <c r="BN5" s="593"/>
      <c r="BO5" s="654" t="s">
        <v>28</v>
      </c>
      <c r="BP5" s="592"/>
      <c r="BQ5" s="593"/>
      <c r="BR5" s="441" t="s">
        <v>27</v>
      </c>
      <c r="BS5" s="654" t="s">
        <v>28</v>
      </c>
      <c r="BT5" s="593"/>
      <c r="BU5" s="654" t="s">
        <v>28</v>
      </c>
      <c r="BV5" s="592"/>
      <c r="BW5" s="593"/>
      <c r="BX5" s="654" t="s">
        <v>28</v>
      </c>
      <c r="BY5" s="592"/>
      <c r="BZ5" s="593"/>
    </row>
    <row r="6" spans="1:78" ht="46.5" customHeight="1" x14ac:dyDescent="0.3">
      <c r="A6" s="620"/>
      <c r="B6" s="621"/>
      <c r="C6" s="731"/>
      <c r="D6" s="732"/>
      <c r="E6" s="732"/>
      <c r="F6" s="732"/>
      <c r="G6" s="732"/>
      <c r="H6" s="6"/>
      <c r="I6" s="6"/>
      <c r="J6" s="739" t="s">
        <v>29</v>
      </c>
      <c r="K6" s="740" t="s">
        <v>30</v>
      </c>
      <c r="L6" s="739" t="s">
        <v>29</v>
      </c>
      <c r="M6" s="741" t="s">
        <v>31</v>
      </c>
      <c r="N6" s="742" t="s">
        <v>32</v>
      </c>
      <c r="O6" s="743" t="s">
        <v>29</v>
      </c>
      <c r="P6" s="741" t="s">
        <v>31</v>
      </c>
      <c r="Q6" s="742" t="s">
        <v>32</v>
      </c>
      <c r="R6" s="596"/>
      <c r="S6" s="596"/>
      <c r="T6" s="596"/>
      <c r="U6" s="732"/>
      <c r="V6" s="732"/>
      <c r="W6" s="442" t="s">
        <v>136</v>
      </c>
      <c r="X6" s="340" t="s">
        <v>136</v>
      </c>
      <c r="Y6" s="341" t="s">
        <v>30</v>
      </c>
      <c r="Z6" s="443" t="s">
        <v>148</v>
      </c>
      <c r="AA6" s="340" t="s">
        <v>148</v>
      </c>
      <c r="AB6" s="341" t="s">
        <v>30</v>
      </c>
      <c r="AC6" s="432" t="s">
        <v>136</v>
      </c>
      <c r="AD6" s="340" t="s">
        <v>136</v>
      </c>
      <c r="AE6" s="341" t="s">
        <v>30</v>
      </c>
      <c r="AF6" s="340" t="s">
        <v>34</v>
      </c>
      <c r="AG6" s="340" t="s">
        <v>33</v>
      </c>
      <c r="AH6" s="341" t="s">
        <v>136</v>
      </c>
      <c r="AI6" s="340" t="s">
        <v>34</v>
      </c>
      <c r="AJ6" s="340" t="s">
        <v>33</v>
      </c>
      <c r="AK6" s="341" t="s">
        <v>136</v>
      </c>
      <c r="AL6" s="444" t="s">
        <v>136</v>
      </c>
      <c r="AM6" s="340" t="s">
        <v>136</v>
      </c>
      <c r="AN6" s="341" t="s">
        <v>30</v>
      </c>
      <c r="AO6" s="340" t="s">
        <v>33</v>
      </c>
      <c r="AP6" s="340" t="s">
        <v>136</v>
      </c>
      <c r="AQ6" s="340" t="s">
        <v>34</v>
      </c>
      <c r="AR6" s="340" t="s">
        <v>33</v>
      </c>
      <c r="AS6" s="340" t="s">
        <v>136</v>
      </c>
      <c r="AT6" s="340" t="s">
        <v>34</v>
      </c>
      <c r="AU6" s="340" t="s">
        <v>33</v>
      </c>
      <c r="AV6" s="340" t="s">
        <v>136</v>
      </c>
      <c r="AW6" s="444" t="s">
        <v>136</v>
      </c>
      <c r="AX6" s="340" t="s">
        <v>34</v>
      </c>
      <c r="AY6" s="340" t="s">
        <v>33</v>
      </c>
      <c r="AZ6" s="340" t="s">
        <v>136</v>
      </c>
      <c r="BA6" s="340" t="s">
        <v>216</v>
      </c>
      <c r="BB6" s="440" t="s">
        <v>34</v>
      </c>
      <c r="BC6" s="440" t="s">
        <v>136</v>
      </c>
      <c r="BD6" s="208" t="s">
        <v>34</v>
      </c>
      <c r="BE6" s="208" t="s">
        <v>30</v>
      </c>
      <c r="BF6" s="208" t="s">
        <v>136</v>
      </c>
      <c r="BG6" s="208" t="s">
        <v>30</v>
      </c>
      <c r="BH6" s="440" t="s">
        <v>34</v>
      </c>
      <c r="BI6" s="440" t="s">
        <v>136</v>
      </c>
      <c r="BJ6" s="208" t="s">
        <v>34</v>
      </c>
      <c r="BK6" s="208" t="s">
        <v>33</v>
      </c>
      <c r="BL6" s="208" t="s">
        <v>136</v>
      </c>
      <c r="BM6" s="440" t="s">
        <v>34</v>
      </c>
      <c r="BN6" s="440" t="s">
        <v>136</v>
      </c>
      <c r="BO6" s="208" t="s">
        <v>34</v>
      </c>
      <c r="BP6" s="208" t="s">
        <v>33</v>
      </c>
      <c r="BQ6" s="208" t="s">
        <v>136</v>
      </c>
      <c r="BR6" s="440" t="s">
        <v>136</v>
      </c>
      <c r="BS6" s="208" t="s">
        <v>136</v>
      </c>
      <c r="BT6" s="208" t="s">
        <v>30</v>
      </c>
      <c r="BU6" s="208" t="s">
        <v>34</v>
      </c>
      <c r="BV6" s="208" t="s">
        <v>33</v>
      </c>
      <c r="BW6" s="208" t="s">
        <v>136</v>
      </c>
      <c r="BX6" s="208" t="s">
        <v>34</v>
      </c>
      <c r="BY6" s="208" t="s">
        <v>33</v>
      </c>
      <c r="BZ6" s="208" t="s">
        <v>136</v>
      </c>
    </row>
    <row r="7" spans="1:78" ht="21.75" customHeight="1" x14ac:dyDescent="0.3">
      <c r="A7" s="651" t="s">
        <v>289</v>
      </c>
      <c r="B7" s="629"/>
      <c r="C7" s="150">
        <f t="shared" ref="C7:C9" si="0">D7+G7</f>
        <v>0</v>
      </c>
      <c r="D7" s="151">
        <f t="shared" ref="D7:I7" si="1">D8+D9</f>
        <v>0</v>
      </c>
      <c r="E7" s="152">
        <f t="shared" si="1"/>
        <v>0</v>
      </c>
      <c r="F7" s="153">
        <f t="shared" si="1"/>
        <v>0</v>
      </c>
      <c r="G7" s="154">
        <f t="shared" si="1"/>
        <v>0</v>
      </c>
      <c r="H7" s="228">
        <f t="shared" si="1"/>
        <v>0</v>
      </c>
      <c r="I7" s="228">
        <f t="shared" si="1"/>
        <v>0</v>
      </c>
      <c r="J7" s="156">
        <f t="shared" ref="J7:J9" si="2">L7+O7</f>
        <v>0</v>
      </c>
      <c r="K7" s="157">
        <f t="shared" ref="K7:K9" si="3">IF(C7&gt;0,J7*100/C7,0)</f>
        <v>0</v>
      </c>
      <c r="L7" s="156">
        <f>L8+L9</f>
        <v>0</v>
      </c>
      <c r="M7" s="27">
        <f t="shared" ref="M7:M9" si="4">IF(D7&gt;0,L7*100/D7,0)</f>
        <v>0</v>
      </c>
      <c r="N7" s="27">
        <f t="shared" ref="N7:N9" si="5">IF(H7&gt;0,L7*100/H7,0)</f>
        <v>0</v>
      </c>
      <c r="O7" s="26">
        <f>O8+O9</f>
        <v>0</v>
      </c>
      <c r="P7" s="26">
        <f t="shared" ref="P7:P9" si="6">IF(G7&gt;0,O7*100/G7,0)</f>
        <v>0</v>
      </c>
      <c r="Q7" s="27">
        <f t="shared" ref="Q7:Q9" si="7">IF(I7&gt;0,O7*100/I7,0)</f>
        <v>0</v>
      </c>
      <c r="R7" s="27">
        <f t="shared" ref="R7:T7" ca="1" si="8">R8+R9</f>
        <v>1085630</v>
      </c>
      <c r="S7" s="27">
        <f t="shared" ca="1" si="8"/>
        <v>0</v>
      </c>
      <c r="T7" s="27">
        <f t="shared" ca="1" si="8"/>
        <v>3780</v>
      </c>
      <c r="U7" s="27">
        <f t="shared" ref="U7:U9" ca="1" si="9">IF(R7&gt;0,T7*100/R7,0)</f>
        <v>0.34818492488232639</v>
      </c>
      <c r="V7" s="27">
        <f t="shared" ref="V7:V9" ca="1" si="10">IF(S7&gt;0,T7*100/S7,0)</f>
        <v>0</v>
      </c>
      <c r="W7" s="445">
        <f t="shared" ref="W7:X7" ca="1" si="11">W8</f>
        <v>481</v>
      </c>
      <c r="X7" s="158">
        <f t="shared" ca="1" si="11"/>
        <v>0</v>
      </c>
      <c r="Y7" s="346">
        <f t="shared" ref="Y7:Y8" ca="1" si="12">IF(W7&gt;0,X7*100/W7,0)</f>
        <v>0</v>
      </c>
      <c r="Z7" s="446">
        <f t="shared" ref="Z7:AA7" ca="1" si="13">Z8</f>
        <v>339</v>
      </c>
      <c r="AA7" s="158">
        <f t="shared" ca="1" si="13"/>
        <v>10</v>
      </c>
      <c r="AB7" s="346">
        <f t="shared" ref="AB7:AB8" ca="1" si="14">IF(Z7&gt;0,AA7*100/Z7,0)</f>
        <v>2.9498525073746311</v>
      </c>
      <c r="AC7" s="434">
        <f t="shared" ref="AC7:AD7" ca="1" si="15">AC8</f>
        <v>3686</v>
      </c>
      <c r="AD7" s="158">
        <f t="shared" ca="1" si="15"/>
        <v>121.77</v>
      </c>
      <c r="AE7" s="346">
        <f t="shared" ref="AE7:AE8" ca="1" si="16">IF(AC7&gt;0,AD7*100/AC7,0)</f>
        <v>3.3035811177428105</v>
      </c>
      <c r="AF7" s="346">
        <f t="shared" ref="AF7:AM7" ca="1" si="17">AF8</f>
        <v>21</v>
      </c>
      <c r="AG7" s="346">
        <f t="shared" ca="1" si="17"/>
        <v>22</v>
      </c>
      <c r="AH7" s="346">
        <f t="shared" ca="1" si="17"/>
        <v>121.77</v>
      </c>
      <c r="AI7" s="346">
        <f t="shared" ca="1" si="17"/>
        <v>0</v>
      </c>
      <c r="AJ7" s="346">
        <f t="shared" ca="1" si="17"/>
        <v>0</v>
      </c>
      <c r="AK7" s="346">
        <f t="shared" ca="1" si="17"/>
        <v>0</v>
      </c>
      <c r="AL7" s="447">
        <f t="shared" ca="1" si="17"/>
        <v>4295</v>
      </c>
      <c r="AM7" s="158">
        <f t="shared" ca="1" si="17"/>
        <v>74.88</v>
      </c>
      <c r="AN7" s="346">
        <f t="shared" ref="AN7:AN8" ca="1" si="18">IF(AL7&gt;0,AM7*100/AL7,0)</f>
        <v>1.7434225844004656</v>
      </c>
      <c r="AO7" s="158">
        <f t="shared" ref="AO7:AZ7" ca="1" si="19">AO8</f>
        <v>0</v>
      </c>
      <c r="AP7" s="158">
        <f t="shared" ca="1" si="19"/>
        <v>0</v>
      </c>
      <c r="AQ7" s="158">
        <f t="shared" ca="1" si="19"/>
        <v>11</v>
      </c>
      <c r="AR7" s="158">
        <f t="shared" ca="1" si="19"/>
        <v>12</v>
      </c>
      <c r="AS7" s="158">
        <f t="shared" ca="1" si="19"/>
        <v>74.88</v>
      </c>
      <c r="AT7" s="158">
        <f t="shared" ca="1" si="19"/>
        <v>0</v>
      </c>
      <c r="AU7" s="158">
        <f t="shared" ca="1" si="19"/>
        <v>0</v>
      </c>
      <c r="AV7" s="158">
        <f t="shared" ca="1" si="19"/>
        <v>0</v>
      </c>
      <c r="AW7" s="447">
        <f t="shared" si="19"/>
        <v>0</v>
      </c>
      <c r="AX7" s="158">
        <f t="shared" ca="1" si="19"/>
        <v>35</v>
      </c>
      <c r="AY7" s="158">
        <f t="shared" ca="1" si="19"/>
        <v>40</v>
      </c>
      <c r="AZ7" s="158">
        <f t="shared" ca="1" si="19"/>
        <v>281.16000000000003</v>
      </c>
      <c r="BA7" s="346">
        <f t="shared" ref="BA7:BA8" si="20">IF(AW7&gt;0,AZ7*100/AW7,0)</f>
        <v>0</v>
      </c>
      <c r="BB7" s="447">
        <f t="shared" ref="BB7:BD7" ca="1" si="21">BB8</f>
        <v>401</v>
      </c>
      <c r="BC7" s="447">
        <f t="shared" ca="1" si="21"/>
        <v>4606</v>
      </c>
      <c r="BD7" s="158">
        <f t="shared" ca="1" si="21"/>
        <v>90</v>
      </c>
      <c r="BE7" s="346">
        <f t="shared" ref="BE7:BE8" ca="1" si="22">IF(BB7&gt;0,BD7*100/BB7,0)</f>
        <v>22.443890274314214</v>
      </c>
      <c r="BF7" s="158">
        <f ca="1">BF8</f>
        <v>883.5</v>
      </c>
      <c r="BG7" s="448">
        <f t="shared" ref="BG7:BG8" ca="1" si="23">IF(BC7&gt;0,BF7*100/BC7,0)</f>
        <v>19.181502388189319</v>
      </c>
      <c r="BH7" s="449">
        <f t="shared" ref="BH7:BS7" ca="1" si="24">BH8</f>
        <v>294</v>
      </c>
      <c r="BI7" s="449">
        <f t="shared" ca="1" si="24"/>
        <v>3534</v>
      </c>
      <c r="BJ7" s="158">
        <f t="shared" ca="1" si="24"/>
        <v>39</v>
      </c>
      <c r="BK7" s="158">
        <f t="shared" ca="1" si="24"/>
        <v>47</v>
      </c>
      <c r="BL7" s="450">
        <f t="shared" ca="1" si="24"/>
        <v>572.56000000000006</v>
      </c>
      <c r="BM7" s="449">
        <f t="shared" ca="1" si="24"/>
        <v>107</v>
      </c>
      <c r="BN7" s="449">
        <f t="shared" ca="1" si="24"/>
        <v>1072</v>
      </c>
      <c r="BO7" s="158">
        <f t="shared" ca="1" si="24"/>
        <v>51</v>
      </c>
      <c r="BP7" s="158">
        <f t="shared" ca="1" si="24"/>
        <v>60</v>
      </c>
      <c r="BQ7" s="158">
        <f t="shared" ca="1" si="24"/>
        <v>310.94</v>
      </c>
      <c r="BR7" s="447">
        <f t="shared" ca="1" si="24"/>
        <v>1361</v>
      </c>
      <c r="BS7" s="158">
        <f t="shared" ca="1" si="24"/>
        <v>80.61</v>
      </c>
      <c r="BT7" s="346">
        <f t="shared" ref="BT7:BT8" ca="1" si="25">IF(BR7&gt;0,BS7*100/BR7,0)</f>
        <v>5.9228508449669359</v>
      </c>
      <c r="BU7" s="158">
        <f t="shared" ref="BU7:BZ7" ca="1" si="26">BU8</f>
        <v>11</v>
      </c>
      <c r="BV7" s="158">
        <f t="shared" ca="1" si="26"/>
        <v>10</v>
      </c>
      <c r="BW7" s="158">
        <f t="shared" ca="1" si="26"/>
        <v>80.61</v>
      </c>
      <c r="BX7" s="158">
        <f t="shared" ca="1" si="26"/>
        <v>0</v>
      </c>
      <c r="BY7" s="158">
        <f t="shared" ca="1" si="26"/>
        <v>0</v>
      </c>
      <c r="BZ7" s="158">
        <f t="shared" ca="1" si="26"/>
        <v>0</v>
      </c>
    </row>
    <row r="8" spans="1:78" ht="21.75" customHeight="1" x14ac:dyDescent="0.3">
      <c r="A8" s="31" t="s">
        <v>37</v>
      </c>
      <c r="B8" s="32"/>
      <c r="C8" s="161">
        <f t="shared" si="0"/>
        <v>0</v>
      </c>
      <c r="D8" s="161">
        <f t="shared" ref="D8:I8" si="27">+D13+D31+D52+D74</f>
        <v>0</v>
      </c>
      <c r="E8" s="161">
        <f t="shared" si="27"/>
        <v>0</v>
      </c>
      <c r="F8" s="161">
        <f t="shared" si="27"/>
        <v>0</v>
      </c>
      <c r="G8" s="161">
        <f t="shared" si="27"/>
        <v>0</v>
      </c>
      <c r="H8" s="161">
        <f t="shared" si="27"/>
        <v>0</v>
      </c>
      <c r="I8" s="161">
        <f t="shared" si="27"/>
        <v>0</v>
      </c>
      <c r="J8" s="161">
        <f t="shared" si="2"/>
        <v>0</v>
      </c>
      <c r="K8" s="162">
        <f t="shared" si="3"/>
        <v>0</v>
      </c>
      <c r="L8" s="161">
        <f>+L13+L31+L52+L74</f>
        <v>0</v>
      </c>
      <c r="M8" s="40">
        <f t="shared" si="4"/>
        <v>0</v>
      </c>
      <c r="N8" s="40">
        <f t="shared" si="5"/>
        <v>0</v>
      </c>
      <c r="O8" s="39">
        <f>+O13+O31+O52+O74</f>
        <v>0</v>
      </c>
      <c r="P8" s="39">
        <f t="shared" si="6"/>
        <v>0</v>
      </c>
      <c r="Q8" s="40">
        <f t="shared" si="7"/>
        <v>0</v>
      </c>
      <c r="R8" s="40">
        <f t="shared" ref="R8:T8" ca="1" si="28">+R13+R31+R52+R74</f>
        <v>988860</v>
      </c>
      <c r="S8" s="40">
        <f t="shared" ca="1" si="28"/>
        <v>0</v>
      </c>
      <c r="T8" s="40">
        <f t="shared" ca="1" si="28"/>
        <v>3780</v>
      </c>
      <c r="U8" s="40">
        <f t="shared" ca="1" si="9"/>
        <v>0.382258358109338</v>
      </c>
      <c r="V8" s="40">
        <f t="shared" ca="1" si="10"/>
        <v>0</v>
      </c>
      <c r="W8" s="347">
        <f t="shared" ref="W8:X8" ca="1" si="29">+W13+W31+W52+W74</f>
        <v>481</v>
      </c>
      <c r="X8" s="451">
        <f t="shared" ca="1" si="29"/>
        <v>0</v>
      </c>
      <c r="Y8" s="40">
        <f t="shared" ca="1" si="12"/>
        <v>0</v>
      </c>
      <c r="Z8" s="161">
        <f t="shared" ref="Z8:AA8" ca="1" si="30">+Z13+Z31+Z52+Z74</f>
        <v>339</v>
      </c>
      <c r="AA8" s="451">
        <f t="shared" ca="1" si="30"/>
        <v>10</v>
      </c>
      <c r="AB8" s="40">
        <f t="shared" ca="1" si="14"/>
        <v>2.9498525073746311</v>
      </c>
      <c r="AC8" s="161">
        <f t="shared" ref="AC8:AD8" ca="1" si="31">+AC13+AC31+AC52+AC74</f>
        <v>3686</v>
      </c>
      <c r="AD8" s="161">
        <f t="shared" ca="1" si="31"/>
        <v>121.77</v>
      </c>
      <c r="AE8" s="40">
        <f t="shared" ca="1" si="16"/>
        <v>3.3035811177428105</v>
      </c>
      <c r="AF8" s="40">
        <f t="shared" ref="AF8:AM8" ca="1" si="32">+AF13+AF31+AF52+AF74</f>
        <v>21</v>
      </c>
      <c r="AG8" s="40">
        <f t="shared" ca="1" si="32"/>
        <v>22</v>
      </c>
      <c r="AH8" s="40">
        <f t="shared" ca="1" si="32"/>
        <v>121.77</v>
      </c>
      <c r="AI8" s="40">
        <f t="shared" ca="1" si="32"/>
        <v>0</v>
      </c>
      <c r="AJ8" s="40">
        <f t="shared" ca="1" si="32"/>
        <v>0</v>
      </c>
      <c r="AK8" s="40">
        <f t="shared" ca="1" si="32"/>
        <v>0</v>
      </c>
      <c r="AL8" s="161">
        <f t="shared" ca="1" si="32"/>
        <v>4295</v>
      </c>
      <c r="AM8" s="161">
        <f t="shared" ca="1" si="32"/>
        <v>74.88</v>
      </c>
      <c r="AN8" s="40">
        <f t="shared" ca="1" si="18"/>
        <v>1.7434225844004656</v>
      </c>
      <c r="AO8" s="161">
        <f t="shared" ref="AO8:AZ8" ca="1" si="33">+AO13+AO31+AO52+AO74</f>
        <v>0</v>
      </c>
      <c r="AP8" s="161">
        <f t="shared" ca="1" si="33"/>
        <v>0</v>
      </c>
      <c r="AQ8" s="161">
        <f t="shared" ca="1" si="33"/>
        <v>11</v>
      </c>
      <c r="AR8" s="161">
        <f t="shared" ca="1" si="33"/>
        <v>12</v>
      </c>
      <c r="AS8" s="161">
        <f t="shared" ca="1" si="33"/>
        <v>74.88</v>
      </c>
      <c r="AT8" s="161">
        <f t="shared" ca="1" si="33"/>
        <v>0</v>
      </c>
      <c r="AU8" s="161">
        <f t="shared" ca="1" si="33"/>
        <v>0</v>
      </c>
      <c r="AV8" s="161">
        <f t="shared" ca="1" si="33"/>
        <v>0</v>
      </c>
      <c r="AW8" s="161">
        <f t="shared" si="33"/>
        <v>0</v>
      </c>
      <c r="AX8" s="451">
        <f t="shared" ca="1" si="33"/>
        <v>35</v>
      </c>
      <c r="AY8" s="451">
        <f t="shared" ca="1" si="33"/>
        <v>40</v>
      </c>
      <c r="AZ8" s="451">
        <f t="shared" ca="1" si="33"/>
        <v>281.16000000000003</v>
      </c>
      <c r="BA8" s="40">
        <f t="shared" si="20"/>
        <v>0</v>
      </c>
      <c r="BB8" s="161">
        <f t="shared" ref="BB8:BD8" ca="1" si="34">+BB13+BB31+BB52+BB74</f>
        <v>401</v>
      </c>
      <c r="BC8" s="161">
        <f t="shared" ca="1" si="34"/>
        <v>4606</v>
      </c>
      <c r="BD8" s="451">
        <f t="shared" ca="1" si="34"/>
        <v>90</v>
      </c>
      <c r="BE8" s="40">
        <f t="shared" ca="1" si="22"/>
        <v>22.443890274314214</v>
      </c>
      <c r="BF8" s="451">
        <f ca="1">+BF13+BF31+BF52+BF74</f>
        <v>883.5</v>
      </c>
      <c r="BG8" s="40">
        <f t="shared" ca="1" si="23"/>
        <v>19.181502388189319</v>
      </c>
      <c r="BH8" s="161">
        <f t="shared" ref="BH8:BS8" ca="1" si="35">+BH13+BH31+BH52+BH74</f>
        <v>294</v>
      </c>
      <c r="BI8" s="161">
        <f t="shared" ca="1" si="35"/>
        <v>3534</v>
      </c>
      <c r="BJ8" s="451">
        <f t="shared" ca="1" si="35"/>
        <v>39</v>
      </c>
      <c r="BK8" s="451">
        <f t="shared" ca="1" si="35"/>
        <v>47</v>
      </c>
      <c r="BL8" s="451">
        <f t="shared" ca="1" si="35"/>
        <v>572.56000000000006</v>
      </c>
      <c r="BM8" s="161">
        <f t="shared" ca="1" si="35"/>
        <v>107</v>
      </c>
      <c r="BN8" s="161">
        <f t="shared" ca="1" si="35"/>
        <v>1072</v>
      </c>
      <c r="BO8" s="451">
        <f t="shared" ca="1" si="35"/>
        <v>51</v>
      </c>
      <c r="BP8" s="451">
        <f t="shared" ca="1" si="35"/>
        <v>60</v>
      </c>
      <c r="BQ8" s="451">
        <f t="shared" ca="1" si="35"/>
        <v>310.94</v>
      </c>
      <c r="BR8" s="161">
        <f t="shared" ca="1" si="35"/>
        <v>1361</v>
      </c>
      <c r="BS8" s="161">
        <f t="shared" ca="1" si="35"/>
        <v>80.61</v>
      </c>
      <c r="BT8" s="40">
        <f t="shared" ca="1" si="25"/>
        <v>5.9228508449669359</v>
      </c>
      <c r="BU8" s="161">
        <f t="shared" ref="BU8:BZ8" ca="1" si="36">+BU13+BU31+BU52+BU74</f>
        <v>11</v>
      </c>
      <c r="BV8" s="161">
        <f t="shared" ca="1" si="36"/>
        <v>10</v>
      </c>
      <c r="BW8" s="161">
        <f t="shared" ca="1" si="36"/>
        <v>80.61</v>
      </c>
      <c r="BX8" s="161">
        <f t="shared" ca="1" si="36"/>
        <v>0</v>
      </c>
      <c r="BY8" s="161">
        <f t="shared" ca="1" si="36"/>
        <v>0</v>
      </c>
      <c r="BZ8" s="161">
        <f t="shared" ca="1" si="36"/>
        <v>0</v>
      </c>
    </row>
    <row r="9" spans="1:78" ht="21.75" customHeight="1" x14ac:dyDescent="0.3">
      <c r="A9" s="43" t="s">
        <v>38</v>
      </c>
      <c r="B9" s="44"/>
      <c r="C9" s="164">
        <f t="shared" si="0"/>
        <v>0</v>
      </c>
      <c r="D9" s="164">
        <f t="shared" ref="D9:I9" si="37">+D10+D11</f>
        <v>0</v>
      </c>
      <c r="E9" s="164">
        <f t="shared" si="37"/>
        <v>0</v>
      </c>
      <c r="F9" s="164">
        <f t="shared" si="37"/>
        <v>0</v>
      </c>
      <c r="G9" s="164">
        <f t="shared" si="37"/>
        <v>0</v>
      </c>
      <c r="H9" s="164">
        <f t="shared" si="37"/>
        <v>0</v>
      </c>
      <c r="I9" s="164">
        <f t="shared" si="37"/>
        <v>0</v>
      </c>
      <c r="J9" s="164">
        <f t="shared" si="2"/>
        <v>0</v>
      </c>
      <c r="K9" s="165">
        <f t="shared" si="3"/>
        <v>0</v>
      </c>
      <c r="L9" s="164">
        <f>+L10+L11</f>
        <v>0</v>
      </c>
      <c r="M9" s="51">
        <f t="shared" si="4"/>
        <v>0</v>
      </c>
      <c r="N9" s="51">
        <f t="shared" si="5"/>
        <v>0</v>
      </c>
      <c r="O9" s="50">
        <f>+O10+O11</f>
        <v>0</v>
      </c>
      <c r="P9" s="50">
        <f t="shared" si="6"/>
        <v>0</v>
      </c>
      <c r="Q9" s="51">
        <f t="shared" si="7"/>
        <v>0</v>
      </c>
      <c r="R9" s="51">
        <f ca="1">IFERROR(__xludf.DUMMYFUNCTION("IMPORTRANGE(""https://docs.google.com/spreadsheets/d/1ItG2mGa2ceCfYo0BwxsXqNm01IGEUdYcSSLTEv9YCik/edit?usp=sharing"",""เบิกจ่ายกองทุน!I11"")"),96770)</f>
        <v>96770</v>
      </c>
      <c r="S9" s="51">
        <f ca="1">IFERROR(__xludf.DUMMYFUNCTION("IMPORTRANGE(""https://docs.google.com/spreadsheets/d/1ItG2mGa2ceCfYo0BwxsXqNm01IGEUdYcSSLTEv9YCik/edit?usp=sharing"",""เบิกจ่ายกองทุน!J11"")"),0)</f>
        <v>0</v>
      </c>
      <c r="T9" s="51">
        <f ca="1">IFERROR(__xludf.DUMMYFUNCTION("IMPORTRANGE(""https://docs.google.com/spreadsheets/d/1ItG2mGa2ceCfYo0BwxsXqNm01IGEUdYcSSLTEv9YCik/edit?usp=sharing"",""เบิกจ่ายกองทุน!K11"")"),0)</f>
        <v>0</v>
      </c>
      <c r="U9" s="51">
        <f t="shared" ca="1" si="9"/>
        <v>0</v>
      </c>
      <c r="V9" s="51">
        <f t="shared" ca="1" si="10"/>
        <v>0</v>
      </c>
      <c r="W9" s="293"/>
      <c r="X9" s="196"/>
      <c r="Y9" s="349"/>
      <c r="Z9" s="196"/>
      <c r="AA9" s="196"/>
      <c r="AB9" s="349"/>
      <c r="AC9" s="196"/>
      <c r="AD9" s="196"/>
      <c r="AE9" s="349"/>
      <c r="AF9" s="349"/>
      <c r="AG9" s="349"/>
      <c r="AH9" s="349"/>
      <c r="AI9" s="349"/>
      <c r="AJ9" s="349"/>
      <c r="AK9" s="349"/>
      <c r="AL9" s="196"/>
      <c r="AM9" s="196"/>
      <c r="AN9" s="349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51"/>
      <c r="BB9" s="196"/>
      <c r="BC9" s="196"/>
      <c r="BD9" s="196"/>
      <c r="BE9" s="51"/>
      <c r="BF9" s="196"/>
      <c r="BG9" s="51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51"/>
      <c r="BU9" s="196"/>
      <c r="BV9" s="196"/>
      <c r="BW9" s="196"/>
      <c r="BX9" s="196"/>
      <c r="BY9" s="196"/>
      <c r="BZ9" s="196"/>
    </row>
    <row r="10" spans="1:78" ht="21.75" hidden="1" customHeight="1" x14ac:dyDescent="0.3">
      <c r="A10" s="54"/>
      <c r="B10" s="55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62"/>
      <c r="S10" s="62"/>
      <c r="T10" s="62"/>
      <c r="U10" s="62"/>
      <c r="V10" s="62"/>
      <c r="W10" s="350"/>
      <c r="X10" s="351"/>
      <c r="Y10" s="352"/>
      <c r="Z10" s="351"/>
      <c r="AA10" s="351"/>
      <c r="AB10" s="352"/>
      <c r="AC10" s="351"/>
      <c r="AD10" s="351"/>
      <c r="AE10" s="352"/>
      <c r="AF10" s="352"/>
      <c r="AG10" s="352"/>
      <c r="AH10" s="352"/>
      <c r="AI10" s="352"/>
      <c r="AJ10" s="352"/>
      <c r="AK10" s="352"/>
      <c r="AL10" s="351"/>
      <c r="AM10" s="351"/>
      <c r="AN10" s="352"/>
      <c r="AO10" s="351"/>
      <c r="AP10" s="351"/>
      <c r="AQ10" s="351"/>
      <c r="AR10" s="351"/>
      <c r="AS10" s="351"/>
      <c r="AT10" s="351"/>
      <c r="AU10" s="351"/>
      <c r="AV10" s="351"/>
      <c r="AW10" s="351"/>
      <c r="AX10" s="351"/>
      <c r="AY10" s="351"/>
      <c r="AZ10" s="351"/>
      <c r="BA10" s="62"/>
      <c r="BB10" s="351"/>
      <c r="BC10" s="351"/>
      <c r="BD10" s="351"/>
      <c r="BE10" s="62"/>
      <c r="BF10" s="351"/>
      <c r="BG10" s="62"/>
      <c r="BH10" s="351"/>
      <c r="BI10" s="351"/>
      <c r="BJ10" s="351"/>
      <c r="BK10" s="351"/>
      <c r="BL10" s="351"/>
      <c r="BM10" s="351"/>
      <c r="BN10" s="351"/>
      <c r="BO10" s="351"/>
      <c r="BP10" s="351"/>
      <c r="BQ10" s="351"/>
      <c r="BR10" s="351"/>
      <c r="BS10" s="351"/>
      <c r="BT10" s="62"/>
      <c r="BU10" s="351"/>
      <c r="BV10" s="351"/>
      <c r="BW10" s="351"/>
      <c r="BX10" s="351"/>
      <c r="BY10" s="351"/>
      <c r="BZ10" s="351"/>
    </row>
    <row r="11" spans="1:78" ht="21.75" hidden="1" customHeight="1" x14ac:dyDescent="0.3">
      <c r="A11" s="65"/>
      <c r="B11" s="55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62"/>
      <c r="S11" s="62"/>
      <c r="T11" s="62"/>
      <c r="U11" s="62"/>
      <c r="V11" s="62"/>
      <c r="W11" s="350"/>
      <c r="X11" s="351"/>
      <c r="Y11" s="352"/>
      <c r="Z11" s="351"/>
      <c r="AA11" s="351"/>
      <c r="AB11" s="352"/>
      <c r="AC11" s="351"/>
      <c r="AD11" s="351"/>
      <c r="AE11" s="352"/>
      <c r="AF11" s="352"/>
      <c r="AG11" s="352"/>
      <c r="AH11" s="352"/>
      <c r="AI11" s="352"/>
      <c r="AJ11" s="352"/>
      <c r="AK11" s="352"/>
      <c r="AL11" s="351"/>
      <c r="AM11" s="351"/>
      <c r="AN11" s="352"/>
      <c r="AO11" s="351"/>
      <c r="AP11" s="351"/>
      <c r="AQ11" s="351"/>
      <c r="AR11" s="351"/>
      <c r="AS11" s="351"/>
      <c r="AT11" s="351"/>
      <c r="AU11" s="351"/>
      <c r="AV11" s="351"/>
      <c r="AW11" s="351"/>
      <c r="AX11" s="351"/>
      <c r="AY11" s="351"/>
      <c r="AZ11" s="351"/>
      <c r="BA11" s="62"/>
      <c r="BB11" s="351"/>
      <c r="BC11" s="351"/>
      <c r="BD11" s="351"/>
      <c r="BE11" s="62"/>
      <c r="BF11" s="351"/>
      <c r="BG11" s="62"/>
      <c r="BH11" s="351"/>
      <c r="BI11" s="351"/>
      <c r="BJ11" s="351"/>
      <c r="BK11" s="351"/>
      <c r="BL11" s="351"/>
      <c r="BM11" s="351"/>
      <c r="BN11" s="351"/>
      <c r="BO11" s="351"/>
      <c r="BP11" s="351"/>
      <c r="BQ11" s="351"/>
      <c r="BR11" s="351"/>
      <c r="BS11" s="351"/>
      <c r="BT11" s="62"/>
      <c r="BU11" s="351"/>
      <c r="BV11" s="351"/>
      <c r="BW11" s="351"/>
      <c r="BX11" s="351"/>
      <c r="BY11" s="351"/>
      <c r="BZ11" s="351"/>
    </row>
    <row r="12" spans="1:78" ht="21.75" hidden="1" customHeight="1" x14ac:dyDescent="0.3">
      <c r="A12" s="54"/>
      <c r="B12" s="55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62"/>
      <c r="S12" s="62"/>
      <c r="T12" s="62"/>
      <c r="U12" s="62"/>
      <c r="V12" s="62"/>
      <c r="W12" s="436"/>
      <c r="X12" s="168"/>
      <c r="Y12" s="62"/>
      <c r="Z12" s="168"/>
      <c r="AA12" s="168"/>
      <c r="AB12" s="62"/>
      <c r="AC12" s="168"/>
      <c r="AD12" s="168"/>
      <c r="AE12" s="62"/>
      <c r="AF12" s="62"/>
      <c r="AG12" s="62"/>
      <c r="AH12" s="62"/>
      <c r="AI12" s="62"/>
      <c r="AJ12" s="62"/>
      <c r="AK12" s="62"/>
      <c r="AL12" s="168"/>
      <c r="AM12" s="168"/>
      <c r="AN12" s="62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62"/>
      <c r="BB12" s="168"/>
      <c r="BC12" s="168"/>
      <c r="BD12" s="168"/>
      <c r="BE12" s="62"/>
      <c r="BF12" s="168"/>
      <c r="BG12" s="62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62"/>
      <c r="BU12" s="168"/>
      <c r="BV12" s="168"/>
      <c r="BW12" s="168"/>
      <c r="BX12" s="168"/>
      <c r="BY12" s="168"/>
      <c r="BZ12" s="168"/>
    </row>
    <row r="13" spans="1:78" ht="21.75" customHeight="1" x14ac:dyDescent="0.3">
      <c r="A13" s="624" t="s">
        <v>39</v>
      </c>
      <c r="B13" s="583"/>
      <c r="C13" s="161">
        <f t="shared" ref="C13:C88" si="38">D13+G13</f>
        <v>0</v>
      </c>
      <c r="D13" s="161">
        <f t="shared" ref="D13:I13" si="39">SUM(D14:D30)</f>
        <v>0</v>
      </c>
      <c r="E13" s="161">
        <f t="shared" si="39"/>
        <v>0</v>
      </c>
      <c r="F13" s="161">
        <f t="shared" si="39"/>
        <v>0</v>
      </c>
      <c r="G13" s="161">
        <f t="shared" si="39"/>
        <v>0</v>
      </c>
      <c r="H13" s="161">
        <f t="shared" si="39"/>
        <v>0</v>
      </c>
      <c r="I13" s="161">
        <f t="shared" si="39"/>
        <v>0</v>
      </c>
      <c r="J13" s="161">
        <f t="shared" ref="J13:J88" si="40">L13+O13</f>
        <v>0</v>
      </c>
      <c r="K13" s="162">
        <f t="shared" ref="K13:K88" si="41">IF(C13&gt;0,J13*100/C13,0)</f>
        <v>0</v>
      </c>
      <c r="L13" s="161">
        <f>SUM(L14:L30)</f>
        <v>0</v>
      </c>
      <c r="M13" s="40">
        <f t="shared" ref="M13:M88" si="42">IF(D13&gt;0,L13*100/D13,0)</f>
        <v>0</v>
      </c>
      <c r="N13" s="40">
        <f t="shared" ref="N13:N88" si="43">IF(H13&gt;0,L13*100/H13,0)</f>
        <v>0</v>
      </c>
      <c r="O13" s="39">
        <f>SUM(O14:O30)</f>
        <v>0</v>
      </c>
      <c r="P13" s="39">
        <f t="shared" ref="P13:P88" si="44">IF(G13&gt;0,O13*100/G13,0)</f>
        <v>0</v>
      </c>
      <c r="Q13" s="40">
        <f t="shared" ref="Q13:Q88" si="45">IF(I13&gt;0,O13*100/I13,0)</f>
        <v>0</v>
      </c>
      <c r="R13" s="40">
        <f t="shared" ref="R13:T13" ca="1" si="46">SUM(R14:R30)</f>
        <v>389440</v>
      </c>
      <c r="S13" s="40">
        <f t="shared" ca="1" si="46"/>
        <v>0</v>
      </c>
      <c r="T13" s="40">
        <f t="shared" ca="1" si="46"/>
        <v>2680</v>
      </c>
      <c r="U13" s="40">
        <f t="shared" ref="U13:U106" ca="1" si="47">IF(R13&gt;0,T13*100/R13,0)</f>
        <v>0.6881676253081348</v>
      </c>
      <c r="V13" s="40">
        <f t="shared" ref="V13:V106" ca="1" si="48">IF(S13&gt;0,T13*100/S13,0)</f>
        <v>0</v>
      </c>
      <c r="W13" s="347">
        <f t="shared" ref="W13:X13" ca="1" si="49">SUM(W14:W30)</f>
        <v>0</v>
      </c>
      <c r="X13" s="451">
        <f t="shared" ca="1" si="49"/>
        <v>0</v>
      </c>
      <c r="Y13" s="40">
        <f t="shared" ref="Y13:Y88" ca="1" si="50">IF(W13&gt;0,X13*100/W13,0)</f>
        <v>0</v>
      </c>
      <c r="Z13" s="161">
        <f t="shared" ref="Z13:AA13" ca="1" si="51">SUM(Z14:Z30)</f>
        <v>103</v>
      </c>
      <c r="AA13" s="451">
        <f t="shared" ca="1" si="51"/>
        <v>0</v>
      </c>
      <c r="AB13" s="40">
        <f t="shared" ref="AB13:AB88" ca="1" si="52">IF(Z13&gt;0,AA13*100/Z13,0)</f>
        <v>0</v>
      </c>
      <c r="AC13" s="161">
        <f t="shared" ref="AC13:AD13" ca="1" si="53">SUM(AC14:AC30)</f>
        <v>2370</v>
      </c>
      <c r="AD13" s="161">
        <f t="shared" ca="1" si="53"/>
        <v>0</v>
      </c>
      <c r="AE13" s="40">
        <f t="shared" ref="AE13:AE88" ca="1" si="54">IF(AC13&gt;0,AD13*100/AC13,0)</f>
        <v>0</v>
      </c>
      <c r="AF13" s="40">
        <f t="shared" ref="AF13:AM13" ca="1" si="55">SUM(AF14:AF30)</f>
        <v>0</v>
      </c>
      <c r="AG13" s="40">
        <f t="shared" ca="1" si="55"/>
        <v>0</v>
      </c>
      <c r="AH13" s="40">
        <f t="shared" ca="1" si="55"/>
        <v>0</v>
      </c>
      <c r="AI13" s="40">
        <f t="shared" ca="1" si="55"/>
        <v>0</v>
      </c>
      <c r="AJ13" s="40">
        <f t="shared" ca="1" si="55"/>
        <v>0</v>
      </c>
      <c r="AK13" s="40">
        <f t="shared" ca="1" si="55"/>
        <v>0</v>
      </c>
      <c r="AL13" s="161">
        <f t="shared" ca="1" si="55"/>
        <v>2490</v>
      </c>
      <c r="AM13" s="161">
        <f t="shared" ca="1" si="55"/>
        <v>0</v>
      </c>
      <c r="AN13" s="40">
        <f t="shared" ref="AN13:AN88" ca="1" si="56">IF(AL13&gt;0,AM13*100/AL13,0)</f>
        <v>0</v>
      </c>
      <c r="AO13" s="161">
        <f t="shared" ref="AO13:AZ13" ca="1" si="57">SUM(AO14:AO30)</f>
        <v>0</v>
      </c>
      <c r="AP13" s="161">
        <f t="shared" ca="1" si="57"/>
        <v>0</v>
      </c>
      <c r="AQ13" s="161">
        <f t="shared" ca="1" si="57"/>
        <v>0</v>
      </c>
      <c r="AR13" s="161">
        <f t="shared" ca="1" si="57"/>
        <v>0</v>
      </c>
      <c r="AS13" s="161">
        <f t="shared" ca="1" si="57"/>
        <v>0</v>
      </c>
      <c r="AT13" s="161">
        <f t="shared" ca="1" si="57"/>
        <v>0</v>
      </c>
      <c r="AU13" s="161">
        <f t="shared" ca="1" si="57"/>
        <v>0</v>
      </c>
      <c r="AV13" s="161">
        <f t="shared" ca="1" si="57"/>
        <v>0</v>
      </c>
      <c r="AW13" s="161">
        <f t="shared" si="57"/>
        <v>0</v>
      </c>
      <c r="AX13" s="451">
        <f t="shared" ca="1" si="57"/>
        <v>0</v>
      </c>
      <c r="AY13" s="451">
        <f t="shared" ca="1" si="57"/>
        <v>0</v>
      </c>
      <c r="AZ13" s="451">
        <f t="shared" ca="1" si="57"/>
        <v>0</v>
      </c>
      <c r="BA13" s="40">
        <f t="shared" ref="BA13:BA88" si="58">IF(AW13&gt;0,AZ13*100/AW13,0)</f>
        <v>0</v>
      </c>
      <c r="BB13" s="161">
        <f t="shared" ref="BB13:BD13" ca="1" si="59">SUM(BB14:BB30)</f>
        <v>98</v>
      </c>
      <c r="BC13" s="161">
        <f t="shared" ca="1" si="59"/>
        <v>1629</v>
      </c>
      <c r="BD13" s="451">
        <f t="shared" ca="1" si="59"/>
        <v>4</v>
      </c>
      <c r="BE13" s="40">
        <f t="shared" ref="BE13:BE88" ca="1" si="60">IF(BB13&gt;0,BD13*100/BB13,0)</f>
        <v>4.0816326530612246</v>
      </c>
      <c r="BF13" s="451">
        <f ca="1">SUM(BF14:BF30)</f>
        <v>76.23</v>
      </c>
      <c r="BG13" s="40">
        <f t="shared" ref="BG13:BG88" ca="1" si="61">IF(BC13&gt;0,BF13*100/BC13,0)</f>
        <v>4.6795580110497239</v>
      </c>
      <c r="BH13" s="161">
        <f t="shared" ref="BH13:BS13" ca="1" si="62">SUM(BH14:BH30)</f>
        <v>86</v>
      </c>
      <c r="BI13" s="161">
        <f t="shared" ca="1" si="62"/>
        <v>1509</v>
      </c>
      <c r="BJ13" s="451">
        <f t="shared" ca="1" si="62"/>
        <v>4</v>
      </c>
      <c r="BK13" s="451">
        <f t="shared" ca="1" si="62"/>
        <v>4</v>
      </c>
      <c r="BL13" s="451">
        <f t="shared" ca="1" si="62"/>
        <v>76.23</v>
      </c>
      <c r="BM13" s="161">
        <f t="shared" ca="1" si="62"/>
        <v>12</v>
      </c>
      <c r="BN13" s="161">
        <f t="shared" ca="1" si="62"/>
        <v>120</v>
      </c>
      <c r="BO13" s="451">
        <f t="shared" ca="1" si="62"/>
        <v>0</v>
      </c>
      <c r="BP13" s="451">
        <f t="shared" ca="1" si="62"/>
        <v>0</v>
      </c>
      <c r="BQ13" s="451">
        <f t="shared" ca="1" si="62"/>
        <v>0</v>
      </c>
      <c r="BR13" s="161">
        <f t="shared" ca="1" si="62"/>
        <v>204</v>
      </c>
      <c r="BS13" s="161">
        <f t="shared" ca="1" si="62"/>
        <v>0</v>
      </c>
      <c r="BT13" s="40">
        <f t="shared" ref="BT13:BT88" ca="1" si="63">IF(BR13&gt;0,BS13*100/BR13,0)</f>
        <v>0</v>
      </c>
      <c r="BU13" s="161">
        <f t="shared" ref="BU13:BZ13" ca="1" si="64">SUM(BU14:BU30)</f>
        <v>0</v>
      </c>
      <c r="BV13" s="161">
        <f t="shared" ca="1" si="64"/>
        <v>0</v>
      </c>
      <c r="BW13" s="161">
        <f t="shared" ca="1" si="64"/>
        <v>0</v>
      </c>
      <c r="BX13" s="161">
        <f t="shared" ca="1" si="64"/>
        <v>0</v>
      </c>
      <c r="BY13" s="161">
        <f t="shared" ca="1" si="64"/>
        <v>0</v>
      </c>
      <c r="BZ13" s="161">
        <f t="shared" ca="1" si="64"/>
        <v>0</v>
      </c>
    </row>
    <row r="14" spans="1:78" ht="21.75" customHeight="1" x14ac:dyDescent="0.3">
      <c r="A14" s="77">
        <v>1</v>
      </c>
      <c r="B14" s="78" t="s">
        <v>40</v>
      </c>
      <c r="C14" s="174">
        <f t="shared" si="38"/>
        <v>0</v>
      </c>
      <c r="D14" s="175">
        <f t="shared" ref="D14:D30" si="65">+E14+F14</f>
        <v>0</v>
      </c>
      <c r="E14" s="403">
        <v>0</v>
      </c>
      <c r="F14" s="403">
        <v>0</v>
      </c>
      <c r="G14" s="219">
        <v>0</v>
      </c>
      <c r="H14" s="219">
        <v>0</v>
      </c>
      <c r="I14" s="219">
        <v>0</v>
      </c>
      <c r="J14" s="177">
        <f t="shared" si="40"/>
        <v>0</v>
      </c>
      <c r="K14" s="178">
        <f t="shared" si="41"/>
        <v>0</v>
      </c>
      <c r="L14" s="219">
        <v>0</v>
      </c>
      <c r="M14" s="87">
        <f t="shared" si="42"/>
        <v>0</v>
      </c>
      <c r="N14" s="87">
        <f t="shared" si="43"/>
        <v>0</v>
      </c>
      <c r="O14" s="403">
        <v>0</v>
      </c>
      <c r="P14" s="86">
        <f t="shared" si="44"/>
        <v>0</v>
      </c>
      <c r="Q14" s="87">
        <f t="shared" si="45"/>
        <v>0</v>
      </c>
      <c r="R14" s="87">
        <f ca="1">IFERROR(__xludf.DUMMYFUNCTION("IMPORTRANGE(""https://docs.google.com/spreadsheets/d/1jTcq05yEiRwXcBMLjiodW9e4biSGYWAHcDj22rKWQ3s/edit?usp=sharing"",""กำแพงเพชร!Q642"")"),2900)</f>
        <v>2900</v>
      </c>
      <c r="S14" s="87">
        <f ca="1">IFERROR(__xludf.DUMMYFUNCTION("IMPORTRANGE(""https://docs.google.com/spreadsheets/d/1jTcq05yEiRwXcBMLjiodW9e4biSGYWAHcDj22rKWQ3s/edit?usp=sharing"",""กำแพงเพชร!R642"")"),0)</f>
        <v>0</v>
      </c>
      <c r="T14" s="87">
        <f ca="1">IFERROR(__xludf.DUMMYFUNCTION("IMPORTRANGE(""https://docs.google.com/spreadsheets/d/1jTcq05yEiRwXcBMLjiodW9e4biSGYWAHcDj22rKWQ3s/edit?usp=sharing"",""กำแพงเพชร!S642"")"),0)</f>
        <v>0</v>
      </c>
      <c r="U14" s="87">
        <f t="shared" ca="1" si="47"/>
        <v>0</v>
      </c>
      <c r="V14" s="87">
        <f t="shared" ca="1" si="48"/>
        <v>0</v>
      </c>
      <c r="W14" s="353">
        <f ca="1">IFERROR(__xludf.DUMMYFUNCTION("IMPORTRANGE(""https://docs.google.com/spreadsheets/d/1jTcq05yEiRwXcBMLjiodW9e4biSGYWAHcDj22rKWQ3s/edit?usp=sharing"",""กำแพงเพชร!I652"")"),0)</f>
        <v>0</v>
      </c>
      <c r="X14" s="177">
        <f ca="1">IFERROR(__xludf.DUMMYFUNCTION("IMPORTRANGE(""https://docs.google.com/spreadsheets/d/1jTcq05yEiRwXcBMLjiodW9e4biSGYWAHcDj22rKWQ3s/edit?usp=sharing"",""กำแพงเพชร!J652"")"),0)</f>
        <v>0</v>
      </c>
      <c r="Y14" s="354">
        <f t="shared" ca="1" si="50"/>
        <v>0</v>
      </c>
      <c r="Z14" s="177">
        <f ca="1">IFERROR(__xludf.DUMMYFUNCTION("IMPORTRANGE(""https://docs.google.com/spreadsheets/d/1jTcq05yEiRwXcBMLjiodW9e4biSGYWAHcDj22rKWQ3s/edit?usp=sharing"",""กำแพงเพชร!I653"")"),0)</f>
        <v>0</v>
      </c>
      <c r="AA14" s="177">
        <f ca="1">IFERROR(__xludf.DUMMYFUNCTION("IMPORTRANGE(""https://docs.google.com/spreadsheets/d/1jTcq05yEiRwXcBMLjiodW9e4biSGYWAHcDj22rKWQ3s/edit?usp=sharing"",""กำแพงเพชร!J653"")"),0)</f>
        <v>0</v>
      </c>
      <c r="AB14" s="354">
        <f t="shared" ca="1" si="52"/>
        <v>0</v>
      </c>
      <c r="AC14" s="177">
        <f ca="1">IFERROR(__xludf.DUMMYFUNCTION("IMPORTRANGE(""https://docs.google.com/spreadsheets/d/1jTcq05yEiRwXcBMLjiodW9e4biSGYWAHcDj22rKWQ3s/edit?usp=sharing"",""กำแพงเพชร!I654"")"),83)</f>
        <v>83</v>
      </c>
      <c r="AD14" s="177">
        <f ca="1">IFERROR(__xludf.DUMMYFUNCTION("IMPORTRANGE(""https://docs.google.com/spreadsheets/d/1jTcq05yEiRwXcBMLjiodW9e4biSGYWAHcDj22rKWQ3s/edit?usp=sharing"",""กำแพงเพชร!J654"")"),0)</f>
        <v>0</v>
      </c>
      <c r="AE14" s="354">
        <f t="shared" ca="1" si="54"/>
        <v>0</v>
      </c>
      <c r="AF14" s="354">
        <f ca="1">IFERROR(__xludf.DUMMYFUNCTION("IMPORTRANGE(""https://docs.google.com/spreadsheets/d/1jTcq05yEiRwXcBMLjiodW9e4biSGYWAHcDj22rKWQ3s/edit?usp=sharing"",""กำแพงเพชร!J655"")"),0)</f>
        <v>0</v>
      </c>
      <c r="AG14" s="354">
        <f ca="1">IFERROR(__xludf.DUMMYFUNCTION("IMPORTRANGE(""https://docs.google.com/spreadsheets/d/1jTcq05yEiRwXcBMLjiodW9e4biSGYWAHcDj22rKWQ3s/edit?usp=sharing"",""กำแพงเพชร!J656"")"),0)</f>
        <v>0</v>
      </c>
      <c r="AH14" s="354">
        <f ca="1">IFERROR(__xludf.DUMMYFUNCTION("IMPORTRANGE(""https://docs.google.com/spreadsheets/d/1jTcq05yEiRwXcBMLjiodW9e4biSGYWAHcDj22rKWQ3s/edit?usp=sharing"",""กำแพงเพชร!J657"")"),0)</f>
        <v>0</v>
      </c>
      <c r="AI14" s="354">
        <f ca="1">IFERROR(__xludf.DUMMYFUNCTION("IMPORTRANGE(""https://docs.google.com/spreadsheets/d/1jTcq05yEiRwXcBMLjiodW9e4biSGYWAHcDj22rKWQ3s/edit?usp=sharing"",""กำแพงเพชร!J658"")"),0)</f>
        <v>0</v>
      </c>
      <c r="AJ14" s="354">
        <f ca="1">IFERROR(__xludf.DUMMYFUNCTION("IMPORTRANGE(""https://docs.google.com/spreadsheets/d/1jTcq05yEiRwXcBMLjiodW9e4biSGYWAHcDj22rKWQ3s/edit?usp=sharing"",""กำแพงเพชร!J659"")"),0)</f>
        <v>0</v>
      </c>
      <c r="AK14" s="354">
        <f ca="1">IFERROR(__xludf.DUMMYFUNCTION("IMPORTRANGE(""https://docs.google.com/spreadsheets/d/1jTcq05yEiRwXcBMLjiodW9e4biSGYWAHcDj22rKWQ3s/edit?usp=sharing"",""กำแพงเพชร!J660"")"),0)</f>
        <v>0</v>
      </c>
      <c r="AL14" s="177">
        <f ca="1">IFERROR(__xludf.DUMMYFUNCTION("IMPORTRANGE(""https://docs.google.com/spreadsheets/d/1jTcq05yEiRwXcBMLjiodW9e4biSGYWAHcDj22rKWQ3s/edit?usp=sharing"",""กำแพงเพชร!I661"")"),0)</f>
        <v>0</v>
      </c>
      <c r="AM14" s="177">
        <f ca="1">IFERROR(__xludf.DUMMYFUNCTION("IMPORTRANGE(""https://docs.google.com/spreadsheets/d/1jTcq05yEiRwXcBMLjiodW9e4biSGYWAHcDj22rKWQ3s/edit?usp=sharing"",""กำแพงเพชร!J661"")"),0)</f>
        <v>0</v>
      </c>
      <c r="AN14" s="354">
        <f t="shared" ca="1" si="56"/>
        <v>0</v>
      </c>
      <c r="AO14" s="177">
        <f ca="1">IFERROR(__xludf.DUMMYFUNCTION("IMPORTRANGE(""https://docs.google.com/spreadsheets/d/1jTcq05yEiRwXcBMLjiodW9e4biSGYWAHcDj22rKWQ3s/edit?usp=sharing"",""กำแพงเพชร!J662"")"),0)</f>
        <v>0</v>
      </c>
      <c r="AP14" s="177">
        <f ca="1">IFERROR(__xludf.DUMMYFUNCTION("IMPORTRANGE(""https://docs.google.com/spreadsheets/d/1jTcq05yEiRwXcBMLjiodW9e4biSGYWAHcDj22rKWQ3s/edit?usp=sharing"",""กำแพงเพชร!J663"")"),0)</f>
        <v>0</v>
      </c>
      <c r="AQ14" s="177">
        <f ca="1">IFERROR(__xludf.DUMMYFUNCTION("IMPORTRANGE(""https://docs.google.com/spreadsheets/d/1jTcq05yEiRwXcBMLjiodW9e4biSGYWAHcDj22rKWQ3s/edit?usp=sharing"",""กำแพงเพชร!J665"")"),0)</f>
        <v>0</v>
      </c>
      <c r="AR14" s="177">
        <f ca="1">IFERROR(__xludf.DUMMYFUNCTION("IMPORTRANGE(""https://docs.google.com/spreadsheets/d/1jTcq05yEiRwXcBMLjiodW9e4biSGYWAHcDj22rKWQ3s/edit?usp=sharing"",""กำแพงเพชร!J666"")"),0)</f>
        <v>0</v>
      </c>
      <c r="AS14" s="177">
        <f ca="1">IFERROR(__xludf.DUMMYFUNCTION("IMPORTRANGE(""https://docs.google.com/spreadsheets/d/1jTcq05yEiRwXcBMLjiodW9e4biSGYWAHcDj22rKWQ3s/edit?usp=sharing"",""กำแพงเพชร!J667"")"),0)</f>
        <v>0</v>
      </c>
      <c r="AT14" s="177">
        <f ca="1">IFERROR(__xludf.DUMMYFUNCTION("IMPORTRANGE(""https://docs.google.com/spreadsheets/d/1jTcq05yEiRwXcBMLjiodW9e4biSGYWAHcDj22rKWQ3s/edit?usp=sharing"",""กำแพงเพชร!J668"")"),0)</f>
        <v>0</v>
      </c>
      <c r="AU14" s="177">
        <f ca="1">IFERROR(__xludf.DUMMYFUNCTION("IMPORTRANGE(""https://docs.google.com/spreadsheets/d/1jTcq05yEiRwXcBMLjiodW9e4biSGYWAHcDj22rKWQ3s/edit?usp=sharing"",""กำแพงเพชร!J669"")"),0)</f>
        <v>0</v>
      </c>
      <c r="AV14" s="177">
        <f ca="1">IFERROR(__xludf.DUMMYFUNCTION("IMPORTRANGE(""https://docs.google.com/spreadsheets/d/1jTcq05yEiRwXcBMLjiodW9e4biSGYWAHcDj22rKWQ3s/edit?usp=sharing"",""กำแพงเพชร!J670"")"),0)</f>
        <v>0</v>
      </c>
      <c r="AW14" s="177">
        <v>0</v>
      </c>
      <c r="AX14" s="177">
        <f ca="1">IFERROR(__xludf.DUMMYFUNCTION("IMPORTRANGE(""https://docs.google.com/spreadsheets/d/1jTcq05yEiRwXcBMLjiodW9e4biSGYWAHcDj22rKWQ3s/edit?usp=sharing"",""กำแพงเพชร!J671"")"),0)</f>
        <v>0</v>
      </c>
      <c r="AY14" s="177">
        <f ca="1">IFERROR(__xludf.DUMMYFUNCTION("IMPORTRANGE(""https://docs.google.com/spreadsheets/d/1jTcq05yEiRwXcBMLjiodW9e4biSGYWAHcDj22rKWQ3s/edit?usp=sharing"",""กำแพงเพชร!J672"")"),0)</f>
        <v>0</v>
      </c>
      <c r="AZ14" s="177">
        <f ca="1">IFERROR(__xludf.DUMMYFUNCTION("IMPORTRANGE(""https://docs.google.com/spreadsheets/d/1jTcq05yEiRwXcBMLjiodW9e4biSGYWAHcDj22rKWQ3s/edit?usp=sharing"",""กำแพงเพชร!J673"")"),0)</f>
        <v>0</v>
      </c>
      <c r="BA14" s="354">
        <f t="shared" si="58"/>
        <v>0</v>
      </c>
      <c r="BB14" s="177">
        <f ca="1">IFERROR(__xludf.DUMMYFUNCTION("IMPORTRANGE(""https://docs.google.com/spreadsheets/d/1jTcq05yEiRwXcBMLjiodW9e4biSGYWAHcDj22rKWQ3s/edit?usp=sharing"",""กำแพงเพชร!I674"")"),2)</f>
        <v>2</v>
      </c>
      <c r="BC14" s="177">
        <f ca="1">IFERROR(__xludf.DUMMYFUNCTION("IMPORTRANGE(""https://docs.google.com/spreadsheets/d/1jTcq05yEiRwXcBMLjiodW9e4biSGYWAHcDj22rKWQ3s/edit?usp=sharing"",""กำแพงเพชร!I675"")"),59)</f>
        <v>59</v>
      </c>
      <c r="BD14" s="177">
        <f ca="1">IFERROR(__xludf.DUMMYFUNCTION("IMPORTRANGE(""https://docs.google.com/spreadsheets/d/1jTcq05yEiRwXcBMLjiodW9e4biSGYWAHcDj22rKWQ3s/edit?usp=sharing"",""กำแพงเพชร!J674"")"),0)</f>
        <v>0</v>
      </c>
      <c r="BE14" s="354">
        <f t="shared" ca="1" si="60"/>
        <v>0</v>
      </c>
      <c r="BF14" s="177">
        <f ca="1">IFERROR(__xludf.DUMMYFUNCTION("IMPORTRANGE(""https://docs.google.com/spreadsheets/d/1jTcq05yEiRwXcBMLjiodW9e4biSGYWAHcDj22rKWQ3s/edit?usp=sharing"",""กำแพงเพชร!J675"")"),0)</f>
        <v>0</v>
      </c>
      <c r="BG14" s="354">
        <f t="shared" ca="1" si="61"/>
        <v>0</v>
      </c>
      <c r="BH14" s="177">
        <f ca="1">IFERROR(__xludf.DUMMYFUNCTION("IMPORTRANGE(""https://docs.google.com/spreadsheets/d/1jTcq05yEiRwXcBMLjiodW9e4biSGYWAHcDj22rKWQ3s/edit?usp=sharing"",""กำแพงเพชร!I676"")"),2)</f>
        <v>2</v>
      </c>
      <c r="BI14" s="177">
        <f ca="1">IFERROR(__xludf.DUMMYFUNCTION("IMPORTRANGE(""https://docs.google.com/spreadsheets/d/1jTcq05yEiRwXcBMLjiodW9e4biSGYWAHcDj22rKWQ3s/edit?usp=sharing"",""กำแพงเพชร!I678"")"),59)</f>
        <v>59</v>
      </c>
      <c r="BJ14" s="177">
        <f ca="1">IFERROR(__xludf.DUMMYFUNCTION("IMPORTRANGE(""https://docs.google.com/spreadsheets/d/1jTcq05yEiRwXcBMLjiodW9e4biSGYWAHcDj22rKWQ3s/edit?usp=sharing"",""กำแพงเพชร!J676"")"),0)</f>
        <v>0</v>
      </c>
      <c r="BK14" s="177">
        <f ca="1">IFERROR(__xludf.DUMMYFUNCTION("IMPORTRANGE(""https://docs.google.com/spreadsheets/d/1jTcq05yEiRwXcBMLjiodW9e4biSGYWAHcDj22rKWQ3s/edit?usp=sharing"",""กำแพงเพชร!J677"")"),0)</f>
        <v>0</v>
      </c>
      <c r="BL14" s="177">
        <f ca="1">IFERROR(__xludf.DUMMYFUNCTION("IMPORTRANGE(""https://docs.google.com/spreadsheets/d/1jTcq05yEiRwXcBMLjiodW9e4biSGYWAHcDj22rKWQ3s/edit?usp=sharing"",""กำแพงเพชร!J678"")"),0)</f>
        <v>0</v>
      </c>
      <c r="BM14" s="177">
        <f ca="1">IFERROR(__xludf.DUMMYFUNCTION("IMPORTRANGE(""https://docs.google.com/spreadsheets/d/1jTcq05yEiRwXcBMLjiodW9e4biSGYWAHcDj22rKWQ3s/edit?usp=sharing"",""กำแพงเพชร!I679"")"),0)</f>
        <v>0</v>
      </c>
      <c r="BN14" s="177">
        <f ca="1">IFERROR(__xludf.DUMMYFUNCTION("IMPORTRANGE(""https://docs.google.com/spreadsheets/d/1jTcq05yEiRwXcBMLjiodW9e4biSGYWAHcDj22rKWQ3s/edit?usp=sharing"",""กำแพงเพชร!I681"")"),0)</f>
        <v>0</v>
      </c>
      <c r="BO14" s="177">
        <f ca="1">IFERROR(__xludf.DUMMYFUNCTION("IMPORTRANGE(""https://docs.google.com/spreadsheets/d/1jTcq05yEiRwXcBMLjiodW9e4biSGYWAHcDj22rKWQ3s/edit?usp=sharing"",""กำแพงเพชร!J679"")"),0)</f>
        <v>0</v>
      </c>
      <c r="BP14" s="177">
        <f ca="1">IFERROR(__xludf.DUMMYFUNCTION("IMPORTRANGE(""https://docs.google.com/spreadsheets/d/1jTcq05yEiRwXcBMLjiodW9e4biSGYWAHcDj22rKWQ3s/edit?usp=sharing"",""กำแพงเพชร!J680"")"),0)</f>
        <v>0</v>
      </c>
      <c r="BQ14" s="177">
        <f ca="1">IFERROR(__xludf.DUMMYFUNCTION("IMPORTRANGE(""https://docs.google.com/spreadsheets/d/1jTcq05yEiRwXcBMLjiodW9e4biSGYWAHcDj22rKWQ3s/edit?usp=sharing"",""กำแพงเพชร!J681"")"),0)</f>
        <v>0</v>
      </c>
      <c r="BR14" s="177">
        <f ca="1">IFERROR(__xludf.DUMMYFUNCTION("IMPORTRANGE(""https://docs.google.com/spreadsheets/d/1jTcq05yEiRwXcBMLjiodW9e4biSGYWAHcDj22rKWQ3s/edit?usp=sharing"",""กำแพงเพชร!I682"")"),0)</f>
        <v>0</v>
      </c>
      <c r="BS14" s="177">
        <f ca="1">IFERROR(__xludf.DUMMYFUNCTION("IMPORTRANGE(""https://docs.google.com/spreadsheets/d/1jTcq05yEiRwXcBMLjiodW9e4biSGYWAHcDj22rKWQ3s/edit?usp=sharing"",""กำแพงเพชร!J682"")"),0)</f>
        <v>0</v>
      </c>
      <c r="BT14" s="354">
        <f t="shared" ca="1" si="63"/>
        <v>0</v>
      </c>
      <c r="BU14" s="177">
        <f ca="1">IFERROR(__xludf.DUMMYFUNCTION("IMPORTRANGE(""https://docs.google.com/spreadsheets/d/1jTcq05yEiRwXcBMLjiodW9e4biSGYWAHcDj22rKWQ3s/edit?usp=sharing"",""กำแพงเพชร!J683"")"),0)</f>
        <v>0</v>
      </c>
      <c r="BV14" s="177">
        <f ca="1">IFERROR(__xludf.DUMMYFUNCTION("IMPORTRANGE(""https://docs.google.com/spreadsheets/d/1jTcq05yEiRwXcBMLjiodW9e4biSGYWAHcDj22rKWQ3s/edit?usp=sharing"",""กำแพงเพชร!J684"")"),0)</f>
        <v>0</v>
      </c>
      <c r="BW14" s="177">
        <f ca="1">IFERROR(__xludf.DUMMYFUNCTION("IMPORTRANGE(""https://docs.google.com/spreadsheets/d/1jTcq05yEiRwXcBMLjiodW9e4biSGYWAHcDj22rKWQ3s/edit?usp=sharing"",""กำแพงเพชร!J685"")"),0)</f>
        <v>0</v>
      </c>
      <c r="BX14" s="177">
        <f ca="1">IFERROR(__xludf.DUMMYFUNCTION("IMPORTRANGE(""https://docs.google.com/spreadsheets/d/1jTcq05yEiRwXcBMLjiodW9e4biSGYWAHcDj22rKWQ3s/edit?usp=sharing"",""กำแพงเพชร!J686"")"),0)</f>
        <v>0</v>
      </c>
      <c r="BY14" s="177">
        <f ca="1">IFERROR(__xludf.DUMMYFUNCTION("IMPORTRANGE(""https://docs.google.com/spreadsheets/d/1jTcq05yEiRwXcBMLjiodW9e4biSGYWAHcDj22rKWQ3s/edit?usp=sharing"",""กำแพงเพชร!J687"")"),0)</f>
        <v>0</v>
      </c>
      <c r="BZ14" s="177">
        <f ca="1">IFERROR(__xludf.DUMMYFUNCTION("IMPORTRANGE(""https://docs.google.com/spreadsheets/d/1jTcq05yEiRwXcBMLjiodW9e4biSGYWAHcDj22rKWQ3s/edit?usp=sharing"",""กำแพงเพชร!J688"")"),0)</f>
        <v>0</v>
      </c>
    </row>
    <row r="15" spans="1:78" ht="21.75" customHeight="1" x14ac:dyDescent="0.3">
      <c r="A15" s="89">
        <v>2</v>
      </c>
      <c r="B15" s="90" t="s">
        <v>41</v>
      </c>
      <c r="C15" s="174">
        <f t="shared" si="38"/>
        <v>0</v>
      </c>
      <c r="D15" s="175">
        <f t="shared" si="65"/>
        <v>0</v>
      </c>
      <c r="E15" s="403">
        <v>0</v>
      </c>
      <c r="F15" s="403">
        <v>0</v>
      </c>
      <c r="G15" s="403">
        <v>0</v>
      </c>
      <c r="H15" s="403">
        <v>0</v>
      </c>
      <c r="I15" s="403">
        <v>0</v>
      </c>
      <c r="J15" s="176">
        <f t="shared" si="40"/>
        <v>0</v>
      </c>
      <c r="K15" s="179">
        <f t="shared" si="41"/>
        <v>0</v>
      </c>
      <c r="L15" s="403">
        <v>0</v>
      </c>
      <c r="M15" s="87">
        <f t="shared" si="42"/>
        <v>0</v>
      </c>
      <c r="N15" s="87">
        <f t="shared" si="43"/>
        <v>0</v>
      </c>
      <c r="O15" s="403">
        <v>0</v>
      </c>
      <c r="P15" s="86">
        <f t="shared" si="44"/>
        <v>0</v>
      </c>
      <c r="Q15" s="87">
        <f t="shared" si="45"/>
        <v>0</v>
      </c>
      <c r="R15" s="87">
        <f ca="1">IFERROR(__xludf.DUMMYFUNCTION("IMPORTRANGE(""https://docs.google.com/spreadsheets/d/1KS0zmDSZPk8KnTAbGN-Xk6MtX1YRZD0ldgdt20K4CRk/edit?usp=sharing"",""เชียงราย!Q642"")"),0)</f>
        <v>0</v>
      </c>
      <c r="S15" s="87">
        <f ca="1">IFERROR(__xludf.DUMMYFUNCTION("IMPORTRANGE(""https://docs.google.com/spreadsheets/d/1KS0zmDSZPk8KnTAbGN-Xk6MtX1YRZD0ldgdt20K4CRk/edit?usp=sharing"",""เชียงราย!R642"")"),0)</f>
        <v>0</v>
      </c>
      <c r="T15" s="87">
        <f ca="1">IFERROR(__xludf.DUMMYFUNCTION("IMPORTRANGE(""https://docs.google.com/spreadsheets/d/1KS0zmDSZPk8KnTAbGN-Xk6MtX1YRZD0ldgdt20K4CRk/edit?usp=sharing"",""เชียงราย!S642"")"),0)</f>
        <v>0</v>
      </c>
      <c r="U15" s="87">
        <f t="shared" ca="1" si="47"/>
        <v>0</v>
      </c>
      <c r="V15" s="87">
        <f t="shared" ca="1" si="48"/>
        <v>0</v>
      </c>
      <c r="W15" s="353">
        <f ca="1">IFERROR(__xludf.DUMMYFUNCTION("IMPORTRANGE(""https://docs.google.com/spreadsheets/d/1KS0zmDSZPk8KnTAbGN-Xk6MtX1YRZD0ldgdt20K4CRk/edit?usp=sharing"",""เชียงราย!I652"")"),0)</f>
        <v>0</v>
      </c>
      <c r="X15" s="177">
        <f ca="1">IFERROR(__xludf.DUMMYFUNCTION("IMPORTRANGE(""https://docs.google.com/spreadsheets/d/1KS0zmDSZPk8KnTAbGN-Xk6MtX1YRZD0ldgdt20K4CRk/edit?usp=sharing"",""เชียงราย!J652"")"),0)</f>
        <v>0</v>
      </c>
      <c r="Y15" s="354">
        <f t="shared" ca="1" si="50"/>
        <v>0</v>
      </c>
      <c r="Z15" s="177">
        <f ca="1">IFERROR(__xludf.DUMMYFUNCTION("IMPORTRANGE(""https://docs.google.com/spreadsheets/d/1KS0zmDSZPk8KnTAbGN-Xk6MtX1YRZD0ldgdt20K4CRk/edit?usp=sharing"",""เชียงราย!I653"")"),0)</f>
        <v>0</v>
      </c>
      <c r="AA15" s="177">
        <f ca="1">IFERROR(__xludf.DUMMYFUNCTION("IMPORTRANGE(""https://docs.google.com/spreadsheets/d/1KS0zmDSZPk8KnTAbGN-Xk6MtX1YRZD0ldgdt20K4CRk/edit?usp=sharing"",""เชียงราย!J653"")"),0)</f>
        <v>0</v>
      </c>
      <c r="AB15" s="354">
        <f t="shared" ca="1" si="52"/>
        <v>0</v>
      </c>
      <c r="AC15" s="177">
        <f ca="1">IFERROR(__xludf.DUMMYFUNCTION("IMPORTRANGE(""https://docs.google.com/spreadsheets/d/1KS0zmDSZPk8KnTAbGN-Xk6MtX1YRZD0ldgdt20K4CRk/edit?usp=sharing"",""เชียงราย!I654"")"),0)</f>
        <v>0</v>
      </c>
      <c r="AD15" s="177">
        <f ca="1">IFERROR(__xludf.DUMMYFUNCTION("IMPORTRANGE(""https://docs.google.com/spreadsheets/d/1KS0zmDSZPk8KnTAbGN-Xk6MtX1YRZD0ldgdt20K4CRk/edit?usp=sharing"",""เชียงราย!J654"")"),0)</f>
        <v>0</v>
      </c>
      <c r="AE15" s="354">
        <f t="shared" ca="1" si="54"/>
        <v>0</v>
      </c>
      <c r="AF15" s="354">
        <f ca="1">IFERROR(__xludf.DUMMYFUNCTION("IMPORTRANGE(""https://docs.google.com/spreadsheets/d/1KS0zmDSZPk8KnTAbGN-Xk6MtX1YRZD0ldgdt20K4CRk/edit?usp=sharing"",""เชียงราย!J655"")"),0)</f>
        <v>0</v>
      </c>
      <c r="AG15" s="354">
        <f ca="1">IFERROR(__xludf.DUMMYFUNCTION("IMPORTRANGE(""https://docs.google.com/spreadsheets/d/1KS0zmDSZPk8KnTAbGN-Xk6MtX1YRZD0ldgdt20K4CRk/edit?usp=sharing"",""เชียงราย!J656"")"),0)</f>
        <v>0</v>
      </c>
      <c r="AH15" s="354">
        <f ca="1">IFERROR(__xludf.DUMMYFUNCTION("IMPORTRANGE(""https://docs.google.com/spreadsheets/d/1KS0zmDSZPk8KnTAbGN-Xk6MtX1YRZD0ldgdt20K4CRk/edit?usp=sharing"",""เชียงราย!J657"")"),0)</f>
        <v>0</v>
      </c>
      <c r="AI15" s="354">
        <f ca="1">IFERROR(__xludf.DUMMYFUNCTION("IMPORTRANGE(""https://docs.google.com/spreadsheets/d/1KS0zmDSZPk8KnTAbGN-Xk6MtX1YRZD0ldgdt20K4CRk/edit?usp=sharing"",""เชียงราย!J658"")"),0)</f>
        <v>0</v>
      </c>
      <c r="AJ15" s="354">
        <f ca="1">IFERROR(__xludf.DUMMYFUNCTION("IMPORTRANGE(""https://docs.google.com/spreadsheets/d/1KS0zmDSZPk8KnTAbGN-Xk6MtX1YRZD0ldgdt20K4CRk/edit?usp=sharing"",""เชียงราย!J659"")"),0)</f>
        <v>0</v>
      </c>
      <c r="AK15" s="354">
        <f ca="1">IFERROR(__xludf.DUMMYFUNCTION("IMPORTRANGE(""https://docs.google.com/spreadsheets/d/1KS0zmDSZPk8KnTAbGN-Xk6MtX1YRZD0ldgdt20K4CRk/edit?usp=sharing"",""เชียงราย!J660"")"),0)</f>
        <v>0</v>
      </c>
      <c r="AL15" s="177">
        <f ca="1">IFERROR(__xludf.DUMMYFUNCTION("IMPORTRANGE(""https://docs.google.com/spreadsheets/d/1KS0zmDSZPk8KnTAbGN-Xk6MtX1YRZD0ldgdt20K4CRk/edit?usp=sharing"",""เชียงราย!I661"")"),0)</f>
        <v>0</v>
      </c>
      <c r="AM15" s="177">
        <f ca="1">IFERROR(__xludf.DUMMYFUNCTION("IMPORTRANGE(""https://docs.google.com/spreadsheets/d/1KS0zmDSZPk8KnTAbGN-Xk6MtX1YRZD0ldgdt20K4CRk/edit?usp=sharing"",""เชียงราย!J661"")"),0)</f>
        <v>0</v>
      </c>
      <c r="AN15" s="354">
        <f t="shared" ca="1" si="56"/>
        <v>0</v>
      </c>
      <c r="AO15" s="177">
        <f ca="1">IFERROR(__xludf.DUMMYFUNCTION("IMPORTRANGE(""https://docs.google.com/spreadsheets/d/1KS0zmDSZPk8KnTAbGN-Xk6MtX1YRZD0ldgdt20K4CRk/edit?usp=sharing"",""เชียงราย!J662"")"),0)</f>
        <v>0</v>
      </c>
      <c r="AP15" s="177">
        <f ca="1">IFERROR(__xludf.DUMMYFUNCTION("IMPORTRANGE(""https://docs.google.com/spreadsheets/d/1KS0zmDSZPk8KnTAbGN-Xk6MtX1YRZD0ldgdt20K4CRk/edit?usp=sharing"",""เชียงราย!J663"")"),0)</f>
        <v>0</v>
      </c>
      <c r="AQ15" s="177">
        <f ca="1">IFERROR(__xludf.DUMMYFUNCTION("IMPORTRANGE(""https://docs.google.com/spreadsheets/d/1KS0zmDSZPk8KnTAbGN-Xk6MtX1YRZD0ldgdt20K4CRk/edit?usp=sharing"",""เชียงราย!J665"")"),0)</f>
        <v>0</v>
      </c>
      <c r="AR15" s="177">
        <f ca="1">IFERROR(__xludf.DUMMYFUNCTION("IMPORTRANGE(""https://docs.google.com/spreadsheets/d/1KS0zmDSZPk8KnTAbGN-Xk6MtX1YRZD0ldgdt20K4CRk/edit?usp=sharing"",""เชียงราย!J666"")"),0)</f>
        <v>0</v>
      </c>
      <c r="AS15" s="177">
        <f ca="1">IFERROR(__xludf.DUMMYFUNCTION("IMPORTRANGE(""https://docs.google.com/spreadsheets/d/1KS0zmDSZPk8KnTAbGN-Xk6MtX1YRZD0ldgdt20K4CRk/edit?usp=sharing"",""เชียงราย!J667"")"),0)</f>
        <v>0</v>
      </c>
      <c r="AT15" s="177">
        <f ca="1">IFERROR(__xludf.DUMMYFUNCTION("IMPORTRANGE(""https://docs.google.com/spreadsheets/d/1KS0zmDSZPk8KnTAbGN-Xk6MtX1YRZD0ldgdt20K4CRk/edit?usp=sharing"",""เชียงราย!J668"")"),0)</f>
        <v>0</v>
      </c>
      <c r="AU15" s="177">
        <f ca="1">IFERROR(__xludf.DUMMYFUNCTION("IMPORTRANGE(""https://docs.google.com/spreadsheets/d/1KS0zmDSZPk8KnTAbGN-Xk6MtX1YRZD0ldgdt20K4CRk/edit?usp=sharing"",""เชียงราย!J669"")"),0)</f>
        <v>0</v>
      </c>
      <c r="AV15" s="177">
        <f ca="1">IFERROR(__xludf.DUMMYFUNCTION("IMPORTRANGE(""https://docs.google.com/spreadsheets/d/1KS0zmDSZPk8KnTAbGN-Xk6MtX1YRZD0ldgdt20K4CRk/edit?usp=sharing"",""เชียงราย!J670"")"),0)</f>
        <v>0</v>
      </c>
      <c r="AW15" s="177">
        <v>0</v>
      </c>
      <c r="AX15" s="177">
        <f ca="1">IFERROR(__xludf.DUMMYFUNCTION("IMPORTRANGE(""https://docs.google.com/spreadsheets/d/1KS0zmDSZPk8KnTAbGN-Xk6MtX1YRZD0ldgdt20K4CRk/edit?usp=sharing"",""เชียงราย!J671"")"),0)</f>
        <v>0</v>
      </c>
      <c r="AY15" s="177">
        <f ca="1">IFERROR(__xludf.DUMMYFUNCTION("IMPORTRANGE(""https://docs.google.com/spreadsheets/d/1KS0zmDSZPk8KnTAbGN-Xk6MtX1YRZD0ldgdt20K4CRk/edit?usp=sharing"",""เชียงราย!J672"")"),0)</f>
        <v>0</v>
      </c>
      <c r="AZ15" s="177">
        <f ca="1">IFERROR(__xludf.DUMMYFUNCTION("IMPORTRANGE(""https://docs.google.com/spreadsheets/d/1KS0zmDSZPk8KnTAbGN-Xk6MtX1YRZD0ldgdt20K4CRk/edit?usp=sharing"",""เชียงราย!J673"")"),0)</f>
        <v>0</v>
      </c>
      <c r="BA15" s="354">
        <f t="shared" si="58"/>
        <v>0</v>
      </c>
      <c r="BB15" s="177">
        <f ca="1">IFERROR(__xludf.DUMMYFUNCTION("IMPORTRANGE(""https://docs.google.com/spreadsheets/d/1KS0zmDSZPk8KnTAbGN-Xk6MtX1YRZD0ldgdt20K4CRk/edit?usp=sharing"",""เชียงราย!I674"")"),0)</f>
        <v>0</v>
      </c>
      <c r="BC15" s="177">
        <f ca="1">IFERROR(__xludf.DUMMYFUNCTION("IMPORTRANGE(""https://docs.google.com/spreadsheets/d/1KS0zmDSZPk8KnTAbGN-Xk6MtX1YRZD0ldgdt20K4CRk/edit?usp=sharing"",""เชียงราย!I675"")"),0)</f>
        <v>0</v>
      </c>
      <c r="BD15" s="177">
        <f ca="1">IFERROR(__xludf.DUMMYFUNCTION("IMPORTRANGE(""https://docs.google.com/spreadsheets/d/1KS0zmDSZPk8KnTAbGN-Xk6MtX1YRZD0ldgdt20K4CRk/edit?usp=sharing"",""เชียงราย!J674"")"),0)</f>
        <v>0</v>
      </c>
      <c r="BE15" s="354">
        <f t="shared" ca="1" si="60"/>
        <v>0</v>
      </c>
      <c r="BF15" s="177">
        <f ca="1">IFERROR(__xludf.DUMMYFUNCTION("IMPORTRANGE(""https://docs.google.com/spreadsheets/d/1KS0zmDSZPk8KnTAbGN-Xk6MtX1YRZD0ldgdt20K4CRk/edit?usp=sharing"",""เชียงราย!J675"")"),0)</f>
        <v>0</v>
      </c>
      <c r="BG15" s="354">
        <f t="shared" ca="1" si="61"/>
        <v>0</v>
      </c>
      <c r="BH15" s="177">
        <f ca="1">IFERROR(__xludf.DUMMYFUNCTION("IMPORTRANGE(""https://docs.google.com/spreadsheets/d/1KS0zmDSZPk8KnTAbGN-Xk6MtX1YRZD0ldgdt20K4CRk/edit?usp=sharing"",""เชียงราย!I676"")"),0)</f>
        <v>0</v>
      </c>
      <c r="BI15" s="177">
        <f ca="1">IFERROR(__xludf.DUMMYFUNCTION("IMPORTRANGE(""https://docs.google.com/spreadsheets/d/1KS0zmDSZPk8KnTAbGN-Xk6MtX1YRZD0ldgdt20K4CRk/edit?usp=sharing"",""เชียงราย!I678"")"),0)</f>
        <v>0</v>
      </c>
      <c r="BJ15" s="177">
        <f ca="1">IFERROR(__xludf.DUMMYFUNCTION("IMPORTRANGE(""https://docs.google.com/spreadsheets/d/1KS0zmDSZPk8KnTAbGN-Xk6MtX1YRZD0ldgdt20K4CRk/edit?usp=sharing"",""เชียงราย!J676"")"),0)</f>
        <v>0</v>
      </c>
      <c r="BK15" s="177">
        <f ca="1">IFERROR(__xludf.DUMMYFUNCTION("IMPORTRANGE(""https://docs.google.com/spreadsheets/d/1KS0zmDSZPk8KnTAbGN-Xk6MtX1YRZD0ldgdt20K4CRk/edit?usp=sharing"",""เชียงราย!J677"")"),0)</f>
        <v>0</v>
      </c>
      <c r="BL15" s="177">
        <f ca="1">IFERROR(__xludf.DUMMYFUNCTION("IMPORTRANGE(""https://docs.google.com/spreadsheets/d/1KS0zmDSZPk8KnTAbGN-Xk6MtX1YRZD0ldgdt20K4CRk/edit?usp=sharing"",""เชียงราย!J678"")"),0)</f>
        <v>0</v>
      </c>
      <c r="BM15" s="177">
        <f ca="1">IFERROR(__xludf.DUMMYFUNCTION("IMPORTRANGE(""https://docs.google.com/spreadsheets/d/1KS0zmDSZPk8KnTAbGN-Xk6MtX1YRZD0ldgdt20K4CRk/edit?usp=sharing"",""เชียงราย!I679"")"),0)</f>
        <v>0</v>
      </c>
      <c r="BN15" s="177">
        <f ca="1">IFERROR(__xludf.DUMMYFUNCTION("IMPORTRANGE(""https://docs.google.com/spreadsheets/d/1KS0zmDSZPk8KnTAbGN-Xk6MtX1YRZD0ldgdt20K4CRk/edit?usp=sharing"",""เชียงราย!I681"")"),0)</f>
        <v>0</v>
      </c>
      <c r="BO15" s="177">
        <f ca="1">IFERROR(__xludf.DUMMYFUNCTION("IMPORTRANGE(""https://docs.google.com/spreadsheets/d/1KS0zmDSZPk8KnTAbGN-Xk6MtX1YRZD0ldgdt20K4CRk/edit?usp=sharing"",""เชียงราย!J679"")"),0)</f>
        <v>0</v>
      </c>
      <c r="BP15" s="177">
        <f ca="1">IFERROR(__xludf.DUMMYFUNCTION("IMPORTRANGE(""https://docs.google.com/spreadsheets/d/1KS0zmDSZPk8KnTAbGN-Xk6MtX1YRZD0ldgdt20K4CRk/edit?usp=sharing"",""เชียงราย!J680"")"),0)</f>
        <v>0</v>
      </c>
      <c r="BQ15" s="177">
        <f ca="1">IFERROR(__xludf.DUMMYFUNCTION("IMPORTRANGE(""https://docs.google.com/spreadsheets/d/1KS0zmDSZPk8KnTAbGN-Xk6MtX1YRZD0ldgdt20K4CRk/edit?usp=sharing"",""เชียงราย!J681"")"),0)</f>
        <v>0</v>
      </c>
      <c r="BR15" s="177">
        <f ca="1">IFERROR(__xludf.DUMMYFUNCTION("IMPORTRANGE(""https://docs.google.com/spreadsheets/d/1KS0zmDSZPk8KnTAbGN-Xk6MtX1YRZD0ldgdt20K4CRk/edit?usp=sharing"",""เชียงราย!I682"")"),0)</f>
        <v>0</v>
      </c>
      <c r="BS15" s="177">
        <f ca="1">IFERROR(__xludf.DUMMYFUNCTION("IMPORTRANGE(""https://docs.google.com/spreadsheets/d/1KS0zmDSZPk8KnTAbGN-Xk6MtX1YRZD0ldgdt20K4CRk/edit?usp=sharing"",""เชียงราย!J682"")"),0)</f>
        <v>0</v>
      </c>
      <c r="BT15" s="354">
        <f t="shared" ca="1" si="63"/>
        <v>0</v>
      </c>
      <c r="BU15" s="177">
        <f ca="1">IFERROR(__xludf.DUMMYFUNCTION("IMPORTRANGE(""https://docs.google.com/spreadsheets/d/1KS0zmDSZPk8KnTAbGN-Xk6MtX1YRZD0ldgdt20K4CRk/edit?usp=sharing"",""เชียงราย!J683"")"),0)</f>
        <v>0</v>
      </c>
      <c r="BV15" s="177">
        <f ca="1">IFERROR(__xludf.DUMMYFUNCTION("IMPORTRANGE(""https://docs.google.com/spreadsheets/d/1KS0zmDSZPk8KnTAbGN-Xk6MtX1YRZD0ldgdt20K4CRk/edit?usp=sharing"",""เชียงราย!J684"")"),0)</f>
        <v>0</v>
      </c>
      <c r="BW15" s="177">
        <f ca="1">IFERROR(__xludf.DUMMYFUNCTION("IMPORTRANGE(""https://docs.google.com/spreadsheets/d/1KS0zmDSZPk8KnTAbGN-Xk6MtX1YRZD0ldgdt20K4CRk/edit?usp=sharing"",""เชียงราย!J685"")"),0)</f>
        <v>0</v>
      </c>
      <c r="BX15" s="177">
        <f ca="1">IFERROR(__xludf.DUMMYFUNCTION("IMPORTRANGE(""https://docs.google.com/spreadsheets/d/1KS0zmDSZPk8KnTAbGN-Xk6MtX1YRZD0ldgdt20K4CRk/edit?usp=sharing"",""เชียงราย!J686"")"),0)</f>
        <v>0</v>
      </c>
      <c r="BY15" s="177">
        <f ca="1">IFERROR(__xludf.DUMMYFUNCTION("IMPORTRANGE(""https://docs.google.com/spreadsheets/d/1KS0zmDSZPk8KnTAbGN-Xk6MtX1YRZD0ldgdt20K4CRk/edit?usp=sharing"",""เชียงราย!J687"")"),0)</f>
        <v>0</v>
      </c>
      <c r="BZ15" s="177">
        <f ca="1">IFERROR(__xludf.DUMMYFUNCTION("IMPORTRANGE(""https://docs.google.com/spreadsheets/d/1KS0zmDSZPk8KnTAbGN-Xk6MtX1YRZD0ldgdt20K4CRk/edit?usp=sharing"",""เชียงราย!J688"")"),0)</f>
        <v>0</v>
      </c>
    </row>
    <row r="16" spans="1:78" ht="21.75" customHeight="1" x14ac:dyDescent="0.3">
      <c r="A16" s="89">
        <v>3</v>
      </c>
      <c r="B16" s="90" t="s">
        <v>42</v>
      </c>
      <c r="C16" s="174">
        <f t="shared" si="38"/>
        <v>0</v>
      </c>
      <c r="D16" s="175">
        <f t="shared" si="65"/>
        <v>0</v>
      </c>
      <c r="E16" s="403">
        <v>0</v>
      </c>
      <c r="F16" s="403">
        <v>0</v>
      </c>
      <c r="G16" s="403">
        <v>0</v>
      </c>
      <c r="H16" s="403">
        <v>0</v>
      </c>
      <c r="I16" s="403">
        <v>0</v>
      </c>
      <c r="J16" s="176">
        <f t="shared" si="40"/>
        <v>0</v>
      </c>
      <c r="K16" s="179">
        <f t="shared" si="41"/>
        <v>0</v>
      </c>
      <c r="L16" s="403">
        <v>0</v>
      </c>
      <c r="M16" s="87">
        <f t="shared" si="42"/>
        <v>0</v>
      </c>
      <c r="N16" s="87">
        <f t="shared" si="43"/>
        <v>0</v>
      </c>
      <c r="O16" s="403">
        <v>0</v>
      </c>
      <c r="P16" s="86">
        <f t="shared" si="44"/>
        <v>0</v>
      </c>
      <c r="Q16" s="87">
        <f t="shared" si="45"/>
        <v>0</v>
      </c>
      <c r="R16" s="87">
        <f ca="1">IFERROR(__xludf.DUMMYFUNCTION("IMPORTRANGE(""https://docs.google.com/spreadsheets/d/1rEDxBtusbi64tE0zunoIbsTVV16HeL0oJ6trHQeQ7K8/edit?usp=sharing"",""เชียงใหม่!Q642"")"),7060)</f>
        <v>7060</v>
      </c>
      <c r="S16" s="87">
        <f ca="1">IFERROR(__xludf.DUMMYFUNCTION("IMPORTRANGE(""https://docs.google.com/spreadsheets/d/1rEDxBtusbi64tE0zunoIbsTVV16HeL0oJ6trHQeQ7K8/edit?usp=sharing"",""เชียงใหม่!R642"")"),0)</f>
        <v>0</v>
      </c>
      <c r="T16" s="87">
        <f ca="1">IFERROR(__xludf.DUMMYFUNCTION("IMPORTRANGE(""https://docs.google.com/spreadsheets/d/1rEDxBtusbi64tE0zunoIbsTVV16HeL0oJ6trHQeQ7K8/edit?usp=sharing"",""เชียงใหม่!S642"")"),2680)</f>
        <v>2680</v>
      </c>
      <c r="U16" s="87">
        <f t="shared" ca="1" si="47"/>
        <v>37.960339943342774</v>
      </c>
      <c r="V16" s="87">
        <f t="shared" ca="1" si="48"/>
        <v>0</v>
      </c>
      <c r="W16" s="353">
        <f ca="1">IFERROR(__xludf.DUMMYFUNCTION("IMPORTRANGE(""https://docs.google.com/spreadsheets/d/1rEDxBtusbi64tE0zunoIbsTVV16HeL0oJ6trHQeQ7K8/edit?usp=sharing"",""เชียงใหม่!I652"")"),0)</f>
        <v>0</v>
      </c>
      <c r="X16" s="177">
        <f ca="1">IFERROR(__xludf.DUMMYFUNCTION("IMPORTRANGE(""https://docs.google.com/spreadsheets/d/1rEDxBtusbi64tE0zunoIbsTVV16HeL0oJ6trHQeQ7K8/edit?usp=sharing"",""เชียงใหม่!J652"")"),0)</f>
        <v>0</v>
      </c>
      <c r="Y16" s="354">
        <f t="shared" ca="1" si="50"/>
        <v>0</v>
      </c>
      <c r="Z16" s="177">
        <f ca="1">IFERROR(__xludf.DUMMYFUNCTION("IMPORTRANGE(""https://docs.google.com/spreadsheets/d/1rEDxBtusbi64tE0zunoIbsTVV16HeL0oJ6trHQeQ7K8/edit?usp=sharing"",""เชียงใหม่!I653"")"),43)</f>
        <v>43</v>
      </c>
      <c r="AA16" s="177">
        <f ca="1">IFERROR(__xludf.DUMMYFUNCTION("IMPORTRANGE(""https://docs.google.com/spreadsheets/d/1rEDxBtusbi64tE0zunoIbsTVV16HeL0oJ6trHQeQ7K8/edit?usp=sharing"",""เชียงใหม่!J653"")"),0)</f>
        <v>0</v>
      </c>
      <c r="AB16" s="354">
        <f t="shared" ca="1" si="52"/>
        <v>0</v>
      </c>
      <c r="AC16" s="177">
        <f ca="1">IFERROR(__xludf.DUMMYFUNCTION("IMPORTRANGE(""https://docs.google.com/spreadsheets/d/1rEDxBtusbi64tE0zunoIbsTVV16HeL0oJ6trHQeQ7K8/edit?usp=sharing"",""เชียงใหม่!I654"")"),0)</f>
        <v>0</v>
      </c>
      <c r="AD16" s="177">
        <f ca="1">IFERROR(__xludf.DUMMYFUNCTION("IMPORTRANGE(""https://docs.google.com/spreadsheets/d/1rEDxBtusbi64tE0zunoIbsTVV16HeL0oJ6trHQeQ7K8/edit?usp=sharing"",""เชียงใหม่!J654"")"),0)</f>
        <v>0</v>
      </c>
      <c r="AE16" s="354">
        <f t="shared" ca="1" si="54"/>
        <v>0</v>
      </c>
      <c r="AF16" s="354">
        <f ca="1">IFERROR(__xludf.DUMMYFUNCTION("IMPORTRANGE(""https://docs.google.com/spreadsheets/d/1rEDxBtusbi64tE0zunoIbsTVV16HeL0oJ6trHQeQ7K8/edit?usp=sharing"",""เชียงใหม่!J655"")"),0)</f>
        <v>0</v>
      </c>
      <c r="AG16" s="354">
        <f ca="1">IFERROR(__xludf.DUMMYFUNCTION("IMPORTRANGE(""https://docs.google.com/spreadsheets/d/1rEDxBtusbi64tE0zunoIbsTVV16HeL0oJ6trHQeQ7K8/edit?usp=sharing"",""เชียงใหม่!J656"")"),0)</f>
        <v>0</v>
      </c>
      <c r="AH16" s="354">
        <f ca="1">IFERROR(__xludf.DUMMYFUNCTION("IMPORTRANGE(""https://docs.google.com/spreadsheets/d/1rEDxBtusbi64tE0zunoIbsTVV16HeL0oJ6trHQeQ7K8/edit?usp=sharing"",""เชียงใหม่!J657"")"),0)</f>
        <v>0</v>
      </c>
      <c r="AI16" s="354">
        <f ca="1">IFERROR(__xludf.DUMMYFUNCTION("IMPORTRANGE(""https://docs.google.com/spreadsheets/d/1rEDxBtusbi64tE0zunoIbsTVV16HeL0oJ6trHQeQ7K8/edit?usp=sharing"",""เชียงใหม่!J658"")"),0)</f>
        <v>0</v>
      </c>
      <c r="AJ16" s="354">
        <f ca="1">IFERROR(__xludf.DUMMYFUNCTION("IMPORTRANGE(""https://docs.google.com/spreadsheets/d/1rEDxBtusbi64tE0zunoIbsTVV16HeL0oJ6trHQeQ7K8/edit?usp=sharing"",""เชียงใหม่!J659"")"),0)</f>
        <v>0</v>
      </c>
      <c r="AK16" s="354">
        <f ca="1">IFERROR(__xludf.DUMMYFUNCTION("IMPORTRANGE(""https://docs.google.com/spreadsheets/d/1rEDxBtusbi64tE0zunoIbsTVV16HeL0oJ6trHQeQ7K8/edit?usp=sharing"",""เชียงใหม่!J660"")"),0)</f>
        <v>0</v>
      </c>
      <c r="AL16" s="177">
        <f ca="1">IFERROR(__xludf.DUMMYFUNCTION("IMPORTRANGE(""https://docs.google.com/spreadsheets/d/1rEDxBtusbi64tE0zunoIbsTVV16HeL0oJ6trHQeQ7K8/edit?usp=sharing"",""เชียงใหม่!I661"")"),0)</f>
        <v>0</v>
      </c>
      <c r="AM16" s="177">
        <f ca="1">IFERROR(__xludf.DUMMYFUNCTION("IMPORTRANGE(""https://docs.google.com/spreadsheets/d/1rEDxBtusbi64tE0zunoIbsTVV16HeL0oJ6trHQeQ7K8/edit?usp=sharing"",""เชียงใหม่!J661"")"),0)</f>
        <v>0</v>
      </c>
      <c r="AN16" s="354">
        <f t="shared" ca="1" si="56"/>
        <v>0</v>
      </c>
      <c r="AO16" s="177">
        <f ca="1">IFERROR(__xludf.DUMMYFUNCTION("IMPORTRANGE(""https://docs.google.com/spreadsheets/d/1rEDxBtusbi64tE0zunoIbsTVV16HeL0oJ6trHQeQ7K8/edit?usp=sharing"",""เชียงใหม่!J662"")"),0)</f>
        <v>0</v>
      </c>
      <c r="AP16" s="177">
        <f ca="1">IFERROR(__xludf.DUMMYFUNCTION("IMPORTRANGE(""https://docs.google.com/spreadsheets/d/1rEDxBtusbi64tE0zunoIbsTVV16HeL0oJ6trHQeQ7K8/edit?usp=sharing"",""เชียงใหม่!J663"")"),0)</f>
        <v>0</v>
      </c>
      <c r="AQ16" s="177">
        <f ca="1">IFERROR(__xludf.DUMMYFUNCTION("IMPORTRANGE(""https://docs.google.com/spreadsheets/d/1rEDxBtusbi64tE0zunoIbsTVV16HeL0oJ6trHQeQ7K8/edit?usp=sharing"",""เชียงใหม่!J665"")"),0)</f>
        <v>0</v>
      </c>
      <c r="AR16" s="177">
        <f ca="1">IFERROR(__xludf.DUMMYFUNCTION("IMPORTRANGE(""https://docs.google.com/spreadsheets/d/1rEDxBtusbi64tE0zunoIbsTVV16HeL0oJ6trHQeQ7K8/edit?usp=sharing"",""เชียงใหม่!J666"")"),0)</f>
        <v>0</v>
      </c>
      <c r="AS16" s="177">
        <f ca="1">IFERROR(__xludf.DUMMYFUNCTION("IMPORTRANGE(""https://docs.google.com/spreadsheets/d/1rEDxBtusbi64tE0zunoIbsTVV16HeL0oJ6trHQeQ7K8/edit?usp=sharing"",""เชียงใหม่!J667"")"),0)</f>
        <v>0</v>
      </c>
      <c r="AT16" s="177">
        <f ca="1">IFERROR(__xludf.DUMMYFUNCTION("IMPORTRANGE(""https://docs.google.com/spreadsheets/d/1rEDxBtusbi64tE0zunoIbsTVV16HeL0oJ6trHQeQ7K8/edit?usp=sharing"",""เชียงใหม่!J668"")"),0)</f>
        <v>0</v>
      </c>
      <c r="AU16" s="177">
        <f ca="1">IFERROR(__xludf.DUMMYFUNCTION("IMPORTRANGE(""https://docs.google.com/spreadsheets/d/1rEDxBtusbi64tE0zunoIbsTVV16HeL0oJ6trHQeQ7K8/edit?usp=sharing"",""เชียงใหม่!J669"")"),0)</f>
        <v>0</v>
      </c>
      <c r="AV16" s="177">
        <f ca="1">IFERROR(__xludf.DUMMYFUNCTION("IMPORTRANGE(""https://docs.google.com/spreadsheets/d/1rEDxBtusbi64tE0zunoIbsTVV16HeL0oJ6trHQeQ7K8/edit?usp=sharing"",""เชียงใหม่!J670"")"),0)</f>
        <v>0</v>
      </c>
      <c r="AW16" s="177">
        <v>0</v>
      </c>
      <c r="AX16" s="177">
        <f ca="1">IFERROR(__xludf.DUMMYFUNCTION("IMPORTRANGE(""https://docs.google.com/spreadsheets/d/1rEDxBtusbi64tE0zunoIbsTVV16HeL0oJ6trHQeQ7K8/edit?usp=sharing"",""เชียงใหม่!J671"")"),0)</f>
        <v>0</v>
      </c>
      <c r="AY16" s="177">
        <f ca="1">IFERROR(__xludf.DUMMYFUNCTION("IMPORTRANGE(""https://docs.google.com/spreadsheets/d/1rEDxBtusbi64tE0zunoIbsTVV16HeL0oJ6trHQeQ7K8/edit?usp=sharing"",""เชียงใหม่!J672"")"),0)</f>
        <v>0</v>
      </c>
      <c r="AZ16" s="177">
        <f ca="1">IFERROR(__xludf.DUMMYFUNCTION("IMPORTRANGE(""https://docs.google.com/spreadsheets/d/1rEDxBtusbi64tE0zunoIbsTVV16HeL0oJ6trHQeQ7K8/edit?usp=sharing"",""เชียงใหม่!J673"")"),0)</f>
        <v>0</v>
      </c>
      <c r="BA16" s="354">
        <f t="shared" si="58"/>
        <v>0</v>
      </c>
      <c r="BB16" s="177">
        <f ca="1">IFERROR(__xludf.DUMMYFUNCTION("IMPORTRANGE(""https://docs.google.com/spreadsheets/d/1rEDxBtusbi64tE0zunoIbsTVV16HeL0oJ6trHQeQ7K8/edit?usp=sharing"",""เชียงใหม่!I674"")"),0)</f>
        <v>0</v>
      </c>
      <c r="BC16" s="177">
        <f ca="1">IFERROR(__xludf.DUMMYFUNCTION("IMPORTRANGE(""https://docs.google.com/spreadsheets/d/1rEDxBtusbi64tE0zunoIbsTVV16HeL0oJ6trHQeQ7K8/edit?usp=sharing"",""เชียงใหม่!I675"")"),0)</f>
        <v>0</v>
      </c>
      <c r="BD16" s="177">
        <f ca="1">IFERROR(__xludf.DUMMYFUNCTION("IMPORTRANGE(""https://docs.google.com/spreadsheets/d/1rEDxBtusbi64tE0zunoIbsTVV16HeL0oJ6trHQeQ7K8/edit?usp=sharing"",""เชียงใหม่!J674"")"),0)</f>
        <v>0</v>
      </c>
      <c r="BE16" s="354">
        <f t="shared" ca="1" si="60"/>
        <v>0</v>
      </c>
      <c r="BF16" s="177">
        <f ca="1">IFERROR(__xludf.DUMMYFUNCTION("IMPORTRANGE(""https://docs.google.com/spreadsheets/d/1rEDxBtusbi64tE0zunoIbsTVV16HeL0oJ6trHQeQ7K8/edit?usp=sharing"",""เชียงใหม่!J675"")"),0)</f>
        <v>0</v>
      </c>
      <c r="BG16" s="354">
        <f t="shared" ca="1" si="61"/>
        <v>0</v>
      </c>
      <c r="BH16" s="177">
        <f ca="1">IFERROR(__xludf.DUMMYFUNCTION("IMPORTRANGE(""https://docs.google.com/spreadsheets/d/1rEDxBtusbi64tE0zunoIbsTVV16HeL0oJ6trHQeQ7K8/edit?usp=sharing"",""เชียงใหม่!I676"")"),0)</f>
        <v>0</v>
      </c>
      <c r="BI16" s="177">
        <f ca="1">IFERROR(__xludf.DUMMYFUNCTION("IMPORTRANGE(""https://docs.google.com/spreadsheets/d/1rEDxBtusbi64tE0zunoIbsTVV16HeL0oJ6trHQeQ7K8/edit?usp=sharing"",""เชียงใหม่!I678"")"),0)</f>
        <v>0</v>
      </c>
      <c r="BJ16" s="177">
        <f ca="1">IFERROR(__xludf.DUMMYFUNCTION("IMPORTRANGE(""https://docs.google.com/spreadsheets/d/1rEDxBtusbi64tE0zunoIbsTVV16HeL0oJ6trHQeQ7K8/edit?usp=sharing"",""เชียงใหม่!J676"")"),0)</f>
        <v>0</v>
      </c>
      <c r="BK16" s="177">
        <f ca="1">IFERROR(__xludf.DUMMYFUNCTION("IMPORTRANGE(""https://docs.google.com/spreadsheets/d/1rEDxBtusbi64tE0zunoIbsTVV16HeL0oJ6trHQeQ7K8/edit?usp=sharing"",""เชียงใหม่!J677"")"),0)</f>
        <v>0</v>
      </c>
      <c r="BL16" s="177">
        <f ca="1">IFERROR(__xludf.DUMMYFUNCTION("IMPORTRANGE(""https://docs.google.com/spreadsheets/d/1rEDxBtusbi64tE0zunoIbsTVV16HeL0oJ6trHQeQ7K8/edit?usp=sharing"",""เชียงใหม่!J678"")"),0)</f>
        <v>0</v>
      </c>
      <c r="BM16" s="177">
        <f ca="1">IFERROR(__xludf.DUMMYFUNCTION("IMPORTRANGE(""https://docs.google.com/spreadsheets/d/1rEDxBtusbi64tE0zunoIbsTVV16HeL0oJ6trHQeQ7K8/edit?usp=sharing"",""เชียงใหม่!I679"")"),0)</f>
        <v>0</v>
      </c>
      <c r="BN16" s="177">
        <f ca="1">IFERROR(__xludf.DUMMYFUNCTION("IMPORTRANGE(""https://docs.google.com/spreadsheets/d/1rEDxBtusbi64tE0zunoIbsTVV16HeL0oJ6trHQeQ7K8/edit?usp=sharing"",""เชียงใหม่!I681"")"),0)</f>
        <v>0</v>
      </c>
      <c r="BO16" s="177">
        <f ca="1">IFERROR(__xludf.DUMMYFUNCTION("IMPORTRANGE(""https://docs.google.com/spreadsheets/d/1rEDxBtusbi64tE0zunoIbsTVV16HeL0oJ6trHQeQ7K8/edit?usp=sharing"",""เชียงใหม่!J679"")"),0)</f>
        <v>0</v>
      </c>
      <c r="BP16" s="177">
        <f ca="1">IFERROR(__xludf.DUMMYFUNCTION("IMPORTRANGE(""https://docs.google.com/spreadsheets/d/1rEDxBtusbi64tE0zunoIbsTVV16HeL0oJ6trHQeQ7K8/edit?usp=sharing"",""เชียงใหม่!J680"")"),0)</f>
        <v>0</v>
      </c>
      <c r="BQ16" s="177">
        <f ca="1">IFERROR(__xludf.DUMMYFUNCTION("IMPORTRANGE(""https://docs.google.com/spreadsheets/d/1rEDxBtusbi64tE0zunoIbsTVV16HeL0oJ6trHQeQ7K8/edit?usp=sharing"",""เชียงใหม่!J681"")"),0)</f>
        <v>0</v>
      </c>
      <c r="BR16" s="177">
        <f ca="1">IFERROR(__xludf.DUMMYFUNCTION("IMPORTRANGE(""https://docs.google.com/spreadsheets/d/1rEDxBtusbi64tE0zunoIbsTVV16HeL0oJ6trHQeQ7K8/edit?usp=sharing"",""เชียงใหม่!I682"")"),0)</f>
        <v>0</v>
      </c>
      <c r="BS16" s="177">
        <f ca="1">IFERROR(__xludf.DUMMYFUNCTION("IMPORTRANGE(""https://docs.google.com/spreadsheets/d/1rEDxBtusbi64tE0zunoIbsTVV16HeL0oJ6trHQeQ7K8/edit?usp=sharing"",""เชียงใหม่!J682"")"),0)</f>
        <v>0</v>
      </c>
      <c r="BT16" s="354">
        <f t="shared" ca="1" si="63"/>
        <v>0</v>
      </c>
      <c r="BU16" s="177">
        <f ca="1">IFERROR(__xludf.DUMMYFUNCTION("IMPORTRANGE(""https://docs.google.com/spreadsheets/d/1rEDxBtusbi64tE0zunoIbsTVV16HeL0oJ6trHQeQ7K8/edit?usp=sharing"",""เชียงใหม่!J683"")"),0)</f>
        <v>0</v>
      </c>
      <c r="BV16" s="177">
        <f ca="1">IFERROR(__xludf.DUMMYFUNCTION("IMPORTRANGE(""https://docs.google.com/spreadsheets/d/1rEDxBtusbi64tE0zunoIbsTVV16HeL0oJ6trHQeQ7K8/edit?usp=sharing"",""เชียงใหม่!J684"")"),0)</f>
        <v>0</v>
      </c>
      <c r="BW16" s="177">
        <f ca="1">IFERROR(__xludf.DUMMYFUNCTION("IMPORTRANGE(""https://docs.google.com/spreadsheets/d/1rEDxBtusbi64tE0zunoIbsTVV16HeL0oJ6trHQeQ7K8/edit?usp=sharing"",""เชียงใหม่!J685"")"),0)</f>
        <v>0</v>
      </c>
      <c r="BX16" s="177">
        <f ca="1">IFERROR(__xludf.DUMMYFUNCTION("IMPORTRANGE(""https://docs.google.com/spreadsheets/d/1rEDxBtusbi64tE0zunoIbsTVV16HeL0oJ6trHQeQ7K8/edit?usp=sharing"",""เชียงใหม่!J686"")"),0)</f>
        <v>0</v>
      </c>
      <c r="BY16" s="177">
        <f ca="1">IFERROR(__xludf.DUMMYFUNCTION("IMPORTRANGE(""https://docs.google.com/spreadsheets/d/1rEDxBtusbi64tE0zunoIbsTVV16HeL0oJ6trHQeQ7K8/edit?usp=sharing"",""เชียงใหม่!J687"")"),0)</f>
        <v>0</v>
      </c>
      <c r="BZ16" s="177">
        <f ca="1">IFERROR(__xludf.DUMMYFUNCTION("IMPORTRANGE(""https://docs.google.com/spreadsheets/d/1rEDxBtusbi64tE0zunoIbsTVV16HeL0oJ6trHQeQ7K8/edit?usp=sharing"",""เชียงใหม่!J688"")"),0)</f>
        <v>0</v>
      </c>
    </row>
    <row r="17" spans="1:78" ht="21.75" customHeight="1" x14ac:dyDescent="0.3">
      <c r="A17" s="89">
        <v>4</v>
      </c>
      <c r="B17" s="90" t="s">
        <v>43</v>
      </c>
      <c r="C17" s="174">
        <f t="shared" si="38"/>
        <v>0</v>
      </c>
      <c r="D17" s="175">
        <f t="shared" si="65"/>
        <v>0</v>
      </c>
      <c r="E17" s="403">
        <v>0</v>
      </c>
      <c r="F17" s="403">
        <v>0</v>
      </c>
      <c r="G17" s="403">
        <v>0</v>
      </c>
      <c r="H17" s="403">
        <v>0</v>
      </c>
      <c r="I17" s="403">
        <v>0</v>
      </c>
      <c r="J17" s="176">
        <f t="shared" si="40"/>
        <v>0</v>
      </c>
      <c r="K17" s="179">
        <f t="shared" si="41"/>
        <v>0</v>
      </c>
      <c r="L17" s="403">
        <v>0</v>
      </c>
      <c r="M17" s="87">
        <f t="shared" si="42"/>
        <v>0</v>
      </c>
      <c r="N17" s="87">
        <f t="shared" si="43"/>
        <v>0</v>
      </c>
      <c r="O17" s="403">
        <v>0</v>
      </c>
      <c r="P17" s="86">
        <f t="shared" si="44"/>
        <v>0</v>
      </c>
      <c r="Q17" s="87">
        <f t="shared" si="45"/>
        <v>0</v>
      </c>
      <c r="R17" s="87">
        <f ca="1">IFERROR(__xludf.DUMMYFUNCTION("IMPORTRANGE(""https://docs.google.com/spreadsheets/d/1W6MnUbDkMi6xHnHko_XkFDO9kkuL6Wqyc-6OCDFjW9I/edit?usp=sharing"",""ตาก!Q642"")"),0)</f>
        <v>0</v>
      </c>
      <c r="S17" s="87">
        <f ca="1">IFERROR(__xludf.DUMMYFUNCTION("IMPORTRANGE(""https://docs.google.com/spreadsheets/d/1W6MnUbDkMi6xHnHko_XkFDO9kkuL6Wqyc-6OCDFjW9I/edit?usp=sharing"",""ตาก!R642"")"),0)</f>
        <v>0</v>
      </c>
      <c r="T17" s="87">
        <f ca="1">IFERROR(__xludf.DUMMYFUNCTION("IMPORTRANGE(""https://docs.google.com/spreadsheets/d/1W6MnUbDkMi6xHnHko_XkFDO9kkuL6Wqyc-6OCDFjW9I/edit?usp=sharing"",""ตาก!S642"")"),0)</f>
        <v>0</v>
      </c>
      <c r="U17" s="87">
        <f t="shared" ca="1" si="47"/>
        <v>0</v>
      </c>
      <c r="V17" s="87">
        <f t="shared" ca="1" si="48"/>
        <v>0</v>
      </c>
      <c r="W17" s="353">
        <f ca="1">IFERROR(__xludf.DUMMYFUNCTION("IMPORTRANGE(""https://docs.google.com/spreadsheets/d/1W6MnUbDkMi6xHnHko_XkFDO9kkuL6Wqyc-6OCDFjW9I/edit?usp=sharing"",""ตาก!I652"")"),0)</f>
        <v>0</v>
      </c>
      <c r="X17" s="177">
        <f ca="1">IFERROR(__xludf.DUMMYFUNCTION("IMPORTRANGE(""https://docs.google.com/spreadsheets/d/1W6MnUbDkMi6xHnHko_XkFDO9kkuL6Wqyc-6OCDFjW9I/edit?usp=sharing"",""ตาก!J652"")"),0)</f>
        <v>0</v>
      </c>
      <c r="Y17" s="354">
        <f t="shared" ca="1" si="50"/>
        <v>0</v>
      </c>
      <c r="Z17" s="177">
        <f ca="1">IFERROR(__xludf.DUMMYFUNCTION("IMPORTRANGE(""https://docs.google.com/spreadsheets/d/1W6MnUbDkMi6xHnHko_XkFDO9kkuL6Wqyc-6OCDFjW9I/edit?usp=sharing"",""ตาก!I653"")"),0)</f>
        <v>0</v>
      </c>
      <c r="AA17" s="177">
        <f ca="1">IFERROR(__xludf.DUMMYFUNCTION("IMPORTRANGE(""https://docs.google.com/spreadsheets/d/1W6MnUbDkMi6xHnHko_XkFDO9kkuL6Wqyc-6OCDFjW9I/edit?usp=sharing"",""ตาก!J653"")"),0)</f>
        <v>0</v>
      </c>
      <c r="AB17" s="354">
        <f t="shared" ca="1" si="52"/>
        <v>0</v>
      </c>
      <c r="AC17" s="177">
        <f ca="1">IFERROR(__xludf.DUMMYFUNCTION("IMPORTRANGE(""https://docs.google.com/spreadsheets/d/1W6MnUbDkMi6xHnHko_XkFDO9kkuL6Wqyc-6OCDFjW9I/edit?usp=sharing"",""ตาก!I654"")"),0)</f>
        <v>0</v>
      </c>
      <c r="AD17" s="177">
        <f ca="1">IFERROR(__xludf.DUMMYFUNCTION("IMPORTRANGE(""https://docs.google.com/spreadsheets/d/1W6MnUbDkMi6xHnHko_XkFDO9kkuL6Wqyc-6OCDFjW9I/edit?usp=sharing"",""ตาก!J654"")"),0)</f>
        <v>0</v>
      </c>
      <c r="AE17" s="354">
        <f t="shared" ca="1" si="54"/>
        <v>0</v>
      </c>
      <c r="AF17" s="354">
        <f ca="1">IFERROR(__xludf.DUMMYFUNCTION("IMPORTRANGE(""https://docs.google.com/spreadsheets/d/1W6MnUbDkMi6xHnHko_XkFDO9kkuL6Wqyc-6OCDFjW9I/edit?usp=sharing"",""ตาก!J655"")"),0)</f>
        <v>0</v>
      </c>
      <c r="AG17" s="354">
        <f ca="1">IFERROR(__xludf.DUMMYFUNCTION("IMPORTRANGE(""https://docs.google.com/spreadsheets/d/1W6MnUbDkMi6xHnHko_XkFDO9kkuL6Wqyc-6OCDFjW9I/edit?usp=sharing"",""ตาก!J656"")"),0)</f>
        <v>0</v>
      </c>
      <c r="AH17" s="354">
        <f ca="1">IFERROR(__xludf.DUMMYFUNCTION("IMPORTRANGE(""https://docs.google.com/spreadsheets/d/1W6MnUbDkMi6xHnHko_XkFDO9kkuL6Wqyc-6OCDFjW9I/edit?usp=sharing"",""ตาก!J657"")"),0)</f>
        <v>0</v>
      </c>
      <c r="AI17" s="354">
        <f ca="1">IFERROR(__xludf.DUMMYFUNCTION("IMPORTRANGE(""https://docs.google.com/spreadsheets/d/1W6MnUbDkMi6xHnHko_XkFDO9kkuL6Wqyc-6OCDFjW9I/edit?usp=sharing"",""ตาก!J658"")"),0)</f>
        <v>0</v>
      </c>
      <c r="AJ17" s="354">
        <f ca="1">IFERROR(__xludf.DUMMYFUNCTION("IMPORTRANGE(""https://docs.google.com/spreadsheets/d/1W6MnUbDkMi6xHnHko_XkFDO9kkuL6Wqyc-6OCDFjW9I/edit?usp=sharing"",""ตาก!J659"")"),0)</f>
        <v>0</v>
      </c>
      <c r="AK17" s="354">
        <f ca="1">IFERROR(__xludf.DUMMYFUNCTION("IMPORTRANGE(""https://docs.google.com/spreadsheets/d/1W6MnUbDkMi6xHnHko_XkFDO9kkuL6Wqyc-6OCDFjW9I/edit?usp=sharing"",""ตาก!J660"")"),0)</f>
        <v>0</v>
      </c>
      <c r="AL17" s="177">
        <f ca="1">IFERROR(__xludf.DUMMYFUNCTION("IMPORTRANGE(""https://docs.google.com/spreadsheets/d/1W6MnUbDkMi6xHnHko_XkFDO9kkuL6Wqyc-6OCDFjW9I/edit?usp=sharing"",""ตาก!I661"")"),0)</f>
        <v>0</v>
      </c>
      <c r="AM17" s="177">
        <f ca="1">IFERROR(__xludf.DUMMYFUNCTION("IMPORTRANGE(""https://docs.google.com/spreadsheets/d/1W6MnUbDkMi6xHnHko_XkFDO9kkuL6Wqyc-6OCDFjW9I/edit?usp=sharing"",""ตาก!J661"")"),0)</f>
        <v>0</v>
      </c>
      <c r="AN17" s="354">
        <f t="shared" ca="1" si="56"/>
        <v>0</v>
      </c>
      <c r="AO17" s="177">
        <f ca="1">IFERROR(__xludf.DUMMYFUNCTION("IMPORTRANGE(""https://docs.google.com/spreadsheets/d/1W6MnUbDkMi6xHnHko_XkFDO9kkuL6Wqyc-6OCDFjW9I/edit?usp=sharing"",""ตาก!J662"")"),0)</f>
        <v>0</v>
      </c>
      <c r="AP17" s="177">
        <f ca="1">IFERROR(__xludf.DUMMYFUNCTION("IMPORTRANGE(""https://docs.google.com/spreadsheets/d/1W6MnUbDkMi6xHnHko_XkFDO9kkuL6Wqyc-6OCDFjW9I/edit?usp=sharing"",""ตาก!J663"")"),0)</f>
        <v>0</v>
      </c>
      <c r="AQ17" s="177">
        <f ca="1">IFERROR(__xludf.DUMMYFUNCTION("IMPORTRANGE(""https://docs.google.com/spreadsheets/d/1W6MnUbDkMi6xHnHko_XkFDO9kkuL6Wqyc-6OCDFjW9I/edit?usp=sharing"",""ตาก!J665"")"),0)</f>
        <v>0</v>
      </c>
      <c r="AR17" s="177">
        <f ca="1">IFERROR(__xludf.DUMMYFUNCTION("IMPORTRANGE(""https://docs.google.com/spreadsheets/d/1W6MnUbDkMi6xHnHko_XkFDO9kkuL6Wqyc-6OCDFjW9I/edit?usp=sharing"",""ตาก!J666"")"),0)</f>
        <v>0</v>
      </c>
      <c r="AS17" s="177">
        <f ca="1">IFERROR(__xludf.DUMMYFUNCTION("IMPORTRANGE(""https://docs.google.com/spreadsheets/d/1W6MnUbDkMi6xHnHko_XkFDO9kkuL6Wqyc-6OCDFjW9I/edit?usp=sharing"",""ตาก!J667"")"),0)</f>
        <v>0</v>
      </c>
      <c r="AT17" s="177">
        <f ca="1">IFERROR(__xludf.DUMMYFUNCTION("IMPORTRANGE(""https://docs.google.com/spreadsheets/d/1W6MnUbDkMi6xHnHko_XkFDO9kkuL6Wqyc-6OCDFjW9I/edit?usp=sharing"",""ตาก!J668"")"),0)</f>
        <v>0</v>
      </c>
      <c r="AU17" s="177">
        <f ca="1">IFERROR(__xludf.DUMMYFUNCTION("IMPORTRANGE(""https://docs.google.com/spreadsheets/d/1W6MnUbDkMi6xHnHko_XkFDO9kkuL6Wqyc-6OCDFjW9I/edit?usp=sharing"",""ตาก!J669"")"),0)</f>
        <v>0</v>
      </c>
      <c r="AV17" s="177">
        <f ca="1">IFERROR(__xludf.DUMMYFUNCTION("IMPORTRANGE(""https://docs.google.com/spreadsheets/d/1W6MnUbDkMi6xHnHko_XkFDO9kkuL6Wqyc-6OCDFjW9I/edit?usp=sharing"",""ตาก!J670"")"),0)</f>
        <v>0</v>
      </c>
      <c r="AW17" s="177">
        <v>0</v>
      </c>
      <c r="AX17" s="177">
        <f ca="1">IFERROR(__xludf.DUMMYFUNCTION("IMPORTRANGE(""https://docs.google.com/spreadsheets/d/1W6MnUbDkMi6xHnHko_XkFDO9kkuL6Wqyc-6OCDFjW9I/edit?usp=sharing"",""ตาก!J671"")"),0)</f>
        <v>0</v>
      </c>
      <c r="AY17" s="177">
        <f ca="1">IFERROR(__xludf.DUMMYFUNCTION("IMPORTRANGE(""https://docs.google.com/spreadsheets/d/1W6MnUbDkMi6xHnHko_XkFDO9kkuL6Wqyc-6OCDFjW9I/edit?usp=sharing"",""ตาก!J672"")"),0)</f>
        <v>0</v>
      </c>
      <c r="AZ17" s="177">
        <f ca="1">IFERROR(__xludf.DUMMYFUNCTION("IMPORTRANGE(""https://docs.google.com/spreadsheets/d/1W6MnUbDkMi6xHnHko_XkFDO9kkuL6Wqyc-6OCDFjW9I/edit?usp=sharing"",""ตาก!J673"")"),0)</f>
        <v>0</v>
      </c>
      <c r="BA17" s="354">
        <f t="shared" si="58"/>
        <v>0</v>
      </c>
      <c r="BB17" s="177">
        <f ca="1">IFERROR(__xludf.DUMMYFUNCTION("IMPORTRANGE(""https://docs.google.com/spreadsheets/d/1W6MnUbDkMi6xHnHko_XkFDO9kkuL6Wqyc-6OCDFjW9I/edit?usp=sharing"",""ตาก!I674"")"),0)</f>
        <v>0</v>
      </c>
      <c r="BC17" s="177">
        <f ca="1">IFERROR(__xludf.DUMMYFUNCTION("IMPORTRANGE(""https://docs.google.com/spreadsheets/d/1W6MnUbDkMi6xHnHko_XkFDO9kkuL6Wqyc-6OCDFjW9I/edit?usp=sharing"",""ตาก!I675"")"),0)</f>
        <v>0</v>
      </c>
      <c r="BD17" s="177">
        <f ca="1">IFERROR(__xludf.DUMMYFUNCTION("IMPORTRANGE(""https://docs.google.com/spreadsheets/d/1W6MnUbDkMi6xHnHko_XkFDO9kkuL6Wqyc-6OCDFjW9I/edit?usp=sharing"",""ตาก!J674"")"),0)</f>
        <v>0</v>
      </c>
      <c r="BE17" s="354">
        <f t="shared" ca="1" si="60"/>
        <v>0</v>
      </c>
      <c r="BF17" s="177">
        <f ca="1">IFERROR(__xludf.DUMMYFUNCTION("IMPORTRANGE(""https://docs.google.com/spreadsheets/d/1W6MnUbDkMi6xHnHko_XkFDO9kkuL6Wqyc-6OCDFjW9I/edit?usp=sharing"",""ตาก!J675"")"),0)</f>
        <v>0</v>
      </c>
      <c r="BG17" s="354">
        <f t="shared" ca="1" si="61"/>
        <v>0</v>
      </c>
      <c r="BH17" s="177">
        <f ca="1">IFERROR(__xludf.DUMMYFUNCTION("IMPORTRANGE(""https://docs.google.com/spreadsheets/d/1W6MnUbDkMi6xHnHko_XkFDO9kkuL6Wqyc-6OCDFjW9I/edit?usp=sharing"",""ตาก!I676"")"),0)</f>
        <v>0</v>
      </c>
      <c r="BI17" s="177">
        <f ca="1">IFERROR(__xludf.DUMMYFUNCTION("IMPORTRANGE(""https://docs.google.com/spreadsheets/d/1W6MnUbDkMi6xHnHko_XkFDO9kkuL6Wqyc-6OCDFjW9I/edit?usp=sharing"",""ตาก!I678"")"),0)</f>
        <v>0</v>
      </c>
      <c r="BJ17" s="177">
        <f ca="1">IFERROR(__xludf.DUMMYFUNCTION("IMPORTRANGE(""https://docs.google.com/spreadsheets/d/1W6MnUbDkMi6xHnHko_XkFDO9kkuL6Wqyc-6OCDFjW9I/edit?usp=sharing"",""ตาก!J676"")"),0)</f>
        <v>0</v>
      </c>
      <c r="BK17" s="177">
        <f ca="1">IFERROR(__xludf.DUMMYFUNCTION("IMPORTRANGE(""https://docs.google.com/spreadsheets/d/1W6MnUbDkMi6xHnHko_XkFDO9kkuL6Wqyc-6OCDFjW9I/edit?usp=sharing"",""ตาก!J677"")"),0)</f>
        <v>0</v>
      </c>
      <c r="BL17" s="177">
        <f ca="1">IFERROR(__xludf.DUMMYFUNCTION("IMPORTRANGE(""https://docs.google.com/spreadsheets/d/1W6MnUbDkMi6xHnHko_XkFDO9kkuL6Wqyc-6OCDFjW9I/edit?usp=sharing"",""ตาก!J678"")"),0)</f>
        <v>0</v>
      </c>
      <c r="BM17" s="177">
        <f ca="1">IFERROR(__xludf.DUMMYFUNCTION("IMPORTRANGE(""https://docs.google.com/spreadsheets/d/1W6MnUbDkMi6xHnHko_XkFDO9kkuL6Wqyc-6OCDFjW9I/edit?usp=sharing"",""ตาก!I679"")"),0)</f>
        <v>0</v>
      </c>
      <c r="BN17" s="177">
        <f ca="1">IFERROR(__xludf.DUMMYFUNCTION("IMPORTRANGE(""https://docs.google.com/spreadsheets/d/1W6MnUbDkMi6xHnHko_XkFDO9kkuL6Wqyc-6OCDFjW9I/edit?usp=sharing"",""ตาก!I681"")"),0)</f>
        <v>0</v>
      </c>
      <c r="BO17" s="177">
        <f ca="1">IFERROR(__xludf.DUMMYFUNCTION("IMPORTRANGE(""https://docs.google.com/spreadsheets/d/1W6MnUbDkMi6xHnHko_XkFDO9kkuL6Wqyc-6OCDFjW9I/edit?usp=sharing"",""ตาก!J679"")"),0)</f>
        <v>0</v>
      </c>
      <c r="BP17" s="177">
        <f ca="1">IFERROR(__xludf.DUMMYFUNCTION("IMPORTRANGE(""https://docs.google.com/spreadsheets/d/1W6MnUbDkMi6xHnHko_XkFDO9kkuL6Wqyc-6OCDFjW9I/edit?usp=sharing"",""ตาก!J680"")"),0)</f>
        <v>0</v>
      </c>
      <c r="BQ17" s="177">
        <f ca="1">IFERROR(__xludf.DUMMYFUNCTION("IMPORTRANGE(""https://docs.google.com/spreadsheets/d/1W6MnUbDkMi6xHnHko_XkFDO9kkuL6Wqyc-6OCDFjW9I/edit?usp=sharing"",""ตาก!J681"")"),0)</f>
        <v>0</v>
      </c>
      <c r="BR17" s="177">
        <f ca="1">IFERROR(__xludf.DUMMYFUNCTION("IMPORTRANGE(""https://docs.google.com/spreadsheets/d/1W6MnUbDkMi6xHnHko_XkFDO9kkuL6Wqyc-6OCDFjW9I/edit?usp=sharing"",""ตาก!I682"")"),0)</f>
        <v>0</v>
      </c>
      <c r="BS17" s="177">
        <f ca="1">IFERROR(__xludf.DUMMYFUNCTION("IMPORTRANGE(""https://docs.google.com/spreadsheets/d/1W6MnUbDkMi6xHnHko_XkFDO9kkuL6Wqyc-6OCDFjW9I/edit?usp=sharing"",""ตาก!J682"")"),0)</f>
        <v>0</v>
      </c>
      <c r="BT17" s="354">
        <f t="shared" ca="1" si="63"/>
        <v>0</v>
      </c>
      <c r="BU17" s="177">
        <f ca="1">IFERROR(__xludf.DUMMYFUNCTION("IMPORTRANGE(""https://docs.google.com/spreadsheets/d/1W6MnUbDkMi6xHnHko_XkFDO9kkuL6Wqyc-6OCDFjW9I/edit?usp=sharing"",""ตาก!J683"")"),0)</f>
        <v>0</v>
      </c>
      <c r="BV17" s="177">
        <f ca="1">IFERROR(__xludf.DUMMYFUNCTION("IMPORTRANGE(""https://docs.google.com/spreadsheets/d/1W6MnUbDkMi6xHnHko_XkFDO9kkuL6Wqyc-6OCDFjW9I/edit?usp=sharing"",""ตาก!J684"")"),0)</f>
        <v>0</v>
      </c>
      <c r="BW17" s="177">
        <f ca="1">IFERROR(__xludf.DUMMYFUNCTION("IMPORTRANGE(""https://docs.google.com/spreadsheets/d/1W6MnUbDkMi6xHnHko_XkFDO9kkuL6Wqyc-6OCDFjW9I/edit?usp=sharing"",""ตาก!J685"")"),0)</f>
        <v>0</v>
      </c>
      <c r="BX17" s="177">
        <f ca="1">IFERROR(__xludf.DUMMYFUNCTION("IMPORTRANGE(""https://docs.google.com/spreadsheets/d/1W6MnUbDkMi6xHnHko_XkFDO9kkuL6Wqyc-6OCDFjW9I/edit?usp=sharing"",""ตาก!J686"")"),0)</f>
        <v>0</v>
      </c>
      <c r="BY17" s="177">
        <f ca="1">IFERROR(__xludf.DUMMYFUNCTION("IMPORTRANGE(""https://docs.google.com/spreadsheets/d/1W6MnUbDkMi6xHnHko_XkFDO9kkuL6Wqyc-6OCDFjW9I/edit?usp=sharing"",""ตาก!J687"")"),0)</f>
        <v>0</v>
      </c>
      <c r="BZ17" s="177">
        <f ca="1">IFERROR(__xludf.DUMMYFUNCTION("IMPORTRANGE(""https://docs.google.com/spreadsheets/d/1W6MnUbDkMi6xHnHko_XkFDO9kkuL6Wqyc-6OCDFjW9I/edit?usp=sharing"",""ตาก!J688"")"),0)</f>
        <v>0</v>
      </c>
    </row>
    <row r="18" spans="1:78" ht="21.75" customHeight="1" x14ac:dyDescent="0.3">
      <c r="A18" s="89">
        <v>5</v>
      </c>
      <c r="B18" s="90" t="s">
        <v>44</v>
      </c>
      <c r="C18" s="174">
        <f t="shared" si="38"/>
        <v>0</v>
      </c>
      <c r="D18" s="175">
        <f t="shared" si="65"/>
        <v>0</v>
      </c>
      <c r="E18" s="403">
        <v>0</v>
      </c>
      <c r="F18" s="403">
        <v>0</v>
      </c>
      <c r="G18" s="403">
        <v>0</v>
      </c>
      <c r="H18" s="403">
        <v>0</v>
      </c>
      <c r="I18" s="403">
        <v>0</v>
      </c>
      <c r="J18" s="176">
        <f t="shared" si="40"/>
        <v>0</v>
      </c>
      <c r="K18" s="179">
        <f t="shared" si="41"/>
        <v>0</v>
      </c>
      <c r="L18" s="403">
        <v>0</v>
      </c>
      <c r="M18" s="87">
        <f t="shared" si="42"/>
        <v>0</v>
      </c>
      <c r="N18" s="87">
        <f t="shared" si="43"/>
        <v>0</v>
      </c>
      <c r="O18" s="403">
        <v>0</v>
      </c>
      <c r="P18" s="86">
        <f t="shared" si="44"/>
        <v>0</v>
      </c>
      <c r="Q18" s="87">
        <f t="shared" si="45"/>
        <v>0</v>
      </c>
      <c r="R18" s="87">
        <f ca="1">IFERROR(__xludf.DUMMYFUNCTION("IMPORTRANGE(""https://docs.google.com/spreadsheets/d/1IQAWArduLkta9LpYo4a_ULsyqdta6-6aDDiwpUnQT6c/edit?usp=sharing"",""นครสวรรค์!Q642"")"),284040)</f>
        <v>284040</v>
      </c>
      <c r="S18" s="87">
        <f ca="1">IFERROR(__xludf.DUMMYFUNCTION("IMPORTRANGE(""https://docs.google.com/spreadsheets/d/1IQAWArduLkta9LpYo4a_ULsyqdta6-6aDDiwpUnQT6c/edit?usp=sharing"",""นครสวรรค์!R642"")"),0)</f>
        <v>0</v>
      </c>
      <c r="T18" s="87">
        <f ca="1">IFERROR(__xludf.DUMMYFUNCTION("IMPORTRANGE(""https://docs.google.com/spreadsheets/d/1IQAWArduLkta9LpYo4a_ULsyqdta6-6aDDiwpUnQT6c/edit?usp=sharing"",""นครสวรรค์!S642"")"),0)</f>
        <v>0</v>
      </c>
      <c r="U18" s="87">
        <f t="shared" ca="1" si="47"/>
        <v>0</v>
      </c>
      <c r="V18" s="87">
        <f t="shared" ca="1" si="48"/>
        <v>0</v>
      </c>
      <c r="W18" s="353">
        <f ca="1">IFERROR(__xludf.DUMMYFUNCTION("IMPORTRANGE(""https://docs.google.com/spreadsheets/d/1IQAWArduLkta9LpYo4a_ULsyqdta6-6aDDiwpUnQT6c/edit?usp=sharing"",""นครสวรรค์!I652"")"),0)</f>
        <v>0</v>
      </c>
      <c r="X18" s="177">
        <f ca="1">IFERROR(__xludf.DUMMYFUNCTION("IMPORTRANGE(""https://docs.google.com/spreadsheets/d/1IQAWArduLkta9LpYo4a_ULsyqdta6-6aDDiwpUnQT6c/edit?usp=sharing"",""นครสวรรค์!J652"")"),0)</f>
        <v>0</v>
      </c>
      <c r="Y18" s="354">
        <f t="shared" ca="1" si="50"/>
        <v>0</v>
      </c>
      <c r="Z18" s="177">
        <f ca="1">IFERROR(__xludf.DUMMYFUNCTION("IMPORTRANGE(""https://docs.google.com/spreadsheets/d/1IQAWArduLkta9LpYo4a_ULsyqdta6-6aDDiwpUnQT6c/edit?usp=sharing"",""นครสวรรค์!I653"")"),40)</f>
        <v>40</v>
      </c>
      <c r="AA18" s="177">
        <f ca="1">IFERROR(__xludf.DUMMYFUNCTION("IMPORTRANGE(""https://docs.google.com/spreadsheets/d/1IQAWArduLkta9LpYo4a_ULsyqdta6-6aDDiwpUnQT6c/edit?usp=sharing"",""นครสวรรค์!J653"")"),0)</f>
        <v>0</v>
      </c>
      <c r="AB18" s="354">
        <f t="shared" ca="1" si="52"/>
        <v>0</v>
      </c>
      <c r="AC18" s="177">
        <f ca="1">IFERROR(__xludf.DUMMYFUNCTION("IMPORTRANGE(""https://docs.google.com/spreadsheets/d/1IQAWArduLkta9LpYo4a_ULsyqdta6-6aDDiwpUnQT6c/edit?usp=sharing"",""นครสวรรค์!I654"")"),1955)</f>
        <v>1955</v>
      </c>
      <c r="AD18" s="177">
        <f ca="1">IFERROR(__xludf.DUMMYFUNCTION("IMPORTRANGE(""https://docs.google.com/spreadsheets/d/1IQAWArduLkta9LpYo4a_ULsyqdta6-6aDDiwpUnQT6c/edit?usp=sharing"",""นครสวรรค์!J654"")"),0)</f>
        <v>0</v>
      </c>
      <c r="AE18" s="354">
        <f t="shared" ca="1" si="54"/>
        <v>0</v>
      </c>
      <c r="AF18" s="354">
        <f ca="1">IFERROR(__xludf.DUMMYFUNCTION("IMPORTRANGE(""https://docs.google.com/spreadsheets/d/1IQAWArduLkta9LpYo4a_ULsyqdta6-6aDDiwpUnQT6c/edit?usp=sharing"",""นครสวรรค์!J655"")"),0)</f>
        <v>0</v>
      </c>
      <c r="AG18" s="354">
        <f ca="1">IFERROR(__xludf.DUMMYFUNCTION("IMPORTRANGE(""https://docs.google.com/spreadsheets/d/1IQAWArduLkta9LpYo4a_ULsyqdta6-6aDDiwpUnQT6c/edit?usp=sharing"",""นครสวรรค์!J656"")"),0)</f>
        <v>0</v>
      </c>
      <c r="AH18" s="354">
        <f ca="1">IFERROR(__xludf.DUMMYFUNCTION("IMPORTRANGE(""https://docs.google.com/spreadsheets/d/1IQAWArduLkta9LpYo4a_ULsyqdta6-6aDDiwpUnQT6c/edit?usp=sharing"",""นครสวรรค์!J657"")"),0)</f>
        <v>0</v>
      </c>
      <c r="AI18" s="354">
        <f ca="1">IFERROR(__xludf.DUMMYFUNCTION("IMPORTRANGE(""https://docs.google.com/spreadsheets/d/1IQAWArduLkta9LpYo4a_ULsyqdta6-6aDDiwpUnQT6c/edit?usp=sharing"",""นครสวรรค์!J658"")"),0)</f>
        <v>0</v>
      </c>
      <c r="AJ18" s="354">
        <f ca="1">IFERROR(__xludf.DUMMYFUNCTION("IMPORTRANGE(""https://docs.google.com/spreadsheets/d/1IQAWArduLkta9LpYo4a_ULsyqdta6-6aDDiwpUnQT6c/edit?usp=sharing"",""นครสวรรค์!J659"")"),0)</f>
        <v>0</v>
      </c>
      <c r="AK18" s="354">
        <f ca="1">IFERROR(__xludf.DUMMYFUNCTION("IMPORTRANGE(""https://docs.google.com/spreadsheets/d/1IQAWArduLkta9LpYo4a_ULsyqdta6-6aDDiwpUnQT6c/edit?usp=sharing"",""นครสวรรค์!J660"")"),0)</f>
        <v>0</v>
      </c>
      <c r="AL18" s="177">
        <f ca="1">IFERROR(__xludf.DUMMYFUNCTION("IMPORTRANGE(""https://docs.google.com/spreadsheets/d/1IQAWArduLkta9LpYo4a_ULsyqdta6-6aDDiwpUnQT6c/edit?usp=sharing"",""นครสวรรค์!I661"")"),1846)</f>
        <v>1846</v>
      </c>
      <c r="AM18" s="177">
        <f ca="1">IFERROR(__xludf.DUMMYFUNCTION("IMPORTRANGE(""https://docs.google.com/spreadsheets/d/1IQAWArduLkta9LpYo4a_ULsyqdta6-6aDDiwpUnQT6c/edit?usp=sharing"",""นครสวรรค์!J661"")"),0)</f>
        <v>0</v>
      </c>
      <c r="AN18" s="354">
        <f t="shared" ca="1" si="56"/>
        <v>0</v>
      </c>
      <c r="AO18" s="177">
        <f ca="1">IFERROR(__xludf.DUMMYFUNCTION("IMPORTRANGE(""https://docs.google.com/spreadsheets/d/1IQAWArduLkta9LpYo4a_ULsyqdta6-6aDDiwpUnQT6c/edit?usp=sharing"",""นครสวรรค์!J662"")"),0)</f>
        <v>0</v>
      </c>
      <c r="AP18" s="177">
        <f ca="1">IFERROR(__xludf.DUMMYFUNCTION("IMPORTRANGE(""https://docs.google.com/spreadsheets/d/1IQAWArduLkta9LpYo4a_ULsyqdta6-6aDDiwpUnQT6c/edit?usp=sharing"",""นครสวรรค์!J663"")"),0)</f>
        <v>0</v>
      </c>
      <c r="AQ18" s="177">
        <f ca="1">IFERROR(__xludf.DUMMYFUNCTION("IMPORTRANGE(""https://docs.google.com/spreadsheets/d/1IQAWArduLkta9LpYo4a_ULsyqdta6-6aDDiwpUnQT6c/edit?usp=sharing"",""นครสวรรค์!J665"")"),0)</f>
        <v>0</v>
      </c>
      <c r="AR18" s="177">
        <f ca="1">IFERROR(__xludf.DUMMYFUNCTION("IMPORTRANGE(""https://docs.google.com/spreadsheets/d/1IQAWArduLkta9LpYo4a_ULsyqdta6-6aDDiwpUnQT6c/edit?usp=sharing"",""นครสวรรค์!J666"")"),0)</f>
        <v>0</v>
      </c>
      <c r="AS18" s="177">
        <f ca="1">IFERROR(__xludf.DUMMYFUNCTION("IMPORTRANGE(""https://docs.google.com/spreadsheets/d/1IQAWArduLkta9LpYo4a_ULsyqdta6-6aDDiwpUnQT6c/edit?usp=sharing"",""นครสวรรค์!J667"")"),0)</f>
        <v>0</v>
      </c>
      <c r="AT18" s="177">
        <f ca="1">IFERROR(__xludf.DUMMYFUNCTION("IMPORTRANGE(""https://docs.google.com/spreadsheets/d/1IQAWArduLkta9LpYo4a_ULsyqdta6-6aDDiwpUnQT6c/edit?usp=sharing"",""นครสวรรค์!J668"")"),0)</f>
        <v>0</v>
      </c>
      <c r="AU18" s="177">
        <f ca="1">IFERROR(__xludf.DUMMYFUNCTION("IMPORTRANGE(""https://docs.google.com/spreadsheets/d/1IQAWArduLkta9LpYo4a_ULsyqdta6-6aDDiwpUnQT6c/edit?usp=sharing"",""นครสวรรค์!J669"")"),0)</f>
        <v>0</v>
      </c>
      <c r="AV18" s="177">
        <f ca="1">IFERROR(__xludf.DUMMYFUNCTION("IMPORTRANGE(""https://docs.google.com/spreadsheets/d/1IQAWArduLkta9LpYo4a_ULsyqdta6-6aDDiwpUnQT6c/edit?usp=sharing"",""นครสวรรค์!J670"")"),0)</f>
        <v>0</v>
      </c>
      <c r="AW18" s="177">
        <v>0</v>
      </c>
      <c r="AX18" s="177">
        <f ca="1">IFERROR(__xludf.DUMMYFUNCTION("IMPORTRANGE(""https://docs.google.com/spreadsheets/d/1IQAWArduLkta9LpYo4a_ULsyqdta6-6aDDiwpUnQT6c/edit?usp=sharing"",""นครสวรรค์!J671"")"),0)</f>
        <v>0</v>
      </c>
      <c r="AY18" s="177">
        <f ca="1">IFERROR(__xludf.DUMMYFUNCTION("IMPORTRANGE(""https://docs.google.com/spreadsheets/d/1IQAWArduLkta9LpYo4a_ULsyqdta6-6aDDiwpUnQT6c/edit?usp=sharing"",""นครสวรรค์!J672"")"),0)</f>
        <v>0</v>
      </c>
      <c r="AZ18" s="177">
        <f ca="1">IFERROR(__xludf.DUMMYFUNCTION("IMPORTRANGE(""https://docs.google.com/spreadsheets/d/1IQAWArduLkta9LpYo4a_ULsyqdta6-6aDDiwpUnQT6c/edit?usp=sharing"",""นครสวรรค์!J673"")"),0)</f>
        <v>0</v>
      </c>
      <c r="BA18" s="354">
        <f t="shared" si="58"/>
        <v>0</v>
      </c>
      <c r="BB18" s="177">
        <f ca="1">IFERROR(__xludf.DUMMYFUNCTION("IMPORTRANGE(""https://docs.google.com/spreadsheets/d/1IQAWArduLkta9LpYo4a_ULsyqdta6-6aDDiwpUnQT6c/edit?usp=sharing"",""นครสวรรค์!I674"")"),40)</f>
        <v>40</v>
      </c>
      <c r="BC18" s="177">
        <f ca="1">IFERROR(__xludf.DUMMYFUNCTION("IMPORTRANGE(""https://docs.google.com/spreadsheets/d/1IQAWArduLkta9LpYo4a_ULsyqdta6-6aDDiwpUnQT6c/edit?usp=sharing"",""นครสวรรค์!I675"")"),1009)</f>
        <v>1009</v>
      </c>
      <c r="BD18" s="177">
        <f ca="1">IFERROR(__xludf.DUMMYFUNCTION("IMPORTRANGE(""https://docs.google.com/spreadsheets/d/1IQAWArduLkta9LpYo4a_ULsyqdta6-6aDDiwpUnQT6c/edit?usp=sharing"",""นครสวรรค์!J674"")"),0)</f>
        <v>0</v>
      </c>
      <c r="BE18" s="354">
        <f t="shared" ca="1" si="60"/>
        <v>0</v>
      </c>
      <c r="BF18" s="177">
        <f ca="1">IFERROR(__xludf.DUMMYFUNCTION("IMPORTRANGE(""https://docs.google.com/spreadsheets/d/1IQAWArduLkta9LpYo4a_ULsyqdta6-6aDDiwpUnQT6c/edit?usp=sharing"",""นครสวรรค์!J675"")"),0)</f>
        <v>0</v>
      </c>
      <c r="BG18" s="354">
        <f t="shared" ca="1" si="61"/>
        <v>0</v>
      </c>
      <c r="BH18" s="177">
        <f ca="1">IFERROR(__xludf.DUMMYFUNCTION("IMPORTRANGE(""https://docs.google.com/spreadsheets/d/1IQAWArduLkta9LpYo4a_ULsyqdta6-6aDDiwpUnQT6c/edit?usp=sharing"",""นครสวรรค์!I676"")"),40)</f>
        <v>40</v>
      </c>
      <c r="BI18" s="177">
        <f ca="1">IFERROR(__xludf.DUMMYFUNCTION("IMPORTRANGE(""https://docs.google.com/spreadsheets/d/1IQAWArduLkta9LpYo4a_ULsyqdta6-6aDDiwpUnQT6c/edit?usp=sharing"",""นครสวรรค์!I678"")"),1009)</f>
        <v>1009</v>
      </c>
      <c r="BJ18" s="177">
        <f ca="1">IFERROR(__xludf.DUMMYFUNCTION("IMPORTRANGE(""https://docs.google.com/spreadsheets/d/1IQAWArduLkta9LpYo4a_ULsyqdta6-6aDDiwpUnQT6c/edit?usp=sharing"",""นครสวรรค์!J676"")"),0)</f>
        <v>0</v>
      </c>
      <c r="BK18" s="177">
        <f ca="1">IFERROR(__xludf.DUMMYFUNCTION("IMPORTRANGE(""https://docs.google.com/spreadsheets/d/1IQAWArduLkta9LpYo4a_ULsyqdta6-6aDDiwpUnQT6c/edit?usp=sharing"",""นครสวรรค์!J677"")"),0)</f>
        <v>0</v>
      </c>
      <c r="BL18" s="177">
        <f ca="1">IFERROR(__xludf.DUMMYFUNCTION("IMPORTRANGE(""https://docs.google.com/spreadsheets/d/1IQAWArduLkta9LpYo4a_ULsyqdta6-6aDDiwpUnQT6c/edit?usp=sharing"",""นครสวรรค์!J678"")"),0)</f>
        <v>0</v>
      </c>
      <c r="BM18" s="177">
        <f ca="1">IFERROR(__xludf.DUMMYFUNCTION("IMPORTRANGE(""https://docs.google.com/spreadsheets/d/1IQAWArduLkta9LpYo4a_ULsyqdta6-6aDDiwpUnQT6c/edit?usp=sharing"",""นครสวรรค์!I679"")"),0)</f>
        <v>0</v>
      </c>
      <c r="BN18" s="177">
        <f ca="1">IFERROR(__xludf.DUMMYFUNCTION("IMPORTRANGE(""https://docs.google.com/spreadsheets/d/1IQAWArduLkta9LpYo4a_ULsyqdta6-6aDDiwpUnQT6c/edit?usp=sharing"",""นครสวรรค์!I681"")"),0)</f>
        <v>0</v>
      </c>
      <c r="BO18" s="177">
        <f ca="1">IFERROR(__xludf.DUMMYFUNCTION("IMPORTRANGE(""https://docs.google.com/spreadsheets/d/1IQAWArduLkta9LpYo4a_ULsyqdta6-6aDDiwpUnQT6c/edit?usp=sharing"",""นครสวรรค์!J679"")"),0)</f>
        <v>0</v>
      </c>
      <c r="BP18" s="177">
        <f ca="1">IFERROR(__xludf.DUMMYFUNCTION("IMPORTRANGE(""https://docs.google.com/spreadsheets/d/1IQAWArduLkta9LpYo4a_ULsyqdta6-6aDDiwpUnQT6c/edit?usp=sharing"",""นครสวรรค์!J680"")"),0)</f>
        <v>0</v>
      </c>
      <c r="BQ18" s="177">
        <f ca="1">IFERROR(__xludf.DUMMYFUNCTION("IMPORTRANGE(""https://docs.google.com/spreadsheets/d/1IQAWArduLkta9LpYo4a_ULsyqdta6-6aDDiwpUnQT6c/edit?usp=sharing"",""นครสวรรค์!J681"")"),0)</f>
        <v>0</v>
      </c>
      <c r="BR18" s="177">
        <f ca="1">IFERROR(__xludf.DUMMYFUNCTION("IMPORTRANGE(""https://docs.google.com/spreadsheets/d/1IQAWArduLkta9LpYo4a_ULsyqdta6-6aDDiwpUnQT6c/edit?usp=sharing"",""นครสวรรค์!I682"")"),105)</f>
        <v>105</v>
      </c>
      <c r="BS18" s="177">
        <f ca="1">IFERROR(__xludf.DUMMYFUNCTION("IMPORTRANGE(""https://docs.google.com/spreadsheets/d/1IQAWArduLkta9LpYo4a_ULsyqdta6-6aDDiwpUnQT6c/edit?usp=sharing"",""นครสวรรค์!J682"")"),0)</f>
        <v>0</v>
      </c>
      <c r="BT18" s="354">
        <f t="shared" ca="1" si="63"/>
        <v>0</v>
      </c>
      <c r="BU18" s="177">
        <f ca="1">IFERROR(__xludf.DUMMYFUNCTION("IMPORTRANGE(""https://docs.google.com/spreadsheets/d/1IQAWArduLkta9LpYo4a_ULsyqdta6-6aDDiwpUnQT6c/edit?usp=sharing"",""นครสวรรค์!J683"")"),0)</f>
        <v>0</v>
      </c>
      <c r="BV18" s="177">
        <f ca="1">IFERROR(__xludf.DUMMYFUNCTION("IMPORTRANGE(""https://docs.google.com/spreadsheets/d/1IQAWArduLkta9LpYo4a_ULsyqdta6-6aDDiwpUnQT6c/edit?usp=sharing"",""นครสวรรค์!J684"")"),0)</f>
        <v>0</v>
      </c>
      <c r="BW18" s="177">
        <f ca="1">IFERROR(__xludf.DUMMYFUNCTION("IMPORTRANGE(""https://docs.google.com/spreadsheets/d/1IQAWArduLkta9LpYo4a_ULsyqdta6-6aDDiwpUnQT6c/edit?usp=sharing"",""นครสวรรค์!J685"")"),0)</f>
        <v>0</v>
      </c>
      <c r="BX18" s="177">
        <f ca="1">IFERROR(__xludf.DUMMYFUNCTION("IMPORTRANGE(""https://docs.google.com/spreadsheets/d/1IQAWArduLkta9LpYo4a_ULsyqdta6-6aDDiwpUnQT6c/edit?usp=sharing"",""นครสวรรค์!J686"")"),0)</f>
        <v>0</v>
      </c>
      <c r="BY18" s="177">
        <f ca="1">IFERROR(__xludf.DUMMYFUNCTION("IMPORTRANGE(""https://docs.google.com/spreadsheets/d/1IQAWArduLkta9LpYo4a_ULsyqdta6-6aDDiwpUnQT6c/edit?usp=sharing"",""นครสวรรค์!J687"")"),0)</f>
        <v>0</v>
      </c>
      <c r="BZ18" s="177">
        <f ca="1">IFERROR(__xludf.DUMMYFUNCTION("IMPORTRANGE(""https://docs.google.com/spreadsheets/d/1IQAWArduLkta9LpYo4a_ULsyqdta6-6aDDiwpUnQT6c/edit?usp=sharing"",""นครสวรรค์!J688"")"),0)</f>
        <v>0</v>
      </c>
    </row>
    <row r="19" spans="1:78" ht="21.75" customHeight="1" x14ac:dyDescent="0.3">
      <c r="A19" s="89">
        <v>6</v>
      </c>
      <c r="B19" s="90" t="s">
        <v>45</v>
      </c>
      <c r="C19" s="174">
        <f t="shared" si="38"/>
        <v>0</v>
      </c>
      <c r="D19" s="175">
        <f t="shared" si="65"/>
        <v>0</v>
      </c>
      <c r="E19" s="403">
        <v>0</v>
      </c>
      <c r="F19" s="403">
        <v>0</v>
      </c>
      <c r="G19" s="403">
        <v>0</v>
      </c>
      <c r="H19" s="403">
        <v>0</v>
      </c>
      <c r="I19" s="403">
        <v>0</v>
      </c>
      <c r="J19" s="176">
        <f t="shared" si="40"/>
        <v>0</v>
      </c>
      <c r="K19" s="179">
        <f t="shared" si="41"/>
        <v>0</v>
      </c>
      <c r="L19" s="403">
        <v>0</v>
      </c>
      <c r="M19" s="87">
        <f t="shared" si="42"/>
        <v>0</v>
      </c>
      <c r="N19" s="87">
        <f t="shared" si="43"/>
        <v>0</v>
      </c>
      <c r="O19" s="403">
        <v>0</v>
      </c>
      <c r="P19" s="86">
        <f t="shared" si="44"/>
        <v>0</v>
      </c>
      <c r="Q19" s="87">
        <f t="shared" si="45"/>
        <v>0</v>
      </c>
      <c r="R19" s="87">
        <f ca="1">IFERROR(__xludf.DUMMYFUNCTION("IMPORTRANGE(""https://docs.google.com/spreadsheets/d/10s13Sk5xrltsiR-Zkbmk5DwIaDIKO8XlbJAfqyT7Gvg/edit?usp=sharing"",""น่าน!Q642"")"),0)</f>
        <v>0</v>
      </c>
      <c r="S19" s="87">
        <f ca="1">IFERROR(__xludf.DUMMYFUNCTION("IMPORTRANGE(""https://docs.google.com/spreadsheets/d/10s13Sk5xrltsiR-Zkbmk5DwIaDIKO8XlbJAfqyT7Gvg/edit?usp=sharing"",""น่าน!R642"")"),0)</f>
        <v>0</v>
      </c>
      <c r="T19" s="87">
        <f ca="1">IFERROR(__xludf.DUMMYFUNCTION("IMPORTRANGE(""https://docs.google.com/spreadsheets/d/10s13Sk5xrltsiR-Zkbmk5DwIaDIKO8XlbJAfqyT7Gvg/edit?usp=sharing"",""น่าน!S642"")"),0)</f>
        <v>0</v>
      </c>
      <c r="U19" s="87">
        <f t="shared" ca="1" si="47"/>
        <v>0</v>
      </c>
      <c r="V19" s="87">
        <f t="shared" ca="1" si="48"/>
        <v>0</v>
      </c>
      <c r="W19" s="353">
        <f ca="1">IFERROR(__xludf.DUMMYFUNCTION("IMPORTRANGE(""https://docs.google.com/spreadsheets/d/10s13Sk5xrltsiR-Zkbmk5DwIaDIKO8XlbJAfqyT7Gvg/edit?usp=sharing"",""น่าน!I652"")"),0)</f>
        <v>0</v>
      </c>
      <c r="X19" s="177">
        <f ca="1">IFERROR(__xludf.DUMMYFUNCTION("IMPORTRANGE(""https://docs.google.com/spreadsheets/d/10s13Sk5xrltsiR-Zkbmk5DwIaDIKO8XlbJAfqyT7Gvg/edit?usp=sharing"",""น่าน!J652"")"),0)</f>
        <v>0</v>
      </c>
      <c r="Y19" s="354">
        <f t="shared" ca="1" si="50"/>
        <v>0</v>
      </c>
      <c r="Z19" s="177">
        <f ca="1">IFERROR(__xludf.DUMMYFUNCTION("IMPORTRANGE(""https://docs.google.com/spreadsheets/d/10s13Sk5xrltsiR-Zkbmk5DwIaDIKO8XlbJAfqyT7Gvg/edit?usp=sharing"",""น่าน!I653"")"),0)</f>
        <v>0</v>
      </c>
      <c r="AA19" s="177">
        <f ca="1">IFERROR(__xludf.DUMMYFUNCTION("IMPORTRANGE(""https://docs.google.com/spreadsheets/d/10s13Sk5xrltsiR-Zkbmk5DwIaDIKO8XlbJAfqyT7Gvg/edit?usp=sharing"",""น่าน!J653"")"),0)</f>
        <v>0</v>
      </c>
      <c r="AB19" s="354">
        <f t="shared" ca="1" si="52"/>
        <v>0</v>
      </c>
      <c r="AC19" s="177">
        <f ca="1">IFERROR(__xludf.DUMMYFUNCTION("IMPORTRANGE(""https://docs.google.com/spreadsheets/d/10s13Sk5xrltsiR-Zkbmk5DwIaDIKO8XlbJAfqyT7Gvg/edit?usp=sharing"",""น่าน!I654"")"),0)</f>
        <v>0</v>
      </c>
      <c r="AD19" s="177">
        <f ca="1">IFERROR(__xludf.DUMMYFUNCTION("IMPORTRANGE(""https://docs.google.com/spreadsheets/d/10s13Sk5xrltsiR-Zkbmk5DwIaDIKO8XlbJAfqyT7Gvg/edit?usp=sharing"",""น่าน!J654"")"),0)</f>
        <v>0</v>
      </c>
      <c r="AE19" s="354">
        <f t="shared" ca="1" si="54"/>
        <v>0</v>
      </c>
      <c r="AF19" s="354">
        <f ca="1">IFERROR(__xludf.DUMMYFUNCTION("IMPORTRANGE(""https://docs.google.com/spreadsheets/d/10s13Sk5xrltsiR-Zkbmk5DwIaDIKO8XlbJAfqyT7Gvg/edit?usp=sharing"",""น่าน!J655"")"),0)</f>
        <v>0</v>
      </c>
      <c r="AG19" s="354">
        <f ca="1">IFERROR(__xludf.DUMMYFUNCTION("IMPORTRANGE(""https://docs.google.com/spreadsheets/d/10s13Sk5xrltsiR-Zkbmk5DwIaDIKO8XlbJAfqyT7Gvg/edit?usp=sharing"",""น่าน!J656"")"),0)</f>
        <v>0</v>
      </c>
      <c r="AH19" s="354">
        <f ca="1">IFERROR(__xludf.DUMMYFUNCTION("IMPORTRANGE(""https://docs.google.com/spreadsheets/d/10s13Sk5xrltsiR-Zkbmk5DwIaDIKO8XlbJAfqyT7Gvg/edit?usp=sharing"",""น่าน!J657"")"),0)</f>
        <v>0</v>
      </c>
      <c r="AI19" s="354">
        <f ca="1">IFERROR(__xludf.DUMMYFUNCTION("IMPORTRANGE(""https://docs.google.com/spreadsheets/d/10s13Sk5xrltsiR-Zkbmk5DwIaDIKO8XlbJAfqyT7Gvg/edit?usp=sharing"",""น่าน!J658"")"),0)</f>
        <v>0</v>
      </c>
      <c r="AJ19" s="354">
        <f ca="1">IFERROR(__xludf.DUMMYFUNCTION("IMPORTRANGE(""https://docs.google.com/spreadsheets/d/10s13Sk5xrltsiR-Zkbmk5DwIaDIKO8XlbJAfqyT7Gvg/edit?usp=sharing"",""น่าน!J659"")"),0)</f>
        <v>0</v>
      </c>
      <c r="AK19" s="354">
        <f ca="1">IFERROR(__xludf.DUMMYFUNCTION("IMPORTRANGE(""https://docs.google.com/spreadsheets/d/10s13Sk5xrltsiR-Zkbmk5DwIaDIKO8XlbJAfqyT7Gvg/edit?usp=sharing"",""น่าน!J660"")"),0)</f>
        <v>0</v>
      </c>
      <c r="AL19" s="177">
        <f ca="1">IFERROR(__xludf.DUMMYFUNCTION("IMPORTRANGE(""https://docs.google.com/spreadsheets/d/10s13Sk5xrltsiR-Zkbmk5DwIaDIKO8XlbJAfqyT7Gvg/edit?usp=sharing"",""น่าน!I661"")"),0)</f>
        <v>0</v>
      </c>
      <c r="AM19" s="177">
        <f ca="1">IFERROR(__xludf.DUMMYFUNCTION("IMPORTRANGE(""https://docs.google.com/spreadsheets/d/10s13Sk5xrltsiR-Zkbmk5DwIaDIKO8XlbJAfqyT7Gvg/edit?usp=sharing"",""น่าน!J661"")"),0)</f>
        <v>0</v>
      </c>
      <c r="AN19" s="354">
        <f t="shared" ca="1" si="56"/>
        <v>0</v>
      </c>
      <c r="AO19" s="177">
        <f ca="1">IFERROR(__xludf.DUMMYFUNCTION("IMPORTRANGE(""https://docs.google.com/spreadsheets/d/10s13Sk5xrltsiR-Zkbmk5DwIaDIKO8XlbJAfqyT7Gvg/edit?usp=sharing"",""น่าน!J662"")"),0)</f>
        <v>0</v>
      </c>
      <c r="AP19" s="177">
        <f ca="1">IFERROR(__xludf.DUMMYFUNCTION("IMPORTRANGE(""https://docs.google.com/spreadsheets/d/10s13Sk5xrltsiR-Zkbmk5DwIaDIKO8XlbJAfqyT7Gvg/edit?usp=sharing"",""น่าน!J663"")"),0)</f>
        <v>0</v>
      </c>
      <c r="AQ19" s="177">
        <f ca="1">IFERROR(__xludf.DUMMYFUNCTION("IMPORTRANGE(""https://docs.google.com/spreadsheets/d/10s13Sk5xrltsiR-Zkbmk5DwIaDIKO8XlbJAfqyT7Gvg/edit?usp=sharing"",""น่าน!J665"")"),0)</f>
        <v>0</v>
      </c>
      <c r="AR19" s="177">
        <f ca="1">IFERROR(__xludf.DUMMYFUNCTION("IMPORTRANGE(""https://docs.google.com/spreadsheets/d/10s13Sk5xrltsiR-Zkbmk5DwIaDIKO8XlbJAfqyT7Gvg/edit?usp=sharing"",""น่าน!J666"")"),0)</f>
        <v>0</v>
      </c>
      <c r="AS19" s="177">
        <f ca="1">IFERROR(__xludf.DUMMYFUNCTION("IMPORTRANGE(""https://docs.google.com/spreadsheets/d/10s13Sk5xrltsiR-Zkbmk5DwIaDIKO8XlbJAfqyT7Gvg/edit?usp=sharing"",""น่าน!J667"")"),0)</f>
        <v>0</v>
      </c>
      <c r="AT19" s="177">
        <f ca="1">IFERROR(__xludf.DUMMYFUNCTION("IMPORTRANGE(""https://docs.google.com/spreadsheets/d/10s13Sk5xrltsiR-Zkbmk5DwIaDIKO8XlbJAfqyT7Gvg/edit?usp=sharing"",""น่าน!J668"")"),0)</f>
        <v>0</v>
      </c>
      <c r="AU19" s="177">
        <f ca="1">IFERROR(__xludf.DUMMYFUNCTION("IMPORTRANGE(""https://docs.google.com/spreadsheets/d/10s13Sk5xrltsiR-Zkbmk5DwIaDIKO8XlbJAfqyT7Gvg/edit?usp=sharing"",""น่าน!J669"")"),0)</f>
        <v>0</v>
      </c>
      <c r="AV19" s="177">
        <f ca="1">IFERROR(__xludf.DUMMYFUNCTION("IMPORTRANGE(""https://docs.google.com/spreadsheets/d/10s13Sk5xrltsiR-Zkbmk5DwIaDIKO8XlbJAfqyT7Gvg/edit?usp=sharing"",""น่าน!J670"")"),0)</f>
        <v>0</v>
      </c>
      <c r="AW19" s="177">
        <v>0</v>
      </c>
      <c r="AX19" s="177">
        <f ca="1">IFERROR(__xludf.DUMMYFUNCTION("IMPORTRANGE(""https://docs.google.com/spreadsheets/d/10s13Sk5xrltsiR-Zkbmk5DwIaDIKO8XlbJAfqyT7Gvg/edit?usp=sharing"",""น่าน!J671"")"),0)</f>
        <v>0</v>
      </c>
      <c r="AY19" s="177">
        <f ca="1">IFERROR(__xludf.DUMMYFUNCTION("IMPORTRANGE(""https://docs.google.com/spreadsheets/d/10s13Sk5xrltsiR-Zkbmk5DwIaDIKO8XlbJAfqyT7Gvg/edit?usp=sharing"",""น่าน!J672"")"),0)</f>
        <v>0</v>
      </c>
      <c r="AZ19" s="177">
        <f ca="1">IFERROR(__xludf.DUMMYFUNCTION("IMPORTRANGE(""https://docs.google.com/spreadsheets/d/10s13Sk5xrltsiR-Zkbmk5DwIaDIKO8XlbJAfqyT7Gvg/edit?usp=sharing"",""น่าน!J673"")"),0)</f>
        <v>0</v>
      </c>
      <c r="BA19" s="354">
        <f t="shared" si="58"/>
        <v>0</v>
      </c>
      <c r="BB19" s="177">
        <f ca="1">IFERROR(__xludf.DUMMYFUNCTION("IMPORTRANGE(""https://docs.google.com/spreadsheets/d/10s13Sk5xrltsiR-Zkbmk5DwIaDIKO8XlbJAfqyT7Gvg/edit?usp=sharing"",""น่าน!I674"")"),0)</f>
        <v>0</v>
      </c>
      <c r="BC19" s="177">
        <f ca="1">IFERROR(__xludf.DUMMYFUNCTION("IMPORTRANGE(""https://docs.google.com/spreadsheets/d/10s13Sk5xrltsiR-Zkbmk5DwIaDIKO8XlbJAfqyT7Gvg/edit?usp=sharing"",""น่าน!I675"")"),0)</f>
        <v>0</v>
      </c>
      <c r="BD19" s="177">
        <f ca="1">IFERROR(__xludf.DUMMYFUNCTION("IMPORTRANGE(""https://docs.google.com/spreadsheets/d/10s13Sk5xrltsiR-Zkbmk5DwIaDIKO8XlbJAfqyT7Gvg/edit?usp=sharing"",""น่าน!J674"")"),0)</f>
        <v>0</v>
      </c>
      <c r="BE19" s="354">
        <f t="shared" ca="1" si="60"/>
        <v>0</v>
      </c>
      <c r="BF19" s="177">
        <f ca="1">IFERROR(__xludf.DUMMYFUNCTION("IMPORTRANGE(""https://docs.google.com/spreadsheets/d/10s13Sk5xrltsiR-Zkbmk5DwIaDIKO8XlbJAfqyT7Gvg/edit?usp=sharing"",""น่าน!J675"")"),0)</f>
        <v>0</v>
      </c>
      <c r="BG19" s="354">
        <f t="shared" ca="1" si="61"/>
        <v>0</v>
      </c>
      <c r="BH19" s="177">
        <f ca="1">IFERROR(__xludf.DUMMYFUNCTION("IMPORTRANGE(""https://docs.google.com/spreadsheets/d/10s13Sk5xrltsiR-Zkbmk5DwIaDIKO8XlbJAfqyT7Gvg/edit?usp=sharing"",""น่าน!I676"")"),0)</f>
        <v>0</v>
      </c>
      <c r="BI19" s="177">
        <f ca="1">IFERROR(__xludf.DUMMYFUNCTION("IMPORTRANGE(""https://docs.google.com/spreadsheets/d/10s13Sk5xrltsiR-Zkbmk5DwIaDIKO8XlbJAfqyT7Gvg/edit?usp=sharing"",""น่าน!I678"")"),0)</f>
        <v>0</v>
      </c>
      <c r="BJ19" s="177">
        <f ca="1">IFERROR(__xludf.DUMMYFUNCTION("IMPORTRANGE(""https://docs.google.com/spreadsheets/d/10s13Sk5xrltsiR-Zkbmk5DwIaDIKO8XlbJAfqyT7Gvg/edit?usp=sharing"",""น่าน!J676"")"),0)</f>
        <v>0</v>
      </c>
      <c r="BK19" s="177">
        <f ca="1">IFERROR(__xludf.DUMMYFUNCTION("IMPORTRANGE(""https://docs.google.com/spreadsheets/d/10s13Sk5xrltsiR-Zkbmk5DwIaDIKO8XlbJAfqyT7Gvg/edit?usp=sharing"",""น่าน!J677"")"),0)</f>
        <v>0</v>
      </c>
      <c r="BL19" s="177">
        <f ca="1">IFERROR(__xludf.DUMMYFUNCTION("IMPORTRANGE(""https://docs.google.com/spreadsheets/d/10s13Sk5xrltsiR-Zkbmk5DwIaDIKO8XlbJAfqyT7Gvg/edit?usp=sharing"",""น่าน!J678"")"),0)</f>
        <v>0</v>
      </c>
      <c r="BM19" s="177">
        <f ca="1">IFERROR(__xludf.DUMMYFUNCTION("IMPORTRANGE(""https://docs.google.com/spreadsheets/d/10s13Sk5xrltsiR-Zkbmk5DwIaDIKO8XlbJAfqyT7Gvg/edit?usp=sharing"",""น่าน!I679"")"),0)</f>
        <v>0</v>
      </c>
      <c r="BN19" s="177">
        <f ca="1">IFERROR(__xludf.DUMMYFUNCTION("IMPORTRANGE(""https://docs.google.com/spreadsheets/d/10s13Sk5xrltsiR-Zkbmk5DwIaDIKO8XlbJAfqyT7Gvg/edit?usp=sharing"",""น่าน!I681"")"),0)</f>
        <v>0</v>
      </c>
      <c r="BO19" s="177">
        <f ca="1">IFERROR(__xludf.DUMMYFUNCTION("IMPORTRANGE(""https://docs.google.com/spreadsheets/d/10s13Sk5xrltsiR-Zkbmk5DwIaDIKO8XlbJAfqyT7Gvg/edit?usp=sharing"",""น่าน!J679"")"),0)</f>
        <v>0</v>
      </c>
      <c r="BP19" s="177">
        <f ca="1">IFERROR(__xludf.DUMMYFUNCTION("IMPORTRANGE(""https://docs.google.com/spreadsheets/d/10s13Sk5xrltsiR-Zkbmk5DwIaDIKO8XlbJAfqyT7Gvg/edit?usp=sharing"",""น่าน!J680"")"),0)</f>
        <v>0</v>
      </c>
      <c r="BQ19" s="177">
        <f ca="1">IFERROR(__xludf.DUMMYFUNCTION("IMPORTRANGE(""https://docs.google.com/spreadsheets/d/10s13Sk5xrltsiR-Zkbmk5DwIaDIKO8XlbJAfqyT7Gvg/edit?usp=sharing"",""น่าน!J681"")"),0)</f>
        <v>0</v>
      </c>
      <c r="BR19" s="177">
        <f ca="1">IFERROR(__xludf.DUMMYFUNCTION("IMPORTRANGE(""https://docs.google.com/spreadsheets/d/10s13Sk5xrltsiR-Zkbmk5DwIaDIKO8XlbJAfqyT7Gvg/edit?usp=sharing"",""น่าน!I682"")"),0)</f>
        <v>0</v>
      </c>
      <c r="BS19" s="177">
        <f ca="1">IFERROR(__xludf.DUMMYFUNCTION("IMPORTRANGE(""https://docs.google.com/spreadsheets/d/10s13Sk5xrltsiR-Zkbmk5DwIaDIKO8XlbJAfqyT7Gvg/edit?usp=sharing"",""น่าน!J682"")"),0)</f>
        <v>0</v>
      </c>
      <c r="BT19" s="354">
        <f t="shared" ca="1" si="63"/>
        <v>0</v>
      </c>
      <c r="BU19" s="177">
        <f ca="1">IFERROR(__xludf.DUMMYFUNCTION("IMPORTRANGE(""https://docs.google.com/spreadsheets/d/10s13Sk5xrltsiR-Zkbmk5DwIaDIKO8XlbJAfqyT7Gvg/edit?usp=sharing"",""น่าน!J683"")"),0)</f>
        <v>0</v>
      </c>
      <c r="BV19" s="177">
        <f ca="1">IFERROR(__xludf.DUMMYFUNCTION("IMPORTRANGE(""https://docs.google.com/spreadsheets/d/10s13Sk5xrltsiR-Zkbmk5DwIaDIKO8XlbJAfqyT7Gvg/edit?usp=sharing"",""น่าน!J684"")"),0)</f>
        <v>0</v>
      </c>
      <c r="BW19" s="177">
        <f ca="1">IFERROR(__xludf.DUMMYFUNCTION("IMPORTRANGE(""https://docs.google.com/spreadsheets/d/10s13Sk5xrltsiR-Zkbmk5DwIaDIKO8XlbJAfqyT7Gvg/edit?usp=sharing"",""น่าน!J685"")"),0)</f>
        <v>0</v>
      </c>
      <c r="BX19" s="177">
        <f ca="1">IFERROR(__xludf.DUMMYFUNCTION("IMPORTRANGE(""https://docs.google.com/spreadsheets/d/10s13Sk5xrltsiR-Zkbmk5DwIaDIKO8XlbJAfqyT7Gvg/edit?usp=sharing"",""น่าน!J686"")"),0)</f>
        <v>0</v>
      </c>
      <c r="BY19" s="177">
        <f ca="1">IFERROR(__xludf.DUMMYFUNCTION("IMPORTRANGE(""https://docs.google.com/spreadsheets/d/10s13Sk5xrltsiR-Zkbmk5DwIaDIKO8XlbJAfqyT7Gvg/edit?usp=sharing"",""น่าน!J687"")"),0)</f>
        <v>0</v>
      </c>
      <c r="BZ19" s="177">
        <f ca="1">IFERROR(__xludf.DUMMYFUNCTION("IMPORTRANGE(""https://docs.google.com/spreadsheets/d/10s13Sk5xrltsiR-Zkbmk5DwIaDIKO8XlbJAfqyT7Gvg/edit?usp=sharing"",""น่าน!J688"")"),0)</f>
        <v>0</v>
      </c>
    </row>
    <row r="20" spans="1:78" ht="21.75" customHeight="1" x14ac:dyDescent="0.3">
      <c r="A20" s="89">
        <v>7</v>
      </c>
      <c r="B20" s="90" t="s">
        <v>46</v>
      </c>
      <c r="C20" s="174">
        <f t="shared" si="38"/>
        <v>0</v>
      </c>
      <c r="D20" s="175">
        <f t="shared" si="65"/>
        <v>0</v>
      </c>
      <c r="E20" s="403">
        <v>0</v>
      </c>
      <c r="F20" s="403">
        <v>0</v>
      </c>
      <c r="G20" s="403">
        <v>0</v>
      </c>
      <c r="H20" s="403">
        <v>0</v>
      </c>
      <c r="I20" s="403">
        <v>0</v>
      </c>
      <c r="J20" s="176">
        <f t="shared" si="40"/>
        <v>0</v>
      </c>
      <c r="K20" s="179">
        <f t="shared" si="41"/>
        <v>0</v>
      </c>
      <c r="L20" s="403">
        <v>0</v>
      </c>
      <c r="M20" s="87">
        <f t="shared" si="42"/>
        <v>0</v>
      </c>
      <c r="N20" s="87">
        <f t="shared" si="43"/>
        <v>0</v>
      </c>
      <c r="O20" s="403">
        <v>0</v>
      </c>
      <c r="P20" s="86">
        <f t="shared" si="44"/>
        <v>0</v>
      </c>
      <c r="Q20" s="87">
        <f t="shared" si="45"/>
        <v>0</v>
      </c>
      <c r="R20" s="87">
        <f ca="1">IFERROR(__xludf.DUMMYFUNCTION("IMPORTRANGE(""https://docs.google.com/spreadsheets/d/1uu4nAn4Dbi1XREnLKKotUANlKXa7yCgRcgq8HEzQYW8/edit?usp=sharing"",""พะเยา!Q642"")"),5900)</f>
        <v>5900</v>
      </c>
      <c r="S20" s="87">
        <f ca="1">IFERROR(__xludf.DUMMYFUNCTION("IMPORTRANGE(""https://docs.google.com/spreadsheets/d/1uu4nAn4Dbi1XREnLKKotUANlKXa7yCgRcgq8HEzQYW8/edit?usp=sharing"",""พะเยา!R642"")"),0)</f>
        <v>0</v>
      </c>
      <c r="T20" s="87">
        <f ca="1">IFERROR(__xludf.DUMMYFUNCTION("IMPORTRANGE(""https://docs.google.com/spreadsheets/d/1uu4nAn4Dbi1XREnLKKotUANlKXa7yCgRcgq8HEzQYW8/edit?usp=sharing"",""พะเยา!S642"")"),0)</f>
        <v>0</v>
      </c>
      <c r="U20" s="87">
        <f t="shared" ca="1" si="47"/>
        <v>0</v>
      </c>
      <c r="V20" s="87">
        <f t="shared" ca="1" si="48"/>
        <v>0</v>
      </c>
      <c r="W20" s="353">
        <f ca="1">IFERROR(__xludf.DUMMYFUNCTION("IMPORTRANGE(""https://docs.google.com/spreadsheets/d/1uu4nAn4Dbi1XREnLKKotUANlKXa7yCgRcgq8HEzQYW8/edit?usp=sharing"",""พะเยา!I652"")"),0)</f>
        <v>0</v>
      </c>
      <c r="X20" s="177">
        <f ca="1">IFERROR(__xludf.DUMMYFUNCTION("IMPORTRANGE(""https://docs.google.com/spreadsheets/d/1uu4nAn4Dbi1XREnLKKotUANlKXa7yCgRcgq8HEzQYW8/edit?usp=sharing"",""พะเยา!J652"")"),0)</f>
        <v>0</v>
      </c>
      <c r="Y20" s="354">
        <f t="shared" ca="1" si="50"/>
        <v>0</v>
      </c>
      <c r="Z20" s="177">
        <f ca="1">IFERROR(__xludf.DUMMYFUNCTION("IMPORTRANGE(""https://docs.google.com/spreadsheets/d/1uu4nAn4Dbi1XREnLKKotUANlKXa7yCgRcgq8HEzQYW8/edit?usp=sharing"",""พะเยา!I653"")"),20)</f>
        <v>20</v>
      </c>
      <c r="AA20" s="177">
        <f ca="1">IFERROR(__xludf.DUMMYFUNCTION("IMPORTRANGE(""https://docs.google.com/spreadsheets/d/1uu4nAn4Dbi1XREnLKKotUANlKXa7yCgRcgq8HEzQYW8/edit?usp=sharing"",""พะเยา!J653"")"),0)</f>
        <v>0</v>
      </c>
      <c r="AB20" s="354">
        <f t="shared" ca="1" si="52"/>
        <v>0</v>
      </c>
      <c r="AC20" s="177">
        <f ca="1">IFERROR(__xludf.DUMMYFUNCTION("IMPORTRANGE(""https://docs.google.com/spreadsheets/d/1uu4nAn4Dbi1XREnLKKotUANlKXa7yCgRcgq8HEzQYW8/edit?usp=sharing"",""พะเยา!I654"")"),125)</f>
        <v>125</v>
      </c>
      <c r="AD20" s="177">
        <f ca="1">IFERROR(__xludf.DUMMYFUNCTION("IMPORTRANGE(""https://docs.google.com/spreadsheets/d/1uu4nAn4Dbi1XREnLKKotUANlKXa7yCgRcgq8HEzQYW8/edit?usp=sharing"",""พะเยา!J654"")"),0)</f>
        <v>0</v>
      </c>
      <c r="AE20" s="354">
        <f t="shared" ca="1" si="54"/>
        <v>0</v>
      </c>
      <c r="AF20" s="354">
        <f ca="1">IFERROR(__xludf.DUMMYFUNCTION("IMPORTRANGE(""https://docs.google.com/spreadsheets/d/1uu4nAn4Dbi1XREnLKKotUANlKXa7yCgRcgq8HEzQYW8/edit?usp=sharing"",""พะเยา!J655"")"),0)</f>
        <v>0</v>
      </c>
      <c r="AG20" s="354">
        <f ca="1">IFERROR(__xludf.DUMMYFUNCTION("IMPORTRANGE(""https://docs.google.com/spreadsheets/d/1uu4nAn4Dbi1XREnLKKotUANlKXa7yCgRcgq8HEzQYW8/edit?usp=sharing"",""พะเยา!J656"")"),0)</f>
        <v>0</v>
      </c>
      <c r="AH20" s="354">
        <f ca="1">IFERROR(__xludf.DUMMYFUNCTION("IMPORTRANGE(""https://docs.google.com/spreadsheets/d/1uu4nAn4Dbi1XREnLKKotUANlKXa7yCgRcgq8HEzQYW8/edit?usp=sharing"",""พะเยา!J657"")"),0)</f>
        <v>0</v>
      </c>
      <c r="AI20" s="354">
        <f ca="1">IFERROR(__xludf.DUMMYFUNCTION("IMPORTRANGE(""https://docs.google.com/spreadsheets/d/1uu4nAn4Dbi1XREnLKKotUANlKXa7yCgRcgq8HEzQYW8/edit?usp=sharing"",""พะเยา!J658"")"),0)</f>
        <v>0</v>
      </c>
      <c r="AJ20" s="354">
        <f ca="1">IFERROR(__xludf.DUMMYFUNCTION("IMPORTRANGE(""https://docs.google.com/spreadsheets/d/1uu4nAn4Dbi1XREnLKKotUANlKXa7yCgRcgq8HEzQYW8/edit?usp=sharing"",""พะเยา!J659"")"),0)</f>
        <v>0</v>
      </c>
      <c r="AK20" s="354">
        <f ca="1">IFERROR(__xludf.DUMMYFUNCTION("IMPORTRANGE(""https://docs.google.com/spreadsheets/d/1uu4nAn4Dbi1XREnLKKotUANlKXa7yCgRcgq8HEzQYW8/edit?usp=sharing"",""พะเยา!J660"")"),0)</f>
        <v>0</v>
      </c>
      <c r="AL20" s="177">
        <f ca="1">IFERROR(__xludf.DUMMYFUNCTION("IMPORTRANGE(""https://docs.google.com/spreadsheets/d/1uu4nAn4Dbi1XREnLKKotUANlKXa7yCgRcgq8HEzQYW8/edit?usp=sharing"",""พะเยา!I661"")"),0)</f>
        <v>0</v>
      </c>
      <c r="AM20" s="177">
        <f ca="1">IFERROR(__xludf.DUMMYFUNCTION("IMPORTRANGE(""https://docs.google.com/spreadsheets/d/1uu4nAn4Dbi1XREnLKKotUANlKXa7yCgRcgq8HEzQYW8/edit?usp=sharing"",""พะเยา!J661"")"),0)</f>
        <v>0</v>
      </c>
      <c r="AN20" s="354">
        <f t="shared" ca="1" si="56"/>
        <v>0</v>
      </c>
      <c r="AO20" s="177">
        <f ca="1">IFERROR(__xludf.DUMMYFUNCTION("IMPORTRANGE(""https://docs.google.com/spreadsheets/d/1uu4nAn4Dbi1XREnLKKotUANlKXa7yCgRcgq8HEzQYW8/edit?usp=sharing"",""พะเยา!J662"")"),0)</f>
        <v>0</v>
      </c>
      <c r="AP20" s="177">
        <f ca="1">IFERROR(__xludf.DUMMYFUNCTION("IMPORTRANGE(""https://docs.google.com/spreadsheets/d/1uu4nAn4Dbi1XREnLKKotUANlKXa7yCgRcgq8HEzQYW8/edit?usp=sharing"",""พะเยา!J663"")"),0)</f>
        <v>0</v>
      </c>
      <c r="AQ20" s="177">
        <f ca="1">IFERROR(__xludf.DUMMYFUNCTION("IMPORTRANGE(""https://docs.google.com/spreadsheets/d/1uu4nAn4Dbi1XREnLKKotUANlKXa7yCgRcgq8HEzQYW8/edit?usp=sharing"",""พะเยา!J665"")"),0)</f>
        <v>0</v>
      </c>
      <c r="AR20" s="177">
        <f ca="1">IFERROR(__xludf.DUMMYFUNCTION("IMPORTRANGE(""https://docs.google.com/spreadsheets/d/1uu4nAn4Dbi1XREnLKKotUANlKXa7yCgRcgq8HEzQYW8/edit?usp=sharing"",""พะเยา!J666"")"),0)</f>
        <v>0</v>
      </c>
      <c r="AS20" s="177">
        <f ca="1">IFERROR(__xludf.DUMMYFUNCTION("IMPORTRANGE(""https://docs.google.com/spreadsheets/d/1uu4nAn4Dbi1XREnLKKotUANlKXa7yCgRcgq8HEzQYW8/edit?usp=sharing"",""พะเยา!J667"")"),0)</f>
        <v>0</v>
      </c>
      <c r="AT20" s="177">
        <f ca="1">IFERROR(__xludf.DUMMYFUNCTION("IMPORTRANGE(""https://docs.google.com/spreadsheets/d/1uu4nAn4Dbi1XREnLKKotUANlKXa7yCgRcgq8HEzQYW8/edit?usp=sharing"",""พะเยา!J668"")"),0)</f>
        <v>0</v>
      </c>
      <c r="AU20" s="177">
        <f ca="1">IFERROR(__xludf.DUMMYFUNCTION("IMPORTRANGE(""https://docs.google.com/spreadsheets/d/1uu4nAn4Dbi1XREnLKKotUANlKXa7yCgRcgq8HEzQYW8/edit?usp=sharing"",""พะเยา!J669"")"),0)</f>
        <v>0</v>
      </c>
      <c r="AV20" s="177">
        <f ca="1">IFERROR(__xludf.DUMMYFUNCTION("IMPORTRANGE(""https://docs.google.com/spreadsheets/d/1uu4nAn4Dbi1XREnLKKotUANlKXa7yCgRcgq8HEzQYW8/edit?usp=sharing"",""พะเยา!J670"")"),0)</f>
        <v>0</v>
      </c>
      <c r="AW20" s="177">
        <v>0</v>
      </c>
      <c r="AX20" s="177">
        <f ca="1">IFERROR(__xludf.DUMMYFUNCTION("IMPORTRANGE(""https://docs.google.com/spreadsheets/d/1uu4nAn4Dbi1XREnLKKotUANlKXa7yCgRcgq8HEzQYW8/edit?usp=sharing"",""พะเยา!J671"")"),0)</f>
        <v>0</v>
      </c>
      <c r="AY20" s="177">
        <f ca="1">IFERROR(__xludf.DUMMYFUNCTION("IMPORTRANGE(""https://docs.google.com/spreadsheets/d/1uu4nAn4Dbi1XREnLKKotUANlKXa7yCgRcgq8HEzQYW8/edit?usp=sharing"",""พะเยา!J672"")"),0)</f>
        <v>0</v>
      </c>
      <c r="AZ20" s="177">
        <f ca="1">IFERROR(__xludf.DUMMYFUNCTION("IMPORTRANGE(""https://docs.google.com/spreadsheets/d/1uu4nAn4Dbi1XREnLKKotUANlKXa7yCgRcgq8HEzQYW8/edit?usp=sharing"",""พะเยา!J673"")"),0)</f>
        <v>0</v>
      </c>
      <c r="BA20" s="354">
        <f t="shared" si="58"/>
        <v>0</v>
      </c>
      <c r="BB20" s="177">
        <f ca="1">IFERROR(__xludf.DUMMYFUNCTION("IMPORTRANGE(""https://docs.google.com/spreadsheets/d/1uu4nAn4Dbi1XREnLKKotUANlKXa7yCgRcgq8HEzQYW8/edit?usp=sharing"",""พะเยา!I674"")"),0)</f>
        <v>0</v>
      </c>
      <c r="BC20" s="177">
        <f ca="1">IFERROR(__xludf.DUMMYFUNCTION("IMPORTRANGE(""https://docs.google.com/spreadsheets/d/1uu4nAn4Dbi1XREnLKKotUANlKXa7yCgRcgq8HEzQYW8/edit?usp=sharing"",""พะเยา!I675"")"),0)</f>
        <v>0</v>
      </c>
      <c r="BD20" s="177">
        <f ca="1">IFERROR(__xludf.DUMMYFUNCTION("IMPORTRANGE(""https://docs.google.com/spreadsheets/d/1uu4nAn4Dbi1XREnLKKotUANlKXa7yCgRcgq8HEzQYW8/edit?usp=sharing"",""พะเยา!J674"")"),0)</f>
        <v>0</v>
      </c>
      <c r="BE20" s="354">
        <f t="shared" ca="1" si="60"/>
        <v>0</v>
      </c>
      <c r="BF20" s="177">
        <f ca="1">IFERROR(__xludf.DUMMYFUNCTION("IMPORTRANGE(""https://docs.google.com/spreadsheets/d/1uu4nAn4Dbi1XREnLKKotUANlKXa7yCgRcgq8HEzQYW8/edit?usp=sharing"",""พะเยา!J675"")"),0)</f>
        <v>0</v>
      </c>
      <c r="BG20" s="354">
        <f t="shared" ca="1" si="61"/>
        <v>0</v>
      </c>
      <c r="BH20" s="177">
        <f ca="1">IFERROR(__xludf.DUMMYFUNCTION("IMPORTRANGE(""https://docs.google.com/spreadsheets/d/1uu4nAn4Dbi1XREnLKKotUANlKXa7yCgRcgq8HEzQYW8/edit?usp=sharing"",""พะเยา!I676"")"),0)</f>
        <v>0</v>
      </c>
      <c r="BI20" s="177">
        <f ca="1">IFERROR(__xludf.DUMMYFUNCTION("IMPORTRANGE(""https://docs.google.com/spreadsheets/d/1uu4nAn4Dbi1XREnLKKotUANlKXa7yCgRcgq8HEzQYW8/edit?usp=sharing"",""พะเยา!I678"")"),0)</f>
        <v>0</v>
      </c>
      <c r="BJ20" s="177">
        <f ca="1">IFERROR(__xludf.DUMMYFUNCTION("IMPORTRANGE(""https://docs.google.com/spreadsheets/d/1uu4nAn4Dbi1XREnLKKotUANlKXa7yCgRcgq8HEzQYW8/edit?usp=sharing"",""พะเยา!J676"")"),0)</f>
        <v>0</v>
      </c>
      <c r="BK20" s="177">
        <f ca="1">IFERROR(__xludf.DUMMYFUNCTION("IMPORTRANGE(""https://docs.google.com/spreadsheets/d/1uu4nAn4Dbi1XREnLKKotUANlKXa7yCgRcgq8HEzQYW8/edit?usp=sharing"",""พะเยา!J677"")"),0)</f>
        <v>0</v>
      </c>
      <c r="BL20" s="177">
        <f ca="1">IFERROR(__xludf.DUMMYFUNCTION("IMPORTRANGE(""https://docs.google.com/spreadsheets/d/1uu4nAn4Dbi1XREnLKKotUANlKXa7yCgRcgq8HEzQYW8/edit?usp=sharing"",""พะเยา!J678"")"),0)</f>
        <v>0</v>
      </c>
      <c r="BM20" s="177">
        <f ca="1">IFERROR(__xludf.DUMMYFUNCTION("IMPORTRANGE(""https://docs.google.com/spreadsheets/d/1uu4nAn4Dbi1XREnLKKotUANlKXa7yCgRcgq8HEzQYW8/edit?usp=sharing"",""พะเยา!I679"")"),0)</f>
        <v>0</v>
      </c>
      <c r="BN20" s="177">
        <f ca="1">IFERROR(__xludf.DUMMYFUNCTION("IMPORTRANGE(""https://docs.google.com/spreadsheets/d/1uu4nAn4Dbi1XREnLKKotUANlKXa7yCgRcgq8HEzQYW8/edit?usp=sharing"",""พะเยา!I681"")"),0)</f>
        <v>0</v>
      </c>
      <c r="BO20" s="177">
        <f ca="1">IFERROR(__xludf.DUMMYFUNCTION("IMPORTRANGE(""https://docs.google.com/spreadsheets/d/1uu4nAn4Dbi1XREnLKKotUANlKXa7yCgRcgq8HEzQYW8/edit?usp=sharing"",""พะเยา!J679"")"),0)</f>
        <v>0</v>
      </c>
      <c r="BP20" s="177">
        <f ca="1">IFERROR(__xludf.DUMMYFUNCTION("IMPORTRANGE(""https://docs.google.com/spreadsheets/d/1uu4nAn4Dbi1XREnLKKotUANlKXa7yCgRcgq8HEzQYW8/edit?usp=sharing"",""พะเยา!J680"")"),0)</f>
        <v>0</v>
      </c>
      <c r="BQ20" s="177">
        <f ca="1">IFERROR(__xludf.DUMMYFUNCTION("IMPORTRANGE(""https://docs.google.com/spreadsheets/d/1uu4nAn4Dbi1XREnLKKotUANlKXa7yCgRcgq8HEzQYW8/edit?usp=sharing"",""พะเยา!J681"")"),0)</f>
        <v>0</v>
      </c>
      <c r="BR20" s="177">
        <f ca="1">IFERROR(__xludf.DUMMYFUNCTION("IMPORTRANGE(""https://docs.google.com/spreadsheets/d/1uu4nAn4Dbi1XREnLKKotUANlKXa7yCgRcgq8HEzQYW8/edit?usp=sharing"",""พะเยา!I682"")"),0)</f>
        <v>0</v>
      </c>
      <c r="BS20" s="177">
        <f ca="1">IFERROR(__xludf.DUMMYFUNCTION("IMPORTRANGE(""https://docs.google.com/spreadsheets/d/1uu4nAn4Dbi1XREnLKKotUANlKXa7yCgRcgq8HEzQYW8/edit?usp=sharing"",""พะเยา!J682"")"),0)</f>
        <v>0</v>
      </c>
      <c r="BT20" s="354">
        <f t="shared" ca="1" si="63"/>
        <v>0</v>
      </c>
      <c r="BU20" s="177">
        <f ca="1">IFERROR(__xludf.DUMMYFUNCTION("IMPORTRANGE(""https://docs.google.com/spreadsheets/d/1uu4nAn4Dbi1XREnLKKotUANlKXa7yCgRcgq8HEzQYW8/edit?usp=sharing"",""พะเยา!J683"")"),0)</f>
        <v>0</v>
      </c>
      <c r="BV20" s="177">
        <f ca="1">IFERROR(__xludf.DUMMYFUNCTION("IMPORTRANGE(""https://docs.google.com/spreadsheets/d/1uu4nAn4Dbi1XREnLKKotUANlKXa7yCgRcgq8HEzQYW8/edit?usp=sharing"",""พะเยา!J684"")"),0)</f>
        <v>0</v>
      </c>
      <c r="BW20" s="177">
        <f ca="1">IFERROR(__xludf.DUMMYFUNCTION("IMPORTRANGE(""https://docs.google.com/spreadsheets/d/1uu4nAn4Dbi1XREnLKKotUANlKXa7yCgRcgq8HEzQYW8/edit?usp=sharing"",""พะเยา!J685"")"),0)</f>
        <v>0</v>
      </c>
      <c r="BX20" s="177">
        <f ca="1">IFERROR(__xludf.DUMMYFUNCTION("IMPORTRANGE(""https://docs.google.com/spreadsheets/d/1uu4nAn4Dbi1XREnLKKotUANlKXa7yCgRcgq8HEzQYW8/edit?usp=sharing"",""พะเยา!J686"")"),0)</f>
        <v>0</v>
      </c>
      <c r="BY20" s="177">
        <f ca="1">IFERROR(__xludf.DUMMYFUNCTION("IMPORTRANGE(""https://docs.google.com/spreadsheets/d/1uu4nAn4Dbi1XREnLKKotUANlKXa7yCgRcgq8HEzQYW8/edit?usp=sharing"",""พะเยา!J687"")"),0)</f>
        <v>0</v>
      </c>
      <c r="BZ20" s="177">
        <f ca="1">IFERROR(__xludf.DUMMYFUNCTION("IMPORTRANGE(""https://docs.google.com/spreadsheets/d/1uu4nAn4Dbi1XREnLKKotUANlKXa7yCgRcgq8HEzQYW8/edit?usp=sharing"",""พะเยา!J688"")"),0)</f>
        <v>0</v>
      </c>
    </row>
    <row r="21" spans="1:78" ht="21.75" customHeight="1" x14ac:dyDescent="0.3">
      <c r="A21" s="89">
        <v>8</v>
      </c>
      <c r="B21" s="90" t="s">
        <v>47</v>
      </c>
      <c r="C21" s="174">
        <f t="shared" si="38"/>
        <v>0</v>
      </c>
      <c r="D21" s="175">
        <f t="shared" si="65"/>
        <v>0</v>
      </c>
      <c r="E21" s="403">
        <v>0</v>
      </c>
      <c r="F21" s="403">
        <v>0</v>
      </c>
      <c r="G21" s="403">
        <v>0</v>
      </c>
      <c r="H21" s="403">
        <v>0</v>
      </c>
      <c r="I21" s="403">
        <v>0</v>
      </c>
      <c r="J21" s="176">
        <f t="shared" si="40"/>
        <v>0</v>
      </c>
      <c r="K21" s="179">
        <f t="shared" si="41"/>
        <v>0</v>
      </c>
      <c r="L21" s="403">
        <v>0</v>
      </c>
      <c r="M21" s="87">
        <f t="shared" si="42"/>
        <v>0</v>
      </c>
      <c r="N21" s="87">
        <f t="shared" si="43"/>
        <v>0</v>
      </c>
      <c r="O21" s="403">
        <v>0</v>
      </c>
      <c r="P21" s="86">
        <f t="shared" si="44"/>
        <v>0</v>
      </c>
      <c r="Q21" s="87">
        <f t="shared" si="45"/>
        <v>0</v>
      </c>
      <c r="R21" s="87">
        <f ca="1">IFERROR(__xludf.DUMMYFUNCTION("IMPORTRANGE(""https://docs.google.com/spreadsheets/d/1xfJKIQxVOaPDIICqsflNlLu3JacTDk1FP9RH4phX7mI/edit?usp=sharing"",""พิจิตร!Q642"")"),8760)</f>
        <v>8760</v>
      </c>
      <c r="S21" s="87">
        <f ca="1">IFERROR(__xludf.DUMMYFUNCTION("IMPORTRANGE(""https://docs.google.com/spreadsheets/d/1xfJKIQxVOaPDIICqsflNlLu3JacTDk1FP9RH4phX7mI/edit?usp=sharing"",""พิจิตร!R642"")"),0)</f>
        <v>0</v>
      </c>
      <c r="T21" s="87">
        <f ca="1">IFERROR(__xludf.DUMMYFUNCTION("IMPORTRANGE(""https://docs.google.com/spreadsheets/d/1xfJKIQxVOaPDIICqsflNlLu3JacTDk1FP9RH4phX7mI/edit?usp=sharing"",""พิจิตร!S642"")"),0)</f>
        <v>0</v>
      </c>
      <c r="U21" s="87">
        <f t="shared" ca="1" si="47"/>
        <v>0</v>
      </c>
      <c r="V21" s="87">
        <f t="shared" ca="1" si="48"/>
        <v>0</v>
      </c>
      <c r="W21" s="353">
        <f ca="1">IFERROR(__xludf.DUMMYFUNCTION("IMPORTRANGE(""https://docs.google.com/spreadsheets/d/1xfJKIQxVOaPDIICqsflNlLu3JacTDk1FP9RH4phX7mI/edit?usp=sharing"",""พิจิตร!I652"")"),0)</f>
        <v>0</v>
      </c>
      <c r="X21" s="177">
        <f ca="1">IFERROR(__xludf.DUMMYFUNCTION("IMPORTRANGE(""https://docs.google.com/spreadsheets/d/1xfJKIQxVOaPDIICqsflNlLu3JacTDk1FP9RH4phX7mI/edit?usp=sharing"",""พิจิตร!J652"")"),0)</f>
        <v>0</v>
      </c>
      <c r="Y21" s="354">
        <f t="shared" ca="1" si="50"/>
        <v>0</v>
      </c>
      <c r="Z21" s="177">
        <f ca="1">IFERROR(__xludf.DUMMYFUNCTION("IMPORTRANGE(""https://docs.google.com/spreadsheets/d/1xfJKIQxVOaPDIICqsflNlLu3JacTDk1FP9RH4phX7mI/edit?usp=sharing"",""พิจิตร!I653"")"),0)</f>
        <v>0</v>
      </c>
      <c r="AA21" s="177">
        <f ca="1">IFERROR(__xludf.DUMMYFUNCTION("IMPORTRANGE(""https://docs.google.com/spreadsheets/d/1xfJKIQxVOaPDIICqsflNlLu3JacTDk1FP9RH4phX7mI/edit?usp=sharing"",""พิจิตร!J653"")"),0)</f>
        <v>0</v>
      </c>
      <c r="AB21" s="354">
        <f t="shared" ca="1" si="52"/>
        <v>0</v>
      </c>
      <c r="AC21" s="177">
        <f ca="1">IFERROR(__xludf.DUMMYFUNCTION("IMPORTRANGE(""https://docs.google.com/spreadsheets/d/1xfJKIQxVOaPDIICqsflNlLu3JacTDk1FP9RH4phX7mI/edit?usp=sharing"",""พิจิตร!I654"")"),30)</f>
        <v>30</v>
      </c>
      <c r="AD21" s="177">
        <f ca="1">IFERROR(__xludf.DUMMYFUNCTION("IMPORTRANGE(""https://docs.google.com/spreadsheets/d/1xfJKIQxVOaPDIICqsflNlLu3JacTDk1FP9RH4phX7mI/edit?usp=sharing"",""พิจิตร!J654"")"),0)</f>
        <v>0</v>
      </c>
      <c r="AE21" s="354">
        <f t="shared" ca="1" si="54"/>
        <v>0</v>
      </c>
      <c r="AF21" s="354">
        <f ca="1">IFERROR(__xludf.DUMMYFUNCTION("IMPORTRANGE(""https://docs.google.com/spreadsheets/d/1xfJKIQxVOaPDIICqsflNlLu3JacTDk1FP9RH4phX7mI/edit?usp=sharing"",""พิจิตร!J655"")"),0)</f>
        <v>0</v>
      </c>
      <c r="AG21" s="354">
        <f ca="1">IFERROR(__xludf.DUMMYFUNCTION("IMPORTRANGE(""https://docs.google.com/spreadsheets/d/1xfJKIQxVOaPDIICqsflNlLu3JacTDk1FP9RH4phX7mI/edit?usp=sharing"",""พิจิตร!J656"")"),0)</f>
        <v>0</v>
      </c>
      <c r="AH21" s="354">
        <f ca="1">IFERROR(__xludf.DUMMYFUNCTION("IMPORTRANGE(""https://docs.google.com/spreadsheets/d/1xfJKIQxVOaPDIICqsflNlLu3JacTDk1FP9RH4phX7mI/edit?usp=sharing"",""พิจิตร!J657"")"),0)</f>
        <v>0</v>
      </c>
      <c r="AI21" s="354">
        <f ca="1">IFERROR(__xludf.DUMMYFUNCTION("IMPORTRANGE(""https://docs.google.com/spreadsheets/d/1xfJKIQxVOaPDIICqsflNlLu3JacTDk1FP9RH4phX7mI/edit?usp=sharing"",""พิจิตร!J658"")"),0)</f>
        <v>0</v>
      </c>
      <c r="AJ21" s="354">
        <f ca="1">IFERROR(__xludf.DUMMYFUNCTION("IMPORTRANGE(""https://docs.google.com/spreadsheets/d/1xfJKIQxVOaPDIICqsflNlLu3JacTDk1FP9RH4phX7mI/edit?usp=sharing"",""พิจิตร!J659"")"),0)</f>
        <v>0</v>
      </c>
      <c r="AK21" s="354">
        <f ca="1">IFERROR(__xludf.DUMMYFUNCTION("IMPORTRANGE(""https://docs.google.com/spreadsheets/d/1xfJKIQxVOaPDIICqsflNlLu3JacTDk1FP9RH4phX7mI/edit?usp=sharing"",""พิจิตร!J660"")"),0)</f>
        <v>0</v>
      </c>
      <c r="AL21" s="177">
        <f ca="1">IFERROR(__xludf.DUMMYFUNCTION("IMPORTRANGE(""https://docs.google.com/spreadsheets/d/1xfJKIQxVOaPDIICqsflNlLu3JacTDk1FP9RH4phX7mI/edit?usp=sharing"",""พิจิตร!I661"")"),19)</f>
        <v>19</v>
      </c>
      <c r="AM21" s="177">
        <f ca="1">IFERROR(__xludf.DUMMYFUNCTION("IMPORTRANGE(""https://docs.google.com/spreadsheets/d/1xfJKIQxVOaPDIICqsflNlLu3JacTDk1FP9RH4phX7mI/edit?usp=sharing"",""พิจิตร!J661"")"),0)</f>
        <v>0</v>
      </c>
      <c r="AN21" s="354">
        <f t="shared" ca="1" si="56"/>
        <v>0</v>
      </c>
      <c r="AO21" s="177">
        <f ca="1">IFERROR(__xludf.DUMMYFUNCTION("IMPORTRANGE(""https://docs.google.com/spreadsheets/d/1xfJKIQxVOaPDIICqsflNlLu3JacTDk1FP9RH4phX7mI/edit?usp=sharing"",""พิจิตร!J662"")"),0)</f>
        <v>0</v>
      </c>
      <c r="AP21" s="177">
        <f ca="1">IFERROR(__xludf.DUMMYFUNCTION("IMPORTRANGE(""https://docs.google.com/spreadsheets/d/1xfJKIQxVOaPDIICqsflNlLu3JacTDk1FP9RH4phX7mI/edit?usp=sharing"",""พิจิตร!J663"")"),0)</f>
        <v>0</v>
      </c>
      <c r="AQ21" s="177">
        <f ca="1">IFERROR(__xludf.DUMMYFUNCTION("IMPORTRANGE(""https://docs.google.com/spreadsheets/d/1xfJKIQxVOaPDIICqsflNlLu3JacTDk1FP9RH4phX7mI/edit?usp=sharing"",""พิจิตร!J665"")"),0)</f>
        <v>0</v>
      </c>
      <c r="AR21" s="177">
        <f ca="1">IFERROR(__xludf.DUMMYFUNCTION("IMPORTRANGE(""https://docs.google.com/spreadsheets/d/1xfJKIQxVOaPDIICqsflNlLu3JacTDk1FP9RH4phX7mI/edit?usp=sharing"",""พิจิตร!J666"")"),0)</f>
        <v>0</v>
      </c>
      <c r="AS21" s="177">
        <f ca="1">IFERROR(__xludf.DUMMYFUNCTION("IMPORTRANGE(""https://docs.google.com/spreadsheets/d/1xfJKIQxVOaPDIICqsflNlLu3JacTDk1FP9RH4phX7mI/edit?usp=sharing"",""พิจิตร!J667"")"),0)</f>
        <v>0</v>
      </c>
      <c r="AT21" s="177">
        <f ca="1">IFERROR(__xludf.DUMMYFUNCTION("IMPORTRANGE(""https://docs.google.com/spreadsheets/d/1xfJKIQxVOaPDIICqsflNlLu3JacTDk1FP9RH4phX7mI/edit?usp=sharing"",""พิจิตร!J668"")"),0)</f>
        <v>0</v>
      </c>
      <c r="AU21" s="177">
        <f ca="1">IFERROR(__xludf.DUMMYFUNCTION("IMPORTRANGE(""https://docs.google.com/spreadsheets/d/1xfJKIQxVOaPDIICqsflNlLu3JacTDk1FP9RH4phX7mI/edit?usp=sharing"",""พิจิตร!J669"")"),0)</f>
        <v>0</v>
      </c>
      <c r="AV21" s="177">
        <f ca="1">IFERROR(__xludf.DUMMYFUNCTION("IMPORTRANGE(""https://docs.google.com/spreadsheets/d/1xfJKIQxVOaPDIICqsflNlLu3JacTDk1FP9RH4phX7mI/edit?usp=sharing"",""พิจิตร!J670"")"),0)</f>
        <v>0</v>
      </c>
      <c r="AW21" s="177">
        <v>0</v>
      </c>
      <c r="AX21" s="177">
        <f ca="1">IFERROR(__xludf.DUMMYFUNCTION("IMPORTRANGE(""https://docs.google.com/spreadsheets/d/1xfJKIQxVOaPDIICqsflNlLu3JacTDk1FP9RH4phX7mI/edit?usp=sharing"",""พิจิตร!J671"")"),0)</f>
        <v>0</v>
      </c>
      <c r="AY21" s="177">
        <f ca="1">IFERROR(__xludf.DUMMYFUNCTION("IMPORTRANGE(""https://docs.google.com/spreadsheets/d/1xfJKIQxVOaPDIICqsflNlLu3JacTDk1FP9RH4phX7mI/edit?usp=sharing"",""พิจิตร!J672"")"),0)</f>
        <v>0</v>
      </c>
      <c r="AZ21" s="177">
        <f ca="1">IFERROR(__xludf.DUMMYFUNCTION("IMPORTRANGE(""https://docs.google.com/spreadsheets/d/1xfJKIQxVOaPDIICqsflNlLu3JacTDk1FP9RH4phX7mI/edit?usp=sharing"",""พิจิตร!J673"")"),0)</f>
        <v>0</v>
      </c>
      <c r="BA21" s="354">
        <f t="shared" si="58"/>
        <v>0</v>
      </c>
      <c r="BB21" s="177">
        <f ca="1">IFERROR(__xludf.DUMMYFUNCTION("IMPORTRANGE(""https://docs.google.com/spreadsheets/d/1xfJKIQxVOaPDIICqsflNlLu3JacTDk1FP9RH4phX7mI/edit?usp=sharing"",""พิจิตร!I674"")"),10)</f>
        <v>10</v>
      </c>
      <c r="BC21" s="177">
        <f ca="1">IFERROR(__xludf.DUMMYFUNCTION("IMPORTRANGE(""https://docs.google.com/spreadsheets/d/1xfJKIQxVOaPDIICqsflNlLu3JacTDk1FP9RH4phX7mI/edit?usp=sharing"",""พิจิตร!I675"")"),100)</f>
        <v>100</v>
      </c>
      <c r="BD21" s="177">
        <f ca="1">IFERROR(__xludf.DUMMYFUNCTION("IMPORTRANGE(""https://docs.google.com/spreadsheets/d/1xfJKIQxVOaPDIICqsflNlLu3JacTDk1FP9RH4phX7mI/edit?usp=sharing"",""พิจิตร!J674"")"),0)</f>
        <v>0</v>
      </c>
      <c r="BE21" s="354">
        <f t="shared" ca="1" si="60"/>
        <v>0</v>
      </c>
      <c r="BF21" s="177">
        <f ca="1">IFERROR(__xludf.DUMMYFUNCTION("IMPORTRANGE(""https://docs.google.com/spreadsheets/d/1xfJKIQxVOaPDIICqsflNlLu3JacTDk1FP9RH4phX7mI/edit?usp=sharing"",""พิจิตร!J675"")"),0)</f>
        <v>0</v>
      </c>
      <c r="BG21" s="354">
        <f t="shared" ca="1" si="61"/>
        <v>0</v>
      </c>
      <c r="BH21" s="177">
        <f ca="1">IFERROR(__xludf.DUMMYFUNCTION("IMPORTRANGE(""https://docs.google.com/spreadsheets/d/1xfJKIQxVOaPDIICqsflNlLu3JacTDk1FP9RH4phX7mI/edit?usp=sharing"",""พิจิตร!I676"")"),6)</f>
        <v>6</v>
      </c>
      <c r="BI21" s="177">
        <f ca="1">IFERROR(__xludf.DUMMYFUNCTION("IMPORTRANGE(""https://docs.google.com/spreadsheets/d/1xfJKIQxVOaPDIICqsflNlLu3JacTDk1FP9RH4phX7mI/edit?usp=sharing"",""พิจิตร!I678"")"),60)</f>
        <v>60</v>
      </c>
      <c r="BJ21" s="177">
        <f ca="1">IFERROR(__xludf.DUMMYFUNCTION("IMPORTRANGE(""https://docs.google.com/spreadsheets/d/1xfJKIQxVOaPDIICqsflNlLu3JacTDk1FP9RH4phX7mI/edit?usp=sharing"",""พิจิตร!J676"")"),0)</f>
        <v>0</v>
      </c>
      <c r="BK21" s="177">
        <f ca="1">IFERROR(__xludf.DUMMYFUNCTION("IMPORTRANGE(""https://docs.google.com/spreadsheets/d/1xfJKIQxVOaPDIICqsflNlLu3JacTDk1FP9RH4phX7mI/edit?usp=sharing"",""พิจิตร!J677"")"),0)</f>
        <v>0</v>
      </c>
      <c r="BL21" s="177">
        <f ca="1">IFERROR(__xludf.DUMMYFUNCTION("IMPORTRANGE(""https://docs.google.com/spreadsheets/d/1xfJKIQxVOaPDIICqsflNlLu3JacTDk1FP9RH4phX7mI/edit?usp=sharing"",""พิจิตร!J678"")"),0)</f>
        <v>0</v>
      </c>
      <c r="BM21" s="177">
        <f ca="1">IFERROR(__xludf.DUMMYFUNCTION("IMPORTRANGE(""https://docs.google.com/spreadsheets/d/1xfJKIQxVOaPDIICqsflNlLu3JacTDk1FP9RH4phX7mI/edit?usp=sharing"",""พิจิตร!I679"")"),4)</f>
        <v>4</v>
      </c>
      <c r="BN21" s="177">
        <f ca="1">IFERROR(__xludf.DUMMYFUNCTION("IMPORTRANGE(""https://docs.google.com/spreadsheets/d/1xfJKIQxVOaPDIICqsflNlLu3JacTDk1FP9RH4phX7mI/edit?usp=sharing"",""พิจิตร!I681"")"),40)</f>
        <v>40</v>
      </c>
      <c r="BO21" s="177">
        <f ca="1">IFERROR(__xludf.DUMMYFUNCTION("IMPORTRANGE(""https://docs.google.com/spreadsheets/d/1xfJKIQxVOaPDIICqsflNlLu3JacTDk1FP9RH4phX7mI/edit?usp=sharing"",""พิจิตร!J679"")"),0)</f>
        <v>0</v>
      </c>
      <c r="BP21" s="177">
        <f ca="1">IFERROR(__xludf.DUMMYFUNCTION("IMPORTRANGE(""https://docs.google.com/spreadsheets/d/1xfJKIQxVOaPDIICqsflNlLu3JacTDk1FP9RH4phX7mI/edit?usp=sharing"",""พิจิตร!J680"")"),0)</f>
        <v>0</v>
      </c>
      <c r="BQ21" s="177">
        <f ca="1">IFERROR(__xludf.DUMMYFUNCTION("IMPORTRANGE(""https://docs.google.com/spreadsheets/d/1xfJKIQxVOaPDIICqsflNlLu3JacTDk1FP9RH4phX7mI/edit?usp=sharing"",""พิจิตร!J681"")"),0)</f>
        <v>0</v>
      </c>
      <c r="BR21" s="177">
        <f ca="1">IFERROR(__xludf.DUMMYFUNCTION("IMPORTRANGE(""https://docs.google.com/spreadsheets/d/1xfJKIQxVOaPDIICqsflNlLu3JacTDk1FP9RH4phX7mI/edit?usp=sharing"",""พิจิตร!I682"")"),0)</f>
        <v>0</v>
      </c>
      <c r="BS21" s="177">
        <f ca="1">IFERROR(__xludf.DUMMYFUNCTION("IMPORTRANGE(""https://docs.google.com/spreadsheets/d/1xfJKIQxVOaPDIICqsflNlLu3JacTDk1FP9RH4phX7mI/edit?usp=sharing"",""พิจิตร!J682"")"),0)</f>
        <v>0</v>
      </c>
      <c r="BT21" s="354">
        <f t="shared" ca="1" si="63"/>
        <v>0</v>
      </c>
      <c r="BU21" s="177">
        <f ca="1">IFERROR(__xludf.DUMMYFUNCTION("IMPORTRANGE(""https://docs.google.com/spreadsheets/d/1xfJKIQxVOaPDIICqsflNlLu3JacTDk1FP9RH4phX7mI/edit?usp=sharing"",""พิจิตร!J683"")"),0)</f>
        <v>0</v>
      </c>
      <c r="BV21" s="177">
        <f ca="1">IFERROR(__xludf.DUMMYFUNCTION("IMPORTRANGE(""https://docs.google.com/spreadsheets/d/1xfJKIQxVOaPDIICqsflNlLu3JacTDk1FP9RH4phX7mI/edit?usp=sharing"",""พิจิตร!J684"")"),0)</f>
        <v>0</v>
      </c>
      <c r="BW21" s="177">
        <f ca="1">IFERROR(__xludf.DUMMYFUNCTION("IMPORTRANGE(""https://docs.google.com/spreadsheets/d/1xfJKIQxVOaPDIICqsflNlLu3JacTDk1FP9RH4phX7mI/edit?usp=sharing"",""พิจิตร!J685"")"),0)</f>
        <v>0</v>
      </c>
      <c r="BX21" s="177">
        <f ca="1">IFERROR(__xludf.DUMMYFUNCTION("IMPORTRANGE(""https://docs.google.com/spreadsheets/d/1xfJKIQxVOaPDIICqsflNlLu3JacTDk1FP9RH4phX7mI/edit?usp=sharing"",""พิจิตร!J686"")"),0)</f>
        <v>0</v>
      </c>
      <c r="BY21" s="177">
        <f ca="1">IFERROR(__xludf.DUMMYFUNCTION("IMPORTRANGE(""https://docs.google.com/spreadsheets/d/1xfJKIQxVOaPDIICqsflNlLu3JacTDk1FP9RH4phX7mI/edit?usp=sharing"",""พิจิตร!J687"")"),0)</f>
        <v>0</v>
      </c>
      <c r="BZ21" s="177">
        <f ca="1">IFERROR(__xludf.DUMMYFUNCTION("IMPORTRANGE(""https://docs.google.com/spreadsheets/d/1xfJKIQxVOaPDIICqsflNlLu3JacTDk1FP9RH4phX7mI/edit?usp=sharing"",""พิจิตร!J688"")"),0)</f>
        <v>0</v>
      </c>
    </row>
    <row r="22" spans="1:78" ht="21.75" customHeight="1" x14ac:dyDescent="0.3">
      <c r="A22" s="89">
        <v>9</v>
      </c>
      <c r="B22" s="90" t="s">
        <v>48</v>
      </c>
      <c r="C22" s="174">
        <f t="shared" si="38"/>
        <v>0</v>
      </c>
      <c r="D22" s="175">
        <f t="shared" si="65"/>
        <v>0</v>
      </c>
      <c r="E22" s="403">
        <v>0</v>
      </c>
      <c r="F22" s="403">
        <v>0</v>
      </c>
      <c r="G22" s="403">
        <v>0</v>
      </c>
      <c r="H22" s="403">
        <v>0</v>
      </c>
      <c r="I22" s="403">
        <v>0</v>
      </c>
      <c r="J22" s="176">
        <f t="shared" si="40"/>
        <v>0</v>
      </c>
      <c r="K22" s="179">
        <f t="shared" si="41"/>
        <v>0</v>
      </c>
      <c r="L22" s="403">
        <v>0</v>
      </c>
      <c r="M22" s="87">
        <f t="shared" si="42"/>
        <v>0</v>
      </c>
      <c r="N22" s="87">
        <f t="shared" si="43"/>
        <v>0</v>
      </c>
      <c r="O22" s="403">
        <v>0</v>
      </c>
      <c r="P22" s="86">
        <f t="shared" si="44"/>
        <v>0</v>
      </c>
      <c r="Q22" s="87">
        <f t="shared" si="45"/>
        <v>0</v>
      </c>
      <c r="R22" s="87">
        <f ca="1">IFERROR(__xludf.DUMMYFUNCTION("IMPORTRANGE(""https://docs.google.com/spreadsheets/d/1JtRfZkJMHtEhI5RdRHxYUG4FIZHqKDpNyIuN7A1Q0_k/edit?usp=sharing"",""พิษณุโลก!Q642"")"),0)</f>
        <v>0</v>
      </c>
      <c r="S22" s="87">
        <f ca="1">IFERROR(__xludf.DUMMYFUNCTION("IMPORTRANGE(""https://docs.google.com/spreadsheets/d/1JtRfZkJMHtEhI5RdRHxYUG4FIZHqKDpNyIuN7A1Q0_k/edit?usp=sharing"",""พิษณุโลก!R642"")"),0)</f>
        <v>0</v>
      </c>
      <c r="T22" s="87">
        <f ca="1">IFERROR(__xludf.DUMMYFUNCTION("IMPORTRANGE(""https://docs.google.com/spreadsheets/d/1JtRfZkJMHtEhI5RdRHxYUG4FIZHqKDpNyIuN7A1Q0_k/edit?usp=sharing"",""พิษณุโลก!S642"")"),0)</f>
        <v>0</v>
      </c>
      <c r="U22" s="87">
        <f t="shared" ca="1" si="47"/>
        <v>0</v>
      </c>
      <c r="V22" s="87">
        <f t="shared" ca="1" si="48"/>
        <v>0</v>
      </c>
      <c r="W22" s="353">
        <f ca="1">IFERROR(__xludf.DUMMYFUNCTION("IMPORTRANGE(""https://docs.google.com/spreadsheets/d/1JtRfZkJMHtEhI5RdRHxYUG4FIZHqKDpNyIuN7A1Q0_k/edit?usp=sharing"",""พิษณุโลก!I652"")"),0)</f>
        <v>0</v>
      </c>
      <c r="X22" s="177">
        <f ca="1">IFERROR(__xludf.DUMMYFUNCTION("IMPORTRANGE(""https://docs.google.com/spreadsheets/d/1JtRfZkJMHtEhI5RdRHxYUG4FIZHqKDpNyIuN7A1Q0_k/edit?usp=sharing"",""พิษณุโลก!J652"")"),0)</f>
        <v>0</v>
      </c>
      <c r="Y22" s="354">
        <f t="shared" ca="1" si="50"/>
        <v>0</v>
      </c>
      <c r="Z22" s="177">
        <f ca="1">IFERROR(__xludf.DUMMYFUNCTION("IMPORTRANGE(""https://docs.google.com/spreadsheets/d/1JtRfZkJMHtEhI5RdRHxYUG4FIZHqKDpNyIuN7A1Q0_k/edit?usp=sharing"",""พิษณุโลก!I653"")"),0)</f>
        <v>0</v>
      </c>
      <c r="AA22" s="177">
        <f ca="1">IFERROR(__xludf.DUMMYFUNCTION("IMPORTRANGE(""https://docs.google.com/spreadsheets/d/1JtRfZkJMHtEhI5RdRHxYUG4FIZHqKDpNyIuN7A1Q0_k/edit?usp=sharing"",""พิษณุโลก!J653"")"),0)</f>
        <v>0</v>
      </c>
      <c r="AB22" s="354">
        <f t="shared" ca="1" si="52"/>
        <v>0</v>
      </c>
      <c r="AC22" s="177">
        <f ca="1">IFERROR(__xludf.DUMMYFUNCTION("IMPORTRANGE(""https://docs.google.com/spreadsheets/d/1JtRfZkJMHtEhI5RdRHxYUG4FIZHqKDpNyIuN7A1Q0_k/edit?usp=sharing"",""พิษณุโลก!I654"")"),0)</f>
        <v>0</v>
      </c>
      <c r="AD22" s="177">
        <f ca="1">IFERROR(__xludf.DUMMYFUNCTION("IMPORTRANGE(""https://docs.google.com/spreadsheets/d/1JtRfZkJMHtEhI5RdRHxYUG4FIZHqKDpNyIuN7A1Q0_k/edit?usp=sharing"",""พิษณุโลก!J654"")"),0)</f>
        <v>0</v>
      </c>
      <c r="AE22" s="354">
        <f t="shared" ca="1" si="54"/>
        <v>0</v>
      </c>
      <c r="AF22" s="354">
        <f ca="1">IFERROR(__xludf.DUMMYFUNCTION("IMPORTRANGE(""https://docs.google.com/spreadsheets/d/1JtRfZkJMHtEhI5RdRHxYUG4FIZHqKDpNyIuN7A1Q0_k/edit?usp=sharing"",""พิษณุโลก!J655"")"),0)</f>
        <v>0</v>
      </c>
      <c r="AG22" s="354">
        <f ca="1">IFERROR(__xludf.DUMMYFUNCTION("IMPORTRANGE(""https://docs.google.com/spreadsheets/d/1JtRfZkJMHtEhI5RdRHxYUG4FIZHqKDpNyIuN7A1Q0_k/edit?usp=sharing"",""พิษณุโลก!J656"")"),0)</f>
        <v>0</v>
      </c>
      <c r="AH22" s="354">
        <f ca="1">IFERROR(__xludf.DUMMYFUNCTION("IMPORTRANGE(""https://docs.google.com/spreadsheets/d/1JtRfZkJMHtEhI5RdRHxYUG4FIZHqKDpNyIuN7A1Q0_k/edit?usp=sharing"",""พิษณุโลก!J657"")"),0)</f>
        <v>0</v>
      </c>
      <c r="AI22" s="354">
        <f ca="1">IFERROR(__xludf.DUMMYFUNCTION("IMPORTRANGE(""https://docs.google.com/spreadsheets/d/1JtRfZkJMHtEhI5RdRHxYUG4FIZHqKDpNyIuN7A1Q0_k/edit?usp=sharing"",""พิษณุโลก!J658"")"),0)</f>
        <v>0</v>
      </c>
      <c r="AJ22" s="354">
        <f ca="1">IFERROR(__xludf.DUMMYFUNCTION("IMPORTRANGE(""https://docs.google.com/spreadsheets/d/1JtRfZkJMHtEhI5RdRHxYUG4FIZHqKDpNyIuN7A1Q0_k/edit?usp=sharing"",""พิษณุโลก!J659"")"),0)</f>
        <v>0</v>
      </c>
      <c r="AK22" s="354">
        <f ca="1">IFERROR(__xludf.DUMMYFUNCTION("IMPORTRANGE(""https://docs.google.com/spreadsheets/d/1JtRfZkJMHtEhI5RdRHxYUG4FIZHqKDpNyIuN7A1Q0_k/edit?usp=sharing"",""พิษณุโลก!J660"")"),0)</f>
        <v>0</v>
      </c>
      <c r="AL22" s="177">
        <f ca="1">IFERROR(__xludf.DUMMYFUNCTION("IMPORTRANGE(""https://docs.google.com/spreadsheets/d/1JtRfZkJMHtEhI5RdRHxYUG4FIZHqKDpNyIuN7A1Q0_k/edit?usp=sharing"",""พิษณุโลก!I661"")"),0)</f>
        <v>0</v>
      </c>
      <c r="AM22" s="177">
        <f ca="1">IFERROR(__xludf.DUMMYFUNCTION("IMPORTRANGE(""https://docs.google.com/spreadsheets/d/1JtRfZkJMHtEhI5RdRHxYUG4FIZHqKDpNyIuN7A1Q0_k/edit?usp=sharing"",""พิษณุโลก!J661"")"),0)</f>
        <v>0</v>
      </c>
      <c r="AN22" s="354">
        <f t="shared" ca="1" si="56"/>
        <v>0</v>
      </c>
      <c r="AO22" s="177">
        <f ca="1">IFERROR(__xludf.DUMMYFUNCTION("IMPORTRANGE(""https://docs.google.com/spreadsheets/d/1JtRfZkJMHtEhI5RdRHxYUG4FIZHqKDpNyIuN7A1Q0_k/edit?usp=sharing"",""พิษณุโลก!J662"")"),0)</f>
        <v>0</v>
      </c>
      <c r="AP22" s="177">
        <f ca="1">IFERROR(__xludf.DUMMYFUNCTION("IMPORTRANGE(""https://docs.google.com/spreadsheets/d/1JtRfZkJMHtEhI5RdRHxYUG4FIZHqKDpNyIuN7A1Q0_k/edit?usp=sharing"",""พิษณุโลก!J663"")"),0)</f>
        <v>0</v>
      </c>
      <c r="AQ22" s="177">
        <f ca="1">IFERROR(__xludf.DUMMYFUNCTION("IMPORTRANGE(""https://docs.google.com/spreadsheets/d/1JtRfZkJMHtEhI5RdRHxYUG4FIZHqKDpNyIuN7A1Q0_k/edit?usp=sharing"",""พิษณุโลก!J665"")"),0)</f>
        <v>0</v>
      </c>
      <c r="AR22" s="177">
        <f ca="1">IFERROR(__xludf.DUMMYFUNCTION("IMPORTRANGE(""https://docs.google.com/spreadsheets/d/1JtRfZkJMHtEhI5RdRHxYUG4FIZHqKDpNyIuN7A1Q0_k/edit?usp=sharing"",""พิษณุโลก!J666"")"),0)</f>
        <v>0</v>
      </c>
      <c r="AS22" s="177">
        <f ca="1">IFERROR(__xludf.DUMMYFUNCTION("IMPORTRANGE(""https://docs.google.com/spreadsheets/d/1JtRfZkJMHtEhI5RdRHxYUG4FIZHqKDpNyIuN7A1Q0_k/edit?usp=sharing"",""พิษณุโลก!J667"")"),0)</f>
        <v>0</v>
      </c>
      <c r="AT22" s="177">
        <f ca="1">IFERROR(__xludf.DUMMYFUNCTION("IMPORTRANGE(""https://docs.google.com/spreadsheets/d/1JtRfZkJMHtEhI5RdRHxYUG4FIZHqKDpNyIuN7A1Q0_k/edit?usp=sharing"",""พิษณุโลก!J668"")"),0)</f>
        <v>0</v>
      </c>
      <c r="AU22" s="177">
        <f ca="1">IFERROR(__xludf.DUMMYFUNCTION("IMPORTRANGE(""https://docs.google.com/spreadsheets/d/1JtRfZkJMHtEhI5RdRHxYUG4FIZHqKDpNyIuN7A1Q0_k/edit?usp=sharing"",""พิษณุโลก!J669"")"),0)</f>
        <v>0</v>
      </c>
      <c r="AV22" s="177">
        <f ca="1">IFERROR(__xludf.DUMMYFUNCTION("IMPORTRANGE(""https://docs.google.com/spreadsheets/d/1JtRfZkJMHtEhI5RdRHxYUG4FIZHqKDpNyIuN7A1Q0_k/edit?usp=sharing"",""พิษณุโลก!J670"")"),0)</f>
        <v>0</v>
      </c>
      <c r="AW22" s="177">
        <v>0</v>
      </c>
      <c r="AX22" s="177">
        <f ca="1">IFERROR(__xludf.DUMMYFUNCTION("IMPORTRANGE(""https://docs.google.com/spreadsheets/d/1JtRfZkJMHtEhI5RdRHxYUG4FIZHqKDpNyIuN7A1Q0_k/edit?usp=sharing"",""พิษณุโลก!J671"")"),0)</f>
        <v>0</v>
      </c>
      <c r="AY22" s="177">
        <f ca="1">IFERROR(__xludf.DUMMYFUNCTION("IMPORTRANGE(""https://docs.google.com/spreadsheets/d/1JtRfZkJMHtEhI5RdRHxYUG4FIZHqKDpNyIuN7A1Q0_k/edit?usp=sharing"",""พิษณุโลก!J672"")"),0)</f>
        <v>0</v>
      </c>
      <c r="AZ22" s="177">
        <f ca="1">IFERROR(__xludf.DUMMYFUNCTION("IMPORTRANGE(""https://docs.google.com/spreadsheets/d/1JtRfZkJMHtEhI5RdRHxYUG4FIZHqKDpNyIuN7A1Q0_k/edit?usp=sharing"",""พิษณุโลก!J673"")"),0)</f>
        <v>0</v>
      </c>
      <c r="BA22" s="354">
        <f t="shared" si="58"/>
        <v>0</v>
      </c>
      <c r="BB22" s="177">
        <f ca="1">IFERROR(__xludf.DUMMYFUNCTION("IMPORTRANGE(""https://docs.google.com/spreadsheets/d/1JtRfZkJMHtEhI5RdRHxYUG4FIZHqKDpNyIuN7A1Q0_k/edit?usp=sharing"",""พิษณุโลก!I674"")"),0)</f>
        <v>0</v>
      </c>
      <c r="BC22" s="177">
        <f ca="1">IFERROR(__xludf.DUMMYFUNCTION("IMPORTRANGE(""https://docs.google.com/spreadsheets/d/1JtRfZkJMHtEhI5RdRHxYUG4FIZHqKDpNyIuN7A1Q0_k/edit?usp=sharing"",""พิษณุโลก!I675"")"),0)</f>
        <v>0</v>
      </c>
      <c r="BD22" s="177">
        <f ca="1">IFERROR(__xludf.DUMMYFUNCTION("IMPORTRANGE(""https://docs.google.com/spreadsheets/d/1JtRfZkJMHtEhI5RdRHxYUG4FIZHqKDpNyIuN7A1Q0_k/edit?usp=sharing"",""พิษณุโลก!J674"")"),0)</f>
        <v>0</v>
      </c>
      <c r="BE22" s="354">
        <f t="shared" ca="1" si="60"/>
        <v>0</v>
      </c>
      <c r="BF22" s="177">
        <f ca="1">IFERROR(__xludf.DUMMYFUNCTION("IMPORTRANGE(""https://docs.google.com/spreadsheets/d/1JtRfZkJMHtEhI5RdRHxYUG4FIZHqKDpNyIuN7A1Q0_k/edit?usp=sharing"",""พิษณุโลก!J675"")"),0)</f>
        <v>0</v>
      </c>
      <c r="BG22" s="354">
        <f t="shared" ca="1" si="61"/>
        <v>0</v>
      </c>
      <c r="BH22" s="177">
        <f ca="1">IFERROR(__xludf.DUMMYFUNCTION("IMPORTRANGE(""https://docs.google.com/spreadsheets/d/1JtRfZkJMHtEhI5RdRHxYUG4FIZHqKDpNyIuN7A1Q0_k/edit?usp=sharing"",""พิษณุโลก!I676"")"),0)</f>
        <v>0</v>
      </c>
      <c r="BI22" s="177">
        <f ca="1">IFERROR(__xludf.DUMMYFUNCTION("IMPORTRANGE(""https://docs.google.com/spreadsheets/d/1JtRfZkJMHtEhI5RdRHxYUG4FIZHqKDpNyIuN7A1Q0_k/edit?usp=sharing"",""พิษณุโลก!I678"")"),0)</f>
        <v>0</v>
      </c>
      <c r="BJ22" s="177">
        <f ca="1">IFERROR(__xludf.DUMMYFUNCTION("IMPORTRANGE(""https://docs.google.com/spreadsheets/d/1JtRfZkJMHtEhI5RdRHxYUG4FIZHqKDpNyIuN7A1Q0_k/edit?usp=sharing"",""พิษณุโลก!J676"")"),0)</f>
        <v>0</v>
      </c>
      <c r="BK22" s="177">
        <f ca="1">IFERROR(__xludf.DUMMYFUNCTION("IMPORTRANGE(""https://docs.google.com/spreadsheets/d/1JtRfZkJMHtEhI5RdRHxYUG4FIZHqKDpNyIuN7A1Q0_k/edit?usp=sharing"",""พิษณุโลก!J677"")"),0)</f>
        <v>0</v>
      </c>
      <c r="BL22" s="177">
        <f ca="1">IFERROR(__xludf.DUMMYFUNCTION("IMPORTRANGE(""https://docs.google.com/spreadsheets/d/1JtRfZkJMHtEhI5RdRHxYUG4FIZHqKDpNyIuN7A1Q0_k/edit?usp=sharing"",""พิษณุโลก!J678"")"),0)</f>
        <v>0</v>
      </c>
      <c r="BM22" s="177">
        <f ca="1">IFERROR(__xludf.DUMMYFUNCTION("IMPORTRANGE(""https://docs.google.com/spreadsheets/d/1JtRfZkJMHtEhI5RdRHxYUG4FIZHqKDpNyIuN7A1Q0_k/edit?usp=sharing"",""พิษณุโลก!I679"")"),0)</f>
        <v>0</v>
      </c>
      <c r="BN22" s="177">
        <f ca="1">IFERROR(__xludf.DUMMYFUNCTION("IMPORTRANGE(""https://docs.google.com/spreadsheets/d/1JtRfZkJMHtEhI5RdRHxYUG4FIZHqKDpNyIuN7A1Q0_k/edit?usp=sharing"",""พิษณุโลก!I681"")"),0)</f>
        <v>0</v>
      </c>
      <c r="BO22" s="177">
        <f ca="1">IFERROR(__xludf.DUMMYFUNCTION("IMPORTRANGE(""https://docs.google.com/spreadsheets/d/1JtRfZkJMHtEhI5RdRHxYUG4FIZHqKDpNyIuN7A1Q0_k/edit?usp=sharing"",""พิษณุโลก!J679"")"),0)</f>
        <v>0</v>
      </c>
      <c r="BP22" s="177">
        <f ca="1">IFERROR(__xludf.DUMMYFUNCTION("IMPORTRANGE(""https://docs.google.com/spreadsheets/d/1JtRfZkJMHtEhI5RdRHxYUG4FIZHqKDpNyIuN7A1Q0_k/edit?usp=sharing"",""พิษณุโลก!J680"")"),0)</f>
        <v>0</v>
      </c>
      <c r="BQ22" s="177">
        <f ca="1">IFERROR(__xludf.DUMMYFUNCTION("IMPORTRANGE(""https://docs.google.com/spreadsheets/d/1JtRfZkJMHtEhI5RdRHxYUG4FIZHqKDpNyIuN7A1Q0_k/edit?usp=sharing"",""พิษณุโลก!J681"")"),0)</f>
        <v>0</v>
      </c>
      <c r="BR22" s="177">
        <f ca="1">IFERROR(__xludf.DUMMYFUNCTION("IMPORTRANGE(""https://docs.google.com/spreadsheets/d/1JtRfZkJMHtEhI5RdRHxYUG4FIZHqKDpNyIuN7A1Q0_k/edit?usp=sharing"",""พิษณุโลก!I682"")"),0)</f>
        <v>0</v>
      </c>
      <c r="BS22" s="177">
        <f ca="1">IFERROR(__xludf.DUMMYFUNCTION("IMPORTRANGE(""https://docs.google.com/spreadsheets/d/1JtRfZkJMHtEhI5RdRHxYUG4FIZHqKDpNyIuN7A1Q0_k/edit?usp=sharing"",""พิษณุโลก!J682"")"),0)</f>
        <v>0</v>
      </c>
      <c r="BT22" s="354">
        <f t="shared" ca="1" si="63"/>
        <v>0</v>
      </c>
      <c r="BU22" s="177">
        <f ca="1">IFERROR(__xludf.DUMMYFUNCTION("IMPORTRANGE(""https://docs.google.com/spreadsheets/d/1JtRfZkJMHtEhI5RdRHxYUG4FIZHqKDpNyIuN7A1Q0_k/edit?usp=sharing"",""พิษณุโลก!J683"")"),0)</f>
        <v>0</v>
      </c>
      <c r="BV22" s="177">
        <f ca="1">IFERROR(__xludf.DUMMYFUNCTION("IMPORTRANGE(""https://docs.google.com/spreadsheets/d/1JtRfZkJMHtEhI5RdRHxYUG4FIZHqKDpNyIuN7A1Q0_k/edit?usp=sharing"",""พิษณุโลก!J684"")"),0)</f>
        <v>0</v>
      </c>
      <c r="BW22" s="177">
        <f ca="1">IFERROR(__xludf.DUMMYFUNCTION("IMPORTRANGE(""https://docs.google.com/spreadsheets/d/1JtRfZkJMHtEhI5RdRHxYUG4FIZHqKDpNyIuN7A1Q0_k/edit?usp=sharing"",""พิษณุโลก!J685"")"),0)</f>
        <v>0</v>
      </c>
      <c r="BX22" s="177">
        <f ca="1">IFERROR(__xludf.DUMMYFUNCTION("IMPORTRANGE(""https://docs.google.com/spreadsheets/d/1JtRfZkJMHtEhI5RdRHxYUG4FIZHqKDpNyIuN7A1Q0_k/edit?usp=sharing"",""พิษณุโลก!J686"")"),0)</f>
        <v>0</v>
      </c>
      <c r="BY22" s="177">
        <f ca="1">IFERROR(__xludf.DUMMYFUNCTION("IMPORTRANGE(""https://docs.google.com/spreadsheets/d/1JtRfZkJMHtEhI5RdRHxYUG4FIZHqKDpNyIuN7A1Q0_k/edit?usp=sharing"",""พิษณุโลก!J687"")"),0)</f>
        <v>0</v>
      </c>
      <c r="BZ22" s="177">
        <f ca="1">IFERROR(__xludf.DUMMYFUNCTION("IMPORTRANGE(""https://docs.google.com/spreadsheets/d/1JtRfZkJMHtEhI5RdRHxYUG4FIZHqKDpNyIuN7A1Q0_k/edit?usp=sharing"",""พิษณุโลก!J688"")"),0)</f>
        <v>0</v>
      </c>
    </row>
    <row r="23" spans="1:78" ht="21.75" customHeight="1" x14ac:dyDescent="0.3">
      <c r="A23" s="89">
        <v>10</v>
      </c>
      <c r="B23" s="90" t="s">
        <v>49</v>
      </c>
      <c r="C23" s="174">
        <f t="shared" si="38"/>
        <v>0</v>
      </c>
      <c r="D23" s="175">
        <f t="shared" si="65"/>
        <v>0</v>
      </c>
      <c r="E23" s="403">
        <v>0</v>
      </c>
      <c r="F23" s="403">
        <v>0</v>
      </c>
      <c r="G23" s="403">
        <v>0</v>
      </c>
      <c r="H23" s="403">
        <v>0</v>
      </c>
      <c r="I23" s="403">
        <v>0</v>
      </c>
      <c r="J23" s="176">
        <f t="shared" si="40"/>
        <v>0</v>
      </c>
      <c r="K23" s="179">
        <f t="shared" si="41"/>
        <v>0</v>
      </c>
      <c r="L23" s="403">
        <v>0</v>
      </c>
      <c r="M23" s="87">
        <f t="shared" si="42"/>
        <v>0</v>
      </c>
      <c r="N23" s="87">
        <f t="shared" si="43"/>
        <v>0</v>
      </c>
      <c r="O23" s="403">
        <v>0</v>
      </c>
      <c r="P23" s="86">
        <f t="shared" si="44"/>
        <v>0</v>
      </c>
      <c r="Q23" s="87">
        <f t="shared" si="45"/>
        <v>0</v>
      </c>
      <c r="R23" s="87">
        <f ca="1">IFERROR(__xludf.DUMMYFUNCTION("IMPORTRANGE(""https://docs.google.com/spreadsheets/d/1xlcVZWUNn6SuWm0c307h32SiGkd9BaeQWlAktfD3KO8/edit?usp=sharing"",""เพชรบูรณ์!Q642"")"),22120)</f>
        <v>22120</v>
      </c>
      <c r="S23" s="87">
        <f ca="1">IFERROR(__xludf.DUMMYFUNCTION("IMPORTRANGE(""https://docs.google.com/spreadsheets/d/1xlcVZWUNn6SuWm0c307h32SiGkd9BaeQWlAktfD3KO8/edit?usp=sharing"",""เพชรบูรณ์!R642"")"),0)</f>
        <v>0</v>
      </c>
      <c r="T23" s="87">
        <f ca="1">IFERROR(__xludf.DUMMYFUNCTION("IMPORTRANGE(""https://docs.google.com/spreadsheets/d/1xlcVZWUNn6SuWm0c307h32SiGkd9BaeQWlAktfD3KO8/edit?usp=sharing"",""เพชรบูรณ์!S642"")"),0)</f>
        <v>0</v>
      </c>
      <c r="U23" s="87">
        <f t="shared" ca="1" si="47"/>
        <v>0</v>
      </c>
      <c r="V23" s="87">
        <f t="shared" ca="1" si="48"/>
        <v>0</v>
      </c>
      <c r="W23" s="353">
        <f ca="1">IFERROR(__xludf.DUMMYFUNCTION("IMPORTRANGE(""https://docs.google.com/spreadsheets/d/1xlcVZWUNn6SuWm0c307h32SiGkd9BaeQWlAktfD3KO8/edit?usp=sharing"",""เพชรบูรณ์!I652"")"),0)</f>
        <v>0</v>
      </c>
      <c r="X23" s="452">
        <f ca="1">IFERROR(__xludf.DUMMYFUNCTION("IMPORTRANGE(""https://docs.google.com/spreadsheets/d/1xlcVZWUNn6SuWm0c307h32SiGkd9BaeQWlAktfD3KO8/edit?usp=sharing"",""เพชรบูรณ์!J652"")"),0)</f>
        <v>0</v>
      </c>
      <c r="Y23" s="354">
        <f t="shared" ca="1" si="50"/>
        <v>0</v>
      </c>
      <c r="Z23" s="177">
        <f ca="1">IFERROR(__xludf.DUMMYFUNCTION("IMPORTRANGE(""https://docs.google.com/spreadsheets/d/1xlcVZWUNn6SuWm0c307h32SiGkd9BaeQWlAktfD3KO8/edit?usp=sharing"",""เพชรบูรณ์!I653"")"),0)</f>
        <v>0</v>
      </c>
      <c r="AA23" s="452">
        <f ca="1">IFERROR(__xludf.DUMMYFUNCTION("IMPORTRANGE(""https://docs.google.com/spreadsheets/d/1xlcVZWUNn6SuWm0c307h32SiGkd9BaeQWlAktfD3KO8/edit?usp=sharing"",""เพชรบูรณ์!J653"")"),0)</f>
        <v>0</v>
      </c>
      <c r="AB23" s="354">
        <f t="shared" ca="1" si="52"/>
        <v>0</v>
      </c>
      <c r="AC23" s="177">
        <f ca="1">IFERROR(__xludf.DUMMYFUNCTION("IMPORTRANGE(""https://docs.google.com/spreadsheets/d/1xlcVZWUNn6SuWm0c307h32SiGkd9BaeQWlAktfD3KO8/edit?usp=sharing"",""เพชรบูรณ์!I654"")"),0)</f>
        <v>0</v>
      </c>
      <c r="AD23" s="177">
        <f ca="1">IFERROR(__xludf.DUMMYFUNCTION("IMPORTRANGE(""https://docs.google.com/spreadsheets/d/1xlcVZWUNn6SuWm0c307h32SiGkd9BaeQWlAktfD3KO8/edit?usp=sharing"",""เพชรบูรณ์!J654"")"),0)</f>
        <v>0</v>
      </c>
      <c r="AE23" s="354">
        <f t="shared" ca="1" si="54"/>
        <v>0</v>
      </c>
      <c r="AF23" s="354">
        <f ca="1">IFERROR(__xludf.DUMMYFUNCTION("IMPORTRANGE(""https://docs.google.com/spreadsheets/d/1xlcVZWUNn6SuWm0c307h32SiGkd9BaeQWlAktfD3KO8/edit?usp=sharing"",""เพชรบูรณ์!J655"")"),0)</f>
        <v>0</v>
      </c>
      <c r="AG23" s="354">
        <f ca="1">IFERROR(__xludf.DUMMYFUNCTION("IMPORTRANGE(""https://docs.google.com/spreadsheets/d/1xlcVZWUNn6SuWm0c307h32SiGkd9BaeQWlAktfD3KO8/edit?usp=sharing"",""เพชรบูรณ์!J656"")"),0)</f>
        <v>0</v>
      </c>
      <c r="AH23" s="354">
        <f ca="1">IFERROR(__xludf.DUMMYFUNCTION("IMPORTRANGE(""https://docs.google.com/spreadsheets/d/1xlcVZWUNn6SuWm0c307h32SiGkd9BaeQWlAktfD3KO8/edit?usp=sharing"",""เพชรบูรณ์!J657"")"),0)</f>
        <v>0</v>
      </c>
      <c r="AI23" s="354">
        <f ca="1">IFERROR(__xludf.DUMMYFUNCTION("IMPORTRANGE(""https://docs.google.com/spreadsheets/d/1xlcVZWUNn6SuWm0c307h32SiGkd9BaeQWlAktfD3KO8/edit?usp=sharing"",""เพชรบูรณ์!J658"")"),0)</f>
        <v>0</v>
      </c>
      <c r="AJ23" s="354">
        <f ca="1">IFERROR(__xludf.DUMMYFUNCTION("IMPORTRANGE(""https://docs.google.com/spreadsheets/d/1xlcVZWUNn6SuWm0c307h32SiGkd9BaeQWlAktfD3KO8/edit?usp=sharing"",""เพชรบูรณ์!J659"")"),0)</f>
        <v>0</v>
      </c>
      <c r="AK23" s="354">
        <f ca="1">IFERROR(__xludf.DUMMYFUNCTION("IMPORTRANGE(""https://docs.google.com/spreadsheets/d/1xlcVZWUNn6SuWm0c307h32SiGkd9BaeQWlAktfD3KO8/edit?usp=sharing"",""เพชรบูรณ์!J660"")"),0)</f>
        <v>0</v>
      </c>
      <c r="AL23" s="177">
        <f ca="1">IFERROR(__xludf.DUMMYFUNCTION("IMPORTRANGE(""https://docs.google.com/spreadsheets/d/1xlcVZWUNn6SuWm0c307h32SiGkd9BaeQWlAktfD3KO8/edit?usp=sharing"",""เพชรบูรณ์!I661"")"),522)</f>
        <v>522</v>
      </c>
      <c r="AM23" s="177">
        <f ca="1">IFERROR(__xludf.DUMMYFUNCTION("IMPORTRANGE(""https://docs.google.com/spreadsheets/d/1xlcVZWUNn6SuWm0c307h32SiGkd9BaeQWlAktfD3KO8/edit?usp=sharing"",""เพชรบูรณ์!J661"")"),0)</f>
        <v>0</v>
      </c>
      <c r="AN23" s="354">
        <f t="shared" ca="1" si="56"/>
        <v>0</v>
      </c>
      <c r="AO23" s="177">
        <f ca="1">IFERROR(__xludf.DUMMYFUNCTION("IMPORTRANGE(""https://docs.google.com/spreadsheets/d/1xlcVZWUNn6SuWm0c307h32SiGkd9BaeQWlAktfD3KO8/edit?usp=sharing"",""เพชรบูรณ์!J662"")"),0)</f>
        <v>0</v>
      </c>
      <c r="AP23" s="177">
        <f ca="1">IFERROR(__xludf.DUMMYFUNCTION("IMPORTRANGE(""https://docs.google.com/spreadsheets/d/1xlcVZWUNn6SuWm0c307h32SiGkd9BaeQWlAktfD3KO8/edit?usp=sharing"",""เพชรบูรณ์!J663"")"),0)</f>
        <v>0</v>
      </c>
      <c r="AQ23" s="177">
        <f ca="1">IFERROR(__xludf.DUMMYFUNCTION("IMPORTRANGE(""https://docs.google.com/spreadsheets/d/1xlcVZWUNn6SuWm0c307h32SiGkd9BaeQWlAktfD3KO8/edit?usp=sharing"",""เพชรบูรณ์!J665"")"),0)</f>
        <v>0</v>
      </c>
      <c r="AR23" s="177">
        <f ca="1">IFERROR(__xludf.DUMMYFUNCTION("IMPORTRANGE(""https://docs.google.com/spreadsheets/d/1xlcVZWUNn6SuWm0c307h32SiGkd9BaeQWlAktfD3KO8/edit?usp=sharing"",""เพชรบูรณ์!J666"")"),0)</f>
        <v>0</v>
      </c>
      <c r="AS23" s="177">
        <f ca="1">IFERROR(__xludf.DUMMYFUNCTION("IMPORTRANGE(""https://docs.google.com/spreadsheets/d/1xlcVZWUNn6SuWm0c307h32SiGkd9BaeQWlAktfD3KO8/edit?usp=sharing"",""เพชรบูรณ์!J667"")"),0)</f>
        <v>0</v>
      </c>
      <c r="AT23" s="177">
        <f ca="1">IFERROR(__xludf.DUMMYFUNCTION("IMPORTRANGE(""https://docs.google.com/spreadsheets/d/1xlcVZWUNn6SuWm0c307h32SiGkd9BaeQWlAktfD3KO8/edit?usp=sharing"",""เพชรบูรณ์!J668"")"),0)</f>
        <v>0</v>
      </c>
      <c r="AU23" s="177">
        <f ca="1">IFERROR(__xludf.DUMMYFUNCTION("IMPORTRANGE(""https://docs.google.com/spreadsheets/d/1xlcVZWUNn6SuWm0c307h32SiGkd9BaeQWlAktfD3KO8/edit?usp=sharing"",""เพชรบูรณ์!J669"")"),0)</f>
        <v>0</v>
      </c>
      <c r="AV23" s="177">
        <f ca="1">IFERROR(__xludf.DUMMYFUNCTION("IMPORTRANGE(""https://docs.google.com/spreadsheets/d/1xlcVZWUNn6SuWm0c307h32SiGkd9BaeQWlAktfD3KO8/edit?usp=sharing"",""เพชรบูรณ์!J670"")"),0)</f>
        <v>0</v>
      </c>
      <c r="AW23" s="177">
        <v>0</v>
      </c>
      <c r="AX23" s="452">
        <f ca="1">IFERROR(__xludf.DUMMYFUNCTION("IMPORTRANGE(""https://docs.google.com/spreadsheets/d/1xlcVZWUNn6SuWm0c307h32SiGkd9BaeQWlAktfD3KO8/edit?usp=sharing"",""เพชรบูรณ์!J671"")"),0)</f>
        <v>0</v>
      </c>
      <c r="AY23" s="452">
        <f ca="1">IFERROR(__xludf.DUMMYFUNCTION("IMPORTRANGE(""https://docs.google.com/spreadsheets/d/1xlcVZWUNn6SuWm0c307h32SiGkd9BaeQWlAktfD3KO8/edit?usp=sharing"",""เพชรบูรณ์!J672"")"),0)</f>
        <v>0</v>
      </c>
      <c r="AZ23" s="452">
        <f ca="1">IFERROR(__xludf.DUMMYFUNCTION("IMPORTRANGE(""https://docs.google.com/spreadsheets/d/1xlcVZWUNn6SuWm0c307h32SiGkd9BaeQWlAktfD3KO8/edit?usp=sharing"",""เพชรบูรณ์!J673"")"),0)</f>
        <v>0</v>
      </c>
      <c r="BA23" s="354">
        <f t="shared" si="58"/>
        <v>0</v>
      </c>
      <c r="BB23" s="177">
        <f ca="1">IFERROR(__xludf.DUMMYFUNCTION("IMPORTRANGE(""https://docs.google.com/spreadsheets/d/1xlcVZWUNn6SuWm0c307h32SiGkd9BaeQWlAktfD3KO8/edit?usp=sharing"",""เพชรบูรณ์!I674"")"),2)</f>
        <v>2</v>
      </c>
      <c r="BC23" s="177">
        <f ca="1">IFERROR(__xludf.DUMMYFUNCTION("IMPORTRANGE(""https://docs.google.com/spreadsheets/d/1xlcVZWUNn6SuWm0c307h32SiGkd9BaeQWlAktfD3KO8/edit?usp=sharing"",""เพชรบูรณ์!I675"")"),18)</f>
        <v>18</v>
      </c>
      <c r="BD23" s="452">
        <f ca="1">IFERROR(__xludf.DUMMYFUNCTION("IMPORTRANGE(""https://docs.google.com/spreadsheets/d/1xlcVZWUNn6SuWm0c307h32SiGkd9BaeQWlAktfD3KO8/edit?usp=sharing"",""เพชรบูรณ์!J674"")"),0)</f>
        <v>0</v>
      </c>
      <c r="BE23" s="354">
        <f t="shared" ca="1" si="60"/>
        <v>0</v>
      </c>
      <c r="BF23" s="452">
        <f ca="1">IFERROR(__xludf.DUMMYFUNCTION("IMPORTRANGE(""https://docs.google.com/spreadsheets/d/1xlcVZWUNn6SuWm0c307h32SiGkd9BaeQWlAktfD3KO8/edit?usp=sharing"",""เพชรบูรณ์!J675"")"),0)</f>
        <v>0</v>
      </c>
      <c r="BG23" s="354">
        <f t="shared" ca="1" si="61"/>
        <v>0</v>
      </c>
      <c r="BH23" s="177">
        <f ca="1">IFERROR(__xludf.DUMMYFUNCTION("IMPORTRANGE(""https://docs.google.com/spreadsheets/d/1xlcVZWUNn6SuWm0c307h32SiGkd9BaeQWlAktfD3KO8/edit?usp=sharing"",""เพชรบูรณ์!I676"")"),2)</f>
        <v>2</v>
      </c>
      <c r="BI23" s="177">
        <f ca="1">IFERROR(__xludf.DUMMYFUNCTION("IMPORTRANGE(""https://docs.google.com/spreadsheets/d/1xlcVZWUNn6SuWm0c307h32SiGkd9BaeQWlAktfD3KO8/edit?usp=sharing"",""เพชรบูรณ์!I678"")"),18)</f>
        <v>18</v>
      </c>
      <c r="BJ23" s="452">
        <f ca="1">IFERROR(__xludf.DUMMYFUNCTION("IMPORTRANGE(""https://docs.google.com/spreadsheets/d/1xlcVZWUNn6SuWm0c307h32SiGkd9BaeQWlAktfD3KO8/edit?usp=sharing"",""เพชรบูรณ์!J676"")"),0)</f>
        <v>0</v>
      </c>
      <c r="BK23" s="452">
        <f ca="1">IFERROR(__xludf.DUMMYFUNCTION("IMPORTRANGE(""https://docs.google.com/spreadsheets/d/1xlcVZWUNn6SuWm0c307h32SiGkd9BaeQWlAktfD3KO8/edit?usp=sharing"",""เพชรบูรณ์!J677"")"),0)</f>
        <v>0</v>
      </c>
      <c r="BL23" s="452">
        <f ca="1">IFERROR(__xludf.DUMMYFUNCTION("IMPORTRANGE(""https://docs.google.com/spreadsheets/d/1xlcVZWUNn6SuWm0c307h32SiGkd9BaeQWlAktfD3KO8/edit?usp=sharing"",""เพชรบูรณ์!J678"")"),0)</f>
        <v>0</v>
      </c>
      <c r="BM23" s="177">
        <f ca="1">IFERROR(__xludf.DUMMYFUNCTION("IMPORTRANGE(""https://docs.google.com/spreadsheets/d/1xlcVZWUNn6SuWm0c307h32SiGkd9BaeQWlAktfD3KO8/edit?usp=sharing"",""เพชรบูรณ์!I679"")"),0)</f>
        <v>0</v>
      </c>
      <c r="BN23" s="177">
        <f ca="1">IFERROR(__xludf.DUMMYFUNCTION("IMPORTRANGE(""https://docs.google.com/spreadsheets/d/1xlcVZWUNn6SuWm0c307h32SiGkd9BaeQWlAktfD3KO8/edit?usp=sharing"",""เพชรบูรณ์!I681"")"),0)</f>
        <v>0</v>
      </c>
      <c r="BO23" s="452">
        <f ca="1">IFERROR(__xludf.DUMMYFUNCTION("IMPORTRANGE(""https://docs.google.com/spreadsheets/d/1xlcVZWUNn6SuWm0c307h32SiGkd9BaeQWlAktfD3KO8/edit?usp=sharing"",""เพชรบูรณ์!J679"")"),0)</f>
        <v>0</v>
      </c>
      <c r="BP23" s="452">
        <f ca="1">IFERROR(__xludf.DUMMYFUNCTION("IMPORTRANGE(""https://docs.google.com/spreadsheets/d/1xlcVZWUNn6SuWm0c307h32SiGkd9BaeQWlAktfD3KO8/edit?usp=sharing"",""เพชรบูรณ์!J680"")"),0)</f>
        <v>0</v>
      </c>
      <c r="BQ23" s="452">
        <f ca="1">IFERROR(__xludf.DUMMYFUNCTION("IMPORTRANGE(""https://docs.google.com/spreadsheets/d/1xlcVZWUNn6SuWm0c307h32SiGkd9BaeQWlAktfD3KO8/edit?usp=sharing"",""เพชรบูรณ์!J681"")"),0)</f>
        <v>0</v>
      </c>
      <c r="BR23" s="177">
        <f ca="1">IFERROR(__xludf.DUMMYFUNCTION("IMPORTRANGE(""https://docs.google.com/spreadsheets/d/1xlcVZWUNn6SuWm0c307h32SiGkd9BaeQWlAktfD3KO8/edit?usp=sharing"",""เพชรบูรณ์!I682"")"),0)</f>
        <v>0</v>
      </c>
      <c r="BS23" s="177">
        <f ca="1">IFERROR(__xludf.DUMMYFUNCTION("IMPORTRANGE(""https://docs.google.com/spreadsheets/d/1xlcVZWUNn6SuWm0c307h32SiGkd9BaeQWlAktfD3KO8/edit?usp=sharing"",""เพชรบูรณ์!J682"")"),0)</f>
        <v>0</v>
      </c>
      <c r="BT23" s="354">
        <f t="shared" ca="1" si="63"/>
        <v>0</v>
      </c>
      <c r="BU23" s="177">
        <f ca="1">IFERROR(__xludf.DUMMYFUNCTION("IMPORTRANGE(""https://docs.google.com/spreadsheets/d/1xlcVZWUNn6SuWm0c307h32SiGkd9BaeQWlAktfD3KO8/edit?usp=sharing"",""เพชรบูรณ์!J683"")"),0)</f>
        <v>0</v>
      </c>
      <c r="BV23" s="177">
        <f ca="1">IFERROR(__xludf.DUMMYFUNCTION("IMPORTRANGE(""https://docs.google.com/spreadsheets/d/1xlcVZWUNn6SuWm0c307h32SiGkd9BaeQWlAktfD3KO8/edit?usp=sharing"",""เพชรบูรณ์!J684"")"),0)</f>
        <v>0</v>
      </c>
      <c r="BW23" s="177">
        <f ca="1">IFERROR(__xludf.DUMMYFUNCTION("IMPORTRANGE(""https://docs.google.com/spreadsheets/d/1xlcVZWUNn6SuWm0c307h32SiGkd9BaeQWlAktfD3KO8/edit?usp=sharing"",""เพชรบูรณ์!J685"")"),0)</f>
        <v>0</v>
      </c>
      <c r="BX23" s="177">
        <f ca="1">IFERROR(__xludf.DUMMYFUNCTION("IMPORTRANGE(""https://docs.google.com/spreadsheets/d/1xlcVZWUNn6SuWm0c307h32SiGkd9BaeQWlAktfD3KO8/edit?usp=sharing"",""เพชรบูรณ์!J686"")"),0)</f>
        <v>0</v>
      </c>
      <c r="BY23" s="177">
        <f ca="1">IFERROR(__xludf.DUMMYFUNCTION("IMPORTRANGE(""https://docs.google.com/spreadsheets/d/1xlcVZWUNn6SuWm0c307h32SiGkd9BaeQWlAktfD3KO8/edit?usp=sharing"",""เพชรบูรณ์!J687"")"),0)</f>
        <v>0</v>
      </c>
      <c r="BZ23" s="177">
        <f ca="1">IFERROR(__xludf.DUMMYFUNCTION("IMPORTRANGE(""https://docs.google.com/spreadsheets/d/1xlcVZWUNn6SuWm0c307h32SiGkd9BaeQWlAktfD3KO8/edit?usp=sharing"",""เพชรบูรณ์!J688"")"),0)</f>
        <v>0</v>
      </c>
    </row>
    <row r="24" spans="1:78" ht="21.75" customHeight="1" x14ac:dyDescent="0.3">
      <c r="A24" s="89">
        <v>11</v>
      </c>
      <c r="B24" s="90" t="s">
        <v>50</v>
      </c>
      <c r="C24" s="174">
        <f t="shared" si="38"/>
        <v>0</v>
      </c>
      <c r="D24" s="175">
        <f t="shared" si="65"/>
        <v>0</v>
      </c>
      <c r="E24" s="403">
        <v>0</v>
      </c>
      <c r="F24" s="403">
        <v>0</v>
      </c>
      <c r="G24" s="403">
        <v>0</v>
      </c>
      <c r="H24" s="403">
        <v>0</v>
      </c>
      <c r="I24" s="403">
        <v>0</v>
      </c>
      <c r="J24" s="176">
        <f t="shared" si="40"/>
        <v>0</v>
      </c>
      <c r="K24" s="179">
        <f t="shared" si="41"/>
        <v>0</v>
      </c>
      <c r="L24" s="403">
        <v>0</v>
      </c>
      <c r="M24" s="87">
        <f t="shared" si="42"/>
        <v>0</v>
      </c>
      <c r="N24" s="87">
        <f t="shared" si="43"/>
        <v>0</v>
      </c>
      <c r="O24" s="403">
        <v>0</v>
      </c>
      <c r="P24" s="86">
        <f t="shared" si="44"/>
        <v>0</v>
      </c>
      <c r="Q24" s="87">
        <f t="shared" si="45"/>
        <v>0</v>
      </c>
      <c r="R24" s="87">
        <f ca="1">IFERROR(__xludf.DUMMYFUNCTION("IMPORTRANGE(""https://docs.google.com/spreadsheets/d/1lOVebEIsI9qjGXl6EX66luk7wiuP2tBaryw-wKvv4e0/edit?usp=sharing"",""แพร่!Q642"")"),0)</f>
        <v>0</v>
      </c>
      <c r="S24" s="87">
        <f ca="1">IFERROR(__xludf.DUMMYFUNCTION("IMPORTRANGE(""https://docs.google.com/spreadsheets/d/1lOVebEIsI9qjGXl6EX66luk7wiuP2tBaryw-wKvv4e0/edit?usp=sharing"",""แพร่!R642"")"),0)</f>
        <v>0</v>
      </c>
      <c r="T24" s="87">
        <f ca="1">IFERROR(__xludf.DUMMYFUNCTION("IMPORTRANGE(""https://docs.google.com/spreadsheets/d/1lOVebEIsI9qjGXl6EX66luk7wiuP2tBaryw-wKvv4e0/edit?usp=sharing"",""แพร่!S642"")"),0)</f>
        <v>0</v>
      </c>
      <c r="U24" s="87">
        <f t="shared" ca="1" si="47"/>
        <v>0</v>
      </c>
      <c r="V24" s="87">
        <f t="shared" ca="1" si="48"/>
        <v>0</v>
      </c>
      <c r="W24" s="353">
        <f ca="1">IFERROR(__xludf.DUMMYFUNCTION("IMPORTRANGE(""https://docs.google.com/spreadsheets/d/1lOVebEIsI9qjGXl6EX66luk7wiuP2tBaryw-wKvv4e0/edit?usp=sharing"",""แพร่!I652"")"),0)</f>
        <v>0</v>
      </c>
      <c r="X24" s="177">
        <f ca="1">IFERROR(__xludf.DUMMYFUNCTION("IMPORTRANGE(""https://docs.google.com/spreadsheets/d/1lOVebEIsI9qjGXl6EX66luk7wiuP2tBaryw-wKvv4e0/edit?usp=sharing"",""แพร่!J652"")"),0)</f>
        <v>0</v>
      </c>
      <c r="Y24" s="354">
        <f t="shared" ca="1" si="50"/>
        <v>0</v>
      </c>
      <c r="Z24" s="177">
        <f ca="1">IFERROR(__xludf.DUMMYFUNCTION("IMPORTRANGE(""https://docs.google.com/spreadsheets/d/1lOVebEIsI9qjGXl6EX66luk7wiuP2tBaryw-wKvv4e0/edit?usp=sharing"",""แพร่!I653"")"),0)</f>
        <v>0</v>
      </c>
      <c r="AA24" s="177">
        <f ca="1">IFERROR(__xludf.DUMMYFUNCTION("IMPORTRANGE(""https://docs.google.com/spreadsheets/d/1lOVebEIsI9qjGXl6EX66luk7wiuP2tBaryw-wKvv4e0/edit?usp=sharing"",""แพร่!J653"")"),0)</f>
        <v>0</v>
      </c>
      <c r="AB24" s="354">
        <f t="shared" ca="1" si="52"/>
        <v>0</v>
      </c>
      <c r="AC24" s="177">
        <f ca="1">IFERROR(__xludf.DUMMYFUNCTION("IMPORTRANGE(""https://docs.google.com/spreadsheets/d/1lOVebEIsI9qjGXl6EX66luk7wiuP2tBaryw-wKvv4e0/edit?usp=sharing"",""แพร่!I654"")"),0)</f>
        <v>0</v>
      </c>
      <c r="AD24" s="177">
        <f ca="1">IFERROR(__xludf.DUMMYFUNCTION("IMPORTRANGE(""https://docs.google.com/spreadsheets/d/1lOVebEIsI9qjGXl6EX66luk7wiuP2tBaryw-wKvv4e0/edit?usp=sharing"",""แพร่!J654"")"),0)</f>
        <v>0</v>
      </c>
      <c r="AE24" s="354">
        <f t="shared" ca="1" si="54"/>
        <v>0</v>
      </c>
      <c r="AF24" s="354">
        <f ca="1">IFERROR(__xludf.DUMMYFUNCTION("IMPORTRANGE(""https://docs.google.com/spreadsheets/d/1lOVebEIsI9qjGXl6EX66luk7wiuP2tBaryw-wKvv4e0/edit?usp=sharing"",""แพร่!J655"")"),0)</f>
        <v>0</v>
      </c>
      <c r="AG24" s="354">
        <f ca="1">IFERROR(__xludf.DUMMYFUNCTION("IMPORTRANGE(""https://docs.google.com/spreadsheets/d/1lOVebEIsI9qjGXl6EX66luk7wiuP2tBaryw-wKvv4e0/edit?usp=sharing"",""แพร่!J656"")"),0)</f>
        <v>0</v>
      </c>
      <c r="AH24" s="354">
        <f ca="1">IFERROR(__xludf.DUMMYFUNCTION("IMPORTRANGE(""https://docs.google.com/spreadsheets/d/1lOVebEIsI9qjGXl6EX66luk7wiuP2tBaryw-wKvv4e0/edit?usp=sharing"",""แพร่!J657"")"),0)</f>
        <v>0</v>
      </c>
      <c r="AI24" s="354">
        <f ca="1">IFERROR(__xludf.DUMMYFUNCTION("IMPORTRANGE(""https://docs.google.com/spreadsheets/d/1lOVebEIsI9qjGXl6EX66luk7wiuP2tBaryw-wKvv4e0/edit?usp=sharing"",""แพร่!J658"")"),0)</f>
        <v>0</v>
      </c>
      <c r="AJ24" s="354">
        <f ca="1">IFERROR(__xludf.DUMMYFUNCTION("IMPORTRANGE(""https://docs.google.com/spreadsheets/d/1lOVebEIsI9qjGXl6EX66luk7wiuP2tBaryw-wKvv4e0/edit?usp=sharing"",""แพร่!J659"")"),0)</f>
        <v>0</v>
      </c>
      <c r="AK24" s="354">
        <f ca="1">IFERROR(__xludf.DUMMYFUNCTION("IMPORTRANGE(""https://docs.google.com/spreadsheets/d/1lOVebEIsI9qjGXl6EX66luk7wiuP2tBaryw-wKvv4e0/edit?usp=sharing"",""แพร่!J660"")"),0)</f>
        <v>0</v>
      </c>
      <c r="AL24" s="177">
        <f ca="1">IFERROR(__xludf.DUMMYFUNCTION("IMPORTRANGE(""https://docs.google.com/spreadsheets/d/1lOVebEIsI9qjGXl6EX66luk7wiuP2tBaryw-wKvv4e0/edit?usp=sharing"",""แพร่!I661"")"),0)</f>
        <v>0</v>
      </c>
      <c r="AM24" s="177">
        <f ca="1">IFERROR(__xludf.DUMMYFUNCTION("IMPORTRANGE(""https://docs.google.com/spreadsheets/d/1lOVebEIsI9qjGXl6EX66luk7wiuP2tBaryw-wKvv4e0/edit?usp=sharing"",""แพร่!J661"")"),0)</f>
        <v>0</v>
      </c>
      <c r="AN24" s="354">
        <f t="shared" ca="1" si="56"/>
        <v>0</v>
      </c>
      <c r="AO24" s="177">
        <f ca="1">IFERROR(__xludf.DUMMYFUNCTION("IMPORTRANGE(""https://docs.google.com/spreadsheets/d/1lOVebEIsI9qjGXl6EX66luk7wiuP2tBaryw-wKvv4e0/edit?usp=sharing"",""แพร่!J662"")"),0)</f>
        <v>0</v>
      </c>
      <c r="AP24" s="177">
        <f ca="1">IFERROR(__xludf.DUMMYFUNCTION("IMPORTRANGE(""https://docs.google.com/spreadsheets/d/1lOVebEIsI9qjGXl6EX66luk7wiuP2tBaryw-wKvv4e0/edit?usp=sharing"",""แพร่!J663"")"),0)</f>
        <v>0</v>
      </c>
      <c r="AQ24" s="177">
        <f ca="1">IFERROR(__xludf.DUMMYFUNCTION("IMPORTRANGE(""https://docs.google.com/spreadsheets/d/1lOVebEIsI9qjGXl6EX66luk7wiuP2tBaryw-wKvv4e0/edit?usp=sharing"",""แพร่!J665"")"),0)</f>
        <v>0</v>
      </c>
      <c r="AR24" s="177">
        <f ca="1">IFERROR(__xludf.DUMMYFUNCTION("IMPORTRANGE(""https://docs.google.com/spreadsheets/d/1lOVebEIsI9qjGXl6EX66luk7wiuP2tBaryw-wKvv4e0/edit?usp=sharing"",""แพร่!J666"")"),0)</f>
        <v>0</v>
      </c>
      <c r="AS24" s="177">
        <f ca="1">IFERROR(__xludf.DUMMYFUNCTION("IMPORTRANGE(""https://docs.google.com/spreadsheets/d/1lOVebEIsI9qjGXl6EX66luk7wiuP2tBaryw-wKvv4e0/edit?usp=sharing"",""แพร่!J667"")"),0)</f>
        <v>0</v>
      </c>
      <c r="AT24" s="177">
        <f ca="1">IFERROR(__xludf.DUMMYFUNCTION("IMPORTRANGE(""https://docs.google.com/spreadsheets/d/1lOVebEIsI9qjGXl6EX66luk7wiuP2tBaryw-wKvv4e0/edit?usp=sharing"",""แพร่!J668"")"),0)</f>
        <v>0</v>
      </c>
      <c r="AU24" s="177">
        <f ca="1">IFERROR(__xludf.DUMMYFUNCTION("IMPORTRANGE(""https://docs.google.com/spreadsheets/d/1lOVebEIsI9qjGXl6EX66luk7wiuP2tBaryw-wKvv4e0/edit?usp=sharing"",""แพร่!J669"")"),0)</f>
        <v>0</v>
      </c>
      <c r="AV24" s="177">
        <f ca="1">IFERROR(__xludf.DUMMYFUNCTION("IMPORTRANGE(""https://docs.google.com/spreadsheets/d/1lOVebEIsI9qjGXl6EX66luk7wiuP2tBaryw-wKvv4e0/edit?usp=sharing"",""แพร่!J670"")"),0)</f>
        <v>0</v>
      </c>
      <c r="AW24" s="177">
        <v>0</v>
      </c>
      <c r="AX24" s="177">
        <f ca="1">IFERROR(__xludf.DUMMYFUNCTION("IMPORTRANGE(""https://docs.google.com/spreadsheets/d/1lOVebEIsI9qjGXl6EX66luk7wiuP2tBaryw-wKvv4e0/edit?usp=sharing"",""แพร่!J671"")"),0)</f>
        <v>0</v>
      </c>
      <c r="AY24" s="177">
        <f ca="1">IFERROR(__xludf.DUMMYFUNCTION("IMPORTRANGE(""https://docs.google.com/spreadsheets/d/1lOVebEIsI9qjGXl6EX66luk7wiuP2tBaryw-wKvv4e0/edit?usp=sharing"",""แพร่!J672"")"),0)</f>
        <v>0</v>
      </c>
      <c r="AZ24" s="177">
        <f ca="1">IFERROR(__xludf.DUMMYFUNCTION("IMPORTRANGE(""https://docs.google.com/spreadsheets/d/1lOVebEIsI9qjGXl6EX66luk7wiuP2tBaryw-wKvv4e0/edit?usp=sharing"",""แพร่!J673"")"),0)</f>
        <v>0</v>
      </c>
      <c r="BA24" s="354">
        <f t="shared" si="58"/>
        <v>0</v>
      </c>
      <c r="BB24" s="177">
        <f ca="1">IFERROR(__xludf.DUMMYFUNCTION("IMPORTRANGE(""https://docs.google.com/spreadsheets/d/1lOVebEIsI9qjGXl6EX66luk7wiuP2tBaryw-wKvv4e0/edit?usp=sharing"",""แพร่!I674"")"),0)</f>
        <v>0</v>
      </c>
      <c r="BC24" s="177">
        <f ca="1">IFERROR(__xludf.DUMMYFUNCTION("IMPORTRANGE(""https://docs.google.com/spreadsheets/d/1lOVebEIsI9qjGXl6EX66luk7wiuP2tBaryw-wKvv4e0/edit?usp=sharing"",""แพร่!I675"")"),0)</f>
        <v>0</v>
      </c>
      <c r="BD24" s="177">
        <f ca="1">IFERROR(__xludf.DUMMYFUNCTION("IMPORTRANGE(""https://docs.google.com/spreadsheets/d/1lOVebEIsI9qjGXl6EX66luk7wiuP2tBaryw-wKvv4e0/edit?usp=sharing"",""แพร่!J674"")"),0)</f>
        <v>0</v>
      </c>
      <c r="BE24" s="354">
        <f t="shared" ca="1" si="60"/>
        <v>0</v>
      </c>
      <c r="BF24" s="177">
        <f ca="1">IFERROR(__xludf.DUMMYFUNCTION("IMPORTRANGE(""https://docs.google.com/spreadsheets/d/1lOVebEIsI9qjGXl6EX66luk7wiuP2tBaryw-wKvv4e0/edit?usp=sharing"",""แพร่!J675"")"),0)</f>
        <v>0</v>
      </c>
      <c r="BG24" s="354">
        <f t="shared" ca="1" si="61"/>
        <v>0</v>
      </c>
      <c r="BH24" s="177">
        <f ca="1">IFERROR(__xludf.DUMMYFUNCTION("IMPORTRANGE(""https://docs.google.com/spreadsheets/d/1lOVebEIsI9qjGXl6EX66luk7wiuP2tBaryw-wKvv4e0/edit?usp=sharing"",""แพร่!I676"")"),0)</f>
        <v>0</v>
      </c>
      <c r="BI24" s="177">
        <f ca="1">IFERROR(__xludf.DUMMYFUNCTION("IMPORTRANGE(""https://docs.google.com/spreadsheets/d/1lOVebEIsI9qjGXl6EX66luk7wiuP2tBaryw-wKvv4e0/edit?usp=sharing"",""แพร่!I678"")"),0)</f>
        <v>0</v>
      </c>
      <c r="BJ24" s="177">
        <f ca="1">IFERROR(__xludf.DUMMYFUNCTION("IMPORTRANGE(""https://docs.google.com/spreadsheets/d/1lOVebEIsI9qjGXl6EX66luk7wiuP2tBaryw-wKvv4e0/edit?usp=sharing"",""แพร่!J676"")"),0)</f>
        <v>0</v>
      </c>
      <c r="BK24" s="177">
        <f ca="1">IFERROR(__xludf.DUMMYFUNCTION("IMPORTRANGE(""https://docs.google.com/spreadsheets/d/1lOVebEIsI9qjGXl6EX66luk7wiuP2tBaryw-wKvv4e0/edit?usp=sharing"",""แพร่!J677"")"),0)</f>
        <v>0</v>
      </c>
      <c r="BL24" s="177">
        <f ca="1">IFERROR(__xludf.DUMMYFUNCTION("IMPORTRANGE(""https://docs.google.com/spreadsheets/d/1lOVebEIsI9qjGXl6EX66luk7wiuP2tBaryw-wKvv4e0/edit?usp=sharing"",""แพร่!J678"")"),0)</f>
        <v>0</v>
      </c>
      <c r="BM24" s="177">
        <f ca="1">IFERROR(__xludf.DUMMYFUNCTION("IMPORTRANGE(""https://docs.google.com/spreadsheets/d/1lOVebEIsI9qjGXl6EX66luk7wiuP2tBaryw-wKvv4e0/edit?usp=sharing"",""แพร่!I679"")"),0)</f>
        <v>0</v>
      </c>
      <c r="BN24" s="177">
        <f ca="1">IFERROR(__xludf.DUMMYFUNCTION("IMPORTRANGE(""https://docs.google.com/spreadsheets/d/1lOVebEIsI9qjGXl6EX66luk7wiuP2tBaryw-wKvv4e0/edit?usp=sharing"",""แพร่!I681"")"),0)</f>
        <v>0</v>
      </c>
      <c r="BO24" s="177">
        <f ca="1">IFERROR(__xludf.DUMMYFUNCTION("IMPORTRANGE(""https://docs.google.com/spreadsheets/d/1lOVebEIsI9qjGXl6EX66luk7wiuP2tBaryw-wKvv4e0/edit?usp=sharing"",""แพร่!J679"")"),0)</f>
        <v>0</v>
      </c>
      <c r="BP24" s="177">
        <f ca="1">IFERROR(__xludf.DUMMYFUNCTION("IMPORTRANGE(""https://docs.google.com/spreadsheets/d/1lOVebEIsI9qjGXl6EX66luk7wiuP2tBaryw-wKvv4e0/edit?usp=sharing"",""แพร่!J680"")"),0)</f>
        <v>0</v>
      </c>
      <c r="BQ24" s="177">
        <f ca="1">IFERROR(__xludf.DUMMYFUNCTION("IMPORTRANGE(""https://docs.google.com/spreadsheets/d/1lOVebEIsI9qjGXl6EX66luk7wiuP2tBaryw-wKvv4e0/edit?usp=sharing"",""แพร่!J681"")"),0)</f>
        <v>0</v>
      </c>
      <c r="BR24" s="177">
        <f ca="1">IFERROR(__xludf.DUMMYFUNCTION("IMPORTRANGE(""https://docs.google.com/spreadsheets/d/1lOVebEIsI9qjGXl6EX66luk7wiuP2tBaryw-wKvv4e0/edit?usp=sharing"",""แพร่!I682"")"),0)</f>
        <v>0</v>
      </c>
      <c r="BS24" s="177">
        <f ca="1">IFERROR(__xludf.DUMMYFUNCTION("IMPORTRANGE(""https://docs.google.com/spreadsheets/d/1lOVebEIsI9qjGXl6EX66luk7wiuP2tBaryw-wKvv4e0/edit?usp=sharing"",""แพร่!J682"")"),0)</f>
        <v>0</v>
      </c>
      <c r="BT24" s="354">
        <f t="shared" ca="1" si="63"/>
        <v>0</v>
      </c>
      <c r="BU24" s="177">
        <f ca="1">IFERROR(__xludf.DUMMYFUNCTION("IMPORTRANGE(""https://docs.google.com/spreadsheets/d/1lOVebEIsI9qjGXl6EX66luk7wiuP2tBaryw-wKvv4e0/edit?usp=sharing"",""แพร่!J683"")"),0)</f>
        <v>0</v>
      </c>
      <c r="BV24" s="177">
        <f ca="1">IFERROR(__xludf.DUMMYFUNCTION("IMPORTRANGE(""https://docs.google.com/spreadsheets/d/1lOVebEIsI9qjGXl6EX66luk7wiuP2tBaryw-wKvv4e0/edit?usp=sharing"",""แพร่!J684"")"),0)</f>
        <v>0</v>
      </c>
      <c r="BW24" s="177">
        <f ca="1">IFERROR(__xludf.DUMMYFUNCTION("IMPORTRANGE(""https://docs.google.com/spreadsheets/d/1lOVebEIsI9qjGXl6EX66luk7wiuP2tBaryw-wKvv4e0/edit?usp=sharing"",""แพร่!J685"")"),0)</f>
        <v>0</v>
      </c>
      <c r="BX24" s="177">
        <f ca="1">IFERROR(__xludf.DUMMYFUNCTION("IMPORTRANGE(""https://docs.google.com/spreadsheets/d/1lOVebEIsI9qjGXl6EX66luk7wiuP2tBaryw-wKvv4e0/edit?usp=sharing"",""แพร่!J686"")"),0)</f>
        <v>0</v>
      </c>
      <c r="BY24" s="177">
        <f ca="1">IFERROR(__xludf.DUMMYFUNCTION("IMPORTRANGE(""https://docs.google.com/spreadsheets/d/1lOVebEIsI9qjGXl6EX66luk7wiuP2tBaryw-wKvv4e0/edit?usp=sharing"",""แพร่!J687"")"),0)</f>
        <v>0</v>
      </c>
      <c r="BZ24" s="177">
        <f ca="1">IFERROR(__xludf.DUMMYFUNCTION("IMPORTRANGE(""https://docs.google.com/spreadsheets/d/1lOVebEIsI9qjGXl6EX66luk7wiuP2tBaryw-wKvv4e0/edit?usp=sharing"",""แพร่!J688"")"),0)</f>
        <v>0</v>
      </c>
    </row>
    <row r="25" spans="1:78" ht="21.75" customHeight="1" x14ac:dyDescent="0.3">
      <c r="A25" s="89">
        <v>12</v>
      </c>
      <c r="B25" s="90" t="s">
        <v>51</v>
      </c>
      <c r="C25" s="174">
        <f t="shared" si="38"/>
        <v>0</v>
      </c>
      <c r="D25" s="175">
        <f t="shared" si="65"/>
        <v>0</v>
      </c>
      <c r="E25" s="403">
        <v>0</v>
      </c>
      <c r="F25" s="403">
        <v>0</v>
      </c>
      <c r="G25" s="403">
        <v>0</v>
      </c>
      <c r="H25" s="403">
        <v>0</v>
      </c>
      <c r="I25" s="403">
        <v>0</v>
      </c>
      <c r="J25" s="176">
        <f t="shared" si="40"/>
        <v>0</v>
      </c>
      <c r="K25" s="179">
        <f t="shared" si="41"/>
        <v>0</v>
      </c>
      <c r="L25" s="403">
        <v>0</v>
      </c>
      <c r="M25" s="87">
        <f t="shared" si="42"/>
        <v>0</v>
      </c>
      <c r="N25" s="87">
        <f t="shared" si="43"/>
        <v>0</v>
      </c>
      <c r="O25" s="403">
        <v>0</v>
      </c>
      <c r="P25" s="86">
        <f t="shared" si="44"/>
        <v>0</v>
      </c>
      <c r="Q25" s="87">
        <f t="shared" si="45"/>
        <v>0</v>
      </c>
      <c r="R25" s="87">
        <f ca="1">IFERROR(__xludf.DUMMYFUNCTION("IMPORTRANGE(""https://docs.google.com/spreadsheets/d/1dQrvX0vEcN7Gu0fnZ0B5S90AeR19zth4XlExFBeExMY/edit?usp=sharing"",""แม่ฮ่องสอน!Q642"")"),0)</f>
        <v>0</v>
      </c>
      <c r="S25" s="87">
        <f ca="1">IFERROR(__xludf.DUMMYFUNCTION("IMPORTRANGE(""https://docs.google.com/spreadsheets/d/1dQrvX0vEcN7Gu0fnZ0B5S90AeR19zth4XlExFBeExMY/edit?usp=sharing"",""แม่ฮ่องสอน!R642"")"),0)</f>
        <v>0</v>
      </c>
      <c r="T25" s="87">
        <f ca="1">IFERROR(__xludf.DUMMYFUNCTION("IMPORTRANGE(""https://docs.google.com/spreadsheets/d/1dQrvX0vEcN7Gu0fnZ0B5S90AeR19zth4XlExFBeExMY/edit?usp=sharing"",""แม่ฮ่องสอน!S642"")"),0)</f>
        <v>0</v>
      </c>
      <c r="U25" s="87">
        <f t="shared" ca="1" si="47"/>
        <v>0</v>
      </c>
      <c r="V25" s="87">
        <f t="shared" ca="1" si="48"/>
        <v>0</v>
      </c>
      <c r="W25" s="353">
        <f ca="1">IFERROR(__xludf.DUMMYFUNCTION("IMPORTRANGE(""https://docs.google.com/spreadsheets/d/1dQrvX0vEcN7Gu0fnZ0B5S90AeR19zth4XlExFBeExMY/edit?usp=sharing"",""แม่ฮ่องสอน!I652"")"),0)</f>
        <v>0</v>
      </c>
      <c r="X25" s="177">
        <f ca="1">IFERROR(__xludf.DUMMYFUNCTION("IMPORTRANGE(""https://docs.google.com/spreadsheets/d/1dQrvX0vEcN7Gu0fnZ0B5S90AeR19zth4XlExFBeExMY/edit?usp=sharing"",""แม่ฮ่องสอน!J652"")"),0)</f>
        <v>0</v>
      </c>
      <c r="Y25" s="354">
        <f t="shared" ca="1" si="50"/>
        <v>0</v>
      </c>
      <c r="Z25" s="177">
        <f ca="1">IFERROR(__xludf.DUMMYFUNCTION("IMPORTRANGE(""https://docs.google.com/spreadsheets/d/1dQrvX0vEcN7Gu0fnZ0B5S90AeR19zth4XlExFBeExMY/edit?usp=sharing"",""แม่ฮ่องสอน!I653"")"),0)</f>
        <v>0</v>
      </c>
      <c r="AA25" s="177">
        <f ca="1">IFERROR(__xludf.DUMMYFUNCTION("IMPORTRANGE(""https://docs.google.com/spreadsheets/d/1dQrvX0vEcN7Gu0fnZ0B5S90AeR19zth4XlExFBeExMY/edit?usp=sharing"",""แม่ฮ่องสอน!J653"")"),0)</f>
        <v>0</v>
      </c>
      <c r="AB25" s="354">
        <f t="shared" ca="1" si="52"/>
        <v>0</v>
      </c>
      <c r="AC25" s="177">
        <f ca="1">IFERROR(__xludf.DUMMYFUNCTION("IMPORTRANGE(""https://docs.google.com/spreadsheets/d/1dQrvX0vEcN7Gu0fnZ0B5S90AeR19zth4XlExFBeExMY/edit?usp=sharing"",""แม่ฮ่องสอน!I654"")"),0)</f>
        <v>0</v>
      </c>
      <c r="AD25" s="177">
        <f ca="1">IFERROR(__xludf.DUMMYFUNCTION("IMPORTRANGE(""https://docs.google.com/spreadsheets/d/1dQrvX0vEcN7Gu0fnZ0B5S90AeR19zth4XlExFBeExMY/edit?usp=sharing"",""แม่ฮ่องสอน!J654"")"),0)</f>
        <v>0</v>
      </c>
      <c r="AE25" s="354">
        <f t="shared" ca="1" si="54"/>
        <v>0</v>
      </c>
      <c r="AF25" s="354">
        <f ca="1">IFERROR(__xludf.DUMMYFUNCTION("IMPORTRANGE(""https://docs.google.com/spreadsheets/d/1dQrvX0vEcN7Gu0fnZ0B5S90AeR19zth4XlExFBeExMY/edit?usp=sharing"",""แม่ฮ่องสอน!J655"")"),0)</f>
        <v>0</v>
      </c>
      <c r="AG25" s="354">
        <f ca="1">IFERROR(__xludf.DUMMYFUNCTION("IMPORTRANGE(""https://docs.google.com/spreadsheets/d/1dQrvX0vEcN7Gu0fnZ0B5S90AeR19zth4XlExFBeExMY/edit?usp=sharing"",""แม่ฮ่องสอน!J656"")"),0)</f>
        <v>0</v>
      </c>
      <c r="AH25" s="354">
        <f ca="1">IFERROR(__xludf.DUMMYFUNCTION("IMPORTRANGE(""https://docs.google.com/spreadsheets/d/1dQrvX0vEcN7Gu0fnZ0B5S90AeR19zth4XlExFBeExMY/edit?usp=sharing"",""แม่ฮ่องสอน!J657"")"),0)</f>
        <v>0</v>
      </c>
      <c r="AI25" s="354">
        <f ca="1">IFERROR(__xludf.DUMMYFUNCTION("IMPORTRANGE(""https://docs.google.com/spreadsheets/d/1dQrvX0vEcN7Gu0fnZ0B5S90AeR19zth4XlExFBeExMY/edit?usp=sharing"",""แม่ฮ่องสอน!J658"")"),0)</f>
        <v>0</v>
      </c>
      <c r="AJ25" s="354">
        <f ca="1">IFERROR(__xludf.DUMMYFUNCTION("IMPORTRANGE(""https://docs.google.com/spreadsheets/d/1dQrvX0vEcN7Gu0fnZ0B5S90AeR19zth4XlExFBeExMY/edit?usp=sharing"",""แม่ฮ่องสอน!J659"")"),0)</f>
        <v>0</v>
      </c>
      <c r="AK25" s="354">
        <f ca="1">IFERROR(__xludf.DUMMYFUNCTION("IMPORTRANGE(""https://docs.google.com/spreadsheets/d/1dQrvX0vEcN7Gu0fnZ0B5S90AeR19zth4XlExFBeExMY/edit?usp=sharing"",""แม่ฮ่องสอน!J660"")"),0)</f>
        <v>0</v>
      </c>
      <c r="AL25" s="177">
        <f ca="1">IFERROR(__xludf.DUMMYFUNCTION("IMPORTRANGE(""https://docs.google.com/spreadsheets/d/1dQrvX0vEcN7Gu0fnZ0B5S90AeR19zth4XlExFBeExMY/edit?usp=sharing"",""แม่ฮ่องสอน!I661"")"),0)</f>
        <v>0</v>
      </c>
      <c r="AM25" s="177">
        <f ca="1">IFERROR(__xludf.DUMMYFUNCTION("IMPORTRANGE(""https://docs.google.com/spreadsheets/d/1dQrvX0vEcN7Gu0fnZ0B5S90AeR19zth4XlExFBeExMY/edit?usp=sharing"",""แม่ฮ่องสอน!J661"")"),0)</f>
        <v>0</v>
      </c>
      <c r="AN25" s="354">
        <f t="shared" ca="1" si="56"/>
        <v>0</v>
      </c>
      <c r="AO25" s="177">
        <f ca="1">IFERROR(__xludf.DUMMYFUNCTION("IMPORTRANGE(""https://docs.google.com/spreadsheets/d/1dQrvX0vEcN7Gu0fnZ0B5S90AeR19zth4XlExFBeExMY/edit?usp=sharing"",""แม่ฮ่องสอน!J662"")"),0)</f>
        <v>0</v>
      </c>
      <c r="AP25" s="177">
        <f ca="1">IFERROR(__xludf.DUMMYFUNCTION("IMPORTRANGE(""https://docs.google.com/spreadsheets/d/1dQrvX0vEcN7Gu0fnZ0B5S90AeR19zth4XlExFBeExMY/edit?usp=sharing"",""แม่ฮ่องสอน!J663"")"),0)</f>
        <v>0</v>
      </c>
      <c r="AQ25" s="177">
        <f ca="1">IFERROR(__xludf.DUMMYFUNCTION("IMPORTRANGE(""https://docs.google.com/spreadsheets/d/1dQrvX0vEcN7Gu0fnZ0B5S90AeR19zth4XlExFBeExMY/edit?usp=sharing"",""แม่ฮ่องสอน!J665"")"),0)</f>
        <v>0</v>
      </c>
      <c r="AR25" s="177">
        <f ca="1">IFERROR(__xludf.DUMMYFUNCTION("IMPORTRANGE(""https://docs.google.com/spreadsheets/d/1dQrvX0vEcN7Gu0fnZ0B5S90AeR19zth4XlExFBeExMY/edit?usp=sharing"",""แม่ฮ่องสอน!J666"")"),0)</f>
        <v>0</v>
      </c>
      <c r="AS25" s="177">
        <f ca="1">IFERROR(__xludf.DUMMYFUNCTION("IMPORTRANGE(""https://docs.google.com/spreadsheets/d/1dQrvX0vEcN7Gu0fnZ0B5S90AeR19zth4XlExFBeExMY/edit?usp=sharing"",""แม่ฮ่องสอน!J667"")"),0)</f>
        <v>0</v>
      </c>
      <c r="AT25" s="177">
        <f ca="1">IFERROR(__xludf.DUMMYFUNCTION("IMPORTRANGE(""https://docs.google.com/spreadsheets/d/1dQrvX0vEcN7Gu0fnZ0B5S90AeR19zth4XlExFBeExMY/edit?usp=sharing"",""แม่ฮ่องสอน!J668"")"),0)</f>
        <v>0</v>
      </c>
      <c r="AU25" s="177">
        <f ca="1">IFERROR(__xludf.DUMMYFUNCTION("IMPORTRANGE(""https://docs.google.com/spreadsheets/d/1dQrvX0vEcN7Gu0fnZ0B5S90AeR19zth4XlExFBeExMY/edit?usp=sharing"",""แม่ฮ่องสอน!J669"")"),0)</f>
        <v>0</v>
      </c>
      <c r="AV25" s="177">
        <f ca="1">IFERROR(__xludf.DUMMYFUNCTION("IMPORTRANGE(""https://docs.google.com/spreadsheets/d/1dQrvX0vEcN7Gu0fnZ0B5S90AeR19zth4XlExFBeExMY/edit?usp=sharing"",""แม่ฮ่องสอน!J670"")"),0)</f>
        <v>0</v>
      </c>
      <c r="AW25" s="177">
        <v>0</v>
      </c>
      <c r="AX25" s="177">
        <f ca="1">IFERROR(__xludf.DUMMYFUNCTION("IMPORTRANGE(""https://docs.google.com/spreadsheets/d/1dQrvX0vEcN7Gu0fnZ0B5S90AeR19zth4XlExFBeExMY/edit?usp=sharing"",""แม่ฮ่องสอน!J671"")"),0)</f>
        <v>0</v>
      </c>
      <c r="AY25" s="177">
        <f ca="1">IFERROR(__xludf.DUMMYFUNCTION("IMPORTRANGE(""https://docs.google.com/spreadsheets/d/1dQrvX0vEcN7Gu0fnZ0B5S90AeR19zth4XlExFBeExMY/edit?usp=sharing"",""แม่ฮ่องสอน!J672"")"),0)</f>
        <v>0</v>
      </c>
      <c r="AZ25" s="177">
        <f ca="1">IFERROR(__xludf.DUMMYFUNCTION("IMPORTRANGE(""https://docs.google.com/spreadsheets/d/1dQrvX0vEcN7Gu0fnZ0B5S90AeR19zth4XlExFBeExMY/edit?usp=sharing"",""แม่ฮ่องสอน!J673"")"),0)</f>
        <v>0</v>
      </c>
      <c r="BA25" s="354">
        <f t="shared" si="58"/>
        <v>0</v>
      </c>
      <c r="BB25" s="177">
        <f ca="1">IFERROR(__xludf.DUMMYFUNCTION("IMPORTRANGE(""https://docs.google.com/spreadsheets/d/1dQrvX0vEcN7Gu0fnZ0B5S90AeR19zth4XlExFBeExMY/edit?usp=sharing"",""แม่ฮ่องสอน!I674"")"),0)</f>
        <v>0</v>
      </c>
      <c r="BC25" s="177">
        <f ca="1">IFERROR(__xludf.DUMMYFUNCTION("IMPORTRANGE(""https://docs.google.com/spreadsheets/d/1dQrvX0vEcN7Gu0fnZ0B5S90AeR19zth4XlExFBeExMY/edit?usp=sharing"",""แม่ฮ่องสอน!I675"")"),0)</f>
        <v>0</v>
      </c>
      <c r="BD25" s="177">
        <f ca="1">IFERROR(__xludf.DUMMYFUNCTION("IMPORTRANGE(""https://docs.google.com/spreadsheets/d/1dQrvX0vEcN7Gu0fnZ0B5S90AeR19zth4XlExFBeExMY/edit?usp=sharing"",""แม่ฮ่องสอน!J674"")"),0)</f>
        <v>0</v>
      </c>
      <c r="BE25" s="354">
        <f t="shared" ca="1" si="60"/>
        <v>0</v>
      </c>
      <c r="BF25" s="177">
        <f ca="1">IFERROR(__xludf.DUMMYFUNCTION("IMPORTRANGE(""https://docs.google.com/spreadsheets/d/1dQrvX0vEcN7Gu0fnZ0B5S90AeR19zth4XlExFBeExMY/edit?usp=sharing"",""แม่ฮ่องสอน!J675"")"),0)</f>
        <v>0</v>
      </c>
      <c r="BG25" s="354">
        <f t="shared" ca="1" si="61"/>
        <v>0</v>
      </c>
      <c r="BH25" s="177">
        <f ca="1">IFERROR(__xludf.DUMMYFUNCTION("IMPORTRANGE(""https://docs.google.com/spreadsheets/d/1dQrvX0vEcN7Gu0fnZ0B5S90AeR19zth4XlExFBeExMY/edit?usp=sharing"",""แม่ฮ่องสอน!I676"")"),0)</f>
        <v>0</v>
      </c>
      <c r="BI25" s="177">
        <f ca="1">IFERROR(__xludf.DUMMYFUNCTION("IMPORTRANGE(""https://docs.google.com/spreadsheets/d/1dQrvX0vEcN7Gu0fnZ0B5S90AeR19zth4XlExFBeExMY/edit?usp=sharing"",""แม่ฮ่องสอน!I678"")"),0)</f>
        <v>0</v>
      </c>
      <c r="BJ25" s="177">
        <f ca="1">IFERROR(__xludf.DUMMYFUNCTION("IMPORTRANGE(""https://docs.google.com/spreadsheets/d/1dQrvX0vEcN7Gu0fnZ0B5S90AeR19zth4XlExFBeExMY/edit?usp=sharing"",""แม่ฮ่องสอน!J676"")"),0)</f>
        <v>0</v>
      </c>
      <c r="BK25" s="177">
        <f ca="1">IFERROR(__xludf.DUMMYFUNCTION("IMPORTRANGE(""https://docs.google.com/spreadsheets/d/1dQrvX0vEcN7Gu0fnZ0B5S90AeR19zth4XlExFBeExMY/edit?usp=sharing"",""แม่ฮ่องสอน!J677"")"),0)</f>
        <v>0</v>
      </c>
      <c r="BL25" s="177">
        <f ca="1">IFERROR(__xludf.DUMMYFUNCTION("IMPORTRANGE(""https://docs.google.com/spreadsheets/d/1dQrvX0vEcN7Gu0fnZ0B5S90AeR19zth4XlExFBeExMY/edit?usp=sharing"",""แม่ฮ่องสอน!J678"")"),0)</f>
        <v>0</v>
      </c>
      <c r="BM25" s="177">
        <f ca="1">IFERROR(__xludf.DUMMYFUNCTION("IMPORTRANGE(""https://docs.google.com/spreadsheets/d/1dQrvX0vEcN7Gu0fnZ0B5S90AeR19zth4XlExFBeExMY/edit?usp=sharing"",""แม่ฮ่องสอน!I679"")"),0)</f>
        <v>0</v>
      </c>
      <c r="BN25" s="177">
        <f ca="1">IFERROR(__xludf.DUMMYFUNCTION("IMPORTRANGE(""https://docs.google.com/spreadsheets/d/1dQrvX0vEcN7Gu0fnZ0B5S90AeR19zth4XlExFBeExMY/edit?usp=sharing"",""แม่ฮ่องสอน!I681"")"),0)</f>
        <v>0</v>
      </c>
      <c r="BO25" s="177">
        <f ca="1">IFERROR(__xludf.DUMMYFUNCTION("IMPORTRANGE(""https://docs.google.com/spreadsheets/d/1dQrvX0vEcN7Gu0fnZ0B5S90AeR19zth4XlExFBeExMY/edit?usp=sharing"",""แม่ฮ่องสอน!J679"")"),0)</f>
        <v>0</v>
      </c>
      <c r="BP25" s="177">
        <f ca="1">IFERROR(__xludf.DUMMYFUNCTION("IMPORTRANGE(""https://docs.google.com/spreadsheets/d/1dQrvX0vEcN7Gu0fnZ0B5S90AeR19zth4XlExFBeExMY/edit?usp=sharing"",""แม่ฮ่องสอน!J680"")"),0)</f>
        <v>0</v>
      </c>
      <c r="BQ25" s="177">
        <f ca="1">IFERROR(__xludf.DUMMYFUNCTION("IMPORTRANGE(""https://docs.google.com/spreadsheets/d/1dQrvX0vEcN7Gu0fnZ0B5S90AeR19zth4XlExFBeExMY/edit?usp=sharing"",""แม่ฮ่องสอน!J681"")"),0)</f>
        <v>0</v>
      </c>
      <c r="BR25" s="177">
        <f ca="1">IFERROR(__xludf.DUMMYFUNCTION("IMPORTRANGE(""https://docs.google.com/spreadsheets/d/1dQrvX0vEcN7Gu0fnZ0B5S90AeR19zth4XlExFBeExMY/edit?usp=sharing"",""แม่ฮ่องสอน!I682"")"),0)</f>
        <v>0</v>
      </c>
      <c r="BS25" s="177">
        <f ca="1">IFERROR(__xludf.DUMMYFUNCTION("IMPORTRANGE(""https://docs.google.com/spreadsheets/d/1dQrvX0vEcN7Gu0fnZ0B5S90AeR19zth4XlExFBeExMY/edit?usp=sharing"",""แม่ฮ่องสอน!J682"")"),0)</f>
        <v>0</v>
      </c>
      <c r="BT25" s="354">
        <f t="shared" ca="1" si="63"/>
        <v>0</v>
      </c>
      <c r="BU25" s="177">
        <f ca="1">IFERROR(__xludf.DUMMYFUNCTION("IMPORTRANGE(""https://docs.google.com/spreadsheets/d/1dQrvX0vEcN7Gu0fnZ0B5S90AeR19zth4XlExFBeExMY/edit?usp=sharing"",""แม่ฮ่องสอน!J683"")"),0)</f>
        <v>0</v>
      </c>
      <c r="BV25" s="177">
        <f ca="1">IFERROR(__xludf.DUMMYFUNCTION("IMPORTRANGE(""https://docs.google.com/spreadsheets/d/1dQrvX0vEcN7Gu0fnZ0B5S90AeR19zth4XlExFBeExMY/edit?usp=sharing"",""แม่ฮ่องสอน!J684"")"),0)</f>
        <v>0</v>
      </c>
      <c r="BW25" s="177">
        <f ca="1">IFERROR(__xludf.DUMMYFUNCTION("IMPORTRANGE(""https://docs.google.com/spreadsheets/d/1dQrvX0vEcN7Gu0fnZ0B5S90AeR19zth4XlExFBeExMY/edit?usp=sharing"",""แม่ฮ่องสอน!J685"")"),0)</f>
        <v>0</v>
      </c>
      <c r="BX25" s="177">
        <f ca="1">IFERROR(__xludf.DUMMYFUNCTION("IMPORTRANGE(""https://docs.google.com/spreadsheets/d/1dQrvX0vEcN7Gu0fnZ0B5S90AeR19zth4XlExFBeExMY/edit?usp=sharing"",""แม่ฮ่องสอน!J686"")"),0)</f>
        <v>0</v>
      </c>
      <c r="BY25" s="177">
        <f ca="1">IFERROR(__xludf.DUMMYFUNCTION("IMPORTRANGE(""https://docs.google.com/spreadsheets/d/1dQrvX0vEcN7Gu0fnZ0B5S90AeR19zth4XlExFBeExMY/edit?usp=sharing"",""แม่ฮ่องสอน!J687"")"),0)</f>
        <v>0</v>
      </c>
      <c r="BZ25" s="177">
        <f ca="1">IFERROR(__xludf.DUMMYFUNCTION("IMPORTRANGE(""https://docs.google.com/spreadsheets/d/1dQrvX0vEcN7Gu0fnZ0B5S90AeR19zth4XlExFBeExMY/edit?usp=sharing"",""แม่ฮ่องสอน!J688"")"),0)</f>
        <v>0</v>
      </c>
    </row>
    <row r="26" spans="1:78" ht="21.75" customHeight="1" x14ac:dyDescent="0.3">
      <c r="A26" s="89">
        <v>13</v>
      </c>
      <c r="B26" s="90" t="s">
        <v>52</v>
      </c>
      <c r="C26" s="174">
        <f t="shared" si="38"/>
        <v>0</v>
      </c>
      <c r="D26" s="175">
        <f t="shared" si="65"/>
        <v>0</v>
      </c>
      <c r="E26" s="403">
        <v>0</v>
      </c>
      <c r="F26" s="403">
        <v>0</v>
      </c>
      <c r="G26" s="403">
        <v>0</v>
      </c>
      <c r="H26" s="403">
        <v>0</v>
      </c>
      <c r="I26" s="403">
        <v>0</v>
      </c>
      <c r="J26" s="176">
        <f t="shared" si="40"/>
        <v>0</v>
      </c>
      <c r="K26" s="179">
        <f t="shared" si="41"/>
        <v>0</v>
      </c>
      <c r="L26" s="403">
        <v>0</v>
      </c>
      <c r="M26" s="87">
        <f t="shared" si="42"/>
        <v>0</v>
      </c>
      <c r="N26" s="87">
        <f t="shared" si="43"/>
        <v>0</v>
      </c>
      <c r="O26" s="403">
        <v>0</v>
      </c>
      <c r="P26" s="86">
        <f t="shared" si="44"/>
        <v>0</v>
      </c>
      <c r="Q26" s="87">
        <f t="shared" si="45"/>
        <v>0</v>
      </c>
      <c r="R26" s="87">
        <f ca="1">IFERROR(__xludf.DUMMYFUNCTION("IMPORTRANGE(""https://docs.google.com/spreadsheets/d/1DY4XTNNwjluuxqdfdn6qvOSlMRrZqUtmYcZR0ttFiG4/edit?usp=sharing"",""ลำปาง!Q642"")"),0)</f>
        <v>0</v>
      </c>
      <c r="S26" s="87">
        <f ca="1">IFERROR(__xludf.DUMMYFUNCTION("IMPORTRANGE(""https://docs.google.com/spreadsheets/d/1DY4XTNNwjluuxqdfdn6qvOSlMRrZqUtmYcZR0ttFiG4/edit?usp=sharing"",""ลำปาง!R642"")"),0)</f>
        <v>0</v>
      </c>
      <c r="T26" s="87">
        <f ca="1">IFERROR(__xludf.DUMMYFUNCTION("IMPORTRANGE(""https://docs.google.com/spreadsheets/d/1DY4XTNNwjluuxqdfdn6qvOSlMRrZqUtmYcZR0ttFiG4/edit?usp=sharing"",""ลำปาง!S642"")"),0)</f>
        <v>0</v>
      </c>
      <c r="U26" s="87">
        <f t="shared" ca="1" si="47"/>
        <v>0</v>
      </c>
      <c r="V26" s="87">
        <f t="shared" ca="1" si="48"/>
        <v>0</v>
      </c>
      <c r="W26" s="353">
        <f ca="1">IFERROR(__xludf.DUMMYFUNCTION("IMPORTRANGE(""https://docs.google.com/spreadsheets/d/1DY4XTNNwjluuxqdfdn6qvOSlMRrZqUtmYcZR0ttFiG4/edit?usp=sharing"",""ลำปาง!I652"")"),0)</f>
        <v>0</v>
      </c>
      <c r="X26" s="177">
        <f ca="1">IFERROR(__xludf.DUMMYFUNCTION("IMPORTRANGE(""https://docs.google.com/spreadsheets/d/1DY4XTNNwjluuxqdfdn6qvOSlMRrZqUtmYcZR0ttFiG4/edit?usp=sharing"",""ลำปาง!J652"")"),0)</f>
        <v>0</v>
      </c>
      <c r="Y26" s="354">
        <f t="shared" ca="1" si="50"/>
        <v>0</v>
      </c>
      <c r="Z26" s="177">
        <f ca="1">IFERROR(__xludf.DUMMYFUNCTION("IMPORTRANGE(""https://docs.google.com/spreadsheets/d/1DY4XTNNwjluuxqdfdn6qvOSlMRrZqUtmYcZR0ttFiG4/edit?usp=sharing"",""ลำปาง!I653"")"),0)</f>
        <v>0</v>
      </c>
      <c r="AA26" s="177">
        <f ca="1">IFERROR(__xludf.DUMMYFUNCTION("IMPORTRANGE(""https://docs.google.com/spreadsheets/d/1DY4XTNNwjluuxqdfdn6qvOSlMRrZqUtmYcZR0ttFiG4/edit?usp=sharing"",""ลำปาง!J653"")"),0)</f>
        <v>0</v>
      </c>
      <c r="AB26" s="354">
        <f t="shared" ca="1" si="52"/>
        <v>0</v>
      </c>
      <c r="AC26" s="177">
        <f ca="1">IFERROR(__xludf.DUMMYFUNCTION("IMPORTRANGE(""https://docs.google.com/spreadsheets/d/1DY4XTNNwjluuxqdfdn6qvOSlMRrZqUtmYcZR0ttFiG4/edit?usp=sharing"",""ลำปาง!I654"")"),0)</f>
        <v>0</v>
      </c>
      <c r="AD26" s="177">
        <f ca="1">IFERROR(__xludf.DUMMYFUNCTION("IMPORTRANGE(""https://docs.google.com/spreadsheets/d/1DY4XTNNwjluuxqdfdn6qvOSlMRrZqUtmYcZR0ttFiG4/edit?usp=sharing"",""ลำปาง!J654"")"),0)</f>
        <v>0</v>
      </c>
      <c r="AE26" s="354">
        <f t="shared" ca="1" si="54"/>
        <v>0</v>
      </c>
      <c r="AF26" s="354">
        <f ca="1">IFERROR(__xludf.DUMMYFUNCTION("IMPORTRANGE(""https://docs.google.com/spreadsheets/d/1DY4XTNNwjluuxqdfdn6qvOSlMRrZqUtmYcZR0ttFiG4/edit?usp=sharing"",""ลำปาง!J655"")"),0)</f>
        <v>0</v>
      </c>
      <c r="AG26" s="354">
        <f ca="1">IFERROR(__xludf.DUMMYFUNCTION("IMPORTRANGE(""https://docs.google.com/spreadsheets/d/1DY4XTNNwjluuxqdfdn6qvOSlMRrZqUtmYcZR0ttFiG4/edit?usp=sharing"",""ลำปาง!J656"")"),0)</f>
        <v>0</v>
      </c>
      <c r="AH26" s="354">
        <f ca="1">IFERROR(__xludf.DUMMYFUNCTION("IMPORTRANGE(""https://docs.google.com/spreadsheets/d/1DY4XTNNwjluuxqdfdn6qvOSlMRrZqUtmYcZR0ttFiG4/edit?usp=sharing"",""ลำปาง!J657"")"),0)</f>
        <v>0</v>
      </c>
      <c r="AI26" s="354">
        <f ca="1">IFERROR(__xludf.DUMMYFUNCTION("IMPORTRANGE(""https://docs.google.com/spreadsheets/d/1DY4XTNNwjluuxqdfdn6qvOSlMRrZqUtmYcZR0ttFiG4/edit?usp=sharing"",""ลำปาง!J658"")"),0)</f>
        <v>0</v>
      </c>
      <c r="AJ26" s="354">
        <f ca="1">IFERROR(__xludf.DUMMYFUNCTION("IMPORTRANGE(""https://docs.google.com/spreadsheets/d/1DY4XTNNwjluuxqdfdn6qvOSlMRrZqUtmYcZR0ttFiG4/edit?usp=sharing"",""ลำปาง!J659"")"),0)</f>
        <v>0</v>
      </c>
      <c r="AK26" s="354">
        <f ca="1">IFERROR(__xludf.DUMMYFUNCTION("IMPORTRANGE(""https://docs.google.com/spreadsheets/d/1DY4XTNNwjluuxqdfdn6qvOSlMRrZqUtmYcZR0ttFiG4/edit?usp=sharing"",""ลำปาง!J660"")"),0)</f>
        <v>0</v>
      </c>
      <c r="AL26" s="177">
        <f ca="1">IFERROR(__xludf.DUMMYFUNCTION("IMPORTRANGE(""https://docs.google.com/spreadsheets/d/1DY4XTNNwjluuxqdfdn6qvOSlMRrZqUtmYcZR0ttFiG4/edit?usp=sharing"",""ลำปาง!I661"")"),0)</f>
        <v>0</v>
      </c>
      <c r="AM26" s="177">
        <f ca="1">IFERROR(__xludf.DUMMYFUNCTION("IMPORTRANGE(""https://docs.google.com/spreadsheets/d/1DY4XTNNwjluuxqdfdn6qvOSlMRrZqUtmYcZR0ttFiG4/edit?usp=sharing"",""ลำปาง!J661"")"),0)</f>
        <v>0</v>
      </c>
      <c r="AN26" s="354">
        <f t="shared" ca="1" si="56"/>
        <v>0</v>
      </c>
      <c r="AO26" s="177">
        <f ca="1">IFERROR(__xludf.DUMMYFUNCTION("IMPORTRANGE(""https://docs.google.com/spreadsheets/d/1DY4XTNNwjluuxqdfdn6qvOSlMRrZqUtmYcZR0ttFiG4/edit?usp=sharing"",""ลำปาง!J662"")"),0)</f>
        <v>0</v>
      </c>
      <c r="AP26" s="177">
        <f ca="1">IFERROR(__xludf.DUMMYFUNCTION("IMPORTRANGE(""https://docs.google.com/spreadsheets/d/1DY4XTNNwjluuxqdfdn6qvOSlMRrZqUtmYcZR0ttFiG4/edit?usp=sharing"",""ลำปาง!J663"")"),0)</f>
        <v>0</v>
      </c>
      <c r="AQ26" s="177">
        <f ca="1">IFERROR(__xludf.DUMMYFUNCTION("IMPORTRANGE(""https://docs.google.com/spreadsheets/d/1DY4XTNNwjluuxqdfdn6qvOSlMRrZqUtmYcZR0ttFiG4/edit?usp=sharing"",""ลำปาง!J665"")"),0)</f>
        <v>0</v>
      </c>
      <c r="AR26" s="177">
        <f ca="1">IFERROR(__xludf.DUMMYFUNCTION("IMPORTRANGE(""https://docs.google.com/spreadsheets/d/1DY4XTNNwjluuxqdfdn6qvOSlMRrZqUtmYcZR0ttFiG4/edit?usp=sharing"",""ลำปาง!J666"")"),0)</f>
        <v>0</v>
      </c>
      <c r="AS26" s="177">
        <f ca="1">IFERROR(__xludf.DUMMYFUNCTION("IMPORTRANGE(""https://docs.google.com/spreadsheets/d/1DY4XTNNwjluuxqdfdn6qvOSlMRrZqUtmYcZR0ttFiG4/edit?usp=sharing"",""ลำปาง!J667"")"),0)</f>
        <v>0</v>
      </c>
      <c r="AT26" s="177">
        <f ca="1">IFERROR(__xludf.DUMMYFUNCTION("IMPORTRANGE(""https://docs.google.com/spreadsheets/d/1DY4XTNNwjluuxqdfdn6qvOSlMRrZqUtmYcZR0ttFiG4/edit?usp=sharing"",""ลำปาง!J668"")"),0)</f>
        <v>0</v>
      </c>
      <c r="AU26" s="177">
        <f ca="1">IFERROR(__xludf.DUMMYFUNCTION("IMPORTRANGE(""https://docs.google.com/spreadsheets/d/1DY4XTNNwjluuxqdfdn6qvOSlMRrZqUtmYcZR0ttFiG4/edit?usp=sharing"",""ลำปาง!J669"")"),0)</f>
        <v>0</v>
      </c>
      <c r="AV26" s="177">
        <f ca="1">IFERROR(__xludf.DUMMYFUNCTION("IMPORTRANGE(""https://docs.google.com/spreadsheets/d/1DY4XTNNwjluuxqdfdn6qvOSlMRrZqUtmYcZR0ttFiG4/edit?usp=sharing"",""ลำปาง!J670"")"),0)</f>
        <v>0</v>
      </c>
      <c r="AW26" s="177">
        <v>0</v>
      </c>
      <c r="AX26" s="177">
        <f ca="1">IFERROR(__xludf.DUMMYFUNCTION("IMPORTRANGE(""https://docs.google.com/spreadsheets/d/1DY4XTNNwjluuxqdfdn6qvOSlMRrZqUtmYcZR0ttFiG4/edit?usp=sharing"",""ลำปาง!J671"")"),0)</f>
        <v>0</v>
      </c>
      <c r="AY26" s="177">
        <f ca="1">IFERROR(__xludf.DUMMYFUNCTION("IMPORTRANGE(""https://docs.google.com/spreadsheets/d/1DY4XTNNwjluuxqdfdn6qvOSlMRrZqUtmYcZR0ttFiG4/edit?usp=sharing"",""ลำปาง!J672"")"),0)</f>
        <v>0</v>
      </c>
      <c r="AZ26" s="177">
        <f ca="1">IFERROR(__xludf.DUMMYFUNCTION("IMPORTRANGE(""https://docs.google.com/spreadsheets/d/1DY4XTNNwjluuxqdfdn6qvOSlMRrZqUtmYcZR0ttFiG4/edit?usp=sharing"",""ลำปาง!J673"")"),0)</f>
        <v>0</v>
      </c>
      <c r="BA26" s="354">
        <f t="shared" si="58"/>
        <v>0</v>
      </c>
      <c r="BB26" s="177">
        <f ca="1">IFERROR(__xludf.DUMMYFUNCTION("IMPORTRANGE(""https://docs.google.com/spreadsheets/d/1DY4XTNNwjluuxqdfdn6qvOSlMRrZqUtmYcZR0ttFiG4/edit?usp=sharing"",""ลำปาง!I674"")"),0)</f>
        <v>0</v>
      </c>
      <c r="BC26" s="177">
        <f ca="1">IFERROR(__xludf.DUMMYFUNCTION("IMPORTRANGE(""https://docs.google.com/spreadsheets/d/1DY4XTNNwjluuxqdfdn6qvOSlMRrZqUtmYcZR0ttFiG4/edit?usp=sharing"",""ลำปาง!I675"")"),0)</f>
        <v>0</v>
      </c>
      <c r="BD26" s="177">
        <f ca="1">IFERROR(__xludf.DUMMYFUNCTION("IMPORTRANGE(""https://docs.google.com/spreadsheets/d/1DY4XTNNwjluuxqdfdn6qvOSlMRrZqUtmYcZR0ttFiG4/edit?usp=sharing"",""ลำปาง!J674"")"),0)</f>
        <v>0</v>
      </c>
      <c r="BE26" s="354">
        <f t="shared" ca="1" si="60"/>
        <v>0</v>
      </c>
      <c r="BF26" s="177">
        <f ca="1">IFERROR(__xludf.DUMMYFUNCTION("IMPORTRANGE(""https://docs.google.com/spreadsheets/d/1DY4XTNNwjluuxqdfdn6qvOSlMRrZqUtmYcZR0ttFiG4/edit?usp=sharing"",""ลำปาง!J675"")"),0)</f>
        <v>0</v>
      </c>
      <c r="BG26" s="354">
        <f t="shared" ca="1" si="61"/>
        <v>0</v>
      </c>
      <c r="BH26" s="177">
        <f ca="1">IFERROR(__xludf.DUMMYFUNCTION("IMPORTRANGE(""https://docs.google.com/spreadsheets/d/1DY4XTNNwjluuxqdfdn6qvOSlMRrZqUtmYcZR0ttFiG4/edit?usp=sharing"",""ลำปาง!I676"")"),0)</f>
        <v>0</v>
      </c>
      <c r="BI26" s="177">
        <f ca="1">IFERROR(__xludf.DUMMYFUNCTION("IMPORTRANGE(""https://docs.google.com/spreadsheets/d/1DY4XTNNwjluuxqdfdn6qvOSlMRrZqUtmYcZR0ttFiG4/edit?usp=sharing"",""ลำปาง!I678"")"),0)</f>
        <v>0</v>
      </c>
      <c r="BJ26" s="177">
        <f ca="1">IFERROR(__xludf.DUMMYFUNCTION("IMPORTRANGE(""https://docs.google.com/spreadsheets/d/1DY4XTNNwjluuxqdfdn6qvOSlMRrZqUtmYcZR0ttFiG4/edit?usp=sharing"",""ลำปาง!J676"")"),0)</f>
        <v>0</v>
      </c>
      <c r="BK26" s="177">
        <f ca="1">IFERROR(__xludf.DUMMYFUNCTION("IMPORTRANGE(""https://docs.google.com/spreadsheets/d/1DY4XTNNwjluuxqdfdn6qvOSlMRrZqUtmYcZR0ttFiG4/edit?usp=sharing"",""ลำปาง!J677"")"),0)</f>
        <v>0</v>
      </c>
      <c r="BL26" s="177">
        <f ca="1">IFERROR(__xludf.DUMMYFUNCTION("IMPORTRANGE(""https://docs.google.com/spreadsheets/d/1DY4XTNNwjluuxqdfdn6qvOSlMRrZqUtmYcZR0ttFiG4/edit?usp=sharing"",""ลำปาง!J678"")"),0)</f>
        <v>0</v>
      </c>
      <c r="BM26" s="177">
        <f ca="1">IFERROR(__xludf.DUMMYFUNCTION("IMPORTRANGE(""https://docs.google.com/spreadsheets/d/1DY4XTNNwjluuxqdfdn6qvOSlMRrZqUtmYcZR0ttFiG4/edit?usp=sharing"",""ลำปาง!I679"")"),0)</f>
        <v>0</v>
      </c>
      <c r="BN26" s="177">
        <f ca="1">IFERROR(__xludf.DUMMYFUNCTION("IMPORTRANGE(""https://docs.google.com/spreadsheets/d/1DY4XTNNwjluuxqdfdn6qvOSlMRrZqUtmYcZR0ttFiG4/edit?usp=sharing"",""ลำปาง!I681"")"),0)</f>
        <v>0</v>
      </c>
      <c r="BO26" s="177">
        <f ca="1">IFERROR(__xludf.DUMMYFUNCTION("IMPORTRANGE(""https://docs.google.com/spreadsheets/d/1DY4XTNNwjluuxqdfdn6qvOSlMRrZqUtmYcZR0ttFiG4/edit?usp=sharing"",""ลำปาง!J679"")"),0)</f>
        <v>0</v>
      </c>
      <c r="BP26" s="177">
        <f ca="1">IFERROR(__xludf.DUMMYFUNCTION("IMPORTRANGE(""https://docs.google.com/spreadsheets/d/1DY4XTNNwjluuxqdfdn6qvOSlMRrZqUtmYcZR0ttFiG4/edit?usp=sharing"",""ลำปาง!J680"")"),0)</f>
        <v>0</v>
      </c>
      <c r="BQ26" s="177">
        <f ca="1">IFERROR(__xludf.DUMMYFUNCTION("IMPORTRANGE(""https://docs.google.com/spreadsheets/d/1DY4XTNNwjluuxqdfdn6qvOSlMRrZqUtmYcZR0ttFiG4/edit?usp=sharing"",""ลำปาง!J681"")"),0)</f>
        <v>0</v>
      </c>
      <c r="BR26" s="177">
        <f ca="1">IFERROR(__xludf.DUMMYFUNCTION("IMPORTRANGE(""https://docs.google.com/spreadsheets/d/1DY4XTNNwjluuxqdfdn6qvOSlMRrZqUtmYcZR0ttFiG4/edit?usp=sharing"",""ลำปาง!I682"")"),0)</f>
        <v>0</v>
      </c>
      <c r="BS26" s="177">
        <f ca="1">IFERROR(__xludf.DUMMYFUNCTION("IMPORTRANGE(""https://docs.google.com/spreadsheets/d/1DY4XTNNwjluuxqdfdn6qvOSlMRrZqUtmYcZR0ttFiG4/edit?usp=sharing"",""ลำปาง!J682"")"),0)</f>
        <v>0</v>
      </c>
      <c r="BT26" s="354">
        <f t="shared" ca="1" si="63"/>
        <v>0</v>
      </c>
      <c r="BU26" s="177">
        <f ca="1">IFERROR(__xludf.DUMMYFUNCTION("IMPORTRANGE(""https://docs.google.com/spreadsheets/d/1DY4XTNNwjluuxqdfdn6qvOSlMRrZqUtmYcZR0ttFiG4/edit?usp=sharing"",""ลำปาง!J683"")"),0)</f>
        <v>0</v>
      </c>
      <c r="BV26" s="177">
        <f ca="1">IFERROR(__xludf.DUMMYFUNCTION("IMPORTRANGE(""https://docs.google.com/spreadsheets/d/1DY4XTNNwjluuxqdfdn6qvOSlMRrZqUtmYcZR0ttFiG4/edit?usp=sharing"",""ลำปาง!J684"")"),0)</f>
        <v>0</v>
      </c>
      <c r="BW26" s="177">
        <f ca="1">IFERROR(__xludf.DUMMYFUNCTION("IMPORTRANGE(""https://docs.google.com/spreadsheets/d/1DY4XTNNwjluuxqdfdn6qvOSlMRrZqUtmYcZR0ttFiG4/edit?usp=sharing"",""ลำปาง!J685"")"),0)</f>
        <v>0</v>
      </c>
      <c r="BX26" s="177">
        <f ca="1">IFERROR(__xludf.DUMMYFUNCTION("IMPORTRANGE(""https://docs.google.com/spreadsheets/d/1DY4XTNNwjluuxqdfdn6qvOSlMRrZqUtmYcZR0ttFiG4/edit?usp=sharing"",""ลำปาง!J686"")"),0)</f>
        <v>0</v>
      </c>
      <c r="BY26" s="177">
        <f ca="1">IFERROR(__xludf.DUMMYFUNCTION("IMPORTRANGE(""https://docs.google.com/spreadsheets/d/1DY4XTNNwjluuxqdfdn6qvOSlMRrZqUtmYcZR0ttFiG4/edit?usp=sharing"",""ลำปาง!J687"")"),0)</f>
        <v>0</v>
      </c>
      <c r="BZ26" s="177">
        <f ca="1">IFERROR(__xludf.DUMMYFUNCTION("IMPORTRANGE(""https://docs.google.com/spreadsheets/d/1DY4XTNNwjluuxqdfdn6qvOSlMRrZqUtmYcZR0ttFiG4/edit?usp=sharing"",""ลำปาง!J688"")"),0)</f>
        <v>0</v>
      </c>
    </row>
    <row r="27" spans="1:78" ht="21.75" customHeight="1" x14ac:dyDescent="0.3">
      <c r="A27" s="89">
        <v>14</v>
      </c>
      <c r="B27" s="90" t="s">
        <v>53</v>
      </c>
      <c r="C27" s="174">
        <f t="shared" si="38"/>
        <v>0</v>
      </c>
      <c r="D27" s="175">
        <f t="shared" si="65"/>
        <v>0</v>
      </c>
      <c r="E27" s="403">
        <v>0</v>
      </c>
      <c r="F27" s="403">
        <v>0</v>
      </c>
      <c r="G27" s="403">
        <v>0</v>
      </c>
      <c r="H27" s="403">
        <v>0</v>
      </c>
      <c r="I27" s="403">
        <v>0</v>
      </c>
      <c r="J27" s="176">
        <f t="shared" si="40"/>
        <v>0</v>
      </c>
      <c r="K27" s="179">
        <f t="shared" si="41"/>
        <v>0</v>
      </c>
      <c r="L27" s="403">
        <v>0</v>
      </c>
      <c r="M27" s="87">
        <f t="shared" si="42"/>
        <v>0</v>
      </c>
      <c r="N27" s="87">
        <f t="shared" si="43"/>
        <v>0</v>
      </c>
      <c r="O27" s="403">
        <v>0</v>
      </c>
      <c r="P27" s="86">
        <f t="shared" si="44"/>
        <v>0</v>
      </c>
      <c r="Q27" s="87">
        <f t="shared" si="45"/>
        <v>0</v>
      </c>
      <c r="R27" s="87">
        <f ca="1">IFERROR(__xludf.DUMMYFUNCTION("IMPORTRANGE(""https://docs.google.com/spreadsheets/d/1ICwG78r0OFT8biBlxnBF8r7she7gNSzOvJ958PWT09c/edit?usp=sharing"",""ลำพูน!Q642"")"),16640)</f>
        <v>16640</v>
      </c>
      <c r="S27" s="87">
        <f ca="1">IFERROR(__xludf.DUMMYFUNCTION("IMPORTRANGE(""https://docs.google.com/spreadsheets/d/1ICwG78r0OFT8biBlxnBF8r7she7gNSzOvJ958PWT09c/edit?usp=sharing"",""ลำพูน!R642"")"),0)</f>
        <v>0</v>
      </c>
      <c r="T27" s="87">
        <f ca="1">IFERROR(__xludf.DUMMYFUNCTION("IMPORTRANGE(""https://docs.google.com/spreadsheets/d/1ICwG78r0OFT8biBlxnBF8r7she7gNSzOvJ958PWT09c/edit?usp=sharing"",""ลำพูน!S642"")"),0)</f>
        <v>0</v>
      </c>
      <c r="U27" s="87">
        <f t="shared" ca="1" si="47"/>
        <v>0</v>
      </c>
      <c r="V27" s="87">
        <f t="shared" ca="1" si="48"/>
        <v>0</v>
      </c>
      <c r="W27" s="353">
        <f ca="1">IFERROR(__xludf.DUMMYFUNCTION("IMPORTRANGE(""https://docs.google.com/spreadsheets/d/1ICwG78r0OFT8biBlxnBF8r7she7gNSzOvJ958PWT09c/edit?usp=sharing"",""ลำพูน!I652"")"),0)</f>
        <v>0</v>
      </c>
      <c r="X27" s="177">
        <f ca="1">IFERROR(__xludf.DUMMYFUNCTION("IMPORTRANGE(""https://docs.google.com/spreadsheets/d/1ICwG78r0OFT8biBlxnBF8r7she7gNSzOvJ958PWT09c/edit?usp=sharing"",""ลำพูน!J652"")"),0)</f>
        <v>0</v>
      </c>
      <c r="Y27" s="354">
        <f t="shared" ca="1" si="50"/>
        <v>0</v>
      </c>
      <c r="Z27" s="177">
        <f ca="1">IFERROR(__xludf.DUMMYFUNCTION("IMPORTRANGE(""https://docs.google.com/spreadsheets/d/1ICwG78r0OFT8biBlxnBF8r7she7gNSzOvJ958PWT09c/edit?usp=sharing"",""ลำพูน!I653"")"),0)</f>
        <v>0</v>
      </c>
      <c r="AA27" s="177">
        <f ca="1">IFERROR(__xludf.DUMMYFUNCTION("IMPORTRANGE(""https://docs.google.com/spreadsheets/d/1ICwG78r0OFT8biBlxnBF8r7she7gNSzOvJ958PWT09c/edit?usp=sharing"",""ลำพูน!J653"")"),0)</f>
        <v>0</v>
      </c>
      <c r="AB27" s="354">
        <f t="shared" ca="1" si="52"/>
        <v>0</v>
      </c>
      <c r="AC27" s="177">
        <f ca="1">IFERROR(__xludf.DUMMYFUNCTION("IMPORTRANGE(""https://docs.google.com/spreadsheets/d/1ICwG78r0OFT8biBlxnBF8r7she7gNSzOvJ958PWT09c/edit?usp=sharing"",""ลำพูน!I654"")"),80)</f>
        <v>80</v>
      </c>
      <c r="AD27" s="177">
        <f ca="1">IFERROR(__xludf.DUMMYFUNCTION("IMPORTRANGE(""https://docs.google.com/spreadsheets/d/1ICwG78r0OFT8biBlxnBF8r7she7gNSzOvJ958PWT09c/edit?usp=sharing"",""ลำพูน!J654"")"),0)</f>
        <v>0</v>
      </c>
      <c r="AE27" s="354">
        <f t="shared" ca="1" si="54"/>
        <v>0</v>
      </c>
      <c r="AF27" s="354">
        <f ca="1">IFERROR(__xludf.DUMMYFUNCTION("IMPORTRANGE(""https://docs.google.com/spreadsheets/d/1ICwG78r0OFT8biBlxnBF8r7she7gNSzOvJ958PWT09c/edit?usp=sharing"",""ลำพูน!J655"")"),0)</f>
        <v>0</v>
      </c>
      <c r="AG27" s="354">
        <f ca="1">IFERROR(__xludf.DUMMYFUNCTION("IMPORTRANGE(""https://docs.google.com/spreadsheets/d/1ICwG78r0OFT8biBlxnBF8r7she7gNSzOvJ958PWT09c/edit?usp=sharing"",""ลำพูน!J656"")"),0)</f>
        <v>0</v>
      </c>
      <c r="AH27" s="354">
        <f ca="1">IFERROR(__xludf.DUMMYFUNCTION("IMPORTRANGE(""https://docs.google.com/spreadsheets/d/1ICwG78r0OFT8biBlxnBF8r7she7gNSzOvJ958PWT09c/edit?usp=sharing"",""ลำพูน!J657"")"),0)</f>
        <v>0</v>
      </c>
      <c r="AI27" s="354">
        <f ca="1">IFERROR(__xludf.DUMMYFUNCTION("IMPORTRANGE(""https://docs.google.com/spreadsheets/d/1ICwG78r0OFT8biBlxnBF8r7she7gNSzOvJ958PWT09c/edit?usp=sharing"",""ลำพูน!J658"")"),0)</f>
        <v>0</v>
      </c>
      <c r="AJ27" s="354">
        <f ca="1">IFERROR(__xludf.DUMMYFUNCTION("IMPORTRANGE(""https://docs.google.com/spreadsheets/d/1ICwG78r0OFT8biBlxnBF8r7she7gNSzOvJ958PWT09c/edit?usp=sharing"",""ลำพูน!J659"")"),0)</f>
        <v>0</v>
      </c>
      <c r="AK27" s="354">
        <f ca="1">IFERROR(__xludf.DUMMYFUNCTION("IMPORTRANGE(""https://docs.google.com/spreadsheets/d/1ICwG78r0OFT8biBlxnBF8r7she7gNSzOvJ958PWT09c/edit?usp=sharing"",""ลำพูน!J660"")"),0)</f>
        <v>0</v>
      </c>
      <c r="AL27" s="177">
        <f ca="1">IFERROR(__xludf.DUMMYFUNCTION("IMPORTRANGE(""https://docs.google.com/spreadsheets/d/1ICwG78r0OFT8biBlxnBF8r7she7gNSzOvJ958PWT09c/edit?usp=sharing"",""ลำพูน!I661"")"),1)</f>
        <v>1</v>
      </c>
      <c r="AM27" s="177">
        <f ca="1">IFERROR(__xludf.DUMMYFUNCTION("IMPORTRANGE(""https://docs.google.com/spreadsheets/d/1ICwG78r0OFT8biBlxnBF8r7she7gNSzOvJ958PWT09c/edit?usp=sharing"",""ลำพูน!J661"")"),0)</f>
        <v>0</v>
      </c>
      <c r="AN27" s="354">
        <f t="shared" ca="1" si="56"/>
        <v>0</v>
      </c>
      <c r="AO27" s="177">
        <f ca="1">IFERROR(__xludf.DUMMYFUNCTION("IMPORTRANGE(""https://docs.google.com/spreadsheets/d/1ICwG78r0OFT8biBlxnBF8r7she7gNSzOvJ958PWT09c/edit?usp=sharing"",""ลำพูน!J662"")"),0)</f>
        <v>0</v>
      </c>
      <c r="AP27" s="177">
        <f ca="1">IFERROR(__xludf.DUMMYFUNCTION("IMPORTRANGE(""https://docs.google.com/spreadsheets/d/1ICwG78r0OFT8biBlxnBF8r7she7gNSzOvJ958PWT09c/edit?usp=sharing"",""ลำพูน!J663"")"),0)</f>
        <v>0</v>
      </c>
      <c r="AQ27" s="177">
        <f ca="1">IFERROR(__xludf.DUMMYFUNCTION("IMPORTRANGE(""https://docs.google.com/spreadsheets/d/1ICwG78r0OFT8biBlxnBF8r7she7gNSzOvJ958PWT09c/edit?usp=sharing"",""ลำพูน!J665"")"),0)</f>
        <v>0</v>
      </c>
      <c r="AR27" s="177">
        <f ca="1">IFERROR(__xludf.DUMMYFUNCTION("IMPORTRANGE(""https://docs.google.com/spreadsheets/d/1ICwG78r0OFT8biBlxnBF8r7she7gNSzOvJ958PWT09c/edit?usp=sharing"",""ลำพูน!J666"")"),0)</f>
        <v>0</v>
      </c>
      <c r="AS27" s="177">
        <f ca="1">IFERROR(__xludf.DUMMYFUNCTION("IMPORTRANGE(""https://docs.google.com/spreadsheets/d/1ICwG78r0OFT8biBlxnBF8r7she7gNSzOvJ958PWT09c/edit?usp=sharing"",""ลำพูน!J667"")"),0)</f>
        <v>0</v>
      </c>
      <c r="AT27" s="177">
        <f ca="1">IFERROR(__xludf.DUMMYFUNCTION("IMPORTRANGE(""https://docs.google.com/spreadsheets/d/1ICwG78r0OFT8biBlxnBF8r7she7gNSzOvJ958PWT09c/edit?usp=sharing"",""ลำพูน!J668"")"),0)</f>
        <v>0</v>
      </c>
      <c r="AU27" s="177">
        <f ca="1">IFERROR(__xludf.DUMMYFUNCTION("IMPORTRANGE(""https://docs.google.com/spreadsheets/d/1ICwG78r0OFT8biBlxnBF8r7she7gNSzOvJ958PWT09c/edit?usp=sharing"",""ลำพูน!J669"")"),0)</f>
        <v>0</v>
      </c>
      <c r="AV27" s="177">
        <f ca="1">IFERROR(__xludf.DUMMYFUNCTION("IMPORTRANGE(""https://docs.google.com/spreadsheets/d/1ICwG78r0OFT8biBlxnBF8r7she7gNSzOvJ958PWT09c/edit?usp=sharing"",""ลำพูน!J670"")"),0)</f>
        <v>0</v>
      </c>
      <c r="AW27" s="177">
        <v>0</v>
      </c>
      <c r="AX27" s="177">
        <f ca="1">IFERROR(__xludf.DUMMYFUNCTION("IMPORTRANGE(""https://docs.google.com/spreadsheets/d/1ICwG78r0OFT8biBlxnBF8r7she7gNSzOvJ958PWT09c/edit?usp=sharing"",""ลำพูน!J671"")"),0)</f>
        <v>0</v>
      </c>
      <c r="AY27" s="177">
        <f ca="1">IFERROR(__xludf.DUMMYFUNCTION("IMPORTRANGE(""https://docs.google.com/spreadsheets/d/1ICwG78r0OFT8biBlxnBF8r7she7gNSzOvJ958PWT09c/edit?usp=sharing"",""ลำพูน!J672"")"),0)</f>
        <v>0</v>
      </c>
      <c r="AZ27" s="177">
        <f ca="1">IFERROR(__xludf.DUMMYFUNCTION("IMPORTRANGE(""https://docs.google.com/spreadsheets/d/1ICwG78r0OFT8biBlxnBF8r7she7gNSzOvJ958PWT09c/edit?usp=sharing"",""ลำพูน!J673"")"),0)</f>
        <v>0</v>
      </c>
      <c r="BA27" s="354">
        <f t="shared" si="58"/>
        <v>0</v>
      </c>
      <c r="BB27" s="177">
        <f ca="1">IFERROR(__xludf.DUMMYFUNCTION("IMPORTRANGE(""https://docs.google.com/spreadsheets/d/1ICwG78r0OFT8biBlxnBF8r7she7gNSzOvJ958PWT09c/edit?usp=sharing"",""ลำพูน!I674"")"),25)</f>
        <v>25</v>
      </c>
      <c r="BC27" s="177">
        <f ca="1">IFERROR(__xludf.DUMMYFUNCTION("IMPORTRANGE(""https://docs.google.com/spreadsheets/d/1ICwG78r0OFT8biBlxnBF8r7she7gNSzOvJ958PWT09c/edit?usp=sharing"",""ลำพูน!I675"")"),210)</f>
        <v>210</v>
      </c>
      <c r="BD27" s="177">
        <f ca="1">IFERROR(__xludf.DUMMYFUNCTION("IMPORTRANGE(""https://docs.google.com/spreadsheets/d/1ICwG78r0OFT8biBlxnBF8r7she7gNSzOvJ958PWT09c/edit?usp=sharing"",""ลำพูน!J674"")"),0)</f>
        <v>0</v>
      </c>
      <c r="BE27" s="354">
        <f t="shared" ca="1" si="60"/>
        <v>0</v>
      </c>
      <c r="BF27" s="177">
        <f ca="1">IFERROR(__xludf.DUMMYFUNCTION("IMPORTRANGE(""https://docs.google.com/spreadsheets/d/1ICwG78r0OFT8biBlxnBF8r7she7gNSzOvJ958PWT09c/edit?usp=sharing"",""ลำพูน!J675"")"),0)</f>
        <v>0</v>
      </c>
      <c r="BG27" s="354">
        <f t="shared" ca="1" si="61"/>
        <v>0</v>
      </c>
      <c r="BH27" s="177">
        <f ca="1">IFERROR(__xludf.DUMMYFUNCTION("IMPORTRANGE(""https://docs.google.com/spreadsheets/d/1ICwG78r0OFT8biBlxnBF8r7she7gNSzOvJ958PWT09c/edit?usp=sharing"",""ลำพูน!I676"")"),20)</f>
        <v>20</v>
      </c>
      <c r="BI27" s="177">
        <f ca="1">IFERROR(__xludf.DUMMYFUNCTION("IMPORTRANGE(""https://docs.google.com/spreadsheets/d/1ICwG78r0OFT8biBlxnBF8r7she7gNSzOvJ958PWT09c/edit?usp=sharing"",""ลำพูน!I678"")"),160)</f>
        <v>160</v>
      </c>
      <c r="BJ27" s="177">
        <f ca="1">IFERROR(__xludf.DUMMYFUNCTION("IMPORTRANGE(""https://docs.google.com/spreadsheets/d/1ICwG78r0OFT8biBlxnBF8r7she7gNSzOvJ958PWT09c/edit?usp=sharing"",""ลำพูน!J676"")"),0)</f>
        <v>0</v>
      </c>
      <c r="BK27" s="177">
        <f ca="1">IFERROR(__xludf.DUMMYFUNCTION("IMPORTRANGE(""https://docs.google.com/spreadsheets/d/1ICwG78r0OFT8biBlxnBF8r7she7gNSzOvJ958PWT09c/edit?usp=sharing"",""ลำพูน!J677"")"),0)</f>
        <v>0</v>
      </c>
      <c r="BL27" s="177">
        <f ca="1">IFERROR(__xludf.DUMMYFUNCTION("IMPORTRANGE(""https://docs.google.com/spreadsheets/d/1ICwG78r0OFT8biBlxnBF8r7she7gNSzOvJ958PWT09c/edit?usp=sharing"",""ลำพูน!J678"")"),0)</f>
        <v>0</v>
      </c>
      <c r="BM27" s="177">
        <f ca="1">IFERROR(__xludf.DUMMYFUNCTION("IMPORTRANGE(""https://docs.google.com/spreadsheets/d/1ICwG78r0OFT8biBlxnBF8r7she7gNSzOvJ958PWT09c/edit?usp=sharing"",""ลำพูน!I679"")"),5)</f>
        <v>5</v>
      </c>
      <c r="BN27" s="177">
        <f ca="1">IFERROR(__xludf.DUMMYFUNCTION("IMPORTRANGE(""https://docs.google.com/spreadsheets/d/1ICwG78r0OFT8biBlxnBF8r7she7gNSzOvJ958PWT09c/edit?usp=sharing"",""ลำพูน!I681"")"),50)</f>
        <v>50</v>
      </c>
      <c r="BO27" s="177">
        <f ca="1">IFERROR(__xludf.DUMMYFUNCTION("IMPORTRANGE(""https://docs.google.com/spreadsheets/d/1ICwG78r0OFT8biBlxnBF8r7she7gNSzOvJ958PWT09c/edit?usp=sharing"",""ลำพูน!J679"")"),0)</f>
        <v>0</v>
      </c>
      <c r="BP27" s="177">
        <f ca="1">IFERROR(__xludf.DUMMYFUNCTION("IMPORTRANGE(""https://docs.google.com/spreadsheets/d/1ICwG78r0OFT8biBlxnBF8r7she7gNSzOvJ958PWT09c/edit?usp=sharing"",""ลำพูน!J680"")"),0)</f>
        <v>0</v>
      </c>
      <c r="BQ27" s="177">
        <f ca="1">IFERROR(__xludf.DUMMYFUNCTION("IMPORTRANGE(""https://docs.google.com/spreadsheets/d/1ICwG78r0OFT8biBlxnBF8r7she7gNSzOvJ958PWT09c/edit?usp=sharing"",""ลำพูน!J681"")"),0)</f>
        <v>0</v>
      </c>
      <c r="BR27" s="177">
        <f ca="1">IFERROR(__xludf.DUMMYFUNCTION("IMPORTRANGE(""https://docs.google.com/spreadsheets/d/1ICwG78r0OFT8biBlxnBF8r7she7gNSzOvJ958PWT09c/edit?usp=sharing"",""ลำพูน!I682"")"),0)</f>
        <v>0</v>
      </c>
      <c r="BS27" s="177">
        <f ca="1">IFERROR(__xludf.DUMMYFUNCTION("IMPORTRANGE(""https://docs.google.com/spreadsheets/d/1ICwG78r0OFT8biBlxnBF8r7she7gNSzOvJ958PWT09c/edit?usp=sharing"",""ลำพูน!J682"")"),0)</f>
        <v>0</v>
      </c>
      <c r="BT27" s="354">
        <f t="shared" ca="1" si="63"/>
        <v>0</v>
      </c>
      <c r="BU27" s="177">
        <f ca="1">IFERROR(__xludf.DUMMYFUNCTION("IMPORTRANGE(""https://docs.google.com/spreadsheets/d/1ICwG78r0OFT8biBlxnBF8r7she7gNSzOvJ958PWT09c/edit?usp=sharing"",""ลำพูน!J683"")"),0)</f>
        <v>0</v>
      </c>
      <c r="BV27" s="177">
        <f ca="1">IFERROR(__xludf.DUMMYFUNCTION("IMPORTRANGE(""https://docs.google.com/spreadsheets/d/1ICwG78r0OFT8biBlxnBF8r7she7gNSzOvJ958PWT09c/edit?usp=sharing"",""ลำพูน!J684"")"),0)</f>
        <v>0</v>
      </c>
      <c r="BW27" s="177">
        <f ca="1">IFERROR(__xludf.DUMMYFUNCTION("IMPORTRANGE(""https://docs.google.com/spreadsheets/d/1ICwG78r0OFT8biBlxnBF8r7she7gNSzOvJ958PWT09c/edit?usp=sharing"",""ลำพูน!J685"")"),0)</f>
        <v>0</v>
      </c>
      <c r="BX27" s="177">
        <f ca="1">IFERROR(__xludf.DUMMYFUNCTION("IMPORTRANGE(""https://docs.google.com/spreadsheets/d/1ICwG78r0OFT8biBlxnBF8r7she7gNSzOvJ958PWT09c/edit?usp=sharing"",""ลำพูน!J686"")"),0)</f>
        <v>0</v>
      </c>
      <c r="BY27" s="177">
        <f ca="1">IFERROR(__xludf.DUMMYFUNCTION("IMPORTRANGE(""https://docs.google.com/spreadsheets/d/1ICwG78r0OFT8biBlxnBF8r7she7gNSzOvJ958PWT09c/edit?usp=sharing"",""ลำพูน!J687"")"),0)</f>
        <v>0</v>
      </c>
      <c r="BZ27" s="177">
        <f ca="1">IFERROR(__xludf.DUMMYFUNCTION("IMPORTRANGE(""https://docs.google.com/spreadsheets/d/1ICwG78r0OFT8biBlxnBF8r7she7gNSzOvJ958PWT09c/edit?usp=sharing"",""ลำพูน!J688"")"),0)</f>
        <v>0</v>
      </c>
    </row>
    <row r="28" spans="1:78" ht="21.75" customHeight="1" x14ac:dyDescent="0.3">
      <c r="A28" s="89">
        <v>15</v>
      </c>
      <c r="B28" s="90" t="s">
        <v>54</v>
      </c>
      <c r="C28" s="174">
        <f t="shared" si="38"/>
        <v>0</v>
      </c>
      <c r="D28" s="175">
        <f t="shared" si="65"/>
        <v>0</v>
      </c>
      <c r="E28" s="403">
        <v>0</v>
      </c>
      <c r="F28" s="403">
        <v>0</v>
      </c>
      <c r="G28" s="403">
        <v>0</v>
      </c>
      <c r="H28" s="403">
        <v>0</v>
      </c>
      <c r="I28" s="403">
        <v>0</v>
      </c>
      <c r="J28" s="176">
        <f t="shared" si="40"/>
        <v>0</v>
      </c>
      <c r="K28" s="179">
        <f t="shared" si="41"/>
        <v>0</v>
      </c>
      <c r="L28" s="403">
        <v>0</v>
      </c>
      <c r="M28" s="87">
        <f t="shared" si="42"/>
        <v>0</v>
      </c>
      <c r="N28" s="87">
        <f t="shared" si="43"/>
        <v>0</v>
      </c>
      <c r="O28" s="403">
        <v>0</v>
      </c>
      <c r="P28" s="86">
        <f t="shared" si="44"/>
        <v>0</v>
      </c>
      <c r="Q28" s="87">
        <f t="shared" si="45"/>
        <v>0</v>
      </c>
      <c r="R28" s="87">
        <f ca="1">IFERROR(__xludf.DUMMYFUNCTION("IMPORTRANGE(""https://docs.google.com/spreadsheets/d/1B0f2xJpZUC6Z0xXnqKlZtEPzsf6L84eP1r1Q15seqRM/edit?usp=sharing"",""สุโขทัย!Q642"")"),2180)</f>
        <v>2180</v>
      </c>
      <c r="S28" s="87">
        <f ca="1">IFERROR(__xludf.DUMMYFUNCTION("IMPORTRANGE(""https://docs.google.com/spreadsheets/d/1B0f2xJpZUC6Z0xXnqKlZtEPzsf6L84eP1r1Q15seqRM/edit?usp=sharing"",""สุโขทัย!R642"")"),0)</f>
        <v>0</v>
      </c>
      <c r="T28" s="87">
        <f ca="1">IFERROR(__xludf.DUMMYFUNCTION("IMPORTRANGE(""https://docs.google.com/spreadsheets/d/1B0f2xJpZUC6Z0xXnqKlZtEPzsf6L84eP1r1Q15seqRM/edit?usp=sharing"",""สุโขทัย!S642"")"),0)</f>
        <v>0</v>
      </c>
      <c r="U28" s="87">
        <f t="shared" ca="1" si="47"/>
        <v>0</v>
      </c>
      <c r="V28" s="87">
        <f t="shared" ca="1" si="48"/>
        <v>0</v>
      </c>
      <c r="W28" s="353">
        <f ca="1">IFERROR(__xludf.DUMMYFUNCTION("IMPORTRANGE(""https://docs.google.com/spreadsheets/d/1B0f2xJpZUC6Z0xXnqKlZtEPzsf6L84eP1r1Q15seqRM/edit?usp=sharing"",""สุโขทัย!I652"")"),0)</f>
        <v>0</v>
      </c>
      <c r="X28" s="177">
        <f ca="1">IFERROR(__xludf.DUMMYFUNCTION("IMPORTRANGE(""https://docs.google.com/spreadsheets/d/1B0f2xJpZUC6Z0xXnqKlZtEPzsf6L84eP1r1Q15seqRM/edit?usp=sharing"",""สุโขทัย!J652"")"),0)</f>
        <v>0</v>
      </c>
      <c r="Y28" s="354">
        <f t="shared" ca="1" si="50"/>
        <v>0</v>
      </c>
      <c r="Z28" s="177">
        <f ca="1">IFERROR(__xludf.DUMMYFUNCTION("IMPORTRANGE(""https://docs.google.com/spreadsheets/d/1B0f2xJpZUC6Z0xXnqKlZtEPzsf6L84eP1r1Q15seqRM/edit?usp=sharing"",""สุโขทัย!I653"")"),0)</f>
        <v>0</v>
      </c>
      <c r="AA28" s="177">
        <f ca="1">IFERROR(__xludf.DUMMYFUNCTION("IMPORTRANGE(""https://docs.google.com/spreadsheets/d/1B0f2xJpZUC6Z0xXnqKlZtEPzsf6L84eP1r1Q15seqRM/edit?usp=sharing"",""สุโขทัย!J653"")"),0)</f>
        <v>0</v>
      </c>
      <c r="AB28" s="354">
        <f t="shared" ca="1" si="52"/>
        <v>0</v>
      </c>
      <c r="AC28" s="177">
        <f ca="1">IFERROR(__xludf.DUMMYFUNCTION("IMPORTRANGE(""https://docs.google.com/spreadsheets/d/1B0f2xJpZUC6Z0xXnqKlZtEPzsf6L84eP1r1Q15seqRM/edit?usp=sharing"",""สุโขทัย!I654"")"),29)</f>
        <v>29</v>
      </c>
      <c r="AD28" s="177">
        <f ca="1">IFERROR(__xludf.DUMMYFUNCTION("IMPORTRANGE(""https://docs.google.com/spreadsheets/d/1B0f2xJpZUC6Z0xXnqKlZtEPzsf6L84eP1r1Q15seqRM/edit?usp=sharing"",""สุโขทัย!J654"")"),0)</f>
        <v>0</v>
      </c>
      <c r="AE28" s="354">
        <f t="shared" ca="1" si="54"/>
        <v>0</v>
      </c>
      <c r="AF28" s="354">
        <f ca="1">IFERROR(__xludf.DUMMYFUNCTION("IMPORTRANGE(""https://docs.google.com/spreadsheets/d/1B0f2xJpZUC6Z0xXnqKlZtEPzsf6L84eP1r1Q15seqRM/edit?usp=sharing"",""สุโขทัย!J655"")"),0)</f>
        <v>0</v>
      </c>
      <c r="AG28" s="354">
        <f ca="1">IFERROR(__xludf.DUMMYFUNCTION("IMPORTRANGE(""https://docs.google.com/spreadsheets/d/1B0f2xJpZUC6Z0xXnqKlZtEPzsf6L84eP1r1Q15seqRM/edit?usp=sharing"",""สุโขทัย!J656"")"),0)</f>
        <v>0</v>
      </c>
      <c r="AH28" s="354">
        <f ca="1">IFERROR(__xludf.DUMMYFUNCTION("IMPORTRANGE(""https://docs.google.com/spreadsheets/d/1B0f2xJpZUC6Z0xXnqKlZtEPzsf6L84eP1r1Q15seqRM/edit?usp=sharing"",""สุโขทัย!J657"")"),0)</f>
        <v>0</v>
      </c>
      <c r="AI28" s="354">
        <f ca="1">IFERROR(__xludf.DUMMYFUNCTION("IMPORTRANGE(""https://docs.google.com/spreadsheets/d/1B0f2xJpZUC6Z0xXnqKlZtEPzsf6L84eP1r1Q15seqRM/edit?usp=sharing"",""สุโขทัย!J658"")"),0)</f>
        <v>0</v>
      </c>
      <c r="AJ28" s="354">
        <f ca="1">IFERROR(__xludf.DUMMYFUNCTION("IMPORTRANGE(""https://docs.google.com/spreadsheets/d/1B0f2xJpZUC6Z0xXnqKlZtEPzsf6L84eP1r1Q15seqRM/edit?usp=sharing"",""สุโขทัย!J659"")"),0)</f>
        <v>0</v>
      </c>
      <c r="AK28" s="354">
        <f ca="1">IFERROR(__xludf.DUMMYFUNCTION("IMPORTRANGE(""https://docs.google.com/spreadsheets/d/1B0f2xJpZUC6Z0xXnqKlZtEPzsf6L84eP1r1Q15seqRM/edit?usp=sharing"",""สุโขทัย!J660"")"),0)</f>
        <v>0</v>
      </c>
      <c r="AL28" s="177">
        <f ca="1">IFERROR(__xludf.DUMMYFUNCTION("IMPORTRANGE(""https://docs.google.com/spreadsheets/d/1B0f2xJpZUC6Z0xXnqKlZtEPzsf6L84eP1r1Q15seqRM/edit?usp=sharing"",""สุโขทัย!I661"")"),0)</f>
        <v>0</v>
      </c>
      <c r="AM28" s="177">
        <f ca="1">IFERROR(__xludf.DUMMYFUNCTION("IMPORTRANGE(""https://docs.google.com/spreadsheets/d/1B0f2xJpZUC6Z0xXnqKlZtEPzsf6L84eP1r1Q15seqRM/edit?usp=sharing"",""สุโขทัย!J661"")"),0)</f>
        <v>0</v>
      </c>
      <c r="AN28" s="354">
        <f t="shared" ca="1" si="56"/>
        <v>0</v>
      </c>
      <c r="AO28" s="177">
        <f ca="1">IFERROR(__xludf.DUMMYFUNCTION("IMPORTRANGE(""https://docs.google.com/spreadsheets/d/1B0f2xJpZUC6Z0xXnqKlZtEPzsf6L84eP1r1Q15seqRM/edit?usp=sharing"",""สุโขทัย!J662"")"),0)</f>
        <v>0</v>
      </c>
      <c r="AP28" s="177">
        <f ca="1">IFERROR(__xludf.DUMMYFUNCTION("IMPORTRANGE(""https://docs.google.com/spreadsheets/d/1B0f2xJpZUC6Z0xXnqKlZtEPzsf6L84eP1r1Q15seqRM/edit?usp=sharing"",""สุโขทัย!J663"")"),0)</f>
        <v>0</v>
      </c>
      <c r="AQ28" s="177">
        <f ca="1">IFERROR(__xludf.DUMMYFUNCTION("IMPORTRANGE(""https://docs.google.com/spreadsheets/d/1B0f2xJpZUC6Z0xXnqKlZtEPzsf6L84eP1r1Q15seqRM/edit?usp=sharing"",""สุโขทัย!J665"")"),0)</f>
        <v>0</v>
      </c>
      <c r="AR28" s="177">
        <f ca="1">IFERROR(__xludf.DUMMYFUNCTION("IMPORTRANGE(""https://docs.google.com/spreadsheets/d/1B0f2xJpZUC6Z0xXnqKlZtEPzsf6L84eP1r1Q15seqRM/edit?usp=sharing"",""สุโขทัย!J666"")"),0)</f>
        <v>0</v>
      </c>
      <c r="AS28" s="177">
        <f ca="1">IFERROR(__xludf.DUMMYFUNCTION("IMPORTRANGE(""https://docs.google.com/spreadsheets/d/1B0f2xJpZUC6Z0xXnqKlZtEPzsf6L84eP1r1Q15seqRM/edit?usp=sharing"",""สุโขทัย!J667"")"),0)</f>
        <v>0</v>
      </c>
      <c r="AT28" s="177">
        <f ca="1">IFERROR(__xludf.DUMMYFUNCTION("IMPORTRANGE(""https://docs.google.com/spreadsheets/d/1B0f2xJpZUC6Z0xXnqKlZtEPzsf6L84eP1r1Q15seqRM/edit?usp=sharing"",""สุโขทัย!J668"")"),0)</f>
        <v>0</v>
      </c>
      <c r="AU28" s="177">
        <f ca="1">IFERROR(__xludf.DUMMYFUNCTION("IMPORTRANGE(""https://docs.google.com/spreadsheets/d/1B0f2xJpZUC6Z0xXnqKlZtEPzsf6L84eP1r1Q15seqRM/edit?usp=sharing"",""สุโขทัย!J669"")"),0)</f>
        <v>0</v>
      </c>
      <c r="AV28" s="177">
        <f ca="1">IFERROR(__xludf.DUMMYFUNCTION("IMPORTRANGE(""https://docs.google.com/spreadsheets/d/1B0f2xJpZUC6Z0xXnqKlZtEPzsf6L84eP1r1Q15seqRM/edit?usp=sharing"",""สุโขทัย!J670"")"),0)</f>
        <v>0</v>
      </c>
      <c r="AW28" s="177">
        <v>0</v>
      </c>
      <c r="AX28" s="177">
        <f ca="1">IFERROR(__xludf.DUMMYFUNCTION("IMPORTRANGE(""https://docs.google.com/spreadsheets/d/1B0f2xJpZUC6Z0xXnqKlZtEPzsf6L84eP1r1Q15seqRM/edit?usp=sharing"",""สุโขทัย!J671"")"),0)</f>
        <v>0</v>
      </c>
      <c r="AY28" s="177">
        <f ca="1">IFERROR(__xludf.DUMMYFUNCTION("IMPORTRANGE(""https://docs.google.com/spreadsheets/d/1B0f2xJpZUC6Z0xXnqKlZtEPzsf6L84eP1r1Q15seqRM/edit?usp=sharing"",""สุโขทัย!J672"")"),0)</f>
        <v>0</v>
      </c>
      <c r="AZ28" s="177">
        <f ca="1">IFERROR(__xludf.DUMMYFUNCTION("IMPORTRANGE(""https://docs.google.com/spreadsheets/d/1B0f2xJpZUC6Z0xXnqKlZtEPzsf6L84eP1r1Q15seqRM/edit?usp=sharing"",""สุโขทัย!J673"")"),0)</f>
        <v>0</v>
      </c>
      <c r="BA28" s="354">
        <f t="shared" si="58"/>
        <v>0</v>
      </c>
      <c r="BB28" s="177">
        <f ca="1">IFERROR(__xludf.DUMMYFUNCTION("IMPORTRANGE(""https://docs.google.com/spreadsheets/d/1B0f2xJpZUC6Z0xXnqKlZtEPzsf6L84eP1r1Q15seqRM/edit?usp=sharing"",""สุโขทัย!I674"")"),5)</f>
        <v>5</v>
      </c>
      <c r="BC28" s="177">
        <f ca="1">IFERROR(__xludf.DUMMYFUNCTION("IMPORTRANGE(""https://docs.google.com/spreadsheets/d/1B0f2xJpZUC6Z0xXnqKlZtEPzsf6L84eP1r1Q15seqRM/edit?usp=sharing"",""สุโขทัย!I675"")"),73)</f>
        <v>73</v>
      </c>
      <c r="BD28" s="177">
        <f ca="1">IFERROR(__xludf.DUMMYFUNCTION("IMPORTRANGE(""https://docs.google.com/spreadsheets/d/1B0f2xJpZUC6Z0xXnqKlZtEPzsf6L84eP1r1Q15seqRM/edit?usp=sharing"",""สุโขทัย!J674"")"),0)</f>
        <v>0</v>
      </c>
      <c r="BE28" s="354">
        <f t="shared" ca="1" si="60"/>
        <v>0</v>
      </c>
      <c r="BF28" s="177">
        <f ca="1">IFERROR(__xludf.DUMMYFUNCTION("IMPORTRANGE(""https://docs.google.com/spreadsheets/d/1B0f2xJpZUC6Z0xXnqKlZtEPzsf6L84eP1r1Q15seqRM/edit?usp=sharing"",""สุโขทัย!J675"")"),0)</f>
        <v>0</v>
      </c>
      <c r="BG28" s="354">
        <f t="shared" ca="1" si="61"/>
        <v>0</v>
      </c>
      <c r="BH28" s="177">
        <f ca="1">IFERROR(__xludf.DUMMYFUNCTION("IMPORTRANGE(""https://docs.google.com/spreadsheets/d/1B0f2xJpZUC6Z0xXnqKlZtEPzsf6L84eP1r1Q15seqRM/edit?usp=sharing"",""สุโขทัย!I676"")"),5)</f>
        <v>5</v>
      </c>
      <c r="BI28" s="177">
        <f ca="1">IFERROR(__xludf.DUMMYFUNCTION("IMPORTRANGE(""https://docs.google.com/spreadsheets/d/1B0f2xJpZUC6Z0xXnqKlZtEPzsf6L84eP1r1Q15seqRM/edit?usp=sharing"",""สุโขทัย!I678"")"),73)</f>
        <v>73</v>
      </c>
      <c r="BJ28" s="177">
        <f ca="1">IFERROR(__xludf.DUMMYFUNCTION("IMPORTRANGE(""https://docs.google.com/spreadsheets/d/1B0f2xJpZUC6Z0xXnqKlZtEPzsf6L84eP1r1Q15seqRM/edit?usp=sharing"",""สุโขทัย!J676"")"),0)</f>
        <v>0</v>
      </c>
      <c r="BK28" s="177">
        <f ca="1">IFERROR(__xludf.DUMMYFUNCTION("IMPORTRANGE(""https://docs.google.com/spreadsheets/d/1B0f2xJpZUC6Z0xXnqKlZtEPzsf6L84eP1r1Q15seqRM/edit?usp=sharing"",""สุโขทัย!J677"")"),0)</f>
        <v>0</v>
      </c>
      <c r="BL28" s="177">
        <f ca="1">IFERROR(__xludf.DUMMYFUNCTION("IMPORTRANGE(""https://docs.google.com/spreadsheets/d/1B0f2xJpZUC6Z0xXnqKlZtEPzsf6L84eP1r1Q15seqRM/edit?usp=sharing"",""สุโขทัย!J678"")"),0)</f>
        <v>0</v>
      </c>
      <c r="BM28" s="177">
        <f ca="1">IFERROR(__xludf.DUMMYFUNCTION("IMPORTRANGE(""https://docs.google.com/spreadsheets/d/1B0f2xJpZUC6Z0xXnqKlZtEPzsf6L84eP1r1Q15seqRM/edit?usp=sharing"",""สุโขทัย!I679"")"),0)</f>
        <v>0</v>
      </c>
      <c r="BN28" s="177">
        <f ca="1">IFERROR(__xludf.DUMMYFUNCTION("IMPORTRANGE(""https://docs.google.com/spreadsheets/d/1B0f2xJpZUC6Z0xXnqKlZtEPzsf6L84eP1r1Q15seqRM/edit?usp=sharing"",""สุโขทัย!I681"")"),0)</f>
        <v>0</v>
      </c>
      <c r="BO28" s="177">
        <f ca="1">IFERROR(__xludf.DUMMYFUNCTION("IMPORTRANGE(""https://docs.google.com/spreadsheets/d/1B0f2xJpZUC6Z0xXnqKlZtEPzsf6L84eP1r1Q15seqRM/edit?usp=sharing"",""สุโขทัย!J679"")"),0)</f>
        <v>0</v>
      </c>
      <c r="BP28" s="177">
        <f ca="1">IFERROR(__xludf.DUMMYFUNCTION("IMPORTRANGE(""https://docs.google.com/spreadsheets/d/1B0f2xJpZUC6Z0xXnqKlZtEPzsf6L84eP1r1Q15seqRM/edit?usp=sharing"",""สุโขทัย!J680"")"),0)</f>
        <v>0</v>
      </c>
      <c r="BQ28" s="177">
        <f ca="1">IFERROR(__xludf.DUMMYFUNCTION("IMPORTRANGE(""https://docs.google.com/spreadsheets/d/1B0f2xJpZUC6Z0xXnqKlZtEPzsf6L84eP1r1Q15seqRM/edit?usp=sharing"",""สุโขทัย!J681"")"),0)</f>
        <v>0</v>
      </c>
      <c r="BR28" s="177">
        <f ca="1">IFERROR(__xludf.DUMMYFUNCTION("IMPORTRANGE(""https://docs.google.com/spreadsheets/d/1B0f2xJpZUC6Z0xXnqKlZtEPzsf6L84eP1r1Q15seqRM/edit?usp=sharing"",""สุโขทัย!I682"")"),0)</f>
        <v>0</v>
      </c>
      <c r="BS28" s="177">
        <f ca="1">IFERROR(__xludf.DUMMYFUNCTION("IMPORTRANGE(""https://docs.google.com/spreadsheets/d/1B0f2xJpZUC6Z0xXnqKlZtEPzsf6L84eP1r1Q15seqRM/edit?usp=sharing"",""สุโขทัย!J682"")"),0)</f>
        <v>0</v>
      </c>
      <c r="BT28" s="354">
        <f t="shared" ca="1" si="63"/>
        <v>0</v>
      </c>
      <c r="BU28" s="177">
        <f ca="1">IFERROR(__xludf.DUMMYFUNCTION("IMPORTRANGE(""https://docs.google.com/spreadsheets/d/1B0f2xJpZUC6Z0xXnqKlZtEPzsf6L84eP1r1Q15seqRM/edit?usp=sharing"",""สุโขทัย!J683"")"),0)</f>
        <v>0</v>
      </c>
      <c r="BV28" s="177">
        <f ca="1">IFERROR(__xludf.DUMMYFUNCTION("IMPORTRANGE(""https://docs.google.com/spreadsheets/d/1B0f2xJpZUC6Z0xXnqKlZtEPzsf6L84eP1r1Q15seqRM/edit?usp=sharing"",""สุโขทัย!J684"")"),0)</f>
        <v>0</v>
      </c>
      <c r="BW28" s="177">
        <f ca="1">IFERROR(__xludf.DUMMYFUNCTION("IMPORTRANGE(""https://docs.google.com/spreadsheets/d/1B0f2xJpZUC6Z0xXnqKlZtEPzsf6L84eP1r1Q15seqRM/edit?usp=sharing"",""สุโขทัย!J685"")"),0)</f>
        <v>0</v>
      </c>
      <c r="BX28" s="177">
        <f ca="1">IFERROR(__xludf.DUMMYFUNCTION("IMPORTRANGE(""https://docs.google.com/spreadsheets/d/1B0f2xJpZUC6Z0xXnqKlZtEPzsf6L84eP1r1Q15seqRM/edit?usp=sharing"",""สุโขทัย!J686"")"),0)</f>
        <v>0</v>
      </c>
      <c r="BY28" s="177">
        <f ca="1">IFERROR(__xludf.DUMMYFUNCTION("IMPORTRANGE(""https://docs.google.com/spreadsheets/d/1B0f2xJpZUC6Z0xXnqKlZtEPzsf6L84eP1r1Q15seqRM/edit?usp=sharing"",""สุโขทัย!J687"")"),0)</f>
        <v>0</v>
      </c>
      <c r="BZ28" s="177">
        <f ca="1">IFERROR(__xludf.DUMMYFUNCTION("IMPORTRANGE(""https://docs.google.com/spreadsheets/d/1B0f2xJpZUC6Z0xXnqKlZtEPzsf6L84eP1r1Q15seqRM/edit?usp=sharing"",""สุโขทัย!J688"")"),0)</f>
        <v>0</v>
      </c>
    </row>
    <row r="29" spans="1:78" ht="21.75" customHeight="1" x14ac:dyDescent="0.3">
      <c r="A29" s="89">
        <v>16</v>
      </c>
      <c r="B29" s="90" t="s">
        <v>55</v>
      </c>
      <c r="C29" s="174">
        <f t="shared" si="38"/>
        <v>0</v>
      </c>
      <c r="D29" s="175">
        <f t="shared" si="65"/>
        <v>0</v>
      </c>
      <c r="E29" s="403">
        <v>0</v>
      </c>
      <c r="F29" s="403">
        <v>0</v>
      </c>
      <c r="G29" s="403">
        <v>0</v>
      </c>
      <c r="H29" s="403">
        <v>0</v>
      </c>
      <c r="I29" s="403">
        <v>0</v>
      </c>
      <c r="J29" s="176">
        <f t="shared" si="40"/>
        <v>0</v>
      </c>
      <c r="K29" s="179">
        <f t="shared" si="41"/>
        <v>0</v>
      </c>
      <c r="L29" s="403">
        <v>0</v>
      </c>
      <c r="M29" s="87">
        <f t="shared" si="42"/>
        <v>0</v>
      </c>
      <c r="N29" s="87">
        <f t="shared" si="43"/>
        <v>0</v>
      </c>
      <c r="O29" s="403">
        <v>0</v>
      </c>
      <c r="P29" s="86">
        <f t="shared" si="44"/>
        <v>0</v>
      </c>
      <c r="Q29" s="87">
        <f t="shared" si="45"/>
        <v>0</v>
      </c>
      <c r="R29" s="87">
        <f ca="1">IFERROR(__xludf.DUMMYFUNCTION("IMPORTRANGE(""https://docs.google.com/spreadsheets/d/1v0b9pFQCsKUVExMei7AgY2yQkdeNQvtOssygGsXbiKo/edit?usp=sharing"",""อุตรดิตถ์!Q642"")"),5600)</f>
        <v>5600</v>
      </c>
      <c r="S29" s="87">
        <f ca="1">IFERROR(__xludf.DUMMYFUNCTION("IMPORTRANGE(""https://docs.google.com/spreadsheets/d/1v0b9pFQCsKUVExMei7AgY2yQkdeNQvtOssygGsXbiKo/edit?usp=sharing"",""อุตรดิตถ์!R642"")"),0)</f>
        <v>0</v>
      </c>
      <c r="T29" s="87">
        <f ca="1">IFERROR(__xludf.DUMMYFUNCTION("IMPORTRANGE(""https://docs.google.com/spreadsheets/d/1v0b9pFQCsKUVExMei7AgY2yQkdeNQvtOssygGsXbiKo/edit?usp=sharing"",""อุตรดิตถ์!S642"")"),0)</f>
        <v>0</v>
      </c>
      <c r="U29" s="87">
        <f t="shared" ca="1" si="47"/>
        <v>0</v>
      </c>
      <c r="V29" s="87">
        <f t="shared" ca="1" si="48"/>
        <v>0</v>
      </c>
      <c r="W29" s="353">
        <f ca="1">IFERROR(__xludf.DUMMYFUNCTION("IMPORTRANGE(""https://docs.google.com/spreadsheets/d/1v0b9pFQCsKUVExMei7AgY2yQkdeNQvtOssygGsXbiKo/edit?usp=sharing"",""อุตรดิตถ์!I652"")"),0)</f>
        <v>0</v>
      </c>
      <c r="X29" s="177">
        <f ca="1">IFERROR(__xludf.DUMMYFUNCTION("IMPORTRANGE(""https://docs.google.com/spreadsheets/d/1v0b9pFQCsKUVExMei7AgY2yQkdeNQvtOssygGsXbiKo/edit?usp=sharing"",""อุตรดิตถ์!J652"")"),0)</f>
        <v>0</v>
      </c>
      <c r="Y29" s="354">
        <f t="shared" ca="1" si="50"/>
        <v>0</v>
      </c>
      <c r="Z29" s="177">
        <f ca="1">IFERROR(__xludf.DUMMYFUNCTION("IMPORTRANGE(""https://docs.google.com/spreadsheets/d/1v0b9pFQCsKUVExMei7AgY2yQkdeNQvtOssygGsXbiKo/edit?usp=sharing"",""อุตรดิตถ์!I653"")"),0)</f>
        <v>0</v>
      </c>
      <c r="AA29" s="177">
        <f ca="1">IFERROR(__xludf.DUMMYFUNCTION("IMPORTRANGE(""https://docs.google.com/spreadsheets/d/1v0b9pFQCsKUVExMei7AgY2yQkdeNQvtOssygGsXbiKo/edit?usp=sharing"",""อุตรดิตถ์!J653"")"),0)</f>
        <v>0</v>
      </c>
      <c r="AB29" s="354">
        <f t="shared" ca="1" si="52"/>
        <v>0</v>
      </c>
      <c r="AC29" s="177">
        <f ca="1">IFERROR(__xludf.DUMMYFUNCTION("IMPORTRANGE(""https://docs.google.com/spreadsheets/d/1v0b9pFQCsKUVExMei7AgY2yQkdeNQvtOssygGsXbiKo/edit?usp=sharing"",""อุตรดิตถ์!I654"")"),8)</f>
        <v>8</v>
      </c>
      <c r="AD29" s="177">
        <f ca="1">IFERROR(__xludf.DUMMYFUNCTION("IMPORTRANGE(""https://docs.google.com/spreadsheets/d/1v0b9pFQCsKUVExMei7AgY2yQkdeNQvtOssygGsXbiKo/edit?usp=sharing"",""อุตรดิตถ์!J654"")"),0)</f>
        <v>0</v>
      </c>
      <c r="AE29" s="354">
        <f t="shared" ca="1" si="54"/>
        <v>0</v>
      </c>
      <c r="AF29" s="354">
        <f ca="1">IFERROR(__xludf.DUMMYFUNCTION("IMPORTRANGE(""https://docs.google.com/spreadsheets/d/1v0b9pFQCsKUVExMei7AgY2yQkdeNQvtOssygGsXbiKo/edit?usp=sharing"",""อุตรดิตถ์!J655"")"),0)</f>
        <v>0</v>
      </c>
      <c r="AG29" s="354">
        <f ca="1">IFERROR(__xludf.DUMMYFUNCTION("IMPORTRANGE(""https://docs.google.com/spreadsheets/d/1v0b9pFQCsKUVExMei7AgY2yQkdeNQvtOssygGsXbiKo/edit?usp=sharing"",""อุตรดิตถ์!J656"")"),0)</f>
        <v>0</v>
      </c>
      <c r="AH29" s="354">
        <f ca="1">IFERROR(__xludf.DUMMYFUNCTION("IMPORTRANGE(""https://docs.google.com/spreadsheets/d/1v0b9pFQCsKUVExMei7AgY2yQkdeNQvtOssygGsXbiKo/edit?usp=sharing"",""อุตรดิตถ์!J657"")"),0)</f>
        <v>0</v>
      </c>
      <c r="AI29" s="354">
        <f ca="1">IFERROR(__xludf.DUMMYFUNCTION("IMPORTRANGE(""https://docs.google.com/spreadsheets/d/1v0b9pFQCsKUVExMei7AgY2yQkdeNQvtOssygGsXbiKo/edit?usp=sharing"",""อุตรดิตถ์!J658"")"),0)</f>
        <v>0</v>
      </c>
      <c r="AJ29" s="354">
        <f ca="1">IFERROR(__xludf.DUMMYFUNCTION("IMPORTRANGE(""https://docs.google.com/spreadsheets/d/1v0b9pFQCsKUVExMei7AgY2yQkdeNQvtOssygGsXbiKo/edit?usp=sharing"",""อุตรดิตถ์!J659"")"),0)</f>
        <v>0</v>
      </c>
      <c r="AK29" s="354">
        <f ca="1">IFERROR(__xludf.DUMMYFUNCTION("IMPORTRANGE(""https://docs.google.com/spreadsheets/d/1v0b9pFQCsKUVExMei7AgY2yQkdeNQvtOssygGsXbiKo/edit?usp=sharing"",""อุตรดิตถ์!J660"")"),0)</f>
        <v>0</v>
      </c>
      <c r="AL29" s="177">
        <f ca="1">IFERROR(__xludf.DUMMYFUNCTION("IMPORTRANGE(""https://docs.google.com/spreadsheets/d/1v0b9pFQCsKUVExMei7AgY2yQkdeNQvtOssygGsXbiKo/edit?usp=sharing"",""อุตรดิตถ์!I661"")"),0)</f>
        <v>0</v>
      </c>
      <c r="AM29" s="177">
        <f ca="1">IFERROR(__xludf.DUMMYFUNCTION("IMPORTRANGE(""https://docs.google.com/spreadsheets/d/1v0b9pFQCsKUVExMei7AgY2yQkdeNQvtOssygGsXbiKo/edit?usp=sharing"",""อุตรดิตถ์!J661"")"),0)</f>
        <v>0</v>
      </c>
      <c r="AN29" s="354">
        <f t="shared" ca="1" si="56"/>
        <v>0</v>
      </c>
      <c r="AO29" s="177">
        <f ca="1">IFERROR(__xludf.DUMMYFUNCTION("IMPORTRANGE(""https://docs.google.com/spreadsheets/d/1v0b9pFQCsKUVExMei7AgY2yQkdeNQvtOssygGsXbiKo/edit?usp=sharing"",""อุตรดิตถ์!J662"")"),0)</f>
        <v>0</v>
      </c>
      <c r="AP29" s="177">
        <f ca="1">IFERROR(__xludf.DUMMYFUNCTION("IMPORTRANGE(""https://docs.google.com/spreadsheets/d/1v0b9pFQCsKUVExMei7AgY2yQkdeNQvtOssygGsXbiKo/edit?usp=sharing"",""อุตรดิตถ์!J663"")"),0)</f>
        <v>0</v>
      </c>
      <c r="AQ29" s="177">
        <f ca="1">IFERROR(__xludf.DUMMYFUNCTION("IMPORTRANGE(""https://docs.google.com/spreadsheets/d/1v0b9pFQCsKUVExMei7AgY2yQkdeNQvtOssygGsXbiKo/edit?usp=sharing"",""อุตรดิตถ์!J665"")"),0)</f>
        <v>0</v>
      </c>
      <c r="AR29" s="177">
        <f ca="1">IFERROR(__xludf.DUMMYFUNCTION("IMPORTRANGE(""https://docs.google.com/spreadsheets/d/1v0b9pFQCsKUVExMei7AgY2yQkdeNQvtOssygGsXbiKo/edit?usp=sharing"",""อุตรดิตถ์!J666"")"),0)</f>
        <v>0</v>
      </c>
      <c r="AS29" s="177">
        <f ca="1">IFERROR(__xludf.DUMMYFUNCTION("IMPORTRANGE(""https://docs.google.com/spreadsheets/d/1v0b9pFQCsKUVExMei7AgY2yQkdeNQvtOssygGsXbiKo/edit?usp=sharing"",""อุตรดิตถ์!J667"")"),0)</f>
        <v>0</v>
      </c>
      <c r="AT29" s="177">
        <f ca="1">IFERROR(__xludf.DUMMYFUNCTION("IMPORTRANGE(""https://docs.google.com/spreadsheets/d/1v0b9pFQCsKUVExMei7AgY2yQkdeNQvtOssygGsXbiKo/edit?usp=sharing"",""อุตรดิตถ์!J668"")"),0)</f>
        <v>0</v>
      </c>
      <c r="AU29" s="177">
        <f ca="1">IFERROR(__xludf.DUMMYFUNCTION("IMPORTRANGE(""https://docs.google.com/spreadsheets/d/1v0b9pFQCsKUVExMei7AgY2yQkdeNQvtOssygGsXbiKo/edit?usp=sharing"",""อุตรดิตถ์!J669"")"),0)</f>
        <v>0</v>
      </c>
      <c r="AV29" s="177">
        <f ca="1">IFERROR(__xludf.DUMMYFUNCTION("IMPORTRANGE(""https://docs.google.com/spreadsheets/d/1v0b9pFQCsKUVExMei7AgY2yQkdeNQvtOssygGsXbiKo/edit?usp=sharing"",""อุตรดิตถ์!J670"")"),0)</f>
        <v>0</v>
      </c>
      <c r="AW29" s="177">
        <v>0</v>
      </c>
      <c r="AX29" s="177">
        <f ca="1">IFERROR(__xludf.DUMMYFUNCTION("IMPORTRANGE(""https://docs.google.com/spreadsheets/d/1v0b9pFQCsKUVExMei7AgY2yQkdeNQvtOssygGsXbiKo/edit?usp=sharing"",""อุตรดิตถ์!J671"")"),0)</f>
        <v>0</v>
      </c>
      <c r="AY29" s="177">
        <f ca="1">IFERROR(__xludf.DUMMYFUNCTION("IMPORTRANGE(""https://docs.google.com/spreadsheets/d/1v0b9pFQCsKUVExMei7AgY2yQkdeNQvtOssygGsXbiKo/edit?usp=sharing"",""อุตรดิตถ์!J672"")"),0)</f>
        <v>0</v>
      </c>
      <c r="AZ29" s="177">
        <f ca="1">IFERROR(__xludf.DUMMYFUNCTION("IMPORTRANGE(""https://docs.google.com/spreadsheets/d/1v0b9pFQCsKUVExMei7AgY2yQkdeNQvtOssygGsXbiKo/edit?usp=sharing"",""อุตรดิตถ์!J673"")"),0)</f>
        <v>0</v>
      </c>
      <c r="BA29" s="354">
        <f t="shared" si="58"/>
        <v>0</v>
      </c>
      <c r="BB29" s="177">
        <f ca="1">IFERROR(__xludf.DUMMYFUNCTION("IMPORTRANGE(""https://docs.google.com/spreadsheets/d/1v0b9pFQCsKUVExMei7AgY2yQkdeNQvtOssygGsXbiKo/edit?usp=sharing"",""อุตรดิตถ์!I674"")"),1)</f>
        <v>1</v>
      </c>
      <c r="BC29" s="177">
        <f ca="1">IFERROR(__xludf.DUMMYFUNCTION("IMPORTRANGE(""https://docs.google.com/spreadsheets/d/1v0b9pFQCsKUVExMei7AgY2yQkdeNQvtOssygGsXbiKo/edit?usp=sharing"",""อุตรดิตถ์!I675"")"),5)</f>
        <v>5</v>
      </c>
      <c r="BD29" s="177">
        <f ca="1">IFERROR(__xludf.DUMMYFUNCTION("IMPORTRANGE(""https://docs.google.com/spreadsheets/d/1v0b9pFQCsKUVExMei7AgY2yQkdeNQvtOssygGsXbiKo/edit?usp=sharing"",""อุตรดิตถ์!J674"")"),0)</f>
        <v>0</v>
      </c>
      <c r="BE29" s="354">
        <f t="shared" ca="1" si="60"/>
        <v>0</v>
      </c>
      <c r="BF29" s="177">
        <f ca="1">IFERROR(__xludf.DUMMYFUNCTION("IMPORTRANGE(""https://docs.google.com/spreadsheets/d/1v0b9pFQCsKUVExMei7AgY2yQkdeNQvtOssygGsXbiKo/edit?usp=sharing"",""อุตรดิตถ์!J675"")"),0)</f>
        <v>0</v>
      </c>
      <c r="BG29" s="354">
        <f t="shared" ca="1" si="61"/>
        <v>0</v>
      </c>
      <c r="BH29" s="177">
        <f ca="1">IFERROR(__xludf.DUMMYFUNCTION("IMPORTRANGE(""https://docs.google.com/spreadsheets/d/1v0b9pFQCsKUVExMei7AgY2yQkdeNQvtOssygGsXbiKo/edit?usp=sharing"",""อุตรดิตถ์!I676"")"),1)</f>
        <v>1</v>
      </c>
      <c r="BI29" s="177">
        <f ca="1">IFERROR(__xludf.DUMMYFUNCTION("IMPORTRANGE(""https://docs.google.com/spreadsheets/d/1v0b9pFQCsKUVExMei7AgY2yQkdeNQvtOssygGsXbiKo/edit?usp=sharing"",""อุตรดิตถ์!I678"")"),5)</f>
        <v>5</v>
      </c>
      <c r="BJ29" s="177">
        <f ca="1">IFERROR(__xludf.DUMMYFUNCTION("IMPORTRANGE(""https://docs.google.com/spreadsheets/d/1v0b9pFQCsKUVExMei7AgY2yQkdeNQvtOssygGsXbiKo/edit?usp=sharing"",""อุตรดิตถ์!J676"")"),0)</f>
        <v>0</v>
      </c>
      <c r="BK29" s="177">
        <f ca="1">IFERROR(__xludf.DUMMYFUNCTION("IMPORTRANGE(""https://docs.google.com/spreadsheets/d/1v0b9pFQCsKUVExMei7AgY2yQkdeNQvtOssygGsXbiKo/edit?usp=sharing"",""อุตรดิตถ์!J677"")"),0)</f>
        <v>0</v>
      </c>
      <c r="BL29" s="177">
        <f ca="1">IFERROR(__xludf.DUMMYFUNCTION("IMPORTRANGE(""https://docs.google.com/spreadsheets/d/1v0b9pFQCsKUVExMei7AgY2yQkdeNQvtOssygGsXbiKo/edit?usp=sharing"",""อุตรดิตถ์!J678"")"),0)</f>
        <v>0</v>
      </c>
      <c r="BM29" s="177">
        <f ca="1">IFERROR(__xludf.DUMMYFUNCTION("IMPORTRANGE(""https://docs.google.com/spreadsheets/d/1v0b9pFQCsKUVExMei7AgY2yQkdeNQvtOssygGsXbiKo/edit?usp=sharing"",""อุตรดิตถ์!I679"")"),0)</f>
        <v>0</v>
      </c>
      <c r="BN29" s="177">
        <f ca="1">IFERROR(__xludf.DUMMYFUNCTION("IMPORTRANGE(""https://docs.google.com/spreadsheets/d/1v0b9pFQCsKUVExMei7AgY2yQkdeNQvtOssygGsXbiKo/edit?usp=sharing"",""อุตรดิตถ์!I681"")"),0)</f>
        <v>0</v>
      </c>
      <c r="BO29" s="177">
        <f ca="1">IFERROR(__xludf.DUMMYFUNCTION("IMPORTRANGE(""https://docs.google.com/spreadsheets/d/1v0b9pFQCsKUVExMei7AgY2yQkdeNQvtOssygGsXbiKo/edit?usp=sharing"",""อุตรดิตถ์!J679"")"),0)</f>
        <v>0</v>
      </c>
      <c r="BP29" s="177">
        <f ca="1">IFERROR(__xludf.DUMMYFUNCTION("IMPORTRANGE(""https://docs.google.com/spreadsheets/d/1v0b9pFQCsKUVExMei7AgY2yQkdeNQvtOssygGsXbiKo/edit?usp=sharing"",""อุตรดิตถ์!J680"")"),0)</f>
        <v>0</v>
      </c>
      <c r="BQ29" s="177">
        <f ca="1">IFERROR(__xludf.DUMMYFUNCTION("IMPORTRANGE(""https://docs.google.com/spreadsheets/d/1v0b9pFQCsKUVExMei7AgY2yQkdeNQvtOssygGsXbiKo/edit?usp=sharing"",""อุตรดิตถ์!J681"")"),0)</f>
        <v>0</v>
      </c>
      <c r="BR29" s="177">
        <f ca="1">IFERROR(__xludf.DUMMYFUNCTION("IMPORTRANGE(""https://docs.google.com/spreadsheets/d/1v0b9pFQCsKUVExMei7AgY2yQkdeNQvtOssygGsXbiKo/edit?usp=sharing"",""อุตรดิตถ์!I682"")"),0)</f>
        <v>0</v>
      </c>
      <c r="BS29" s="177">
        <f ca="1">IFERROR(__xludf.DUMMYFUNCTION("IMPORTRANGE(""https://docs.google.com/spreadsheets/d/1v0b9pFQCsKUVExMei7AgY2yQkdeNQvtOssygGsXbiKo/edit?usp=sharing"",""อุตรดิตถ์!J682"")"),0)</f>
        <v>0</v>
      </c>
      <c r="BT29" s="354">
        <f t="shared" ca="1" si="63"/>
        <v>0</v>
      </c>
      <c r="BU29" s="177">
        <f ca="1">IFERROR(__xludf.DUMMYFUNCTION("IMPORTRANGE(""https://docs.google.com/spreadsheets/d/1v0b9pFQCsKUVExMei7AgY2yQkdeNQvtOssygGsXbiKo/edit?usp=sharing"",""อุตรดิตถ์!J683"")"),0)</f>
        <v>0</v>
      </c>
      <c r="BV29" s="177">
        <f ca="1">IFERROR(__xludf.DUMMYFUNCTION("IMPORTRANGE(""https://docs.google.com/spreadsheets/d/1v0b9pFQCsKUVExMei7AgY2yQkdeNQvtOssygGsXbiKo/edit?usp=sharing"",""อุตรดิตถ์!J684"")"),0)</f>
        <v>0</v>
      </c>
      <c r="BW29" s="177">
        <f ca="1">IFERROR(__xludf.DUMMYFUNCTION("IMPORTRANGE(""https://docs.google.com/spreadsheets/d/1v0b9pFQCsKUVExMei7AgY2yQkdeNQvtOssygGsXbiKo/edit?usp=sharing"",""อุตรดิตถ์!J685"")"),0)</f>
        <v>0</v>
      </c>
      <c r="BX29" s="177">
        <f ca="1">IFERROR(__xludf.DUMMYFUNCTION("IMPORTRANGE(""https://docs.google.com/spreadsheets/d/1v0b9pFQCsKUVExMei7AgY2yQkdeNQvtOssygGsXbiKo/edit?usp=sharing"",""อุตรดิตถ์!J686"")"),0)</f>
        <v>0</v>
      </c>
      <c r="BY29" s="177">
        <f ca="1">IFERROR(__xludf.DUMMYFUNCTION("IMPORTRANGE(""https://docs.google.com/spreadsheets/d/1v0b9pFQCsKUVExMei7AgY2yQkdeNQvtOssygGsXbiKo/edit?usp=sharing"",""อุตรดิตถ์!J687"")"),0)</f>
        <v>0</v>
      </c>
      <c r="BZ29" s="177">
        <f ca="1">IFERROR(__xludf.DUMMYFUNCTION("IMPORTRANGE(""https://docs.google.com/spreadsheets/d/1v0b9pFQCsKUVExMei7AgY2yQkdeNQvtOssygGsXbiKo/edit?usp=sharing"",""อุตรดิตถ์!J688"")"),0)</f>
        <v>0</v>
      </c>
    </row>
    <row r="30" spans="1:78" ht="21.75" customHeight="1" x14ac:dyDescent="0.3">
      <c r="A30" s="100">
        <v>17</v>
      </c>
      <c r="B30" s="101" t="s">
        <v>56</v>
      </c>
      <c r="C30" s="182">
        <f t="shared" si="38"/>
        <v>0</v>
      </c>
      <c r="D30" s="183">
        <f t="shared" si="65"/>
        <v>0</v>
      </c>
      <c r="E30" s="409">
        <v>0</v>
      </c>
      <c r="F30" s="409">
        <v>0</v>
      </c>
      <c r="G30" s="409">
        <v>0</v>
      </c>
      <c r="H30" s="409">
        <v>0</v>
      </c>
      <c r="I30" s="409">
        <v>0</v>
      </c>
      <c r="J30" s="184">
        <f t="shared" si="40"/>
        <v>0</v>
      </c>
      <c r="K30" s="185">
        <f t="shared" si="41"/>
        <v>0</v>
      </c>
      <c r="L30" s="409">
        <v>0</v>
      </c>
      <c r="M30" s="109">
        <f t="shared" si="42"/>
        <v>0</v>
      </c>
      <c r="N30" s="109">
        <f t="shared" si="43"/>
        <v>0</v>
      </c>
      <c r="O30" s="409">
        <v>0</v>
      </c>
      <c r="P30" s="108">
        <f t="shared" si="44"/>
        <v>0</v>
      </c>
      <c r="Q30" s="109">
        <f t="shared" si="45"/>
        <v>0</v>
      </c>
      <c r="R30" s="109">
        <f ca="1">IFERROR(__xludf.DUMMYFUNCTION("IMPORTRANGE(""https://docs.google.com/spreadsheets/d/1UsNK1e-WWiCo2PvGqdNfdme4m17_Ezd3J69EeeiQPD0/edit?usp=sharing"",""อุทัยธานี!Q642"")"),34240)</f>
        <v>34240</v>
      </c>
      <c r="S30" s="109">
        <f ca="1">IFERROR(__xludf.DUMMYFUNCTION("IMPORTRANGE(""https://docs.google.com/spreadsheets/d/1UsNK1e-WWiCo2PvGqdNfdme4m17_Ezd3J69EeeiQPD0/edit?usp=sharing"",""อุทัยธานี!R642"")"),0)</f>
        <v>0</v>
      </c>
      <c r="T30" s="109">
        <f ca="1">IFERROR(__xludf.DUMMYFUNCTION("IMPORTRANGE(""https://docs.google.com/spreadsheets/d/1UsNK1e-WWiCo2PvGqdNfdme4m17_Ezd3J69EeeiQPD0/edit?usp=sharing"",""อุทัยธานี!S642"")"),0)</f>
        <v>0</v>
      </c>
      <c r="U30" s="109">
        <f t="shared" ca="1" si="47"/>
        <v>0</v>
      </c>
      <c r="V30" s="109">
        <f t="shared" ca="1" si="48"/>
        <v>0</v>
      </c>
      <c r="W30" s="356">
        <f ca="1">IFERROR(__xludf.DUMMYFUNCTION("IMPORTRANGE(""https://docs.google.com/spreadsheets/d/1UsNK1e-WWiCo2PvGqdNfdme4m17_Ezd3J69EeeiQPD0/edit?usp=sharing"",""อุทัยธานี!I652"")"),0)</f>
        <v>0</v>
      </c>
      <c r="X30" s="186">
        <f ca="1">IFERROR(__xludf.DUMMYFUNCTION("IMPORTRANGE(""https://docs.google.com/spreadsheets/d/1UsNK1e-WWiCo2PvGqdNfdme4m17_Ezd3J69EeeiQPD0/edit?usp=sharing"",""อุทัยธานี!J652"")"),0)</f>
        <v>0</v>
      </c>
      <c r="Y30" s="357">
        <f t="shared" ca="1" si="50"/>
        <v>0</v>
      </c>
      <c r="Z30" s="186">
        <f ca="1">IFERROR(__xludf.DUMMYFUNCTION("IMPORTRANGE(""https://docs.google.com/spreadsheets/d/1UsNK1e-WWiCo2PvGqdNfdme4m17_Ezd3J69EeeiQPD0/edit?usp=sharing"",""อุทัยธานี!I653"")"),0)</f>
        <v>0</v>
      </c>
      <c r="AA30" s="186">
        <f ca="1">IFERROR(__xludf.DUMMYFUNCTION("IMPORTRANGE(""https://docs.google.com/spreadsheets/d/1UsNK1e-WWiCo2PvGqdNfdme4m17_Ezd3J69EeeiQPD0/edit?usp=sharing"",""อุทัยธานี!J653"")"),0)</f>
        <v>0</v>
      </c>
      <c r="AB30" s="357">
        <f t="shared" ca="1" si="52"/>
        <v>0</v>
      </c>
      <c r="AC30" s="186">
        <f ca="1">IFERROR(__xludf.DUMMYFUNCTION("IMPORTRANGE(""https://docs.google.com/spreadsheets/d/1UsNK1e-WWiCo2PvGqdNfdme4m17_Ezd3J69EeeiQPD0/edit?usp=sharing"",""อุทัยธานี!I654"")"),60)</f>
        <v>60</v>
      </c>
      <c r="AD30" s="186">
        <f ca="1">IFERROR(__xludf.DUMMYFUNCTION("IMPORTRANGE(""https://docs.google.com/spreadsheets/d/1UsNK1e-WWiCo2PvGqdNfdme4m17_Ezd3J69EeeiQPD0/edit?usp=sharing"",""อุทัยธานี!J654"")"),0)</f>
        <v>0</v>
      </c>
      <c r="AE30" s="357">
        <f t="shared" ca="1" si="54"/>
        <v>0</v>
      </c>
      <c r="AF30" s="357">
        <f ca="1">IFERROR(__xludf.DUMMYFUNCTION("IMPORTRANGE(""https://docs.google.com/spreadsheets/d/1UsNK1e-WWiCo2PvGqdNfdme4m17_Ezd3J69EeeiQPD0/edit?usp=sharing"",""อุทัยธานี!J655"")"),0)</f>
        <v>0</v>
      </c>
      <c r="AG30" s="357">
        <f ca="1">IFERROR(__xludf.DUMMYFUNCTION("IMPORTRANGE(""https://docs.google.com/spreadsheets/d/1UsNK1e-WWiCo2PvGqdNfdme4m17_Ezd3J69EeeiQPD0/edit?usp=sharing"",""อุทัยธานี!J656"")"),0)</f>
        <v>0</v>
      </c>
      <c r="AH30" s="357">
        <f ca="1">IFERROR(__xludf.DUMMYFUNCTION("IMPORTRANGE(""https://docs.google.com/spreadsheets/d/1UsNK1e-WWiCo2PvGqdNfdme4m17_Ezd3J69EeeiQPD0/edit?usp=sharing"",""อุทัยธานี!J657"")"),0)</f>
        <v>0</v>
      </c>
      <c r="AI30" s="357">
        <f ca="1">IFERROR(__xludf.DUMMYFUNCTION("IMPORTRANGE(""https://docs.google.com/spreadsheets/d/1UsNK1e-WWiCo2PvGqdNfdme4m17_Ezd3J69EeeiQPD0/edit?usp=sharing"",""อุทัยธานี!J658"")"),0)</f>
        <v>0</v>
      </c>
      <c r="AJ30" s="357">
        <f ca="1">IFERROR(__xludf.DUMMYFUNCTION("IMPORTRANGE(""https://docs.google.com/spreadsheets/d/1UsNK1e-WWiCo2PvGqdNfdme4m17_Ezd3J69EeeiQPD0/edit?usp=sharing"",""อุทัยธานี!J659"")"),0)</f>
        <v>0</v>
      </c>
      <c r="AK30" s="357">
        <f ca="1">IFERROR(__xludf.DUMMYFUNCTION("IMPORTRANGE(""https://docs.google.com/spreadsheets/d/1UsNK1e-WWiCo2PvGqdNfdme4m17_Ezd3J69EeeiQPD0/edit?usp=sharing"",""อุทัยธานี!J660"")"),0)</f>
        <v>0</v>
      </c>
      <c r="AL30" s="186">
        <f ca="1">IFERROR(__xludf.DUMMYFUNCTION("IMPORTRANGE(""https://docs.google.com/spreadsheets/d/1UsNK1e-WWiCo2PvGqdNfdme4m17_Ezd3J69EeeiQPD0/edit?usp=sharing"",""อุทัยธานี!I661"")"),102)</f>
        <v>102</v>
      </c>
      <c r="AM30" s="186">
        <f ca="1">IFERROR(__xludf.DUMMYFUNCTION("IMPORTRANGE(""https://docs.google.com/spreadsheets/d/1UsNK1e-WWiCo2PvGqdNfdme4m17_Ezd3J69EeeiQPD0/edit?usp=sharing"",""อุทัยธานี!J661"")"),0)</f>
        <v>0</v>
      </c>
      <c r="AN30" s="357">
        <f t="shared" ca="1" si="56"/>
        <v>0</v>
      </c>
      <c r="AO30" s="186">
        <f ca="1">IFERROR(__xludf.DUMMYFUNCTION("IMPORTRANGE(""https://docs.google.com/spreadsheets/d/1UsNK1e-WWiCo2PvGqdNfdme4m17_Ezd3J69EeeiQPD0/edit?usp=sharing"",""อุทัยธานี!J662"")"),0)</f>
        <v>0</v>
      </c>
      <c r="AP30" s="186">
        <f ca="1">IFERROR(__xludf.DUMMYFUNCTION("IMPORTRANGE(""https://docs.google.com/spreadsheets/d/1UsNK1e-WWiCo2PvGqdNfdme4m17_Ezd3J69EeeiQPD0/edit?usp=sharing"",""อุทัยธานี!J663"")"),0)</f>
        <v>0</v>
      </c>
      <c r="AQ30" s="186">
        <f ca="1">IFERROR(__xludf.DUMMYFUNCTION("IMPORTRANGE(""https://docs.google.com/spreadsheets/d/1UsNK1e-WWiCo2PvGqdNfdme4m17_Ezd3J69EeeiQPD0/edit?usp=sharing"",""อุทัยธานี!J665"")"),0)</f>
        <v>0</v>
      </c>
      <c r="AR30" s="186">
        <f ca="1">IFERROR(__xludf.DUMMYFUNCTION("IMPORTRANGE(""https://docs.google.com/spreadsheets/d/1UsNK1e-WWiCo2PvGqdNfdme4m17_Ezd3J69EeeiQPD0/edit?usp=sharing"",""อุทัยธานี!J666"")"),0)</f>
        <v>0</v>
      </c>
      <c r="AS30" s="186">
        <f ca="1">IFERROR(__xludf.DUMMYFUNCTION("IMPORTRANGE(""https://docs.google.com/spreadsheets/d/1UsNK1e-WWiCo2PvGqdNfdme4m17_Ezd3J69EeeiQPD0/edit?usp=sharing"",""อุทัยธานี!J667"")"),0)</f>
        <v>0</v>
      </c>
      <c r="AT30" s="186">
        <f ca="1">IFERROR(__xludf.DUMMYFUNCTION("IMPORTRANGE(""https://docs.google.com/spreadsheets/d/1UsNK1e-WWiCo2PvGqdNfdme4m17_Ezd3J69EeeiQPD0/edit?usp=sharing"",""อุทัยธานี!J668"")"),0)</f>
        <v>0</v>
      </c>
      <c r="AU30" s="186">
        <f ca="1">IFERROR(__xludf.DUMMYFUNCTION("IMPORTRANGE(""https://docs.google.com/spreadsheets/d/1UsNK1e-WWiCo2PvGqdNfdme4m17_Ezd3J69EeeiQPD0/edit?usp=sharing"",""อุทัยธานี!J669"")"),0)</f>
        <v>0</v>
      </c>
      <c r="AV30" s="186">
        <f ca="1">IFERROR(__xludf.DUMMYFUNCTION("IMPORTRANGE(""https://docs.google.com/spreadsheets/d/1UsNK1e-WWiCo2PvGqdNfdme4m17_Ezd3J69EeeiQPD0/edit?usp=sharing"",""อุทัยธานี!J670"")"),0)</f>
        <v>0</v>
      </c>
      <c r="AW30" s="186">
        <v>0</v>
      </c>
      <c r="AX30" s="186">
        <f ca="1">IFERROR(__xludf.DUMMYFUNCTION("IMPORTRANGE(""https://docs.google.com/spreadsheets/d/1UsNK1e-WWiCo2PvGqdNfdme4m17_Ezd3J69EeeiQPD0/edit?usp=sharing"",""อุทัยธานี!J671"")"),0)</f>
        <v>0</v>
      </c>
      <c r="AY30" s="186">
        <f ca="1">IFERROR(__xludf.DUMMYFUNCTION("IMPORTRANGE(""https://docs.google.com/spreadsheets/d/1UsNK1e-WWiCo2PvGqdNfdme4m17_Ezd3J69EeeiQPD0/edit?usp=sharing"",""อุทัยธานี!J672"")"),0)</f>
        <v>0</v>
      </c>
      <c r="AZ30" s="186">
        <f ca="1">IFERROR(__xludf.DUMMYFUNCTION("IMPORTRANGE(""https://docs.google.com/spreadsheets/d/1UsNK1e-WWiCo2PvGqdNfdme4m17_Ezd3J69EeeiQPD0/edit?usp=sharing"",""อุทัยธานี!J673"")"),0)</f>
        <v>0</v>
      </c>
      <c r="BA30" s="357">
        <f t="shared" si="58"/>
        <v>0</v>
      </c>
      <c r="BB30" s="186">
        <f ca="1">IFERROR(__xludf.DUMMYFUNCTION("IMPORTRANGE(""https://docs.google.com/spreadsheets/d/1UsNK1e-WWiCo2PvGqdNfdme4m17_Ezd3J69EeeiQPD0/edit?usp=sharing"",""อุทัยธานี!I674"")"),13)</f>
        <v>13</v>
      </c>
      <c r="BC30" s="186">
        <f ca="1">IFERROR(__xludf.DUMMYFUNCTION("IMPORTRANGE(""https://docs.google.com/spreadsheets/d/1UsNK1e-WWiCo2PvGqdNfdme4m17_Ezd3J69EeeiQPD0/edit?usp=sharing"",""อุทัยธานี!I675"")"),155)</f>
        <v>155</v>
      </c>
      <c r="BD30" s="186">
        <f ca="1">IFERROR(__xludf.DUMMYFUNCTION("IMPORTRANGE(""https://docs.google.com/spreadsheets/d/1UsNK1e-WWiCo2PvGqdNfdme4m17_Ezd3J69EeeiQPD0/edit?usp=sharing"",""อุทัยธานี!J674"")"),4)</f>
        <v>4</v>
      </c>
      <c r="BE30" s="357">
        <f t="shared" ca="1" si="60"/>
        <v>30.76923076923077</v>
      </c>
      <c r="BF30" s="186">
        <f ca="1">IFERROR(__xludf.DUMMYFUNCTION("IMPORTRANGE(""https://docs.google.com/spreadsheets/d/1UsNK1e-WWiCo2PvGqdNfdme4m17_Ezd3J69EeeiQPD0/edit?usp=sharing"",""อุทัยธานี!J675"")"),76.23)</f>
        <v>76.23</v>
      </c>
      <c r="BG30" s="357">
        <f t="shared" ca="1" si="61"/>
        <v>49.180645161290322</v>
      </c>
      <c r="BH30" s="186">
        <f ca="1">IFERROR(__xludf.DUMMYFUNCTION("IMPORTRANGE(""https://docs.google.com/spreadsheets/d/1UsNK1e-WWiCo2PvGqdNfdme4m17_Ezd3J69EeeiQPD0/edit?usp=sharing"",""อุทัยธานี!I676"")"),10)</f>
        <v>10</v>
      </c>
      <c r="BI30" s="186">
        <f ca="1">IFERROR(__xludf.DUMMYFUNCTION("IMPORTRANGE(""https://docs.google.com/spreadsheets/d/1UsNK1e-WWiCo2PvGqdNfdme4m17_Ezd3J69EeeiQPD0/edit?usp=sharing"",""อุทัยธานี!I678"")"),125)</f>
        <v>125</v>
      </c>
      <c r="BJ30" s="186">
        <f ca="1">IFERROR(__xludf.DUMMYFUNCTION("IMPORTRANGE(""https://docs.google.com/spreadsheets/d/1UsNK1e-WWiCo2PvGqdNfdme4m17_Ezd3J69EeeiQPD0/edit?usp=sharing"",""อุทัยธานี!J676"")"),4)</f>
        <v>4</v>
      </c>
      <c r="BK30" s="186">
        <f ca="1">IFERROR(__xludf.DUMMYFUNCTION("IMPORTRANGE(""https://docs.google.com/spreadsheets/d/1UsNK1e-WWiCo2PvGqdNfdme4m17_Ezd3J69EeeiQPD0/edit?usp=sharing"",""อุทัยธานี!J677"")"),4)</f>
        <v>4</v>
      </c>
      <c r="BL30" s="186">
        <f ca="1">IFERROR(__xludf.DUMMYFUNCTION("IMPORTRANGE(""https://docs.google.com/spreadsheets/d/1UsNK1e-WWiCo2PvGqdNfdme4m17_Ezd3J69EeeiQPD0/edit?usp=sharing"",""อุทัยธานี!J678"")"),76.23)</f>
        <v>76.23</v>
      </c>
      <c r="BM30" s="186">
        <f ca="1">IFERROR(__xludf.DUMMYFUNCTION("IMPORTRANGE(""https://docs.google.com/spreadsheets/d/1UsNK1e-WWiCo2PvGqdNfdme4m17_Ezd3J69EeeiQPD0/edit?usp=sharing"",""อุทัยธานี!I679"")"),3)</f>
        <v>3</v>
      </c>
      <c r="BN30" s="186">
        <f ca="1">IFERROR(__xludf.DUMMYFUNCTION("IMPORTRANGE(""https://docs.google.com/spreadsheets/d/1UsNK1e-WWiCo2PvGqdNfdme4m17_Ezd3J69EeeiQPD0/edit?usp=sharing"",""อุทัยธานี!I681"")"),30)</f>
        <v>30</v>
      </c>
      <c r="BO30" s="186">
        <f ca="1">IFERROR(__xludf.DUMMYFUNCTION("IMPORTRANGE(""https://docs.google.com/spreadsheets/d/1UsNK1e-WWiCo2PvGqdNfdme4m17_Ezd3J69EeeiQPD0/edit?usp=sharing"",""อุทัยธานี!J679"")"),0)</f>
        <v>0</v>
      </c>
      <c r="BP30" s="186">
        <f ca="1">IFERROR(__xludf.DUMMYFUNCTION("IMPORTRANGE(""https://docs.google.com/spreadsheets/d/1UsNK1e-WWiCo2PvGqdNfdme4m17_Ezd3J69EeeiQPD0/edit?usp=sharing"",""อุทัยธานี!J680"")"),0)</f>
        <v>0</v>
      </c>
      <c r="BQ30" s="186">
        <f ca="1">IFERROR(__xludf.DUMMYFUNCTION("IMPORTRANGE(""https://docs.google.com/spreadsheets/d/1UsNK1e-WWiCo2PvGqdNfdme4m17_Ezd3J69EeeiQPD0/edit?usp=sharing"",""อุทัยธานี!J681"")"),0)</f>
        <v>0</v>
      </c>
      <c r="BR30" s="186">
        <f ca="1">IFERROR(__xludf.DUMMYFUNCTION("IMPORTRANGE(""https://docs.google.com/spreadsheets/d/1UsNK1e-WWiCo2PvGqdNfdme4m17_Ezd3J69EeeiQPD0/edit?usp=sharing"",""อุทัยธานี!I682"")"),99)</f>
        <v>99</v>
      </c>
      <c r="BS30" s="186">
        <f ca="1">IFERROR(__xludf.DUMMYFUNCTION("IMPORTRANGE(""https://docs.google.com/spreadsheets/d/1UsNK1e-WWiCo2PvGqdNfdme4m17_Ezd3J69EeeiQPD0/edit?usp=sharing"",""อุทัยธานี!J682"")"),0)</f>
        <v>0</v>
      </c>
      <c r="BT30" s="357">
        <f t="shared" ca="1" si="63"/>
        <v>0</v>
      </c>
      <c r="BU30" s="186">
        <f ca="1">IFERROR(__xludf.DUMMYFUNCTION("IMPORTRANGE(""https://docs.google.com/spreadsheets/d/1UsNK1e-WWiCo2PvGqdNfdme4m17_Ezd3J69EeeiQPD0/edit?usp=sharing"",""อุทัยธานี!J683"")"),0)</f>
        <v>0</v>
      </c>
      <c r="BV30" s="186">
        <f ca="1">IFERROR(__xludf.DUMMYFUNCTION("IMPORTRANGE(""https://docs.google.com/spreadsheets/d/1UsNK1e-WWiCo2PvGqdNfdme4m17_Ezd3J69EeeiQPD0/edit?usp=sharing"",""อุทัยธานี!J684"")"),0)</f>
        <v>0</v>
      </c>
      <c r="BW30" s="186">
        <f ca="1">IFERROR(__xludf.DUMMYFUNCTION("IMPORTRANGE(""https://docs.google.com/spreadsheets/d/1UsNK1e-WWiCo2PvGqdNfdme4m17_Ezd3J69EeeiQPD0/edit?usp=sharing"",""อุทัยธานี!J685"")"),0)</f>
        <v>0</v>
      </c>
      <c r="BX30" s="186">
        <f ca="1">IFERROR(__xludf.DUMMYFUNCTION("IMPORTRANGE(""https://docs.google.com/spreadsheets/d/1UsNK1e-WWiCo2PvGqdNfdme4m17_Ezd3J69EeeiQPD0/edit?usp=sharing"",""อุทัยธานี!J686"")"),0)</f>
        <v>0</v>
      </c>
      <c r="BY30" s="186">
        <f ca="1">IFERROR(__xludf.DUMMYFUNCTION("IMPORTRANGE(""https://docs.google.com/spreadsheets/d/1UsNK1e-WWiCo2PvGqdNfdme4m17_Ezd3J69EeeiQPD0/edit?usp=sharing"",""อุทัยธานี!J687"")"),0)</f>
        <v>0</v>
      </c>
      <c r="BZ30" s="186">
        <f ca="1">IFERROR(__xludf.DUMMYFUNCTION("IMPORTRANGE(""https://docs.google.com/spreadsheets/d/1UsNK1e-WWiCo2PvGqdNfdme4m17_Ezd3J69EeeiQPD0/edit?usp=sharing"",""อุทัยธานี!J688"")"),0)</f>
        <v>0</v>
      </c>
    </row>
    <row r="31" spans="1:78" ht="21.75" customHeight="1" x14ac:dyDescent="0.3">
      <c r="A31" s="625" t="s">
        <v>57</v>
      </c>
      <c r="B31" s="626"/>
      <c r="C31" s="161">
        <f t="shared" si="38"/>
        <v>0</v>
      </c>
      <c r="D31" s="161">
        <f t="shared" ref="D31:I31" si="66">SUM(D32:D51)</f>
        <v>0</v>
      </c>
      <c r="E31" s="161">
        <f t="shared" si="66"/>
        <v>0</v>
      </c>
      <c r="F31" s="161">
        <f t="shared" si="66"/>
        <v>0</v>
      </c>
      <c r="G31" s="161">
        <f t="shared" si="66"/>
        <v>0</v>
      </c>
      <c r="H31" s="161">
        <f t="shared" si="66"/>
        <v>0</v>
      </c>
      <c r="I31" s="161">
        <f t="shared" si="66"/>
        <v>0</v>
      </c>
      <c r="J31" s="161">
        <f t="shared" si="40"/>
        <v>0</v>
      </c>
      <c r="K31" s="162">
        <f t="shared" si="41"/>
        <v>0</v>
      </c>
      <c r="L31" s="161">
        <f>SUM(L32:L51)</f>
        <v>0</v>
      </c>
      <c r="M31" s="40">
        <f t="shared" si="42"/>
        <v>0</v>
      </c>
      <c r="N31" s="40">
        <f t="shared" si="43"/>
        <v>0</v>
      </c>
      <c r="O31" s="39">
        <f>SUM(O32:O51)</f>
        <v>0</v>
      </c>
      <c r="P31" s="39">
        <f t="shared" si="44"/>
        <v>0</v>
      </c>
      <c r="Q31" s="40">
        <f t="shared" si="45"/>
        <v>0</v>
      </c>
      <c r="R31" s="40">
        <f t="shared" ref="R31:T31" ca="1" si="67">SUM(R32:R51)</f>
        <v>173560</v>
      </c>
      <c r="S31" s="40">
        <f t="shared" ca="1" si="67"/>
        <v>0</v>
      </c>
      <c r="T31" s="40">
        <f t="shared" ca="1" si="67"/>
        <v>0</v>
      </c>
      <c r="U31" s="40">
        <f t="shared" ca="1" si="47"/>
        <v>0</v>
      </c>
      <c r="V31" s="40">
        <f t="shared" ca="1" si="48"/>
        <v>0</v>
      </c>
      <c r="W31" s="347">
        <f t="shared" ref="W31:X31" ca="1" si="68">SUM(W32:W51)</f>
        <v>460</v>
      </c>
      <c r="X31" s="451">
        <f t="shared" ca="1" si="68"/>
        <v>0</v>
      </c>
      <c r="Y31" s="40">
        <f t="shared" ca="1" si="50"/>
        <v>0</v>
      </c>
      <c r="Z31" s="161">
        <f t="shared" ref="Z31:AA31" ca="1" si="69">SUM(Z32:Z51)</f>
        <v>54</v>
      </c>
      <c r="AA31" s="451">
        <f t="shared" ca="1" si="69"/>
        <v>3</v>
      </c>
      <c r="AB31" s="40">
        <f t="shared" ca="1" si="52"/>
        <v>5.5555555555555554</v>
      </c>
      <c r="AC31" s="161">
        <f t="shared" ref="AC31:AD31" ca="1" si="70">SUM(AC32:AC51)</f>
        <v>361</v>
      </c>
      <c r="AD31" s="161">
        <f t="shared" ca="1" si="70"/>
        <v>0</v>
      </c>
      <c r="AE31" s="40">
        <f t="shared" ca="1" si="54"/>
        <v>0</v>
      </c>
      <c r="AF31" s="40">
        <f t="shared" ref="AF31:AM31" ca="1" si="71">SUM(AF32:AF51)</f>
        <v>0</v>
      </c>
      <c r="AG31" s="40">
        <f t="shared" ca="1" si="71"/>
        <v>0</v>
      </c>
      <c r="AH31" s="40">
        <f t="shared" ca="1" si="71"/>
        <v>0</v>
      </c>
      <c r="AI31" s="40">
        <f t="shared" ca="1" si="71"/>
        <v>0</v>
      </c>
      <c r="AJ31" s="40">
        <f t="shared" ca="1" si="71"/>
        <v>0</v>
      </c>
      <c r="AK31" s="40">
        <f t="shared" ca="1" si="71"/>
        <v>0</v>
      </c>
      <c r="AL31" s="161">
        <f t="shared" ca="1" si="71"/>
        <v>555</v>
      </c>
      <c r="AM31" s="161">
        <f t="shared" ca="1" si="71"/>
        <v>0</v>
      </c>
      <c r="AN31" s="40">
        <f t="shared" ca="1" si="56"/>
        <v>0</v>
      </c>
      <c r="AO31" s="161">
        <f t="shared" ref="AO31:AZ31" ca="1" si="72">SUM(AO32:AO51)</f>
        <v>0</v>
      </c>
      <c r="AP31" s="161">
        <f t="shared" ca="1" si="72"/>
        <v>0</v>
      </c>
      <c r="AQ31" s="161">
        <f t="shared" ca="1" si="72"/>
        <v>0</v>
      </c>
      <c r="AR31" s="161">
        <f t="shared" ca="1" si="72"/>
        <v>0</v>
      </c>
      <c r="AS31" s="161">
        <f t="shared" ca="1" si="72"/>
        <v>0</v>
      </c>
      <c r="AT31" s="161">
        <f t="shared" ca="1" si="72"/>
        <v>0</v>
      </c>
      <c r="AU31" s="161">
        <f t="shared" ca="1" si="72"/>
        <v>0</v>
      </c>
      <c r="AV31" s="161">
        <f t="shared" ca="1" si="72"/>
        <v>0</v>
      </c>
      <c r="AW31" s="161">
        <f t="shared" si="72"/>
        <v>0</v>
      </c>
      <c r="AX31" s="451">
        <f t="shared" ca="1" si="72"/>
        <v>0</v>
      </c>
      <c r="AY31" s="451">
        <f t="shared" ca="1" si="72"/>
        <v>0</v>
      </c>
      <c r="AZ31" s="451">
        <f t="shared" ca="1" si="72"/>
        <v>0</v>
      </c>
      <c r="BA31" s="40">
        <f t="shared" si="58"/>
        <v>0</v>
      </c>
      <c r="BB31" s="161">
        <f t="shared" ref="BB31:BD31" ca="1" si="73">SUM(BB32:BB51)</f>
        <v>35</v>
      </c>
      <c r="BC31" s="161">
        <f t="shared" ca="1" si="73"/>
        <v>274</v>
      </c>
      <c r="BD31" s="451">
        <f t="shared" ca="1" si="73"/>
        <v>1</v>
      </c>
      <c r="BE31" s="40">
        <f t="shared" ca="1" si="60"/>
        <v>2.8571428571428572</v>
      </c>
      <c r="BF31" s="451">
        <f ca="1">SUM(BF32:BF51)</f>
        <v>12.39</v>
      </c>
      <c r="BG31" s="40">
        <f t="shared" ca="1" si="61"/>
        <v>4.5218978102189782</v>
      </c>
      <c r="BH31" s="161">
        <f t="shared" ref="BH31:BS31" ca="1" si="74">SUM(BH32:BH51)</f>
        <v>35</v>
      </c>
      <c r="BI31" s="161">
        <f t="shared" ca="1" si="74"/>
        <v>274</v>
      </c>
      <c r="BJ31" s="451">
        <f t="shared" ca="1" si="74"/>
        <v>1</v>
      </c>
      <c r="BK31" s="451">
        <f t="shared" ca="1" si="74"/>
        <v>1</v>
      </c>
      <c r="BL31" s="451">
        <f t="shared" ca="1" si="74"/>
        <v>12.39</v>
      </c>
      <c r="BM31" s="161">
        <f t="shared" ca="1" si="74"/>
        <v>0</v>
      </c>
      <c r="BN31" s="161">
        <f t="shared" ca="1" si="74"/>
        <v>0</v>
      </c>
      <c r="BO31" s="451">
        <f t="shared" ca="1" si="74"/>
        <v>0</v>
      </c>
      <c r="BP31" s="451">
        <f t="shared" ca="1" si="74"/>
        <v>0</v>
      </c>
      <c r="BQ31" s="451">
        <f t="shared" ca="1" si="74"/>
        <v>0</v>
      </c>
      <c r="BR31" s="161">
        <f t="shared" ca="1" si="74"/>
        <v>500</v>
      </c>
      <c r="BS31" s="161">
        <f t="shared" ca="1" si="74"/>
        <v>0</v>
      </c>
      <c r="BT31" s="40">
        <f t="shared" ca="1" si="63"/>
        <v>0</v>
      </c>
      <c r="BU31" s="161">
        <f t="shared" ref="BU31:BZ31" ca="1" si="75">SUM(BU32:BU51)</f>
        <v>0</v>
      </c>
      <c r="BV31" s="161">
        <f t="shared" ca="1" si="75"/>
        <v>0</v>
      </c>
      <c r="BW31" s="161">
        <f t="shared" ca="1" si="75"/>
        <v>0</v>
      </c>
      <c r="BX31" s="161">
        <f t="shared" ca="1" si="75"/>
        <v>0</v>
      </c>
      <c r="BY31" s="161">
        <f t="shared" ca="1" si="75"/>
        <v>0</v>
      </c>
      <c r="BZ31" s="161">
        <f t="shared" ca="1" si="75"/>
        <v>0</v>
      </c>
    </row>
    <row r="32" spans="1:78" ht="21.75" customHeight="1" x14ac:dyDescent="0.3">
      <c r="A32" s="77">
        <v>1</v>
      </c>
      <c r="B32" s="78" t="s">
        <v>58</v>
      </c>
      <c r="C32" s="174">
        <f t="shared" si="38"/>
        <v>0</v>
      </c>
      <c r="D32" s="175">
        <f t="shared" ref="D32:D51" si="76">+E32+F32</f>
        <v>0</v>
      </c>
      <c r="E32" s="403">
        <v>0</v>
      </c>
      <c r="F32" s="403">
        <v>0</v>
      </c>
      <c r="G32" s="219">
        <v>0</v>
      </c>
      <c r="H32" s="219">
        <v>0</v>
      </c>
      <c r="I32" s="219">
        <v>0</v>
      </c>
      <c r="J32" s="177">
        <f t="shared" si="40"/>
        <v>0</v>
      </c>
      <c r="K32" s="178">
        <f t="shared" si="41"/>
        <v>0</v>
      </c>
      <c r="L32" s="219">
        <v>0</v>
      </c>
      <c r="M32" s="87">
        <f t="shared" si="42"/>
        <v>0</v>
      </c>
      <c r="N32" s="87">
        <f t="shared" si="43"/>
        <v>0</v>
      </c>
      <c r="O32" s="403">
        <v>0</v>
      </c>
      <c r="P32" s="86">
        <f t="shared" si="44"/>
        <v>0</v>
      </c>
      <c r="Q32" s="87">
        <f t="shared" si="45"/>
        <v>0</v>
      </c>
      <c r="R32" s="87">
        <f ca="1">IFERROR(__xludf.DUMMYFUNCTION("IMPORTRANGE(""https://docs.google.com/spreadsheets/d/1yhBcrRPreicbMKl9Bu_Snb2-OcQAF62RKfhTLhJ2eAA/edit?usp=sharing"",""กาฬสินธุ์!Q642"")"),1920)</f>
        <v>1920</v>
      </c>
      <c r="S32" s="87">
        <f ca="1">IFERROR(__xludf.DUMMYFUNCTION("IMPORTRANGE(""https://docs.google.com/spreadsheets/d/1yhBcrRPreicbMKl9Bu_Snb2-OcQAF62RKfhTLhJ2eAA/edit?usp=sharing"",""กาฬสินธุ์!R642"")"),0)</f>
        <v>0</v>
      </c>
      <c r="T32" s="87">
        <f ca="1">IFERROR(__xludf.DUMMYFUNCTION("IMPORTRANGE(""https://docs.google.com/spreadsheets/d/1yhBcrRPreicbMKl9Bu_Snb2-OcQAF62RKfhTLhJ2eAA/edit?usp=sharing"",""กาฬสินธุ์!S642"")"),0)</f>
        <v>0</v>
      </c>
      <c r="U32" s="87">
        <f t="shared" ca="1" si="47"/>
        <v>0</v>
      </c>
      <c r="V32" s="87">
        <f t="shared" ca="1" si="48"/>
        <v>0</v>
      </c>
      <c r="W32" s="353">
        <f ca="1">IFERROR(__xludf.DUMMYFUNCTION("IMPORTRANGE(""https://docs.google.com/spreadsheets/d/1yhBcrRPreicbMKl9Bu_Snb2-OcQAF62RKfhTLhJ2eAA/edit?usp=sharing"",""กาฬสินธุ์!I652"")"),0)</f>
        <v>0</v>
      </c>
      <c r="X32" s="177">
        <f ca="1">IFERROR(__xludf.DUMMYFUNCTION("IMPORTRANGE(""https://docs.google.com/spreadsheets/d/1yhBcrRPreicbMKl9Bu_Snb2-OcQAF62RKfhTLhJ2eAA/edit?usp=sharing"",""กาฬสินธุ์!J652"")"),0)</f>
        <v>0</v>
      </c>
      <c r="Y32" s="354">
        <f t="shared" ca="1" si="50"/>
        <v>0</v>
      </c>
      <c r="Z32" s="177">
        <f ca="1">IFERROR(__xludf.DUMMYFUNCTION("IMPORTRANGE(""https://docs.google.com/spreadsheets/d/1yhBcrRPreicbMKl9Bu_Snb2-OcQAF62RKfhTLhJ2eAA/edit?usp=sharing"",""กาฬสินธุ์!I653"")"),3)</f>
        <v>3</v>
      </c>
      <c r="AA32" s="177">
        <f ca="1">IFERROR(__xludf.DUMMYFUNCTION("IMPORTRANGE(""https://docs.google.com/spreadsheets/d/1yhBcrRPreicbMKl9Bu_Snb2-OcQAF62RKfhTLhJ2eAA/edit?usp=sharing"",""กาฬสินธุ์!J653"")"),0)</f>
        <v>0</v>
      </c>
      <c r="AB32" s="354">
        <f t="shared" ca="1" si="52"/>
        <v>0</v>
      </c>
      <c r="AC32" s="177">
        <f ca="1">IFERROR(__xludf.DUMMYFUNCTION("IMPORTRANGE(""https://docs.google.com/spreadsheets/d/1yhBcrRPreicbMKl9Bu_Snb2-OcQAF62RKfhTLhJ2eAA/edit?usp=sharing"",""กาฬสินธุ์!I654"")"),10)</f>
        <v>10</v>
      </c>
      <c r="AD32" s="177">
        <f ca="1">IFERROR(__xludf.DUMMYFUNCTION("IMPORTRANGE(""https://docs.google.com/spreadsheets/d/1yhBcrRPreicbMKl9Bu_Snb2-OcQAF62RKfhTLhJ2eAA/edit?usp=sharing"",""กาฬสินธุ์!J654"")"),0)</f>
        <v>0</v>
      </c>
      <c r="AE32" s="354">
        <f t="shared" ca="1" si="54"/>
        <v>0</v>
      </c>
      <c r="AF32" s="354">
        <f ca="1">IFERROR(__xludf.DUMMYFUNCTION("IMPORTRANGE(""https://docs.google.com/spreadsheets/d/1yhBcrRPreicbMKl9Bu_Snb2-OcQAF62RKfhTLhJ2eAA/edit?usp=sharing"",""กาฬสินธุ์!J655"")"),0)</f>
        <v>0</v>
      </c>
      <c r="AG32" s="354">
        <f ca="1">IFERROR(__xludf.DUMMYFUNCTION("IMPORTRANGE(""https://docs.google.com/spreadsheets/d/1yhBcrRPreicbMKl9Bu_Snb2-OcQAF62RKfhTLhJ2eAA/edit?usp=sharing"",""กาฬสินธุ์!J656"")"),0)</f>
        <v>0</v>
      </c>
      <c r="AH32" s="354">
        <f ca="1">IFERROR(__xludf.DUMMYFUNCTION("IMPORTRANGE(""https://docs.google.com/spreadsheets/d/1yhBcrRPreicbMKl9Bu_Snb2-OcQAF62RKfhTLhJ2eAA/edit?usp=sharing"",""กาฬสินธุ์!J657"")"),0)</f>
        <v>0</v>
      </c>
      <c r="AI32" s="354">
        <f ca="1">IFERROR(__xludf.DUMMYFUNCTION("IMPORTRANGE(""https://docs.google.com/spreadsheets/d/1yhBcrRPreicbMKl9Bu_Snb2-OcQAF62RKfhTLhJ2eAA/edit?usp=sharing"",""กาฬสินธุ์!J658"")"),0)</f>
        <v>0</v>
      </c>
      <c r="AJ32" s="354">
        <f ca="1">IFERROR(__xludf.DUMMYFUNCTION("IMPORTRANGE(""https://docs.google.com/spreadsheets/d/1yhBcrRPreicbMKl9Bu_Snb2-OcQAF62RKfhTLhJ2eAA/edit?usp=sharing"",""กาฬสินธุ์!J659"")"),0)</f>
        <v>0</v>
      </c>
      <c r="AK32" s="354">
        <f ca="1">IFERROR(__xludf.DUMMYFUNCTION("IMPORTRANGE(""https://docs.google.com/spreadsheets/d/1yhBcrRPreicbMKl9Bu_Snb2-OcQAF62RKfhTLhJ2eAA/edit?usp=sharing"",""กาฬสินธุ์!J660"")"),0)</f>
        <v>0</v>
      </c>
      <c r="AL32" s="177">
        <f ca="1">IFERROR(__xludf.DUMMYFUNCTION("IMPORTRANGE(""https://docs.google.com/spreadsheets/d/1yhBcrRPreicbMKl9Bu_Snb2-OcQAF62RKfhTLhJ2eAA/edit?usp=sharing"",""กาฬสินธุ์!I661"")"),0)</f>
        <v>0</v>
      </c>
      <c r="AM32" s="177">
        <f ca="1">IFERROR(__xludf.DUMMYFUNCTION("IMPORTRANGE(""https://docs.google.com/spreadsheets/d/1yhBcrRPreicbMKl9Bu_Snb2-OcQAF62RKfhTLhJ2eAA/edit?usp=sharing"",""กาฬสินธุ์!J661"")"),0)</f>
        <v>0</v>
      </c>
      <c r="AN32" s="354">
        <f t="shared" ca="1" si="56"/>
        <v>0</v>
      </c>
      <c r="AO32" s="177">
        <f ca="1">IFERROR(__xludf.DUMMYFUNCTION("IMPORTRANGE(""https://docs.google.com/spreadsheets/d/1yhBcrRPreicbMKl9Bu_Snb2-OcQAF62RKfhTLhJ2eAA/edit?usp=sharing"",""กาฬสินธุ์!J662"")"),0)</f>
        <v>0</v>
      </c>
      <c r="AP32" s="177">
        <f ca="1">IFERROR(__xludf.DUMMYFUNCTION("IMPORTRANGE(""https://docs.google.com/spreadsheets/d/1yhBcrRPreicbMKl9Bu_Snb2-OcQAF62RKfhTLhJ2eAA/edit?usp=sharing"",""กาฬสินธุ์!J663"")"),0)</f>
        <v>0</v>
      </c>
      <c r="AQ32" s="177">
        <f ca="1">IFERROR(__xludf.DUMMYFUNCTION("IMPORTRANGE(""https://docs.google.com/spreadsheets/d/1yhBcrRPreicbMKl9Bu_Snb2-OcQAF62RKfhTLhJ2eAA/edit?usp=sharing"",""กาฬสินธุ์!J665"")"),0)</f>
        <v>0</v>
      </c>
      <c r="AR32" s="177">
        <f ca="1">IFERROR(__xludf.DUMMYFUNCTION("IMPORTRANGE(""https://docs.google.com/spreadsheets/d/1yhBcrRPreicbMKl9Bu_Snb2-OcQAF62RKfhTLhJ2eAA/edit?usp=sharing"",""กาฬสินธุ์!J666"")"),0)</f>
        <v>0</v>
      </c>
      <c r="AS32" s="177">
        <f ca="1">IFERROR(__xludf.DUMMYFUNCTION("IMPORTRANGE(""https://docs.google.com/spreadsheets/d/1yhBcrRPreicbMKl9Bu_Snb2-OcQAF62RKfhTLhJ2eAA/edit?usp=sharing"",""กาฬสินธุ์!J667"")"),0)</f>
        <v>0</v>
      </c>
      <c r="AT32" s="177">
        <f ca="1">IFERROR(__xludf.DUMMYFUNCTION("IMPORTRANGE(""https://docs.google.com/spreadsheets/d/1yhBcrRPreicbMKl9Bu_Snb2-OcQAF62RKfhTLhJ2eAA/edit?usp=sharing"",""กาฬสินธุ์!J668"")"),0)</f>
        <v>0</v>
      </c>
      <c r="AU32" s="177">
        <f ca="1">IFERROR(__xludf.DUMMYFUNCTION("IMPORTRANGE(""https://docs.google.com/spreadsheets/d/1yhBcrRPreicbMKl9Bu_Snb2-OcQAF62RKfhTLhJ2eAA/edit?usp=sharing"",""กาฬสินธุ์!J669"")"),0)</f>
        <v>0</v>
      </c>
      <c r="AV32" s="177">
        <f ca="1">IFERROR(__xludf.DUMMYFUNCTION("IMPORTRANGE(""https://docs.google.com/spreadsheets/d/1yhBcrRPreicbMKl9Bu_Snb2-OcQAF62RKfhTLhJ2eAA/edit?usp=sharing"",""กาฬสินธุ์!J670"")"),0)</f>
        <v>0</v>
      </c>
      <c r="AW32" s="177">
        <v>0</v>
      </c>
      <c r="AX32" s="177">
        <f ca="1">IFERROR(__xludf.DUMMYFUNCTION("IMPORTRANGE(""https://docs.google.com/spreadsheets/d/1yhBcrRPreicbMKl9Bu_Snb2-OcQAF62RKfhTLhJ2eAA/edit?usp=sharing"",""กาฬสินธุ์!J671"")"),0)</f>
        <v>0</v>
      </c>
      <c r="AY32" s="177">
        <f ca="1">IFERROR(__xludf.DUMMYFUNCTION("IMPORTRANGE(""https://docs.google.com/spreadsheets/d/1yhBcrRPreicbMKl9Bu_Snb2-OcQAF62RKfhTLhJ2eAA/edit?usp=sharing"",""กาฬสินธุ์!J672"")"),0)</f>
        <v>0</v>
      </c>
      <c r="AZ32" s="177">
        <f ca="1">IFERROR(__xludf.DUMMYFUNCTION("IMPORTRANGE(""https://docs.google.com/spreadsheets/d/1yhBcrRPreicbMKl9Bu_Snb2-OcQAF62RKfhTLhJ2eAA/edit?usp=sharing"",""กาฬสินธุ์!J673"")"),0)</f>
        <v>0</v>
      </c>
      <c r="BA32" s="354">
        <f t="shared" si="58"/>
        <v>0</v>
      </c>
      <c r="BB32" s="177">
        <f ca="1">IFERROR(__xludf.DUMMYFUNCTION("IMPORTRANGE(""https://docs.google.com/spreadsheets/d/1yhBcrRPreicbMKl9Bu_Snb2-OcQAF62RKfhTLhJ2eAA/edit?usp=sharing"",""กาฬสินธุ์!I674"")"),3)</f>
        <v>3</v>
      </c>
      <c r="BC32" s="177">
        <f ca="1">IFERROR(__xludf.DUMMYFUNCTION("IMPORTRANGE(""https://docs.google.com/spreadsheets/d/1yhBcrRPreicbMKl9Bu_Snb2-OcQAF62RKfhTLhJ2eAA/edit?usp=sharing"",""กาฬสินธุ์!I675"")"),6)</f>
        <v>6</v>
      </c>
      <c r="BD32" s="177">
        <f ca="1">IFERROR(__xludf.DUMMYFUNCTION("IMPORTRANGE(""https://docs.google.com/spreadsheets/d/1yhBcrRPreicbMKl9Bu_Snb2-OcQAF62RKfhTLhJ2eAA/edit?usp=sharing"",""กาฬสินธุ์!J674"")"),0)</f>
        <v>0</v>
      </c>
      <c r="BE32" s="354">
        <f t="shared" ca="1" si="60"/>
        <v>0</v>
      </c>
      <c r="BF32" s="177">
        <f ca="1">IFERROR(__xludf.DUMMYFUNCTION("IMPORTRANGE(""https://docs.google.com/spreadsheets/d/1yhBcrRPreicbMKl9Bu_Snb2-OcQAF62RKfhTLhJ2eAA/edit?usp=sharing"",""กาฬสินธุ์!J675"")"),0)</f>
        <v>0</v>
      </c>
      <c r="BG32" s="354">
        <f t="shared" ca="1" si="61"/>
        <v>0</v>
      </c>
      <c r="BH32" s="177">
        <f ca="1">IFERROR(__xludf.DUMMYFUNCTION("IMPORTRANGE(""https://docs.google.com/spreadsheets/d/1yhBcrRPreicbMKl9Bu_Snb2-OcQAF62RKfhTLhJ2eAA/edit?usp=sharing"",""กาฬสินธุ์!I676"")"),3)</f>
        <v>3</v>
      </c>
      <c r="BI32" s="177">
        <f ca="1">IFERROR(__xludf.DUMMYFUNCTION("IMPORTRANGE(""https://docs.google.com/spreadsheets/d/1yhBcrRPreicbMKl9Bu_Snb2-OcQAF62RKfhTLhJ2eAA/edit?usp=sharing"",""กาฬสินธุ์!I678"")"),6)</f>
        <v>6</v>
      </c>
      <c r="BJ32" s="177">
        <f ca="1">IFERROR(__xludf.DUMMYFUNCTION("IMPORTRANGE(""https://docs.google.com/spreadsheets/d/1yhBcrRPreicbMKl9Bu_Snb2-OcQAF62RKfhTLhJ2eAA/edit?usp=sharing"",""กาฬสินธุ์!J676"")"),0)</f>
        <v>0</v>
      </c>
      <c r="BK32" s="177">
        <f ca="1">IFERROR(__xludf.DUMMYFUNCTION("IMPORTRANGE(""https://docs.google.com/spreadsheets/d/1yhBcrRPreicbMKl9Bu_Snb2-OcQAF62RKfhTLhJ2eAA/edit?usp=sharing"",""กาฬสินธุ์!J677"")"),0)</f>
        <v>0</v>
      </c>
      <c r="BL32" s="177">
        <f ca="1">IFERROR(__xludf.DUMMYFUNCTION("IMPORTRANGE(""https://docs.google.com/spreadsheets/d/1yhBcrRPreicbMKl9Bu_Snb2-OcQAF62RKfhTLhJ2eAA/edit?usp=sharing"",""กาฬสินธุ์!J678"")"),0)</f>
        <v>0</v>
      </c>
      <c r="BM32" s="177">
        <f ca="1">IFERROR(__xludf.DUMMYFUNCTION("IMPORTRANGE(""https://docs.google.com/spreadsheets/d/1yhBcrRPreicbMKl9Bu_Snb2-OcQAF62RKfhTLhJ2eAA/edit?usp=sharing"",""กาฬสินธุ์!I679"")"),0)</f>
        <v>0</v>
      </c>
      <c r="BN32" s="177">
        <f ca="1">IFERROR(__xludf.DUMMYFUNCTION("IMPORTRANGE(""https://docs.google.com/spreadsheets/d/1yhBcrRPreicbMKl9Bu_Snb2-OcQAF62RKfhTLhJ2eAA/edit?usp=sharing"",""กาฬสินธุ์!I681"")"),0)</f>
        <v>0</v>
      </c>
      <c r="BO32" s="177">
        <f ca="1">IFERROR(__xludf.DUMMYFUNCTION("IMPORTRANGE(""https://docs.google.com/spreadsheets/d/1yhBcrRPreicbMKl9Bu_Snb2-OcQAF62RKfhTLhJ2eAA/edit?usp=sharing"",""กาฬสินธุ์!J679"")"),0)</f>
        <v>0</v>
      </c>
      <c r="BP32" s="177">
        <f ca="1">IFERROR(__xludf.DUMMYFUNCTION("IMPORTRANGE(""https://docs.google.com/spreadsheets/d/1yhBcrRPreicbMKl9Bu_Snb2-OcQAF62RKfhTLhJ2eAA/edit?usp=sharing"",""กาฬสินธุ์!J680"")"),0)</f>
        <v>0</v>
      </c>
      <c r="BQ32" s="177">
        <f ca="1">IFERROR(__xludf.DUMMYFUNCTION("IMPORTRANGE(""https://docs.google.com/spreadsheets/d/1yhBcrRPreicbMKl9Bu_Snb2-OcQAF62RKfhTLhJ2eAA/edit?usp=sharing"",""กาฬสินธุ์!J681"")"),0)</f>
        <v>0</v>
      </c>
      <c r="BR32" s="177">
        <f ca="1">IFERROR(__xludf.DUMMYFUNCTION("IMPORTRANGE(""https://docs.google.com/spreadsheets/d/1yhBcrRPreicbMKl9Bu_Snb2-OcQAF62RKfhTLhJ2eAA/edit?usp=sharing"",""กาฬสินธุ์!I682"")"),0)</f>
        <v>0</v>
      </c>
      <c r="BS32" s="177">
        <f ca="1">IFERROR(__xludf.DUMMYFUNCTION("IMPORTRANGE(""https://docs.google.com/spreadsheets/d/1yhBcrRPreicbMKl9Bu_Snb2-OcQAF62RKfhTLhJ2eAA/edit?usp=sharing"",""กาฬสินธุ์!J682"")"),0)</f>
        <v>0</v>
      </c>
      <c r="BT32" s="354">
        <f t="shared" ca="1" si="63"/>
        <v>0</v>
      </c>
      <c r="BU32" s="177">
        <f ca="1">IFERROR(__xludf.DUMMYFUNCTION("IMPORTRANGE(""https://docs.google.com/spreadsheets/d/1yhBcrRPreicbMKl9Bu_Snb2-OcQAF62RKfhTLhJ2eAA/edit?usp=sharing"",""กาฬสินธุ์!J683"")"),0)</f>
        <v>0</v>
      </c>
      <c r="BV32" s="177">
        <f ca="1">IFERROR(__xludf.DUMMYFUNCTION("IMPORTRANGE(""https://docs.google.com/spreadsheets/d/1yhBcrRPreicbMKl9Bu_Snb2-OcQAF62RKfhTLhJ2eAA/edit?usp=sharing"",""กาฬสินธุ์!J684"")"),0)</f>
        <v>0</v>
      </c>
      <c r="BW32" s="177">
        <f ca="1">IFERROR(__xludf.DUMMYFUNCTION("IMPORTRANGE(""https://docs.google.com/spreadsheets/d/1yhBcrRPreicbMKl9Bu_Snb2-OcQAF62RKfhTLhJ2eAA/edit?usp=sharing"",""กาฬสินธุ์!J685"")"),0)</f>
        <v>0</v>
      </c>
      <c r="BX32" s="177">
        <f ca="1">IFERROR(__xludf.DUMMYFUNCTION("IMPORTRANGE(""https://docs.google.com/spreadsheets/d/1yhBcrRPreicbMKl9Bu_Snb2-OcQAF62RKfhTLhJ2eAA/edit?usp=sharing"",""กาฬสินธุ์!J686"")"),0)</f>
        <v>0</v>
      </c>
      <c r="BY32" s="177">
        <f ca="1">IFERROR(__xludf.DUMMYFUNCTION("IMPORTRANGE(""https://docs.google.com/spreadsheets/d/1yhBcrRPreicbMKl9Bu_Snb2-OcQAF62RKfhTLhJ2eAA/edit?usp=sharing"",""กาฬสินธุ์!J687"")"),0)</f>
        <v>0</v>
      </c>
      <c r="BZ32" s="177">
        <f ca="1">IFERROR(__xludf.DUMMYFUNCTION("IMPORTRANGE(""https://docs.google.com/spreadsheets/d/1yhBcrRPreicbMKl9Bu_Snb2-OcQAF62RKfhTLhJ2eAA/edit?usp=sharing"",""กาฬสินธุ์!J688"")"),0)</f>
        <v>0</v>
      </c>
    </row>
    <row r="33" spans="1:78" ht="21.75" customHeight="1" x14ac:dyDescent="0.3">
      <c r="A33" s="89">
        <v>2</v>
      </c>
      <c r="B33" s="90" t="s">
        <v>59</v>
      </c>
      <c r="C33" s="174">
        <f t="shared" si="38"/>
        <v>0</v>
      </c>
      <c r="D33" s="175">
        <f t="shared" si="76"/>
        <v>0</v>
      </c>
      <c r="E33" s="403">
        <v>0</v>
      </c>
      <c r="F33" s="403">
        <v>0</v>
      </c>
      <c r="G33" s="403">
        <v>0</v>
      </c>
      <c r="H33" s="403">
        <v>0</v>
      </c>
      <c r="I33" s="403">
        <v>0</v>
      </c>
      <c r="J33" s="176">
        <f t="shared" si="40"/>
        <v>0</v>
      </c>
      <c r="K33" s="179">
        <f t="shared" si="41"/>
        <v>0</v>
      </c>
      <c r="L33" s="403">
        <v>0</v>
      </c>
      <c r="M33" s="87">
        <f t="shared" si="42"/>
        <v>0</v>
      </c>
      <c r="N33" s="87">
        <f t="shared" si="43"/>
        <v>0</v>
      </c>
      <c r="O33" s="403">
        <v>0</v>
      </c>
      <c r="P33" s="86">
        <f t="shared" si="44"/>
        <v>0</v>
      </c>
      <c r="Q33" s="87">
        <f t="shared" si="45"/>
        <v>0</v>
      </c>
      <c r="R33" s="87">
        <f ca="1">IFERROR(__xludf.DUMMYFUNCTION("IMPORTRANGE(""https://docs.google.com/spreadsheets/d/1aHkj4IaQMThhwWwevcOymEh837vdxeC_PycurhTbGFA/edit?usp=sharing"",""ขอนแก่น!Q642"")"),13940)</f>
        <v>13940</v>
      </c>
      <c r="S33" s="87">
        <f ca="1">IFERROR(__xludf.DUMMYFUNCTION("IMPORTRANGE(""https://docs.google.com/spreadsheets/d/1aHkj4IaQMThhwWwevcOymEh837vdxeC_PycurhTbGFA/edit?usp=sharing"",""ขอนแก่น!R642"")"),0)</f>
        <v>0</v>
      </c>
      <c r="T33" s="87">
        <f ca="1">IFERROR(__xludf.DUMMYFUNCTION("IMPORTRANGE(""https://docs.google.com/spreadsheets/d/1aHkj4IaQMThhwWwevcOymEh837vdxeC_PycurhTbGFA/edit?usp=sharing"",""ขอนแก่น!S642"")"),0)</f>
        <v>0</v>
      </c>
      <c r="U33" s="87">
        <f t="shared" ca="1" si="47"/>
        <v>0</v>
      </c>
      <c r="V33" s="87">
        <f t="shared" ca="1" si="48"/>
        <v>0</v>
      </c>
      <c r="W33" s="353">
        <f ca="1">IFERROR(__xludf.DUMMYFUNCTION("IMPORTRANGE(""https://docs.google.com/spreadsheets/d/1aHkj4IaQMThhwWwevcOymEh837vdxeC_PycurhTbGFA/edit?usp=sharing"",""ขอนแก่น!I652"")"),0)</f>
        <v>0</v>
      </c>
      <c r="X33" s="177">
        <f ca="1">IFERROR(__xludf.DUMMYFUNCTION("IMPORTRANGE(""https://docs.google.com/spreadsheets/d/1aHkj4IaQMThhwWwevcOymEh837vdxeC_PycurhTbGFA/edit?usp=sharing"",""ขอนแก่น!J652"")"),0)</f>
        <v>0</v>
      </c>
      <c r="Y33" s="354">
        <f t="shared" ca="1" si="50"/>
        <v>0</v>
      </c>
      <c r="Z33" s="177">
        <f ca="1">IFERROR(__xludf.DUMMYFUNCTION("IMPORTRANGE(""https://docs.google.com/spreadsheets/d/1aHkj4IaQMThhwWwevcOymEh837vdxeC_PycurhTbGFA/edit?usp=sharing"",""ขอนแก่น!I653"")"),0)</f>
        <v>0</v>
      </c>
      <c r="AA33" s="177">
        <f ca="1">IFERROR(__xludf.DUMMYFUNCTION("IMPORTRANGE(""https://docs.google.com/spreadsheets/d/1aHkj4IaQMThhwWwevcOymEh837vdxeC_PycurhTbGFA/edit?usp=sharing"",""ขอนแก่น!J653"")"),0)</f>
        <v>0</v>
      </c>
      <c r="AB33" s="354">
        <f t="shared" ca="1" si="52"/>
        <v>0</v>
      </c>
      <c r="AC33" s="177">
        <f ca="1">IFERROR(__xludf.DUMMYFUNCTION("IMPORTRANGE(""https://docs.google.com/spreadsheets/d/1aHkj4IaQMThhwWwevcOymEh837vdxeC_PycurhTbGFA/edit?usp=sharing"",""ขอนแก่น!I654"")"),68)</f>
        <v>68</v>
      </c>
      <c r="AD33" s="177">
        <f ca="1">IFERROR(__xludf.DUMMYFUNCTION("IMPORTRANGE(""https://docs.google.com/spreadsheets/d/1aHkj4IaQMThhwWwevcOymEh837vdxeC_PycurhTbGFA/edit?usp=sharing"",""ขอนแก่น!J654"")"),0)</f>
        <v>0</v>
      </c>
      <c r="AE33" s="354">
        <f t="shared" ca="1" si="54"/>
        <v>0</v>
      </c>
      <c r="AF33" s="354">
        <f ca="1">IFERROR(__xludf.DUMMYFUNCTION("IMPORTRANGE(""https://docs.google.com/spreadsheets/d/1aHkj4IaQMThhwWwevcOymEh837vdxeC_PycurhTbGFA/edit?usp=sharing"",""ขอนแก่น!J655"")"),0)</f>
        <v>0</v>
      </c>
      <c r="AG33" s="354">
        <f ca="1">IFERROR(__xludf.DUMMYFUNCTION("IMPORTRANGE(""https://docs.google.com/spreadsheets/d/1aHkj4IaQMThhwWwevcOymEh837vdxeC_PycurhTbGFA/edit?usp=sharing"",""ขอนแก่น!J656"")"),0)</f>
        <v>0</v>
      </c>
      <c r="AH33" s="354">
        <f ca="1">IFERROR(__xludf.DUMMYFUNCTION("IMPORTRANGE(""https://docs.google.com/spreadsheets/d/1aHkj4IaQMThhwWwevcOymEh837vdxeC_PycurhTbGFA/edit?usp=sharing"",""ขอนแก่น!J657"")"),0)</f>
        <v>0</v>
      </c>
      <c r="AI33" s="354">
        <f ca="1">IFERROR(__xludf.DUMMYFUNCTION("IMPORTRANGE(""https://docs.google.com/spreadsheets/d/1aHkj4IaQMThhwWwevcOymEh837vdxeC_PycurhTbGFA/edit?usp=sharing"",""ขอนแก่น!J658"")"),0)</f>
        <v>0</v>
      </c>
      <c r="AJ33" s="354">
        <f ca="1">IFERROR(__xludf.DUMMYFUNCTION("IMPORTRANGE(""https://docs.google.com/spreadsheets/d/1aHkj4IaQMThhwWwevcOymEh837vdxeC_PycurhTbGFA/edit?usp=sharing"",""ขอนแก่น!J659"")"),0)</f>
        <v>0</v>
      </c>
      <c r="AK33" s="354">
        <f ca="1">IFERROR(__xludf.DUMMYFUNCTION("IMPORTRANGE(""https://docs.google.com/spreadsheets/d/1aHkj4IaQMThhwWwevcOymEh837vdxeC_PycurhTbGFA/edit?usp=sharing"",""ขอนแก่น!J660"")"),0)</f>
        <v>0</v>
      </c>
      <c r="AL33" s="177">
        <f ca="1">IFERROR(__xludf.DUMMYFUNCTION("IMPORTRANGE(""https://docs.google.com/spreadsheets/d/1aHkj4IaQMThhwWwevcOymEh837vdxeC_PycurhTbGFA/edit?usp=sharing"",""ขอนแก่น!I661"")"),0)</f>
        <v>0</v>
      </c>
      <c r="AM33" s="177">
        <f ca="1">IFERROR(__xludf.DUMMYFUNCTION("IMPORTRANGE(""https://docs.google.com/spreadsheets/d/1aHkj4IaQMThhwWwevcOymEh837vdxeC_PycurhTbGFA/edit?usp=sharing"",""ขอนแก่น!J661"")"),0)</f>
        <v>0</v>
      </c>
      <c r="AN33" s="354">
        <f t="shared" ca="1" si="56"/>
        <v>0</v>
      </c>
      <c r="AO33" s="177">
        <f ca="1">IFERROR(__xludf.DUMMYFUNCTION("IMPORTRANGE(""https://docs.google.com/spreadsheets/d/1aHkj4IaQMThhwWwevcOymEh837vdxeC_PycurhTbGFA/edit?usp=sharing"",""ขอนแก่น!J662"")"),0)</f>
        <v>0</v>
      </c>
      <c r="AP33" s="177">
        <f ca="1">IFERROR(__xludf.DUMMYFUNCTION("IMPORTRANGE(""https://docs.google.com/spreadsheets/d/1aHkj4IaQMThhwWwevcOymEh837vdxeC_PycurhTbGFA/edit?usp=sharing"",""ขอนแก่น!J663"")"),0)</f>
        <v>0</v>
      </c>
      <c r="AQ33" s="177">
        <f ca="1">IFERROR(__xludf.DUMMYFUNCTION("IMPORTRANGE(""https://docs.google.com/spreadsheets/d/1aHkj4IaQMThhwWwevcOymEh837vdxeC_PycurhTbGFA/edit?usp=sharing"",""ขอนแก่น!J665"")"),0)</f>
        <v>0</v>
      </c>
      <c r="AR33" s="177">
        <f ca="1">IFERROR(__xludf.DUMMYFUNCTION("IMPORTRANGE(""https://docs.google.com/spreadsheets/d/1aHkj4IaQMThhwWwevcOymEh837vdxeC_PycurhTbGFA/edit?usp=sharing"",""ขอนแก่น!J666"")"),0)</f>
        <v>0</v>
      </c>
      <c r="AS33" s="177">
        <f ca="1">IFERROR(__xludf.DUMMYFUNCTION("IMPORTRANGE(""https://docs.google.com/spreadsheets/d/1aHkj4IaQMThhwWwevcOymEh837vdxeC_PycurhTbGFA/edit?usp=sharing"",""ขอนแก่น!J667"")"),0)</f>
        <v>0</v>
      </c>
      <c r="AT33" s="177">
        <f ca="1">IFERROR(__xludf.DUMMYFUNCTION("IMPORTRANGE(""https://docs.google.com/spreadsheets/d/1aHkj4IaQMThhwWwevcOymEh837vdxeC_PycurhTbGFA/edit?usp=sharing"",""ขอนแก่น!J668"")"),0)</f>
        <v>0</v>
      </c>
      <c r="AU33" s="177">
        <f ca="1">IFERROR(__xludf.DUMMYFUNCTION("IMPORTRANGE(""https://docs.google.com/spreadsheets/d/1aHkj4IaQMThhwWwevcOymEh837vdxeC_PycurhTbGFA/edit?usp=sharing"",""ขอนแก่น!J669"")"),0)</f>
        <v>0</v>
      </c>
      <c r="AV33" s="177">
        <f ca="1">IFERROR(__xludf.DUMMYFUNCTION("IMPORTRANGE(""https://docs.google.com/spreadsheets/d/1aHkj4IaQMThhwWwevcOymEh837vdxeC_PycurhTbGFA/edit?usp=sharing"",""ขอนแก่น!J670"")"),0)</f>
        <v>0</v>
      </c>
      <c r="AW33" s="177">
        <v>0</v>
      </c>
      <c r="AX33" s="177">
        <f ca="1">IFERROR(__xludf.DUMMYFUNCTION("IMPORTRANGE(""https://docs.google.com/spreadsheets/d/1aHkj4IaQMThhwWwevcOymEh837vdxeC_PycurhTbGFA/edit?usp=sharing"",""ขอนแก่น!J671"")"),0)</f>
        <v>0</v>
      </c>
      <c r="AY33" s="177">
        <f ca="1">IFERROR(__xludf.DUMMYFUNCTION("IMPORTRANGE(""https://docs.google.com/spreadsheets/d/1aHkj4IaQMThhwWwevcOymEh837vdxeC_PycurhTbGFA/edit?usp=sharing"",""ขอนแก่น!J672"")"),0)</f>
        <v>0</v>
      </c>
      <c r="AZ33" s="177">
        <f ca="1">IFERROR(__xludf.DUMMYFUNCTION("IMPORTRANGE(""https://docs.google.com/spreadsheets/d/1aHkj4IaQMThhwWwevcOymEh837vdxeC_PycurhTbGFA/edit?usp=sharing"",""ขอนแก่น!J673"")"),0)</f>
        <v>0</v>
      </c>
      <c r="BA33" s="354">
        <f t="shared" si="58"/>
        <v>0</v>
      </c>
      <c r="BB33" s="177">
        <f ca="1">IFERROR(__xludf.DUMMYFUNCTION("IMPORTRANGE(""https://docs.google.com/spreadsheets/d/1aHkj4IaQMThhwWwevcOymEh837vdxeC_PycurhTbGFA/edit?usp=sharing"",""ขอนแก่น!I674"")"),0)</f>
        <v>0</v>
      </c>
      <c r="BC33" s="177">
        <f ca="1">IFERROR(__xludf.DUMMYFUNCTION("IMPORTRANGE(""https://docs.google.com/spreadsheets/d/1aHkj4IaQMThhwWwevcOymEh837vdxeC_PycurhTbGFA/edit?usp=sharing"",""ขอนแก่น!I675"")"),0)</f>
        <v>0</v>
      </c>
      <c r="BD33" s="177">
        <f ca="1">IFERROR(__xludf.DUMMYFUNCTION("IMPORTRANGE(""https://docs.google.com/spreadsheets/d/1aHkj4IaQMThhwWwevcOymEh837vdxeC_PycurhTbGFA/edit?usp=sharing"",""ขอนแก่น!J674"")"),0)</f>
        <v>0</v>
      </c>
      <c r="BE33" s="354">
        <f t="shared" ca="1" si="60"/>
        <v>0</v>
      </c>
      <c r="BF33" s="177">
        <f ca="1">IFERROR(__xludf.DUMMYFUNCTION("IMPORTRANGE(""https://docs.google.com/spreadsheets/d/1aHkj4IaQMThhwWwevcOymEh837vdxeC_PycurhTbGFA/edit?usp=sharing"",""ขอนแก่น!J675"")"),0)</f>
        <v>0</v>
      </c>
      <c r="BG33" s="354">
        <f t="shared" ca="1" si="61"/>
        <v>0</v>
      </c>
      <c r="BH33" s="177">
        <f ca="1">IFERROR(__xludf.DUMMYFUNCTION("IMPORTRANGE(""https://docs.google.com/spreadsheets/d/1aHkj4IaQMThhwWwevcOymEh837vdxeC_PycurhTbGFA/edit?usp=sharing"",""ขอนแก่น!I676"")"),0)</f>
        <v>0</v>
      </c>
      <c r="BI33" s="177">
        <f ca="1">IFERROR(__xludf.DUMMYFUNCTION("IMPORTRANGE(""https://docs.google.com/spreadsheets/d/1aHkj4IaQMThhwWwevcOymEh837vdxeC_PycurhTbGFA/edit?usp=sharing"",""ขอนแก่น!I678"")"),0)</f>
        <v>0</v>
      </c>
      <c r="BJ33" s="177">
        <f ca="1">IFERROR(__xludf.DUMMYFUNCTION("IMPORTRANGE(""https://docs.google.com/spreadsheets/d/1aHkj4IaQMThhwWwevcOymEh837vdxeC_PycurhTbGFA/edit?usp=sharing"",""ขอนแก่น!J676"")"),0)</f>
        <v>0</v>
      </c>
      <c r="BK33" s="177">
        <f ca="1">IFERROR(__xludf.DUMMYFUNCTION("IMPORTRANGE(""https://docs.google.com/spreadsheets/d/1aHkj4IaQMThhwWwevcOymEh837vdxeC_PycurhTbGFA/edit?usp=sharing"",""ขอนแก่น!J677"")"),0)</f>
        <v>0</v>
      </c>
      <c r="BL33" s="177">
        <f ca="1">IFERROR(__xludf.DUMMYFUNCTION("IMPORTRANGE(""https://docs.google.com/spreadsheets/d/1aHkj4IaQMThhwWwevcOymEh837vdxeC_PycurhTbGFA/edit?usp=sharing"",""ขอนแก่น!J678"")"),0)</f>
        <v>0</v>
      </c>
      <c r="BM33" s="177">
        <f ca="1">IFERROR(__xludf.DUMMYFUNCTION("IMPORTRANGE(""https://docs.google.com/spreadsheets/d/1aHkj4IaQMThhwWwevcOymEh837vdxeC_PycurhTbGFA/edit?usp=sharing"",""ขอนแก่น!I679"")"),0)</f>
        <v>0</v>
      </c>
      <c r="BN33" s="177">
        <f ca="1">IFERROR(__xludf.DUMMYFUNCTION("IMPORTRANGE(""https://docs.google.com/spreadsheets/d/1aHkj4IaQMThhwWwevcOymEh837vdxeC_PycurhTbGFA/edit?usp=sharing"",""ขอนแก่น!I681"")"),0)</f>
        <v>0</v>
      </c>
      <c r="BO33" s="177">
        <f ca="1">IFERROR(__xludf.DUMMYFUNCTION("IMPORTRANGE(""https://docs.google.com/spreadsheets/d/1aHkj4IaQMThhwWwevcOymEh837vdxeC_PycurhTbGFA/edit?usp=sharing"",""ขอนแก่น!J679"")"),0)</f>
        <v>0</v>
      </c>
      <c r="BP33" s="177">
        <f ca="1">IFERROR(__xludf.DUMMYFUNCTION("IMPORTRANGE(""https://docs.google.com/spreadsheets/d/1aHkj4IaQMThhwWwevcOymEh837vdxeC_PycurhTbGFA/edit?usp=sharing"",""ขอนแก่น!J680"")"),0)</f>
        <v>0</v>
      </c>
      <c r="BQ33" s="177">
        <f ca="1">IFERROR(__xludf.DUMMYFUNCTION("IMPORTRANGE(""https://docs.google.com/spreadsheets/d/1aHkj4IaQMThhwWwevcOymEh837vdxeC_PycurhTbGFA/edit?usp=sharing"",""ขอนแก่น!J681"")"),0)</f>
        <v>0</v>
      </c>
      <c r="BR33" s="177">
        <f ca="1">IFERROR(__xludf.DUMMYFUNCTION("IMPORTRANGE(""https://docs.google.com/spreadsheets/d/1aHkj4IaQMThhwWwevcOymEh837vdxeC_PycurhTbGFA/edit?usp=sharing"",""ขอนแก่น!I682"")"),0)</f>
        <v>0</v>
      </c>
      <c r="BS33" s="177">
        <f ca="1">IFERROR(__xludf.DUMMYFUNCTION("IMPORTRANGE(""https://docs.google.com/spreadsheets/d/1aHkj4IaQMThhwWwevcOymEh837vdxeC_PycurhTbGFA/edit?usp=sharing"",""ขอนแก่น!J682"")"),0)</f>
        <v>0</v>
      </c>
      <c r="BT33" s="354">
        <f t="shared" ca="1" si="63"/>
        <v>0</v>
      </c>
      <c r="BU33" s="177">
        <f ca="1">IFERROR(__xludf.DUMMYFUNCTION("IMPORTRANGE(""https://docs.google.com/spreadsheets/d/1aHkj4IaQMThhwWwevcOymEh837vdxeC_PycurhTbGFA/edit?usp=sharing"",""ขอนแก่น!J683"")"),0)</f>
        <v>0</v>
      </c>
      <c r="BV33" s="177">
        <f ca="1">IFERROR(__xludf.DUMMYFUNCTION("IMPORTRANGE(""https://docs.google.com/spreadsheets/d/1aHkj4IaQMThhwWwevcOymEh837vdxeC_PycurhTbGFA/edit?usp=sharing"",""ขอนแก่น!J684"")"),0)</f>
        <v>0</v>
      </c>
      <c r="BW33" s="177">
        <f ca="1">IFERROR(__xludf.DUMMYFUNCTION("IMPORTRANGE(""https://docs.google.com/spreadsheets/d/1aHkj4IaQMThhwWwevcOymEh837vdxeC_PycurhTbGFA/edit?usp=sharing"",""ขอนแก่น!J685"")"),0)</f>
        <v>0</v>
      </c>
      <c r="BX33" s="177">
        <f ca="1">IFERROR(__xludf.DUMMYFUNCTION("IMPORTRANGE(""https://docs.google.com/spreadsheets/d/1aHkj4IaQMThhwWwevcOymEh837vdxeC_PycurhTbGFA/edit?usp=sharing"",""ขอนแก่น!J686"")"),0)</f>
        <v>0</v>
      </c>
      <c r="BY33" s="177">
        <f ca="1">IFERROR(__xludf.DUMMYFUNCTION("IMPORTRANGE(""https://docs.google.com/spreadsheets/d/1aHkj4IaQMThhwWwevcOymEh837vdxeC_PycurhTbGFA/edit?usp=sharing"",""ขอนแก่น!J687"")"),0)</f>
        <v>0</v>
      </c>
      <c r="BZ33" s="177">
        <f ca="1">IFERROR(__xludf.DUMMYFUNCTION("IMPORTRANGE(""https://docs.google.com/spreadsheets/d/1aHkj4IaQMThhwWwevcOymEh837vdxeC_PycurhTbGFA/edit?usp=sharing"",""ขอนแก่น!J688"")"),0)</f>
        <v>0</v>
      </c>
    </row>
    <row r="34" spans="1:78" ht="21.75" customHeight="1" x14ac:dyDescent="0.3">
      <c r="A34" s="89">
        <v>3</v>
      </c>
      <c r="B34" s="90" t="s">
        <v>60</v>
      </c>
      <c r="C34" s="174">
        <f t="shared" si="38"/>
        <v>0</v>
      </c>
      <c r="D34" s="175">
        <f t="shared" si="76"/>
        <v>0</v>
      </c>
      <c r="E34" s="403">
        <v>0</v>
      </c>
      <c r="F34" s="403">
        <v>0</v>
      </c>
      <c r="G34" s="403">
        <v>0</v>
      </c>
      <c r="H34" s="403">
        <v>0</v>
      </c>
      <c r="I34" s="403">
        <v>0</v>
      </c>
      <c r="J34" s="176">
        <f t="shared" si="40"/>
        <v>0</v>
      </c>
      <c r="K34" s="179">
        <f t="shared" si="41"/>
        <v>0</v>
      </c>
      <c r="L34" s="403">
        <v>0</v>
      </c>
      <c r="M34" s="87">
        <f t="shared" si="42"/>
        <v>0</v>
      </c>
      <c r="N34" s="87">
        <f t="shared" si="43"/>
        <v>0</v>
      </c>
      <c r="O34" s="403">
        <v>0</v>
      </c>
      <c r="P34" s="86">
        <f t="shared" si="44"/>
        <v>0</v>
      </c>
      <c r="Q34" s="87">
        <f t="shared" si="45"/>
        <v>0</v>
      </c>
      <c r="R34" s="87">
        <f ca="1">IFERROR(__xludf.DUMMYFUNCTION("IMPORTRANGE(""https://docs.google.com/spreadsheets/d/1FvTu2DsIWUjP6WCWra38Bkj_oOl_sOMf14r5Fg5srxU/edit?usp=sharing"",""ชัยภูมิ!Q642"")"),4520)</f>
        <v>4520</v>
      </c>
      <c r="S34" s="87">
        <f ca="1">IFERROR(__xludf.DUMMYFUNCTION("IMPORTRANGE(""https://docs.google.com/spreadsheets/d/1FvTu2DsIWUjP6WCWra38Bkj_oOl_sOMf14r5Fg5srxU/edit?usp=sharing"",""ชัยภูมิ!R642"")"),0)</f>
        <v>0</v>
      </c>
      <c r="T34" s="87">
        <f ca="1">IFERROR(__xludf.DUMMYFUNCTION("IMPORTRANGE(""https://docs.google.com/spreadsheets/d/1FvTu2DsIWUjP6WCWra38Bkj_oOl_sOMf14r5Fg5srxU/edit?usp=sharing"",""ชัยภูมิ!S642"")"),0)</f>
        <v>0</v>
      </c>
      <c r="U34" s="87">
        <f t="shared" ca="1" si="47"/>
        <v>0</v>
      </c>
      <c r="V34" s="87">
        <f t="shared" ca="1" si="48"/>
        <v>0</v>
      </c>
      <c r="W34" s="353">
        <f ca="1">IFERROR(__xludf.DUMMYFUNCTION("IMPORTRANGE(""https://docs.google.com/spreadsheets/d/1FvTu2DsIWUjP6WCWra38Bkj_oOl_sOMf14r5Fg5srxU/edit?usp=sharing"",""ชัยภูมิ!I652"")"),0)</f>
        <v>0</v>
      </c>
      <c r="X34" s="177">
        <f ca="1">IFERROR(__xludf.DUMMYFUNCTION("IMPORTRANGE(""https://docs.google.com/spreadsheets/d/1FvTu2DsIWUjP6WCWra38Bkj_oOl_sOMf14r5Fg5srxU/edit?usp=sharing"",""ชัยภูมิ!J652"")"),0)</f>
        <v>0</v>
      </c>
      <c r="Y34" s="354">
        <f t="shared" ca="1" si="50"/>
        <v>0</v>
      </c>
      <c r="Z34" s="177">
        <f ca="1">IFERROR(__xludf.DUMMYFUNCTION("IMPORTRANGE(""https://docs.google.com/spreadsheets/d/1FvTu2DsIWUjP6WCWra38Bkj_oOl_sOMf14r5Fg5srxU/edit?usp=sharing"",""ชัยภูมิ!I653"")"),0)</f>
        <v>0</v>
      </c>
      <c r="AA34" s="177">
        <f ca="1">IFERROR(__xludf.DUMMYFUNCTION("IMPORTRANGE(""https://docs.google.com/spreadsheets/d/1FvTu2DsIWUjP6WCWra38Bkj_oOl_sOMf14r5Fg5srxU/edit?usp=sharing"",""ชัยภูมิ!J653"")"),0)</f>
        <v>0</v>
      </c>
      <c r="AB34" s="354">
        <f t="shared" ca="1" si="52"/>
        <v>0</v>
      </c>
      <c r="AC34" s="177">
        <f ca="1">IFERROR(__xludf.DUMMYFUNCTION("IMPORTRANGE(""https://docs.google.com/spreadsheets/d/1FvTu2DsIWUjP6WCWra38Bkj_oOl_sOMf14r5Fg5srxU/edit?usp=sharing"",""ชัยภูมิ!I654"")"),30)</f>
        <v>30</v>
      </c>
      <c r="AD34" s="177">
        <f ca="1">IFERROR(__xludf.DUMMYFUNCTION("IMPORTRANGE(""https://docs.google.com/spreadsheets/d/1FvTu2DsIWUjP6WCWra38Bkj_oOl_sOMf14r5Fg5srxU/edit?usp=sharing"",""ชัยภูมิ!J654"")"),0)</f>
        <v>0</v>
      </c>
      <c r="AE34" s="354">
        <f t="shared" ca="1" si="54"/>
        <v>0</v>
      </c>
      <c r="AF34" s="354">
        <f ca="1">IFERROR(__xludf.DUMMYFUNCTION("IMPORTRANGE(""https://docs.google.com/spreadsheets/d/1FvTu2DsIWUjP6WCWra38Bkj_oOl_sOMf14r5Fg5srxU/edit?usp=sharing"",""ชัยภูมิ!J655"")"),0)</f>
        <v>0</v>
      </c>
      <c r="AG34" s="354">
        <f ca="1">IFERROR(__xludf.DUMMYFUNCTION("IMPORTRANGE(""https://docs.google.com/spreadsheets/d/1FvTu2DsIWUjP6WCWra38Bkj_oOl_sOMf14r5Fg5srxU/edit?usp=sharing"",""ชัยภูมิ!J656"")"),0)</f>
        <v>0</v>
      </c>
      <c r="AH34" s="354">
        <f ca="1">IFERROR(__xludf.DUMMYFUNCTION("IMPORTRANGE(""https://docs.google.com/spreadsheets/d/1FvTu2DsIWUjP6WCWra38Bkj_oOl_sOMf14r5Fg5srxU/edit?usp=sharing"",""ชัยภูมิ!J657"")"),0)</f>
        <v>0</v>
      </c>
      <c r="AI34" s="354">
        <f ca="1">IFERROR(__xludf.DUMMYFUNCTION("IMPORTRANGE(""https://docs.google.com/spreadsheets/d/1FvTu2DsIWUjP6WCWra38Bkj_oOl_sOMf14r5Fg5srxU/edit?usp=sharing"",""ชัยภูมิ!J658"")"),0)</f>
        <v>0</v>
      </c>
      <c r="AJ34" s="354">
        <f ca="1">IFERROR(__xludf.DUMMYFUNCTION("IMPORTRANGE(""https://docs.google.com/spreadsheets/d/1FvTu2DsIWUjP6WCWra38Bkj_oOl_sOMf14r5Fg5srxU/edit?usp=sharing"",""ชัยภูมิ!J659"")"),0)</f>
        <v>0</v>
      </c>
      <c r="AK34" s="354">
        <f ca="1">IFERROR(__xludf.DUMMYFUNCTION("IMPORTRANGE(""https://docs.google.com/spreadsheets/d/1FvTu2DsIWUjP6WCWra38Bkj_oOl_sOMf14r5Fg5srxU/edit?usp=sharing"",""ชัยภูมิ!J660"")"),0)</f>
        <v>0</v>
      </c>
      <c r="AL34" s="177">
        <f ca="1">IFERROR(__xludf.DUMMYFUNCTION("IMPORTRANGE(""https://docs.google.com/spreadsheets/d/1FvTu2DsIWUjP6WCWra38Bkj_oOl_sOMf14r5Fg5srxU/edit?usp=sharing"",""ชัยภูมิ!I661"")"),16)</f>
        <v>16</v>
      </c>
      <c r="AM34" s="177">
        <f ca="1">IFERROR(__xludf.DUMMYFUNCTION("IMPORTRANGE(""https://docs.google.com/spreadsheets/d/1FvTu2DsIWUjP6WCWra38Bkj_oOl_sOMf14r5Fg5srxU/edit?usp=sharing"",""ชัยภูมิ!J661"")"),0)</f>
        <v>0</v>
      </c>
      <c r="AN34" s="354">
        <f t="shared" ca="1" si="56"/>
        <v>0</v>
      </c>
      <c r="AO34" s="177">
        <f ca="1">IFERROR(__xludf.DUMMYFUNCTION("IMPORTRANGE(""https://docs.google.com/spreadsheets/d/1FvTu2DsIWUjP6WCWra38Bkj_oOl_sOMf14r5Fg5srxU/edit?usp=sharing"",""ชัยภูมิ!J662"")"),0)</f>
        <v>0</v>
      </c>
      <c r="AP34" s="177">
        <f ca="1">IFERROR(__xludf.DUMMYFUNCTION("IMPORTRANGE(""https://docs.google.com/spreadsheets/d/1FvTu2DsIWUjP6WCWra38Bkj_oOl_sOMf14r5Fg5srxU/edit?usp=sharing"",""ชัยภูมิ!J663"")"),0)</f>
        <v>0</v>
      </c>
      <c r="AQ34" s="177">
        <f ca="1">IFERROR(__xludf.DUMMYFUNCTION("IMPORTRANGE(""https://docs.google.com/spreadsheets/d/1FvTu2DsIWUjP6WCWra38Bkj_oOl_sOMf14r5Fg5srxU/edit?usp=sharing"",""ชัยภูมิ!J665"")"),0)</f>
        <v>0</v>
      </c>
      <c r="AR34" s="177">
        <f ca="1">IFERROR(__xludf.DUMMYFUNCTION("IMPORTRANGE(""https://docs.google.com/spreadsheets/d/1FvTu2DsIWUjP6WCWra38Bkj_oOl_sOMf14r5Fg5srxU/edit?usp=sharing"",""ชัยภูมิ!J666"")"),0)</f>
        <v>0</v>
      </c>
      <c r="AS34" s="177">
        <f ca="1">IFERROR(__xludf.DUMMYFUNCTION("IMPORTRANGE(""https://docs.google.com/spreadsheets/d/1FvTu2DsIWUjP6WCWra38Bkj_oOl_sOMf14r5Fg5srxU/edit?usp=sharing"",""ชัยภูมิ!J667"")"),0)</f>
        <v>0</v>
      </c>
      <c r="AT34" s="177">
        <f ca="1">IFERROR(__xludf.DUMMYFUNCTION("IMPORTRANGE(""https://docs.google.com/spreadsheets/d/1FvTu2DsIWUjP6WCWra38Bkj_oOl_sOMf14r5Fg5srxU/edit?usp=sharing"",""ชัยภูมิ!J668"")"),0)</f>
        <v>0</v>
      </c>
      <c r="AU34" s="177">
        <f ca="1">IFERROR(__xludf.DUMMYFUNCTION("IMPORTRANGE(""https://docs.google.com/spreadsheets/d/1FvTu2DsIWUjP6WCWra38Bkj_oOl_sOMf14r5Fg5srxU/edit?usp=sharing"",""ชัยภูมิ!J669"")"),0)</f>
        <v>0</v>
      </c>
      <c r="AV34" s="177">
        <f ca="1">IFERROR(__xludf.DUMMYFUNCTION("IMPORTRANGE(""https://docs.google.com/spreadsheets/d/1FvTu2DsIWUjP6WCWra38Bkj_oOl_sOMf14r5Fg5srxU/edit?usp=sharing"",""ชัยภูมิ!J670"")"),0)</f>
        <v>0</v>
      </c>
      <c r="AW34" s="177">
        <v>0</v>
      </c>
      <c r="AX34" s="177">
        <f ca="1">IFERROR(__xludf.DUMMYFUNCTION("IMPORTRANGE(""https://docs.google.com/spreadsheets/d/1FvTu2DsIWUjP6WCWra38Bkj_oOl_sOMf14r5Fg5srxU/edit?usp=sharing"",""ชัยภูมิ!J671"")"),0)</f>
        <v>0</v>
      </c>
      <c r="AY34" s="177">
        <f ca="1">IFERROR(__xludf.DUMMYFUNCTION("IMPORTRANGE(""https://docs.google.com/spreadsheets/d/1FvTu2DsIWUjP6WCWra38Bkj_oOl_sOMf14r5Fg5srxU/edit?usp=sharing"",""ชัยภูมิ!J672"")"),0)</f>
        <v>0</v>
      </c>
      <c r="AZ34" s="177">
        <f ca="1">IFERROR(__xludf.DUMMYFUNCTION("IMPORTRANGE(""https://docs.google.com/spreadsheets/d/1FvTu2DsIWUjP6WCWra38Bkj_oOl_sOMf14r5Fg5srxU/edit?usp=sharing"",""ชัยภูมิ!J673"")"),0)</f>
        <v>0</v>
      </c>
      <c r="BA34" s="354">
        <f t="shared" si="58"/>
        <v>0</v>
      </c>
      <c r="BB34" s="177">
        <f ca="1">IFERROR(__xludf.DUMMYFUNCTION("IMPORTRANGE(""https://docs.google.com/spreadsheets/d/1FvTu2DsIWUjP6WCWra38Bkj_oOl_sOMf14r5Fg5srxU/edit?usp=sharing"",""ชัยภูมิ!I674"")"),19)</f>
        <v>19</v>
      </c>
      <c r="BC34" s="177">
        <f ca="1">IFERROR(__xludf.DUMMYFUNCTION("IMPORTRANGE(""https://docs.google.com/spreadsheets/d/1FvTu2DsIWUjP6WCWra38Bkj_oOl_sOMf14r5Fg5srxU/edit?usp=sharing"",""ชัยภูมิ!I675"")"),156)</f>
        <v>156</v>
      </c>
      <c r="BD34" s="177">
        <f ca="1">IFERROR(__xludf.DUMMYFUNCTION("IMPORTRANGE(""https://docs.google.com/spreadsheets/d/1FvTu2DsIWUjP6WCWra38Bkj_oOl_sOMf14r5Fg5srxU/edit?usp=sharing"",""ชัยภูมิ!J674"")"),0)</f>
        <v>0</v>
      </c>
      <c r="BE34" s="354">
        <f t="shared" ca="1" si="60"/>
        <v>0</v>
      </c>
      <c r="BF34" s="177">
        <f ca="1">IFERROR(__xludf.DUMMYFUNCTION("IMPORTRANGE(""https://docs.google.com/spreadsheets/d/1FvTu2DsIWUjP6WCWra38Bkj_oOl_sOMf14r5Fg5srxU/edit?usp=sharing"",""ชัยภูมิ!J675"")"),0)</f>
        <v>0</v>
      </c>
      <c r="BG34" s="354">
        <f t="shared" ca="1" si="61"/>
        <v>0</v>
      </c>
      <c r="BH34" s="177">
        <f ca="1">IFERROR(__xludf.DUMMYFUNCTION("IMPORTRANGE(""https://docs.google.com/spreadsheets/d/1FvTu2DsIWUjP6WCWra38Bkj_oOl_sOMf14r5Fg5srxU/edit?usp=sharing"",""ชัยภูมิ!I676"")"),19)</f>
        <v>19</v>
      </c>
      <c r="BI34" s="177">
        <f ca="1">IFERROR(__xludf.DUMMYFUNCTION("IMPORTRANGE(""https://docs.google.com/spreadsheets/d/1FvTu2DsIWUjP6WCWra38Bkj_oOl_sOMf14r5Fg5srxU/edit?usp=sharing"",""ชัยภูมิ!I678"")"),156)</f>
        <v>156</v>
      </c>
      <c r="BJ34" s="177">
        <f ca="1">IFERROR(__xludf.DUMMYFUNCTION("IMPORTRANGE(""https://docs.google.com/spreadsheets/d/1FvTu2DsIWUjP6WCWra38Bkj_oOl_sOMf14r5Fg5srxU/edit?usp=sharing"",""ชัยภูมิ!J676"")"),0)</f>
        <v>0</v>
      </c>
      <c r="BK34" s="177">
        <f ca="1">IFERROR(__xludf.DUMMYFUNCTION("IMPORTRANGE(""https://docs.google.com/spreadsheets/d/1FvTu2DsIWUjP6WCWra38Bkj_oOl_sOMf14r5Fg5srxU/edit?usp=sharing"",""ชัยภูมิ!J677"")"),0)</f>
        <v>0</v>
      </c>
      <c r="BL34" s="177">
        <f ca="1">IFERROR(__xludf.DUMMYFUNCTION("IMPORTRANGE(""https://docs.google.com/spreadsheets/d/1FvTu2DsIWUjP6WCWra38Bkj_oOl_sOMf14r5Fg5srxU/edit?usp=sharing"",""ชัยภูมิ!J678"")"),0)</f>
        <v>0</v>
      </c>
      <c r="BM34" s="177">
        <f ca="1">IFERROR(__xludf.DUMMYFUNCTION("IMPORTRANGE(""https://docs.google.com/spreadsheets/d/1FvTu2DsIWUjP6WCWra38Bkj_oOl_sOMf14r5Fg5srxU/edit?usp=sharing"",""ชัยภูมิ!I679"")"),0)</f>
        <v>0</v>
      </c>
      <c r="BN34" s="177">
        <f ca="1">IFERROR(__xludf.DUMMYFUNCTION("IMPORTRANGE(""https://docs.google.com/spreadsheets/d/1FvTu2DsIWUjP6WCWra38Bkj_oOl_sOMf14r5Fg5srxU/edit?usp=sharing"",""ชัยภูมิ!I681"")"),0)</f>
        <v>0</v>
      </c>
      <c r="BO34" s="177">
        <f ca="1">IFERROR(__xludf.DUMMYFUNCTION("IMPORTRANGE(""https://docs.google.com/spreadsheets/d/1FvTu2DsIWUjP6WCWra38Bkj_oOl_sOMf14r5Fg5srxU/edit?usp=sharing"",""ชัยภูมิ!J679"")"),0)</f>
        <v>0</v>
      </c>
      <c r="BP34" s="177">
        <f ca="1">IFERROR(__xludf.DUMMYFUNCTION("IMPORTRANGE(""https://docs.google.com/spreadsheets/d/1FvTu2DsIWUjP6WCWra38Bkj_oOl_sOMf14r5Fg5srxU/edit?usp=sharing"",""ชัยภูมิ!J680"")"),0)</f>
        <v>0</v>
      </c>
      <c r="BQ34" s="177">
        <f ca="1">IFERROR(__xludf.DUMMYFUNCTION("IMPORTRANGE(""https://docs.google.com/spreadsheets/d/1FvTu2DsIWUjP6WCWra38Bkj_oOl_sOMf14r5Fg5srxU/edit?usp=sharing"",""ชัยภูมิ!J681"")"),0)</f>
        <v>0</v>
      </c>
      <c r="BR34" s="177">
        <f ca="1">IFERROR(__xludf.DUMMYFUNCTION("IMPORTRANGE(""https://docs.google.com/spreadsheets/d/1FvTu2DsIWUjP6WCWra38Bkj_oOl_sOMf14r5Fg5srxU/edit?usp=sharing"",""ชัยภูมิ!I682"")"),0)</f>
        <v>0</v>
      </c>
      <c r="BS34" s="177">
        <f ca="1">IFERROR(__xludf.DUMMYFUNCTION("IMPORTRANGE(""https://docs.google.com/spreadsheets/d/1FvTu2DsIWUjP6WCWra38Bkj_oOl_sOMf14r5Fg5srxU/edit?usp=sharing"",""ชัยภูมิ!J682"")"),0)</f>
        <v>0</v>
      </c>
      <c r="BT34" s="354">
        <f t="shared" ca="1" si="63"/>
        <v>0</v>
      </c>
      <c r="BU34" s="177">
        <f ca="1">IFERROR(__xludf.DUMMYFUNCTION("IMPORTRANGE(""https://docs.google.com/spreadsheets/d/1FvTu2DsIWUjP6WCWra38Bkj_oOl_sOMf14r5Fg5srxU/edit?usp=sharing"",""ชัยภูมิ!J683"")"),0)</f>
        <v>0</v>
      </c>
      <c r="BV34" s="177">
        <f ca="1">IFERROR(__xludf.DUMMYFUNCTION("IMPORTRANGE(""https://docs.google.com/spreadsheets/d/1FvTu2DsIWUjP6WCWra38Bkj_oOl_sOMf14r5Fg5srxU/edit?usp=sharing"",""ชัยภูมิ!J684"")"),0)</f>
        <v>0</v>
      </c>
      <c r="BW34" s="177">
        <f ca="1">IFERROR(__xludf.DUMMYFUNCTION("IMPORTRANGE(""https://docs.google.com/spreadsheets/d/1FvTu2DsIWUjP6WCWra38Bkj_oOl_sOMf14r5Fg5srxU/edit?usp=sharing"",""ชัยภูมิ!J685"")"),0)</f>
        <v>0</v>
      </c>
      <c r="BX34" s="177">
        <f ca="1">IFERROR(__xludf.DUMMYFUNCTION("IMPORTRANGE(""https://docs.google.com/spreadsheets/d/1FvTu2DsIWUjP6WCWra38Bkj_oOl_sOMf14r5Fg5srxU/edit?usp=sharing"",""ชัยภูมิ!J686"")"),0)</f>
        <v>0</v>
      </c>
      <c r="BY34" s="177">
        <f ca="1">IFERROR(__xludf.DUMMYFUNCTION("IMPORTRANGE(""https://docs.google.com/spreadsheets/d/1FvTu2DsIWUjP6WCWra38Bkj_oOl_sOMf14r5Fg5srxU/edit?usp=sharing"",""ชัยภูมิ!J687"")"),0)</f>
        <v>0</v>
      </c>
      <c r="BZ34" s="177">
        <f ca="1">IFERROR(__xludf.DUMMYFUNCTION("IMPORTRANGE(""https://docs.google.com/spreadsheets/d/1FvTu2DsIWUjP6WCWra38Bkj_oOl_sOMf14r5Fg5srxU/edit?usp=sharing"",""ชัยภูมิ!J688"")"),0)</f>
        <v>0</v>
      </c>
    </row>
    <row r="35" spans="1:78" ht="21.75" customHeight="1" x14ac:dyDescent="0.3">
      <c r="A35" s="89">
        <v>4</v>
      </c>
      <c r="B35" s="90" t="s">
        <v>61</v>
      </c>
      <c r="C35" s="174">
        <f t="shared" si="38"/>
        <v>0</v>
      </c>
      <c r="D35" s="175">
        <f t="shared" si="76"/>
        <v>0</v>
      </c>
      <c r="E35" s="403">
        <v>0</v>
      </c>
      <c r="F35" s="403">
        <v>0</v>
      </c>
      <c r="G35" s="403">
        <v>0</v>
      </c>
      <c r="H35" s="403">
        <v>0</v>
      </c>
      <c r="I35" s="403">
        <v>0</v>
      </c>
      <c r="J35" s="176">
        <f t="shared" si="40"/>
        <v>0</v>
      </c>
      <c r="K35" s="179">
        <f t="shared" si="41"/>
        <v>0</v>
      </c>
      <c r="L35" s="403">
        <v>0</v>
      </c>
      <c r="M35" s="87">
        <f t="shared" si="42"/>
        <v>0</v>
      </c>
      <c r="N35" s="87">
        <f t="shared" si="43"/>
        <v>0</v>
      </c>
      <c r="O35" s="403">
        <v>0</v>
      </c>
      <c r="P35" s="86">
        <f t="shared" si="44"/>
        <v>0</v>
      </c>
      <c r="Q35" s="87">
        <f t="shared" si="45"/>
        <v>0</v>
      </c>
      <c r="R35" s="87">
        <f ca="1">IFERROR(__xludf.DUMMYFUNCTION("IMPORTRANGE(""https://docs.google.com/spreadsheets/d/1XVB7oCJ3pr-vBUdflwPQ8Z2LlzhnCvZaaYjAfP-647E/edit?usp=sharing"",""นครพนม!Q642"")"),1600)</f>
        <v>1600</v>
      </c>
      <c r="S35" s="87">
        <f ca="1">IFERROR(__xludf.DUMMYFUNCTION("IMPORTRANGE(""https://docs.google.com/spreadsheets/d/1XVB7oCJ3pr-vBUdflwPQ8Z2LlzhnCvZaaYjAfP-647E/edit?usp=sharing"",""นครพนม!R642"")"),0)</f>
        <v>0</v>
      </c>
      <c r="T35" s="87">
        <f ca="1">IFERROR(__xludf.DUMMYFUNCTION("IMPORTRANGE(""https://docs.google.com/spreadsheets/d/1XVB7oCJ3pr-vBUdflwPQ8Z2LlzhnCvZaaYjAfP-647E/edit?usp=sharing"",""นครพนม!S642"")"),0)</f>
        <v>0</v>
      </c>
      <c r="U35" s="87">
        <f t="shared" ca="1" si="47"/>
        <v>0</v>
      </c>
      <c r="V35" s="87">
        <f t="shared" ca="1" si="48"/>
        <v>0</v>
      </c>
      <c r="W35" s="353">
        <f ca="1">IFERROR(__xludf.DUMMYFUNCTION("IMPORTRANGE(""https://docs.google.com/spreadsheets/d/1XVB7oCJ3pr-vBUdflwPQ8Z2LlzhnCvZaaYjAfP-647E/edit?usp=sharing"",""นครพนม!I652"")"),0)</f>
        <v>0</v>
      </c>
      <c r="X35" s="177">
        <f ca="1">IFERROR(__xludf.DUMMYFUNCTION("IMPORTRANGE(""https://docs.google.com/spreadsheets/d/1XVB7oCJ3pr-vBUdflwPQ8Z2LlzhnCvZaaYjAfP-647E/edit?usp=sharing"",""นครพนม!J652"")"),0)</f>
        <v>0</v>
      </c>
      <c r="Y35" s="354">
        <f t="shared" ca="1" si="50"/>
        <v>0</v>
      </c>
      <c r="Z35" s="177">
        <f ca="1">IFERROR(__xludf.DUMMYFUNCTION("IMPORTRANGE(""https://docs.google.com/spreadsheets/d/1XVB7oCJ3pr-vBUdflwPQ8Z2LlzhnCvZaaYjAfP-647E/edit?usp=sharing"",""นครพนม!I653"")"),5)</f>
        <v>5</v>
      </c>
      <c r="AA35" s="177">
        <f ca="1">IFERROR(__xludf.DUMMYFUNCTION("IMPORTRANGE(""https://docs.google.com/spreadsheets/d/1XVB7oCJ3pr-vBUdflwPQ8Z2LlzhnCvZaaYjAfP-647E/edit?usp=sharing"",""นครพนม!J653"")"),0)</f>
        <v>0</v>
      </c>
      <c r="AB35" s="354">
        <f t="shared" ca="1" si="52"/>
        <v>0</v>
      </c>
      <c r="AC35" s="177">
        <f ca="1">IFERROR(__xludf.DUMMYFUNCTION("IMPORTRANGE(""https://docs.google.com/spreadsheets/d/1XVB7oCJ3pr-vBUdflwPQ8Z2LlzhnCvZaaYjAfP-647E/edit?usp=sharing"",""นครพนม!I654"")"),0)</f>
        <v>0</v>
      </c>
      <c r="AD35" s="177">
        <f ca="1">IFERROR(__xludf.DUMMYFUNCTION("IMPORTRANGE(""https://docs.google.com/spreadsheets/d/1XVB7oCJ3pr-vBUdflwPQ8Z2LlzhnCvZaaYjAfP-647E/edit?usp=sharing"",""นครพนม!J654"")"),0)</f>
        <v>0</v>
      </c>
      <c r="AE35" s="354">
        <f t="shared" ca="1" si="54"/>
        <v>0</v>
      </c>
      <c r="AF35" s="354">
        <f ca="1">IFERROR(__xludf.DUMMYFUNCTION("IMPORTRANGE(""https://docs.google.com/spreadsheets/d/1XVB7oCJ3pr-vBUdflwPQ8Z2LlzhnCvZaaYjAfP-647E/edit?usp=sharing"",""นครพนม!J655"")"),0)</f>
        <v>0</v>
      </c>
      <c r="AG35" s="354">
        <f ca="1">IFERROR(__xludf.DUMMYFUNCTION("IMPORTRANGE(""https://docs.google.com/spreadsheets/d/1XVB7oCJ3pr-vBUdflwPQ8Z2LlzhnCvZaaYjAfP-647E/edit?usp=sharing"",""นครพนม!J656"")"),0)</f>
        <v>0</v>
      </c>
      <c r="AH35" s="354">
        <f ca="1">IFERROR(__xludf.DUMMYFUNCTION("IMPORTRANGE(""https://docs.google.com/spreadsheets/d/1XVB7oCJ3pr-vBUdflwPQ8Z2LlzhnCvZaaYjAfP-647E/edit?usp=sharing"",""นครพนม!J657"")"),0)</f>
        <v>0</v>
      </c>
      <c r="AI35" s="354">
        <f ca="1">IFERROR(__xludf.DUMMYFUNCTION("IMPORTRANGE(""https://docs.google.com/spreadsheets/d/1XVB7oCJ3pr-vBUdflwPQ8Z2LlzhnCvZaaYjAfP-647E/edit?usp=sharing"",""นครพนม!J658"")"),0)</f>
        <v>0</v>
      </c>
      <c r="AJ35" s="354">
        <f ca="1">IFERROR(__xludf.DUMMYFUNCTION("IMPORTRANGE(""https://docs.google.com/spreadsheets/d/1XVB7oCJ3pr-vBUdflwPQ8Z2LlzhnCvZaaYjAfP-647E/edit?usp=sharing"",""นครพนม!J659"")"),0)</f>
        <v>0</v>
      </c>
      <c r="AK35" s="354">
        <f ca="1">IFERROR(__xludf.DUMMYFUNCTION("IMPORTRANGE(""https://docs.google.com/spreadsheets/d/1XVB7oCJ3pr-vBUdflwPQ8Z2LlzhnCvZaaYjAfP-647E/edit?usp=sharing"",""นครพนม!J660"")"),0)</f>
        <v>0</v>
      </c>
      <c r="AL35" s="177">
        <f ca="1">IFERROR(__xludf.DUMMYFUNCTION("IMPORTRANGE(""https://docs.google.com/spreadsheets/d/1XVB7oCJ3pr-vBUdflwPQ8Z2LlzhnCvZaaYjAfP-647E/edit?usp=sharing"",""นครพนม!I661"")"),0)</f>
        <v>0</v>
      </c>
      <c r="AM35" s="177">
        <f ca="1">IFERROR(__xludf.DUMMYFUNCTION("IMPORTRANGE(""https://docs.google.com/spreadsheets/d/1XVB7oCJ3pr-vBUdflwPQ8Z2LlzhnCvZaaYjAfP-647E/edit?usp=sharing"",""นครพนม!J661"")"),0)</f>
        <v>0</v>
      </c>
      <c r="AN35" s="354">
        <f t="shared" ca="1" si="56"/>
        <v>0</v>
      </c>
      <c r="AO35" s="177">
        <f ca="1">IFERROR(__xludf.DUMMYFUNCTION("IMPORTRANGE(""https://docs.google.com/spreadsheets/d/1XVB7oCJ3pr-vBUdflwPQ8Z2LlzhnCvZaaYjAfP-647E/edit?usp=sharing"",""นครพนม!J662"")"),0)</f>
        <v>0</v>
      </c>
      <c r="AP35" s="177">
        <f ca="1">IFERROR(__xludf.DUMMYFUNCTION("IMPORTRANGE(""https://docs.google.com/spreadsheets/d/1XVB7oCJ3pr-vBUdflwPQ8Z2LlzhnCvZaaYjAfP-647E/edit?usp=sharing"",""นครพนม!J663"")"),0)</f>
        <v>0</v>
      </c>
      <c r="AQ35" s="177">
        <f ca="1">IFERROR(__xludf.DUMMYFUNCTION("IMPORTRANGE(""https://docs.google.com/spreadsheets/d/1XVB7oCJ3pr-vBUdflwPQ8Z2LlzhnCvZaaYjAfP-647E/edit?usp=sharing"",""นครพนม!J665"")"),0)</f>
        <v>0</v>
      </c>
      <c r="AR35" s="177">
        <f ca="1">IFERROR(__xludf.DUMMYFUNCTION("IMPORTRANGE(""https://docs.google.com/spreadsheets/d/1XVB7oCJ3pr-vBUdflwPQ8Z2LlzhnCvZaaYjAfP-647E/edit?usp=sharing"",""นครพนม!J666"")"),0)</f>
        <v>0</v>
      </c>
      <c r="AS35" s="177">
        <f ca="1">IFERROR(__xludf.DUMMYFUNCTION("IMPORTRANGE(""https://docs.google.com/spreadsheets/d/1XVB7oCJ3pr-vBUdflwPQ8Z2LlzhnCvZaaYjAfP-647E/edit?usp=sharing"",""นครพนม!J667"")"),0)</f>
        <v>0</v>
      </c>
      <c r="AT35" s="177">
        <f ca="1">IFERROR(__xludf.DUMMYFUNCTION("IMPORTRANGE(""https://docs.google.com/spreadsheets/d/1XVB7oCJ3pr-vBUdflwPQ8Z2LlzhnCvZaaYjAfP-647E/edit?usp=sharing"",""นครพนม!J668"")"),0)</f>
        <v>0</v>
      </c>
      <c r="AU35" s="177">
        <f ca="1">IFERROR(__xludf.DUMMYFUNCTION("IMPORTRANGE(""https://docs.google.com/spreadsheets/d/1XVB7oCJ3pr-vBUdflwPQ8Z2LlzhnCvZaaYjAfP-647E/edit?usp=sharing"",""นครพนม!J669"")"),0)</f>
        <v>0</v>
      </c>
      <c r="AV35" s="177">
        <f ca="1">IFERROR(__xludf.DUMMYFUNCTION("IMPORTRANGE(""https://docs.google.com/spreadsheets/d/1XVB7oCJ3pr-vBUdflwPQ8Z2LlzhnCvZaaYjAfP-647E/edit?usp=sharing"",""นครพนม!J670"")"),0)</f>
        <v>0</v>
      </c>
      <c r="AW35" s="177">
        <v>0</v>
      </c>
      <c r="AX35" s="177">
        <f ca="1">IFERROR(__xludf.DUMMYFUNCTION("IMPORTRANGE(""https://docs.google.com/spreadsheets/d/1XVB7oCJ3pr-vBUdflwPQ8Z2LlzhnCvZaaYjAfP-647E/edit?usp=sharing"",""นครพนม!J671"")"),0)</f>
        <v>0</v>
      </c>
      <c r="AY35" s="177">
        <f ca="1">IFERROR(__xludf.DUMMYFUNCTION("IMPORTRANGE(""https://docs.google.com/spreadsheets/d/1XVB7oCJ3pr-vBUdflwPQ8Z2LlzhnCvZaaYjAfP-647E/edit?usp=sharing"",""นครพนม!J672"")"),0)</f>
        <v>0</v>
      </c>
      <c r="AZ35" s="177">
        <f ca="1">IFERROR(__xludf.DUMMYFUNCTION("IMPORTRANGE(""https://docs.google.com/spreadsheets/d/1XVB7oCJ3pr-vBUdflwPQ8Z2LlzhnCvZaaYjAfP-647E/edit?usp=sharing"",""นครพนม!J673"")"),0)</f>
        <v>0</v>
      </c>
      <c r="BA35" s="354">
        <f t="shared" si="58"/>
        <v>0</v>
      </c>
      <c r="BB35" s="177">
        <f ca="1">IFERROR(__xludf.DUMMYFUNCTION("IMPORTRANGE(""https://docs.google.com/spreadsheets/d/1XVB7oCJ3pr-vBUdflwPQ8Z2LlzhnCvZaaYjAfP-647E/edit?usp=sharing"",""นครพนม!I674"")"),0)</f>
        <v>0</v>
      </c>
      <c r="BC35" s="177">
        <f ca="1">IFERROR(__xludf.DUMMYFUNCTION("IMPORTRANGE(""https://docs.google.com/spreadsheets/d/1XVB7oCJ3pr-vBUdflwPQ8Z2LlzhnCvZaaYjAfP-647E/edit?usp=sharing"",""นครพนม!I675"")"),0)</f>
        <v>0</v>
      </c>
      <c r="BD35" s="177">
        <f ca="1">IFERROR(__xludf.DUMMYFUNCTION("IMPORTRANGE(""https://docs.google.com/spreadsheets/d/1XVB7oCJ3pr-vBUdflwPQ8Z2LlzhnCvZaaYjAfP-647E/edit?usp=sharing"",""นครพนม!J674"")"),0)</f>
        <v>0</v>
      </c>
      <c r="BE35" s="354">
        <f t="shared" ca="1" si="60"/>
        <v>0</v>
      </c>
      <c r="BF35" s="177">
        <f ca="1">IFERROR(__xludf.DUMMYFUNCTION("IMPORTRANGE(""https://docs.google.com/spreadsheets/d/1XVB7oCJ3pr-vBUdflwPQ8Z2LlzhnCvZaaYjAfP-647E/edit?usp=sharing"",""นครพนม!J675"")"),0)</f>
        <v>0</v>
      </c>
      <c r="BG35" s="354">
        <f t="shared" ca="1" si="61"/>
        <v>0</v>
      </c>
      <c r="BH35" s="177">
        <f ca="1">IFERROR(__xludf.DUMMYFUNCTION("IMPORTRANGE(""https://docs.google.com/spreadsheets/d/1XVB7oCJ3pr-vBUdflwPQ8Z2LlzhnCvZaaYjAfP-647E/edit?usp=sharing"",""นครพนม!I676"")"),0)</f>
        <v>0</v>
      </c>
      <c r="BI35" s="177">
        <f ca="1">IFERROR(__xludf.DUMMYFUNCTION("IMPORTRANGE(""https://docs.google.com/spreadsheets/d/1XVB7oCJ3pr-vBUdflwPQ8Z2LlzhnCvZaaYjAfP-647E/edit?usp=sharing"",""นครพนม!I678"")"),0)</f>
        <v>0</v>
      </c>
      <c r="BJ35" s="177">
        <f ca="1">IFERROR(__xludf.DUMMYFUNCTION("IMPORTRANGE(""https://docs.google.com/spreadsheets/d/1XVB7oCJ3pr-vBUdflwPQ8Z2LlzhnCvZaaYjAfP-647E/edit?usp=sharing"",""นครพนม!J676"")"),0)</f>
        <v>0</v>
      </c>
      <c r="BK35" s="177">
        <f ca="1">IFERROR(__xludf.DUMMYFUNCTION("IMPORTRANGE(""https://docs.google.com/spreadsheets/d/1XVB7oCJ3pr-vBUdflwPQ8Z2LlzhnCvZaaYjAfP-647E/edit?usp=sharing"",""นครพนม!J677"")"),0)</f>
        <v>0</v>
      </c>
      <c r="BL35" s="177">
        <f ca="1">IFERROR(__xludf.DUMMYFUNCTION("IMPORTRANGE(""https://docs.google.com/spreadsheets/d/1XVB7oCJ3pr-vBUdflwPQ8Z2LlzhnCvZaaYjAfP-647E/edit?usp=sharing"",""นครพนม!J678"")"),0)</f>
        <v>0</v>
      </c>
      <c r="BM35" s="177">
        <f ca="1">IFERROR(__xludf.DUMMYFUNCTION("IMPORTRANGE(""https://docs.google.com/spreadsheets/d/1XVB7oCJ3pr-vBUdflwPQ8Z2LlzhnCvZaaYjAfP-647E/edit?usp=sharing"",""นครพนม!I679"")"),0)</f>
        <v>0</v>
      </c>
      <c r="BN35" s="177">
        <f ca="1">IFERROR(__xludf.DUMMYFUNCTION("IMPORTRANGE(""https://docs.google.com/spreadsheets/d/1XVB7oCJ3pr-vBUdflwPQ8Z2LlzhnCvZaaYjAfP-647E/edit?usp=sharing"",""นครพนม!I681"")"),0)</f>
        <v>0</v>
      </c>
      <c r="BO35" s="177">
        <f ca="1">IFERROR(__xludf.DUMMYFUNCTION("IMPORTRANGE(""https://docs.google.com/spreadsheets/d/1XVB7oCJ3pr-vBUdflwPQ8Z2LlzhnCvZaaYjAfP-647E/edit?usp=sharing"",""นครพนม!J679"")"),0)</f>
        <v>0</v>
      </c>
      <c r="BP35" s="177">
        <f ca="1">IFERROR(__xludf.DUMMYFUNCTION("IMPORTRANGE(""https://docs.google.com/spreadsheets/d/1XVB7oCJ3pr-vBUdflwPQ8Z2LlzhnCvZaaYjAfP-647E/edit?usp=sharing"",""นครพนม!J680"")"),0)</f>
        <v>0</v>
      </c>
      <c r="BQ35" s="177">
        <f ca="1">IFERROR(__xludf.DUMMYFUNCTION("IMPORTRANGE(""https://docs.google.com/spreadsheets/d/1XVB7oCJ3pr-vBUdflwPQ8Z2LlzhnCvZaaYjAfP-647E/edit?usp=sharing"",""นครพนม!J681"")"),0)</f>
        <v>0</v>
      </c>
      <c r="BR35" s="177">
        <f ca="1">IFERROR(__xludf.DUMMYFUNCTION("IMPORTRANGE(""https://docs.google.com/spreadsheets/d/1XVB7oCJ3pr-vBUdflwPQ8Z2LlzhnCvZaaYjAfP-647E/edit?usp=sharing"",""นครพนม!I682"")"),0)</f>
        <v>0</v>
      </c>
      <c r="BS35" s="177">
        <f ca="1">IFERROR(__xludf.DUMMYFUNCTION("IMPORTRANGE(""https://docs.google.com/spreadsheets/d/1XVB7oCJ3pr-vBUdflwPQ8Z2LlzhnCvZaaYjAfP-647E/edit?usp=sharing"",""นครพนม!J682"")"),0)</f>
        <v>0</v>
      </c>
      <c r="BT35" s="354">
        <f t="shared" ca="1" si="63"/>
        <v>0</v>
      </c>
      <c r="BU35" s="177">
        <f ca="1">IFERROR(__xludf.DUMMYFUNCTION("IMPORTRANGE(""https://docs.google.com/spreadsheets/d/1XVB7oCJ3pr-vBUdflwPQ8Z2LlzhnCvZaaYjAfP-647E/edit?usp=sharing"",""นครพนม!J683"")"),0)</f>
        <v>0</v>
      </c>
      <c r="BV35" s="177">
        <f ca="1">IFERROR(__xludf.DUMMYFUNCTION("IMPORTRANGE(""https://docs.google.com/spreadsheets/d/1XVB7oCJ3pr-vBUdflwPQ8Z2LlzhnCvZaaYjAfP-647E/edit?usp=sharing"",""นครพนม!J684"")"),0)</f>
        <v>0</v>
      </c>
      <c r="BW35" s="177">
        <f ca="1">IFERROR(__xludf.DUMMYFUNCTION("IMPORTRANGE(""https://docs.google.com/spreadsheets/d/1XVB7oCJ3pr-vBUdflwPQ8Z2LlzhnCvZaaYjAfP-647E/edit?usp=sharing"",""นครพนม!J685"")"),0)</f>
        <v>0</v>
      </c>
      <c r="BX35" s="177">
        <f ca="1">IFERROR(__xludf.DUMMYFUNCTION("IMPORTRANGE(""https://docs.google.com/spreadsheets/d/1XVB7oCJ3pr-vBUdflwPQ8Z2LlzhnCvZaaYjAfP-647E/edit?usp=sharing"",""นครพนม!J686"")"),0)</f>
        <v>0</v>
      </c>
      <c r="BY35" s="177">
        <f ca="1">IFERROR(__xludf.DUMMYFUNCTION("IMPORTRANGE(""https://docs.google.com/spreadsheets/d/1XVB7oCJ3pr-vBUdflwPQ8Z2LlzhnCvZaaYjAfP-647E/edit?usp=sharing"",""นครพนม!J687"")"),0)</f>
        <v>0</v>
      </c>
      <c r="BZ35" s="177">
        <f ca="1">IFERROR(__xludf.DUMMYFUNCTION("IMPORTRANGE(""https://docs.google.com/spreadsheets/d/1XVB7oCJ3pr-vBUdflwPQ8Z2LlzhnCvZaaYjAfP-647E/edit?usp=sharing"",""นครพนม!J688"")"),0)</f>
        <v>0</v>
      </c>
    </row>
    <row r="36" spans="1:78" ht="21.75" customHeight="1" x14ac:dyDescent="0.3">
      <c r="A36" s="89">
        <v>5</v>
      </c>
      <c r="B36" s="90" t="s">
        <v>62</v>
      </c>
      <c r="C36" s="174">
        <f t="shared" si="38"/>
        <v>0</v>
      </c>
      <c r="D36" s="175">
        <f t="shared" si="76"/>
        <v>0</v>
      </c>
      <c r="E36" s="403">
        <v>0</v>
      </c>
      <c r="F36" s="403">
        <v>0</v>
      </c>
      <c r="G36" s="403">
        <v>0</v>
      </c>
      <c r="H36" s="403">
        <v>0</v>
      </c>
      <c r="I36" s="403">
        <v>0</v>
      </c>
      <c r="J36" s="176">
        <f t="shared" si="40"/>
        <v>0</v>
      </c>
      <c r="K36" s="179">
        <f t="shared" si="41"/>
        <v>0</v>
      </c>
      <c r="L36" s="403">
        <v>0</v>
      </c>
      <c r="M36" s="87">
        <f t="shared" si="42"/>
        <v>0</v>
      </c>
      <c r="N36" s="87">
        <f t="shared" si="43"/>
        <v>0</v>
      </c>
      <c r="O36" s="403">
        <v>0</v>
      </c>
      <c r="P36" s="86">
        <f t="shared" si="44"/>
        <v>0</v>
      </c>
      <c r="Q36" s="87">
        <f t="shared" si="45"/>
        <v>0</v>
      </c>
      <c r="R36" s="87">
        <f ca="1">IFERROR(__xludf.DUMMYFUNCTION("IMPORTRANGE(""https://docs.google.com/spreadsheets/d/1Mnpb-8PYAgn85W6KOTD40hc_Xc55CaLfHoGAbrZ8tls/edit?usp=sharing"",""นครราชสีมา!Q642"")"),0)</f>
        <v>0</v>
      </c>
      <c r="S36" s="87">
        <f ca="1">IFERROR(__xludf.DUMMYFUNCTION("IMPORTRANGE(""https://docs.google.com/spreadsheets/d/1Mnpb-8PYAgn85W6KOTD40hc_Xc55CaLfHoGAbrZ8tls/edit?usp=sharing"",""นครราชสีมา!R642"")"),0)</f>
        <v>0</v>
      </c>
      <c r="T36" s="87">
        <f ca="1">IFERROR(__xludf.DUMMYFUNCTION("IMPORTRANGE(""https://docs.google.com/spreadsheets/d/1Mnpb-8PYAgn85W6KOTD40hc_Xc55CaLfHoGAbrZ8tls/edit?usp=sharing"",""นครราชสีมา!S642"")"),0)</f>
        <v>0</v>
      </c>
      <c r="U36" s="87">
        <f t="shared" ca="1" si="47"/>
        <v>0</v>
      </c>
      <c r="V36" s="87">
        <f t="shared" ca="1" si="48"/>
        <v>0</v>
      </c>
      <c r="W36" s="353">
        <f ca="1">IFERROR(__xludf.DUMMYFUNCTION("IMPORTRANGE(""https://docs.google.com/spreadsheets/d/1Mnpb-8PYAgn85W6KOTD40hc_Xc55CaLfHoGAbrZ8tls/edit?usp=sharing"",""นครราชสีมา!I652"")"),0)</f>
        <v>0</v>
      </c>
      <c r="X36" s="177">
        <f ca="1">IFERROR(__xludf.DUMMYFUNCTION("IMPORTRANGE(""https://docs.google.com/spreadsheets/d/1Mnpb-8PYAgn85W6KOTD40hc_Xc55CaLfHoGAbrZ8tls/edit?usp=sharing"",""นครราชสีมา!J652"")"),0)</f>
        <v>0</v>
      </c>
      <c r="Y36" s="354">
        <f t="shared" ca="1" si="50"/>
        <v>0</v>
      </c>
      <c r="Z36" s="177">
        <f ca="1">IFERROR(__xludf.DUMMYFUNCTION("IMPORTRANGE(""https://docs.google.com/spreadsheets/d/1Mnpb-8PYAgn85W6KOTD40hc_Xc55CaLfHoGAbrZ8tls/edit?usp=sharing"",""นครราชสีมา!I653"")"),0)</f>
        <v>0</v>
      </c>
      <c r="AA36" s="177">
        <f ca="1">IFERROR(__xludf.DUMMYFUNCTION("IMPORTRANGE(""https://docs.google.com/spreadsheets/d/1Mnpb-8PYAgn85W6KOTD40hc_Xc55CaLfHoGAbrZ8tls/edit?usp=sharing"",""นครราชสีมา!J653"")"),0)</f>
        <v>0</v>
      </c>
      <c r="AB36" s="354">
        <f t="shared" ca="1" si="52"/>
        <v>0</v>
      </c>
      <c r="AC36" s="177">
        <f ca="1">IFERROR(__xludf.DUMMYFUNCTION("IMPORTRANGE(""https://docs.google.com/spreadsheets/d/1Mnpb-8PYAgn85W6KOTD40hc_Xc55CaLfHoGAbrZ8tls/edit?usp=sharing"",""นครราชสีมา!I654"")"),0)</f>
        <v>0</v>
      </c>
      <c r="AD36" s="177">
        <f ca="1">IFERROR(__xludf.DUMMYFUNCTION("IMPORTRANGE(""https://docs.google.com/spreadsheets/d/1Mnpb-8PYAgn85W6KOTD40hc_Xc55CaLfHoGAbrZ8tls/edit?usp=sharing"",""นครราชสีมา!J654"")"),0)</f>
        <v>0</v>
      </c>
      <c r="AE36" s="354">
        <f t="shared" ca="1" si="54"/>
        <v>0</v>
      </c>
      <c r="AF36" s="354">
        <f ca="1">IFERROR(__xludf.DUMMYFUNCTION("IMPORTRANGE(""https://docs.google.com/spreadsheets/d/1Mnpb-8PYAgn85W6KOTD40hc_Xc55CaLfHoGAbrZ8tls/edit?usp=sharing"",""นครราชสีมา!J655"")"),0)</f>
        <v>0</v>
      </c>
      <c r="AG36" s="354">
        <f ca="1">IFERROR(__xludf.DUMMYFUNCTION("IMPORTRANGE(""https://docs.google.com/spreadsheets/d/1Mnpb-8PYAgn85W6KOTD40hc_Xc55CaLfHoGAbrZ8tls/edit?usp=sharing"",""นครราชสีมา!J656"")"),0)</f>
        <v>0</v>
      </c>
      <c r="AH36" s="354">
        <f ca="1">IFERROR(__xludf.DUMMYFUNCTION("IMPORTRANGE(""https://docs.google.com/spreadsheets/d/1Mnpb-8PYAgn85W6KOTD40hc_Xc55CaLfHoGAbrZ8tls/edit?usp=sharing"",""นครราชสีมา!J657"")"),0)</f>
        <v>0</v>
      </c>
      <c r="AI36" s="354">
        <f ca="1">IFERROR(__xludf.DUMMYFUNCTION("IMPORTRANGE(""https://docs.google.com/spreadsheets/d/1Mnpb-8PYAgn85W6KOTD40hc_Xc55CaLfHoGAbrZ8tls/edit?usp=sharing"",""นครราชสีมา!J658"")"),0)</f>
        <v>0</v>
      </c>
      <c r="AJ36" s="354">
        <f ca="1">IFERROR(__xludf.DUMMYFUNCTION("IMPORTRANGE(""https://docs.google.com/spreadsheets/d/1Mnpb-8PYAgn85W6KOTD40hc_Xc55CaLfHoGAbrZ8tls/edit?usp=sharing"",""นครราชสีมา!J659"")"),0)</f>
        <v>0</v>
      </c>
      <c r="AK36" s="354">
        <f ca="1">IFERROR(__xludf.DUMMYFUNCTION("IMPORTRANGE(""https://docs.google.com/spreadsheets/d/1Mnpb-8PYAgn85W6KOTD40hc_Xc55CaLfHoGAbrZ8tls/edit?usp=sharing"",""นครราชสีมา!J660"")"),0)</f>
        <v>0</v>
      </c>
      <c r="AL36" s="177">
        <f ca="1">IFERROR(__xludf.DUMMYFUNCTION("IMPORTRANGE(""https://docs.google.com/spreadsheets/d/1Mnpb-8PYAgn85W6KOTD40hc_Xc55CaLfHoGAbrZ8tls/edit?usp=sharing"",""นครราชสีมา!I661"")"),0)</f>
        <v>0</v>
      </c>
      <c r="AM36" s="177">
        <f ca="1">IFERROR(__xludf.DUMMYFUNCTION("IMPORTRANGE(""https://docs.google.com/spreadsheets/d/1Mnpb-8PYAgn85W6KOTD40hc_Xc55CaLfHoGAbrZ8tls/edit?usp=sharing"",""นครราชสีมา!J661"")"),0)</f>
        <v>0</v>
      </c>
      <c r="AN36" s="354">
        <f t="shared" ca="1" si="56"/>
        <v>0</v>
      </c>
      <c r="AO36" s="177">
        <f ca="1">IFERROR(__xludf.DUMMYFUNCTION("IMPORTRANGE(""https://docs.google.com/spreadsheets/d/1Mnpb-8PYAgn85W6KOTD40hc_Xc55CaLfHoGAbrZ8tls/edit?usp=sharing"",""นครราชสีมา!J662"")"),0)</f>
        <v>0</v>
      </c>
      <c r="AP36" s="177">
        <f ca="1">IFERROR(__xludf.DUMMYFUNCTION("IMPORTRANGE(""https://docs.google.com/spreadsheets/d/1Mnpb-8PYAgn85W6KOTD40hc_Xc55CaLfHoGAbrZ8tls/edit?usp=sharing"",""นครราชสีมา!J663"")"),0)</f>
        <v>0</v>
      </c>
      <c r="AQ36" s="177">
        <f ca="1">IFERROR(__xludf.DUMMYFUNCTION("IMPORTRANGE(""https://docs.google.com/spreadsheets/d/1Mnpb-8PYAgn85W6KOTD40hc_Xc55CaLfHoGAbrZ8tls/edit?usp=sharing"",""นครราชสีมา!J665"")"),0)</f>
        <v>0</v>
      </c>
      <c r="AR36" s="177">
        <f ca="1">IFERROR(__xludf.DUMMYFUNCTION("IMPORTRANGE(""https://docs.google.com/spreadsheets/d/1Mnpb-8PYAgn85W6KOTD40hc_Xc55CaLfHoGAbrZ8tls/edit?usp=sharing"",""นครราชสีมา!J666"")"),0)</f>
        <v>0</v>
      </c>
      <c r="AS36" s="177">
        <f ca="1">IFERROR(__xludf.DUMMYFUNCTION("IMPORTRANGE(""https://docs.google.com/spreadsheets/d/1Mnpb-8PYAgn85W6KOTD40hc_Xc55CaLfHoGAbrZ8tls/edit?usp=sharing"",""นครราชสีมา!J667"")"),0)</f>
        <v>0</v>
      </c>
      <c r="AT36" s="177">
        <f ca="1">IFERROR(__xludf.DUMMYFUNCTION("IMPORTRANGE(""https://docs.google.com/spreadsheets/d/1Mnpb-8PYAgn85W6KOTD40hc_Xc55CaLfHoGAbrZ8tls/edit?usp=sharing"",""นครราชสีมา!J668"")"),0)</f>
        <v>0</v>
      </c>
      <c r="AU36" s="177">
        <f ca="1">IFERROR(__xludf.DUMMYFUNCTION("IMPORTRANGE(""https://docs.google.com/spreadsheets/d/1Mnpb-8PYAgn85W6KOTD40hc_Xc55CaLfHoGAbrZ8tls/edit?usp=sharing"",""นครราชสีมา!J669"")"),0)</f>
        <v>0</v>
      </c>
      <c r="AV36" s="177">
        <f ca="1">IFERROR(__xludf.DUMMYFUNCTION("IMPORTRANGE(""https://docs.google.com/spreadsheets/d/1Mnpb-8PYAgn85W6KOTD40hc_Xc55CaLfHoGAbrZ8tls/edit?usp=sharing"",""นครราชสีมา!J670"")"),0)</f>
        <v>0</v>
      </c>
      <c r="AW36" s="177">
        <v>0</v>
      </c>
      <c r="AX36" s="177">
        <f ca="1">IFERROR(__xludf.DUMMYFUNCTION("IMPORTRANGE(""https://docs.google.com/spreadsheets/d/1Mnpb-8PYAgn85W6KOTD40hc_Xc55CaLfHoGAbrZ8tls/edit?usp=sharing"",""นครราชสีมา!J671"")"),0)</f>
        <v>0</v>
      </c>
      <c r="AY36" s="177">
        <f ca="1">IFERROR(__xludf.DUMMYFUNCTION("IMPORTRANGE(""https://docs.google.com/spreadsheets/d/1Mnpb-8PYAgn85W6KOTD40hc_Xc55CaLfHoGAbrZ8tls/edit?usp=sharing"",""นครราชสีมา!J672"")"),0)</f>
        <v>0</v>
      </c>
      <c r="AZ36" s="177">
        <f ca="1">IFERROR(__xludf.DUMMYFUNCTION("IMPORTRANGE(""https://docs.google.com/spreadsheets/d/1Mnpb-8PYAgn85W6KOTD40hc_Xc55CaLfHoGAbrZ8tls/edit?usp=sharing"",""นครราชสีมา!J673"")"),0)</f>
        <v>0</v>
      </c>
      <c r="BA36" s="354">
        <f t="shared" si="58"/>
        <v>0</v>
      </c>
      <c r="BB36" s="177">
        <f ca="1">IFERROR(__xludf.DUMMYFUNCTION("IMPORTRANGE(""https://docs.google.com/spreadsheets/d/1Mnpb-8PYAgn85W6KOTD40hc_Xc55CaLfHoGAbrZ8tls/edit?usp=sharing"",""นครราชสีมา!I674"")"),0)</f>
        <v>0</v>
      </c>
      <c r="BC36" s="177">
        <f ca="1">IFERROR(__xludf.DUMMYFUNCTION("IMPORTRANGE(""https://docs.google.com/spreadsheets/d/1Mnpb-8PYAgn85W6KOTD40hc_Xc55CaLfHoGAbrZ8tls/edit?usp=sharing"",""นครราชสีมา!I675"")"),0)</f>
        <v>0</v>
      </c>
      <c r="BD36" s="177">
        <f ca="1">IFERROR(__xludf.DUMMYFUNCTION("IMPORTRANGE(""https://docs.google.com/spreadsheets/d/1Mnpb-8PYAgn85W6KOTD40hc_Xc55CaLfHoGAbrZ8tls/edit?usp=sharing"",""นครราชสีมา!J674"")"),0)</f>
        <v>0</v>
      </c>
      <c r="BE36" s="354">
        <f t="shared" ca="1" si="60"/>
        <v>0</v>
      </c>
      <c r="BF36" s="177">
        <f ca="1">IFERROR(__xludf.DUMMYFUNCTION("IMPORTRANGE(""https://docs.google.com/spreadsheets/d/1Mnpb-8PYAgn85W6KOTD40hc_Xc55CaLfHoGAbrZ8tls/edit?usp=sharing"",""นครราชสีมา!J675"")"),0)</f>
        <v>0</v>
      </c>
      <c r="BG36" s="354">
        <f t="shared" ca="1" si="61"/>
        <v>0</v>
      </c>
      <c r="BH36" s="177">
        <f ca="1">IFERROR(__xludf.DUMMYFUNCTION("IMPORTRANGE(""https://docs.google.com/spreadsheets/d/1Mnpb-8PYAgn85W6KOTD40hc_Xc55CaLfHoGAbrZ8tls/edit?usp=sharing"",""นครราชสีมา!I676"")"),0)</f>
        <v>0</v>
      </c>
      <c r="BI36" s="177">
        <f ca="1">IFERROR(__xludf.DUMMYFUNCTION("IMPORTRANGE(""https://docs.google.com/spreadsheets/d/1Mnpb-8PYAgn85W6KOTD40hc_Xc55CaLfHoGAbrZ8tls/edit?usp=sharing"",""นครราชสีมา!I678"")"),0)</f>
        <v>0</v>
      </c>
      <c r="BJ36" s="177">
        <f ca="1">IFERROR(__xludf.DUMMYFUNCTION("IMPORTRANGE(""https://docs.google.com/spreadsheets/d/1Mnpb-8PYAgn85W6KOTD40hc_Xc55CaLfHoGAbrZ8tls/edit?usp=sharing"",""นครราชสีมา!J676"")"),0)</f>
        <v>0</v>
      </c>
      <c r="BK36" s="177">
        <f ca="1">IFERROR(__xludf.DUMMYFUNCTION("IMPORTRANGE(""https://docs.google.com/spreadsheets/d/1Mnpb-8PYAgn85W6KOTD40hc_Xc55CaLfHoGAbrZ8tls/edit?usp=sharing"",""นครราชสีมา!J677"")"),0)</f>
        <v>0</v>
      </c>
      <c r="BL36" s="177">
        <f ca="1">IFERROR(__xludf.DUMMYFUNCTION("IMPORTRANGE(""https://docs.google.com/spreadsheets/d/1Mnpb-8PYAgn85W6KOTD40hc_Xc55CaLfHoGAbrZ8tls/edit?usp=sharing"",""นครราชสีมา!J678"")"),0)</f>
        <v>0</v>
      </c>
      <c r="BM36" s="177">
        <f ca="1">IFERROR(__xludf.DUMMYFUNCTION("IMPORTRANGE(""https://docs.google.com/spreadsheets/d/1Mnpb-8PYAgn85W6KOTD40hc_Xc55CaLfHoGAbrZ8tls/edit?usp=sharing"",""นครราชสีมา!I679"")"),0)</f>
        <v>0</v>
      </c>
      <c r="BN36" s="177">
        <f ca="1">IFERROR(__xludf.DUMMYFUNCTION("IMPORTRANGE(""https://docs.google.com/spreadsheets/d/1Mnpb-8PYAgn85W6KOTD40hc_Xc55CaLfHoGAbrZ8tls/edit?usp=sharing"",""นครราชสีมา!I681"")"),0)</f>
        <v>0</v>
      </c>
      <c r="BO36" s="177">
        <f ca="1">IFERROR(__xludf.DUMMYFUNCTION("IMPORTRANGE(""https://docs.google.com/spreadsheets/d/1Mnpb-8PYAgn85W6KOTD40hc_Xc55CaLfHoGAbrZ8tls/edit?usp=sharing"",""นครราชสีมา!J679"")"),0)</f>
        <v>0</v>
      </c>
      <c r="BP36" s="177">
        <f ca="1">IFERROR(__xludf.DUMMYFUNCTION("IMPORTRANGE(""https://docs.google.com/spreadsheets/d/1Mnpb-8PYAgn85W6KOTD40hc_Xc55CaLfHoGAbrZ8tls/edit?usp=sharing"",""นครราชสีมา!J680"")"),0)</f>
        <v>0</v>
      </c>
      <c r="BQ36" s="177">
        <f ca="1">IFERROR(__xludf.DUMMYFUNCTION("IMPORTRANGE(""https://docs.google.com/spreadsheets/d/1Mnpb-8PYAgn85W6KOTD40hc_Xc55CaLfHoGAbrZ8tls/edit?usp=sharing"",""นครราชสีมา!J681"")"),0)</f>
        <v>0</v>
      </c>
      <c r="BR36" s="177">
        <f ca="1">IFERROR(__xludf.DUMMYFUNCTION("IMPORTRANGE(""https://docs.google.com/spreadsheets/d/1Mnpb-8PYAgn85W6KOTD40hc_Xc55CaLfHoGAbrZ8tls/edit?usp=sharing"",""นครราชสีมา!I682"")"),0)</f>
        <v>0</v>
      </c>
      <c r="BS36" s="177">
        <f ca="1">IFERROR(__xludf.DUMMYFUNCTION("IMPORTRANGE(""https://docs.google.com/spreadsheets/d/1Mnpb-8PYAgn85W6KOTD40hc_Xc55CaLfHoGAbrZ8tls/edit?usp=sharing"",""นครราชสีมา!J682"")"),0)</f>
        <v>0</v>
      </c>
      <c r="BT36" s="354">
        <f t="shared" ca="1" si="63"/>
        <v>0</v>
      </c>
      <c r="BU36" s="177">
        <f ca="1">IFERROR(__xludf.DUMMYFUNCTION("IMPORTRANGE(""https://docs.google.com/spreadsheets/d/1Mnpb-8PYAgn85W6KOTD40hc_Xc55CaLfHoGAbrZ8tls/edit?usp=sharing"",""นครราชสีมา!J683"")"),0)</f>
        <v>0</v>
      </c>
      <c r="BV36" s="177">
        <f ca="1">IFERROR(__xludf.DUMMYFUNCTION("IMPORTRANGE(""https://docs.google.com/spreadsheets/d/1Mnpb-8PYAgn85W6KOTD40hc_Xc55CaLfHoGAbrZ8tls/edit?usp=sharing"",""นครราชสีมา!J684"")"),0)</f>
        <v>0</v>
      </c>
      <c r="BW36" s="177">
        <f ca="1">IFERROR(__xludf.DUMMYFUNCTION("IMPORTRANGE(""https://docs.google.com/spreadsheets/d/1Mnpb-8PYAgn85W6KOTD40hc_Xc55CaLfHoGAbrZ8tls/edit?usp=sharing"",""นครราชสีมา!J685"")"),0)</f>
        <v>0</v>
      </c>
      <c r="BX36" s="177">
        <f ca="1">IFERROR(__xludf.DUMMYFUNCTION("IMPORTRANGE(""https://docs.google.com/spreadsheets/d/1Mnpb-8PYAgn85W6KOTD40hc_Xc55CaLfHoGAbrZ8tls/edit?usp=sharing"",""นครราชสีมา!J686"")"),0)</f>
        <v>0</v>
      </c>
      <c r="BY36" s="177">
        <f ca="1">IFERROR(__xludf.DUMMYFUNCTION("IMPORTRANGE(""https://docs.google.com/spreadsheets/d/1Mnpb-8PYAgn85W6KOTD40hc_Xc55CaLfHoGAbrZ8tls/edit?usp=sharing"",""นครราชสีมา!J687"")"),0)</f>
        <v>0</v>
      </c>
      <c r="BZ36" s="177">
        <f ca="1">IFERROR(__xludf.DUMMYFUNCTION("IMPORTRANGE(""https://docs.google.com/spreadsheets/d/1Mnpb-8PYAgn85W6KOTD40hc_Xc55CaLfHoGAbrZ8tls/edit?usp=sharing"",""นครราชสีมา!J688"")"),0)</f>
        <v>0</v>
      </c>
    </row>
    <row r="37" spans="1:78" ht="21.75" customHeight="1" x14ac:dyDescent="0.3">
      <c r="A37" s="89">
        <v>6</v>
      </c>
      <c r="B37" s="90" t="s">
        <v>63</v>
      </c>
      <c r="C37" s="174">
        <f t="shared" si="38"/>
        <v>0</v>
      </c>
      <c r="D37" s="175">
        <f t="shared" si="76"/>
        <v>0</v>
      </c>
      <c r="E37" s="403">
        <v>0</v>
      </c>
      <c r="F37" s="403">
        <v>0</v>
      </c>
      <c r="G37" s="403">
        <v>0</v>
      </c>
      <c r="H37" s="403">
        <v>0</v>
      </c>
      <c r="I37" s="403">
        <v>0</v>
      </c>
      <c r="J37" s="176">
        <f t="shared" si="40"/>
        <v>0</v>
      </c>
      <c r="K37" s="179">
        <f t="shared" si="41"/>
        <v>0</v>
      </c>
      <c r="L37" s="403">
        <v>0</v>
      </c>
      <c r="M37" s="87">
        <f t="shared" si="42"/>
        <v>0</v>
      </c>
      <c r="N37" s="87">
        <f t="shared" si="43"/>
        <v>0</v>
      </c>
      <c r="O37" s="403">
        <v>0</v>
      </c>
      <c r="P37" s="86">
        <f t="shared" si="44"/>
        <v>0</v>
      </c>
      <c r="Q37" s="87">
        <f t="shared" si="45"/>
        <v>0</v>
      </c>
      <c r="R37" s="87">
        <f ca="1">IFERROR(__xludf.DUMMYFUNCTION("IMPORTRANGE(""https://docs.google.com/spreadsheets/d/1xoDLGBv9CYbyosIhki0kTq6IpYNj-gpjxfobnaDiut0/edit?usp=sharing"",""บึงกาฬ!Q642"")"),0)</f>
        <v>0</v>
      </c>
      <c r="S37" s="87">
        <f ca="1">IFERROR(__xludf.DUMMYFUNCTION("IMPORTRANGE(""https://docs.google.com/spreadsheets/d/1xoDLGBv9CYbyosIhki0kTq6IpYNj-gpjxfobnaDiut0/edit?usp=sharing"",""บึงกาฬ!R642"")"),0)</f>
        <v>0</v>
      </c>
      <c r="T37" s="87">
        <f ca="1">IFERROR(__xludf.DUMMYFUNCTION("IMPORTRANGE(""https://docs.google.com/spreadsheets/d/1xoDLGBv9CYbyosIhki0kTq6IpYNj-gpjxfobnaDiut0/edit?usp=sharing"",""บึงกาฬ!S642"")"),0)</f>
        <v>0</v>
      </c>
      <c r="U37" s="87">
        <f t="shared" ca="1" si="47"/>
        <v>0</v>
      </c>
      <c r="V37" s="87">
        <f t="shared" ca="1" si="48"/>
        <v>0</v>
      </c>
      <c r="W37" s="353">
        <f ca="1">IFERROR(__xludf.DUMMYFUNCTION("IMPORTRANGE(""https://docs.google.com/spreadsheets/d/1xoDLGBv9CYbyosIhki0kTq6IpYNj-gpjxfobnaDiut0/edit?usp=sharing"",""บึงกาฬ!I652"")"),0)</f>
        <v>0</v>
      </c>
      <c r="X37" s="177">
        <f ca="1">IFERROR(__xludf.DUMMYFUNCTION("IMPORTRANGE(""https://docs.google.com/spreadsheets/d/1xoDLGBv9CYbyosIhki0kTq6IpYNj-gpjxfobnaDiut0/edit?usp=sharing"",""บึงกาฬ!J652"")"),0)</f>
        <v>0</v>
      </c>
      <c r="Y37" s="354">
        <f t="shared" ca="1" si="50"/>
        <v>0</v>
      </c>
      <c r="Z37" s="177">
        <f ca="1">IFERROR(__xludf.DUMMYFUNCTION("IMPORTRANGE(""https://docs.google.com/spreadsheets/d/1xoDLGBv9CYbyosIhki0kTq6IpYNj-gpjxfobnaDiut0/edit?usp=sharing"",""บึงกาฬ!I653"")"),0)</f>
        <v>0</v>
      </c>
      <c r="AA37" s="177">
        <f ca="1">IFERROR(__xludf.DUMMYFUNCTION("IMPORTRANGE(""https://docs.google.com/spreadsheets/d/1xoDLGBv9CYbyosIhki0kTq6IpYNj-gpjxfobnaDiut0/edit?usp=sharing"",""บึงกาฬ!J653"")"),0)</f>
        <v>0</v>
      </c>
      <c r="AB37" s="354">
        <f t="shared" ca="1" si="52"/>
        <v>0</v>
      </c>
      <c r="AC37" s="177">
        <f ca="1">IFERROR(__xludf.DUMMYFUNCTION("IMPORTRANGE(""https://docs.google.com/spreadsheets/d/1xoDLGBv9CYbyosIhki0kTq6IpYNj-gpjxfobnaDiut0/edit?usp=sharing"",""บึงกาฬ!I654"")"),0)</f>
        <v>0</v>
      </c>
      <c r="AD37" s="177">
        <f ca="1">IFERROR(__xludf.DUMMYFUNCTION("IMPORTRANGE(""https://docs.google.com/spreadsheets/d/1xoDLGBv9CYbyosIhki0kTq6IpYNj-gpjxfobnaDiut0/edit?usp=sharing"",""บึงกาฬ!J654"")"),0)</f>
        <v>0</v>
      </c>
      <c r="AE37" s="354">
        <f t="shared" ca="1" si="54"/>
        <v>0</v>
      </c>
      <c r="AF37" s="354">
        <f ca="1">IFERROR(__xludf.DUMMYFUNCTION("IMPORTRANGE(""https://docs.google.com/spreadsheets/d/1xoDLGBv9CYbyosIhki0kTq6IpYNj-gpjxfobnaDiut0/edit?usp=sharing"",""บึงกาฬ!J655"")"),0)</f>
        <v>0</v>
      </c>
      <c r="AG37" s="354">
        <f ca="1">IFERROR(__xludf.DUMMYFUNCTION("IMPORTRANGE(""https://docs.google.com/spreadsheets/d/1xoDLGBv9CYbyosIhki0kTq6IpYNj-gpjxfobnaDiut0/edit?usp=sharing"",""บึงกาฬ!J656"")"),0)</f>
        <v>0</v>
      </c>
      <c r="AH37" s="354">
        <f ca="1">IFERROR(__xludf.DUMMYFUNCTION("IMPORTRANGE(""https://docs.google.com/spreadsheets/d/1xoDLGBv9CYbyosIhki0kTq6IpYNj-gpjxfobnaDiut0/edit?usp=sharing"",""บึงกาฬ!J657"")"),0)</f>
        <v>0</v>
      </c>
      <c r="AI37" s="354">
        <f ca="1">IFERROR(__xludf.DUMMYFUNCTION("IMPORTRANGE(""https://docs.google.com/spreadsheets/d/1xoDLGBv9CYbyosIhki0kTq6IpYNj-gpjxfobnaDiut0/edit?usp=sharing"",""บึงกาฬ!J658"")"),0)</f>
        <v>0</v>
      </c>
      <c r="AJ37" s="354">
        <f ca="1">IFERROR(__xludf.DUMMYFUNCTION("IMPORTRANGE(""https://docs.google.com/spreadsheets/d/1xoDLGBv9CYbyosIhki0kTq6IpYNj-gpjxfobnaDiut0/edit?usp=sharing"",""บึงกาฬ!J659"")"),0)</f>
        <v>0</v>
      </c>
      <c r="AK37" s="354">
        <f ca="1">IFERROR(__xludf.DUMMYFUNCTION("IMPORTRANGE(""https://docs.google.com/spreadsheets/d/1xoDLGBv9CYbyosIhki0kTq6IpYNj-gpjxfobnaDiut0/edit?usp=sharing"",""บึงกาฬ!J660"")"),0)</f>
        <v>0</v>
      </c>
      <c r="AL37" s="177">
        <f ca="1">IFERROR(__xludf.DUMMYFUNCTION("IMPORTRANGE(""https://docs.google.com/spreadsheets/d/1xoDLGBv9CYbyosIhki0kTq6IpYNj-gpjxfobnaDiut0/edit?usp=sharing"",""บึงกาฬ!I661"")"),0)</f>
        <v>0</v>
      </c>
      <c r="AM37" s="177">
        <f ca="1">IFERROR(__xludf.DUMMYFUNCTION("IMPORTRANGE(""https://docs.google.com/spreadsheets/d/1xoDLGBv9CYbyosIhki0kTq6IpYNj-gpjxfobnaDiut0/edit?usp=sharing"",""บึงกาฬ!J661"")"),0)</f>
        <v>0</v>
      </c>
      <c r="AN37" s="354">
        <f t="shared" ca="1" si="56"/>
        <v>0</v>
      </c>
      <c r="AO37" s="177">
        <f ca="1">IFERROR(__xludf.DUMMYFUNCTION("IMPORTRANGE(""https://docs.google.com/spreadsheets/d/1xoDLGBv9CYbyosIhki0kTq6IpYNj-gpjxfobnaDiut0/edit?usp=sharing"",""บึงกาฬ!J662"")"),0)</f>
        <v>0</v>
      </c>
      <c r="AP37" s="177">
        <f ca="1">IFERROR(__xludf.DUMMYFUNCTION("IMPORTRANGE(""https://docs.google.com/spreadsheets/d/1xoDLGBv9CYbyosIhki0kTq6IpYNj-gpjxfobnaDiut0/edit?usp=sharing"",""บึงกาฬ!J663"")"),0)</f>
        <v>0</v>
      </c>
      <c r="AQ37" s="177">
        <f ca="1">IFERROR(__xludf.DUMMYFUNCTION("IMPORTRANGE(""https://docs.google.com/spreadsheets/d/1xoDLGBv9CYbyosIhki0kTq6IpYNj-gpjxfobnaDiut0/edit?usp=sharing"",""บึงกาฬ!J665"")"),0)</f>
        <v>0</v>
      </c>
      <c r="AR37" s="177">
        <f ca="1">IFERROR(__xludf.DUMMYFUNCTION("IMPORTRANGE(""https://docs.google.com/spreadsheets/d/1xoDLGBv9CYbyosIhki0kTq6IpYNj-gpjxfobnaDiut0/edit?usp=sharing"",""บึงกาฬ!J666"")"),0)</f>
        <v>0</v>
      </c>
      <c r="AS37" s="177">
        <f ca="1">IFERROR(__xludf.DUMMYFUNCTION("IMPORTRANGE(""https://docs.google.com/spreadsheets/d/1xoDLGBv9CYbyosIhki0kTq6IpYNj-gpjxfobnaDiut0/edit?usp=sharing"",""บึงกาฬ!J667"")"),0)</f>
        <v>0</v>
      </c>
      <c r="AT37" s="177">
        <f ca="1">IFERROR(__xludf.DUMMYFUNCTION("IMPORTRANGE(""https://docs.google.com/spreadsheets/d/1xoDLGBv9CYbyosIhki0kTq6IpYNj-gpjxfobnaDiut0/edit?usp=sharing"",""บึงกาฬ!J668"")"),0)</f>
        <v>0</v>
      </c>
      <c r="AU37" s="177">
        <f ca="1">IFERROR(__xludf.DUMMYFUNCTION("IMPORTRANGE(""https://docs.google.com/spreadsheets/d/1xoDLGBv9CYbyosIhki0kTq6IpYNj-gpjxfobnaDiut0/edit?usp=sharing"",""บึงกาฬ!J669"")"),0)</f>
        <v>0</v>
      </c>
      <c r="AV37" s="177">
        <f ca="1">IFERROR(__xludf.DUMMYFUNCTION("IMPORTRANGE(""https://docs.google.com/spreadsheets/d/1xoDLGBv9CYbyosIhki0kTq6IpYNj-gpjxfobnaDiut0/edit?usp=sharing"",""บึงกาฬ!J670"")"),0)</f>
        <v>0</v>
      </c>
      <c r="AW37" s="177">
        <v>0</v>
      </c>
      <c r="AX37" s="177">
        <f ca="1">IFERROR(__xludf.DUMMYFUNCTION("IMPORTRANGE(""https://docs.google.com/spreadsheets/d/1xoDLGBv9CYbyosIhki0kTq6IpYNj-gpjxfobnaDiut0/edit?usp=sharing"",""บึงกาฬ!J671"")"),0)</f>
        <v>0</v>
      </c>
      <c r="AY37" s="177">
        <f ca="1">IFERROR(__xludf.DUMMYFUNCTION("IMPORTRANGE(""https://docs.google.com/spreadsheets/d/1xoDLGBv9CYbyosIhki0kTq6IpYNj-gpjxfobnaDiut0/edit?usp=sharing"",""บึงกาฬ!J672"")"),0)</f>
        <v>0</v>
      </c>
      <c r="AZ37" s="177">
        <f ca="1">IFERROR(__xludf.DUMMYFUNCTION("IMPORTRANGE(""https://docs.google.com/spreadsheets/d/1xoDLGBv9CYbyosIhki0kTq6IpYNj-gpjxfobnaDiut0/edit?usp=sharing"",""บึงกาฬ!J673"")"),0)</f>
        <v>0</v>
      </c>
      <c r="BA37" s="354">
        <f t="shared" si="58"/>
        <v>0</v>
      </c>
      <c r="BB37" s="177">
        <f ca="1">IFERROR(__xludf.DUMMYFUNCTION("IMPORTRANGE(""https://docs.google.com/spreadsheets/d/1xoDLGBv9CYbyosIhki0kTq6IpYNj-gpjxfobnaDiut0/edit?usp=sharing"",""บึงกาฬ!I674"")"),0)</f>
        <v>0</v>
      </c>
      <c r="BC37" s="177">
        <f ca="1">IFERROR(__xludf.DUMMYFUNCTION("IMPORTRANGE(""https://docs.google.com/spreadsheets/d/1xoDLGBv9CYbyosIhki0kTq6IpYNj-gpjxfobnaDiut0/edit?usp=sharing"",""บึงกาฬ!I675"")"),0)</f>
        <v>0</v>
      </c>
      <c r="BD37" s="177">
        <f ca="1">IFERROR(__xludf.DUMMYFUNCTION("IMPORTRANGE(""https://docs.google.com/spreadsheets/d/1xoDLGBv9CYbyosIhki0kTq6IpYNj-gpjxfobnaDiut0/edit?usp=sharing"",""บึงกาฬ!J674"")"),0)</f>
        <v>0</v>
      </c>
      <c r="BE37" s="354">
        <f t="shared" ca="1" si="60"/>
        <v>0</v>
      </c>
      <c r="BF37" s="177">
        <f ca="1">IFERROR(__xludf.DUMMYFUNCTION("IMPORTRANGE(""https://docs.google.com/spreadsheets/d/1xoDLGBv9CYbyosIhki0kTq6IpYNj-gpjxfobnaDiut0/edit?usp=sharing"",""บึงกาฬ!J675"")"),0)</f>
        <v>0</v>
      </c>
      <c r="BG37" s="354">
        <f t="shared" ca="1" si="61"/>
        <v>0</v>
      </c>
      <c r="BH37" s="177">
        <f ca="1">IFERROR(__xludf.DUMMYFUNCTION("IMPORTRANGE(""https://docs.google.com/spreadsheets/d/1xoDLGBv9CYbyosIhki0kTq6IpYNj-gpjxfobnaDiut0/edit?usp=sharing"",""บึงกาฬ!I676"")"),0)</f>
        <v>0</v>
      </c>
      <c r="BI37" s="177">
        <f ca="1">IFERROR(__xludf.DUMMYFUNCTION("IMPORTRANGE(""https://docs.google.com/spreadsheets/d/1xoDLGBv9CYbyosIhki0kTq6IpYNj-gpjxfobnaDiut0/edit?usp=sharing"",""บึงกาฬ!I678"")"),0)</f>
        <v>0</v>
      </c>
      <c r="BJ37" s="177">
        <f ca="1">IFERROR(__xludf.DUMMYFUNCTION("IMPORTRANGE(""https://docs.google.com/spreadsheets/d/1xoDLGBv9CYbyosIhki0kTq6IpYNj-gpjxfobnaDiut0/edit?usp=sharing"",""บึงกาฬ!J676"")"),0)</f>
        <v>0</v>
      </c>
      <c r="BK37" s="177">
        <f ca="1">IFERROR(__xludf.DUMMYFUNCTION("IMPORTRANGE(""https://docs.google.com/spreadsheets/d/1xoDLGBv9CYbyosIhki0kTq6IpYNj-gpjxfobnaDiut0/edit?usp=sharing"",""บึงกาฬ!J677"")"),0)</f>
        <v>0</v>
      </c>
      <c r="BL37" s="177">
        <f ca="1">IFERROR(__xludf.DUMMYFUNCTION("IMPORTRANGE(""https://docs.google.com/spreadsheets/d/1xoDLGBv9CYbyosIhki0kTq6IpYNj-gpjxfobnaDiut0/edit?usp=sharing"",""บึงกาฬ!J678"")"),0)</f>
        <v>0</v>
      </c>
      <c r="BM37" s="177">
        <f ca="1">IFERROR(__xludf.DUMMYFUNCTION("IMPORTRANGE(""https://docs.google.com/spreadsheets/d/1xoDLGBv9CYbyosIhki0kTq6IpYNj-gpjxfobnaDiut0/edit?usp=sharing"",""บึงกาฬ!I679"")"),0)</f>
        <v>0</v>
      </c>
      <c r="BN37" s="177">
        <f ca="1">IFERROR(__xludf.DUMMYFUNCTION("IMPORTRANGE(""https://docs.google.com/spreadsheets/d/1xoDLGBv9CYbyosIhki0kTq6IpYNj-gpjxfobnaDiut0/edit?usp=sharing"",""บึงกาฬ!I681"")"),0)</f>
        <v>0</v>
      </c>
      <c r="BO37" s="177">
        <f ca="1">IFERROR(__xludf.DUMMYFUNCTION("IMPORTRANGE(""https://docs.google.com/spreadsheets/d/1xoDLGBv9CYbyosIhki0kTq6IpYNj-gpjxfobnaDiut0/edit?usp=sharing"",""บึงกาฬ!J679"")"),0)</f>
        <v>0</v>
      </c>
      <c r="BP37" s="177">
        <f ca="1">IFERROR(__xludf.DUMMYFUNCTION("IMPORTRANGE(""https://docs.google.com/spreadsheets/d/1xoDLGBv9CYbyosIhki0kTq6IpYNj-gpjxfobnaDiut0/edit?usp=sharing"",""บึงกาฬ!J680"")"),0)</f>
        <v>0</v>
      </c>
      <c r="BQ37" s="177">
        <f ca="1">IFERROR(__xludf.DUMMYFUNCTION("IMPORTRANGE(""https://docs.google.com/spreadsheets/d/1xoDLGBv9CYbyosIhki0kTq6IpYNj-gpjxfobnaDiut0/edit?usp=sharing"",""บึงกาฬ!J681"")"),0)</f>
        <v>0</v>
      </c>
      <c r="BR37" s="177">
        <f ca="1">IFERROR(__xludf.DUMMYFUNCTION("IMPORTRANGE(""https://docs.google.com/spreadsheets/d/1xoDLGBv9CYbyosIhki0kTq6IpYNj-gpjxfobnaDiut0/edit?usp=sharing"",""บึงกาฬ!I682"")"),0)</f>
        <v>0</v>
      </c>
      <c r="BS37" s="177">
        <f ca="1">IFERROR(__xludf.DUMMYFUNCTION("IMPORTRANGE(""https://docs.google.com/spreadsheets/d/1xoDLGBv9CYbyosIhki0kTq6IpYNj-gpjxfobnaDiut0/edit?usp=sharing"",""บึงกาฬ!J682"")"),0)</f>
        <v>0</v>
      </c>
      <c r="BT37" s="354">
        <f t="shared" ca="1" si="63"/>
        <v>0</v>
      </c>
      <c r="BU37" s="177">
        <f ca="1">IFERROR(__xludf.DUMMYFUNCTION("IMPORTRANGE(""https://docs.google.com/spreadsheets/d/1xoDLGBv9CYbyosIhki0kTq6IpYNj-gpjxfobnaDiut0/edit?usp=sharing"",""บึงกาฬ!J683"")"),0)</f>
        <v>0</v>
      </c>
      <c r="BV37" s="177">
        <f ca="1">IFERROR(__xludf.DUMMYFUNCTION("IMPORTRANGE(""https://docs.google.com/spreadsheets/d/1xoDLGBv9CYbyosIhki0kTq6IpYNj-gpjxfobnaDiut0/edit?usp=sharing"",""บึงกาฬ!J684"")"),0)</f>
        <v>0</v>
      </c>
      <c r="BW37" s="177">
        <f ca="1">IFERROR(__xludf.DUMMYFUNCTION("IMPORTRANGE(""https://docs.google.com/spreadsheets/d/1xoDLGBv9CYbyosIhki0kTq6IpYNj-gpjxfobnaDiut0/edit?usp=sharing"",""บึงกาฬ!J685"")"),0)</f>
        <v>0</v>
      </c>
      <c r="BX37" s="177">
        <f ca="1">IFERROR(__xludf.DUMMYFUNCTION("IMPORTRANGE(""https://docs.google.com/spreadsheets/d/1xoDLGBv9CYbyosIhki0kTq6IpYNj-gpjxfobnaDiut0/edit?usp=sharing"",""บึงกาฬ!J686"")"),0)</f>
        <v>0</v>
      </c>
      <c r="BY37" s="177">
        <f ca="1">IFERROR(__xludf.DUMMYFUNCTION("IMPORTRANGE(""https://docs.google.com/spreadsheets/d/1xoDLGBv9CYbyosIhki0kTq6IpYNj-gpjxfobnaDiut0/edit?usp=sharing"",""บึงกาฬ!J687"")"),0)</f>
        <v>0</v>
      </c>
      <c r="BZ37" s="177">
        <f ca="1">IFERROR(__xludf.DUMMYFUNCTION("IMPORTRANGE(""https://docs.google.com/spreadsheets/d/1xoDLGBv9CYbyosIhki0kTq6IpYNj-gpjxfobnaDiut0/edit?usp=sharing"",""บึงกาฬ!J688"")"),0)</f>
        <v>0</v>
      </c>
    </row>
    <row r="38" spans="1:78" ht="21.75" customHeight="1" x14ac:dyDescent="0.3">
      <c r="A38" s="89">
        <v>7</v>
      </c>
      <c r="B38" s="90" t="s">
        <v>64</v>
      </c>
      <c r="C38" s="174">
        <f t="shared" si="38"/>
        <v>0</v>
      </c>
      <c r="D38" s="175">
        <f t="shared" si="76"/>
        <v>0</v>
      </c>
      <c r="E38" s="403">
        <v>0</v>
      </c>
      <c r="F38" s="403">
        <v>0</v>
      </c>
      <c r="G38" s="403">
        <v>0</v>
      </c>
      <c r="H38" s="403">
        <v>0</v>
      </c>
      <c r="I38" s="403">
        <v>0</v>
      </c>
      <c r="J38" s="176">
        <f t="shared" si="40"/>
        <v>0</v>
      </c>
      <c r="K38" s="179">
        <f t="shared" si="41"/>
        <v>0</v>
      </c>
      <c r="L38" s="403">
        <v>0</v>
      </c>
      <c r="M38" s="87">
        <f t="shared" si="42"/>
        <v>0</v>
      </c>
      <c r="N38" s="87">
        <f t="shared" si="43"/>
        <v>0</v>
      </c>
      <c r="O38" s="403">
        <v>0</v>
      </c>
      <c r="P38" s="86">
        <f t="shared" si="44"/>
        <v>0</v>
      </c>
      <c r="Q38" s="87">
        <f t="shared" si="45"/>
        <v>0</v>
      </c>
      <c r="R38" s="87">
        <f ca="1">IFERROR(__xludf.DUMMYFUNCTION("IMPORTRANGE(""https://docs.google.com/spreadsheets/d/1MMPq-JyI6DSgQETxuSiXkesP-P7JHuemnE6QJIa-Nlw/edit?usp=sharing"",""บุรีรัมย์!Q642"")"),18000)</f>
        <v>18000</v>
      </c>
      <c r="S38" s="87">
        <f ca="1">IFERROR(__xludf.DUMMYFUNCTION("IMPORTRANGE(""https://docs.google.com/spreadsheets/d/1MMPq-JyI6DSgQETxuSiXkesP-P7JHuemnE6QJIa-Nlw/edit?usp=sharing"",""บุรีรัมย์!R642"")"),0)</f>
        <v>0</v>
      </c>
      <c r="T38" s="87">
        <f ca="1">IFERROR(__xludf.DUMMYFUNCTION("IMPORTRANGE(""https://docs.google.com/spreadsheets/d/1MMPq-JyI6DSgQETxuSiXkesP-P7JHuemnE6QJIa-Nlw/edit?usp=sharing"",""บุรีรัมย์!S642"")"),0)</f>
        <v>0</v>
      </c>
      <c r="U38" s="87">
        <f t="shared" ca="1" si="47"/>
        <v>0</v>
      </c>
      <c r="V38" s="87">
        <f t="shared" ca="1" si="48"/>
        <v>0</v>
      </c>
      <c r="W38" s="353">
        <f ca="1">IFERROR(__xludf.DUMMYFUNCTION("IMPORTRANGE(""https://docs.google.com/spreadsheets/d/1MMPq-JyI6DSgQETxuSiXkesP-P7JHuemnE6QJIa-Nlw/edit?usp=sharing"",""บุรีรัมย์!I652"")"),0)</f>
        <v>0</v>
      </c>
      <c r="X38" s="177">
        <f ca="1">IFERROR(__xludf.DUMMYFUNCTION("IMPORTRANGE(""https://docs.google.com/spreadsheets/d/1MMPq-JyI6DSgQETxuSiXkesP-P7JHuemnE6QJIa-Nlw/edit?usp=sharing"",""บุรีรัมย์!J652"")"),0)</f>
        <v>0</v>
      </c>
      <c r="Y38" s="354">
        <f t="shared" ca="1" si="50"/>
        <v>0</v>
      </c>
      <c r="Z38" s="177">
        <f ca="1">IFERROR(__xludf.DUMMYFUNCTION("IMPORTRANGE(""https://docs.google.com/spreadsheets/d/1MMPq-JyI6DSgQETxuSiXkesP-P7JHuemnE6QJIa-Nlw/edit?usp=sharing"",""บุรีรัมย์!I653"")"),0)</f>
        <v>0</v>
      </c>
      <c r="AA38" s="177">
        <f ca="1">IFERROR(__xludf.DUMMYFUNCTION("IMPORTRANGE(""https://docs.google.com/spreadsheets/d/1MMPq-JyI6DSgQETxuSiXkesP-P7JHuemnE6QJIa-Nlw/edit?usp=sharing"",""บุรีรัมย์!J653"")"),0)</f>
        <v>0</v>
      </c>
      <c r="AB38" s="354">
        <f t="shared" ca="1" si="52"/>
        <v>0</v>
      </c>
      <c r="AC38" s="177">
        <f ca="1">IFERROR(__xludf.DUMMYFUNCTION("IMPORTRANGE(""https://docs.google.com/spreadsheets/d/1MMPq-JyI6DSgQETxuSiXkesP-P7JHuemnE6QJIa-Nlw/edit?usp=sharing"",""บุรีรัมย์!I654"")"),140)</f>
        <v>140</v>
      </c>
      <c r="AD38" s="177">
        <f ca="1">IFERROR(__xludf.DUMMYFUNCTION("IMPORTRANGE(""https://docs.google.com/spreadsheets/d/1MMPq-JyI6DSgQETxuSiXkesP-P7JHuemnE6QJIa-Nlw/edit?usp=sharing"",""บุรีรัมย์!J654"")"),0)</f>
        <v>0</v>
      </c>
      <c r="AE38" s="354">
        <f t="shared" ca="1" si="54"/>
        <v>0</v>
      </c>
      <c r="AF38" s="354">
        <f ca="1">IFERROR(__xludf.DUMMYFUNCTION("IMPORTRANGE(""https://docs.google.com/spreadsheets/d/1MMPq-JyI6DSgQETxuSiXkesP-P7JHuemnE6QJIa-Nlw/edit?usp=sharing"",""บุรีรัมย์!J655"")"),0)</f>
        <v>0</v>
      </c>
      <c r="AG38" s="354">
        <f ca="1">IFERROR(__xludf.DUMMYFUNCTION("IMPORTRANGE(""https://docs.google.com/spreadsheets/d/1MMPq-JyI6DSgQETxuSiXkesP-P7JHuemnE6QJIa-Nlw/edit?usp=sharing"",""บุรีรัมย์!J656"")"),0)</f>
        <v>0</v>
      </c>
      <c r="AH38" s="354">
        <f ca="1">IFERROR(__xludf.DUMMYFUNCTION("IMPORTRANGE(""https://docs.google.com/spreadsheets/d/1MMPq-JyI6DSgQETxuSiXkesP-P7JHuemnE6QJIa-Nlw/edit?usp=sharing"",""บุรีรัมย์!J657"")"),0)</f>
        <v>0</v>
      </c>
      <c r="AI38" s="354">
        <f ca="1">IFERROR(__xludf.DUMMYFUNCTION("IMPORTRANGE(""https://docs.google.com/spreadsheets/d/1MMPq-JyI6DSgQETxuSiXkesP-P7JHuemnE6QJIa-Nlw/edit?usp=sharing"",""บุรีรัมย์!J658"")"),0)</f>
        <v>0</v>
      </c>
      <c r="AJ38" s="354">
        <f ca="1">IFERROR(__xludf.DUMMYFUNCTION("IMPORTRANGE(""https://docs.google.com/spreadsheets/d/1MMPq-JyI6DSgQETxuSiXkesP-P7JHuemnE6QJIa-Nlw/edit?usp=sharing"",""บุรีรัมย์!J659"")"),0)</f>
        <v>0</v>
      </c>
      <c r="AK38" s="354">
        <f ca="1">IFERROR(__xludf.DUMMYFUNCTION("IMPORTRANGE(""https://docs.google.com/spreadsheets/d/1MMPq-JyI6DSgQETxuSiXkesP-P7JHuemnE6QJIa-Nlw/edit?usp=sharing"",""บุรีรัมย์!J660"")"),0)</f>
        <v>0</v>
      </c>
      <c r="AL38" s="177">
        <f ca="1">IFERROR(__xludf.DUMMYFUNCTION("IMPORTRANGE(""https://docs.google.com/spreadsheets/d/1MMPq-JyI6DSgQETxuSiXkesP-P7JHuemnE6QJIa-Nlw/edit?usp=sharing"",""บุรีรัมย์!I661"")"),203)</f>
        <v>203</v>
      </c>
      <c r="AM38" s="177">
        <f ca="1">IFERROR(__xludf.DUMMYFUNCTION("IMPORTRANGE(""https://docs.google.com/spreadsheets/d/1MMPq-JyI6DSgQETxuSiXkesP-P7JHuemnE6QJIa-Nlw/edit?usp=sharing"",""บุรีรัมย์!J661"")"),0)</f>
        <v>0</v>
      </c>
      <c r="AN38" s="354">
        <f t="shared" ca="1" si="56"/>
        <v>0</v>
      </c>
      <c r="AO38" s="177">
        <f ca="1">IFERROR(__xludf.DUMMYFUNCTION("IMPORTRANGE(""https://docs.google.com/spreadsheets/d/1MMPq-JyI6DSgQETxuSiXkesP-P7JHuemnE6QJIa-Nlw/edit?usp=sharing"",""บุรีรัมย์!J662"")"),0)</f>
        <v>0</v>
      </c>
      <c r="AP38" s="177">
        <f ca="1">IFERROR(__xludf.DUMMYFUNCTION("IMPORTRANGE(""https://docs.google.com/spreadsheets/d/1MMPq-JyI6DSgQETxuSiXkesP-P7JHuemnE6QJIa-Nlw/edit?usp=sharing"",""บุรีรัมย์!J663"")"),0)</f>
        <v>0</v>
      </c>
      <c r="AQ38" s="177">
        <f ca="1">IFERROR(__xludf.DUMMYFUNCTION("IMPORTRANGE(""https://docs.google.com/spreadsheets/d/1MMPq-JyI6DSgQETxuSiXkesP-P7JHuemnE6QJIa-Nlw/edit?usp=sharing"",""บุรีรัมย์!J665"")"),0)</f>
        <v>0</v>
      </c>
      <c r="AR38" s="177">
        <f ca="1">IFERROR(__xludf.DUMMYFUNCTION("IMPORTRANGE(""https://docs.google.com/spreadsheets/d/1MMPq-JyI6DSgQETxuSiXkesP-P7JHuemnE6QJIa-Nlw/edit?usp=sharing"",""บุรีรัมย์!J666"")"),0)</f>
        <v>0</v>
      </c>
      <c r="AS38" s="177">
        <f ca="1">IFERROR(__xludf.DUMMYFUNCTION("IMPORTRANGE(""https://docs.google.com/spreadsheets/d/1MMPq-JyI6DSgQETxuSiXkesP-P7JHuemnE6QJIa-Nlw/edit?usp=sharing"",""บุรีรัมย์!J667"")"),0)</f>
        <v>0</v>
      </c>
      <c r="AT38" s="177">
        <f ca="1">IFERROR(__xludf.DUMMYFUNCTION("IMPORTRANGE(""https://docs.google.com/spreadsheets/d/1MMPq-JyI6DSgQETxuSiXkesP-P7JHuemnE6QJIa-Nlw/edit?usp=sharing"",""บุรีรัมย์!J668"")"),0)</f>
        <v>0</v>
      </c>
      <c r="AU38" s="177">
        <f ca="1">IFERROR(__xludf.DUMMYFUNCTION("IMPORTRANGE(""https://docs.google.com/spreadsheets/d/1MMPq-JyI6DSgQETxuSiXkesP-P7JHuemnE6QJIa-Nlw/edit?usp=sharing"",""บุรีรัมย์!J669"")"),0)</f>
        <v>0</v>
      </c>
      <c r="AV38" s="177">
        <f ca="1">IFERROR(__xludf.DUMMYFUNCTION("IMPORTRANGE(""https://docs.google.com/spreadsheets/d/1MMPq-JyI6DSgQETxuSiXkesP-P7JHuemnE6QJIa-Nlw/edit?usp=sharing"",""บุรีรัมย์!J670"")"),0)</f>
        <v>0</v>
      </c>
      <c r="AW38" s="177">
        <v>0</v>
      </c>
      <c r="AX38" s="177">
        <f ca="1">IFERROR(__xludf.DUMMYFUNCTION("IMPORTRANGE(""https://docs.google.com/spreadsheets/d/1MMPq-JyI6DSgQETxuSiXkesP-P7JHuemnE6QJIa-Nlw/edit?usp=sharing"",""บุรีรัมย์!J671"")"),0)</f>
        <v>0</v>
      </c>
      <c r="AY38" s="177">
        <f ca="1">IFERROR(__xludf.DUMMYFUNCTION("IMPORTRANGE(""https://docs.google.com/spreadsheets/d/1MMPq-JyI6DSgQETxuSiXkesP-P7JHuemnE6QJIa-Nlw/edit?usp=sharing"",""บุรีรัมย์!J672"")"),0)</f>
        <v>0</v>
      </c>
      <c r="AZ38" s="177">
        <f ca="1">IFERROR(__xludf.DUMMYFUNCTION("IMPORTRANGE(""https://docs.google.com/spreadsheets/d/1MMPq-JyI6DSgQETxuSiXkesP-P7JHuemnE6QJIa-Nlw/edit?usp=sharing"",""บุรีรัมย์!J673"")"),0)</f>
        <v>0</v>
      </c>
      <c r="BA38" s="354">
        <f t="shared" si="58"/>
        <v>0</v>
      </c>
      <c r="BB38" s="177">
        <f ca="1">IFERROR(__xludf.DUMMYFUNCTION("IMPORTRANGE(""https://docs.google.com/spreadsheets/d/1MMPq-JyI6DSgQETxuSiXkesP-P7JHuemnE6QJIa-Nlw/edit?usp=sharing"",""บุรีรัมย์!I674"")"),9)</f>
        <v>9</v>
      </c>
      <c r="BC38" s="177">
        <f ca="1">IFERROR(__xludf.DUMMYFUNCTION("IMPORTRANGE(""https://docs.google.com/spreadsheets/d/1MMPq-JyI6DSgQETxuSiXkesP-P7JHuemnE6QJIa-Nlw/edit?usp=sharing"",""บุรีรัมย์!I675"")"),75)</f>
        <v>75</v>
      </c>
      <c r="BD38" s="177">
        <f ca="1">IFERROR(__xludf.DUMMYFUNCTION("IMPORTRANGE(""https://docs.google.com/spreadsheets/d/1MMPq-JyI6DSgQETxuSiXkesP-P7JHuemnE6QJIa-Nlw/edit?usp=sharing"",""บุรีรัมย์!J674"")"),0)</f>
        <v>0</v>
      </c>
      <c r="BE38" s="354">
        <f t="shared" ca="1" si="60"/>
        <v>0</v>
      </c>
      <c r="BF38" s="177">
        <f ca="1">IFERROR(__xludf.DUMMYFUNCTION("IMPORTRANGE(""https://docs.google.com/spreadsheets/d/1MMPq-JyI6DSgQETxuSiXkesP-P7JHuemnE6QJIa-Nlw/edit?usp=sharing"",""บุรีรัมย์!J675"")"),0)</f>
        <v>0</v>
      </c>
      <c r="BG38" s="354">
        <f t="shared" ca="1" si="61"/>
        <v>0</v>
      </c>
      <c r="BH38" s="177">
        <f ca="1">IFERROR(__xludf.DUMMYFUNCTION("IMPORTRANGE(""https://docs.google.com/spreadsheets/d/1MMPq-JyI6DSgQETxuSiXkesP-P7JHuemnE6QJIa-Nlw/edit?usp=sharing"",""บุรีรัมย์!I676"")"),9)</f>
        <v>9</v>
      </c>
      <c r="BI38" s="177">
        <f ca="1">IFERROR(__xludf.DUMMYFUNCTION("IMPORTRANGE(""https://docs.google.com/spreadsheets/d/1MMPq-JyI6DSgQETxuSiXkesP-P7JHuemnE6QJIa-Nlw/edit?usp=sharing"",""บุรีรัมย์!I678"")"),75)</f>
        <v>75</v>
      </c>
      <c r="BJ38" s="177">
        <f ca="1">IFERROR(__xludf.DUMMYFUNCTION("IMPORTRANGE(""https://docs.google.com/spreadsheets/d/1MMPq-JyI6DSgQETxuSiXkesP-P7JHuemnE6QJIa-Nlw/edit?usp=sharing"",""บุรีรัมย์!J676"")"),0)</f>
        <v>0</v>
      </c>
      <c r="BK38" s="177">
        <f ca="1">IFERROR(__xludf.DUMMYFUNCTION("IMPORTRANGE(""https://docs.google.com/spreadsheets/d/1MMPq-JyI6DSgQETxuSiXkesP-P7JHuemnE6QJIa-Nlw/edit?usp=sharing"",""บุรีรัมย์!J677"")"),0)</f>
        <v>0</v>
      </c>
      <c r="BL38" s="177">
        <f ca="1">IFERROR(__xludf.DUMMYFUNCTION("IMPORTRANGE(""https://docs.google.com/spreadsheets/d/1MMPq-JyI6DSgQETxuSiXkesP-P7JHuemnE6QJIa-Nlw/edit?usp=sharing"",""บุรีรัมย์!J678"")"),0)</f>
        <v>0</v>
      </c>
      <c r="BM38" s="177">
        <f ca="1">IFERROR(__xludf.DUMMYFUNCTION("IMPORTRANGE(""https://docs.google.com/spreadsheets/d/1MMPq-JyI6DSgQETxuSiXkesP-P7JHuemnE6QJIa-Nlw/edit?usp=sharing"",""บุรีรัมย์!I679"")"),0)</f>
        <v>0</v>
      </c>
      <c r="BN38" s="177">
        <f ca="1">IFERROR(__xludf.DUMMYFUNCTION("IMPORTRANGE(""https://docs.google.com/spreadsheets/d/1MMPq-JyI6DSgQETxuSiXkesP-P7JHuemnE6QJIa-Nlw/edit?usp=sharing"",""บุรีรัมย์!I681"")"),0)</f>
        <v>0</v>
      </c>
      <c r="BO38" s="177">
        <f ca="1">IFERROR(__xludf.DUMMYFUNCTION("IMPORTRANGE(""https://docs.google.com/spreadsheets/d/1MMPq-JyI6DSgQETxuSiXkesP-P7JHuemnE6QJIa-Nlw/edit?usp=sharing"",""บุรีรัมย์!J679"")"),0)</f>
        <v>0</v>
      </c>
      <c r="BP38" s="177">
        <f ca="1">IFERROR(__xludf.DUMMYFUNCTION("IMPORTRANGE(""https://docs.google.com/spreadsheets/d/1MMPq-JyI6DSgQETxuSiXkesP-P7JHuemnE6QJIa-Nlw/edit?usp=sharing"",""บุรีรัมย์!J680"")"),0)</f>
        <v>0</v>
      </c>
      <c r="BQ38" s="177">
        <f ca="1">IFERROR(__xludf.DUMMYFUNCTION("IMPORTRANGE(""https://docs.google.com/spreadsheets/d/1MMPq-JyI6DSgQETxuSiXkesP-P7JHuemnE6QJIa-Nlw/edit?usp=sharing"",""บุรีรัมย์!J681"")"),0)</f>
        <v>0</v>
      </c>
      <c r="BR38" s="177">
        <f ca="1">IFERROR(__xludf.DUMMYFUNCTION("IMPORTRANGE(""https://docs.google.com/spreadsheets/d/1MMPq-JyI6DSgQETxuSiXkesP-P7JHuemnE6QJIa-Nlw/edit?usp=sharing"",""บุรีรัมย์!I682"")"),50)</f>
        <v>50</v>
      </c>
      <c r="BS38" s="177">
        <f ca="1">IFERROR(__xludf.DUMMYFUNCTION("IMPORTRANGE(""https://docs.google.com/spreadsheets/d/1MMPq-JyI6DSgQETxuSiXkesP-P7JHuemnE6QJIa-Nlw/edit?usp=sharing"",""บุรีรัมย์!J682"")"),0)</f>
        <v>0</v>
      </c>
      <c r="BT38" s="354">
        <f t="shared" ca="1" si="63"/>
        <v>0</v>
      </c>
      <c r="BU38" s="177">
        <f ca="1">IFERROR(__xludf.DUMMYFUNCTION("IMPORTRANGE(""https://docs.google.com/spreadsheets/d/1MMPq-JyI6DSgQETxuSiXkesP-P7JHuemnE6QJIa-Nlw/edit?usp=sharing"",""บุรีรัมย์!J683"")"),0)</f>
        <v>0</v>
      </c>
      <c r="BV38" s="177">
        <f ca="1">IFERROR(__xludf.DUMMYFUNCTION("IMPORTRANGE(""https://docs.google.com/spreadsheets/d/1MMPq-JyI6DSgQETxuSiXkesP-P7JHuemnE6QJIa-Nlw/edit?usp=sharing"",""บุรีรัมย์!J684"")"),0)</f>
        <v>0</v>
      </c>
      <c r="BW38" s="177">
        <f ca="1">IFERROR(__xludf.DUMMYFUNCTION("IMPORTRANGE(""https://docs.google.com/spreadsheets/d/1MMPq-JyI6DSgQETxuSiXkesP-P7JHuemnE6QJIa-Nlw/edit?usp=sharing"",""บุรีรัมย์!J685"")"),0)</f>
        <v>0</v>
      </c>
      <c r="BX38" s="177">
        <f ca="1">IFERROR(__xludf.DUMMYFUNCTION("IMPORTRANGE(""https://docs.google.com/spreadsheets/d/1MMPq-JyI6DSgQETxuSiXkesP-P7JHuemnE6QJIa-Nlw/edit?usp=sharing"",""บุรีรัมย์!J686"")"),0)</f>
        <v>0</v>
      </c>
      <c r="BY38" s="177">
        <f ca="1">IFERROR(__xludf.DUMMYFUNCTION("IMPORTRANGE(""https://docs.google.com/spreadsheets/d/1MMPq-JyI6DSgQETxuSiXkesP-P7JHuemnE6QJIa-Nlw/edit?usp=sharing"",""บุรีรัมย์!J687"")"),0)</f>
        <v>0</v>
      </c>
      <c r="BZ38" s="177">
        <f ca="1">IFERROR(__xludf.DUMMYFUNCTION("IMPORTRANGE(""https://docs.google.com/spreadsheets/d/1MMPq-JyI6DSgQETxuSiXkesP-P7JHuemnE6QJIa-Nlw/edit?usp=sharing"",""บุรีรัมย์!J688"")"),0)</f>
        <v>0</v>
      </c>
    </row>
    <row r="39" spans="1:78" ht="21.75" customHeight="1" x14ac:dyDescent="0.3">
      <c r="A39" s="89">
        <v>8</v>
      </c>
      <c r="B39" s="90" t="s">
        <v>65</v>
      </c>
      <c r="C39" s="174">
        <f t="shared" si="38"/>
        <v>0</v>
      </c>
      <c r="D39" s="175">
        <f t="shared" si="76"/>
        <v>0</v>
      </c>
      <c r="E39" s="403">
        <v>0</v>
      </c>
      <c r="F39" s="403">
        <v>0</v>
      </c>
      <c r="G39" s="403">
        <v>0</v>
      </c>
      <c r="H39" s="403">
        <v>0</v>
      </c>
      <c r="I39" s="403">
        <v>0</v>
      </c>
      <c r="J39" s="176">
        <f t="shared" si="40"/>
        <v>0</v>
      </c>
      <c r="K39" s="179">
        <f t="shared" si="41"/>
        <v>0</v>
      </c>
      <c r="L39" s="403">
        <v>0</v>
      </c>
      <c r="M39" s="87">
        <f t="shared" si="42"/>
        <v>0</v>
      </c>
      <c r="N39" s="87">
        <f t="shared" si="43"/>
        <v>0</v>
      </c>
      <c r="O39" s="403">
        <v>0</v>
      </c>
      <c r="P39" s="86">
        <f t="shared" si="44"/>
        <v>0</v>
      </c>
      <c r="Q39" s="87">
        <f t="shared" si="45"/>
        <v>0</v>
      </c>
      <c r="R39" s="87">
        <f ca="1">IFERROR(__xludf.DUMMYFUNCTION("IMPORTRANGE(""https://docs.google.com/spreadsheets/d/1l6IZ8xUPgMrESzcTYwhA1k_tPjeQjJPTqlm8Gd9eU5g/edit?usp=sharing"",""มหาสารคาม!Q642"")"),0)</f>
        <v>0</v>
      </c>
      <c r="S39" s="87">
        <f ca="1">IFERROR(__xludf.DUMMYFUNCTION("IMPORTRANGE(""https://docs.google.com/spreadsheets/d/1l6IZ8xUPgMrESzcTYwhA1k_tPjeQjJPTqlm8Gd9eU5g/edit?usp=sharing"",""มหาสารคาม!R642"")"),0)</f>
        <v>0</v>
      </c>
      <c r="T39" s="87">
        <f ca="1">IFERROR(__xludf.DUMMYFUNCTION("IMPORTRANGE(""https://docs.google.com/spreadsheets/d/1l6IZ8xUPgMrESzcTYwhA1k_tPjeQjJPTqlm8Gd9eU5g/edit?usp=sharing"",""มหาสารคาม!S642"")"),0)</f>
        <v>0</v>
      </c>
      <c r="U39" s="87">
        <f t="shared" ca="1" si="47"/>
        <v>0</v>
      </c>
      <c r="V39" s="87">
        <f t="shared" ca="1" si="48"/>
        <v>0</v>
      </c>
      <c r="W39" s="353">
        <f ca="1">IFERROR(__xludf.DUMMYFUNCTION("IMPORTRANGE(""https://docs.google.com/spreadsheets/d/1l6IZ8xUPgMrESzcTYwhA1k_tPjeQjJPTqlm8Gd9eU5g/edit?usp=sharing"",""มหาสารคาม!I652"")"),0)</f>
        <v>0</v>
      </c>
      <c r="X39" s="452">
        <f ca="1">IFERROR(__xludf.DUMMYFUNCTION("IMPORTRANGE(""https://docs.google.com/spreadsheets/d/1l6IZ8xUPgMrESzcTYwhA1k_tPjeQjJPTqlm8Gd9eU5g/edit?usp=sharing"",""มหาสารคาม!J652"")"),0)</f>
        <v>0</v>
      </c>
      <c r="Y39" s="354">
        <f t="shared" ca="1" si="50"/>
        <v>0</v>
      </c>
      <c r="Z39" s="177">
        <f ca="1">IFERROR(__xludf.DUMMYFUNCTION("IMPORTRANGE(""https://docs.google.com/spreadsheets/d/1l6IZ8xUPgMrESzcTYwhA1k_tPjeQjJPTqlm8Gd9eU5g/edit?usp=sharing"",""มหาสารคาม!I653"")"),0)</f>
        <v>0</v>
      </c>
      <c r="AA39" s="452">
        <f ca="1">IFERROR(__xludf.DUMMYFUNCTION("IMPORTRANGE(""https://docs.google.com/spreadsheets/d/1l6IZ8xUPgMrESzcTYwhA1k_tPjeQjJPTqlm8Gd9eU5g/edit?usp=sharing"",""มหาสารคาม!J653"")"),0)</f>
        <v>0</v>
      </c>
      <c r="AB39" s="354">
        <f t="shared" ca="1" si="52"/>
        <v>0</v>
      </c>
      <c r="AC39" s="177">
        <f ca="1">IFERROR(__xludf.DUMMYFUNCTION("IMPORTRANGE(""https://docs.google.com/spreadsheets/d/1l6IZ8xUPgMrESzcTYwhA1k_tPjeQjJPTqlm8Gd9eU5g/edit?usp=sharing"",""มหาสารคาม!I654"")"),0)</f>
        <v>0</v>
      </c>
      <c r="AD39" s="177">
        <f ca="1">IFERROR(__xludf.DUMMYFUNCTION("IMPORTRANGE(""https://docs.google.com/spreadsheets/d/1l6IZ8xUPgMrESzcTYwhA1k_tPjeQjJPTqlm8Gd9eU5g/edit?usp=sharing"",""มหาสารคาม!J654"")"),0)</f>
        <v>0</v>
      </c>
      <c r="AE39" s="354">
        <f t="shared" ca="1" si="54"/>
        <v>0</v>
      </c>
      <c r="AF39" s="354">
        <f ca="1">IFERROR(__xludf.DUMMYFUNCTION("IMPORTRANGE(""https://docs.google.com/spreadsheets/d/1l6IZ8xUPgMrESzcTYwhA1k_tPjeQjJPTqlm8Gd9eU5g/edit?usp=sharing"",""มหาสารคาม!J655"")"),0)</f>
        <v>0</v>
      </c>
      <c r="AG39" s="354">
        <f ca="1">IFERROR(__xludf.DUMMYFUNCTION("IMPORTRANGE(""https://docs.google.com/spreadsheets/d/1l6IZ8xUPgMrESzcTYwhA1k_tPjeQjJPTqlm8Gd9eU5g/edit?usp=sharing"",""มหาสารคาม!J656"")"),0)</f>
        <v>0</v>
      </c>
      <c r="AH39" s="354">
        <f ca="1">IFERROR(__xludf.DUMMYFUNCTION("IMPORTRANGE(""https://docs.google.com/spreadsheets/d/1l6IZ8xUPgMrESzcTYwhA1k_tPjeQjJPTqlm8Gd9eU5g/edit?usp=sharing"",""มหาสารคาม!J657"")"),0)</f>
        <v>0</v>
      </c>
      <c r="AI39" s="354">
        <f ca="1">IFERROR(__xludf.DUMMYFUNCTION("IMPORTRANGE(""https://docs.google.com/spreadsheets/d/1l6IZ8xUPgMrESzcTYwhA1k_tPjeQjJPTqlm8Gd9eU5g/edit?usp=sharing"",""มหาสารคาม!J658"")"),0)</f>
        <v>0</v>
      </c>
      <c r="AJ39" s="354">
        <f ca="1">IFERROR(__xludf.DUMMYFUNCTION("IMPORTRANGE(""https://docs.google.com/spreadsheets/d/1l6IZ8xUPgMrESzcTYwhA1k_tPjeQjJPTqlm8Gd9eU5g/edit?usp=sharing"",""มหาสารคาม!J659"")"),0)</f>
        <v>0</v>
      </c>
      <c r="AK39" s="354">
        <f ca="1">IFERROR(__xludf.DUMMYFUNCTION("IMPORTRANGE(""https://docs.google.com/spreadsheets/d/1l6IZ8xUPgMrESzcTYwhA1k_tPjeQjJPTqlm8Gd9eU5g/edit?usp=sharing"",""มหาสารคาม!J660"")"),0)</f>
        <v>0</v>
      </c>
      <c r="AL39" s="177">
        <f ca="1">IFERROR(__xludf.DUMMYFUNCTION("IMPORTRANGE(""https://docs.google.com/spreadsheets/d/1l6IZ8xUPgMrESzcTYwhA1k_tPjeQjJPTqlm8Gd9eU5g/edit?usp=sharing"",""มหาสารคาม!I661"")"),0)</f>
        <v>0</v>
      </c>
      <c r="AM39" s="177">
        <f ca="1">IFERROR(__xludf.DUMMYFUNCTION("IMPORTRANGE(""https://docs.google.com/spreadsheets/d/1l6IZ8xUPgMrESzcTYwhA1k_tPjeQjJPTqlm8Gd9eU5g/edit?usp=sharing"",""มหาสารคาม!J661"")"),0)</f>
        <v>0</v>
      </c>
      <c r="AN39" s="354">
        <f t="shared" ca="1" si="56"/>
        <v>0</v>
      </c>
      <c r="AO39" s="177">
        <f ca="1">IFERROR(__xludf.DUMMYFUNCTION("IMPORTRANGE(""https://docs.google.com/spreadsheets/d/1l6IZ8xUPgMrESzcTYwhA1k_tPjeQjJPTqlm8Gd9eU5g/edit?usp=sharing"",""มหาสารคาม!J662"")"),0)</f>
        <v>0</v>
      </c>
      <c r="AP39" s="177">
        <f ca="1">IFERROR(__xludf.DUMMYFUNCTION("IMPORTRANGE(""https://docs.google.com/spreadsheets/d/1l6IZ8xUPgMrESzcTYwhA1k_tPjeQjJPTqlm8Gd9eU5g/edit?usp=sharing"",""มหาสารคาม!J663"")"),0)</f>
        <v>0</v>
      </c>
      <c r="AQ39" s="177">
        <f ca="1">IFERROR(__xludf.DUMMYFUNCTION("IMPORTRANGE(""https://docs.google.com/spreadsheets/d/1l6IZ8xUPgMrESzcTYwhA1k_tPjeQjJPTqlm8Gd9eU5g/edit?usp=sharing"",""มหาสารคาม!J665"")"),0)</f>
        <v>0</v>
      </c>
      <c r="AR39" s="177">
        <f ca="1">IFERROR(__xludf.DUMMYFUNCTION("IMPORTRANGE(""https://docs.google.com/spreadsheets/d/1l6IZ8xUPgMrESzcTYwhA1k_tPjeQjJPTqlm8Gd9eU5g/edit?usp=sharing"",""มหาสารคาม!J666"")"),0)</f>
        <v>0</v>
      </c>
      <c r="AS39" s="177">
        <f ca="1">IFERROR(__xludf.DUMMYFUNCTION("IMPORTRANGE(""https://docs.google.com/spreadsheets/d/1l6IZ8xUPgMrESzcTYwhA1k_tPjeQjJPTqlm8Gd9eU5g/edit?usp=sharing"",""มหาสารคาม!J667"")"),0)</f>
        <v>0</v>
      </c>
      <c r="AT39" s="177">
        <f ca="1">IFERROR(__xludf.DUMMYFUNCTION("IMPORTRANGE(""https://docs.google.com/spreadsheets/d/1l6IZ8xUPgMrESzcTYwhA1k_tPjeQjJPTqlm8Gd9eU5g/edit?usp=sharing"",""มหาสารคาม!J668"")"),0)</f>
        <v>0</v>
      </c>
      <c r="AU39" s="177">
        <f ca="1">IFERROR(__xludf.DUMMYFUNCTION("IMPORTRANGE(""https://docs.google.com/spreadsheets/d/1l6IZ8xUPgMrESzcTYwhA1k_tPjeQjJPTqlm8Gd9eU5g/edit?usp=sharing"",""มหาสารคาม!J669"")"),0)</f>
        <v>0</v>
      </c>
      <c r="AV39" s="177">
        <f ca="1">IFERROR(__xludf.DUMMYFUNCTION("IMPORTRANGE(""https://docs.google.com/spreadsheets/d/1l6IZ8xUPgMrESzcTYwhA1k_tPjeQjJPTqlm8Gd9eU5g/edit?usp=sharing"",""มหาสารคาม!J670"")"),0)</f>
        <v>0</v>
      </c>
      <c r="AW39" s="177">
        <v>0</v>
      </c>
      <c r="AX39" s="452">
        <f ca="1">IFERROR(__xludf.DUMMYFUNCTION("IMPORTRANGE(""https://docs.google.com/spreadsheets/d/1l6IZ8xUPgMrESzcTYwhA1k_tPjeQjJPTqlm8Gd9eU5g/edit?usp=sharing"",""มหาสารคาม!J671"")"),0)</f>
        <v>0</v>
      </c>
      <c r="AY39" s="452">
        <f ca="1">IFERROR(__xludf.DUMMYFUNCTION("IMPORTRANGE(""https://docs.google.com/spreadsheets/d/1l6IZ8xUPgMrESzcTYwhA1k_tPjeQjJPTqlm8Gd9eU5g/edit?usp=sharing"",""มหาสารคาม!J672"")"),0)</f>
        <v>0</v>
      </c>
      <c r="AZ39" s="452">
        <f ca="1">IFERROR(__xludf.DUMMYFUNCTION("IMPORTRANGE(""https://docs.google.com/spreadsheets/d/1l6IZ8xUPgMrESzcTYwhA1k_tPjeQjJPTqlm8Gd9eU5g/edit?usp=sharing"",""มหาสารคาม!J673"")"),0)</f>
        <v>0</v>
      </c>
      <c r="BA39" s="354">
        <f t="shared" si="58"/>
        <v>0</v>
      </c>
      <c r="BB39" s="177">
        <f ca="1">IFERROR(__xludf.DUMMYFUNCTION("IMPORTRANGE(""https://docs.google.com/spreadsheets/d/1l6IZ8xUPgMrESzcTYwhA1k_tPjeQjJPTqlm8Gd9eU5g/edit?usp=sharing"",""มหาสารคาม!I674"")"),0)</f>
        <v>0</v>
      </c>
      <c r="BC39" s="177">
        <f ca="1">IFERROR(__xludf.DUMMYFUNCTION("IMPORTRANGE(""https://docs.google.com/spreadsheets/d/1l6IZ8xUPgMrESzcTYwhA1k_tPjeQjJPTqlm8Gd9eU5g/edit?usp=sharing"",""มหาสารคาม!I675"")"),0)</f>
        <v>0</v>
      </c>
      <c r="BD39" s="452">
        <f ca="1">IFERROR(__xludf.DUMMYFUNCTION("IMPORTRANGE(""https://docs.google.com/spreadsheets/d/1l6IZ8xUPgMrESzcTYwhA1k_tPjeQjJPTqlm8Gd9eU5g/edit?usp=sharing"",""มหาสารคาม!J674"")"),0)</f>
        <v>0</v>
      </c>
      <c r="BE39" s="354">
        <f t="shared" ca="1" si="60"/>
        <v>0</v>
      </c>
      <c r="BF39" s="452">
        <f ca="1">IFERROR(__xludf.DUMMYFUNCTION("IMPORTRANGE(""https://docs.google.com/spreadsheets/d/1l6IZ8xUPgMrESzcTYwhA1k_tPjeQjJPTqlm8Gd9eU5g/edit?usp=sharing"",""มหาสารคาม!J675"")"),0)</f>
        <v>0</v>
      </c>
      <c r="BG39" s="354">
        <f t="shared" ca="1" si="61"/>
        <v>0</v>
      </c>
      <c r="BH39" s="177">
        <f ca="1">IFERROR(__xludf.DUMMYFUNCTION("IMPORTRANGE(""https://docs.google.com/spreadsheets/d/1l6IZ8xUPgMrESzcTYwhA1k_tPjeQjJPTqlm8Gd9eU5g/edit?usp=sharing"",""มหาสารคาม!I676"")"),0)</f>
        <v>0</v>
      </c>
      <c r="BI39" s="177">
        <f ca="1">IFERROR(__xludf.DUMMYFUNCTION("IMPORTRANGE(""https://docs.google.com/spreadsheets/d/1l6IZ8xUPgMrESzcTYwhA1k_tPjeQjJPTqlm8Gd9eU5g/edit?usp=sharing"",""มหาสารคาม!I678"")"),0)</f>
        <v>0</v>
      </c>
      <c r="BJ39" s="452">
        <f ca="1">IFERROR(__xludf.DUMMYFUNCTION("IMPORTRANGE(""https://docs.google.com/spreadsheets/d/1l6IZ8xUPgMrESzcTYwhA1k_tPjeQjJPTqlm8Gd9eU5g/edit?usp=sharing"",""มหาสารคาม!J676"")"),0)</f>
        <v>0</v>
      </c>
      <c r="BK39" s="452">
        <f ca="1">IFERROR(__xludf.DUMMYFUNCTION("IMPORTRANGE(""https://docs.google.com/spreadsheets/d/1l6IZ8xUPgMrESzcTYwhA1k_tPjeQjJPTqlm8Gd9eU5g/edit?usp=sharing"",""มหาสารคาม!J677"")"),0)</f>
        <v>0</v>
      </c>
      <c r="BL39" s="452">
        <f ca="1">IFERROR(__xludf.DUMMYFUNCTION("IMPORTRANGE(""https://docs.google.com/spreadsheets/d/1l6IZ8xUPgMrESzcTYwhA1k_tPjeQjJPTqlm8Gd9eU5g/edit?usp=sharing"",""มหาสารคาม!J678"")"),0)</f>
        <v>0</v>
      </c>
      <c r="BM39" s="177">
        <f ca="1">IFERROR(__xludf.DUMMYFUNCTION("IMPORTRANGE(""https://docs.google.com/spreadsheets/d/1l6IZ8xUPgMrESzcTYwhA1k_tPjeQjJPTqlm8Gd9eU5g/edit?usp=sharing"",""มหาสารคาม!I679"")"),0)</f>
        <v>0</v>
      </c>
      <c r="BN39" s="177">
        <f ca="1">IFERROR(__xludf.DUMMYFUNCTION("IMPORTRANGE(""https://docs.google.com/spreadsheets/d/1l6IZ8xUPgMrESzcTYwhA1k_tPjeQjJPTqlm8Gd9eU5g/edit?usp=sharing"",""มหาสารคาม!I681"")"),0)</f>
        <v>0</v>
      </c>
      <c r="BO39" s="452">
        <f ca="1">IFERROR(__xludf.DUMMYFUNCTION("IMPORTRANGE(""https://docs.google.com/spreadsheets/d/1l6IZ8xUPgMrESzcTYwhA1k_tPjeQjJPTqlm8Gd9eU5g/edit?usp=sharing"",""มหาสารคาม!J679"")"),0)</f>
        <v>0</v>
      </c>
      <c r="BP39" s="452">
        <f ca="1">IFERROR(__xludf.DUMMYFUNCTION("IMPORTRANGE(""https://docs.google.com/spreadsheets/d/1l6IZ8xUPgMrESzcTYwhA1k_tPjeQjJPTqlm8Gd9eU5g/edit?usp=sharing"",""มหาสารคาม!J680"")"),0)</f>
        <v>0</v>
      </c>
      <c r="BQ39" s="452">
        <f ca="1">IFERROR(__xludf.DUMMYFUNCTION("IMPORTRANGE(""https://docs.google.com/spreadsheets/d/1l6IZ8xUPgMrESzcTYwhA1k_tPjeQjJPTqlm8Gd9eU5g/edit?usp=sharing"",""มหาสารคาม!J681"")"),0)</f>
        <v>0</v>
      </c>
      <c r="BR39" s="177">
        <f ca="1">IFERROR(__xludf.DUMMYFUNCTION("IMPORTRANGE(""https://docs.google.com/spreadsheets/d/1l6IZ8xUPgMrESzcTYwhA1k_tPjeQjJPTqlm8Gd9eU5g/edit?usp=sharing"",""มหาสารคาม!I682"")"),0)</f>
        <v>0</v>
      </c>
      <c r="BS39" s="177">
        <f ca="1">IFERROR(__xludf.DUMMYFUNCTION("IMPORTRANGE(""https://docs.google.com/spreadsheets/d/1l6IZ8xUPgMrESzcTYwhA1k_tPjeQjJPTqlm8Gd9eU5g/edit?usp=sharing"",""มหาสารคาม!J682"")"),0)</f>
        <v>0</v>
      </c>
      <c r="BT39" s="354">
        <f t="shared" ca="1" si="63"/>
        <v>0</v>
      </c>
      <c r="BU39" s="177">
        <f ca="1">IFERROR(__xludf.DUMMYFUNCTION("IMPORTRANGE(""https://docs.google.com/spreadsheets/d/1l6IZ8xUPgMrESzcTYwhA1k_tPjeQjJPTqlm8Gd9eU5g/edit?usp=sharing"",""มหาสารคาม!J683"")"),0)</f>
        <v>0</v>
      </c>
      <c r="BV39" s="177">
        <f ca="1">IFERROR(__xludf.DUMMYFUNCTION("IMPORTRANGE(""https://docs.google.com/spreadsheets/d/1l6IZ8xUPgMrESzcTYwhA1k_tPjeQjJPTqlm8Gd9eU5g/edit?usp=sharing"",""มหาสารคาม!J684"")"),0)</f>
        <v>0</v>
      </c>
      <c r="BW39" s="177">
        <f ca="1">IFERROR(__xludf.DUMMYFUNCTION("IMPORTRANGE(""https://docs.google.com/spreadsheets/d/1l6IZ8xUPgMrESzcTYwhA1k_tPjeQjJPTqlm8Gd9eU5g/edit?usp=sharing"",""มหาสารคาม!J685"")"),0)</f>
        <v>0</v>
      </c>
      <c r="BX39" s="177">
        <f ca="1">IFERROR(__xludf.DUMMYFUNCTION("IMPORTRANGE(""https://docs.google.com/spreadsheets/d/1l6IZ8xUPgMrESzcTYwhA1k_tPjeQjJPTqlm8Gd9eU5g/edit?usp=sharing"",""มหาสารคาม!J686"")"),0)</f>
        <v>0</v>
      </c>
      <c r="BY39" s="177">
        <f ca="1">IFERROR(__xludf.DUMMYFUNCTION("IMPORTRANGE(""https://docs.google.com/spreadsheets/d/1l6IZ8xUPgMrESzcTYwhA1k_tPjeQjJPTqlm8Gd9eU5g/edit?usp=sharing"",""มหาสารคาม!J687"")"),0)</f>
        <v>0</v>
      </c>
      <c r="BZ39" s="177">
        <f ca="1">IFERROR(__xludf.DUMMYFUNCTION("IMPORTRANGE(""https://docs.google.com/spreadsheets/d/1l6IZ8xUPgMrESzcTYwhA1k_tPjeQjJPTqlm8Gd9eU5g/edit?usp=sharing"",""มหาสารคาม!J688"")"),0)</f>
        <v>0</v>
      </c>
    </row>
    <row r="40" spans="1:78" ht="21.75" customHeight="1" x14ac:dyDescent="0.3">
      <c r="A40" s="89">
        <v>9</v>
      </c>
      <c r="B40" s="90" t="s">
        <v>66</v>
      </c>
      <c r="C40" s="174">
        <f t="shared" si="38"/>
        <v>0</v>
      </c>
      <c r="D40" s="175">
        <f t="shared" si="76"/>
        <v>0</v>
      </c>
      <c r="E40" s="403">
        <v>0</v>
      </c>
      <c r="F40" s="403">
        <v>0</v>
      </c>
      <c r="G40" s="403">
        <v>0</v>
      </c>
      <c r="H40" s="403">
        <v>0</v>
      </c>
      <c r="I40" s="403">
        <v>0</v>
      </c>
      <c r="J40" s="176">
        <f t="shared" si="40"/>
        <v>0</v>
      </c>
      <c r="K40" s="179">
        <f t="shared" si="41"/>
        <v>0</v>
      </c>
      <c r="L40" s="403">
        <v>0</v>
      </c>
      <c r="M40" s="87">
        <f t="shared" si="42"/>
        <v>0</v>
      </c>
      <c r="N40" s="87">
        <f t="shared" si="43"/>
        <v>0</v>
      </c>
      <c r="O40" s="403">
        <v>0</v>
      </c>
      <c r="P40" s="86">
        <f t="shared" si="44"/>
        <v>0</v>
      </c>
      <c r="Q40" s="87">
        <f t="shared" si="45"/>
        <v>0</v>
      </c>
      <c r="R40" s="87">
        <f ca="1">IFERROR(__xludf.DUMMYFUNCTION("IMPORTRANGE(""https://docs.google.com/spreadsheets/d/1uB74YLqNjWX6FObjekfB2NtSYigTQyR2rq9u4Ub2Sq4/edit?usp=sharing"",""มุกดาหาร!Q642"")"),0)</f>
        <v>0</v>
      </c>
      <c r="S40" s="87">
        <f ca="1">IFERROR(__xludf.DUMMYFUNCTION("IMPORTRANGE(""https://docs.google.com/spreadsheets/d/1uB74YLqNjWX6FObjekfB2NtSYigTQyR2rq9u4Ub2Sq4/edit?usp=sharing"",""มุกดาหาร!R642"")"),0)</f>
        <v>0</v>
      </c>
      <c r="T40" s="87">
        <f ca="1">IFERROR(__xludf.DUMMYFUNCTION("IMPORTRANGE(""https://docs.google.com/spreadsheets/d/1uB74YLqNjWX6FObjekfB2NtSYigTQyR2rq9u4Ub2Sq4/edit?usp=sharing"",""มุกดาหาร!S642"")"),0)</f>
        <v>0</v>
      </c>
      <c r="U40" s="87">
        <f t="shared" ca="1" si="47"/>
        <v>0</v>
      </c>
      <c r="V40" s="87">
        <f t="shared" ca="1" si="48"/>
        <v>0</v>
      </c>
      <c r="W40" s="353">
        <f ca="1">IFERROR(__xludf.DUMMYFUNCTION("IMPORTRANGE(""https://docs.google.com/spreadsheets/d/1uB74YLqNjWX6FObjekfB2NtSYigTQyR2rq9u4Ub2Sq4/edit?usp=sharing"",""มุกดาหาร!I652"")"),0)</f>
        <v>0</v>
      </c>
      <c r="X40" s="177">
        <f ca="1">IFERROR(__xludf.DUMMYFUNCTION("IMPORTRANGE(""https://docs.google.com/spreadsheets/d/1uB74YLqNjWX6FObjekfB2NtSYigTQyR2rq9u4Ub2Sq4/edit?usp=sharing"",""มุกดาหาร!J652"")"),0)</f>
        <v>0</v>
      </c>
      <c r="Y40" s="354">
        <f t="shared" ca="1" si="50"/>
        <v>0</v>
      </c>
      <c r="Z40" s="177">
        <f ca="1">IFERROR(__xludf.DUMMYFUNCTION("IMPORTRANGE(""https://docs.google.com/spreadsheets/d/1uB74YLqNjWX6FObjekfB2NtSYigTQyR2rq9u4Ub2Sq4/edit?usp=sharing"",""มุกดาหาร!I653"")"),0)</f>
        <v>0</v>
      </c>
      <c r="AA40" s="177">
        <f ca="1">IFERROR(__xludf.DUMMYFUNCTION("IMPORTRANGE(""https://docs.google.com/spreadsheets/d/1uB74YLqNjWX6FObjekfB2NtSYigTQyR2rq9u4Ub2Sq4/edit?usp=sharing"",""มุกดาหาร!J653"")"),0)</f>
        <v>0</v>
      </c>
      <c r="AB40" s="354">
        <f t="shared" ca="1" si="52"/>
        <v>0</v>
      </c>
      <c r="AC40" s="177">
        <f ca="1">IFERROR(__xludf.DUMMYFUNCTION("IMPORTRANGE(""https://docs.google.com/spreadsheets/d/1uB74YLqNjWX6FObjekfB2NtSYigTQyR2rq9u4Ub2Sq4/edit?usp=sharing"",""มุกดาหาร!I654"")"),0)</f>
        <v>0</v>
      </c>
      <c r="AD40" s="177">
        <f ca="1">IFERROR(__xludf.DUMMYFUNCTION("IMPORTRANGE(""https://docs.google.com/spreadsheets/d/1uB74YLqNjWX6FObjekfB2NtSYigTQyR2rq9u4Ub2Sq4/edit?usp=sharing"",""มุกดาหาร!J654"")"),0)</f>
        <v>0</v>
      </c>
      <c r="AE40" s="354">
        <f t="shared" ca="1" si="54"/>
        <v>0</v>
      </c>
      <c r="AF40" s="354">
        <f ca="1">IFERROR(__xludf.DUMMYFUNCTION("IMPORTRANGE(""https://docs.google.com/spreadsheets/d/1uB74YLqNjWX6FObjekfB2NtSYigTQyR2rq9u4Ub2Sq4/edit?usp=sharing"",""มุกดาหาร!J655"")"),0)</f>
        <v>0</v>
      </c>
      <c r="AG40" s="354">
        <f ca="1">IFERROR(__xludf.DUMMYFUNCTION("IMPORTRANGE(""https://docs.google.com/spreadsheets/d/1uB74YLqNjWX6FObjekfB2NtSYigTQyR2rq9u4Ub2Sq4/edit?usp=sharing"",""มุกดาหาร!J656"")"),0)</f>
        <v>0</v>
      </c>
      <c r="AH40" s="354">
        <f ca="1">IFERROR(__xludf.DUMMYFUNCTION("IMPORTRANGE(""https://docs.google.com/spreadsheets/d/1uB74YLqNjWX6FObjekfB2NtSYigTQyR2rq9u4Ub2Sq4/edit?usp=sharing"",""มุกดาหาร!J657"")"),0)</f>
        <v>0</v>
      </c>
      <c r="AI40" s="354">
        <f ca="1">IFERROR(__xludf.DUMMYFUNCTION("IMPORTRANGE(""https://docs.google.com/spreadsheets/d/1uB74YLqNjWX6FObjekfB2NtSYigTQyR2rq9u4Ub2Sq4/edit?usp=sharing"",""มุกดาหาร!J658"")"),0)</f>
        <v>0</v>
      </c>
      <c r="AJ40" s="354">
        <f ca="1">IFERROR(__xludf.DUMMYFUNCTION("IMPORTRANGE(""https://docs.google.com/spreadsheets/d/1uB74YLqNjWX6FObjekfB2NtSYigTQyR2rq9u4Ub2Sq4/edit?usp=sharing"",""มุกดาหาร!J659"")"),0)</f>
        <v>0</v>
      </c>
      <c r="AK40" s="354">
        <f ca="1">IFERROR(__xludf.DUMMYFUNCTION("IMPORTRANGE(""https://docs.google.com/spreadsheets/d/1uB74YLqNjWX6FObjekfB2NtSYigTQyR2rq9u4Ub2Sq4/edit?usp=sharing"",""มุกดาหาร!J660"")"),0)</f>
        <v>0</v>
      </c>
      <c r="AL40" s="177">
        <f ca="1">IFERROR(__xludf.DUMMYFUNCTION("IMPORTRANGE(""https://docs.google.com/spreadsheets/d/1uB74YLqNjWX6FObjekfB2NtSYigTQyR2rq9u4Ub2Sq4/edit?usp=sharing"",""มุกดาหาร!I661"")"),0)</f>
        <v>0</v>
      </c>
      <c r="AM40" s="177">
        <f ca="1">IFERROR(__xludf.DUMMYFUNCTION("IMPORTRANGE(""https://docs.google.com/spreadsheets/d/1uB74YLqNjWX6FObjekfB2NtSYigTQyR2rq9u4Ub2Sq4/edit?usp=sharing"",""มุกดาหาร!J661"")"),0)</f>
        <v>0</v>
      </c>
      <c r="AN40" s="354">
        <f t="shared" ca="1" si="56"/>
        <v>0</v>
      </c>
      <c r="AO40" s="177">
        <f ca="1">IFERROR(__xludf.DUMMYFUNCTION("IMPORTRANGE(""https://docs.google.com/spreadsheets/d/1uB74YLqNjWX6FObjekfB2NtSYigTQyR2rq9u4Ub2Sq4/edit?usp=sharing"",""มุกดาหาร!J662"")"),0)</f>
        <v>0</v>
      </c>
      <c r="AP40" s="177">
        <f ca="1">IFERROR(__xludf.DUMMYFUNCTION("IMPORTRANGE(""https://docs.google.com/spreadsheets/d/1uB74YLqNjWX6FObjekfB2NtSYigTQyR2rq9u4Ub2Sq4/edit?usp=sharing"",""มุกดาหาร!J663"")"),0)</f>
        <v>0</v>
      </c>
      <c r="AQ40" s="177">
        <f ca="1">IFERROR(__xludf.DUMMYFUNCTION("IMPORTRANGE(""https://docs.google.com/spreadsheets/d/1uB74YLqNjWX6FObjekfB2NtSYigTQyR2rq9u4Ub2Sq4/edit?usp=sharing"",""มุกดาหาร!J665"")"),0)</f>
        <v>0</v>
      </c>
      <c r="AR40" s="177">
        <f ca="1">IFERROR(__xludf.DUMMYFUNCTION("IMPORTRANGE(""https://docs.google.com/spreadsheets/d/1uB74YLqNjWX6FObjekfB2NtSYigTQyR2rq9u4Ub2Sq4/edit?usp=sharing"",""มุกดาหาร!J666"")"),0)</f>
        <v>0</v>
      </c>
      <c r="AS40" s="177">
        <f ca="1">IFERROR(__xludf.DUMMYFUNCTION("IMPORTRANGE(""https://docs.google.com/spreadsheets/d/1uB74YLqNjWX6FObjekfB2NtSYigTQyR2rq9u4Ub2Sq4/edit?usp=sharing"",""มุกดาหาร!J667"")"),0)</f>
        <v>0</v>
      </c>
      <c r="AT40" s="177">
        <f ca="1">IFERROR(__xludf.DUMMYFUNCTION("IMPORTRANGE(""https://docs.google.com/spreadsheets/d/1uB74YLqNjWX6FObjekfB2NtSYigTQyR2rq9u4Ub2Sq4/edit?usp=sharing"",""มุกดาหาร!J668"")"),0)</f>
        <v>0</v>
      </c>
      <c r="AU40" s="177">
        <f ca="1">IFERROR(__xludf.DUMMYFUNCTION("IMPORTRANGE(""https://docs.google.com/spreadsheets/d/1uB74YLqNjWX6FObjekfB2NtSYigTQyR2rq9u4Ub2Sq4/edit?usp=sharing"",""มุกดาหาร!J669"")"),0)</f>
        <v>0</v>
      </c>
      <c r="AV40" s="177">
        <f ca="1">IFERROR(__xludf.DUMMYFUNCTION("IMPORTRANGE(""https://docs.google.com/spreadsheets/d/1uB74YLqNjWX6FObjekfB2NtSYigTQyR2rq9u4Ub2Sq4/edit?usp=sharing"",""มุกดาหาร!J670"")"),0)</f>
        <v>0</v>
      </c>
      <c r="AW40" s="177">
        <v>0</v>
      </c>
      <c r="AX40" s="177">
        <f ca="1">IFERROR(__xludf.DUMMYFUNCTION("IMPORTRANGE(""https://docs.google.com/spreadsheets/d/1uB74YLqNjWX6FObjekfB2NtSYigTQyR2rq9u4Ub2Sq4/edit?usp=sharing"",""มุกดาหาร!J671"")"),0)</f>
        <v>0</v>
      </c>
      <c r="AY40" s="177">
        <f ca="1">IFERROR(__xludf.DUMMYFUNCTION("IMPORTRANGE(""https://docs.google.com/spreadsheets/d/1uB74YLqNjWX6FObjekfB2NtSYigTQyR2rq9u4Ub2Sq4/edit?usp=sharing"",""มุกดาหาร!J672"")"),0)</f>
        <v>0</v>
      </c>
      <c r="AZ40" s="177">
        <f ca="1">IFERROR(__xludf.DUMMYFUNCTION("IMPORTRANGE(""https://docs.google.com/spreadsheets/d/1uB74YLqNjWX6FObjekfB2NtSYigTQyR2rq9u4Ub2Sq4/edit?usp=sharing"",""มุกดาหาร!J673"")"),0)</f>
        <v>0</v>
      </c>
      <c r="BA40" s="354">
        <f t="shared" si="58"/>
        <v>0</v>
      </c>
      <c r="BB40" s="177">
        <f ca="1">IFERROR(__xludf.DUMMYFUNCTION("IMPORTRANGE(""https://docs.google.com/spreadsheets/d/1uB74YLqNjWX6FObjekfB2NtSYigTQyR2rq9u4Ub2Sq4/edit?usp=sharing"",""มุกดาหาร!I674"")"),0)</f>
        <v>0</v>
      </c>
      <c r="BC40" s="177">
        <f ca="1">IFERROR(__xludf.DUMMYFUNCTION("IMPORTRANGE(""https://docs.google.com/spreadsheets/d/1uB74YLqNjWX6FObjekfB2NtSYigTQyR2rq9u4Ub2Sq4/edit?usp=sharing"",""มุกดาหาร!I675"")"),0)</f>
        <v>0</v>
      </c>
      <c r="BD40" s="177">
        <f ca="1">IFERROR(__xludf.DUMMYFUNCTION("IMPORTRANGE(""https://docs.google.com/spreadsheets/d/1uB74YLqNjWX6FObjekfB2NtSYigTQyR2rq9u4Ub2Sq4/edit?usp=sharing"",""มุกดาหาร!J674"")"),0)</f>
        <v>0</v>
      </c>
      <c r="BE40" s="354">
        <f t="shared" ca="1" si="60"/>
        <v>0</v>
      </c>
      <c r="BF40" s="177">
        <f ca="1">IFERROR(__xludf.DUMMYFUNCTION("IMPORTRANGE(""https://docs.google.com/spreadsheets/d/1uB74YLqNjWX6FObjekfB2NtSYigTQyR2rq9u4Ub2Sq4/edit?usp=sharing"",""มุกดาหาร!J675"")"),0)</f>
        <v>0</v>
      </c>
      <c r="BG40" s="354">
        <f t="shared" ca="1" si="61"/>
        <v>0</v>
      </c>
      <c r="BH40" s="177">
        <f ca="1">IFERROR(__xludf.DUMMYFUNCTION("IMPORTRANGE(""https://docs.google.com/spreadsheets/d/1uB74YLqNjWX6FObjekfB2NtSYigTQyR2rq9u4Ub2Sq4/edit?usp=sharing"",""มุกดาหาร!I676"")"),0)</f>
        <v>0</v>
      </c>
      <c r="BI40" s="177">
        <f ca="1">IFERROR(__xludf.DUMMYFUNCTION("IMPORTRANGE(""https://docs.google.com/spreadsheets/d/1uB74YLqNjWX6FObjekfB2NtSYigTQyR2rq9u4Ub2Sq4/edit?usp=sharing"",""มุกดาหาร!I678"")"),0)</f>
        <v>0</v>
      </c>
      <c r="BJ40" s="177">
        <f ca="1">IFERROR(__xludf.DUMMYFUNCTION("IMPORTRANGE(""https://docs.google.com/spreadsheets/d/1uB74YLqNjWX6FObjekfB2NtSYigTQyR2rq9u4Ub2Sq4/edit?usp=sharing"",""มุกดาหาร!J676"")"),0)</f>
        <v>0</v>
      </c>
      <c r="BK40" s="177">
        <f ca="1">IFERROR(__xludf.DUMMYFUNCTION("IMPORTRANGE(""https://docs.google.com/spreadsheets/d/1uB74YLqNjWX6FObjekfB2NtSYigTQyR2rq9u4Ub2Sq4/edit?usp=sharing"",""มุกดาหาร!J677"")"),0)</f>
        <v>0</v>
      </c>
      <c r="BL40" s="177">
        <f ca="1">IFERROR(__xludf.DUMMYFUNCTION("IMPORTRANGE(""https://docs.google.com/spreadsheets/d/1uB74YLqNjWX6FObjekfB2NtSYigTQyR2rq9u4Ub2Sq4/edit?usp=sharing"",""มุกดาหาร!J678"")"),0)</f>
        <v>0</v>
      </c>
      <c r="BM40" s="177">
        <f ca="1">IFERROR(__xludf.DUMMYFUNCTION("IMPORTRANGE(""https://docs.google.com/spreadsheets/d/1uB74YLqNjWX6FObjekfB2NtSYigTQyR2rq9u4Ub2Sq4/edit?usp=sharing"",""มุกดาหาร!I679"")"),0)</f>
        <v>0</v>
      </c>
      <c r="BN40" s="177">
        <f ca="1">IFERROR(__xludf.DUMMYFUNCTION("IMPORTRANGE(""https://docs.google.com/spreadsheets/d/1uB74YLqNjWX6FObjekfB2NtSYigTQyR2rq9u4Ub2Sq4/edit?usp=sharing"",""มุกดาหาร!I681"")"),0)</f>
        <v>0</v>
      </c>
      <c r="BO40" s="177">
        <f ca="1">IFERROR(__xludf.DUMMYFUNCTION("IMPORTRANGE(""https://docs.google.com/spreadsheets/d/1uB74YLqNjWX6FObjekfB2NtSYigTQyR2rq9u4Ub2Sq4/edit?usp=sharing"",""มุกดาหาร!J679"")"),0)</f>
        <v>0</v>
      </c>
      <c r="BP40" s="177">
        <f ca="1">IFERROR(__xludf.DUMMYFUNCTION("IMPORTRANGE(""https://docs.google.com/spreadsheets/d/1uB74YLqNjWX6FObjekfB2NtSYigTQyR2rq9u4Ub2Sq4/edit?usp=sharing"",""มุกดาหาร!J680"")"),0)</f>
        <v>0</v>
      </c>
      <c r="BQ40" s="177">
        <f ca="1">IFERROR(__xludf.DUMMYFUNCTION("IMPORTRANGE(""https://docs.google.com/spreadsheets/d/1uB74YLqNjWX6FObjekfB2NtSYigTQyR2rq9u4Ub2Sq4/edit?usp=sharing"",""มุกดาหาร!J681"")"),0)</f>
        <v>0</v>
      </c>
      <c r="BR40" s="177">
        <f ca="1">IFERROR(__xludf.DUMMYFUNCTION("IMPORTRANGE(""https://docs.google.com/spreadsheets/d/1uB74YLqNjWX6FObjekfB2NtSYigTQyR2rq9u4Ub2Sq4/edit?usp=sharing"",""มุกดาหาร!I682"")"),0)</f>
        <v>0</v>
      </c>
      <c r="BS40" s="177">
        <f ca="1">IFERROR(__xludf.DUMMYFUNCTION("IMPORTRANGE(""https://docs.google.com/spreadsheets/d/1uB74YLqNjWX6FObjekfB2NtSYigTQyR2rq9u4Ub2Sq4/edit?usp=sharing"",""มุกดาหาร!J682"")"),0)</f>
        <v>0</v>
      </c>
      <c r="BT40" s="354">
        <f t="shared" ca="1" si="63"/>
        <v>0</v>
      </c>
      <c r="BU40" s="177">
        <f ca="1">IFERROR(__xludf.DUMMYFUNCTION("IMPORTRANGE(""https://docs.google.com/spreadsheets/d/1uB74YLqNjWX6FObjekfB2NtSYigTQyR2rq9u4Ub2Sq4/edit?usp=sharing"",""มุกดาหาร!J683"")"),0)</f>
        <v>0</v>
      </c>
      <c r="BV40" s="177">
        <f ca="1">IFERROR(__xludf.DUMMYFUNCTION("IMPORTRANGE(""https://docs.google.com/spreadsheets/d/1uB74YLqNjWX6FObjekfB2NtSYigTQyR2rq9u4Ub2Sq4/edit?usp=sharing"",""มุกดาหาร!J684"")"),0)</f>
        <v>0</v>
      </c>
      <c r="BW40" s="177">
        <f ca="1">IFERROR(__xludf.DUMMYFUNCTION("IMPORTRANGE(""https://docs.google.com/spreadsheets/d/1uB74YLqNjWX6FObjekfB2NtSYigTQyR2rq9u4Ub2Sq4/edit?usp=sharing"",""มุกดาหาร!J685"")"),0)</f>
        <v>0</v>
      </c>
      <c r="BX40" s="177">
        <f ca="1">IFERROR(__xludf.DUMMYFUNCTION("IMPORTRANGE(""https://docs.google.com/spreadsheets/d/1uB74YLqNjWX6FObjekfB2NtSYigTQyR2rq9u4Ub2Sq4/edit?usp=sharing"",""มุกดาหาร!J686"")"),0)</f>
        <v>0</v>
      </c>
      <c r="BY40" s="177">
        <f ca="1">IFERROR(__xludf.DUMMYFUNCTION("IMPORTRANGE(""https://docs.google.com/spreadsheets/d/1uB74YLqNjWX6FObjekfB2NtSYigTQyR2rq9u4Ub2Sq4/edit?usp=sharing"",""มุกดาหาร!J687"")"),0)</f>
        <v>0</v>
      </c>
      <c r="BZ40" s="177">
        <f ca="1">IFERROR(__xludf.DUMMYFUNCTION("IMPORTRANGE(""https://docs.google.com/spreadsheets/d/1uB74YLqNjWX6FObjekfB2NtSYigTQyR2rq9u4Ub2Sq4/edit?usp=sharing"",""มุกดาหาร!J688"")"),0)</f>
        <v>0</v>
      </c>
    </row>
    <row r="41" spans="1:78" ht="21.75" customHeight="1" x14ac:dyDescent="0.3">
      <c r="A41" s="89">
        <v>10</v>
      </c>
      <c r="B41" s="90" t="s">
        <v>67</v>
      </c>
      <c r="C41" s="174">
        <f t="shared" si="38"/>
        <v>0</v>
      </c>
      <c r="D41" s="175">
        <f t="shared" si="76"/>
        <v>0</v>
      </c>
      <c r="E41" s="403">
        <v>0</v>
      </c>
      <c r="F41" s="403">
        <v>0</v>
      </c>
      <c r="G41" s="403">
        <v>0</v>
      </c>
      <c r="H41" s="403">
        <v>0</v>
      </c>
      <c r="I41" s="403">
        <v>0</v>
      </c>
      <c r="J41" s="176">
        <f t="shared" si="40"/>
        <v>0</v>
      </c>
      <c r="K41" s="179">
        <f t="shared" si="41"/>
        <v>0</v>
      </c>
      <c r="L41" s="403">
        <v>0</v>
      </c>
      <c r="M41" s="87">
        <f t="shared" si="42"/>
        <v>0</v>
      </c>
      <c r="N41" s="87">
        <f t="shared" si="43"/>
        <v>0</v>
      </c>
      <c r="O41" s="403">
        <v>0</v>
      </c>
      <c r="P41" s="86">
        <f t="shared" si="44"/>
        <v>0</v>
      </c>
      <c r="Q41" s="87">
        <f t="shared" si="45"/>
        <v>0</v>
      </c>
      <c r="R41" s="87">
        <f ca="1">IFERROR(__xludf.DUMMYFUNCTION("IMPORTRANGE(""https://docs.google.com/spreadsheets/d/1NexK3geCPxCTO1fzNF8dPec7yZyUx3OaWkFBC9HsQOo/edit?usp=sharing"",""ยโสธร!Q642"")"),0)</f>
        <v>0</v>
      </c>
      <c r="S41" s="87">
        <f ca="1">IFERROR(__xludf.DUMMYFUNCTION("IMPORTRANGE(""https://docs.google.com/spreadsheets/d/1NexK3geCPxCTO1fzNF8dPec7yZyUx3OaWkFBC9HsQOo/edit?usp=sharing"",""ยโสธร!R642"")"),0)</f>
        <v>0</v>
      </c>
      <c r="T41" s="87">
        <f ca="1">IFERROR(__xludf.DUMMYFUNCTION("IMPORTRANGE(""https://docs.google.com/spreadsheets/d/1NexK3geCPxCTO1fzNF8dPec7yZyUx3OaWkFBC9HsQOo/edit?usp=sharing"",""ยโสธร!S642"")"),0)</f>
        <v>0</v>
      </c>
      <c r="U41" s="87">
        <f t="shared" ca="1" si="47"/>
        <v>0</v>
      </c>
      <c r="V41" s="87">
        <f t="shared" ca="1" si="48"/>
        <v>0</v>
      </c>
      <c r="W41" s="353">
        <f ca="1">IFERROR(__xludf.DUMMYFUNCTION("IMPORTRANGE(""https://docs.google.com/spreadsheets/d/1NexK3geCPxCTO1fzNF8dPec7yZyUx3OaWkFBC9HsQOo/edit?usp=sharing"",""ยโสธร!I652"")"),0)</f>
        <v>0</v>
      </c>
      <c r="X41" s="177">
        <f ca="1">IFERROR(__xludf.DUMMYFUNCTION("IMPORTRANGE(""https://docs.google.com/spreadsheets/d/1NexK3geCPxCTO1fzNF8dPec7yZyUx3OaWkFBC9HsQOo/edit?usp=sharing"",""ยโสธร!J652"")"),0)</f>
        <v>0</v>
      </c>
      <c r="Y41" s="354">
        <f t="shared" ca="1" si="50"/>
        <v>0</v>
      </c>
      <c r="Z41" s="177">
        <f ca="1">IFERROR(__xludf.DUMMYFUNCTION("IMPORTRANGE(""https://docs.google.com/spreadsheets/d/1NexK3geCPxCTO1fzNF8dPec7yZyUx3OaWkFBC9HsQOo/edit?usp=sharing"",""ยโสธร!I653"")"),0)</f>
        <v>0</v>
      </c>
      <c r="AA41" s="177">
        <f ca="1">IFERROR(__xludf.DUMMYFUNCTION("IMPORTRANGE(""https://docs.google.com/spreadsheets/d/1NexK3geCPxCTO1fzNF8dPec7yZyUx3OaWkFBC9HsQOo/edit?usp=sharing"",""ยโสธร!J653"")"),0)</f>
        <v>0</v>
      </c>
      <c r="AB41" s="354">
        <f t="shared" ca="1" si="52"/>
        <v>0</v>
      </c>
      <c r="AC41" s="177">
        <f ca="1">IFERROR(__xludf.DUMMYFUNCTION("IMPORTRANGE(""https://docs.google.com/spreadsheets/d/1NexK3geCPxCTO1fzNF8dPec7yZyUx3OaWkFBC9HsQOo/edit?usp=sharing"",""ยโสธร!I654"")"),0)</f>
        <v>0</v>
      </c>
      <c r="AD41" s="177">
        <f ca="1">IFERROR(__xludf.DUMMYFUNCTION("IMPORTRANGE(""https://docs.google.com/spreadsheets/d/1NexK3geCPxCTO1fzNF8dPec7yZyUx3OaWkFBC9HsQOo/edit?usp=sharing"",""ยโสธร!J654"")"),0)</f>
        <v>0</v>
      </c>
      <c r="AE41" s="354">
        <f t="shared" ca="1" si="54"/>
        <v>0</v>
      </c>
      <c r="AF41" s="354">
        <f ca="1">IFERROR(__xludf.DUMMYFUNCTION("IMPORTRANGE(""https://docs.google.com/spreadsheets/d/1NexK3geCPxCTO1fzNF8dPec7yZyUx3OaWkFBC9HsQOo/edit?usp=sharing"",""ยโสธร!J655"")"),0)</f>
        <v>0</v>
      </c>
      <c r="AG41" s="354">
        <f ca="1">IFERROR(__xludf.DUMMYFUNCTION("IMPORTRANGE(""https://docs.google.com/spreadsheets/d/1NexK3geCPxCTO1fzNF8dPec7yZyUx3OaWkFBC9HsQOo/edit?usp=sharing"",""ยโสธร!J656"")"),0)</f>
        <v>0</v>
      </c>
      <c r="AH41" s="354">
        <f ca="1">IFERROR(__xludf.DUMMYFUNCTION("IMPORTRANGE(""https://docs.google.com/spreadsheets/d/1NexK3geCPxCTO1fzNF8dPec7yZyUx3OaWkFBC9HsQOo/edit?usp=sharing"",""ยโสธร!J657"")"),0)</f>
        <v>0</v>
      </c>
      <c r="AI41" s="354">
        <f ca="1">IFERROR(__xludf.DUMMYFUNCTION("IMPORTRANGE(""https://docs.google.com/spreadsheets/d/1NexK3geCPxCTO1fzNF8dPec7yZyUx3OaWkFBC9HsQOo/edit?usp=sharing"",""ยโสธร!J658"")"),0)</f>
        <v>0</v>
      </c>
      <c r="AJ41" s="354">
        <f ca="1">IFERROR(__xludf.DUMMYFUNCTION("IMPORTRANGE(""https://docs.google.com/spreadsheets/d/1NexK3geCPxCTO1fzNF8dPec7yZyUx3OaWkFBC9HsQOo/edit?usp=sharing"",""ยโสธร!J659"")"),0)</f>
        <v>0</v>
      </c>
      <c r="AK41" s="354">
        <f ca="1">IFERROR(__xludf.DUMMYFUNCTION("IMPORTRANGE(""https://docs.google.com/spreadsheets/d/1NexK3geCPxCTO1fzNF8dPec7yZyUx3OaWkFBC9HsQOo/edit?usp=sharing"",""ยโสธร!J660"")"),0)</f>
        <v>0</v>
      </c>
      <c r="AL41" s="177">
        <f ca="1">IFERROR(__xludf.DUMMYFUNCTION("IMPORTRANGE(""https://docs.google.com/spreadsheets/d/1NexK3geCPxCTO1fzNF8dPec7yZyUx3OaWkFBC9HsQOo/edit?usp=sharing"",""ยโสธร!I661"")"),0)</f>
        <v>0</v>
      </c>
      <c r="AM41" s="177">
        <f ca="1">IFERROR(__xludf.DUMMYFUNCTION("IMPORTRANGE(""https://docs.google.com/spreadsheets/d/1NexK3geCPxCTO1fzNF8dPec7yZyUx3OaWkFBC9HsQOo/edit?usp=sharing"",""ยโสธร!J661"")"),0)</f>
        <v>0</v>
      </c>
      <c r="AN41" s="354">
        <f t="shared" ca="1" si="56"/>
        <v>0</v>
      </c>
      <c r="AO41" s="177">
        <f ca="1">IFERROR(__xludf.DUMMYFUNCTION("IMPORTRANGE(""https://docs.google.com/spreadsheets/d/1NexK3geCPxCTO1fzNF8dPec7yZyUx3OaWkFBC9HsQOo/edit?usp=sharing"",""ยโสธร!J662"")"),0)</f>
        <v>0</v>
      </c>
      <c r="AP41" s="177">
        <f ca="1">IFERROR(__xludf.DUMMYFUNCTION("IMPORTRANGE(""https://docs.google.com/spreadsheets/d/1NexK3geCPxCTO1fzNF8dPec7yZyUx3OaWkFBC9HsQOo/edit?usp=sharing"",""ยโสธร!J663"")"),0)</f>
        <v>0</v>
      </c>
      <c r="AQ41" s="177">
        <f ca="1">IFERROR(__xludf.DUMMYFUNCTION("IMPORTRANGE(""https://docs.google.com/spreadsheets/d/1NexK3geCPxCTO1fzNF8dPec7yZyUx3OaWkFBC9HsQOo/edit?usp=sharing"",""ยโสธร!J665"")"),0)</f>
        <v>0</v>
      </c>
      <c r="AR41" s="177">
        <f ca="1">IFERROR(__xludf.DUMMYFUNCTION("IMPORTRANGE(""https://docs.google.com/spreadsheets/d/1NexK3geCPxCTO1fzNF8dPec7yZyUx3OaWkFBC9HsQOo/edit?usp=sharing"",""ยโสธร!J666"")"),0)</f>
        <v>0</v>
      </c>
      <c r="AS41" s="177">
        <f ca="1">IFERROR(__xludf.DUMMYFUNCTION("IMPORTRANGE(""https://docs.google.com/spreadsheets/d/1NexK3geCPxCTO1fzNF8dPec7yZyUx3OaWkFBC9HsQOo/edit?usp=sharing"",""ยโสธร!J667"")"),0)</f>
        <v>0</v>
      </c>
      <c r="AT41" s="177">
        <f ca="1">IFERROR(__xludf.DUMMYFUNCTION("IMPORTRANGE(""https://docs.google.com/spreadsheets/d/1NexK3geCPxCTO1fzNF8dPec7yZyUx3OaWkFBC9HsQOo/edit?usp=sharing"",""ยโสธร!J668"")"),0)</f>
        <v>0</v>
      </c>
      <c r="AU41" s="177">
        <f ca="1">IFERROR(__xludf.DUMMYFUNCTION("IMPORTRANGE(""https://docs.google.com/spreadsheets/d/1NexK3geCPxCTO1fzNF8dPec7yZyUx3OaWkFBC9HsQOo/edit?usp=sharing"",""ยโสธร!J669"")"),0)</f>
        <v>0</v>
      </c>
      <c r="AV41" s="177">
        <f ca="1">IFERROR(__xludf.DUMMYFUNCTION("IMPORTRANGE(""https://docs.google.com/spreadsheets/d/1NexK3geCPxCTO1fzNF8dPec7yZyUx3OaWkFBC9HsQOo/edit?usp=sharing"",""ยโสธร!J670"")"),0)</f>
        <v>0</v>
      </c>
      <c r="AW41" s="177">
        <v>0</v>
      </c>
      <c r="AX41" s="177">
        <f ca="1">IFERROR(__xludf.DUMMYFUNCTION("IMPORTRANGE(""https://docs.google.com/spreadsheets/d/1NexK3geCPxCTO1fzNF8dPec7yZyUx3OaWkFBC9HsQOo/edit?usp=sharing"",""ยโสธร!J671"")"),0)</f>
        <v>0</v>
      </c>
      <c r="AY41" s="177">
        <f ca="1">IFERROR(__xludf.DUMMYFUNCTION("IMPORTRANGE(""https://docs.google.com/spreadsheets/d/1NexK3geCPxCTO1fzNF8dPec7yZyUx3OaWkFBC9HsQOo/edit?usp=sharing"",""ยโสธร!J672"")"),0)</f>
        <v>0</v>
      </c>
      <c r="AZ41" s="177">
        <f ca="1">IFERROR(__xludf.DUMMYFUNCTION("IMPORTRANGE(""https://docs.google.com/spreadsheets/d/1NexK3geCPxCTO1fzNF8dPec7yZyUx3OaWkFBC9HsQOo/edit?usp=sharing"",""ยโสธร!J673"")"),0)</f>
        <v>0</v>
      </c>
      <c r="BA41" s="354">
        <f t="shared" si="58"/>
        <v>0</v>
      </c>
      <c r="BB41" s="177">
        <f ca="1">IFERROR(__xludf.DUMMYFUNCTION("IMPORTRANGE(""https://docs.google.com/spreadsheets/d/1NexK3geCPxCTO1fzNF8dPec7yZyUx3OaWkFBC9HsQOo/edit?usp=sharing"",""ยโสธร!I674"")"),0)</f>
        <v>0</v>
      </c>
      <c r="BC41" s="177">
        <f ca="1">IFERROR(__xludf.DUMMYFUNCTION("IMPORTRANGE(""https://docs.google.com/spreadsheets/d/1NexK3geCPxCTO1fzNF8dPec7yZyUx3OaWkFBC9HsQOo/edit?usp=sharing"",""ยโสธร!I675"")"),0)</f>
        <v>0</v>
      </c>
      <c r="BD41" s="177">
        <f ca="1">IFERROR(__xludf.DUMMYFUNCTION("IMPORTRANGE(""https://docs.google.com/spreadsheets/d/1NexK3geCPxCTO1fzNF8dPec7yZyUx3OaWkFBC9HsQOo/edit?usp=sharing"",""ยโสธร!J674"")"),0)</f>
        <v>0</v>
      </c>
      <c r="BE41" s="354">
        <f t="shared" ca="1" si="60"/>
        <v>0</v>
      </c>
      <c r="BF41" s="177">
        <f ca="1">IFERROR(__xludf.DUMMYFUNCTION("IMPORTRANGE(""https://docs.google.com/spreadsheets/d/1NexK3geCPxCTO1fzNF8dPec7yZyUx3OaWkFBC9HsQOo/edit?usp=sharing"",""ยโสธร!J675"")"),0)</f>
        <v>0</v>
      </c>
      <c r="BG41" s="354">
        <f t="shared" ca="1" si="61"/>
        <v>0</v>
      </c>
      <c r="BH41" s="177">
        <f ca="1">IFERROR(__xludf.DUMMYFUNCTION("IMPORTRANGE(""https://docs.google.com/spreadsheets/d/1NexK3geCPxCTO1fzNF8dPec7yZyUx3OaWkFBC9HsQOo/edit?usp=sharing"",""ยโสธร!I676"")"),0)</f>
        <v>0</v>
      </c>
      <c r="BI41" s="177">
        <f ca="1">IFERROR(__xludf.DUMMYFUNCTION("IMPORTRANGE(""https://docs.google.com/spreadsheets/d/1NexK3geCPxCTO1fzNF8dPec7yZyUx3OaWkFBC9HsQOo/edit?usp=sharing"",""ยโสธร!I678"")"),0)</f>
        <v>0</v>
      </c>
      <c r="BJ41" s="177">
        <f ca="1">IFERROR(__xludf.DUMMYFUNCTION("IMPORTRANGE(""https://docs.google.com/spreadsheets/d/1NexK3geCPxCTO1fzNF8dPec7yZyUx3OaWkFBC9HsQOo/edit?usp=sharing"",""ยโสธร!J676"")"),0)</f>
        <v>0</v>
      </c>
      <c r="BK41" s="177">
        <f ca="1">IFERROR(__xludf.DUMMYFUNCTION("IMPORTRANGE(""https://docs.google.com/spreadsheets/d/1NexK3geCPxCTO1fzNF8dPec7yZyUx3OaWkFBC9HsQOo/edit?usp=sharing"",""ยโสธร!J677"")"),0)</f>
        <v>0</v>
      </c>
      <c r="BL41" s="177">
        <f ca="1">IFERROR(__xludf.DUMMYFUNCTION("IMPORTRANGE(""https://docs.google.com/spreadsheets/d/1NexK3geCPxCTO1fzNF8dPec7yZyUx3OaWkFBC9HsQOo/edit?usp=sharing"",""ยโสธร!J678"")"),0)</f>
        <v>0</v>
      </c>
      <c r="BM41" s="177">
        <f ca="1">IFERROR(__xludf.DUMMYFUNCTION("IMPORTRANGE(""https://docs.google.com/spreadsheets/d/1NexK3geCPxCTO1fzNF8dPec7yZyUx3OaWkFBC9HsQOo/edit?usp=sharing"",""ยโสธร!I679"")"),0)</f>
        <v>0</v>
      </c>
      <c r="BN41" s="177">
        <f ca="1">IFERROR(__xludf.DUMMYFUNCTION("IMPORTRANGE(""https://docs.google.com/spreadsheets/d/1NexK3geCPxCTO1fzNF8dPec7yZyUx3OaWkFBC9HsQOo/edit?usp=sharing"",""ยโสธร!I681"")"),0)</f>
        <v>0</v>
      </c>
      <c r="BO41" s="177">
        <f ca="1">IFERROR(__xludf.DUMMYFUNCTION("IMPORTRANGE(""https://docs.google.com/spreadsheets/d/1NexK3geCPxCTO1fzNF8dPec7yZyUx3OaWkFBC9HsQOo/edit?usp=sharing"",""ยโสธร!J679"")"),0)</f>
        <v>0</v>
      </c>
      <c r="BP41" s="177">
        <f ca="1">IFERROR(__xludf.DUMMYFUNCTION("IMPORTRANGE(""https://docs.google.com/spreadsheets/d/1NexK3geCPxCTO1fzNF8dPec7yZyUx3OaWkFBC9HsQOo/edit?usp=sharing"",""ยโสธร!J680"")"),0)</f>
        <v>0</v>
      </c>
      <c r="BQ41" s="177">
        <f ca="1">IFERROR(__xludf.DUMMYFUNCTION("IMPORTRANGE(""https://docs.google.com/spreadsheets/d/1NexK3geCPxCTO1fzNF8dPec7yZyUx3OaWkFBC9HsQOo/edit?usp=sharing"",""ยโสธร!J681"")"),0)</f>
        <v>0</v>
      </c>
      <c r="BR41" s="177">
        <f ca="1">IFERROR(__xludf.DUMMYFUNCTION("IMPORTRANGE(""https://docs.google.com/spreadsheets/d/1NexK3geCPxCTO1fzNF8dPec7yZyUx3OaWkFBC9HsQOo/edit?usp=sharing"",""ยโสธร!I682"")"),0)</f>
        <v>0</v>
      </c>
      <c r="BS41" s="177">
        <f ca="1">IFERROR(__xludf.DUMMYFUNCTION("IMPORTRANGE(""https://docs.google.com/spreadsheets/d/1NexK3geCPxCTO1fzNF8dPec7yZyUx3OaWkFBC9HsQOo/edit?usp=sharing"",""ยโสธร!J682"")"),0)</f>
        <v>0</v>
      </c>
      <c r="BT41" s="354">
        <f t="shared" ca="1" si="63"/>
        <v>0</v>
      </c>
      <c r="BU41" s="177">
        <f ca="1">IFERROR(__xludf.DUMMYFUNCTION("IMPORTRANGE(""https://docs.google.com/spreadsheets/d/1NexK3geCPxCTO1fzNF8dPec7yZyUx3OaWkFBC9HsQOo/edit?usp=sharing"",""ยโสธร!J683"")"),0)</f>
        <v>0</v>
      </c>
      <c r="BV41" s="177">
        <f ca="1">IFERROR(__xludf.DUMMYFUNCTION("IMPORTRANGE(""https://docs.google.com/spreadsheets/d/1NexK3geCPxCTO1fzNF8dPec7yZyUx3OaWkFBC9HsQOo/edit?usp=sharing"",""ยโสธร!J684"")"),0)</f>
        <v>0</v>
      </c>
      <c r="BW41" s="177">
        <f ca="1">IFERROR(__xludf.DUMMYFUNCTION("IMPORTRANGE(""https://docs.google.com/spreadsheets/d/1NexK3geCPxCTO1fzNF8dPec7yZyUx3OaWkFBC9HsQOo/edit?usp=sharing"",""ยโสธร!J685"")"),0)</f>
        <v>0</v>
      </c>
      <c r="BX41" s="177">
        <f ca="1">IFERROR(__xludf.DUMMYFUNCTION("IMPORTRANGE(""https://docs.google.com/spreadsheets/d/1NexK3geCPxCTO1fzNF8dPec7yZyUx3OaWkFBC9HsQOo/edit?usp=sharing"",""ยโสธร!J686"")"),0)</f>
        <v>0</v>
      </c>
      <c r="BY41" s="177">
        <f ca="1">IFERROR(__xludf.DUMMYFUNCTION("IMPORTRANGE(""https://docs.google.com/spreadsheets/d/1NexK3geCPxCTO1fzNF8dPec7yZyUx3OaWkFBC9HsQOo/edit?usp=sharing"",""ยโสธร!J687"")"),0)</f>
        <v>0</v>
      </c>
      <c r="BZ41" s="177">
        <f ca="1">IFERROR(__xludf.DUMMYFUNCTION("IMPORTRANGE(""https://docs.google.com/spreadsheets/d/1NexK3geCPxCTO1fzNF8dPec7yZyUx3OaWkFBC9HsQOo/edit?usp=sharing"",""ยโสธร!J688"")"),0)</f>
        <v>0</v>
      </c>
    </row>
    <row r="42" spans="1:78" ht="21.75" customHeight="1" x14ac:dyDescent="0.3">
      <c r="A42" s="89">
        <v>11</v>
      </c>
      <c r="B42" s="90" t="s">
        <v>68</v>
      </c>
      <c r="C42" s="174">
        <f t="shared" si="38"/>
        <v>0</v>
      </c>
      <c r="D42" s="175">
        <f t="shared" si="76"/>
        <v>0</v>
      </c>
      <c r="E42" s="403">
        <v>0</v>
      </c>
      <c r="F42" s="403">
        <v>0</v>
      </c>
      <c r="G42" s="403">
        <v>0</v>
      </c>
      <c r="H42" s="403">
        <v>0</v>
      </c>
      <c r="I42" s="403">
        <v>0</v>
      </c>
      <c r="J42" s="176">
        <f t="shared" si="40"/>
        <v>0</v>
      </c>
      <c r="K42" s="179">
        <f t="shared" si="41"/>
        <v>0</v>
      </c>
      <c r="L42" s="403">
        <v>0</v>
      </c>
      <c r="M42" s="87">
        <f t="shared" si="42"/>
        <v>0</v>
      </c>
      <c r="N42" s="87">
        <f t="shared" si="43"/>
        <v>0</v>
      </c>
      <c r="O42" s="403">
        <v>0</v>
      </c>
      <c r="P42" s="86">
        <f t="shared" si="44"/>
        <v>0</v>
      </c>
      <c r="Q42" s="87">
        <f t="shared" si="45"/>
        <v>0</v>
      </c>
      <c r="R42" s="87">
        <f ca="1">IFERROR(__xludf.DUMMYFUNCTION("IMPORTRANGE(""https://docs.google.com/spreadsheets/d/1v_cJrbBlyqmnHPReHk44g9NrMRdENNlSy_E_c5M9fIg/edit?usp=sharing"",""ร้อยเอ็ด!Q642"")"),1960)</f>
        <v>1960</v>
      </c>
      <c r="S42" s="87">
        <f ca="1">IFERROR(__xludf.DUMMYFUNCTION("IMPORTRANGE(""https://docs.google.com/spreadsheets/d/1v_cJrbBlyqmnHPReHk44g9NrMRdENNlSy_E_c5M9fIg/edit?usp=sharing"",""ร้อยเอ็ด!R642"")"),0)</f>
        <v>0</v>
      </c>
      <c r="T42" s="87">
        <f ca="1">IFERROR(__xludf.DUMMYFUNCTION("IMPORTRANGE(""https://docs.google.com/spreadsheets/d/1v_cJrbBlyqmnHPReHk44g9NrMRdENNlSy_E_c5M9fIg/edit?usp=sharing"",""ร้อยเอ็ด!S642"")"),0)</f>
        <v>0</v>
      </c>
      <c r="U42" s="87">
        <f t="shared" ca="1" si="47"/>
        <v>0</v>
      </c>
      <c r="V42" s="87">
        <f t="shared" ca="1" si="48"/>
        <v>0</v>
      </c>
      <c r="W42" s="353">
        <f ca="1">IFERROR(__xludf.DUMMYFUNCTION("IMPORTRANGE(""https://docs.google.com/spreadsheets/d/1v_cJrbBlyqmnHPReHk44g9NrMRdENNlSy_E_c5M9fIg/edit?usp=sharing"",""ร้อยเอ็ด!I652"")"),0)</f>
        <v>0</v>
      </c>
      <c r="X42" s="177">
        <f ca="1">IFERROR(__xludf.DUMMYFUNCTION("IMPORTRANGE(""https://docs.google.com/spreadsheets/d/1v_cJrbBlyqmnHPReHk44g9NrMRdENNlSy_E_c5M9fIg/edit?usp=sharing"",""ร้อยเอ็ด!J652"")"),0)</f>
        <v>0</v>
      </c>
      <c r="Y42" s="354">
        <f t="shared" ca="1" si="50"/>
        <v>0</v>
      </c>
      <c r="Z42" s="177">
        <f ca="1">IFERROR(__xludf.DUMMYFUNCTION("IMPORTRANGE(""https://docs.google.com/spreadsheets/d/1v_cJrbBlyqmnHPReHk44g9NrMRdENNlSy_E_c5M9fIg/edit?usp=sharing"",""ร้อยเอ็ด!I653"")"),0)</f>
        <v>0</v>
      </c>
      <c r="AA42" s="177">
        <f ca="1">IFERROR(__xludf.DUMMYFUNCTION("IMPORTRANGE(""https://docs.google.com/spreadsheets/d/1v_cJrbBlyqmnHPReHk44g9NrMRdENNlSy_E_c5M9fIg/edit?usp=sharing"",""ร้อยเอ็ด!J653"")"),0)</f>
        <v>0</v>
      </c>
      <c r="AB42" s="354">
        <f t="shared" ca="1" si="52"/>
        <v>0</v>
      </c>
      <c r="AC42" s="177">
        <f ca="1">IFERROR(__xludf.DUMMYFUNCTION("IMPORTRANGE(""https://docs.google.com/spreadsheets/d/1v_cJrbBlyqmnHPReHk44g9NrMRdENNlSy_E_c5M9fIg/edit?usp=sharing"",""ร้อยเอ็ด!I654"")"),0)</f>
        <v>0</v>
      </c>
      <c r="AD42" s="177">
        <f ca="1">IFERROR(__xludf.DUMMYFUNCTION("IMPORTRANGE(""https://docs.google.com/spreadsheets/d/1v_cJrbBlyqmnHPReHk44g9NrMRdENNlSy_E_c5M9fIg/edit?usp=sharing"",""ร้อยเอ็ด!J654"")"),0)</f>
        <v>0</v>
      </c>
      <c r="AE42" s="354">
        <f t="shared" ca="1" si="54"/>
        <v>0</v>
      </c>
      <c r="AF42" s="354">
        <f ca="1">IFERROR(__xludf.DUMMYFUNCTION("IMPORTRANGE(""https://docs.google.com/spreadsheets/d/1v_cJrbBlyqmnHPReHk44g9NrMRdENNlSy_E_c5M9fIg/edit?usp=sharing"",""ร้อยเอ็ด!J655"")"),0)</f>
        <v>0</v>
      </c>
      <c r="AG42" s="354">
        <f ca="1">IFERROR(__xludf.DUMMYFUNCTION("IMPORTRANGE(""https://docs.google.com/spreadsheets/d/1v_cJrbBlyqmnHPReHk44g9NrMRdENNlSy_E_c5M9fIg/edit?usp=sharing"",""ร้อยเอ็ด!J656"")"),0)</f>
        <v>0</v>
      </c>
      <c r="AH42" s="354">
        <f ca="1">IFERROR(__xludf.DUMMYFUNCTION("IMPORTRANGE(""https://docs.google.com/spreadsheets/d/1v_cJrbBlyqmnHPReHk44g9NrMRdENNlSy_E_c5M9fIg/edit?usp=sharing"",""ร้อยเอ็ด!J657"")"),0)</f>
        <v>0</v>
      </c>
      <c r="AI42" s="354">
        <f ca="1">IFERROR(__xludf.DUMMYFUNCTION("IMPORTRANGE(""https://docs.google.com/spreadsheets/d/1v_cJrbBlyqmnHPReHk44g9NrMRdENNlSy_E_c5M9fIg/edit?usp=sharing"",""ร้อยเอ็ด!J658"")"),0)</f>
        <v>0</v>
      </c>
      <c r="AJ42" s="354">
        <f ca="1">IFERROR(__xludf.DUMMYFUNCTION("IMPORTRANGE(""https://docs.google.com/spreadsheets/d/1v_cJrbBlyqmnHPReHk44g9NrMRdENNlSy_E_c5M9fIg/edit?usp=sharing"",""ร้อยเอ็ด!J659"")"),0)</f>
        <v>0</v>
      </c>
      <c r="AK42" s="354">
        <f ca="1">IFERROR(__xludf.DUMMYFUNCTION("IMPORTRANGE(""https://docs.google.com/spreadsheets/d/1v_cJrbBlyqmnHPReHk44g9NrMRdENNlSy_E_c5M9fIg/edit?usp=sharing"",""ร้อยเอ็ด!J660"")"),0)</f>
        <v>0</v>
      </c>
      <c r="AL42" s="177">
        <f ca="1">IFERROR(__xludf.DUMMYFUNCTION("IMPORTRANGE(""https://docs.google.com/spreadsheets/d/1v_cJrbBlyqmnHPReHk44g9NrMRdENNlSy_E_c5M9fIg/edit?usp=sharing"",""ร้อยเอ็ด!I661"")"),0)</f>
        <v>0</v>
      </c>
      <c r="AM42" s="177">
        <f ca="1">IFERROR(__xludf.DUMMYFUNCTION("IMPORTRANGE(""https://docs.google.com/spreadsheets/d/1v_cJrbBlyqmnHPReHk44g9NrMRdENNlSy_E_c5M9fIg/edit?usp=sharing"",""ร้อยเอ็ด!J661"")"),0)</f>
        <v>0</v>
      </c>
      <c r="AN42" s="354">
        <f t="shared" ca="1" si="56"/>
        <v>0</v>
      </c>
      <c r="AO42" s="177">
        <f ca="1">IFERROR(__xludf.DUMMYFUNCTION("IMPORTRANGE(""https://docs.google.com/spreadsheets/d/1v_cJrbBlyqmnHPReHk44g9NrMRdENNlSy_E_c5M9fIg/edit?usp=sharing"",""ร้อยเอ็ด!J662"")"),0)</f>
        <v>0</v>
      </c>
      <c r="AP42" s="177">
        <f ca="1">IFERROR(__xludf.DUMMYFUNCTION("IMPORTRANGE(""https://docs.google.com/spreadsheets/d/1v_cJrbBlyqmnHPReHk44g9NrMRdENNlSy_E_c5M9fIg/edit?usp=sharing"",""ร้อยเอ็ด!J663"")"),0)</f>
        <v>0</v>
      </c>
      <c r="AQ42" s="177">
        <f ca="1">IFERROR(__xludf.DUMMYFUNCTION("IMPORTRANGE(""https://docs.google.com/spreadsheets/d/1v_cJrbBlyqmnHPReHk44g9NrMRdENNlSy_E_c5M9fIg/edit?usp=sharing"",""ร้อยเอ็ด!J665"")"),0)</f>
        <v>0</v>
      </c>
      <c r="AR42" s="177">
        <f ca="1">IFERROR(__xludf.DUMMYFUNCTION("IMPORTRANGE(""https://docs.google.com/spreadsheets/d/1v_cJrbBlyqmnHPReHk44g9NrMRdENNlSy_E_c5M9fIg/edit?usp=sharing"",""ร้อยเอ็ด!J666"")"),0)</f>
        <v>0</v>
      </c>
      <c r="AS42" s="177">
        <f ca="1">IFERROR(__xludf.DUMMYFUNCTION("IMPORTRANGE(""https://docs.google.com/spreadsheets/d/1v_cJrbBlyqmnHPReHk44g9NrMRdENNlSy_E_c5M9fIg/edit?usp=sharing"",""ร้อยเอ็ด!J667"")"),0)</f>
        <v>0</v>
      </c>
      <c r="AT42" s="177">
        <f ca="1">IFERROR(__xludf.DUMMYFUNCTION("IMPORTRANGE(""https://docs.google.com/spreadsheets/d/1v_cJrbBlyqmnHPReHk44g9NrMRdENNlSy_E_c5M9fIg/edit?usp=sharing"",""ร้อยเอ็ด!J668"")"),0)</f>
        <v>0</v>
      </c>
      <c r="AU42" s="177">
        <f ca="1">IFERROR(__xludf.DUMMYFUNCTION("IMPORTRANGE(""https://docs.google.com/spreadsheets/d/1v_cJrbBlyqmnHPReHk44g9NrMRdENNlSy_E_c5M9fIg/edit?usp=sharing"",""ร้อยเอ็ด!J669"")"),0)</f>
        <v>0</v>
      </c>
      <c r="AV42" s="177">
        <f ca="1">IFERROR(__xludf.DUMMYFUNCTION("IMPORTRANGE(""https://docs.google.com/spreadsheets/d/1v_cJrbBlyqmnHPReHk44g9NrMRdENNlSy_E_c5M9fIg/edit?usp=sharing"",""ร้อยเอ็ด!J670"")"),0)</f>
        <v>0</v>
      </c>
      <c r="AW42" s="177">
        <v>0</v>
      </c>
      <c r="AX42" s="177">
        <f ca="1">IFERROR(__xludf.DUMMYFUNCTION("IMPORTRANGE(""https://docs.google.com/spreadsheets/d/1v_cJrbBlyqmnHPReHk44g9NrMRdENNlSy_E_c5M9fIg/edit?usp=sharing"",""ร้อยเอ็ด!J671"")"),0)</f>
        <v>0</v>
      </c>
      <c r="AY42" s="177">
        <f ca="1">IFERROR(__xludf.DUMMYFUNCTION("IMPORTRANGE(""https://docs.google.com/spreadsheets/d/1v_cJrbBlyqmnHPReHk44g9NrMRdENNlSy_E_c5M9fIg/edit?usp=sharing"",""ร้อยเอ็ด!J672"")"),0)</f>
        <v>0</v>
      </c>
      <c r="AZ42" s="177">
        <f ca="1">IFERROR(__xludf.DUMMYFUNCTION("IMPORTRANGE(""https://docs.google.com/spreadsheets/d/1v_cJrbBlyqmnHPReHk44g9NrMRdENNlSy_E_c5M9fIg/edit?usp=sharing"",""ร้อยเอ็ด!J673"")"),0)</f>
        <v>0</v>
      </c>
      <c r="BA42" s="354">
        <f t="shared" si="58"/>
        <v>0</v>
      </c>
      <c r="BB42" s="177">
        <f ca="1">IFERROR(__xludf.DUMMYFUNCTION("IMPORTRANGE(""https://docs.google.com/spreadsheets/d/1v_cJrbBlyqmnHPReHk44g9NrMRdENNlSy_E_c5M9fIg/edit?usp=sharing"",""ร้อยเอ็ด!I674"")"),1)</f>
        <v>1</v>
      </c>
      <c r="BC42" s="177">
        <f ca="1">IFERROR(__xludf.DUMMYFUNCTION("IMPORTRANGE(""https://docs.google.com/spreadsheets/d/1v_cJrbBlyqmnHPReHk44g9NrMRdENNlSy_E_c5M9fIg/edit?usp=sharing"",""ร้อยเอ็ด!I675"")"),10)</f>
        <v>10</v>
      </c>
      <c r="BD42" s="177">
        <f ca="1">IFERROR(__xludf.DUMMYFUNCTION("IMPORTRANGE(""https://docs.google.com/spreadsheets/d/1v_cJrbBlyqmnHPReHk44g9NrMRdENNlSy_E_c5M9fIg/edit?usp=sharing"",""ร้อยเอ็ด!J674"")"),0)</f>
        <v>0</v>
      </c>
      <c r="BE42" s="354">
        <f t="shared" ca="1" si="60"/>
        <v>0</v>
      </c>
      <c r="BF42" s="177">
        <f ca="1">IFERROR(__xludf.DUMMYFUNCTION("IMPORTRANGE(""https://docs.google.com/spreadsheets/d/1v_cJrbBlyqmnHPReHk44g9NrMRdENNlSy_E_c5M9fIg/edit?usp=sharing"",""ร้อยเอ็ด!J675"")"),0)</f>
        <v>0</v>
      </c>
      <c r="BG42" s="354">
        <f t="shared" ca="1" si="61"/>
        <v>0</v>
      </c>
      <c r="BH42" s="177">
        <f ca="1">IFERROR(__xludf.DUMMYFUNCTION("IMPORTRANGE(""https://docs.google.com/spreadsheets/d/1v_cJrbBlyqmnHPReHk44g9NrMRdENNlSy_E_c5M9fIg/edit?usp=sharing"",""ร้อยเอ็ด!I676"")"),1)</f>
        <v>1</v>
      </c>
      <c r="BI42" s="177">
        <f ca="1">IFERROR(__xludf.DUMMYFUNCTION("IMPORTRANGE(""https://docs.google.com/spreadsheets/d/1v_cJrbBlyqmnHPReHk44g9NrMRdENNlSy_E_c5M9fIg/edit?usp=sharing"",""ร้อยเอ็ด!I678"")"),10)</f>
        <v>10</v>
      </c>
      <c r="BJ42" s="177">
        <f ca="1">IFERROR(__xludf.DUMMYFUNCTION("IMPORTRANGE(""https://docs.google.com/spreadsheets/d/1v_cJrbBlyqmnHPReHk44g9NrMRdENNlSy_E_c5M9fIg/edit?usp=sharing"",""ร้อยเอ็ด!J676"")"),0)</f>
        <v>0</v>
      </c>
      <c r="BK42" s="177">
        <f ca="1">IFERROR(__xludf.DUMMYFUNCTION("IMPORTRANGE(""https://docs.google.com/spreadsheets/d/1v_cJrbBlyqmnHPReHk44g9NrMRdENNlSy_E_c5M9fIg/edit?usp=sharing"",""ร้อยเอ็ด!J677"")"),0)</f>
        <v>0</v>
      </c>
      <c r="BL42" s="177">
        <f ca="1">IFERROR(__xludf.DUMMYFUNCTION("IMPORTRANGE(""https://docs.google.com/spreadsheets/d/1v_cJrbBlyqmnHPReHk44g9NrMRdENNlSy_E_c5M9fIg/edit?usp=sharing"",""ร้อยเอ็ด!J678"")"),0)</f>
        <v>0</v>
      </c>
      <c r="BM42" s="177">
        <f ca="1">IFERROR(__xludf.DUMMYFUNCTION("IMPORTRANGE(""https://docs.google.com/spreadsheets/d/1v_cJrbBlyqmnHPReHk44g9NrMRdENNlSy_E_c5M9fIg/edit?usp=sharing"",""ร้อยเอ็ด!I679"")"),0)</f>
        <v>0</v>
      </c>
      <c r="BN42" s="177">
        <f ca="1">IFERROR(__xludf.DUMMYFUNCTION("IMPORTRANGE(""https://docs.google.com/spreadsheets/d/1v_cJrbBlyqmnHPReHk44g9NrMRdENNlSy_E_c5M9fIg/edit?usp=sharing"",""ร้อยเอ็ด!I681"")"),0)</f>
        <v>0</v>
      </c>
      <c r="BO42" s="177">
        <f ca="1">IFERROR(__xludf.DUMMYFUNCTION("IMPORTRANGE(""https://docs.google.com/spreadsheets/d/1v_cJrbBlyqmnHPReHk44g9NrMRdENNlSy_E_c5M9fIg/edit?usp=sharing"",""ร้อยเอ็ด!J679"")"),0)</f>
        <v>0</v>
      </c>
      <c r="BP42" s="177">
        <f ca="1">IFERROR(__xludf.DUMMYFUNCTION("IMPORTRANGE(""https://docs.google.com/spreadsheets/d/1v_cJrbBlyqmnHPReHk44g9NrMRdENNlSy_E_c5M9fIg/edit?usp=sharing"",""ร้อยเอ็ด!J680"")"),0)</f>
        <v>0</v>
      </c>
      <c r="BQ42" s="177">
        <f ca="1">IFERROR(__xludf.DUMMYFUNCTION("IMPORTRANGE(""https://docs.google.com/spreadsheets/d/1v_cJrbBlyqmnHPReHk44g9NrMRdENNlSy_E_c5M9fIg/edit?usp=sharing"",""ร้อยเอ็ด!J681"")"),0)</f>
        <v>0</v>
      </c>
      <c r="BR42" s="177">
        <f ca="1">IFERROR(__xludf.DUMMYFUNCTION("IMPORTRANGE(""https://docs.google.com/spreadsheets/d/1v_cJrbBlyqmnHPReHk44g9NrMRdENNlSy_E_c5M9fIg/edit?usp=sharing"",""ร้อยเอ็ด!I682"")"),0)</f>
        <v>0</v>
      </c>
      <c r="BS42" s="177">
        <f ca="1">IFERROR(__xludf.DUMMYFUNCTION("IMPORTRANGE(""https://docs.google.com/spreadsheets/d/1v_cJrbBlyqmnHPReHk44g9NrMRdENNlSy_E_c5M9fIg/edit?usp=sharing"",""ร้อยเอ็ด!J682"")"),0)</f>
        <v>0</v>
      </c>
      <c r="BT42" s="354">
        <f t="shared" ca="1" si="63"/>
        <v>0</v>
      </c>
      <c r="BU42" s="177">
        <f ca="1">IFERROR(__xludf.DUMMYFUNCTION("IMPORTRANGE(""https://docs.google.com/spreadsheets/d/1v_cJrbBlyqmnHPReHk44g9NrMRdENNlSy_E_c5M9fIg/edit?usp=sharing"",""ร้อยเอ็ด!J683"")"),0)</f>
        <v>0</v>
      </c>
      <c r="BV42" s="177">
        <f ca="1">IFERROR(__xludf.DUMMYFUNCTION("IMPORTRANGE(""https://docs.google.com/spreadsheets/d/1v_cJrbBlyqmnHPReHk44g9NrMRdENNlSy_E_c5M9fIg/edit?usp=sharing"",""ร้อยเอ็ด!J684"")"),0)</f>
        <v>0</v>
      </c>
      <c r="BW42" s="177">
        <f ca="1">IFERROR(__xludf.DUMMYFUNCTION("IMPORTRANGE(""https://docs.google.com/spreadsheets/d/1v_cJrbBlyqmnHPReHk44g9NrMRdENNlSy_E_c5M9fIg/edit?usp=sharing"",""ร้อยเอ็ด!J685"")"),0)</f>
        <v>0</v>
      </c>
      <c r="BX42" s="177">
        <f ca="1">IFERROR(__xludf.DUMMYFUNCTION("IMPORTRANGE(""https://docs.google.com/spreadsheets/d/1v_cJrbBlyqmnHPReHk44g9NrMRdENNlSy_E_c5M9fIg/edit?usp=sharing"",""ร้อยเอ็ด!J686"")"),0)</f>
        <v>0</v>
      </c>
      <c r="BY42" s="177">
        <f ca="1">IFERROR(__xludf.DUMMYFUNCTION("IMPORTRANGE(""https://docs.google.com/spreadsheets/d/1v_cJrbBlyqmnHPReHk44g9NrMRdENNlSy_E_c5M9fIg/edit?usp=sharing"",""ร้อยเอ็ด!J687"")"),0)</f>
        <v>0</v>
      </c>
      <c r="BZ42" s="177">
        <f ca="1">IFERROR(__xludf.DUMMYFUNCTION("IMPORTRANGE(""https://docs.google.com/spreadsheets/d/1v_cJrbBlyqmnHPReHk44g9NrMRdENNlSy_E_c5M9fIg/edit?usp=sharing"",""ร้อยเอ็ด!J688"")"),0)</f>
        <v>0</v>
      </c>
    </row>
    <row r="43" spans="1:78" ht="21.75" customHeight="1" x14ac:dyDescent="0.3">
      <c r="A43" s="89">
        <v>12</v>
      </c>
      <c r="B43" s="90" t="s">
        <v>69</v>
      </c>
      <c r="C43" s="174">
        <f t="shared" si="38"/>
        <v>0</v>
      </c>
      <c r="D43" s="175">
        <f t="shared" si="76"/>
        <v>0</v>
      </c>
      <c r="E43" s="403">
        <v>0</v>
      </c>
      <c r="F43" s="403">
        <v>0</v>
      </c>
      <c r="G43" s="403">
        <v>0</v>
      </c>
      <c r="H43" s="403">
        <v>0</v>
      </c>
      <c r="I43" s="403">
        <v>0</v>
      </c>
      <c r="J43" s="176">
        <f t="shared" si="40"/>
        <v>0</v>
      </c>
      <c r="K43" s="179">
        <f t="shared" si="41"/>
        <v>0</v>
      </c>
      <c r="L43" s="403">
        <v>0</v>
      </c>
      <c r="M43" s="87">
        <f t="shared" si="42"/>
        <v>0</v>
      </c>
      <c r="N43" s="87">
        <f t="shared" si="43"/>
        <v>0</v>
      </c>
      <c r="O43" s="403">
        <v>0</v>
      </c>
      <c r="P43" s="86">
        <f t="shared" si="44"/>
        <v>0</v>
      </c>
      <c r="Q43" s="87">
        <f t="shared" si="45"/>
        <v>0</v>
      </c>
      <c r="R43" s="87">
        <f ca="1">IFERROR(__xludf.DUMMYFUNCTION("IMPORTRANGE(""https://docs.google.com/spreadsheets/d/1Ul4RCpCX66NxYADU1QpwAPjOmBzW64SsT11s1wzXw_c/edit?usp=sharing"",""เลย!Q642"")"),2520)</f>
        <v>2520</v>
      </c>
      <c r="S43" s="87">
        <f ca="1">IFERROR(__xludf.DUMMYFUNCTION("IMPORTRANGE(""https://docs.google.com/spreadsheets/d/1Ul4RCpCX66NxYADU1QpwAPjOmBzW64SsT11s1wzXw_c/edit?usp=sharing"",""เลย!R642"")"),0)</f>
        <v>0</v>
      </c>
      <c r="T43" s="87">
        <f ca="1">IFERROR(__xludf.DUMMYFUNCTION("IMPORTRANGE(""https://docs.google.com/spreadsheets/d/1Ul4RCpCX66NxYADU1QpwAPjOmBzW64SsT11s1wzXw_c/edit?usp=sharing"",""เลย!S642"")"),0)</f>
        <v>0</v>
      </c>
      <c r="U43" s="87">
        <f t="shared" ca="1" si="47"/>
        <v>0</v>
      </c>
      <c r="V43" s="87">
        <f t="shared" ca="1" si="48"/>
        <v>0</v>
      </c>
      <c r="W43" s="353">
        <f ca="1">IFERROR(__xludf.DUMMYFUNCTION("IMPORTRANGE(""https://docs.google.com/spreadsheets/d/1Ul4RCpCX66NxYADU1QpwAPjOmBzW64SsT11s1wzXw_c/edit?usp=sharing"",""เลย!I652"")"),0)</f>
        <v>0</v>
      </c>
      <c r="X43" s="177">
        <f ca="1">IFERROR(__xludf.DUMMYFUNCTION("IMPORTRANGE(""https://docs.google.com/spreadsheets/d/1Ul4RCpCX66NxYADU1QpwAPjOmBzW64SsT11s1wzXw_c/edit?usp=sharing"",""เลย!J652"")"),0)</f>
        <v>0</v>
      </c>
      <c r="Y43" s="354">
        <f t="shared" ca="1" si="50"/>
        <v>0</v>
      </c>
      <c r="Z43" s="177">
        <f ca="1">IFERROR(__xludf.DUMMYFUNCTION("IMPORTRANGE(""https://docs.google.com/spreadsheets/d/1Ul4RCpCX66NxYADU1QpwAPjOmBzW64SsT11s1wzXw_c/edit?usp=sharing"",""เลย!I653"")"),4)</f>
        <v>4</v>
      </c>
      <c r="AA43" s="177">
        <f ca="1">IFERROR(__xludf.DUMMYFUNCTION("IMPORTRANGE(""https://docs.google.com/spreadsheets/d/1Ul4RCpCX66NxYADU1QpwAPjOmBzW64SsT11s1wzXw_c/edit?usp=sharing"",""เลย!J653"")"),0)</f>
        <v>0</v>
      </c>
      <c r="AB43" s="354">
        <f t="shared" ca="1" si="52"/>
        <v>0</v>
      </c>
      <c r="AC43" s="177">
        <f ca="1">IFERROR(__xludf.DUMMYFUNCTION("IMPORTRANGE(""https://docs.google.com/spreadsheets/d/1Ul4RCpCX66NxYADU1QpwAPjOmBzW64SsT11s1wzXw_c/edit?usp=sharing"",""เลย!I654"")"),0)</f>
        <v>0</v>
      </c>
      <c r="AD43" s="177">
        <f ca="1">IFERROR(__xludf.DUMMYFUNCTION("IMPORTRANGE(""https://docs.google.com/spreadsheets/d/1Ul4RCpCX66NxYADU1QpwAPjOmBzW64SsT11s1wzXw_c/edit?usp=sharing"",""เลย!J654"")"),0)</f>
        <v>0</v>
      </c>
      <c r="AE43" s="354">
        <f t="shared" ca="1" si="54"/>
        <v>0</v>
      </c>
      <c r="AF43" s="354">
        <f ca="1">IFERROR(__xludf.DUMMYFUNCTION("IMPORTRANGE(""https://docs.google.com/spreadsheets/d/1Ul4RCpCX66NxYADU1QpwAPjOmBzW64SsT11s1wzXw_c/edit?usp=sharing"",""เลย!J655"")"),0)</f>
        <v>0</v>
      </c>
      <c r="AG43" s="354">
        <f ca="1">IFERROR(__xludf.DUMMYFUNCTION("IMPORTRANGE(""https://docs.google.com/spreadsheets/d/1Ul4RCpCX66NxYADU1QpwAPjOmBzW64SsT11s1wzXw_c/edit?usp=sharing"",""เลย!J656"")"),0)</f>
        <v>0</v>
      </c>
      <c r="AH43" s="354">
        <f ca="1">IFERROR(__xludf.DUMMYFUNCTION("IMPORTRANGE(""https://docs.google.com/spreadsheets/d/1Ul4RCpCX66NxYADU1QpwAPjOmBzW64SsT11s1wzXw_c/edit?usp=sharing"",""เลย!J657"")"),0)</f>
        <v>0</v>
      </c>
      <c r="AI43" s="354">
        <f ca="1">IFERROR(__xludf.DUMMYFUNCTION("IMPORTRANGE(""https://docs.google.com/spreadsheets/d/1Ul4RCpCX66NxYADU1QpwAPjOmBzW64SsT11s1wzXw_c/edit?usp=sharing"",""เลย!J658"")"),0)</f>
        <v>0</v>
      </c>
      <c r="AJ43" s="354">
        <f ca="1">IFERROR(__xludf.DUMMYFUNCTION("IMPORTRANGE(""https://docs.google.com/spreadsheets/d/1Ul4RCpCX66NxYADU1QpwAPjOmBzW64SsT11s1wzXw_c/edit?usp=sharing"",""เลย!J659"")"),0)</f>
        <v>0</v>
      </c>
      <c r="AK43" s="354">
        <f ca="1">IFERROR(__xludf.DUMMYFUNCTION("IMPORTRANGE(""https://docs.google.com/spreadsheets/d/1Ul4RCpCX66NxYADU1QpwAPjOmBzW64SsT11s1wzXw_c/edit?usp=sharing"",""เลย!J660"")"),0)</f>
        <v>0</v>
      </c>
      <c r="AL43" s="177">
        <f ca="1">IFERROR(__xludf.DUMMYFUNCTION("IMPORTRANGE(""https://docs.google.com/spreadsheets/d/1Ul4RCpCX66NxYADU1QpwAPjOmBzW64SsT11s1wzXw_c/edit?usp=sharing"",""เลย!I661"")"),20)</f>
        <v>20</v>
      </c>
      <c r="AM43" s="177">
        <f ca="1">IFERROR(__xludf.DUMMYFUNCTION("IMPORTRANGE(""https://docs.google.com/spreadsheets/d/1Ul4RCpCX66NxYADU1QpwAPjOmBzW64SsT11s1wzXw_c/edit?usp=sharing"",""เลย!J661"")"),0)</f>
        <v>0</v>
      </c>
      <c r="AN43" s="354">
        <f t="shared" ca="1" si="56"/>
        <v>0</v>
      </c>
      <c r="AO43" s="177">
        <f ca="1">IFERROR(__xludf.DUMMYFUNCTION("IMPORTRANGE(""https://docs.google.com/spreadsheets/d/1Ul4RCpCX66NxYADU1QpwAPjOmBzW64SsT11s1wzXw_c/edit?usp=sharing"",""เลย!J662"")"),0)</f>
        <v>0</v>
      </c>
      <c r="AP43" s="177">
        <f ca="1">IFERROR(__xludf.DUMMYFUNCTION("IMPORTRANGE(""https://docs.google.com/spreadsheets/d/1Ul4RCpCX66NxYADU1QpwAPjOmBzW64SsT11s1wzXw_c/edit?usp=sharing"",""เลย!J663"")"),0)</f>
        <v>0</v>
      </c>
      <c r="AQ43" s="177">
        <f ca="1">IFERROR(__xludf.DUMMYFUNCTION("IMPORTRANGE(""https://docs.google.com/spreadsheets/d/1Ul4RCpCX66NxYADU1QpwAPjOmBzW64SsT11s1wzXw_c/edit?usp=sharing"",""เลย!J665"")"),0)</f>
        <v>0</v>
      </c>
      <c r="AR43" s="177">
        <f ca="1">IFERROR(__xludf.DUMMYFUNCTION("IMPORTRANGE(""https://docs.google.com/spreadsheets/d/1Ul4RCpCX66NxYADU1QpwAPjOmBzW64SsT11s1wzXw_c/edit?usp=sharing"",""เลย!J666"")"),0)</f>
        <v>0</v>
      </c>
      <c r="AS43" s="177">
        <f ca="1">IFERROR(__xludf.DUMMYFUNCTION("IMPORTRANGE(""https://docs.google.com/spreadsheets/d/1Ul4RCpCX66NxYADU1QpwAPjOmBzW64SsT11s1wzXw_c/edit?usp=sharing"",""เลย!J667"")"),0)</f>
        <v>0</v>
      </c>
      <c r="AT43" s="177">
        <f ca="1">IFERROR(__xludf.DUMMYFUNCTION("IMPORTRANGE(""https://docs.google.com/spreadsheets/d/1Ul4RCpCX66NxYADU1QpwAPjOmBzW64SsT11s1wzXw_c/edit?usp=sharing"",""เลย!J668"")"),0)</f>
        <v>0</v>
      </c>
      <c r="AU43" s="177">
        <f ca="1">IFERROR(__xludf.DUMMYFUNCTION("IMPORTRANGE(""https://docs.google.com/spreadsheets/d/1Ul4RCpCX66NxYADU1QpwAPjOmBzW64SsT11s1wzXw_c/edit?usp=sharing"",""เลย!J669"")"),0)</f>
        <v>0</v>
      </c>
      <c r="AV43" s="177">
        <f ca="1">IFERROR(__xludf.DUMMYFUNCTION("IMPORTRANGE(""https://docs.google.com/spreadsheets/d/1Ul4RCpCX66NxYADU1QpwAPjOmBzW64SsT11s1wzXw_c/edit?usp=sharing"",""เลย!J670"")"),0)</f>
        <v>0</v>
      </c>
      <c r="AW43" s="177">
        <v>0</v>
      </c>
      <c r="AX43" s="177">
        <f ca="1">IFERROR(__xludf.DUMMYFUNCTION("IMPORTRANGE(""https://docs.google.com/spreadsheets/d/1Ul4RCpCX66NxYADU1QpwAPjOmBzW64SsT11s1wzXw_c/edit?usp=sharing"",""เลย!J671"")"),0)</f>
        <v>0</v>
      </c>
      <c r="AY43" s="177">
        <f ca="1">IFERROR(__xludf.DUMMYFUNCTION("IMPORTRANGE(""https://docs.google.com/spreadsheets/d/1Ul4RCpCX66NxYADU1QpwAPjOmBzW64SsT11s1wzXw_c/edit?usp=sharing"",""เลย!J672"")"),0)</f>
        <v>0</v>
      </c>
      <c r="AZ43" s="177">
        <f ca="1">IFERROR(__xludf.DUMMYFUNCTION("IMPORTRANGE(""https://docs.google.com/spreadsheets/d/1Ul4RCpCX66NxYADU1QpwAPjOmBzW64SsT11s1wzXw_c/edit?usp=sharing"",""เลย!J673"")"),0)</f>
        <v>0</v>
      </c>
      <c r="BA43" s="354">
        <f t="shared" si="58"/>
        <v>0</v>
      </c>
      <c r="BB43" s="177">
        <f ca="1">IFERROR(__xludf.DUMMYFUNCTION("IMPORTRANGE(""https://docs.google.com/spreadsheets/d/1Ul4RCpCX66NxYADU1QpwAPjOmBzW64SsT11s1wzXw_c/edit?usp=sharing"",""เลย!I674"")"),2)</f>
        <v>2</v>
      </c>
      <c r="BC43" s="177">
        <f ca="1">IFERROR(__xludf.DUMMYFUNCTION("IMPORTRANGE(""https://docs.google.com/spreadsheets/d/1Ul4RCpCX66NxYADU1QpwAPjOmBzW64SsT11s1wzXw_c/edit?usp=sharing"",""เลย!I675"")"),12)</f>
        <v>12</v>
      </c>
      <c r="BD43" s="177">
        <f ca="1">IFERROR(__xludf.DUMMYFUNCTION("IMPORTRANGE(""https://docs.google.com/spreadsheets/d/1Ul4RCpCX66NxYADU1QpwAPjOmBzW64SsT11s1wzXw_c/edit?usp=sharing"",""เลย!J674"")"),0)</f>
        <v>0</v>
      </c>
      <c r="BE43" s="354">
        <f t="shared" ca="1" si="60"/>
        <v>0</v>
      </c>
      <c r="BF43" s="177">
        <f ca="1">IFERROR(__xludf.DUMMYFUNCTION("IMPORTRANGE(""https://docs.google.com/spreadsheets/d/1Ul4RCpCX66NxYADU1QpwAPjOmBzW64SsT11s1wzXw_c/edit?usp=sharing"",""เลย!J675"")"),0)</f>
        <v>0</v>
      </c>
      <c r="BG43" s="354">
        <f t="shared" ca="1" si="61"/>
        <v>0</v>
      </c>
      <c r="BH43" s="177">
        <f ca="1">IFERROR(__xludf.DUMMYFUNCTION("IMPORTRANGE(""https://docs.google.com/spreadsheets/d/1Ul4RCpCX66NxYADU1QpwAPjOmBzW64SsT11s1wzXw_c/edit?usp=sharing"",""เลย!I676"")"),2)</f>
        <v>2</v>
      </c>
      <c r="BI43" s="177">
        <f ca="1">IFERROR(__xludf.DUMMYFUNCTION("IMPORTRANGE(""https://docs.google.com/spreadsheets/d/1Ul4RCpCX66NxYADU1QpwAPjOmBzW64SsT11s1wzXw_c/edit?usp=sharing"",""เลย!I678"")"),12)</f>
        <v>12</v>
      </c>
      <c r="BJ43" s="177">
        <f ca="1">IFERROR(__xludf.DUMMYFUNCTION("IMPORTRANGE(""https://docs.google.com/spreadsheets/d/1Ul4RCpCX66NxYADU1QpwAPjOmBzW64SsT11s1wzXw_c/edit?usp=sharing"",""เลย!J676"")"),0)</f>
        <v>0</v>
      </c>
      <c r="BK43" s="177">
        <f ca="1">IFERROR(__xludf.DUMMYFUNCTION("IMPORTRANGE(""https://docs.google.com/spreadsheets/d/1Ul4RCpCX66NxYADU1QpwAPjOmBzW64SsT11s1wzXw_c/edit?usp=sharing"",""เลย!J677"")"),0)</f>
        <v>0</v>
      </c>
      <c r="BL43" s="177">
        <f ca="1">IFERROR(__xludf.DUMMYFUNCTION("IMPORTRANGE(""https://docs.google.com/spreadsheets/d/1Ul4RCpCX66NxYADU1QpwAPjOmBzW64SsT11s1wzXw_c/edit?usp=sharing"",""เลย!J678"")"),0)</f>
        <v>0</v>
      </c>
      <c r="BM43" s="177">
        <f ca="1">IFERROR(__xludf.DUMMYFUNCTION("IMPORTRANGE(""https://docs.google.com/spreadsheets/d/1Ul4RCpCX66NxYADU1QpwAPjOmBzW64SsT11s1wzXw_c/edit?usp=sharing"",""เลย!I679"")"),0)</f>
        <v>0</v>
      </c>
      <c r="BN43" s="177">
        <f ca="1">IFERROR(__xludf.DUMMYFUNCTION("IMPORTRANGE(""https://docs.google.com/spreadsheets/d/1Ul4RCpCX66NxYADU1QpwAPjOmBzW64SsT11s1wzXw_c/edit?usp=sharing"",""เลย!I681"")"),0)</f>
        <v>0</v>
      </c>
      <c r="BO43" s="177">
        <f ca="1">IFERROR(__xludf.DUMMYFUNCTION("IMPORTRANGE(""https://docs.google.com/spreadsheets/d/1Ul4RCpCX66NxYADU1QpwAPjOmBzW64SsT11s1wzXw_c/edit?usp=sharing"",""เลย!J679"")"),0)</f>
        <v>0</v>
      </c>
      <c r="BP43" s="177">
        <f ca="1">IFERROR(__xludf.DUMMYFUNCTION("IMPORTRANGE(""https://docs.google.com/spreadsheets/d/1Ul4RCpCX66NxYADU1QpwAPjOmBzW64SsT11s1wzXw_c/edit?usp=sharing"",""เลย!J680"")"),0)</f>
        <v>0</v>
      </c>
      <c r="BQ43" s="177">
        <f ca="1">IFERROR(__xludf.DUMMYFUNCTION("IMPORTRANGE(""https://docs.google.com/spreadsheets/d/1Ul4RCpCX66NxYADU1QpwAPjOmBzW64SsT11s1wzXw_c/edit?usp=sharing"",""เลย!J681"")"),0)</f>
        <v>0</v>
      </c>
      <c r="BR43" s="177">
        <f ca="1">IFERROR(__xludf.DUMMYFUNCTION("IMPORTRANGE(""https://docs.google.com/spreadsheets/d/1Ul4RCpCX66NxYADU1QpwAPjOmBzW64SsT11s1wzXw_c/edit?usp=sharing"",""เลย!I682"")"),0)</f>
        <v>0</v>
      </c>
      <c r="BS43" s="177">
        <f ca="1">IFERROR(__xludf.DUMMYFUNCTION("IMPORTRANGE(""https://docs.google.com/spreadsheets/d/1Ul4RCpCX66NxYADU1QpwAPjOmBzW64SsT11s1wzXw_c/edit?usp=sharing"",""เลย!J682"")"),0)</f>
        <v>0</v>
      </c>
      <c r="BT43" s="354">
        <f t="shared" ca="1" si="63"/>
        <v>0</v>
      </c>
      <c r="BU43" s="177">
        <f ca="1">IFERROR(__xludf.DUMMYFUNCTION("IMPORTRANGE(""https://docs.google.com/spreadsheets/d/1Ul4RCpCX66NxYADU1QpwAPjOmBzW64SsT11s1wzXw_c/edit?usp=sharing"",""เลย!J683"")"),0)</f>
        <v>0</v>
      </c>
      <c r="BV43" s="177">
        <f ca="1">IFERROR(__xludf.DUMMYFUNCTION("IMPORTRANGE(""https://docs.google.com/spreadsheets/d/1Ul4RCpCX66NxYADU1QpwAPjOmBzW64SsT11s1wzXw_c/edit?usp=sharing"",""เลย!J684"")"),0)</f>
        <v>0</v>
      </c>
      <c r="BW43" s="177">
        <f ca="1">IFERROR(__xludf.DUMMYFUNCTION("IMPORTRANGE(""https://docs.google.com/spreadsheets/d/1Ul4RCpCX66NxYADU1QpwAPjOmBzW64SsT11s1wzXw_c/edit?usp=sharing"",""เลย!J685"")"),0)</f>
        <v>0</v>
      </c>
      <c r="BX43" s="177">
        <f ca="1">IFERROR(__xludf.DUMMYFUNCTION("IMPORTRANGE(""https://docs.google.com/spreadsheets/d/1Ul4RCpCX66NxYADU1QpwAPjOmBzW64SsT11s1wzXw_c/edit?usp=sharing"",""เลย!J686"")"),0)</f>
        <v>0</v>
      </c>
      <c r="BY43" s="177">
        <f ca="1">IFERROR(__xludf.DUMMYFUNCTION("IMPORTRANGE(""https://docs.google.com/spreadsheets/d/1Ul4RCpCX66NxYADU1QpwAPjOmBzW64SsT11s1wzXw_c/edit?usp=sharing"",""เลย!J687"")"),0)</f>
        <v>0</v>
      </c>
      <c r="BZ43" s="177">
        <f ca="1">IFERROR(__xludf.DUMMYFUNCTION("IMPORTRANGE(""https://docs.google.com/spreadsheets/d/1Ul4RCpCX66NxYADU1QpwAPjOmBzW64SsT11s1wzXw_c/edit?usp=sharing"",""เลย!J688"")"),0)</f>
        <v>0</v>
      </c>
    </row>
    <row r="44" spans="1:78" ht="21.75" customHeight="1" x14ac:dyDescent="0.3">
      <c r="A44" s="89">
        <v>13</v>
      </c>
      <c r="B44" s="90" t="s">
        <v>70</v>
      </c>
      <c r="C44" s="174">
        <f t="shared" si="38"/>
        <v>0</v>
      </c>
      <c r="D44" s="175">
        <f t="shared" si="76"/>
        <v>0</v>
      </c>
      <c r="E44" s="403">
        <v>0</v>
      </c>
      <c r="F44" s="403">
        <v>0</v>
      </c>
      <c r="G44" s="403">
        <v>0</v>
      </c>
      <c r="H44" s="403">
        <v>0</v>
      </c>
      <c r="I44" s="403">
        <v>0</v>
      </c>
      <c r="J44" s="176">
        <f t="shared" si="40"/>
        <v>0</v>
      </c>
      <c r="K44" s="179">
        <f t="shared" si="41"/>
        <v>0</v>
      </c>
      <c r="L44" s="403">
        <v>0</v>
      </c>
      <c r="M44" s="87">
        <f t="shared" si="42"/>
        <v>0</v>
      </c>
      <c r="N44" s="87">
        <f t="shared" si="43"/>
        <v>0</v>
      </c>
      <c r="O44" s="403">
        <v>0</v>
      </c>
      <c r="P44" s="86">
        <f t="shared" si="44"/>
        <v>0</v>
      </c>
      <c r="Q44" s="87">
        <f t="shared" si="45"/>
        <v>0</v>
      </c>
      <c r="R44" s="87">
        <f ca="1">IFERROR(__xludf.DUMMYFUNCTION("IMPORTRANGE(""https://docs.google.com/spreadsheets/d/1bRrNKwbHDVktQG10isr5vbWRtt5spIZPpkOSWgbT5ug/edit?usp=sharing"",""ศรีสะเกษ!Q642"")"),0)</f>
        <v>0</v>
      </c>
      <c r="S44" s="87">
        <f ca="1">IFERROR(__xludf.DUMMYFUNCTION("IMPORTRANGE(""https://docs.google.com/spreadsheets/d/1bRrNKwbHDVktQG10isr5vbWRtt5spIZPpkOSWgbT5ug/edit?usp=sharing"",""ศรีสะเกษ!R642"")"),0)</f>
        <v>0</v>
      </c>
      <c r="T44" s="87">
        <f ca="1">IFERROR(__xludf.DUMMYFUNCTION("IMPORTRANGE(""https://docs.google.com/spreadsheets/d/1bRrNKwbHDVktQG10isr5vbWRtt5spIZPpkOSWgbT5ug/edit?usp=sharing"",""ศรีสะเกษ!S642"")"),0)</f>
        <v>0</v>
      </c>
      <c r="U44" s="87">
        <f t="shared" ca="1" si="47"/>
        <v>0</v>
      </c>
      <c r="V44" s="87">
        <f t="shared" ca="1" si="48"/>
        <v>0</v>
      </c>
      <c r="W44" s="353">
        <f ca="1">IFERROR(__xludf.DUMMYFUNCTION("IMPORTRANGE(""https://docs.google.com/spreadsheets/d/1bRrNKwbHDVktQG10isr5vbWRtt5spIZPpkOSWgbT5ug/edit?usp=sharing"",""ศรีสะเกษ!I652"")"),0)</f>
        <v>0</v>
      </c>
      <c r="X44" s="452">
        <f ca="1">IFERROR(__xludf.DUMMYFUNCTION("IMPORTRANGE(""https://docs.google.com/spreadsheets/d/1bRrNKwbHDVktQG10isr5vbWRtt5spIZPpkOSWgbT5ug/edit?usp=sharing"",""ศรีสะเกษ!J652"")"),0)</f>
        <v>0</v>
      </c>
      <c r="Y44" s="354">
        <f t="shared" ca="1" si="50"/>
        <v>0</v>
      </c>
      <c r="Z44" s="177">
        <f ca="1">IFERROR(__xludf.DUMMYFUNCTION("IMPORTRANGE(""https://docs.google.com/spreadsheets/d/1bRrNKwbHDVktQG10isr5vbWRtt5spIZPpkOSWgbT5ug/edit?usp=sharing"",""ศรีสะเกษ!I653"")"),0)</f>
        <v>0</v>
      </c>
      <c r="AA44" s="452">
        <f ca="1">IFERROR(__xludf.DUMMYFUNCTION("IMPORTRANGE(""https://docs.google.com/spreadsheets/d/1bRrNKwbHDVktQG10isr5vbWRtt5spIZPpkOSWgbT5ug/edit?usp=sharing"",""ศรีสะเกษ!J653"")"),0)</f>
        <v>0</v>
      </c>
      <c r="AB44" s="354">
        <f t="shared" ca="1" si="52"/>
        <v>0</v>
      </c>
      <c r="AC44" s="177">
        <f ca="1">IFERROR(__xludf.DUMMYFUNCTION("IMPORTRANGE(""https://docs.google.com/spreadsheets/d/1bRrNKwbHDVktQG10isr5vbWRtt5spIZPpkOSWgbT5ug/edit?usp=sharing"",""ศรีสะเกษ!I654"")"),0)</f>
        <v>0</v>
      </c>
      <c r="AD44" s="177">
        <f ca="1">IFERROR(__xludf.DUMMYFUNCTION("IMPORTRANGE(""https://docs.google.com/spreadsheets/d/1bRrNKwbHDVktQG10isr5vbWRtt5spIZPpkOSWgbT5ug/edit?usp=sharing"",""ศรีสะเกษ!J654"")"),0)</f>
        <v>0</v>
      </c>
      <c r="AE44" s="354">
        <f t="shared" ca="1" si="54"/>
        <v>0</v>
      </c>
      <c r="AF44" s="354">
        <f ca="1">IFERROR(__xludf.DUMMYFUNCTION("IMPORTRANGE(""https://docs.google.com/spreadsheets/d/1bRrNKwbHDVktQG10isr5vbWRtt5spIZPpkOSWgbT5ug/edit?usp=sharing"",""ศรีสะเกษ!J655"")"),0)</f>
        <v>0</v>
      </c>
      <c r="AG44" s="354">
        <f ca="1">IFERROR(__xludf.DUMMYFUNCTION("IMPORTRANGE(""https://docs.google.com/spreadsheets/d/1bRrNKwbHDVktQG10isr5vbWRtt5spIZPpkOSWgbT5ug/edit?usp=sharing"",""ศรีสะเกษ!J656"")"),0)</f>
        <v>0</v>
      </c>
      <c r="AH44" s="354">
        <f ca="1">IFERROR(__xludf.DUMMYFUNCTION("IMPORTRANGE(""https://docs.google.com/spreadsheets/d/1bRrNKwbHDVktQG10isr5vbWRtt5spIZPpkOSWgbT5ug/edit?usp=sharing"",""ศรีสะเกษ!J657"")"),0)</f>
        <v>0</v>
      </c>
      <c r="AI44" s="354">
        <f ca="1">IFERROR(__xludf.DUMMYFUNCTION("IMPORTRANGE(""https://docs.google.com/spreadsheets/d/1bRrNKwbHDVktQG10isr5vbWRtt5spIZPpkOSWgbT5ug/edit?usp=sharing"",""ศรีสะเกษ!J658"")"),0)</f>
        <v>0</v>
      </c>
      <c r="AJ44" s="354">
        <f ca="1">IFERROR(__xludf.DUMMYFUNCTION("IMPORTRANGE(""https://docs.google.com/spreadsheets/d/1bRrNKwbHDVktQG10isr5vbWRtt5spIZPpkOSWgbT5ug/edit?usp=sharing"",""ศรีสะเกษ!J659"")"),0)</f>
        <v>0</v>
      </c>
      <c r="AK44" s="354">
        <f ca="1">IFERROR(__xludf.DUMMYFUNCTION("IMPORTRANGE(""https://docs.google.com/spreadsheets/d/1bRrNKwbHDVktQG10isr5vbWRtt5spIZPpkOSWgbT5ug/edit?usp=sharing"",""ศรีสะเกษ!J660"")"),0)</f>
        <v>0</v>
      </c>
      <c r="AL44" s="177">
        <f ca="1">IFERROR(__xludf.DUMMYFUNCTION("IMPORTRANGE(""https://docs.google.com/spreadsheets/d/1bRrNKwbHDVktQG10isr5vbWRtt5spIZPpkOSWgbT5ug/edit?usp=sharing"",""ศรีสะเกษ!I661"")"),0)</f>
        <v>0</v>
      </c>
      <c r="AM44" s="177">
        <f ca="1">IFERROR(__xludf.DUMMYFUNCTION("IMPORTRANGE(""https://docs.google.com/spreadsheets/d/1bRrNKwbHDVktQG10isr5vbWRtt5spIZPpkOSWgbT5ug/edit?usp=sharing"",""ศรีสะเกษ!J661"")"),0)</f>
        <v>0</v>
      </c>
      <c r="AN44" s="354">
        <f t="shared" ca="1" si="56"/>
        <v>0</v>
      </c>
      <c r="AO44" s="177">
        <f ca="1">IFERROR(__xludf.DUMMYFUNCTION("IMPORTRANGE(""https://docs.google.com/spreadsheets/d/1bRrNKwbHDVktQG10isr5vbWRtt5spIZPpkOSWgbT5ug/edit?usp=sharing"",""ศรีสะเกษ!J662"")"),0)</f>
        <v>0</v>
      </c>
      <c r="AP44" s="177">
        <f ca="1">IFERROR(__xludf.DUMMYFUNCTION("IMPORTRANGE(""https://docs.google.com/spreadsheets/d/1bRrNKwbHDVktQG10isr5vbWRtt5spIZPpkOSWgbT5ug/edit?usp=sharing"",""ศรีสะเกษ!J663"")"),0)</f>
        <v>0</v>
      </c>
      <c r="AQ44" s="177">
        <f ca="1">IFERROR(__xludf.DUMMYFUNCTION("IMPORTRANGE(""https://docs.google.com/spreadsheets/d/1bRrNKwbHDVktQG10isr5vbWRtt5spIZPpkOSWgbT5ug/edit?usp=sharing"",""ศรีสะเกษ!J665"")"),0)</f>
        <v>0</v>
      </c>
      <c r="AR44" s="177">
        <f ca="1">IFERROR(__xludf.DUMMYFUNCTION("IMPORTRANGE(""https://docs.google.com/spreadsheets/d/1bRrNKwbHDVktQG10isr5vbWRtt5spIZPpkOSWgbT5ug/edit?usp=sharing"",""ศรีสะเกษ!J666"")"),0)</f>
        <v>0</v>
      </c>
      <c r="AS44" s="177">
        <f ca="1">IFERROR(__xludf.DUMMYFUNCTION("IMPORTRANGE(""https://docs.google.com/spreadsheets/d/1bRrNKwbHDVktQG10isr5vbWRtt5spIZPpkOSWgbT5ug/edit?usp=sharing"",""ศรีสะเกษ!J667"")"),0)</f>
        <v>0</v>
      </c>
      <c r="AT44" s="177">
        <f ca="1">IFERROR(__xludf.DUMMYFUNCTION("IMPORTRANGE(""https://docs.google.com/spreadsheets/d/1bRrNKwbHDVktQG10isr5vbWRtt5spIZPpkOSWgbT5ug/edit?usp=sharing"",""ศรีสะเกษ!J668"")"),0)</f>
        <v>0</v>
      </c>
      <c r="AU44" s="177">
        <f ca="1">IFERROR(__xludf.DUMMYFUNCTION("IMPORTRANGE(""https://docs.google.com/spreadsheets/d/1bRrNKwbHDVktQG10isr5vbWRtt5spIZPpkOSWgbT5ug/edit?usp=sharing"",""ศรีสะเกษ!J669"")"),0)</f>
        <v>0</v>
      </c>
      <c r="AV44" s="177">
        <f ca="1">IFERROR(__xludf.DUMMYFUNCTION("IMPORTRANGE(""https://docs.google.com/spreadsheets/d/1bRrNKwbHDVktQG10isr5vbWRtt5spIZPpkOSWgbT5ug/edit?usp=sharing"",""ศรีสะเกษ!J670"")"),0)</f>
        <v>0</v>
      </c>
      <c r="AW44" s="177">
        <v>0</v>
      </c>
      <c r="AX44" s="452">
        <f ca="1">IFERROR(__xludf.DUMMYFUNCTION("IMPORTRANGE(""https://docs.google.com/spreadsheets/d/1bRrNKwbHDVktQG10isr5vbWRtt5spIZPpkOSWgbT5ug/edit?usp=sharing"",""ศรีสะเกษ!J671"")"),0)</f>
        <v>0</v>
      </c>
      <c r="AY44" s="452">
        <f ca="1">IFERROR(__xludf.DUMMYFUNCTION("IMPORTRANGE(""https://docs.google.com/spreadsheets/d/1bRrNKwbHDVktQG10isr5vbWRtt5spIZPpkOSWgbT5ug/edit?usp=sharing"",""ศรีสะเกษ!J672"")"),0)</f>
        <v>0</v>
      </c>
      <c r="AZ44" s="452">
        <f ca="1">IFERROR(__xludf.DUMMYFUNCTION("IMPORTRANGE(""https://docs.google.com/spreadsheets/d/1bRrNKwbHDVktQG10isr5vbWRtt5spIZPpkOSWgbT5ug/edit?usp=sharing"",""ศรีสะเกษ!J673"")"),0)</f>
        <v>0</v>
      </c>
      <c r="BA44" s="354">
        <f t="shared" si="58"/>
        <v>0</v>
      </c>
      <c r="BB44" s="177">
        <f ca="1">IFERROR(__xludf.DUMMYFUNCTION("IMPORTRANGE(""https://docs.google.com/spreadsheets/d/1bRrNKwbHDVktQG10isr5vbWRtt5spIZPpkOSWgbT5ug/edit?usp=sharing"",""ศรีสะเกษ!I674"")"),0)</f>
        <v>0</v>
      </c>
      <c r="BC44" s="177">
        <f ca="1">IFERROR(__xludf.DUMMYFUNCTION("IMPORTRANGE(""https://docs.google.com/spreadsheets/d/1bRrNKwbHDVktQG10isr5vbWRtt5spIZPpkOSWgbT5ug/edit?usp=sharing"",""ศรีสะเกษ!I675"")"),0)</f>
        <v>0</v>
      </c>
      <c r="BD44" s="452">
        <f ca="1">IFERROR(__xludf.DUMMYFUNCTION("IMPORTRANGE(""https://docs.google.com/spreadsheets/d/1bRrNKwbHDVktQG10isr5vbWRtt5spIZPpkOSWgbT5ug/edit?usp=sharing"",""ศรีสะเกษ!J674"")"),0)</f>
        <v>0</v>
      </c>
      <c r="BE44" s="354">
        <f t="shared" ca="1" si="60"/>
        <v>0</v>
      </c>
      <c r="BF44" s="452">
        <f ca="1">IFERROR(__xludf.DUMMYFUNCTION("IMPORTRANGE(""https://docs.google.com/spreadsheets/d/1bRrNKwbHDVktQG10isr5vbWRtt5spIZPpkOSWgbT5ug/edit?usp=sharing"",""ศรีสะเกษ!J675"")"),0)</f>
        <v>0</v>
      </c>
      <c r="BG44" s="354">
        <f t="shared" ca="1" si="61"/>
        <v>0</v>
      </c>
      <c r="BH44" s="177">
        <f ca="1">IFERROR(__xludf.DUMMYFUNCTION("IMPORTRANGE(""https://docs.google.com/spreadsheets/d/1bRrNKwbHDVktQG10isr5vbWRtt5spIZPpkOSWgbT5ug/edit?usp=sharing"",""ศรีสะเกษ!I676"")"),0)</f>
        <v>0</v>
      </c>
      <c r="BI44" s="177">
        <f ca="1">IFERROR(__xludf.DUMMYFUNCTION("IMPORTRANGE(""https://docs.google.com/spreadsheets/d/1bRrNKwbHDVktQG10isr5vbWRtt5spIZPpkOSWgbT5ug/edit?usp=sharing"",""ศรีสะเกษ!I678"")"),0)</f>
        <v>0</v>
      </c>
      <c r="BJ44" s="452">
        <f ca="1">IFERROR(__xludf.DUMMYFUNCTION("IMPORTRANGE(""https://docs.google.com/spreadsheets/d/1bRrNKwbHDVktQG10isr5vbWRtt5spIZPpkOSWgbT5ug/edit?usp=sharing"",""ศรีสะเกษ!J676"")"),0)</f>
        <v>0</v>
      </c>
      <c r="BK44" s="452">
        <f ca="1">IFERROR(__xludf.DUMMYFUNCTION("IMPORTRANGE(""https://docs.google.com/spreadsheets/d/1bRrNKwbHDVktQG10isr5vbWRtt5spIZPpkOSWgbT5ug/edit?usp=sharing"",""ศรีสะเกษ!J677"")"),0)</f>
        <v>0</v>
      </c>
      <c r="BL44" s="452">
        <f ca="1">IFERROR(__xludf.DUMMYFUNCTION("IMPORTRANGE(""https://docs.google.com/spreadsheets/d/1bRrNKwbHDVktQG10isr5vbWRtt5spIZPpkOSWgbT5ug/edit?usp=sharing"",""ศรีสะเกษ!J678"")"),0)</f>
        <v>0</v>
      </c>
      <c r="BM44" s="177">
        <f ca="1">IFERROR(__xludf.DUMMYFUNCTION("IMPORTRANGE(""https://docs.google.com/spreadsheets/d/1bRrNKwbHDVktQG10isr5vbWRtt5spIZPpkOSWgbT5ug/edit?usp=sharing"",""ศรีสะเกษ!I679"")"),0)</f>
        <v>0</v>
      </c>
      <c r="BN44" s="177">
        <f ca="1">IFERROR(__xludf.DUMMYFUNCTION("IMPORTRANGE(""https://docs.google.com/spreadsheets/d/1bRrNKwbHDVktQG10isr5vbWRtt5spIZPpkOSWgbT5ug/edit?usp=sharing"",""ศรีสะเกษ!I681"")"),0)</f>
        <v>0</v>
      </c>
      <c r="BO44" s="452">
        <f ca="1">IFERROR(__xludf.DUMMYFUNCTION("IMPORTRANGE(""https://docs.google.com/spreadsheets/d/1bRrNKwbHDVktQG10isr5vbWRtt5spIZPpkOSWgbT5ug/edit?usp=sharing"",""ศรีสะเกษ!J679"")"),0)</f>
        <v>0</v>
      </c>
      <c r="BP44" s="452">
        <f ca="1">IFERROR(__xludf.DUMMYFUNCTION("IMPORTRANGE(""https://docs.google.com/spreadsheets/d/1bRrNKwbHDVktQG10isr5vbWRtt5spIZPpkOSWgbT5ug/edit?usp=sharing"",""ศรีสะเกษ!J680"")"),0)</f>
        <v>0</v>
      </c>
      <c r="BQ44" s="452">
        <f ca="1">IFERROR(__xludf.DUMMYFUNCTION("IMPORTRANGE(""https://docs.google.com/spreadsheets/d/1bRrNKwbHDVktQG10isr5vbWRtt5spIZPpkOSWgbT5ug/edit?usp=sharing"",""ศรีสะเกษ!J681"")"),0)</f>
        <v>0</v>
      </c>
      <c r="BR44" s="177">
        <f ca="1">IFERROR(__xludf.DUMMYFUNCTION("IMPORTRANGE(""https://docs.google.com/spreadsheets/d/1bRrNKwbHDVktQG10isr5vbWRtt5spIZPpkOSWgbT5ug/edit?usp=sharing"",""ศรีสะเกษ!I682"")"),0)</f>
        <v>0</v>
      </c>
      <c r="BS44" s="177">
        <f ca="1">IFERROR(__xludf.DUMMYFUNCTION("IMPORTRANGE(""https://docs.google.com/spreadsheets/d/1bRrNKwbHDVktQG10isr5vbWRtt5spIZPpkOSWgbT5ug/edit?usp=sharing"",""ศรีสะเกษ!J682"")"),0)</f>
        <v>0</v>
      </c>
      <c r="BT44" s="354">
        <f t="shared" ca="1" si="63"/>
        <v>0</v>
      </c>
      <c r="BU44" s="177">
        <f ca="1">IFERROR(__xludf.DUMMYFUNCTION("IMPORTRANGE(""https://docs.google.com/spreadsheets/d/1bRrNKwbHDVktQG10isr5vbWRtt5spIZPpkOSWgbT5ug/edit?usp=sharing"",""ศรีสะเกษ!J683"")"),0)</f>
        <v>0</v>
      </c>
      <c r="BV44" s="177">
        <f ca="1">IFERROR(__xludf.DUMMYFUNCTION("IMPORTRANGE(""https://docs.google.com/spreadsheets/d/1bRrNKwbHDVktQG10isr5vbWRtt5spIZPpkOSWgbT5ug/edit?usp=sharing"",""ศรีสะเกษ!J684"")"),0)</f>
        <v>0</v>
      </c>
      <c r="BW44" s="177">
        <f ca="1">IFERROR(__xludf.DUMMYFUNCTION("IMPORTRANGE(""https://docs.google.com/spreadsheets/d/1bRrNKwbHDVktQG10isr5vbWRtt5spIZPpkOSWgbT5ug/edit?usp=sharing"",""ศรีสะเกษ!J685"")"),0)</f>
        <v>0</v>
      </c>
      <c r="BX44" s="177">
        <f ca="1">IFERROR(__xludf.DUMMYFUNCTION("IMPORTRANGE(""https://docs.google.com/spreadsheets/d/1bRrNKwbHDVktQG10isr5vbWRtt5spIZPpkOSWgbT5ug/edit?usp=sharing"",""ศรีสะเกษ!J686"")"),0)</f>
        <v>0</v>
      </c>
      <c r="BY44" s="177">
        <f ca="1">IFERROR(__xludf.DUMMYFUNCTION("IMPORTRANGE(""https://docs.google.com/spreadsheets/d/1bRrNKwbHDVktQG10isr5vbWRtt5spIZPpkOSWgbT5ug/edit?usp=sharing"",""ศรีสะเกษ!J687"")"),0)</f>
        <v>0</v>
      </c>
      <c r="BZ44" s="177">
        <f ca="1">IFERROR(__xludf.DUMMYFUNCTION("IMPORTRANGE(""https://docs.google.com/spreadsheets/d/1bRrNKwbHDVktQG10isr5vbWRtt5spIZPpkOSWgbT5ug/edit?usp=sharing"",""ศรีสะเกษ!J688"")"),0)</f>
        <v>0</v>
      </c>
    </row>
    <row r="45" spans="1:78" ht="21.75" customHeight="1" x14ac:dyDescent="0.3">
      <c r="A45" s="89">
        <v>14</v>
      </c>
      <c r="B45" s="90" t="s">
        <v>71</v>
      </c>
      <c r="C45" s="174">
        <f t="shared" si="38"/>
        <v>0</v>
      </c>
      <c r="D45" s="175">
        <f t="shared" si="76"/>
        <v>0</v>
      </c>
      <c r="E45" s="403">
        <v>0</v>
      </c>
      <c r="F45" s="403">
        <v>0</v>
      </c>
      <c r="G45" s="403">
        <v>0</v>
      </c>
      <c r="H45" s="403">
        <v>0</v>
      </c>
      <c r="I45" s="403">
        <v>0</v>
      </c>
      <c r="J45" s="176">
        <f t="shared" si="40"/>
        <v>0</v>
      </c>
      <c r="K45" s="179">
        <f t="shared" si="41"/>
        <v>0</v>
      </c>
      <c r="L45" s="403">
        <v>0</v>
      </c>
      <c r="M45" s="87">
        <f t="shared" si="42"/>
        <v>0</v>
      </c>
      <c r="N45" s="87">
        <f t="shared" si="43"/>
        <v>0</v>
      </c>
      <c r="O45" s="403">
        <v>0</v>
      </c>
      <c r="P45" s="86">
        <f t="shared" si="44"/>
        <v>0</v>
      </c>
      <c r="Q45" s="87">
        <f t="shared" si="45"/>
        <v>0</v>
      </c>
      <c r="R45" s="87">
        <f ca="1">IFERROR(__xludf.DUMMYFUNCTION("IMPORTRANGE(""https://docs.google.com/spreadsheets/d/17P34_Ow5kFBfdQD0qspb2UuPX5zpi6WMrQzslghyvrI/edit?usp=sharing"",""สกลนคร!Q642"")"),0)</f>
        <v>0</v>
      </c>
      <c r="S45" s="87">
        <f ca="1">IFERROR(__xludf.DUMMYFUNCTION("IMPORTRANGE(""https://docs.google.com/spreadsheets/d/17P34_Ow5kFBfdQD0qspb2UuPX5zpi6WMrQzslghyvrI/edit?usp=sharing"",""สกลนคร!R642"")"),0)</f>
        <v>0</v>
      </c>
      <c r="T45" s="87">
        <f ca="1">IFERROR(__xludf.DUMMYFUNCTION("IMPORTRANGE(""https://docs.google.com/spreadsheets/d/17P34_Ow5kFBfdQD0qspb2UuPX5zpi6WMrQzslghyvrI/edit?usp=sharing"",""สกลนคร!S642"")"),0)</f>
        <v>0</v>
      </c>
      <c r="U45" s="87">
        <f t="shared" ca="1" si="47"/>
        <v>0</v>
      </c>
      <c r="V45" s="87">
        <f t="shared" ca="1" si="48"/>
        <v>0</v>
      </c>
      <c r="W45" s="353">
        <f ca="1">IFERROR(__xludf.DUMMYFUNCTION("IMPORTRANGE(""https://docs.google.com/spreadsheets/d/17P34_Ow5kFBfdQD0qspb2UuPX5zpi6WMrQzslghyvrI/edit?usp=sharing"",""สกลนคร!I652"")"),0)</f>
        <v>0</v>
      </c>
      <c r="X45" s="177">
        <f ca="1">IFERROR(__xludf.DUMMYFUNCTION("IMPORTRANGE(""https://docs.google.com/spreadsheets/d/17P34_Ow5kFBfdQD0qspb2UuPX5zpi6WMrQzslghyvrI/edit?usp=sharing"",""สกลนคร!J652"")"),0)</f>
        <v>0</v>
      </c>
      <c r="Y45" s="354">
        <f t="shared" ca="1" si="50"/>
        <v>0</v>
      </c>
      <c r="Z45" s="177">
        <f ca="1">IFERROR(__xludf.DUMMYFUNCTION("IMPORTRANGE(""https://docs.google.com/spreadsheets/d/17P34_Ow5kFBfdQD0qspb2UuPX5zpi6WMrQzslghyvrI/edit?usp=sharing"",""สกลนคร!I653"")"),0)</f>
        <v>0</v>
      </c>
      <c r="AA45" s="177">
        <f ca="1">IFERROR(__xludf.DUMMYFUNCTION("IMPORTRANGE(""https://docs.google.com/spreadsheets/d/17P34_Ow5kFBfdQD0qspb2UuPX5zpi6WMrQzslghyvrI/edit?usp=sharing"",""สกลนคร!J653"")"),0)</f>
        <v>0</v>
      </c>
      <c r="AB45" s="354">
        <f t="shared" ca="1" si="52"/>
        <v>0</v>
      </c>
      <c r="AC45" s="177">
        <f ca="1">IFERROR(__xludf.DUMMYFUNCTION("IMPORTRANGE(""https://docs.google.com/spreadsheets/d/17P34_Ow5kFBfdQD0qspb2UuPX5zpi6WMrQzslghyvrI/edit?usp=sharing"",""สกลนคร!I654"")"),0)</f>
        <v>0</v>
      </c>
      <c r="AD45" s="177">
        <f ca="1">IFERROR(__xludf.DUMMYFUNCTION("IMPORTRANGE(""https://docs.google.com/spreadsheets/d/17P34_Ow5kFBfdQD0qspb2UuPX5zpi6WMrQzslghyvrI/edit?usp=sharing"",""สกลนคร!J654"")"),0)</f>
        <v>0</v>
      </c>
      <c r="AE45" s="354">
        <f t="shared" ca="1" si="54"/>
        <v>0</v>
      </c>
      <c r="AF45" s="354">
        <f ca="1">IFERROR(__xludf.DUMMYFUNCTION("IMPORTRANGE(""https://docs.google.com/spreadsheets/d/17P34_Ow5kFBfdQD0qspb2UuPX5zpi6WMrQzslghyvrI/edit?usp=sharing"",""สกลนคร!J655"")"),0)</f>
        <v>0</v>
      </c>
      <c r="AG45" s="354">
        <f ca="1">IFERROR(__xludf.DUMMYFUNCTION("IMPORTRANGE(""https://docs.google.com/spreadsheets/d/17P34_Ow5kFBfdQD0qspb2UuPX5zpi6WMrQzslghyvrI/edit?usp=sharing"",""สกลนคร!J656"")"),0)</f>
        <v>0</v>
      </c>
      <c r="AH45" s="354">
        <f ca="1">IFERROR(__xludf.DUMMYFUNCTION("IMPORTRANGE(""https://docs.google.com/spreadsheets/d/17P34_Ow5kFBfdQD0qspb2UuPX5zpi6WMrQzslghyvrI/edit?usp=sharing"",""สกลนคร!J657"")"),0)</f>
        <v>0</v>
      </c>
      <c r="AI45" s="354">
        <f ca="1">IFERROR(__xludf.DUMMYFUNCTION("IMPORTRANGE(""https://docs.google.com/spreadsheets/d/17P34_Ow5kFBfdQD0qspb2UuPX5zpi6WMrQzslghyvrI/edit?usp=sharing"",""สกลนคร!J658"")"),0)</f>
        <v>0</v>
      </c>
      <c r="AJ45" s="354">
        <f ca="1">IFERROR(__xludf.DUMMYFUNCTION("IMPORTRANGE(""https://docs.google.com/spreadsheets/d/17P34_Ow5kFBfdQD0qspb2UuPX5zpi6WMrQzslghyvrI/edit?usp=sharing"",""สกลนคร!J659"")"),0)</f>
        <v>0</v>
      </c>
      <c r="AK45" s="354">
        <f ca="1">IFERROR(__xludf.DUMMYFUNCTION("IMPORTRANGE(""https://docs.google.com/spreadsheets/d/17P34_Ow5kFBfdQD0qspb2UuPX5zpi6WMrQzslghyvrI/edit?usp=sharing"",""สกลนคร!J660"")"),0)</f>
        <v>0</v>
      </c>
      <c r="AL45" s="177">
        <f ca="1">IFERROR(__xludf.DUMMYFUNCTION("IMPORTRANGE(""https://docs.google.com/spreadsheets/d/17P34_Ow5kFBfdQD0qspb2UuPX5zpi6WMrQzslghyvrI/edit?usp=sharing"",""สกลนคร!I661"")"),0)</f>
        <v>0</v>
      </c>
      <c r="AM45" s="177">
        <f ca="1">IFERROR(__xludf.DUMMYFUNCTION("IMPORTRANGE(""https://docs.google.com/spreadsheets/d/17P34_Ow5kFBfdQD0qspb2UuPX5zpi6WMrQzslghyvrI/edit?usp=sharing"",""สกลนคร!J661"")"),0)</f>
        <v>0</v>
      </c>
      <c r="AN45" s="354">
        <f t="shared" ca="1" si="56"/>
        <v>0</v>
      </c>
      <c r="AO45" s="177">
        <f ca="1">IFERROR(__xludf.DUMMYFUNCTION("IMPORTRANGE(""https://docs.google.com/spreadsheets/d/17P34_Ow5kFBfdQD0qspb2UuPX5zpi6WMrQzslghyvrI/edit?usp=sharing"",""สกลนคร!J662"")"),0)</f>
        <v>0</v>
      </c>
      <c r="AP45" s="177">
        <f ca="1">IFERROR(__xludf.DUMMYFUNCTION("IMPORTRANGE(""https://docs.google.com/spreadsheets/d/17P34_Ow5kFBfdQD0qspb2UuPX5zpi6WMrQzslghyvrI/edit?usp=sharing"",""สกลนคร!J663"")"),0)</f>
        <v>0</v>
      </c>
      <c r="AQ45" s="177">
        <f ca="1">IFERROR(__xludf.DUMMYFUNCTION("IMPORTRANGE(""https://docs.google.com/spreadsheets/d/17P34_Ow5kFBfdQD0qspb2UuPX5zpi6WMrQzslghyvrI/edit?usp=sharing"",""สกลนคร!J665"")"),0)</f>
        <v>0</v>
      </c>
      <c r="AR45" s="177">
        <f ca="1">IFERROR(__xludf.DUMMYFUNCTION("IMPORTRANGE(""https://docs.google.com/spreadsheets/d/17P34_Ow5kFBfdQD0qspb2UuPX5zpi6WMrQzslghyvrI/edit?usp=sharing"",""สกลนคร!J666"")"),0)</f>
        <v>0</v>
      </c>
      <c r="AS45" s="177">
        <f ca="1">IFERROR(__xludf.DUMMYFUNCTION("IMPORTRANGE(""https://docs.google.com/spreadsheets/d/17P34_Ow5kFBfdQD0qspb2UuPX5zpi6WMrQzslghyvrI/edit?usp=sharing"",""สกลนคร!J667"")"),0)</f>
        <v>0</v>
      </c>
      <c r="AT45" s="177">
        <f ca="1">IFERROR(__xludf.DUMMYFUNCTION("IMPORTRANGE(""https://docs.google.com/spreadsheets/d/17P34_Ow5kFBfdQD0qspb2UuPX5zpi6WMrQzslghyvrI/edit?usp=sharing"",""สกลนคร!J668"")"),0)</f>
        <v>0</v>
      </c>
      <c r="AU45" s="177">
        <f ca="1">IFERROR(__xludf.DUMMYFUNCTION("IMPORTRANGE(""https://docs.google.com/spreadsheets/d/17P34_Ow5kFBfdQD0qspb2UuPX5zpi6WMrQzslghyvrI/edit?usp=sharing"",""สกลนคร!J669"")"),0)</f>
        <v>0</v>
      </c>
      <c r="AV45" s="177">
        <f ca="1">IFERROR(__xludf.DUMMYFUNCTION("IMPORTRANGE(""https://docs.google.com/spreadsheets/d/17P34_Ow5kFBfdQD0qspb2UuPX5zpi6WMrQzslghyvrI/edit?usp=sharing"",""สกลนคร!J670"")"),0)</f>
        <v>0</v>
      </c>
      <c r="AW45" s="177">
        <v>0</v>
      </c>
      <c r="AX45" s="177">
        <f ca="1">IFERROR(__xludf.DUMMYFUNCTION("IMPORTRANGE(""https://docs.google.com/spreadsheets/d/17P34_Ow5kFBfdQD0qspb2UuPX5zpi6WMrQzslghyvrI/edit?usp=sharing"",""สกลนคร!J671"")"),0)</f>
        <v>0</v>
      </c>
      <c r="AY45" s="177">
        <f ca="1">IFERROR(__xludf.DUMMYFUNCTION("IMPORTRANGE(""https://docs.google.com/spreadsheets/d/17P34_Ow5kFBfdQD0qspb2UuPX5zpi6WMrQzslghyvrI/edit?usp=sharing"",""สกลนคร!J672"")"),0)</f>
        <v>0</v>
      </c>
      <c r="AZ45" s="177">
        <f ca="1">IFERROR(__xludf.DUMMYFUNCTION("IMPORTRANGE(""https://docs.google.com/spreadsheets/d/17P34_Ow5kFBfdQD0qspb2UuPX5zpi6WMrQzslghyvrI/edit?usp=sharing"",""สกลนคร!J673"")"),0)</f>
        <v>0</v>
      </c>
      <c r="BA45" s="354">
        <f t="shared" si="58"/>
        <v>0</v>
      </c>
      <c r="BB45" s="177">
        <f ca="1">IFERROR(__xludf.DUMMYFUNCTION("IMPORTRANGE(""https://docs.google.com/spreadsheets/d/17P34_Ow5kFBfdQD0qspb2UuPX5zpi6WMrQzslghyvrI/edit?usp=sharing"",""สกลนคร!I674"")"),0)</f>
        <v>0</v>
      </c>
      <c r="BC45" s="177">
        <f ca="1">IFERROR(__xludf.DUMMYFUNCTION("IMPORTRANGE(""https://docs.google.com/spreadsheets/d/17P34_Ow5kFBfdQD0qspb2UuPX5zpi6WMrQzslghyvrI/edit?usp=sharing"",""สกลนคร!I675"")"),0)</f>
        <v>0</v>
      </c>
      <c r="BD45" s="177">
        <f ca="1">IFERROR(__xludf.DUMMYFUNCTION("IMPORTRANGE(""https://docs.google.com/spreadsheets/d/17P34_Ow5kFBfdQD0qspb2UuPX5zpi6WMrQzslghyvrI/edit?usp=sharing"",""สกลนคร!J674"")"),0)</f>
        <v>0</v>
      </c>
      <c r="BE45" s="354">
        <f t="shared" ca="1" si="60"/>
        <v>0</v>
      </c>
      <c r="BF45" s="177">
        <f ca="1">IFERROR(__xludf.DUMMYFUNCTION("IMPORTRANGE(""https://docs.google.com/spreadsheets/d/17P34_Ow5kFBfdQD0qspb2UuPX5zpi6WMrQzslghyvrI/edit?usp=sharing"",""สกลนคร!J675"")"),0)</f>
        <v>0</v>
      </c>
      <c r="BG45" s="354">
        <f t="shared" ca="1" si="61"/>
        <v>0</v>
      </c>
      <c r="BH45" s="177">
        <f ca="1">IFERROR(__xludf.DUMMYFUNCTION("IMPORTRANGE(""https://docs.google.com/spreadsheets/d/17P34_Ow5kFBfdQD0qspb2UuPX5zpi6WMrQzslghyvrI/edit?usp=sharing"",""สกลนคร!I676"")"),0)</f>
        <v>0</v>
      </c>
      <c r="BI45" s="177">
        <f ca="1">IFERROR(__xludf.DUMMYFUNCTION("IMPORTRANGE(""https://docs.google.com/spreadsheets/d/17P34_Ow5kFBfdQD0qspb2UuPX5zpi6WMrQzslghyvrI/edit?usp=sharing"",""สกลนคร!I678"")"),0)</f>
        <v>0</v>
      </c>
      <c r="BJ45" s="177">
        <f ca="1">IFERROR(__xludf.DUMMYFUNCTION("IMPORTRANGE(""https://docs.google.com/spreadsheets/d/17P34_Ow5kFBfdQD0qspb2UuPX5zpi6WMrQzslghyvrI/edit?usp=sharing"",""สกลนคร!J676"")"),0)</f>
        <v>0</v>
      </c>
      <c r="BK45" s="177">
        <f ca="1">IFERROR(__xludf.DUMMYFUNCTION("IMPORTRANGE(""https://docs.google.com/spreadsheets/d/17P34_Ow5kFBfdQD0qspb2UuPX5zpi6WMrQzslghyvrI/edit?usp=sharing"",""สกลนคร!J677"")"),0)</f>
        <v>0</v>
      </c>
      <c r="BL45" s="177">
        <f ca="1">IFERROR(__xludf.DUMMYFUNCTION("IMPORTRANGE(""https://docs.google.com/spreadsheets/d/17P34_Ow5kFBfdQD0qspb2UuPX5zpi6WMrQzslghyvrI/edit?usp=sharing"",""สกลนคร!J678"")"),0)</f>
        <v>0</v>
      </c>
      <c r="BM45" s="177">
        <f ca="1">IFERROR(__xludf.DUMMYFUNCTION("IMPORTRANGE(""https://docs.google.com/spreadsheets/d/17P34_Ow5kFBfdQD0qspb2UuPX5zpi6WMrQzslghyvrI/edit?usp=sharing"",""สกลนคร!I679"")"),0)</f>
        <v>0</v>
      </c>
      <c r="BN45" s="177">
        <f ca="1">IFERROR(__xludf.DUMMYFUNCTION("IMPORTRANGE(""https://docs.google.com/spreadsheets/d/17P34_Ow5kFBfdQD0qspb2UuPX5zpi6WMrQzslghyvrI/edit?usp=sharing"",""สกลนคร!I681"")"),0)</f>
        <v>0</v>
      </c>
      <c r="BO45" s="177">
        <f ca="1">IFERROR(__xludf.DUMMYFUNCTION("IMPORTRANGE(""https://docs.google.com/spreadsheets/d/17P34_Ow5kFBfdQD0qspb2UuPX5zpi6WMrQzslghyvrI/edit?usp=sharing"",""สกลนคร!J679"")"),0)</f>
        <v>0</v>
      </c>
      <c r="BP45" s="177">
        <f ca="1">IFERROR(__xludf.DUMMYFUNCTION("IMPORTRANGE(""https://docs.google.com/spreadsheets/d/17P34_Ow5kFBfdQD0qspb2UuPX5zpi6WMrQzslghyvrI/edit?usp=sharing"",""สกลนคร!J680"")"),0)</f>
        <v>0</v>
      </c>
      <c r="BQ45" s="177">
        <f ca="1">IFERROR(__xludf.DUMMYFUNCTION("IMPORTRANGE(""https://docs.google.com/spreadsheets/d/17P34_Ow5kFBfdQD0qspb2UuPX5zpi6WMrQzslghyvrI/edit?usp=sharing"",""สกลนคร!J681"")"),0)</f>
        <v>0</v>
      </c>
      <c r="BR45" s="177">
        <f ca="1">IFERROR(__xludf.DUMMYFUNCTION("IMPORTRANGE(""https://docs.google.com/spreadsheets/d/17P34_Ow5kFBfdQD0qspb2UuPX5zpi6WMrQzslghyvrI/edit?usp=sharing"",""สกลนคร!I682"")"),0)</f>
        <v>0</v>
      </c>
      <c r="BS45" s="177">
        <f ca="1">IFERROR(__xludf.DUMMYFUNCTION("IMPORTRANGE(""https://docs.google.com/spreadsheets/d/17P34_Ow5kFBfdQD0qspb2UuPX5zpi6WMrQzslghyvrI/edit?usp=sharing"",""สกลนคร!J682"")"),0)</f>
        <v>0</v>
      </c>
      <c r="BT45" s="354">
        <f t="shared" ca="1" si="63"/>
        <v>0</v>
      </c>
      <c r="BU45" s="177">
        <f ca="1">IFERROR(__xludf.DUMMYFUNCTION("IMPORTRANGE(""https://docs.google.com/spreadsheets/d/17P34_Ow5kFBfdQD0qspb2UuPX5zpi6WMrQzslghyvrI/edit?usp=sharing"",""สกลนคร!J683"")"),0)</f>
        <v>0</v>
      </c>
      <c r="BV45" s="177">
        <f ca="1">IFERROR(__xludf.DUMMYFUNCTION("IMPORTRANGE(""https://docs.google.com/spreadsheets/d/17P34_Ow5kFBfdQD0qspb2UuPX5zpi6WMrQzslghyvrI/edit?usp=sharing"",""สกลนคร!J684"")"),0)</f>
        <v>0</v>
      </c>
      <c r="BW45" s="177">
        <f ca="1">IFERROR(__xludf.DUMMYFUNCTION("IMPORTRANGE(""https://docs.google.com/spreadsheets/d/17P34_Ow5kFBfdQD0qspb2UuPX5zpi6WMrQzslghyvrI/edit?usp=sharing"",""สกลนคร!J685"")"),0)</f>
        <v>0</v>
      </c>
      <c r="BX45" s="177">
        <f ca="1">IFERROR(__xludf.DUMMYFUNCTION("IMPORTRANGE(""https://docs.google.com/spreadsheets/d/17P34_Ow5kFBfdQD0qspb2UuPX5zpi6WMrQzslghyvrI/edit?usp=sharing"",""สกลนคร!J686"")"),0)</f>
        <v>0</v>
      </c>
      <c r="BY45" s="177">
        <f ca="1">IFERROR(__xludf.DUMMYFUNCTION("IMPORTRANGE(""https://docs.google.com/spreadsheets/d/17P34_Ow5kFBfdQD0qspb2UuPX5zpi6WMrQzslghyvrI/edit?usp=sharing"",""สกลนคร!J687"")"),0)</f>
        <v>0</v>
      </c>
      <c r="BZ45" s="177">
        <f ca="1">IFERROR(__xludf.DUMMYFUNCTION("IMPORTRANGE(""https://docs.google.com/spreadsheets/d/17P34_Ow5kFBfdQD0qspb2UuPX5zpi6WMrQzslghyvrI/edit?usp=sharing"",""สกลนคร!J688"")"),0)</f>
        <v>0</v>
      </c>
    </row>
    <row r="46" spans="1:78" ht="21.75" customHeight="1" x14ac:dyDescent="0.3">
      <c r="A46" s="89">
        <v>15</v>
      </c>
      <c r="B46" s="90" t="s">
        <v>72</v>
      </c>
      <c r="C46" s="174">
        <f t="shared" si="38"/>
        <v>0</v>
      </c>
      <c r="D46" s="175">
        <f t="shared" si="76"/>
        <v>0</v>
      </c>
      <c r="E46" s="403">
        <v>0</v>
      </c>
      <c r="F46" s="403">
        <v>0</v>
      </c>
      <c r="G46" s="403">
        <v>0</v>
      </c>
      <c r="H46" s="403">
        <v>0</v>
      </c>
      <c r="I46" s="403">
        <v>0</v>
      </c>
      <c r="J46" s="176">
        <f t="shared" si="40"/>
        <v>0</v>
      </c>
      <c r="K46" s="179">
        <f t="shared" si="41"/>
        <v>0</v>
      </c>
      <c r="L46" s="403">
        <v>0</v>
      </c>
      <c r="M46" s="87">
        <f t="shared" si="42"/>
        <v>0</v>
      </c>
      <c r="N46" s="87">
        <f t="shared" si="43"/>
        <v>0</v>
      </c>
      <c r="O46" s="403">
        <v>0</v>
      </c>
      <c r="P46" s="86">
        <f t="shared" si="44"/>
        <v>0</v>
      </c>
      <c r="Q46" s="87">
        <f t="shared" si="45"/>
        <v>0</v>
      </c>
      <c r="R46" s="87">
        <f ca="1">IFERROR(__xludf.DUMMYFUNCTION("IMPORTRANGE(""https://docs.google.com/spreadsheets/d/1yswqbM3-AEpThF3ZSUa1AcmHnmRTF1vlJ1CZGcJ8YuU/edit?usp=sharing"",""สุรินทร์!Q642"")"),9000)</f>
        <v>9000</v>
      </c>
      <c r="S46" s="87">
        <f ca="1">IFERROR(__xludf.DUMMYFUNCTION("IMPORTRANGE(""https://docs.google.com/spreadsheets/d/1yswqbM3-AEpThF3ZSUa1AcmHnmRTF1vlJ1CZGcJ8YuU/edit?usp=sharing"",""สุรินทร์!R642"")"),0)</f>
        <v>0</v>
      </c>
      <c r="T46" s="87">
        <f ca="1">IFERROR(__xludf.DUMMYFUNCTION("IMPORTRANGE(""https://docs.google.com/spreadsheets/d/1yswqbM3-AEpThF3ZSUa1AcmHnmRTF1vlJ1CZGcJ8YuU/edit?usp=sharing"",""สุรินทร์!S642"")"),0)</f>
        <v>0</v>
      </c>
      <c r="U46" s="87">
        <f t="shared" ca="1" si="47"/>
        <v>0</v>
      </c>
      <c r="V46" s="87">
        <f t="shared" ca="1" si="48"/>
        <v>0</v>
      </c>
      <c r="W46" s="353">
        <f ca="1">IFERROR(__xludf.DUMMYFUNCTION("IMPORTRANGE(""https://docs.google.com/spreadsheets/d/1yswqbM3-AEpThF3ZSUa1AcmHnmRTF1vlJ1CZGcJ8YuU/edit?usp=sharing"",""สุรินทร์!I652"")"),0)</f>
        <v>0</v>
      </c>
      <c r="X46" s="177">
        <f ca="1">IFERROR(__xludf.DUMMYFUNCTION("IMPORTRANGE(""https://docs.google.com/spreadsheets/d/1yswqbM3-AEpThF3ZSUa1AcmHnmRTF1vlJ1CZGcJ8YuU/edit?usp=sharing"",""สุรินทร์!J652"")"),0)</f>
        <v>0</v>
      </c>
      <c r="Y46" s="354">
        <f t="shared" ca="1" si="50"/>
        <v>0</v>
      </c>
      <c r="Z46" s="177">
        <f ca="1">IFERROR(__xludf.DUMMYFUNCTION("IMPORTRANGE(""https://docs.google.com/spreadsheets/d/1yswqbM3-AEpThF3ZSUa1AcmHnmRTF1vlJ1CZGcJ8YuU/edit?usp=sharing"",""สุรินทร์!I653"")"),0)</f>
        <v>0</v>
      </c>
      <c r="AA46" s="177">
        <f ca="1">IFERROR(__xludf.DUMMYFUNCTION("IMPORTRANGE(""https://docs.google.com/spreadsheets/d/1yswqbM3-AEpThF3ZSUa1AcmHnmRTF1vlJ1CZGcJ8YuU/edit?usp=sharing"",""สุรินทร์!J653"")"),0)</f>
        <v>0</v>
      </c>
      <c r="AB46" s="354">
        <f t="shared" ca="1" si="52"/>
        <v>0</v>
      </c>
      <c r="AC46" s="177">
        <f ca="1">IFERROR(__xludf.DUMMYFUNCTION("IMPORTRANGE(""https://docs.google.com/spreadsheets/d/1yswqbM3-AEpThF3ZSUa1AcmHnmRTF1vlJ1CZGcJ8YuU/edit?usp=sharing"",""สุรินทร์!I654"")"),100)</f>
        <v>100</v>
      </c>
      <c r="AD46" s="177">
        <f ca="1">IFERROR(__xludf.DUMMYFUNCTION("IMPORTRANGE(""https://docs.google.com/spreadsheets/d/1yswqbM3-AEpThF3ZSUa1AcmHnmRTF1vlJ1CZGcJ8YuU/edit?usp=sharing"",""สุรินทร์!J654"")"),0)</f>
        <v>0</v>
      </c>
      <c r="AE46" s="354">
        <f t="shared" ca="1" si="54"/>
        <v>0</v>
      </c>
      <c r="AF46" s="354">
        <f ca="1">IFERROR(__xludf.DUMMYFUNCTION("IMPORTRANGE(""https://docs.google.com/spreadsheets/d/1yswqbM3-AEpThF3ZSUa1AcmHnmRTF1vlJ1CZGcJ8YuU/edit?usp=sharing"",""สุรินทร์!J655"")"),0)</f>
        <v>0</v>
      </c>
      <c r="AG46" s="354">
        <f ca="1">IFERROR(__xludf.DUMMYFUNCTION("IMPORTRANGE(""https://docs.google.com/spreadsheets/d/1yswqbM3-AEpThF3ZSUa1AcmHnmRTF1vlJ1CZGcJ8YuU/edit?usp=sharing"",""สุรินทร์!J656"")"),0)</f>
        <v>0</v>
      </c>
      <c r="AH46" s="354">
        <f ca="1">IFERROR(__xludf.DUMMYFUNCTION("IMPORTRANGE(""https://docs.google.com/spreadsheets/d/1yswqbM3-AEpThF3ZSUa1AcmHnmRTF1vlJ1CZGcJ8YuU/edit?usp=sharing"",""สุรินทร์!J657"")"),0)</f>
        <v>0</v>
      </c>
      <c r="AI46" s="354">
        <f ca="1">IFERROR(__xludf.DUMMYFUNCTION("IMPORTRANGE(""https://docs.google.com/spreadsheets/d/1yswqbM3-AEpThF3ZSUa1AcmHnmRTF1vlJ1CZGcJ8YuU/edit?usp=sharing"",""สุรินทร์!J658"")"),0)</f>
        <v>0</v>
      </c>
      <c r="AJ46" s="354">
        <f ca="1">IFERROR(__xludf.DUMMYFUNCTION("IMPORTRANGE(""https://docs.google.com/spreadsheets/d/1yswqbM3-AEpThF3ZSUa1AcmHnmRTF1vlJ1CZGcJ8YuU/edit?usp=sharing"",""สุรินทร์!J659"")"),0)</f>
        <v>0</v>
      </c>
      <c r="AK46" s="354">
        <f ca="1">IFERROR(__xludf.DUMMYFUNCTION("IMPORTRANGE(""https://docs.google.com/spreadsheets/d/1yswqbM3-AEpThF3ZSUa1AcmHnmRTF1vlJ1CZGcJ8YuU/edit?usp=sharing"",""สุรินทร์!J660"")"),0)</f>
        <v>0</v>
      </c>
      <c r="AL46" s="177">
        <f ca="1">IFERROR(__xludf.DUMMYFUNCTION("IMPORTRANGE(""https://docs.google.com/spreadsheets/d/1yswqbM3-AEpThF3ZSUa1AcmHnmRTF1vlJ1CZGcJ8YuU/edit?usp=sharing"",""สุรินทร์!I661"")"),0)</f>
        <v>0</v>
      </c>
      <c r="AM46" s="177">
        <f ca="1">IFERROR(__xludf.DUMMYFUNCTION("IMPORTRANGE(""https://docs.google.com/spreadsheets/d/1yswqbM3-AEpThF3ZSUa1AcmHnmRTF1vlJ1CZGcJ8YuU/edit?usp=sharing"",""สุรินทร์!J661"")"),0)</f>
        <v>0</v>
      </c>
      <c r="AN46" s="354">
        <f t="shared" ca="1" si="56"/>
        <v>0</v>
      </c>
      <c r="AO46" s="177">
        <f ca="1">IFERROR(__xludf.DUMMYFUNCTION("IMPORTRANGE(""https://docs.google.com/spreadsheets/d/1yswqbM3-AEpThF3ZSUa1AcmHnmRTF1vlJ1CZGcJ8YuU/edit?usp=sharing"",""สุรินทร์!J662"")"),0)</f>
        <v>0</v>
      </c>
      <c r="AP46" s="177">
        <f ca="1">IFERROR(__xludf.DUMMYFUNCTION("IMPORTRANGE(""https://docs.google.com/spreadsheets/d/1yswqbM3-AEpThF3ZSUa1AcmHnmRTF1vlJ1CZGcJ8YuU/edit?usp=sharing"",""สุรินทร์!J663"")"),0)</f>
        <v>0</v>
      </c>
      <c r="AQ46" s="177">
        <f ca="1">IFERROR(__xludf.DUMMYFUNCTION("IMPORTRANGE(""https://docs.google.com/spreadsheets/d/1yswqbM3-AEpThF3ZSUa1AcmHnmRTF1vlJ1CZGcJ8YuU/edit?usp=sharing"",""สุรินทร์!J665"")"),0)</f>
        <v>0</v>
      </c>
      <c r="AR46" s="177">
        <f ca="1">IFERROR(__xludf.DUMMYFUNCTION("IMPORTRANGE(""https://docs.google.com/spreadsheets/d/1yswqbM3-AEpThF3ZSUa1AcmHnmRTF1vlJ1CZGcJ8YuU/edit?usp=sharing"",""สุรินทร์!J666"")"),0)</f>
        <v>0</v>
      </c>
      <c r="AS46" s="177">
        <f ca="1">IFERROR(__xludf.DUMMYFUNCTION("IMPORTRANGE(""https://docs.google.com/spreadsheets/d/1yswqbM3-AEpThF3ZSUa1AcmHnmRTF1vlJ1CZGcJ8YuU/edit?usp=sharing"",""สุรินทร์!J667"")"),0)</f>
        <v>0</v>
      </c>
      <c r="AT46" s="177">
        <f ca="1">IFERROR(__xludf.DUMMYFUNCTION("IMPORTRANGE(""https://docs.google.com/spreadsheets/d/1yswqbM3-AEpThF3ZSUa1AcmHnmRTF1vlJ1CZGcJ8YuU/edit?usp=sharing"",""สุรินทร์!J668"")"),0)</f>
        <v>0</v>
      </c>
      <c r="AU46" s="177">
        <f ca="1">IFERROR(__xludf.DUMMYFUNCTION("IMPORTRANGE(""https://docs.google.com/spreadsheets/d/1yswqbM3-AEpThF3ZSUa1AcmHnmRTF1vlJ1CZGcJ8YuU/edit?usp=sharing"",""สุรินทร์!J669"")"),0)</f>
        <v>0</v>
      </c>
      <c r="AV46" s="177">
        <f ca="1">IFERROR(__xludf.DUMMYFUNCTION("IMPORTRANGE(""https://docs.google.com/spreadsheets/d/1yswqbM3-AEpThF3ZSUa1AcmHnmRTF1vlJ1CZGcJ8YuU/edit?usp=sharing"",""สุรินทร์!J670"")"),0)</f>
        <v>0</v>
      </c>
      <c r="AW46" s="177">
        <v>0</v>
      </c>
      <c r="AX46" s="177">
        <f ca="1">IFERROR(__xludf.DUMMYFUNCTION("IMPORTRANGE(""https://docs.google.com/spreadsheets/d/1yswqbM3-AEpThF3ZSUa1AcmHnmRTF1vlJ1CZGcJ8YuU/edit?usp=sharing"",""สุรินทร์!J671"")"),0)</f>
        <v>0</v>
      </c>
      <c r="AY46" s="177">
        <f ca="1">IFERROR(__xludf.DUMMYFUNCTION("IMPORTRANGE(""https://docs.google.com/spreadsheets/d/1yswqbM3-AEpThF3ZSUa1AcmHnmRTF1vlJ1CZGcJ8YuU/edit?usp=sharing"",""สุรินทร์!J672"")"),0)</f>
        <v>0</v>
      </c>
      <c r="AZ46" s="177">
        <f ca="1">IFERROR(__xludf.DUMMYFUNCTION("IMPORTRANGE(""https://docs.google.com/spreadsheets/d/1yswqbM3-AEpThF3ZSUa1AcmHnmRTF1vlJ1CZGcJ8YuU/edit?usp=sharing"",""สุรินทร์!J673"")"),0)</f>
        <v>0</v>
      </c>
      <c r="BA46" s="354">
        <f t="shared" si="58"/>
        <v>0</v>
      </c>
      <c r="BB46" s="177">
        <f ca="1">IFERROR(__xludf.DUMMYFUNCTION("IMPORTRANGE(""https://docs.google.com/spreadsheets/d/1yswqbM3-AEpThF3ZSUa1AcmHnmRTF1vlJ1CZGcJ8YuU/edit?usp=sharing"",""สุรินทร์!I674"")"),0)</f>
        <v>0</v>
      </c>
      <c r="BC46" s="177">
        <f ca="1">IFERROR(__xludf.DUMMYFUNCTION("IMPORTRANGE(""https://docs.google.com/spreadsheets/d/1yswqbM3-AEpThF3ZSUa1AcmHnmRTF1vlJ1CZGcJ8YuU/edit?usp=sharing"",""สุรินทร์!I675"")"),0)</f>
        <v>0</v>
      </c>
      <c r="BD46" s="177">
        <f ca="1">IFERROR(__xludf.DUMMYFUNCTION("IMPORTRANGE(""https://docs.google.com/spreadsheets/d/1yswqbM3-AEpThF3ZSUa1AcmHnmRTF1vlJ1CZGcJ8YuU/edit?usp=sharing"",""สุรินทร์!J674"")"),0)</f>
        <v>0</v>
      </c>
      <c r="BE46" s="354">
        <f t="shared" ca="1" si="60"/>
        <v>0</v>
      </c>
      <c r="BF46" s="177">
        <f ca="1">IFERROR(__xludf.DUMMYFUNCTION("IMPORTRANGE(""https://docs.google.com/spreadsheets/d/1yswqbM3-AEpThF3ZSUa1AcmHnmRTF1vlJ1CZGcJ8YuU/edit?usp=sharing"",""สุรินทร์!J675"")"),0)</f>
        <v>0</v>
      </c>
      <c r="BG46" s="354">
        <f t="shared" ca="1" si="61"/>
        <v>0</v>
      </c>
      <c r="BH46" s="177">
        <f ca="1">IFERROR(__xludf.DUMMYFUNCTION("IMPORTRANGE(""https://docs.google.com/spreadsheets/d/1yswqbM3-AEpThF3ZSUa1AcmHnmRTF1vlJ1CZGcJ8YuU/edit?usp=sharing"",""สุรินทร์!I676"")"),0)</f>
        <v>0</v>
      </c>
      <c r="BI46" s="177">
        <f ca="1">IFERROR(__xludf.DUMMYFUNCTION("IMPORTRANGE(""https://docs.google.com/spreadsheets/d/1yswqbM3-AEpThF3ZSUa1AcmHnmRTF1vlJ1CZGcJ8YuU/edit?usp=sharing"",""สุรินทร์!I678"")"),0)</f>
        <v>0</v>
      </c>
      <c r="BJ46" s="177">
        <f ca="1">IFERROR(__xludf.DUMMYFUNCTION("IMPORTRANGE(""https://docs.google.com/spreadsheets/d/1yswqbM3-AEpThF3ZSUa1AcmHnmRTF1vlJ1CZGcJ8YuU/edit?usp=sharing"",""สุรินทร์!J676"")"),0)</f>
        <v>0</v>
      </c>
      <c r="BK46" s="177">
        <f ca="1">IFERROR(__xludf.DUMMYFUNCTION("IMPORTRANGE(""https://docs.google.com/spreadsheets/d/1yswqbM3-AEpThF3ZSUa1AcmHnmRTF1vlJ1CZGcJ8YuU/edit?usp=sharing"",""สุรินทร์!J677"")"),0)</f>
        <v>0</v>
      </c>
      <c r="BL46" s="177">
        <f ca="1">IFERROR(__xludf.DUMMYFUNCTION("IMPORTRANGE(""https://docs.google.com/spreadsheets/d/1yswqbM3-AEpThF3ZSUa1AcmHnmRTF1vlJ1CZGcJ8YuU/edit?usp=sharing"",""สุรินทร์!J678"")"),0)</f>
        <v>0</v>
      </c>
      <c r="BM46" s="177">
        <f ca="1">IFERROR(__xludf.DUMMYFUNCTION("IMPORTRANGE(""https://docs.google.com/spreadsheets/d/1yswqbM3-AEpThF3ZSUa1AcmHnmRTF1vlJ1CZGcJ8YuU/edit?usp=sharing"",""สุรินทร์!I679"")"),0)</f>
        <v>0</v>
      </c>
      <c r="BN46" s="177">
        <f ca="1">IFERROR(__xludf.DUMMYFUNCTION("IMPORTRANGE(""https://docs.google.com/spreadsheets/d/1yswqbM3-AEpThF3ZSUa1AcmHnmRTF1vlJ1CZGcJ8YuU/edit?usp=sharing"",""สุรินทร์!I681"")"),0)</f>
        <v>0</v>
      </c>
      <c r="BO46" s="177">
        <f ca="1">IFERROR(__xludf.DUMMYFUNCTION("IMPORTRANGE(""https://docs.google.com/spreadsheets/d/1yswqbM3-AEpThF3ZSUa1AcmHnmRTF1vlJ1CZGcJ8YuU/edit?usp=sharing"",""สุรินทร์!J679"")"),0)</f>
        <v>0</v>
      </c>
      <c r="BP46" s="177">
        <f ca="1">IFERROR(__xludf.DUMMYFUNCTION("IMPORTRANGE(""https://docs.google.com/spreadsheets/d/1yswqbM3-AEpThF3ZSUa1AcmHnmRTF1vlJ1CZGcJ8YuU/edit?usp=sharing"",""สุรินทร์!J680"")"),0)</f>
        <v>0</v>
      </c>
      <c r="BQ46" s="177">
        <f ca="1">IFERROR(__xludf.DUMMYFUNCTION("IMPORTRANGE(""https://docs.google.com/spreadsheets/d/1yswqbM3-AEpThF3ZSUa1AcmHnmRTF1vlJ1CZGcJ8YuU/edit?usp=sharing"",""สุรินทร์!J681"")"),0)</f>
        <v>0</v>
      </c>
      <c r="BR46" s="177">
        <f ca="1">IFERROR(__xludf.DUMMYFUNCTION("IMPORTRANGE(""https://docs.google.com/spreadsheets/d/1yswqbM3-AEpThF3ZSUa1AcmHnmRTF1vlJ1CZGcJ8YuU/edit?usp=sharing"",""สุรินทร์!I682"")"),0)</f>
        <v>0</v>
      </c>
      <c r="BS46" s="177">
        <f ca="1">IFERROR(__xludf.DUMMYFUNCTION("IMPORTRANGE(""https://docs.google.com/spreadsheets/d/1yswqbM3-AEpThF3ZSUa1AcmHnmRTF1vlJ1CZGcJ8YuU/edit?usp=sharing"",""สุรินทร์!J682"")"),0)</f>
        <v>0</v>
      </c>
      <c r="BT46" s="354">
        <f t="shared" ca="1" si="63"/>
        <v>0</v>
      </c>
      <c r="BU46" s="177">
        <f ca="1">IFERROR(__xludf.DUMMYFUNCTION("IMPORTRANGE(""https://docs.google.com/spreadsheets/d/1yswqbM3-AEpThF3ZSUa1AcmHnmRTF1vlJ1CZGcJ8YuU/edit?usp=sharing"",""สุรินทร์!J683"")"),0)</f>
        <v>0</v>
      </c>
      <c r="BV46" s="177">
        <f ca="1">IFERROR(__xludf.DUMMYFUNCTION("IMPORTRANGE(""https://docs.google.com/spreadsheets/d/1yswqbM3-AEpThF3ZSUa1AcmHnmRTF1vlJ1CZGcJ8YuU/edit?usp=sharing"",""สุรินทร์!J684"")"),0)</f>
        <v>0</v>
      </c>
      <c r="BW46" s="177">
        <f ca="1">IFERROR(__xludf.DUMMYFUNCTION("IMPORTRANGE(""https://docs.google.com/spreadsheets/d/1yswqbM3-AEpThF3ZSUa1AcmHnmRTF1vlJ1CZGcJ8YuU/edit?usp=sharing"",""สุรินทร์!J685"")"),0)</f>
        <v>0</v>
      </c>
      <c r="BX46" s="177">
        <f ca="1">IFERROR(__xludf.DUMMYFUNCTION("IMPORTRANGE(""https://docs.google.com/spreadsheets/d/1yswqbM3-AEpThF3ZSUa1AcmHnmRTF1vlJ1CZGcJ8YuU/edit?usp=sharing"",""สุรินทร์!J686"")"),0)</f>
        <v>0</v>
      </c>
      <c r="BY46" s="177">
        <f ca="1">IFERROR(__xludf.DUMMYFUNCTION("IMPORTRANGE(""https://docs.google.com/spreadsheets/d/1yswqbM3-AEpThF3ZSUa1AcmHnmRTF1vlJ1CZGcJ8YuU/edit?usp=sharing"",""สุรินทร์!J687"")"),0)</f>
        <v>0</v>
      </c>
      <c r="BZ46" s="177">
        <f ca="1">IFERROR(__xludf.DUMMYFUNCTION("IMPORTRANGE(""https://docs.google.com/spreadsheets/d/1yswqbM3-AEpThF3ZSUa1AcmHnmRTF1vlJ1CZGcJ8YuU/edit?usp=sharing"",""สุรินทร์!J688"")"),0)</f>
        <v>0</v>
      </c>
    </row>
    <row r="47" spans="1:78" ht="21.75" customHeight="1" x14ac:dyDescent="0.3">
      <c r="A47" s="89">
        <v>16</v>
      </c>
      <c r="B47" s="90" t="s">
        <v>73</v>
      </c>
      <c r="C47" s="174">
        <f t="shared" si="38"/>
        <v>0</v>
      </c>
      <c r="D47" s="175">
        <f t="shared" si="76"/>
        <v>0</v>
      </c>
      <c r="E47" s="403">
        <v>0</v>
      </c>
      <c r="F47" s="403">
        <v>0</v>
      </c>
      <c r="G47" s="403">
        <v>0</v>
      </c>
      <c r="H47" s="403">
        <v>0</v>
      </c>
      <c r="I47" s="403">
        <v>0</v>
      </c>
      <c r="J47" s="176">
        <f t="shared" si="40"/>
        <v>0</v>
      </c>
      <c r="K47" s="179">
        <f t="shared" si="41"/>
        <v>0</v>
      </c>
      <c r="L47" s="403">
        <v>0</v>
      </c>
      <c r="M47" s="87">
        <f t="shared" si="42"/>
        <v>0</v>
      </c>
      <c r="N47" s="87">
        <f t="shared" si="43"/>
        <v>0</v>
      </c>
      <c r="O47" s="403">
        <v>0</v>
      </c>
      <c r="P47" s="86">
        <f t="shared" si="44"/>
        <v>0</v>
      </c>
      <c r="Q47" s="87">
        <f t="shared" si="45"/>
        <v>0</v>
      </c>
      <c r="R47" s="87">
        <f ca="1">IFERROR(__xludf.DUMMYFUNCTION("IMPORTRANGE(""https://docs.google.com/spreadsheets/d/13JHU_EFbsQOUQ0JSQ3dWy1VTRosIWcDq6Nc99z2qzdc/edit?usp=sharing"",""หนองคาย!Q642"")"),19240)</f>
        <v>19240</v>
      </c>
      <c r="S47" s="87">
        <f ca="1">IFERROR(__xludf.DUMMYFUNCTION("IMPORTRANGE(""https://docs.google.com/spreadsheets/d/13JHU_EFbsQOUQ0JSQ3dWy1VTRosIWcDq6Nc99z2qzdc/edit?usp=sharing"",""หนองคาย!R642"")"),0)</f>
        <v>0</v>
      </c>
      <c r="T47" s="87">
        <f ca="1">IFERROR(__xludf.DUMMYFUNCTION("IMPORTRANGE(""https://docs.google.com/spreadsheets/d/13JHU_EFbsQOUQ0JSQ3dWy1VTRosIWcDq6Nc99z2qzdc/edit?usp=sharing"",""หนองคาย!S642"")"),0)</f>
        <v>0</v>
      </c>
      <c r="U47" s="87">
        <f t="shared" ca="1" si="47"/>
        <v>0</v>
      </c>
      <c r="V47" s="87">
        <f t="shared" ca="1" si="48"/>
        <v>0</v>
      </c>
      <c r="W47" s="353">
        <f ca="1">IFERROR(__xludf.DUMMYFUNCTION("IMPORTRANGE(""https://docs.google.com/spreadsheets/d/13JHU_EFbsQOUQ0JSQ3dWy1VTRosIWcDq6Nc99z2qzdc/edit?usp=sharing"",""หนองคาย!I652"")"),0)</f>
        <v>0</v>
      </c>
      <c r="X47" s="177">
        <f ca="1">IFERROR(__xludf.DUMMYFUNCTION("IMPORTRANGE(""https://docs.google.com/spreadsheets/d/13JHU_EFbsQOUQ0JSQ3dWy1VTRosIWcDq6Nc99z2qzdc/edit?usp=sharing"",""หนองคาย!J652"")"),0)</f>
        <v>0</v>
      </c>
      <c r="Y47" s="354">
        <f t="shared" ca="1" si="50"/>
        <v>0</v>
      </c>
      <c r="Z47" s="177">
        <f ca="1">IFERROR(__xludf.DUMMYFUNCTION("IMPORTRANGE(""https://docs.google.com/spreadsheets/d/13JHU_EFbsQOUQ0JSQ3dWy1VTRosIWcDq6Nc99z2qzdc/edit?usp=sharing"",""หนองคาย!I653"")"),0)</f>
        <v>0</v>
      </c>
      <c r="AA47" s="177">
        <f ca="1">IFERROR(__xludf.DUMMYFUNCTION("IMPORTRANGE(""https://docs.google.com/spreadsheets/d/13JHU_EFbsQOUQ0JSQ3dWy1VTRosIWcDq6Nc99z2qzdc/edit?usp=sharing"",""หนองคาย!J653"")"),0)</f>
        <v>0</v>
      </c>
      <c r="AB47" s="354">
        <f t="shared" ca="1" si="52"/>
        <v>0</v>
      </c>
      <c r="AC47" s="177">
        <f ca="1">IFERROR(__xludf.DUMMYFUNCTION("IMPORTRANGE(""https://docs.google.com/spreadsheets/d/13JHU_EFbsQOUQ0JSQ3dWy1VTRosIWcDq6Nc99z2qzdc/edit?usp=sharing"",""หนองคาย!I654"")"),13)</f>
        <v>13</v>
      </c>
      <c r="AD47" s="177">
        <f ca="1">IFERROR(__xludf.DUMMYFUNCTION("IMPORTRANGE(""https://docs.google.com/spreadsheets/d/13JHU_EFbsQOUQ0JSQ3dWy1VTRosIWcDq6Nc99z2qzdc/edit?usp=sharing"",""หนองคาย!J654"")"),0)</f>
        <v>0</v>
      </c>
      <c r="AE47" s="354">
        <f t="shared" ca="1" si="54"/>
        <v>0</v>
      </c>
      <c r="AF47" s="354">
        <f ca="1">IFERROR(__xludf.DUMMYFUNCTION("IMPORTRANGE(""https://docs.google.com/spreadsheets/d/13JHU_EFbsQOUQ0JSQ3dWy1VTRosIWcDq6Nc99z2qzdc/edit?usp=sharing"",""หนองคาย!J655"")"),0)</f>
        <v>0</v>
      </c>
      <c r="AG47" s="354">
        <f ca="1">IFERROR(__xludf.DUMMYFUNCTION("IMPORTRANGE(""https://docs.google.com/spreadsheets/d/13JHU_EFbsQOUQ0JSQ3dWy1VTRosIWcDq6Nc99z2qzdc/edit?usp=sharing"",""หนองคาย!J656"")"),0)</f>
        <v>0</v>
      </c>
      <c r="AH47" s="354">
        <f ca="1">IFERROR(__xludf.DUMMYFUNCTION("IMPORTRANGE(""https://docs.google.com/spreadsheets/d/13JHU_EFbsQOUQ0JSQ3dWy1VTRosIWcDq6Nc99z2qzdc/edit?usp=sharing"",""หนองคาย!J657"")"),0)</f>
        <v>0</v>
      </c>
      <c r="AI47" s="354">
        <f ca="1">IFERROR(__xludf.DUMMYFUNCTION("IMPORTRANGE(""https://docs.google.com/spreadsheets/d/13JHU_EFbsQOUQ0JSQ3dWy1VTRosIWcDq6Nc99z2qzdc/edit?usp=sharing"",""หนองคาย!J658"")"),0)</f>
        <v>0</v>
      </c>
      <c r="AJ47" s="354">
        <f ca="1">IFERROR(__xludf.DUMMYFUNCTION("IMPORTRANGE(""https://docs.google.com/spreadsheets/d/13JHU_EFbsQOUQ0JSQ3dWy1VTRosIWcDq6Nc99z2qzdc/edit?usp=sharing"",""หนองคาย!J659"")"),0)</f>
        <v>0</v>
      </c>
      <c r="AK47" s="354">
        <f ca="1">IFERROR(__xludf.DUMMYFUNCTION("IMPORTRANGE(""https://docs.google.com/spreadsheets/d/13JHU_EFbsQOUQ0JSQ3dWy1VTRosIWcDq6Nc99z2qzdc/edit?usp=sharing"",""หนองคาย!J660"")"),0)</f>
        <v>0</v>
      </c>
      <c r="AL47" s="177">
        <f ca="1">IFERROR(__xludf.DUMMYFUNCTION("IMPORTRANGE(""https://docs.google.com/spreadsheets/d/13JHU_EFbsQOUQ0JSQ3dWy1VTRosIWcDq6Nc99z2qzdc/edit?usp=sharing"",""หนองคาย!I661"")"),316)</f>
        <v>316</v>
      </c>
      <c r="AM47" s="177">
        <f ca="1">IFERROR(__xludf.DUMMYFUNCTION("IMPORTRANGE(""https://docs.google.com/spreadsheets/d/13JHU_EFbsQOUQ0JSQ3dWy1VTRosIWcDq6Nc99z2qzdc/edit?usp=sharing"",""หนองคาย!J661"")"),0)</f>
        <v>0</v>
      </c>
      <c r="AN47" s="354">
        <f t="shared" ca="1" si="56"/>
        <v>0</v>
      </c>
      <c r="AO47" s="177">
        <f ca="1">IFERROR(__xludf.DUMMYFUNCTION("IMPORTRANGE(""https://docs.google.com/spreadsheets/d/13JHU_EFbsQOUQ0JSQ3dWy1VTRosIWcDq6Nc99z2qzdc/edit?usp=sharing"",""หนองคาย!J662"")"),0)</f>
        <v>0</v>
      </c>
      <c r="AP47" s="177">
        <f ca="1">IFERROR(__xludf.DUMMYFUNCTION("IMPORTRANGE(""https://docs.google.com/spreadsheets/d/13JHU_EFbsQOUQ0JSQ3dWy1VTRosIWcDq6Nc99z2qzdc/edit?usp=sharing"",""หนองคาย!J663"")"),0)</f>
        <v>0</v>
      </c>
      <c r="AQ47" s="177">
        <f ca="1">IFERROR(__xludf.DUMMYFUNCTION("IMPORTRANGE(""https://docs.google.com/spreadsheets/d/13JHU_EFbsQOUQ0JSQ3dWy1VTRosIWcDq6Nc99z2qzdc/edit?usp=sharing"",""หนองคาย!J665"")"),0)</f>
        <v>0</v>
      </c>
      <c r="AR47" s="177">
        <f ca="1">IFERROR(__xludf.DUMMYFUNCTION("IMPORTRANGE(""https://docs.google.com/spreadsheets/d/13JHU_EFbsQOUQ0JSQ3dWy1VTRosIWcDq6Nc99z2qzdc/edit?usp=sharing"",""หนองคาย!J666"")"),0)</f>
        <v>0</v>
      </c>
      <c r="AS47" s="177">
        <f ca="1">IFERROR(__xludf.DUMMYFUNCTION("IMPORTRANGE(""https://docs.google.com/spreadsheets/d/13JHU_EFbsQOUQ0JSQ3dWy1VTRosIWcDq6Nc99z2qzdc/edit?usp=sharing"",""หนองคาย!J667"")"),0)</f>
        <v>0</v>
      </c>
      <c r="AT47" s="177">
        <f ca="1">IFERROR(__xludf.DUMMYFUNCTION("IMPORTRANGE(""https://docs.google.com/spreadsheets/d/13JHU_EFbsQOUQ0JSQ3dWy1VTRosIWcDq6Nc99z2qzdc/edit?usp=sharing"",""หนองคาย!J668"")"),0)</f>
        <v>0</v>
      </c>
      <c r="AU47" s="177">
        <f ca="1">IFERROR(__xludf.DUMMYFUNCTION("IMPORTRANGE(""https://docs.google.com/spreadsheets/d/13JHU_EFbsQOUQ0JSQ3dWy1VTRosIWcDq6Nc99z2qzdc/edit?usp=sharing"",""หนองคาย!J669"")"),0)</f>
        <v>0</v>
      </c>
      <c r="AV47" s="177">
        <f ca="1">IFERROR(__xludf.DUMMYFUNCTION("IMPORTRANGE(""https://docs.google.com/spreadsheets/d/13JHU_EFbsQOUQ0JSQ3dWy1VTRosIWcDq6Nc99z2qzdc/edit?usp=sharing"",""หนองคาย!J670"")"),0)</f>
        <v>0</v>
      </c>
      <c r="AW47" s="177">
        <v>0</v>
      </c>
      <c r="AX47" s="177">
        <f ca="1">IFERROR(__xludf.DUMMYFUNCTION("IMPORTRANGE(""https://docs.google.com/spreadsheets/d/13JHU_EFbsQOUQ0JSQ3dWy1VTRosIWcDq6Nc99z2qzdc/edit?usp=sharing"",""หนองคาย!J671"")"),0)</f>
        <v>0</v>
      </c>
      <c r="AY47" s="177">
        <f ca="1">IFERROR(__xludf.DUMMYFUNCTION("IMPORTRANGE(""https://docs.google.com/spreadsheets/d/13JHU_EFbsQOUQ0JSQ3dWy1VTRosIWcDq6Nc99z2qzdc/edit?usp=sharing"",""หนองคาย!J672"")"),0)</f>
        <v>0</v>
      </c>
      <c r="AZ47" s="177">
        <f ca="1">IFERROR(__xludf.DUMMYFUNCTION("IMPORTRANGE(""https://docs.google.com/spreadsheets/d/13JHU_EFbsQOUQ0JSQ3dWy1VTRosIWcDq6Nc99z2qzdc/edit?usp=sharing"",""หนองคาย!J673"")"),0)</f>
        <v>0</v>
      </c>
      <c r="BA47" s="354">
        <f t="shared" si="58"/>
        <v>0</v>
      </c>
      <c r="BB47" s="177">
        <f ca="1">IFERROR(__xludf.DUMMYFUNCTION("IMPORTRANGE(""https://docs.google.com/spreadsheets/d/13JHU_EFbsQOUQ0JSQ3dWy1VTRosIWcDq6Nc99z2qzdc/edit?usp=sharing"",""หนองคาย!I674"")"),1)</f>
        <v>1</v>
      </c>
      <c r="BC47" s="177">
        <f ca="1">IFERROR(__xludf.DUMMYFUNCTION("IMPORTRANGE(""https://docs.google.com/spreadsheets/d/13JHU_EFbsQOUQ0JSQ3dWy1VTRosIWcDq6Nc99z2qzdc/edit?usp=sharing"",""หนองคาย!I675"")"),15)</f>
        <v>15</v>
      </c>
      <c r="BD47" s="177">
        <f ca="1">IFERROR(__xludf.DUMMYFUNCTION("IMPORTRANGE(""https://docs.google.com/spreadsheets/d/13JHU_EFbsQOUQ0JSQ3dWy1VTRosIWcDq6Nc99z2qzdc/edit?usp=sharing"",""หนองคาย!J674"")"),1)</f>
        <v>1</v>
      </c>
      <c r="BE47" s="354">
        <f t="shared" ca="1" si="60"/>
        <v>100</v>
      </c>
      <c r="BF47" s="177">
        <f ca="1">IFERROR(__xludf.DUMMYFUNCTION("IMPORTRANGE(""https://docs.google.com/spreadsheets/d/13JHU_EFbsQOUQ0JSQ3dWy1VTRosIWcDq6Nc99z2qzdc/edit?usp=sharing"",""หนองคาย!J675"")"),12.39)</f>
        <v>12.39</v>
      </c>
      <c r="BG47" s="354">
        <f t="shared" ca="1" si="61"/>
        <v>82.6</v>
      </c>
      <c r="BH47" s="177">
        <f ca="1">IFERROR(__xludf.DUMMYFUNCTION("IMPORTRANGE(""https://docs.google.com/spreadsheets/d/13JHU_EFbsQOUQ0JSQ3dWy1VTRosIWcDq6Nc99z2qzdc/edit?usp=sharing"",""หนองคาย!I676"")"),1)</f>
        <v>1</v>
      </c>
      <c r="BI47" s="177">
        <f ca="1">IFERROR(__xludf.DUMMYFUNCTION("IMPORTRANGE(""https://docs.google.com/spreadsheets/d/13JHU_EFbsQOUQ0JSQ3dWy1VTRosIWcDq6Nc99z2qzdc/edit?usp=sharing"",""หนองคาย!I678"")"),15)</f>
        <v>15</v>
      </c>
      <c r="BJ47" s="177">
        <f ca="1">IFERROR(__xludf.DUMMYFUNCTION("IMPORTRANGE(""https://docs.google.com/spreadsheets/d/13JHU_EFbsQOUQ0JSQ3dWy1VTRosIWcDq6Nc99z2qzdc/edit?usp=sharing"",""หนองคาย!J676"")"),1)</f>
        <v>1</v>
      </c>
      <c r="BK47" s="177">
        <f ca="1">IFERROR(__xludf.DUMMYFUNCTION("IMPORTRANGE(""https://docs.google.com/spreadsheets/d/13JHU_EFbsQOUQ0JSQ3dWy1VTRosIWcDq6Nc99z2qzdc/edit?usp=sharing"",""หนองคาย!J677"")"),1)</f>
        <v>1</v>
      </c>
      <c r="BL47" s="177">
        <f ca="1">IFERROR(__xludf.DUMMYFUNCTION("IMPORTRANGE(""https://docs.google.com/spreadsheets/d/13JHU_EFbsQOUQ0JSQ3dWy1VTRosIWcDq6Nc99z2qzdc/edit?usp=sharing"",""หนองคาย!J678"")"),12.39)</f>
        <v>12.39</v>
      </c>
      <c r="BM47" s="177">
        <f ca="1">IFERROR(__xludf.DUMMYFUNCTION("IMPORTRANGE(""https://docs.google.com/spreadsheets/d/13JHU_EFbsQOUQ0JSQ3dWy1VTRosIWcDq6Nc99z2qzdc/edit?usp=sharing"",""หนองคาย!I679"")"),0)</f>
        <v>0</v>
      </c>
      <c r="BN47" s="177">
        <f ca="1">IFERROR(__xludf.DUMMYFUNCTION("IMPORTRANGE(""https://docs.google.com/spreadsheets/d/13JHU_EFbsQOUQ0JSQ3dWy1VTRosIWcDq6Nc99z2qzdc/edit?usp=sharing"",""หนองคาย!I681"")"),0)</f>
        <v>0</v>
      </c>
      <c r="BO47" s="177">
        <f ca="1">IFERROR(__xludf.DUMMYFUNCTION("IMPORTRANGE(""https://docs.google.com/spreadsheets/d/13JHU_EFbsQOUQ0JSQ3dWy1VTRosIWcDq6Nc99z2qzdc/edit?usp=sharing"",""หนองคาย!J679"")"),0)</f>
        <v>0</v>
      </c>
      <c r="BP47" s="177">
        <f ca="1">IFERROR(__xludf.DUMMYFUNCTION("IMPORTRANGE(""https://docs.google.com/spreadsheets/d/13JHU_EFbsQOUQ0JSQ3dWy1VTRosIWcDq6Nc99z2qzdc/edit?usp=sharing"",""หนองคาย!J680"")"),0)</f>
        <v>0</v>
      </c>
      <c r="BQ47" s="177">
        <f ca="1">IFERROR(__xludf.DUMMYFUNCTION("IMPORTRANGE(""https://docs.google.com/spreadsheets/d/13JHU_EFbsQOUQ0JSQ3dWy1VTRosIWcDq6Nc99z2qzdc/edit?usp=sharing"",""หนองคาย!J681"")"),0)</f>
        <v>0</v>
      </c>
      <c r="BR47" s="177">
        <f ca="1">IFERROR(__xludf.DUMMYFUNCTION("IMPORTRANGE(""https://docs.google.com/spreadsheets/d/13JHU_EFbsQOUQ0JSQ3dWy1VTRosIWcDq6Nc99z2qzdc/edit?usp=sharing"",""หนองคาย!I682"")"),0)</f>
        <v>0</v>
      </c>
      <c r="BS47" s="177">
        <f ca="1">IFERROR(__xludf.DUMMYFUNCTION("IMPORTRANGE(""https://docs.google.com/spreadsheets/d/13JHU_EFbsQOUQ0JSQ3dWy1VTRosIWcDq6Nc99z2qzdc/edit?usp=sharing"",""หนองคาย!J682"")"),0)</f>
        <v>0</v>
      </c>
      <c r="BT47" s="354">
        <f t="shared" ca="1" si="63"/>
        <v>0</v>
      </c>
      <c r="BU47" s="177">
        <f ca="1">IFERROR(__xludf.DUMMYFUNCTION("IMPORTRANGE(""https://docs.google.com/spreadsheets/d/13JHU_EFbsQOUQ0JSQ3dWy1VTRosIWcDq6Nc99z2qzdc/edit?usp=sharing"",""หนองคาย!J683"")"),0)</f>
        <v>0</v>
      </c>
      <c r="BV47" s="177">
        <f ca="1">IFERROR(__xludf.DUMMYFUNCTION("IMPORTRANGE(""https://docs.google.com/spreadsheets/d/13JHU_EFbsQOUQ0JSQ3dWy1VTRosIWcDq6Nc99z2qzdc/edit?usp=sharing"",""หนองคาย!J684"")"),0)</f>
        <v>0</v>
      </c>
      <c r="BW47" s="177">
        <f ca="1">IFERROR(__xludf.DUMMYFUNCTION("IMPORTRANGE(""https://docs.google.com/spreadsheets/d/13JHU_EFbsQOUQ0JSQ3dWy1VTRosIWcDq6Nc99z2qzdc/edit?usp=sharing"",""หนองคาย!J685"")"),0)</f>
        <v>0</v>
      </c>
      <c r="BX47" s="177">
        <f ca="1">IFERROR(__xludf.DUMMYFUNCTION("IMPORTRANGE(""https://docs.google.com/spreadsheets/d/13JHU_EFbsQOUQ0JSQ3dWy1VTRosIWcDq6Nc99z2qzdc/edit?usp=sharing"",""หนองคาย!J686"")"),0)</f>
        <v>0</v>
      </c>
      <c r="BY47" s="177">
        <f ca="1">IFERROR(__xludf.DUMMYFUNCTION("IMPORTRANGE(""https://docs.google.com/spreadsheets/d/13JHU_EFbsQOUQ0JSQ3dWy1VTRosIWcDq6Nc99z2qzdc/edit?usp=sharing"",""หนองคาย!J687"")"),0)</f>
        <v>0</v>
      </c>
      <c r="BZ47" s="177">
        <f ca="1">IFERROR(__xludf.DUMMYFUNCTION("IMPORTRANGE(""https://docs.google.com/spreadsheets/d/13JHU_EFbsQOUQ0JSQ3dWy1VTRosIWcDq6Nc99z2qzdc/edit?usp=sharing"",""หนองคาย!J688"")"),0)</f>
        <v>0</v>
      </c>
    </row>
    <row r="48" spans="1:78" ht="21.75" customHeight="1" x14ac:dyDescent="0.3">
      <c r="A48" s="89">
        <v>17</v>
      </c>
      <c r="B48" s="90" t="s">
        <v>74</v>
      </c>
      <c r="C48" s="174">
        <f t="shared" si="38"/>
        <v>0</v>
      </c>
      <c r="D48" s="175">
        <f t="shared" si="76"/>
        <v>0</v>
      </c>
      <c r="E48" s="403">
        <v>0</v>
      </c>
      <c r="F48" s="403">
        <v>0</v>
      </c>
      <c r="G48" s="403">
        <v>0</v>
      </c>
      <c r="H48" s="403">
        <v>0</v>
      </c>
      <c r="I48" s="403">
        <v>0</v>
      </c>
      <c r="J48" s="176">
        <f t="shared" si="40"/>
        <v>0</v>
      </c>
      <c r="K48" s="179">
        <f t="shared" si="41"/>
        <v>0</v>
      </c>
      <c r="L48" s="403">
        <v>0</v>
      </c>
      <c r="M48" s="87">
        <f t="shared" si="42"/>
        <v>0</v>
      </c>
      <c r="N48" s="87">
        <f t="shared" si="43"/>
        <v>0</v>
      </c>
      <c r="O48" s="403">
        <v>0</v>
      </c>
      <c r="P48" s="86">
        <f t="shared" si="44"/>
        <v>0</v>
      </c>
      <c r="Q48" s="87">
        <f t="shared" si="45"/>
        <v>0</v>
      </c>
      <c r="R48" s="87">
        <f ca="1">IFERROR(__xludf.DUMMYFUNCTION("IMPORTRANGE(""https://docs.google.com/spreadsheets/d/1Hx73zIEgVdDZZaYSTc46Dqv64atFhpr3GelxLbaIN8A/edit?usp=sharing"",""หนองบัวลำภู!Q642"")"),0)</f>
        <v>0</v>
      </c>
      <c r="S48" s="87">
        <f ca="1">IFERROR(__xludf.DUMMYFUNCTION("IMPORTRANGE(""https://docs.google.com/spreadsheets/d/1Hx73zIEgVdDZZaYSTc46Dqv64atFhpr3GelxLbaIN8A/edit?usp=sharing"",""หนองบัวลำภู!R642"")"),0)</f>
        <v>0</v>
      </c>
      <c r="T48" s="87">
        <f ca="1">IFERROR(__xludf.DUMMYFUNCTION("IMPORTRANGE(""https://docs.google.com/spreadsheets/d/1Hx73zIEgVdDZZaYSTc46Dqv64atFhpr3GelxLbaIN8A/edit?usp=sharing"",""หนองบัวลำภู!S642"")"),0)</f>
        <v>0</v>
      </c>
      <c r="U48" s="87">
        <f t="shared" ca="1" si="47"/>
        <v>0</v>
      </c>
      <c r="V48" s="87">
        <f t="shared" ca="1" si="48"/>
        <v>0</v>
      </c>
      <c r="W48" s="353">
        <f ca="1">IFERROR(__xludf.DUMMYFUNCTION("IMPORTRANGE(""https://docs.google.com/spreadsheets/d/1Hx73zIEgVdDZZaYSTc46Dqv64atFhpr3GelxLbaIN8A/edit?usp=sharing"",""หนองบัวลำภู!I652"")"),0)</f>
        <v>0</v>
      </c>
      <c r="X48" s="177">
        <f ca="1">IFERROR(__xludf.DUMMYFUNCTION("IMPORTRANGE(""https://docs.google.com/spreadsheets/d/1Hx73zIEgVdDZZaYSTc46Dqv64atFhpr3GelxLbaIN8A/edit?usp=sharing"",""หนองบัวลำภู!J652"")"),0)</f>
        <v>0</v>
      </c>
      <c r="Y48" s="354">
        <f t="shared" ca="1" si="50"/>
        <v>0</v>
      </c>
      <c r="Z48" s="177">
        <f ca="1">IFERROR(__xludf.DUMMYFUNCTION("IMPORTRANGE(""https://docs.google.com/spreadsheets/d/1Hx73zIEgVdDZZaYSTc46Dqv64atFhpr3GelxLbaIN8A/edit?usp=sharing"",""หนองบัวลำภู!I653"")"),0)</f>
        <v>0</v>
      </c>
      <c r="AA48" s="177">
        <f ca="1">IFERROR(__xludf.DUMMYFUNCTION("IMPORTRANGE(""https://docs.google.com/spreadsheets/d/1Hx73zIEgVdDZZaYSTc46Dqv64atFhpr3GelxLbaIN8A/edit?usp=sharing"",""หนองบัวลำภู!J653"")"),0)</f>
        <v>0</v>
      </c>
      <c r="AB48" s="354">
        <f t="shared" ca="1" si="52"/>
        <v>0</v>
      </c>
      <c r="AC48" s="177">
        <f ca="1">IFERROR(__xludf.DUMMYFUNCTION("IMPORTRANGE(""https://docs.google.com/spreadsheets/d/1Hx73zIEgVdDZZaYSTc46Dqv64atFhpr3GelxLbaIN8A/edit?usp=sharing"",""หนองบัวลำภู!I654"")"),0)</f>
        <v>0</v>
      </c>
      <c r="AD48" s="177">
        <f ca="1">IFERROR(__xludf.DUMMYFUNCTION("IMPORTRANGE(""https://docs.google.com/spreadsheets/d/1Hx73zIEgVdDZZaYSTc46Dqv64atFhpr3GelxLbaIN8A/edit?usp=sharing"",""หนองบัวลำภู!J654"")"),0)</f>
        <v>0</v>
      </c>
      <c r="AE48" s="354">
        <f t="shared" ca="1" si="54"/>
        <v>0</v>
      </c>
      <c r="AF48" s="354">
        <f ca="1">IFERROR(__xludf.DUMMYFUNCTION("IMPORTRANGE(""https://docs.google.com/spreadsheets/d/1Hx73zIEgVdDZZaYSTc46Dqv64atFhpr3GelxLbaIN8A/edit?usp=sharing"",""หนองบัวลำภู!J655"")"),0)</f>
        <v>0</v>
      </c>
      <c r="AG48" s="354">
        <f ca="1">IFERROR(__xludf.DUMMYFUNCTION("IMPORTRANGE(""https://docs.google.com/spreadsheets/d/1Hx73zIEgVdDZZaYSTc46Dqv64atFhpr3GelxLbaIN8A/edit?usp=sharing"",""หนองบัวลำภู!J656"")"),0)</f>
        <v>0</v>
      </c>
      <c r="AH48" s="354">
        <f ca="1">IFERROR(__xludf.DUMMYFUNCTION("IMPORTRANGE(""https://docs.google.com/spreadsheets/d/1Hx73zIEgVdDZZaYSTc46Dqv64atFhpr3GelxLbaIN8A/edit?usp=sharing"",""หนองบัวลำภู!J657"")"),0)</f>
        <v>0</v>
      </c>
      <c r="AI48" s="354">
        <f ca="1">IFERROR(__xludf.DUMMYFUNCTION("IMPORTRANGE(""https://docs.google.com/spreadsheets/d/1Hx73zIEgVdDZZaYSTc46Dqv64atFhpr3GelxLbaIN8A/edit?usp=sharing"",""หนองบัวลำภู!J658"")"),0)</f>
        <v>0</v>
      </c>
      <c r="AJ48" s="354">
        <f ca="1">IFERROR(__xludf.DUMMYFUNCTION("IMPORTRANGE(""https://docs.google.com/spreadsheets/d/1Hx73zIEgVdDZZaYSTc46Dqv64atFhpr3GelxLbaIN8A/edit?usp=sharing"",""หนองบัวลำภู!J659"")"),0)</f>
        <v>0</v>
      </c>
      <c r="AK48" s="354">
        <f ca="1">IFERROR(__xludf.DUMMYFUNCTION("IMPORTRANGE(""https://docs.google.com/spreadsheets/d/1Hx73zIEgVdDZZaYSTc46Dqv64atFhpr3GelxLbaIN8A/edit?usp=sharing"",""หนองบัวลำภู!J660"")"),0)</f>
        <v>0</v>
      </c>
      <c r="AL48" s="177">
        <f ca="1">IFERROR(__xludf.DUMMYFUNCTION("IMPORTRANGE(""https://docs.google.com/spreadsheets/d/1Hx73zIEgVdDZZaYSTc46Dqv64atFhpr3GelxLbaIN8A/edit?usp=sharing"",""หนองบัวลำภู!I661"")"),0)</f>
        <v>0</v>
      </c>
      <c r="AM48" s="177">
        <f ca="1">IFERROR(__xludf.DUMMYFUNCTION("IMPORTRANGE(""https://docs.google.com/spreadsheets/d/1Hx73zIEgVdDZZaYSTc46Dqv64atFhpr3GelxLbaIN8A/edit?usp=sharing"",""หนองบัวลำภู!J661"")"),0)</f>
        <v>0</v>
      </c>
      <c r="AN48" s="354">
        <f t="shared" ca="1" si="56"/>
        <v>0</v>
      </c>
      <c r="AO48" s="177">
        <f ca="1">IFERROR(__xludf.DUMMYFUNCTION("IMPORTRANGE(""https://docs.google.com/spreadsheets/d/1Hx73zIEgVdDZZaYSTc46Dqv64atFhpr3GelxLbaIN8A/edit?usp=sharing"",""หนองบัวลำภู!J662"")"),0)</f>
        <v>0</v>
      </c>
      <c r="AP48" s="177">
        <f ca="1">IFERROR(__xludf.DUMMYFUNCTION("IMPORTRANGE(""https://docs.google.com/spreadsheets/d/1Hx73zIEgVdDZZaYSTc46Dqv64atFhpr3GelxLbaIN8A/edit?usp=sharing"",""หนองบัวลำภู!J663"")"),0)</f>
        <v>0</v>
      </c>
      <c r="AQ48" s="177">
        <f ca="1">IFERROR(__xludf.DUMMYFUNCTION("IMPORTRANGE(""https://docs.google.com/spreadsheets/d/1Hx73zIEgVdDZZaYSTc46Dqv64atFhpr3GelxLbaIN8A/edit?usp=sharing"",""หนองบัวลำภู!J665"")"),0)</f>
        <v>0</v>
      </c>
      <c r="AR48" s="177">
        <f ca="1">IFERROR(__xludf.DUMMYFUNCTION("IMPORTRANGE(""https://docs.google.com/spreadsheets/d/1Hx73zIEgVdDZZaYSTc46Dqv64atFhpr3GelxLbaIN8A/edit?usp=sharing"",""หนองบัวลำภู!J666"")"),0)</f>
        <v>0</v>
      </c>
      <c r="AS48" s="177">
        <f ca="1">IFERROR(__xludf.DUMMYFUNCTION("IMPORTRANGE(""https://docs.google.com/spreadsheets/d/1Hx73zIEgVdDZZaYSTc46Dqv64atFhpr3GelxLbaIN8A/edit?usp=sharing"",""หนองบัวลำภู!J667"")"),0)</f>
        <v>0</v>
      </c>
      <c r="AT48" s="177">
        <f ca="1">IFERROR(__xludf.DUMMYFUNCTION("IMPORTRANGE(""https://docs.google.com/spreadsheets/d/1Hx73zIEgVdDZZaYSTc46Dqv64atFhpr3GelxLbaIN8A/edit?usp=sharing"",""หนองบัวลำภู!J668"")"),0)</f>
        <v>0</v>
      </c>
      <c r="AU48" s="177">
        <f ca="1">IFERROR(__xludf.DUMMYFUNCTION("IMPORTRANGE(""https://docs.google.com/spreadsheets/d/1Hx73zIEgVdDZZaYSTc46Dqv64atFhpr3GelxLbaIN8A/edit?usp=sharing"",""หนองบัวลำภู!J669"")"),0)</f>
        <v>0</v>
      </c>
      <c r="AV48" s="177">
        <f ca="1">IFERROR(__xludf.DUMMYFUNCTION("IMPORTRANGE(""https://docs.google.com/spreadsheets/d/1Hx73zIEgVdDZZaYSTc46Dqv64atFhpr3GelxLbaIN8A/edit?usp=sharing"",""หนองบัวลำภู!J670"")"),0)</f>
        <v>0</v>
      </c>
      <c r="AW48" s="177">
        <v>0</v>
      </c>
      <c r="AX48" s="177">
        <f ca="1">IFERROR(__xludf.DUMMYFUNCTION("IMPORTRANGE(""https://docs.google.com/spreadsheets/d/1Hx73zIEgVdDZZaYSTc46Dqv64atFhpr3GelxLbaIN8A/edit?usp=sharing"",""หนองบัวลำภู!J671"")"),0)</f>
        <v>0</v>
      </c>
      <c r="AY48" s="177">
        <f ca="1">IFERROR(__xludf.DUMMYFUNCTION("IMPORTRANGE(""https://docs.google.com/spreadsheets/d/1Hx73zIEgVdDZZaYSTc46Dqv64atFhpr3GelxLbaIN8A/edit?usp=sharing"",""หนองบัวลำภู!J672"")"),0)</f>
        <v>0</v>
      </c>
      <c r="AZ48" s="177">
        <f ca="1">IFERROR(__xludf.DUMMYFUNCTION("IMPORTRANGE(""https://docs.google.com/spreadsheets/d/1Hx73zIEgVdDZZaYSTc46Dqv64atFhpr3GelxLbaIN8A/edit?usp=sharing"",""หนองบัวลำภู!J673"")"),0)</f>
        <v>0</v>
      </c>
      <c r="BA48" s="354">
        <f t="shared" si="58"/>
        <v>0</v>
      </c>
      <c r="BB48" s="177">
        <f ca="1">IFERROR(__xludf.DUMMYFUNCTION("IMPORTRANGE(""https://docs.google.com/spreadsheets/d/1Hx73zIEgVdDZZaYSTc46Dqv64atFhpr3GelxLbaIN8A/edit?usp=sharing"",""หนองบัวลำภู!I674"")"),0)</f>
        <v>0</v>
      </c>
      <c r="BC48" s="177">
        <f ca="1">IFERROR(__xludf.DUMMYFUNCTION("IMPORTRANGE(""https://docs.google.com/spreadsheets/d/1Hx73zIEgVdDZZaYSTc46Dqv64atFhpr3GelxLbaIN8A/edit?usp=sharing"",""หนองบัวลำภู!I675"")"),0)</f>
        <v>0</v>
      </c>
      <c r="BD48" s="177">
        <f ca="1">IFERROR(__xludf.DUMMYFUNCTION("IMPORTRANGE(""https://docs.google.com/spreadsheets/d/1Hx73zIEgVdDZZaYSTc46Dqv64atFhpr3GelxLbaIN8A/edit?usp=sharing"",""หนองบัวลำภู!J674"")"),0)</f>
        <v>0</v>
      </c>
      <c r="BE48" s="354">
        <f t="shared" ca="1" si="60"/>
        <v>0</v>
      </c>
      <c r="BF48" s="177">
        <f ca="1">IFERROR(__xludf.DUMMYFUNCTION("IMPORTRANGE(""https://docs.google.com/spreadsheets/d/1Hx73zIEgVdDZZaYSTc46Dqv64atFhpr3GelxLbaIN8A/edit?usp=sharing"",""หนองบัวลำภู!J675"")"),0)</f>
        <v>0</v>
      </c>
      <c r="BG48" s="354">
        <f t="shared" ca="1" si="61"/>
        <v>0</v>
      </c>
      <c r="BH48" s="177">
        <f ca="1">IFERROR(__xludf.DUMMYFUNCTION("IMPORTRANGE(""https://docs.google.com/spreadsheets/d/1Hx73zIEgVdDZZaYSTc46Dqv64atFhpr3GelxLbaIN8A/edit?usp=sharing"",""หนองบัวลำภู!I676"")"),0)</f>
        <v>0</v>
      </c>
      <c r="BI48" s="177">
        <f ca="1">IFERROR(__xludf.DUMMYFUNCTION("IMPORTRANGE(""https://docs.google.com/spreadsheets/d/1Hx73zIEgVdDZZaYSTc46Dqv64atFhpr3GelxLbaIN8A/edit?usp=sharing"",""หนองบัวลำภู!I678"")"),0)</f>
        <v>0</v>
      </c>
      <c r="BJ48" s="177">
        <f ca="1">IFERROR(__xludf.DUMMYFUNCTION("IMPORTRANGE(""https://docs.google.com/spreadsheets/d/1Hx73zIEgVdDZZaYSTc46Dqv64atFhpr3GelxLbaIN8A/edit?usp=sharing"",""หนองบัวลำภู!J676"")"),0)</f>
        <v>0</v>
      </c>
      <c r="BK48" s="177">
        <f ca="1">IFERROR(__xludf.DUMMYFUNCTION("IMPORTRANGE(""https://docs.google.com/spreadsheets/d/1Hx73zIEgVdDZZaYSTc46Dqv64atFhpr3GelxLbaIN8A/edit?usp=sharing"",""หนองบัวลำภู!J677"")"),0)</f>
        <v>0</v>
      </c>
      <c r="BL48" s="177">
        <f ca="1">IFERROR(__xludf.DUMMYFUNCTION("IMPORTRANGE(""https://docs.google.com/spreadsheets/d/1Hx73zIEgVdDZZaYSTc46Dqv64atFhpr3GelxLbaIN8A/edit?usp=sharing"",""หนองบัวลำภู!J678"")"),0)</f>
        <v>0</v>
      </c>
      <c r="BM48" s="177">
        <f ca="1">IFERROR(__xludf.DUMMYFUNCTION("IMPORTRANGE(""https://docs.google.com/spreadsheets/d/1Hx73zIEgVdDZZaYSTc46Dqv64atFhpr3GelxLbaIN8A/edit?usp=sharing"",""หนองบัวลำภู!I679"")"),0)</f>
        <v>0</v>
      </c>
      <c r="BN48" s="177">
        <f ca="1">IFERROR(__xludf.DUMMYFUNCTION("IMPORTRANGE(""https://docs.google.com/spreadsheets/d/1Hx73zIEgVdDZZaYSTc46Dqv64atFhpr3GelxLbaIN8A/edit?usp=sharing"",""หนองบัวลำภู!I681"")"),0)</f>
        <v>0</v>
      </c>
      <c r="BO48" s="177">
        <f ca="1">IFERROR(__xludf.DUMMYFUNCTION("IMPORTRANGE(""https://docs.google.com/spreadsheets/d/1Hx73zIEgVdDZZaYSTc46Dqv64atFhpr3GelxLbaIN8A/edit?usp=sharing"",""หนองบัวลำภู!J679"")"),0)</f>
        <v>0</v>
      </c>
      <c r="BP48" s="177">
        <f ca="1">IFERROR(__xludf.DUMMYFUNCTION("IMPORTRANGE(""https://docs.google.com/spreadsheets/d/1Hx73zIEgVdDZZaYSTc46Dqv64atFhpr3GelxLbaIN8A/edit?usp=sharing"",""หนองบัวลำภู!J680"")"),0)</f>
        <v>0</v>
      </c>
      <c r="BQ48" s="177">
        <f ca="1">IFERROR(__xludf.DUMMYFUNCTION("IMPORTRANGE(""https://docs.google.com/spreadsheets/d/1Hx73zIEgVdDZZaYSTc46Dqv64atFhpr3GelxLbaIN8A/edit?usp=sharing"",""หนองบัวลำภู!J681"")"),0)</f>
        <v>0</v>
      </c>
      <c r="BR48" s="177">
        <f ca="1">IFERROR(__xludf.DUMMYFUNCTION("IMPORTRANGE(""https://docs.google.com/spreadsheets/d/1Hx73zIEgVdDZZaYSTc46Dqv64atFhpr3GelxLbaIN8A/edit?usp=sharing"",""หนองบัวลำภู!I682"")"),0)</f>
        <v>0</v>
      </c>
      <c r="BS48" s="177">
        <f ca="1">IFERROR(__xludf.DUMMYFUNCTION("IMPORTRANGE(""https://docs.google.com/spreadsheets/d/1Hx73zIEgVdDZZaYSTc46Dqv64atFhpr3GelxLbaIN8A/edit?usp=sharing"",""หนองบัวลำภู!J682"")"),0)</f>
        <v>0</v>
      </c>
      <c r="BT48" s="354">
        <f t="shared" ca="1" si="63"/>
        <v>0</v>
      </c>
      <c r="BU48" s="177">
        <f ca="1">IFERROR(__xludf.DUMMYFUNCTION("IMPORTRANGE(""https://docs.google.com/spreadsheets/d/1Hx73zIEgVdDZZaYSTc46Dqv64atFhpr3GelxLbaIN8A/edit?usp=sharing"",""หนองบัวลำภู!J683"")"),0)</f>
        <v>0</v>
      </c>
      <c r="BV48" s="177">
        <f ca="1">IFERROR(__xludf.DUMMYFUNCTION("IMPORTRANGE(""https://docs.google.com/spreadsheets/d/1Hx73zIEgVdDZZaYSTc46Dqv64atFhpr3GelxLbaIN8A/edit?usp=sharing"",""หนองบัวลำภู!J684"")"),0)</f>
        <v>0</v>
      </c>
      <c r="BW48" s="177">
        <f ca="1">IFERROR(__xludf.DUMMYFUNCTION("IMPORTRANGE(""https://docs.google.com/spreadsheets/d/1Hx73zIEgVdDZZaYSTc46Dqv64atFhpr3GelxLbaIN8A/edit?usp=sharing"",""หนองบัวลำภู!J685"")"),0)</f>
        <v>0</v>
      </c>
      <c r="BX48" s="177">
        <f ca="1">IFERROR(__xludf.DUMMYFUNCTION("IMPORTRANGE(""https://docs.google.com/spreadsheets/d/1Hx73zIEgVdDZZaYSTc46Dqv64atFhpr3GelxLbaIN8A/edit?usp=sharing"",""หนองบัวลำภู!J686"")"),0)</f>
        <v>0</v>
      </c>
      <c r="BY48" s="177">
        <f ca="1">IFERROR(__xludf.DUMMYFUNCTION("IMPORTRANGE(""https://docs.google.com/spreadsheets/d/1Hx73zIEgVdDZZaYSTc46Dqv64atFhpr3GelxLbaIN8A/edit?usp=sharing"",""หนองบัวลำภู!J687"")"),0)</f>
        <v>0</v>
      </c>
      <c r="BZ48" s="177">
        <f ca="1">IFERROR(__xludf.DUMMYFUNCTION("IMPORTRANGE(""https://docs.google.com/spreadsheets/d/1Hx73zIEgVdDZZaYSTc46Dqv64atFhpr3GelxLbaIN8A/edit?usp=sharing"",""หนองบัวลำภู!J688"")"),0)</f>
        <v>0</v>
      </c>
    </row>
    <row r="49" spans="1:78" ht="21.75" customHeight="1" x14ac:dyDescent="0.3">
      <c r="A49" s="89">
        <v>18</v>
      </c>
      <c r="B49" s="90" t="s">
        <v>75</v>
      </c>
      <c r="C49" s="174">
        <f t="shared" si="38"/>
        <v>0</v>
      </c>
      <c r="D49" s="175">
        <f t="shared" si="76"/>
        <v>0</v>
      </c>
      <c r="E49" s="403">
        <v>0</v>
      </c>
      <c r="F49" s="403">
        <v>0</v>
      </c>
      <c r="G49" s="403">
        <v>0</v>
      </c>
      <c r="H49" s="403">
        <v>0</v>
      </c>
      <c r="I49" s="403">
        <v>0</v>
      </c>
      <c r="J49" s="176">
        <f t="shared" si="40"/>
        <v>0</v>
      </c>
      <c r="K49" s="179">
        <f t="shared" si="41"/>
        <v>0</v>
      </c>
      <c r="L49" s="403">
        <v>0</v>
      </c>
      <c r="M49" s="87">
        <f t="shared" si="42"/>
        <v>0</v>
      </c>
      <c r="N49" s="87">
        <f t="shared" si="43"/>
        <v>0</v>
      </c>
      <c r="O49" s="403">
        <v>0</v>
      </c>
      <c r="P49" s="86">
        <f t="shared" si="44"/>
        <v>0</v>
      </c>
      <c r="Q49" s="87">
        <f t="shared" si="45"/>
        <v>0</v>
      </c>
      <c r="R49" s="87">
        <f ca="1">IFERROR(__xludf.DUMMYFUNCTION("IMPORTRANGE(""https://docs.google.com/spreadsheets/d/1lFxr3ctmjFN90yc-xV6jrQ9Ty8BKYVBWnAZ15wcNIJc/edit?usp=sharing"",""อำนาจเจริญ!Q642"")"),0)</f>
        <v>0</v>
      </c>
      <c r="S49" s="87">
        <f ca="1">IFERROR(__xludf.DUMMYFUNCTION("IMPORTRANGE(""https://docs.google.com/spreadsheets/d/1lFxr3ctmjFN90yc-xV6jrQ9Ty8BKYVBWnAZ15wcNIJc/edit?usp=sharing"",""อำนาจเจริญ!R642"")"),0)</f>
        <v>0</v>
      </c>
      <c r="T49" s="87">
        <f ca="1">IFERROR(__xludf.DUMMYFUNCTION("IMPORTRANGE(""https://docs.google.com/spreadsheets/d/1lFxr3ctmjFN90yc-xV6jrQ9Ty8BKYVBWnAZ15wcNIJc/edit?usp=sharing"",""อำนาจเจริญ!S642"")"),0)</f>
        <v>0</v>
      </c>
      <c r="U49" s="87">
        <f t="shared" ca="1" si="47"/>
        <v>0</v>
      </c>
      <c r="V49" s="87">
        <f t="shared" ca="1" si="48"/>
        <v>0</v>
      </c>
      <c r="W49" s="353">
        <f ca="1">IFERROR(__xludf.DUMMYFUNCTION("IMPORTRANGE(""https://docs.google.com/spreadsheets/d/1lFxr3ctmjFN90yc-xV6jrQ9Ty8BKYVBWnAZ15wcNIJc/edit?usp=sharing"",""อำนาจเจริญ!I652"")"),0)</f>
        <v>0</v>
      </c>
      <c r="X49" s="177">
        <f ca="1">IFERROR(__xludf.DUMMYFUNCTION("IMPORTRANGE(""https://docs.google.com/spreadsheets/d/1lFxr3ctmjFN90yc-xV6jrQ9Ty8BKYVBWnAZ15wcNIJc/edit?usp=sharing"",""อำนาจเจริญ!J652"")"),0)</f>
        <v>0</v>
      </c>
      <c r="Y49" s="354">
        <f t="shared" ca="1" si="50"/>
        <v>0</v>
      </c>
      <c r="Z49" s="177">
        <f ca="1">IFERROR(__xludf.DUMMYFUNCTION("IMPORTRANGE(""https://docs.google.com/spreadsheets/d/1lFxr3ctmjFN90yc-xV6jrQ9Ty8BKYVBWnAZ15wcNIJc/edit?usp=sharing"",""อำนาจเจริญ!I653"")"),0)</f>
        <v>0</v>
      </c>
      <c r="AA49" s="177">
        <f ca="1">IFERROR(__xludf.DUMMYFUNCTION("IMPORTRANGE(""https://docs.google.com/spreadsheets/d/1lFxr3ctmjFN90yc-xV6jrQ9Ty8BKYVBWnAZ15wcNIJc/edit?usp=sharing"",""อำนาจเจริญ!J653"")"),0)</f>
        <v>0</v>
      </c>
      <c r="AB49" s="354">
        <f t="shared" ca="1" si="52"/>
        <v>0</v>
      </c>
      <c r="AC49" s="177">
        <f ca="1">IFERROR(__xludf.DUMMYFUNCTION("IMPORTRANGE(""https://docs.google.com/spreadsheets/d/1lFxr3ctmjFN90yc-xV6jrQ9Ty8BKYVBWnAZ15wcNIJc/edit?usp=sharing"",""อำนาจเจริญ!I654"")"),0)</f>
        <v>0</v>
      </c>
      <c r="AD49" s="177">
        <f ca="1">IFERROR(__xludf.DUMMYFUNCTION("IMPORTRANGE(""https://docs.google.com/spreadsheets/d/1lFxr3ctmjFN90yc-xV6jrQ9Ty8BKYVBWnAZ15wcNIJc/edit?usp=sharing"",""อำนาจเจริญ!J654"")"),0)</f>
        <v>0</v>
      </c>
      <c r="AE49" s="354">
        <f t="shared" ca="1" si="54"/>
        <v>0</v>
      </c>
      <c r="AF49" s="354">
        <f ca="1">IFERROR(__xludf.DUMMYFUNCTION("IMPORTRANGE(""https://docs.google.com/spreadsheets/d/1lFxr3ctmjFN90yc-xV6jrQ9Ty8BKYVBWnAZ15wcNIJc/edit?usp=sharing"",""อำนาจเจริญ!J655"")"),0)</f>
        <v>0</v>
      </c>
      <c r="AG49" s="354">
        <f ca="1">IFERROR(__xludf.DUMMYFUNCTION("IMPORTRANGE(""https://docs.google.com/spreadsheets/d/1lFxr3ctmjFN90yc-xV6jrQ9Ty8BKYVBWnAZ15wcNIJc/edit?usp=sharing"",""อำนาจเจริญ!J656"")"),0)</f>
        <v>0</v>
      </c>
      <c r="AH49" s="354">
        <f ca="1">IFERROR(__xludf.DUMMYFUNCTION("IMPORTRANGE(""https://docs.google.com/spreadsheets/d/1lFxr3ctmjFN90yc-xV6jrQ9Ty8BKYVBWnAZ15wcNIJc/edit?usp=sharing"",""อำนาจเจริญ!J657"")"),0)</f>
        <v>0</v>
      </c>
      <c r="AI49" s="354">
        <f ca="1">IFERROR(__xludf.DUMMYFUNCTION("IMPORTRANGE(""https://docs.google.com/spreadsheets/d/1lFxr3ctmjFN90yc-xV6jrQ9Ty8BKYVBWnAZ15wcNIJc/edit?usp=sharing"",""อำนาจเจริญ!J658"")"),0)</f>
        <v>0</v>
      </c>
      <c r="AJ49" s="354">
        <f ca="1">IFERROR(__xludf.DUMMYFUNCTION("IMPORTRANGE(""https://docs.google.com/spreadsheets/d/1lFxr3ctmjFN90yc-xV6jrQ9Ty8BKYVBWnAZ15wcNIJc/edit?usp=sharing"",""อำนาจเจริญ!J659"")"),0)</f>
        <v>0</v>
      </c>
      <c r="AK49" s="354">
        <f ca="1">IFERROR(__xludf.DUMMYFUNCTION("IMPORTRANGE(""https://docs.google.com/spreadsheets/d/1lFxr3ctmjFN90yc-xV6jrQ9Ty8BKYVBWnAZ15wcNIJc/edit?usp=sharing"",""อำนาจเจริญ!J660"")"),0)</f>
        <v>0</v>
      </c>
      <c r="AL49" s="177">
        <f ca="1">IFERROR(__xludf.DUMMYFUNCTION("IMPORTRANGE(""https://docs.google.com/spreadsheets/d/1lFxr3ctmjFN90yc-xV6jrQ9Ty8BKYVBWnAZ15wcNIJc/edit?usp=sharing"",""อำนาจเจริญ!I661"")"),0)</f>
        <v>0</v>
      </c>
      <c r="AM49" s="177">
        <f ca="1">IFERROR(__xludf.DUMMYFUNCTION("IMPORTRANGE(""https://docs.google.com/spreadsheets/d/1lFxr3ctmjFN90yc-xV6jrQ9Ty8BKYVBWnAZ15wcNIJc/edit?usp=sharing"",""อำนาจเจริญ!J661"")"),0)</f>
        <v>0</v>
      </c>
      <c r="AN49" s="354">
        <f t="shared" ca="1" si="56"/>
        <v>0</v>
      </c>
      <c r="AO49" s="177">
        <f ca="1">IFERROR(__xludf.DUMMYFUNCTION("IMPORTRANGE(""https://docs.google.com/spreadsheets/d/1lFxr3ctmjFN90yc-xV6jrQ9Ty8BKYVBWnAZ15wcNIJc/edit?usp=sharing"",""อำนาจเจริญ!J662"")"),0)</f>
        <v>0</v>
      </c>
      <c r="AP49" s="177">
        <f ca="1">IFERROR(__xludf.DUMMYFUNCTION("IMPORTRANGE(""https://docs.google.com/spreadsheets/d/1lFxr3ctmjFN90yc-xV6jrQ9Ty8BKYVBWnAZ15wcNIJc/edit?usp=sharing"",""อำนาจเจริญ!J663"")"),0)</f>
        <v>0</v>
      </c>
      <c r="AQ49" s="177">
        <f ca="1">IFERROR(__xludf.DUMMYFUNCTION("IMPORTRANGE(""https://docs.google.com/spreadsheets/d/1lFxr3ctmjFN90yc-xV6jrQ9Ty8BKYVBWnAZ15wcNIJc/edit?usp=sharing"",""อำนาจเจริญ!J665"")"),0)</f>
        <v>0</v>
      </c>
      <c r="AR49" s="177">
        <f ca="1">IFERROR(__xludf.DUMMYFUNCTION("IMPORTRANGE(""https://docs.google.com/spreadsheets/d/1lFxr3ctmjFN90yc-xV6jrQ9Ty8BKYVBWnAZ15wcNIJc/edit?usp=sharing"",""อำนาจเจริญ!J666"")"),0)</f>
        <v>0</v>
      </c>
      <c r="AS49" s="177">
        <f ca="1">IFERROR(__xludf.DUMMYFUNCTION("IMPORTRANGE(""https://docs.google.com/spreadsheets/d/1lFxr3ctmjFN90yc-xV6jrQ9Ty8BKYVBWnAZ15wcNIJc/edit?usp=sharing"",""อำนาจเจริญ!J667"")"),0)</f>
        <v>0</v>
      </c>
      <c r="AT49" s="177">
        <f ca="1">IFERROR(__xludf.DUMMYFUNCTION("IMPORTRANGE(""https://docs.google.com/spreadsheets/d/1lFxr3ctmjFN90yc-xV6jrQ9Ty8BKYVBWnAZ15wcNIJc/edit?usp=sharing"",""อำนาจเจริญ!J668"")"),0)</f>
        <v>0</v>
      </c>
      <c r="AU49" s="177">
        <f ca="1">IFERROR(__xludf.DUMMYFUNCTION("IMPORTRANGE(""https://docs.google.com/spreadsheets/d/1lFxr3ctmjFN90yc-xV6jrQ9Ty8BKYVBWnAZ15wcNIJc/edit?usp=sharing"",""อำนาจเจริญ!J669"")"),0)</f>
        <v>0</v>
      </c>
      <c r="AV49" s="177">
        <f ca="1">IFERROR(__xludf.DUMMYFUNCTION("IMPORTRANGE(""https://docs.google.com/spreadsheets/d/1lFxr3ctmjFN90yc-xV6jrQ9Ty8BKYVBWnAZ15wcNIJc/edit?usp=sharing"",""อำนาจเจริญ!J670"")"),0)</f>
        <v>0</v>
      </c>
      <c r="AW49" s="177">
        <v>0</v>
      </c>
      <c r="AX49" s="177">
        <f ca="1">IFERROR(__xludf.DUMMYFUNCTION("IMPORTRANGE(""https://docs.google.com/spreadsheets/d/1lFxr3ctmjFN90yc-xV6jrQ9Ty8BKYVBWnAZ15wcNIJc/edit?usp=sharing"",""อำนาจเจริญ!J671"")"),0)</f>
        <v>0</v>
      </c>
      <c r="AY49" s="177">
        <f ca="1">IFERROR(__xludf.DUMMYFUNCTION("IMPORTRANGE(""https://docs.google.com/spreadsheets/d/1lFxr3ctmjFN90yc-xV6jrQ9Ty8BKYVBWnAZ15wcNIJc/edit?usp=sharing"",""อำนาจเจริญ!J672"")"),0)</f>
        <v>0</v>
      </c>
      <c r="AZ49" s="177">
        <f ca="1">IFERROR(__xludf.DUMMYFUNCTION("IMPORTRANGE(""https://docs.google.com/spreadsheets/d/1lFxr3ctmjFN90yc-xV6jrQ9Ty8BKYVBWnAZ15wcNIJc/edit?usp=sharing"",""อำนาจเจริญ!J673"")"),0)</f>
        <v>0</v>
      </c>
      <c r="BA49" s="354">
        <f t="shared" si="58"/>
        <v>0</v>
      </c>
      <c r="BB49" s="177">
        <f ca="1">IFERROR(__xludf.DUMMYFUNCTION("IMPORTRANGE(""https://docs.google.com/spreadsheets/d/1lFxr3ctmjFN90yc-xV6jrQ9Ty8BKYVBWnAZ15wcNIJc/edit?usp=sharing"",""อำนาจเจริญ!I674"")"),0)</f>
        <v>0</v>
      </c>
      <c r="BC49" s="177">
        <f ca="1">IFERROR(__xludf.DUMMYFUNCTION("IMPORTRANGE(""https://docs.google.com/spreadsheets/d/1lFxr3ctmjFN90yc-xV6jrQ9Ty8BKYVBWnAZ15wcNIJc/edit?usp=sharing"",""อำนาจเจริญ!I675"")"),0)</f>
        <v>0</v>
      </c>
      <c r="BD49" s="177">
        <f ca="1">IFERROR(__xludf.DUMMYFUNCTION("IMPORTRANGE(""https://docs.google.com/spreadsheets/d/1lFxr3ctmjFN90yc-xV6jrQ9Ty8BKYVBWnAZ15wcNIJc/edit?usp=sharing"",""อำนาจเจริญ!J674"")"),0)</f>
        <v>0</v>
      </c>
      <c r="BE49" s="354">
        <f t="shared" ca="1" si="60"/>
        <v>0</v>
      </c>
      <c r="BF49" s="177">
        <f ca="1">IFERROR(__xludf.DUMMYFUNCTION("IMPORTRANGE(""https://docs.google.com/spreadsheets/d/1lFxr3ctmjFN90yc-xV6jrQ9Ty8BKYVBWnAZ15wcNIJc/edit?usp=sharing"",""อำนาจเจริญ!J675"")"),0)</f>
        <v>0</v>
      </c>
      <c r="BG49" s="354">
        <f t="shared" ca="1" si="61"/>
        <v>0</v>
      </c>
      <c r="BH49" s="177">
        <f ca="1">IFERROR(__xludf.DUMMYFUNCTION("IMPORTRANGE(""https://docs.google.com/spreadsheets/d/1lFxr3ctmjFN90yc-xV6jrQ9Ty8BKYVBWnAZ15wcNIJc/edit?usp=sharing"",""อำนาจเจริญ!I676"")"),0)</f>
        <v>0</v>
      </c>
      <c r="BI49" s="177">
        <f ca="1">IFERROR(__xludf.DUMMYFUNCTION("IMPORTRANGE(""https://docs.google.com/spreadsheets/d/1lFxr3ctmjFN90yc-xV6jrQ9Ty8BKYVBWnAZ15wcNIJc/edit?usp=sharing"",""อำนาจเจริญ!I678"")"),0)</f>
        <v>0</v>
      </c>
      <c r="BJ49" s="177">
        <f ca="1">IFERROR(__xludf.DUMMYFUNCTION("IMPORTRANGE(""https://docs.google.com/spreadsheets/d/1lFxr3ctmjFN90yc-xV6jrQ9Ty8BKYVBWnAZ15wcNIJc/edit?usp=sharing"",""อำนาจเจริญ!J676"")"),0)</f>
        <v>0</v>
      </c>
      <c r="BK49" s="177">
        <f ca="1">IFERROR(__xludf.DUMMYFUNCTION("IMPORTRANGE(""https://docs.google.com/spreadsheets/d/1lFxr3ctmjFN90yc-xV6jrQ9Ty8BKYVBWnAZ15wcNIJc/edit?usp=sharing"",""อำนาจเจริญ!J677"")"),0)</f>
        <v>0</v>
      </c>
      <c r="BL49" s="177">
        <f ca="1">IFERROR(__xludf.DUMMYFUNCTION("IMPORTRANGE(""https://docs.google.com/spreadsheets/d/1lFxr3ctmjFN90yc-xV6jrQ9Ty8BKYVBWnAZ15wcNIJc/edit?usp=sharing"",""อำนาจเจริญ!J678"")"),0)</f>
        <v>0</v>
      </c>
      <c r="BM49" s="177">
        <f ca="1">IFERROR(__xludf.DUMMYFUNCTION("IMPORTRANGE(""https://docs.google.com/spreadsheets/d/1lFxr3ctmjFN90yc-xV6jrQ9Ty8BKYVBWnAZ15wcNIJc/edit?usp=sharing"",""อำนาจเจริญ!I679"")"),0)</f>
        <v>0</v>
      </c>
      <c r="BN49" s="177">
        <f ca="1">IFERROR(__xludf.DUMMYFUNCTION("IMPORTRANGE(""https://docs.google.com/spreadsheets/d/1lFxr3ctmjFN90yc-xV6jrQ9Ty8BKYVBWnAZ15wcNIJc/edit?usp=sharing"",""อำนาจเจริญ!I681"")"),0)</f>
        <v>0</v>
      </c>
      <c r="BO49" s="177">
        <f ca="1">IFERROR(__xludf.DUMMYFUNCTION("IMPORTRANGE(""https://docs.google.com/spreadsheets/d/1lFxr3ctmjFN90yc-xV6jrQ9Ty8BKYVBWnAZ15wcNIJc/edit?usp=sharing"",""อำนาจเจริญ!J679"")"),0)</f>
        <v>0</v>
      </c>
      <c r="BP49" s="177">
        <f ca="1">IFERROR(__xludf.DUMMYFUNCTION("IMPORTRANGE(""https://docs.google.com/spreadsheets/d/1lFxr3ctmjFN90yc-xV6jrQ9Ty8BKYVBWnAZ15wcNIJc/edit?usp=sharing"",""อำนาจเจริญ!J680"")"),0)</f>
        <v>0</v>
      </c>
      <c r="BQ49" s="177">
        <f ca="1">IFERROR(__xludf.DUMMYFUNCTION("IMPORTRANGE(""https://docs.google.com/spreadsheets/d/1lFxr3ctmjFN90yc-xV6jrQ9Ty8BKYVBWnAZ15wcNIJc/edit?usp=sharing"",""อำนาจเจริญ!J681"")"),0)</f>
        <v>0</v>
      </c>
      <c r="BR49" s="177">
        <f ca="1">IFERROR(__xludf.DUMMYFUNCTION("IMPORTRANGE(""https://docs.google.com/spreadsheets/d/1lFxr3ctmjFN90yc-xV6jrQ9Ty8BKYVBWnAZ15wcNIJc/edit?usp=sharing"",""อำนาจเจริญ!I682"")"),0)</f>
        <v>0</v>
      </c>
      <c r="BS49" s="177">
        <f ca="1">IFERROR(__xludf.DUMMYFUNCTION("IMPORTRANGE(""https://docs.google.com/spreadsheets/d/1lFxr3ctmjFN90yc-xV6jrQ9Ty8BKYVBWnAZ15wcNIJc/edit?usp=sharing"",""อำนาจเจริญ!J682"")"),0)</f>
        <v>0</v>
      </c>
      <c r="BT49" s="354">
        <f t="shared" ca="1" si="63"/>
        <v>0</v>
      </c>
      <c r="BU49" s="177">
        <f ca="1">IFERROR(__xludf.DUMMYFUNCTION("IMPORTRANGE(""https://docs.google.com/spreadsheets/d/1lFxr3ctmjFN90yc-xV6jrQ9Ty8BKYVBWnAZ15wcNIJc/edit?usp=sharing"",""อำนาจเจริญ!J683"")"),0)</f>
        <v>0</v>
      </c>
      <c r="BV49" s="177">
        <f ca="1">IFERROR(__xludf.DUMMYFUNCTION("IMPORTRANGE(""https://docs.google.com/spreadsheets/d/1lFxr3ctmjFN90yc-xV6jrQ9Ty8BKYVBWnAZ15wcNIJc/edit?usp=sharing"",""อำนาจเจริญ!J684"")"),0)</f>
        <v>0</v>
      </c>
      <c r="BW49" s="177">
        <f ca="1">IFERROR(__xludf.DUMMYFUNCTION("IMPORTRANGE(""https://docs.google.com/spreadsheets/d/1lFxr3ctmjFN90yc-xV6jrQ9Ty8BKYVBWnAZ15wcNIJc/edit?usp=sharing"",""อำนาจเจริญ!J685"")"),0)</f>
        <v>0</v>
      </c>
      <c r="BX49" s="177">
        <f ca="1">IFERROR(__xludf.DUMMYFUNCTION("IMPORTRANGE(""https://docs.google.com/spreadsheets/d/1lFxr3ctmjFN90yc-xV6jrQ9Ty8BKYVBWnAZ15wcNIJc/edit?usp=sharing"",""อำนาจเจริญ!J686"")"),0)</f>
        <v>0</v>
      </c>
      <c r="BY49" s="177">
        <f ca="1">IFERROR(__xludf.DUMMYFUNCTION("IMPORTRANGE(""https://docs.google.com/spreadsheets/d/1lFxr3ctmjFN90yc-xV6jrQ9Ty8BKYVBWnAZ15wcNIJc/edit?usp=sharing"",""อำนาจเจริญ!J687"")"),0)</f>
        <v>0</v>
      </c>
      <c r="BZ49" s="177">
        <f ca="1">IFERROR(__xludf.DUMMYFUNCTION("IMPORTRANGE(""https://docs.google.com/spreadsheets/d/1lFxr3ctmjFN90yc-xV6jrQ9Ty8BKYVBWnAZ15wcNIJc/edit?usp=sharing"",""อำนาจเจริญ!J688"")"),0)</f>
        <v>0</v>
      </c>
    </row>
    <row r="50" spans="1:78" ht="21.75" customHeight="1" x14ac:dyDescent="0.3">
      <c r="A50" s="89">
        <v>19</v>
      </c>
      <c r="B50" s="90" t="s">
        <v>76</v>
      </c>
      <c r="C50" s="174">
        <f t="shared" si="38"/>
        <v>0</v>
      </c>
      <c r="D50" s="175">
        <f t="shared" si="76"/>
        <v>0</v>
      </c>
      <c r="E50" s="403">
        <v>0</v>
      </c>
      <c r="F50" s="403">
        <v>0</v>
      </c>
      <c r="G50" s="403">
        <v>0</v>
      </c>
      <c r="H50" s="403">
        <v>0</v>
      </c>
      <c r="I50" s="403">
        <v>0</v>
      </c>
      <c r="J50" s="176">
        <f t="shared" si="40"/>
        <v>0</v>
      </c>
      <c r="K50" s="179">
        <f t="shared" si="41"/>
        <v>0</v>
      </c>
      <c r="L50" s="403">
        <v>0</v>
      </c>
      <c r="M50" s="87">
        <f t="shared" si="42"/>
        <v>0</v>
      </c>
      <c r="N50" s="87">
        <f t="shared" si="43"/>
        <v>0</v>
      </c>
      <c r="O50" s="403">
        <v>0</v>
      </c>
      <c r="P50" s="86">
        <f t="shared" si="44"/>
        <v>0</v>
      </c>
      <c r="Q50" s="87">
        <f t="shared" si="45"/>
        <v>0</v>
      </c>
      <c r="R50" s="87">
        <f ca="1">IFERROR(__xludf.DUMMYFUNCTION("IMPORTRANGE(""https://docs.google.com/spreadsheets/d/1gF7RJpRnL-1oyjyeWxs5SFWEH7y8ahOZsQlyp2A2e-A/edit?usp=sharing"",""อุดรธานี!Q642"")"),98620)</f>
        <v>98620</v>
      </c>
      <c r="S50" s="87">
        <f ca="1">IFERROR(__xludf.DUMMYFUNCTION("IMPORTRANGE(""https://docs.google.com/spreadsheets/d/1gF7RJpRnL-1oyjyeWxs5SFWEH7y8ahOZsQlyp2A2e-A/edit?usp=sharing"",""อุดรธานี!R642"")"),0)</f>
        <v>0</v>
      </c>
      <c r="T50" s="87">
        <f ca="1">IFERROR(__xludf.DUMMYFUNCTION("IMPORTRANGE(""https://docs.google.com/spreadsheets/d/1gF7RJpRnL-1oyjyeWxs5SFWEH7y8ahOZsQlyp2A2e-A/edit?usp=sharing"",""อุดรธานี!S642"")"),0)</f>
        <v>0</v>
      </c>
      <c r="U50" s="87">
        <f t="shared" ca="1" si="47"/>
        <v>0</v>
      </c>
      <c r="V50" s="87">
        <f t="shared" ca="1" si="48"/>
        <v>0</v>
      </c>
      <c r="W50" s="353">
        <f ca="1">IFERROR(__xludf.DUMMYFUNCTION("IMPORTRANGE(""https://docs.google.com/spreadsheets/d/1gF7RJpRnL-1oyjyeWxs5SFWEH7y8ahOZsQlyp2A2e-A/edit?usp=sharing"",""อุดรธานี!I652"")"),450)</f>
        <v>450</v>
      </c>
      <c r="X50" s="177">
        <f ca="1">IFERROR(__xludf.DUMMYFUNCTION("IMPORTRANGE(""https://docs.google.com/spreadsheets/d/1gF7RJpRnL-1oyjyeWxs5SFWEH7y8ahOZsQlyp2A2e-A/edit?usp=sharing"",""อุดรธานี!J652"")"),0)</f>
        <v>0</v>
      </c>
      <c r="Y50" s="354">
        <f t="shared" ca="1" si="50"/>
        <v>0</v>
      </c>
      <c r="Z50" s="177">
        <f ca="1">IFERROR(__xludf.DUMMYFUNCTION("IMPORTRANGE(""https://docs.google.com/spreadsheets/d/1gF7RJpRnL-1oyjyeWxs5SFWEH7y8ahOZsQlyp2A2e-A/edit?usp=sharing"",""อุดรธานี!I653"")"),40)</f>
        <v>40</v>
      </c>
      <c r="AA50" s="177">
        <f ca="1">IFERROR(__xludf.DUMMYFUNCTION("IMPORTRANGE(""https://docs.google.com/spreadsheets/d/1gF7RJpRnL-1oyjyeWxs5SFWEH7y8ahOZsQlyp2A2e-A/edit?usp=sharing"",""อุดรธานี!J653"")"),3)</f>
        <v>3</v>
      </c>
      <c r="AB50" s="354">
        <f t="shared" ca="1" si="52"/>
        <v>7.5</v>
      </c>
      <c r="AC50" s="177">
        <f ca="1">IFERROR(__xludf.DUMMYFUNCTION("IMPORTRANGE(""https://docs.google.com/spreadsheets/d/1gF7RJpRnL-1oyjyeWxs5SFWEH7y8ahOZsQlyp2A2e-A/edit?usp=sharing"",""อุดรธานี!I654"")"),0)</f>
        <v>0</v>
      </c>
      <c r="AD50" s="177">
        <f ca="1">IFERROR(__xludf.DUMMYFUNCTION("IMPORTRANGE(""https://docs.google.com/spreadsheets/d/1gF7RJpRnL-1oyjyeWxs5SFWEH7y8ahOZsQlyp2A2e-A/edit?usp=sharing"",""อุดรธานี!J654"")"),0)</f>
        <v>0</v>
      </c>
      <c r="AE50" s="354">
        <f t="shared" ca="1" si="54"/>
        <v>0</v>
      </c>
      <c r="AF50" s="354">
        <f ca="1">IFERROR(__xludf.DUMMYFUNCTION("IMPORTRANGE(""https://docs.google.com/spreadsheets/d/1gF7RJpRnL-1oyjyeWxs5SFWEH7y8ahOZsQlyp2A2e-A/edit?usp=sharing"",""อุดรธานี!J655"")"),0)</f>
        <v>0</v>
      </c>
      <c r="AG50" s="354">
        <f ca="1">IFERROR(__xludf.DUMMYFUNCTION("IMPORTRANGE(""https://docs.google.com/spreadsheets/d/1gF7RJpRnL-1oyjyeWxs5SFWEH7y8ahOZsQlyp2A2e-A/edit?usp=sharing"",""อุดรธานี!J656"")"),0)</f>
        <v>0</v>
      </c>
      <c r="AH50" s="354">
        <f ca="1">IFERROR(__xludf.DUMMYFUNCTION("IMPORTRANGE(""https://docs.google.com/spreadsheets/d/1gF7RJpRnL-1oyjyeWxs5SFWEH7y8ahOZsQlyp2A2e-A/edit?usp=sharing"",""อุดรธานี!J657"")"),0)</f>
        <v>0</v>
      </c>
      <c r="AI50" s="354">
        <f ca="1">IFERROR(__xludf.DUMMYFUNCTION("IMPORTRANGE(""https://docs.google.com/spreadsheets/d/1gF7RJpRnL-1oyjyeWxs5SFWEH7y8ahOZsQlyp2A2e-A/edit?usp=sharing"",""อุดรธานี!J658"")"),0)</f>
        <v>0</v>
      </c>
      <c r="AJ50" s="354">
        <f ca="1">IFERROR(__xludf.DUMMYFUNCTION("IMPORTRANGE(""https://docs.google.com/spreadsheets/d/1gF7RJpRnL-1oyjyeWxs5SFWEH7y8ahOZsQlyp2A2e-A/edit?usp=sharing"",""อุดรธานี!J659"")"),0)</f>
        <v>0</v>
      </c>
      <c r="AK50" s="354">
        <f ca="1">IFERROR(__xludf.DUMMYFUNCTION("IMPORTRANGE(""https://docs.google.com/spreadsheets/d/1gF7RJpRnL-1oyjyeWxs5SFWEH7y8ahOZsQlyp2A2e-A/edit?usp=sharing"",""อุดรธานี!J660"")"),0)</f>
        <v>0</v>
      </c>
      <c r="AL50" s="177">
        <f ca="1">IFERROR(__xludf.DUMMYFUNCTION("IMPORTRANGE(""https://docs.google.com/spreadsheets/d/1gF7RJpRnL-1oyjyeWxs5SFWEH7y8ahOZsQlyp2A2e-A/edit?usp=sharing"",""อุดรธานี!I661"")"),0)</f>
        <v>0</v>
      </c>
      <c r="AM50" s="177">
        <f ca="1">IFERROR(__xludf.DUMMYFUNCTION("IMPORTRANGE(""https://docs.google.com/spreadsheets/d/1gF7RJpRnL-1oyjyeWxs5SFWEH7y8ahOZsQlyp2A2e-A/edit?usp=sharing"",""อุดรธานี!J661"")"),0)</f>
        <v>0</v>
      </c>
      <c r="AN50" s="354">
        <f t="shared" ca="1" si="56"/>
        <v>0</v>
      </c>
      <c r="AO50" s="177">
        <f ca="1">IFERROR(__xludf.DUMMYFUNCTION("IMPORTRANGE(""https://docs.google.com/spreadsheets/d/1gF7RJpRnL-1oyjyeWxs5SFWEH7y8ahOZsQlyp2A2e-A/edit?usp=sharing"",""อุดรธานี!J662"")"),0)</f>
        <v>0</v>
      </c>
      <c r="AP50" s="177">
        <f ca="1">IFERROR(__xludf.DUMMYFUNCTION("IMPORTRANGE(""https://docs.google.com/spreadsheets/d/1gF7RJpRnL-1oyjyeWxs5SFWEH7y8ahOZsQlyp2A2e-A/edit?usp=sharing"",""อุดรธานี!J663"")"),0)</f>
        <v>0</v>
      </c>
      <c r="AQ50" s="177">
        <f ca="1">IFERROR(__xludf.DUMMYFUNCTION("IMPORTRANGE(""https://docs.google.com/spreadsheets/d/1gF7RJpRnL-1oyjyeWxs5SFWEH7y8ahOZsQlyp2A2e-A/edit?usp=sharing"",""อุดรธานี!J665"")"),0)</f>
        <v>0</v>
      </c>
      <c r="AR50" s="177">
        <f ca="1">IFERROR(__xludf.DUMMYFUNCTION("IMPORTRANGE(""https://docs.google.com/spreadsheets/d/1gF7RJpRnL-1oyjyeWxs5SFWEH7y8ahOZsQlyp2A2e-A/edit?usp=sharing"",""อุดรธานี!J666"")"),0)</f>
        <v>0</v>
      </c>
      <c r="AS50" s="177">
        <f ca="1">IFERROR(__xludf.DUMMYFUNCTION("IMPORTRANGE(""https://docs.google.com/spreadsheets/d/1gF7RJpRnL-1oyjyeWxs5SFWEH7y8ahOZsQlyp2A2e-A/edit?usp=sharing"",""อุดรธานี!J667"")"),0)</f>
        <v>0</v>
      </c>
      <c r="AT50" s="177">
        <f ca="1">IFERROR(__xludf.DUMMYFUNCTION("IMPORTRANGE(""https://docs.google.com/spreadsheets/d/1gF7RJpRnL-1oyjyeWxs5SFWEH7y8ahOZsQlyp2A2e-A/edit?usp=sharing"",""อุดรธานี!J668"")"),0)</f>
        <v>0</v>
      </c>
      <c r="AU50" s="177">
        <f ca="1">IFERROR(__xludf.DUMMYFUNCTION("IMPORTRANGE(""https://docs.google.com/spreadsheets/d/1gF7RJpRnL-1oyjyeWxs5SFWEH7y8ahOZsQlyp2A2e-A/edit?usp=sharing"",""อุดรธานี!J669"")"),0)</f>
        <v>0</v>
      </c>
      <c r="AV50" s="177">
        <f ca="1">IFERROR(__xludf.DUMMYFUNCTION("IMPORTRANGE(""https://docs.google.com/spreadsheets/d/1gF7RJpRnL-1oyjyeWxs5SFWEH7y8ahOZsQlyp2A2e-A/edit?usp=sharing"",""อุดรธานี!J670"")"),0)</f>
        <v>0</v>
      </c>
      <c r="AW50" s="177">
        <v>0</v>
      </c>
      <c r="AX50" s="177">
        <f ca="1">IFERROR(__xludf.DUMMYFUNCTION("IMPORTRANGE(""https://docs.google.com/spreadsheets/d/1gF7RJpRnL-1oyjyeWxs5SFWEH7y8ahOZsQlyp2A2e-A/edit?usp=sharing"",""อุดรธานี!J671"")"),0)</f>
        <v>0</v>
      </c>
      <c r="AY50" s="177">
        <f ca="1">IFERROR(__xludf.DUMMYFUNCTION("IMPORTRANGE(""https://docs.google.com/spreadsheets/d/1gF7RJpRnL-1oyjyeWxs5SFWEH7y8ahOZsQlyp2A2e-A/edit?usp=sharing"",""อุดรธานี!J672"")"),0)</f>
        <v>0</v>
      </c>
      <c r="AZ50" s="177">
        <f ca="1">IFERROR(__xludf.DUMMYFUNCTION("IMPORTRANGE(""https://docs.google.com/spreadsheets/d/1gF7RJpRnL-1oyjyeWxs5SFWEH7y8ahOZsQlyp2A2e-A/edit?usp=sharing"",""อุดรธานี!J673"")"),0)</f>
        <v>0</v>
      </c>
      <c r="BA50" s="354">
        <f t="shared" si="58"/>
        <v>0</v>
      </c>
      <c r="BB50" s="177">
        <f ca="1">IFERROR(__xludf.DUMMYFUNCTION("IMPORTRANGE(""https://docs.google.com/spreadsheets/d/1gF7RJpRnL-1oyjyeWxs5SFWEH7y8ahOZsQlyp2A2e-A/edit?usp=sharing"",""อุดรธานี!I674"")"),0)</f>
        <v>0</v>
      </c>
      <c r="BC50" s="177">
        <f ca="1">IFERROR(__xludf.DUMMYFUNCTION("IMPORTRANGE(""https://docs.google.com/spreadsheets/d/1gF7RJpRnL-1oyjyeWxs5SFWEH7y8ahOZsQlyp2A2e-A/edit?usp=sharing"",""อุดรธานี!I675"")"),0)</f>
        <v>0</v>
      </c>
      <c r="BD50" s="177">
        <f ca="1">IFERROR(__xludf.DUMMYFUNCTION("IMPORTRANGE(""https://docs.google.com/spreadsheets/d/1gF7RJpRnL-1oyjyeWxs5SFWEH7y8ahOZsQlyp2A2e-A/edit?usp=sharing"",""อุดรธานี!J674"")"),0)</f>
        <v>0</v>
      </c>
      <c r="BE50" s="354">
        <f t="shared" ca="1" si="60"/>
        <v>0</v>
      </c>
      <c r="BF50" s="177">
        <f ca="1">IFERROR(__xludf.DUMMYFUNCTION("IMPORTRANGE(""https://docs.google.com/spreadsheets/d/1gF7RJpRnL-1oyjyeWxs5SFWEH7y8ahOZsQlyp2A2e-A/edit?usp=sharing"",""อุดรธานี!J675"")"),0)</f>
        <v>0</v>
      </c>
      <c r="BG50" s="354">
        <f t="shared" ca="1" si="61"/>
        <v>0</v>
      </c>
      <c r="BH50" s="177">
        <f ca="1">IFERROR(__xludf.DUMMYFUNCTION("IMPORTRANGE(""https://docs.google.com/spreadsheets/d/1gF7RJpRnL-1oyjyeWxs5SFWEH7y8ahOZsQlyp2A2e-A/edit?usp=sharing"",""อุดรธานี!I676"")"),0)</f>
        <v>0</v>
      </c>
      <c r="BI50" s="177">
        <f ca="1">IFERROR(__xludf.DUMMYFUNCTION("IMPORTRANGE(""https://docs.google.com/spreadsheets/d/1gF7RJpRnL-1oyjyeWxs5SFWEH7y8ahOZsQlyp2A2e-A/edit?usp=sharing"",""อุดรธานี!I678"")"),0)</f>
        <v>0</v>
      </c>
      <c r="BJ50" s="177">
        <f ca="1">IFERROR(__xludf.DUMMYFUNCTION("IMPORTRANGE(""https://docs.google.com/spreadsheets/d/1gF7RJpRnL-1oyjyeWxs5SFWEH7y8ahOZsQlyp2A2e-A/edit?usp=sharing"",""อุดรธานี!J676"")"),0)</f>
        <v>0</v>
      </c>
      <c r="BK50" s="177">
        <f ca="1">IFERROR(__xludf.DUMMYFUNCTION("IMPORTRANGE(""https://docs.google.com/spreadsheets/d/1gF7RJpRnL-1oyjyeWxs5SFWEH7y8ahOZsQlyp2A2e-A/edit?usp=sharing"",""อุดรธานี!J677"")"),0)</f>
        <v>0</v>
      </c>
      <c r="BL50" s="177">
        <f ca="1">IFERROR(__xludf.DUMMYFUNCTION("IMPORTRANGE(""https://docs.google.com/spreadsheets/d/1gF7RJpRnL-1oyjyeWxs5SFWEH7y8ahOZsQlyp2A2e-A/edit?usp=sharing"",""อุดรธานี!J678"")"),0)</f>
        <v>0</v>
      </c>
      <c r="BM50" s="177">
        <f ca="1">IFERROR(__xludf.DUMMYFUNCTION("IMPORTRANGE(""https://docs.google.com/spreadsheets/d/1gF7RJpRnL-1oyjyeWxs5SFWEH7y8ahOZsQlyp2A2e-A/edit?usp=sharing"",""อุดรธานี!I679"")"),0)</f>
        <v>0</v>
      </c>
      <c r="BN50" s="177">
        <f ca="1">IFERROR(__xludf.DUMMYFUNCTION("IMPORTRANGE(""https://docs.google.com/spreadsheets/d/1gF7RJpRnL-1oyjyeWxs5SFWEH7y8ahOZsQlyp2A2e-A/edit?usp=sharing"",""อุดรธานี!I681"")"),0)</f>
        <v>0</v>
      </c>
      <c r="BO50" s="177">
        <f ca="1">IFERROR(__xludf.DUMMYFUNCTION("IMPORTRANGE(""https://docs.google.com/spreadsheets/d/1gF7RJpRnL-1oyjyeWxs5SFWEH7y8ahOZsQlyp2A2e-A/edit?usp=sharing"",""อุดรธานี!J679"")"),0)</f>
        <v>0</v>
      </c>
      <c r="BP50" s="177">
        <f ca="1">IFERROR(__xludf.DUMMYFUNCTION("IMPORTRANGE(""https://docs.google.com/spreadsheets/d/1gF7RJpRnL-1oyjyeWxs5SFWEH7y8ahOZsQlyp2A2e-A/edit?usp=sharing"",""อุดรธานี!J680"")"),0)</f>
        <v>0</v>
      </c>
      <c r="BQ50" s="177">
        <f ca="1">IFERROR(__xludf.DUMMYFUNCTION("IMPORTRANGE(""https://docs.google.com/spreadsheets/d/1gF7RJpRnL-1oyjyeWxs5SFWEH7y8ahOZsQlyp2A2e-A/edit?usp=sharing"",""อุดรธานี!J681"")"),0)</f>
        <v>0</v>
      </c>
      <c r="BR50" s="177">
        <f ca="1">IFERROR(__xludf.DUMMYFUNCTION("IMPORTRANGE(""https://docs.google.com/spreadsheets/d/1gF7RJpRnL-1oyjyeWxs5SFWEH7y8ahOZsQlyp2A2e-A/edit?usp=sharing"",""อุดรธานี!I682"")"),450)</f>
        <v>450</v>
      </c>
      <c r="BS50" s="177">
        <f ca="1">IFERROR(__xludf.DUMMYFUNCTION("IMPORTRANGE(""https://docs.google.com/spreadsheets/d/1gF7RJpRnL-1oyjyeWxs5SFWEH7y8ahOZsQlyp2A2e-A/edit?usp=sharing"",""อุดรธานี!J682"")"),0)</f>
        <v>0</v>
      </c>
      <c r="BT50" s="354">
        <f t="shared" ca="1" si="63"/>
        <v>0</v>
      </c>
      <c r="BU50" s="177">
        <f ca="1">IFERROR(__xludf.DUMMYFUNCTION("IMPORTRANGE(""https://docs.google.com/spreadsheets/d/1gF7RJpRnL-1oyjyeWxs5SFWEH7y8ahOZsQlyp2A2e-A/edit?usp=sharing"",""อุดรธานี!J683"")"),0)</f>
        <v>0</v>
      </c>
      <c r="BV50" s="177">
        <f ca="1">IFERROR(__xludf.DUMMYFUNCTION("IMPORTRANGE(""https://docs.google.com/spreadsheets/d/1gF7RJpRnL-1oyjyeWxs5SFWEH7y8ahOZsQlyp2A2e-A/edit?usp=sharing"",""อุดรธานี!J684"")"),0)</f>
        <v>0</v>
      </c>
      <c r="BW50" s="177">
        <f ca="1">IFERROR(__xludf.DUMMYFUNCTION("IMPORTRANGE(""https://docs.google.com/spreadsheets/d/1gF7RJpRnL-1oyjyeWxs5SFWEH7y8ahOZsQlyp2A2e-A/edit?usp=sharing"",""อุดรธานี!J685"")"),0)</f>
        <v>0</v>
      </c>
      <c r="BX50" s="177">
        <f ca="1">IFERROR(__xludf.DUMMYFUNCTION("IMPORTRANGE(""https://docs.google.com/spreadsheets/d/1gF7RJpRnL-1oyjyeWxs5SFWEH7y8ahOZsQlyp2A2e-A/edit?usp=sharing"",""อุดรธานี!J686"")"),0)</f>
        <v>0</v>
      </c>
      <c r="BY50" s="177">
        <f ca="1">IFERROR(__xludf.DUMMYFUNCTION("IMPORTRANGE(""https://docs.google.com/spreadsheets/d/1gF7RJpRnL-1oyjyeWxs5SFWEH7y8ahOZsQlyp2A2e-A/edit?usp=sharing"",""อุดรธานี!J687"")"),0)</f>
        <v>0</v>
      </c>
      <c r="BZ50" s="177">
        <f ca="1">IFERROR(__xludf.DUMMYFUNCTION("IMPORTRANGE(""https://docs.google.com/spreadsheets/d/1gF7RJpRnL-1oyjyeWxs5SFWEH7y8ahOZsQlyp2A2e-A/edit?usp=sharing"",""อุดรธานี!J688"")"),0)</f>
        <v>0</v>
      </c>
    </row>
    <row r="51" spans="1:78" ht="21.75" customHeight="1" x14ac:dyDescent="0.3">
      <c r="A51" s="100">
        <v>20</v>
      </c>
      <c r="B51" s="101" t="s">
        <v>77</v>
      </c>
      <c r="C51" s="189">
        <f t="shared" si="38"/>
        <v>0</v>
      </c>
      <c r="D51" s="190">
        <f t="shared" si="76"/>
        <v>0</v>
      </c>
      <c r="E51" s="415">
        <v>0</v>
      </c>
      <c r="F51" s="415">
        <v>0</v>
      </c>
      <c r="G51" s="415">
        <v>0</v>
      </c>
      <c r="H51" s="415">
        <v>0</v>
      </c>
      <c r="I51" s="415">
        <v>0</v>
      </c>
      <c r="J51" s="191">
        <f t="shared" si="40"/>
        <v>0</v>
      </c>
      <c r="K51" s="192">
        <f t="shared" si="41"/>
        <v>0</v>
      </c>
      <c r="L51" s="415">
        <v>0</v>
      </c>
      <c r="M51" s="118">
        <f t="shared" si="42"/>
        <v>0</v>
      </c>
      <c r="N51" s="118">
        <f t="shared" si="43"/>
        <v>0</v>
      </c>
      <c r="O51" s="415">
        <v>0</v>
      </c>
      <c r="P51" s="117">
        <f t="shared" si="44"/>
        <v>0</v>
      </c>
      <c r="Q51" s="118">
        <f t="shared" si="45"/>
        <v>0</v>
      </c>
      <c r="R51" s="118">
        <f ca="1">IFERROR(__xludf.DUMMYFUNCTION("IMPORTRANGE(""https://docs.google.com/spreadsheets/d/1kfLP0j3INXRa8bTDpcEmoWewMBV61jlFlfzczfjWIgc/edit?usp=sharing"",""อุบลราชธานี!Q642"")"),2240)</f>
        <v>2240</v>
      </c>
      <c r="S51" s="118">
        <f ca="1">IFERROR(__xludf.DUMMYFUNCTION("IMPORTRANGE(""https://docs.google.com/spreadsheets/d/1kfLP0j3INXRa8bTDpcEmoWewMBV61jlFlfzczfjWIgc/edit?usp=sharing"",""อุบลราชธานี!R642"")"),0)</f>
        <v>0</v>
      </c>
      <c r="T51" s="118">
        <f ca="1">IFERROR(__xludf.DUMMYFUNCTION("IMPORTRANGE(""https://docs.google.com/spreadsheets/d/1kfLP0j3INXRa8bTDpcEmoWewMBV61jlFlfzczfjWIgc/edit?usp=sharing"",""อุบลราชธานี!S642"")"),0)</f>
        <v>0</v>
      </c>
      <c r="U51" s="118">
        <f t="shared" ca="1" si="47"/>
        <v>0</v>
      </c>
      <c r="V51" s="118">
        <f t="shared" ca="1" si="48"/>
        <v>0</v>
      </c>
      <c r="W51" s="356">
        <f ca="1">IFERROR(__xludf.DUMMYFUNCTION("IMPORTRANGE(""https://docs.google.com/spreadsheets/d/1kfLP0j3INXRa8bTDpcEmoWewMBV61jlFlfzczfjWIgc/edit?usp=sharing"",""อุบลราชธานี!I652"")"),10)</f>
        <v>10</v>
      </c>
      <c r="X51" s="186">
        <f ca="1">IFERROR(__xludf.DUMMYFUNCTION("IMPORTRANGE(""https://docs.google.com/spreadsheets/d/1kfLP0j3INXRa8bTDpcEmoWewMBV61jlFlfzczfjWIgc/edit?usp=sharing"",""อุบลราชธานี!J652"")"),0)</f>
        <v>0</v>
      </c>
      <c r="Y51" s="357">
        <f t="shared" ca="1" si="50"/>
        <v>0</v>
      </c>
      <c r="Z51" s="186">
        <f ca="1">IFERROR(__xludf.DUMMYFUNCTION("IMPORTRANGE(""https://docs.google.com/spreadsheets/d/1kfLP0j3INXRa8bTDpcEmoWewMBV61jlFlfzczfjWIgc/edit?usp=sharing"",""อุบลราชธานี!I653"")"),2)</f>
        <v>2</v>
      </c>
      <c r="AA51" s="186">
        <f ca="1">IFERROR(__xludf.DUMMYFUNCTION("IMPORTRANGE(""https://docs.google.com/spreadsheets/d/1kfLP0j3INXRa8bTDpcEmoWewMBV61jlFlfzczfjWIgc/edit?usp=sharing"",""อุบลราชธานี!J653"")"),0)</f>
        <v>0</v>
      </c>
      <c r="AB51" s="357">
        <f t="shared" ca="1" si="52"/>
        <v>0</v>
      </c>
      <c r="AC51" s="186">
        <f ca="1">IFERROR(__xludf.DUMMYFUNCTION("IMPORTRANGE(""https://docs.google.com/spreadsheets/d/1kfLP0j3INXRa8bTDpcEmoWewMBV61jlFlfzczfjWIgc/edit?usp=sharing"",""อุบลราชธานี!I654"")"),0)</f>
        <v>0</v>
      </c>
      <c r="AD51" s="186">
        <f ca="1">IFERROR(__xludf.DUMMYFUNCTION("IMPORTRANGE(""https://docs.google.com/spreadsheets/d/1kfLP0j3INXRa8bTDpcEmoWewMBV61jlFlfzczfjWIgc/edit?usp=sharing"",""อุบลราชธานี!J654"")"),0)</f>
        <v>0</v>
      </c>
      <c r="AE51" s="357">
        <f t="shared" ca="1" si="54"/>
        <v>0</v>
      </c>
      <c r="AF51" s="357">
        <f ca="1">IFERROR(__xludf.DUMMYFUNCTION("IMPORTRANGE(""https://docs.google.com/spreadsheets/d/1kfLP0j3INXRa8bTDpcEmoWewMBV61jlFlfzczfjWIgc/edit?usp=sharing"",""อุบลราชธานี!J655"")"),0)</f>
        <v>0</v>
      </c>
      <c r="AG51" s="357">
        <f ca="1">IFERROR(__xludf.DUMMYFUNCTION("IMPORTRANGE(""https://docs.google.com/spreadsheets/d/1kfLP0j3INXRa8bTDpcEmoWewMBV61jlFlfzczfjWIgc/edit?usp=sharing"",""อุบลราชธานี!J656"")"),0)</f>
        <v>0</v>
      </c>
      <c r="AH51" s="357">
        <f ca="1">IFERROR(__xludf.DUMMYFUNCTION("IMPORTRANGE(""https://docs.google.com/spreadsheets/d/1kfLP0j3INXRa8bTDpcEmoWewMBV61jlFlfzczfjWIgc/edit?usp=sharing"",""อุบลราชธานี!J657"")"),0)</f>
        <v>0</v>
      </c>
      <c r="AI51" s="357">
        <f ca="1">IFERROR(__xludf.DUMMYFUNCTION("IMPORTRANGE(""https://docs.google.com/spreadsheets/d/1kfLP0j3INXRa8bTDpcEmoWewMBV61jlFlfzczfjWIgc/edit?usp=sharing"",""อุบลราชธานี!J658"")"),0)</f>
        <v>0</v>
      </c>
      <c r="AJ51" s="357">
        <f ca="1">IFERROR(__xludf.DUMMYFUNCTION("IMPORTRANGE(""https://docs.google.com/spreadsheets/d/1kfLP0j3INXRa8bTDpcEmoWewMBV61jlFlfzczfjWIgc/edit?usp=sharing"",""อุบลราชธานี!J659"")"),0)</f>
        <v>0</v>
      </c>
      <c r="AK51" s="357">
        <f ca="1">IFERROR(__xludf.DUMMYFUNCTION("IMPORTRANGE(""https://docs.google.com/spreadsheets/d/1kfLP0j3INXRa8bTDpcEmoWewMBV61jlFlfzczfjWIgc/edit?usp=sharing"",""อุบลราชธานี!J660"")"),0)</f>
        <v>0</v>
      </c>
      <c r="AL51" s="186">
        <f ca="1">IFERROR(__xludf.DUMMYFUNCTION("IMPORTRANGE(""https://docs.google.com/spreadsheets/d/1kfLP0j3INXRa8bTDpcEmoWewMBV61jlFlfzczfjWIgc/edit?usp=sharing"",""อุบลราชธานี!I661"")"),0)</f>
        <v>0</v>
      </c>
      <c r="AM51" s="186">
        <f ca="1">IFERROR(__xludf.DUMMYFUNCTION("IMPORTRANGE(""https://docs.google.com/spreadsheets/d/1kfLP0j3INXRa8bTDpcEmoWewMBV61jlFlfzczfjWIgc/edit?usp=sharing"",""อุบลราชธานี!J661"")"),0)</f>
        <v>0</v>
      </c>
      <c r="AN51" s="357">
        <f t="shared" ca="1" si="56"/>
        <v>0</v>
      </c>
      <c r="AO51" s="186">
        <f ca="1">IFERROR(__xludf.DUMMYFUNCTION("IMPORTRANGE(""https://docs.google.com/spreadsheets/d/1kfLP0j3INXRa8bTDpcEmoWewMBV61jlFlfzczfjWIgc/edit?usp=sharing"",""อุบลราชธานี!J662"")"),0)</f>
        <v>0</v>
      </c>
      <c r="AP51" s="186">
        <f ca="1">IFERROR(__xludf.DUMMYFUNCTION("IMPORTRANGE(""https://docs.google.com/spreadsheets/d/1kfLP0j3INXRa8bTDpcEmoWewMBV61jlFlfzczfjWIgc/edit?usp=sharing"",""อุบลราชธานี!J663"")"),0)</f>
        <v>0</v>
      </c>
      <c r="AQ51" s="186">
        <f ca="1">IFERROR(__xludf.DUMMYFUNCTION("IMPORTRANGE(""https://docs.google.com/spreadsheets/d/1kfLP0j3INXRa8bTDpcEmoWewMBV61jlFlfzczfjWIgc/edit?usp=sharing"",""อุบลราชธานี!J665"")"),0)</f>
        <v>0</v>
      </c>
      <c r="AR51" s="186">
        <f ca="1">IFERROR(__xludf.DUMMYFUNCTION("IMPORTRANGE(""https://docs.google.com/spreadsheets/d/1kfLP0j3INXRa8bTDpcEmoWewMBV61jlFlfzczfjWIgc/edit?usp=sharing"",""อุบลราชธานี!J666"")"),0)</f>
        <v>0</v>
      </c>
      <c r="AS51" s="186">
        <f ca="1">IFERROR(__xludf.DUMMYFUNCTION("IMPORTRANGE(""https://docs.google.com/spreadsheets/d/1kfLP0j3INXRa8bTDpcEmoWewMBV61jlFlfzczfjWIgc/edit?usp=sharing"",""อุบลราชธานี!J667"")"),0)</f>
        <v>0</v>
      </c>
      <c r="AT51" s="186">
        <f ca="1">IFERROR(__xludf.DUMMYFUNCTION("IMPORTRANGE(""https://docs.google.com/spreadsheets/d/1kfLP0j3INXRa8bTDpcEmoWewMBV61jlFlfzczfjWIgc/edit?usp=sharing"",""อุบลราชธานี!J668"")"),0)</f>
        <v>0</v>
      </c>
      <c r="AU51" s="186">
        <f ca="1">IFERROR(__xludf.DUMMYFUNCTION("IMPORTRANGE(""https://docs.google.com/spreadsheets/d/1kfLP0j3INXRa8bTDpcEmoWewMBV61jlFlfzczfjWIgc/edit?usp=sharing"",""อุบลราชธานี!J669"")"),0)</f>
        <v>0</v>
      </c>
      <c r="AV51" s="186">
        <f ca="1">IFERROR(__xludf.DUMMYFUNCTION("IMPORTRANGE(""https://docs.google.com/spreadsheets/d/1kfLP0j3INXRa8bTDpcEmoWewMBV61jlFlfzczfjWIgc/edit?usp=sharing"",""อุบลราชธานี!J670"")"),0)</f>
        <v>0</v>
      </c>
      <c r="AW51" s="186">
        <v>0</v>
      </c>
      <c r="AX51" s="186">
        <f ca="1">IFERROR(__xludf.DUMMYFUNCTION("IMPORTRANGE(""https://docs.google.com/spreadsheets/d/1kfLP0j3INXRa8bTDpcEmoWewMBV61jlFlfzczfjWIgc/edit?usp=sharing"",""อุบลราชธานี!J671"")"),0)</f>
        <v>0</v>
      </c>
      <c r="AY51" s="186">
        <f ca="1">IFERROR(__xludf.DUMMYFUNCTION("IMPORTRANGE(""https://docs.google.com/spreadsheets/d/1kfLP0j3INXRa8bTDpcEmoWewMBV61jlFlfzczfjWIgc/edit?usp=sharing"",""อุบลราชธานี!J672"")"),0)</f>
        <v>0</v>
      </c>
      <c r="AZ51" s="186">
        <f ca="1">IFERROR(__xludf.DUMMYFUNCTION("IMPORTRANGE(""https://docs.google.com/spreadsheets/d/1kfLP0j3INXRa8bTDpcEmoWewMBV61jlFlfzczfjWIgc/edit?usp=sharing"",""อุบลราชธานี!J673"")"),0)</f>
        <v>0</v>
      </c>
      <c r="BA51" s="357">
        <f t="shared" si="58"/>
        <v>0</v>
      </c>
      <c r="BB51" s="186">
        <f ca="1">IFERROR(__xludf.DUMMYFUNCTION("IMPORTRANGE(""https://docs.google.com/spreadsheets/d/1kfLP0j3INXRa8bTDpcEmoWewMBV61jlFlfzczfjWIgc/edit?usp=sharing"",""อุบลราชธานี!I674"")"),0)</f>
        <v>0</v>
      </c>
      <c r="BC51" s="186">
        <f ca="1">IFERROR(__xludf.DUMMYFUNCTION("IMPORTRANGE(""https://docs.google.com/spreadsheets/d/1kfLP0j3INXRa8bTDpcEmoWewMBV61jlFlfzczfjWIgc/edit?usp=sharing"",""อุบลราชธานี!I675"")"),0)</f>
        <v>0</v>
      </c>
      <c r="BD51" s="186">
        <f ca="1">IFERROR(__xludf.DUMMYFUNCTION("IMPORTRANGE(""https://docs.google.com/spreadsheets/d/1kfLP0j3INXRa8bTDpcEmoWewMBV61jlFlfzczfjWIgc/edit?usp=sharing"",""อุบลราชธานี!J674"")"),0)</f>
        <v>0</v>
      </c>
      <c r="BE51" s="357">
        <f t="shared" ca="1" si="60"/>
        <v>0</v>
      </c>
      <c r="BF51" s="186">
        <f ca="1">IFERROR(__xludf.DUMMYFUNCTION("IMPORTRANGE(""https://docs.google.com/spreadsheets/d/1kfLP0j3INXRa8bTDpcEmoWewMBV61jlFlfzczfjWIgc/edit?usp=sharing"",""อุบลราชธานี!J675"")"),0)</f>
        <v>0</v>
      </c>
      <c r="BG51" s="357">
        <f t="shared" ca="1" si="61"/>
        <v>0</v>
      </c>
      <c r="BH51" s="186">
        <f ca="1">IFERROR(__xludf.DUMMYFUNCTION("IMPORTRANGE(""https://docs.google.com/spreadsheets/d/1kfLP0j3INXRa8bTDpcEmoWewMBV61jlFlfzczfjWIgc/edit?usp=sharing"",""อุบลราชธานี!I676"")"),0)</f>
        <v>0</v>
      </c>
      <c r="BI51" s="186">
        <f ca="1">IFERROR(__xludf.DUMMYFUNCTION("IMPORTRANGE(""https://docs.google.com/spreadsheets/d/1kfLP0j3INXRa8bTDpcEmoWewMBV61jlFlfzczfjWIgc/edit?usp=sharing"",""อุบลราชธานี!I678"")"),0)</f>
        <v>0</v>
      </c>
      <c r="BJ51" s="186">
        <f ca="1">IFERROR(__xludf.DUMMYFUNCTION("IMPORTRANGE(""https://docs.google.com/spreadsheets/d/1kfLP0j3INXRa8bTDpcEmoWewMBV61jlFlfzczfjWIgc/edit?usp=sharing"",""อุบลราชธานี!J676"")"),0)</f>
        <v>0</v>
      </c>
      <c r="BK51" s="186">
        <f ca="1">IFERROR(__xludf.DUMMYFUNCTION("IMPORTRANGE(""https://docs.google.com/spreadsheets/d/1kfLP0j3INXRa8bTDpcEmoWewMBV61jlFlfzczfjWIgc/edit?usp=sharing"",""อุบลราชธานี!J677"")"),0)</f>
        <v>0</v>
      </c>
      <c r="BL51" s="186">
        <f ca="1">IFERROR(__xludf.DUMMYFUNCTION("IMPORTRANGE(""https://docs.google.com/spreadsheets/d/1kfLP0j3INXRa8bTDpcEmoWewMBV61jlFlfzczfjWIgc/edit?usp=sharing"",""อุบลราชธานี!J678"")"),0)</f>
        <v>0</v>
      </c>
      <c r="BM51" s="186">
        <f ca="1">IFERROR(__xludf.DUMMYFUNCTION("IMPORTRANGE(""https://docs.google.com/spreadsheets/d/1kfLP0j3INXRa8bTDpcEmoWewMBV61jlFlfzczfjWIgc/edit?usp=sharing"",""อุบลราชธานี!I679"")"),0)</f>
        <v>0</v>
      </c>
      <c r="BN51" s="186">
        <f ca="1">IFERROR(__xludf.DUMMYFUNCTION("IMPORTRANGE(""https://docs.google.com/spreadsheets/d/1kfLP0j3INXRa8bTDpcEmoWewMBV61jlFlfzczfjWIgc/edit?usp=sharing"",""อุบลราชธานี!I681"")"),0)</f>
        <v>0</v>
      </c>
      <c r="BO51" s="186">
        <f ca="1">IFERROR(__xludf.DUMMYFUNCTION("IMPORTRANGE(""https://docs.google.com/spreadsheets/d/1kfLP0j3INXRa8bTDpcEmoWewMBV61jlFlfzczfjWIgc/edit?usp=sharing"",""อุบลราชธานี!J679"")"),0)</f>
        <v>0</v>
      </c>
      <c r="BP51" s="186">
        <f ca="1">IFERROR(__xludf.DUMMYFUNCTION("IMPORTRANGE(""https://docs.google.com/spreadsheets/d/1kfLP0j3INXRa8bTDpcEmoWewMBV61jlFlfzczfjWIgc/edit?usp=sharing"",""อุบลราชธานี!J680"")"),0)</f>
        <v>0</v>
      </c>
      <c r="BQ51" s="186">
        <f ca="1">IFERROR(__xludf.DUMMYFUNCTION("IMPORTRANGE(""https://docs.google.com/spreadsheets/d/1kfLP0j3INXRa8bTDpcEmoWewMBV61jlFlfzczfjWIgc/edit?usp=sharing"",""อุบลราชธานี!J681"")"),0)</f>
        <v>0</v>
      </c>
      <c r="BR51" s="186">
        <f ca="1">IFERROR(__xludf.DUMMYFUNCTION("IMPORTRANGE(""https://docs.google.com/spreadsheets/d/1kfLP0j3INXRa8bTDpcEmoWewMBV61jlFlfzczfjWIgc/edit?usp=sharing"",""อุบลราชธานี!I682"")"),0)</f>
        <v>0</v>
      </c>
      <c r="BS51" s="186">
        <f ca="1">IFERROR(__xludf.DUMMYFUNCTION("IMPORTRANGE(""https://docs.google.com/spreadsheets/d/1kfLP0j3INXRa8bTDpcEmoWewMBV61jlFlfzczfjWIgc/edit?usp=sharing"",""อุบลราชธานี!J682"")"),0)</f>
        <v>0</v>
      </c>
      <c r="BT51" s="357">
        <f t="shared" ca="1" si="63"/>
        <v>0</v>
      </c>
      <c r="BU51" s="186">
        <f ca="1">IFERROR(__xludf.DUMMYFUNCTION("IMPORTRANGE(""https://docs.google.com/spreadsheets/d/1kfLP0j3INXRa8bTDpcEmoWewMBV61jlFlfzczfjWIgc/edit?usp=sharing"",""อุบลราชธานี!J683"")"),0)</f>
        <v>0</v>
      </c>
      <c r="BV51" s="186">
        <f ca="1">IFERROR(__xludf.DUMMYFUNCTION("IMPORTRANGE(""https://docs.google.com/spreadsheets/d/1kfLP0j3INXRa8bTDpcEmoWewMBV61jlFlfzczfjWIgc/edit?usp=sharing"",""อุบลราชธานี!J684"")"),0)</f>
        <v>0</v>
      </c>
      <c r="BW51" s="186">
        <f ca="1">IFERROR(__xludf.DUMMYFUNCTION("IMPORTRANGE(""https://docs.google.com/spreadsheets/d/1kfLP0j3INXRa8bTDpcEmoWewMBV61jlFlfzczfjWIgc/edit?usp=sharing"",""อุบลราชธานี!J685"")"),0)</f>
        <v>0</v>
      </c>
      <c r="BX51" s="186">
        <f ca="1">IFERROR(__xludf.DUMMYFUNCTION("IMPORTRANGE(""https://docs.google.com/spreadsheets/d/1kfLP0j3INXRa8bTDpcEmoWewMBV61jlFlfzczfjWIgc/edit?usp=sharing"",""อุบลราชธานี!J686"")"),0)</f>
        <v>0</v>
      </c>
      <c r="BY51" s="186">
        <f ca="1">IFERROR(__xludf.DUMMYFUNCTION("IMPORTRANGE(""https://docs.google.com/spreadsheets/d/1kfLP0j3INXRa8bTDpcEmoWewMBV61jlFlfzczfjWIgc/edit?usp=sharing"",""อุบลราชธานี!J687"")"),0)</f>
        <v>0</v>
      </c>
      <c r="BZ51" s="186">
        <f ca="1">IFERROR(__xludf.DUMMYFUNCTION("IMPORTRANGE(""https://docs.google.com/spreadsheets/d/1kfLP0j3INXRa8bTDpcEmoWewMBV61jlFlfzczfjWIgc/edit?usp=sharing"",""อุบลราชธานี!J688"")"),0)</f>
        <v>0</v>
      </c>
    </row>
    <row r="52" spans="1:78" ht="21.75" customHeight="1" x14ac:dyDescent="0.3">
      <c r="A52" s="650" t="s">
        <v>78</v>
      </c>
      <c r="B52" s="583"/>
      <c r="C52" s="194">
        <f t="shared" si="38"/>
        <v>0</v>
      </c>
      <c r="D52" s="194">
        <f t="shared" ref="D52:I52" si="77">SUM(D53:D73)</f>
        <v>0</v>
      </c>
      <c r="E52" s="194">
        <f t="shared" si="77"/>
        <v>0</v>
      </c>
      <c r="F52" s="194">
        <f t="shared" si="77"/>
        <v>0</v>
      </c>
      <c r="G52" s="194">
        <f t="shared" si="77"/>
        <v>0</v>
      </c>
      <c r="H52" s="194">
        <f t="shared" si="77"/>
        <v>0</v>
      </c>
      <c r="I52" s="194">
        <f t="shared" si="77"/>
        <v>0</v>
      </c>
      <c r="J52" s="194">
        <f t="shared" si="40"/>
        <v>0</v>
      </c>
      <c r="K52" s="195">
        <f t="shared" si="41"/>
        <v>0</v>
      </c>
      <c r="L52" s="194">
        <f>SUM(L53:L73)</f>
        <v>0</v>
      </c>
      <c r="M52" s="120">
        <f t="shared" si="42"/>
        <v>0</v>
      </c>
      <c r="N52" s="120">
        <f t="shared" si="43"/>
        <v>0</v>
      </c>
      <c r="O52" s="119">
        <f>SUM(O53:O73)</f>
        <v>0</v>
      </c>
      <c r="P52" s="119">
        <f t="shared" si="44"/>
        <v>0</v>
      </c>
      <c r="Q52" s="120">
        <f t="shared" si="45"/>
        <v>0</v>
      </c>
      <c r="R52" s="120">
        <f t="shared" ref="R52:T52" ca="1" si="78">SUM(R53:R73)</f>
        <v>417660</v>
      </c>
      <c r="S52" s="120">
        <f t="shared" ca="1" si="78"/>
        <v>0</v>
      </c>
      <c r="T52" s="120">
        <f t="shared" ca="1" si="78"/>
        <v>1100</v>
      </c>
      <c r="U52" s="120">
        <f t="shared" ca="1" si="47"/>
        <v>0.26337212086386058</v>
      </c>
      <c r="V52" s="120">
        <f t="shared" ca="1" si="48"/>
        <v>0</v>
      </c>
      <c r="W52" s="347">
        <f t="shared" ref="W52:X52" ca="1" si="79">SUM(W53:W73)</f>
        <v>21</v>
      </c>
      <c r="X52" s="451">
        <f t="shared" ca="1" si="79"/>
        <v>0</v>
      </c>
      <c r="Y52" s="40">
        <f t="shared" ca="1" si="50"/>
        <v>0</v>
      </c>
      <c r="Z52" s="161">
        <f t="shared" ref="Z52:AA52" ca="1" si="80">SUM(Z53:Z73)</f>
        <v>122</v>
      </c>
      <c r="AA52" s="451">
        <f t="shared" ca="1" si="80"/>
        <v>7</v>
      </c>
      <c r="AB52" s="40">
        <f t="shared" ca="1" si="52"/>
        <v>5.7377049180327866</v>
      </c>
      <c r="AC52" s="161">
        <f t="shared" ref="AC52:AD52" ca="1" si="81">SUM(AC53:AC73)</f>
        <v>955</v>
      </c>
      <c r="AD52" s="161">
        <f t="shared" ca="1" si="81"/>
        <v>121.77</v>
      </c>
      <c r="AE52" s="40">
        <f t="shared" ca="1" si="54"/>
        <v>12.750785340314136</v>
      </c>
      <c r="AF52" s="40">
        <f t="shared" ref="AF52:AM52" ca="1" si="82">SUM(AF53:AF73)</f>
        <v>21</v>
      </c>
      <c r="AG52" s="40">
        <f t="shared" ca="1" si="82"/>
        <v>22</v>
      </c>
      <c r="AH52" s="40">
        <f t="shared" ca="1" si="82"/>
        <v>121.77</v>
      </c>
      <c r="AI52" s="40">
        <f t="shared" ca="1" si="82"/>
        <v>0</v>
      </c>
      <c r="AJ52" s="40">
        <f t="shared" ca="1" si="82"/>
        <v>0</v>
      </c>
      <c r="AK52" s="40">
        <f t="shared" ca="1" si="82"/>
        <v>0</v>
      </c>
      <c r="AL52" s="161">
        <f t="shared" ca="1" si="82"/>
        <v>1250</v>
      </c>
      <c r="AM52" s="161">
        <f t="shared" ca="1" si="82"/>
        <v>74.88</v>
      </c>
      <c r="AN52" s="40">
        <f t="shared" ca="1" si="56"/>
        <v>5.9904000000000002</v>
      </c>
      <c r="AO52" s="161">
        <f t="shared" ref="AO52:AZ52" ca="1" si="83">SUM(AO53:AO73)</f>
        <v>0</v>
      </c>
      <c r="AP52" s="161">
        <f t="shared" ca="1" si="83"/>
        <v>0</v>
      </c>
      <c r="AQ52" s="161">
        <f t="shared" ca="1" si="83"/>
        <v>11</v>
      </c>
      <c r="AR52" s="161">
        <f t="shared" ca="1" si="83"/>
        <v>12</v>
      </c>
      <c r="AS52" s="161">
        <f t="shared" ca="1" si="83"/>
        <v>74.88</v>
      </c>
      <c r="AT52" s="161">
        <f t="shared" ca="1" si="83"/>
        <v>0</v>
      </c>
      <c r="AU52" s="161">
        <f t="shared" ca="1" si="83"/>
        <v>0</v>
      </c>
      <c r="AV52" s="161">
        <f t="shared" ca="1" si="83"/>
        <v>0</v>
      </c>
      <c r="AW52" s="161">
        <f t="shared" si="83"/>
        <v>0</v>
      </c>
      <c r="AX52" s="451">
        <f t="shared" ca="1" si="83"/>
        <v>35</v>
      </c>
      <c r="AY52" s="451">
        <f t="shared" ca="1" si="83"/>
        <v>40</v>
      </c>
      <c r="AZ52" s="451">
        <f t="shared" ca="1" si="83"/>
        <v>281.16000000000003</v>
      </c>
      <c r="BA52" s="40">
        <f t="shared" si="58"/>
        <v>0</v>
      </c>
      <c r="BB52" s="161">
        <f t="shared" ref="BB52:BD52" ca="1" si="84">SUM(BB53:BB73)</f>
        <v>268</v>
      </c>
      <c r="BC52" s="161">
        <f t="shared" ca="1" si="84"/>
        <v>2703</v>
      </c>
      <c r="BD52" s="451">
        <f t="shared" ca="1" si="84"/>
        <v>85</v>
      </c>
      <c r="BE52" s="40">
        <f t="shared" ca="1" si="60"/>
        <v>31.71641791044776</v>
      </c>
      <c r="BF52" s="451">
        <f ca="1">SUM(BF53:BF73)</f>
        <v>794.88</v>
      </c>
      <c r="BG52" s="40">
        <f t="shared" ca="1" si="61"/>
        <v>29.407325194228633</v>
      </c>
      <c r="BH52" s="161">
        <f t="shared" ref="BH52:BS52" ca="1" si="85">SUM(BH53:BH73)</f>
        <v>173</v>
      </c>
      <c r="BI52" s="161">
        <f t="shared" ca="1" si="85"/>
        <v>1751</v>
      </c>
      <c r="BJ52" s="451">
        <f t="shared" ca="1" si="85"/>
        <v>34</v>
      </c>
      <c r="BK52" s="451">
        <f t="shared" ca="1" si="85"/>
        <v>42</v>
      </c>
      <c r="BL52" s="451">
        <f t="shared" ca="1" si="85"/>
        <v>483.94000000000005</v>
      </c>
      <c r="BM52" s="161">
        <f t="shared" ca="1" si="85"/>
        <v>95</v>
      </c>
      <c r="BN52" s="161">
        <f t="shared" ca="1" si="85"/>
        <v>952</v>
      </c>
      <c r="BO52" s="451">
        <f t="shared" ca="1" si="85"/>
        <v>51</v>
      </c>
      <c r="BP52" s="451">
        <f t="shared" ca="1" si="85"/>
        <v>60</v>
      </c>
      <c r="BQ52" s="451">
        <f t="shared" ca="1" si="85"/>
        <v>310.94</v>
      </c>
      <c r="BR52" s="161">
        <f t="shared" ca="1" si="85"/>
        <v>657</v>
      </c>
      <c r="BS52" s="161">
        <f t="shared" ca="1" si="85"/>
        <v>80.61</v>
      </c>
      <c r="BT52" s="40">
        <f t="shared" ca="1" si="63"/>
        <v>12.269406392694064</v>
      </c>
      <c r="BU52" s="161">
        <f t="shared" ref="BU52:BZ52" ca="1" si="86">SUM(BU53:BU73)</f>
        <v>11</v>
      </c>
      <c r="BV52" s="161">
        <f t="shared" ca="1" si="86"/>
        <v>10</v>
      </c>
      <c r="BW52" s="161">
        <f t="shared" ca="1" si="86"/>
        <v>80.61</v>
      </c>
      <c r="BX52" s="161">
        <f t="shared" ca="1" si="86"/>
        <v>0</v>
      </c>
      <c r="BY52" s="161">
        <f t="shared" ca="1" si="86"/>
        <v>0</v>
      </c>
      <c r="BZ52" s="161">
        <f t="shared" ca="1" si="86"/>
        <v>0</v>
      </c>
    </row>
    <row r="53" spans="1:78" ht="21.75" customHeight="1" x14ac:dyDescent="0.3">
      <c r="A53" s="77">
        <v>1</v>
      </c>
      <c r="B53" s="78" t="s">
        <v>79</v>
      </c>
      <c r="C53" s="174">
        <f t="shared" si="38"/>
        <v>0</v>
      </c>
      <c r="D53" s="175">
        <f t="shared" ref="D53:D73" si="87">+E53+F53</f>
        <v>0</v>
      </c>
      <c r="E53" s="403">
        <v>0</v>
      </c>
      <c r="F53" s="403">
        <v>0</v>
      </c>
      <c r="G53" s="219">
        <v>0</v>
      </c>
      <c r="H53" s="219">
        <v>0</v>
      </c>
      <c r="I53" s="219">
        <v>0</v>
      </c>
      <c r="J53" s="177">
        <f t="shared" si="40"/>
        <v>0</v>
      </c>
      <c r="K53" s="178">
        <f t="shared" si="41"/>
        <v>0</v>
      </c>
      <c r="L53" s="219">
        <v>0</v>
      </c>
      <c r="M53" s="87">
        <f t="shared" si="42"/>
        <v>0</v>
      </c>
      <c r="N53" s="87">
        <f t="shared" si="43"/>
        <v>0</v>
      </c>
      <c r="O53" s="403">
        <v>0</v>
      </c>
      <c r="P53" s="86">
        <f t="shared" si="44"/>
        <v>0</v>
      </c>
      <c r="Q53" s="87">
        <f t="shared" si="45"/>
        <v>0</v>
      </c>
      <c r="R53" s="87">
        <f ca="1">IFERROR(__xludf.DUMMYFUNCTION("IMPORTRANGE(""https://docs.google.com/spreadsheets/d/13wPX838HrBrQMCywv1BsuMkt4PEKTChp52zj44s2izQ/edit?usp=sharing"",""กาญจนบุรี!Q642"")"),7720)</f>
        <v>7720</v>
      </c>
      <c r="S53" s="87">
        <f ca="1">IFERROR(__xludf.DUMMYFUNCTION("IMPORTRANGE(""https://docs.google.com/spreadsheets/d/13wPX838HrBrQMCywv1BsuMkt4PEKTChp52zj44s2izQ/edit?usp=sharing"",""กาญจนบุรี!R642"")"),0)</f>
        <v>0</v>
      </c>
      <c r="T53" s="87">
        <f ca="1">IFERROR(__xludf.DUMMYFUNCTION("IMPORTRANGE(""https://docs.google.com/spreadsheets/d/13wPX838HrBrQMCywv1BsuMkt4PEKTChp52zj44s2izQ/edit?usp=sharing"",""กาญจนบุรี!S642"")"),0)</f>
        <v>0</v>
      </c>
      <c r="U53" s="87">
        <f t="shared" ca="1" si="47"/>
        <v>0</v>
      </c>
      <c r="V53" s="87">
        <f t="shared" ca="1" si="48"/>
        <v>0</v>
      </c>
      <c r="W53" s="353">
        <f ca="1">IFERROR(__xludf.DUMMYFUNCTION("IMPORTRANGE(""https://docs.google.com/spreadsheets/d/13wPX838HrBrQMCywv1BsuMkt4PEKTChp52zj44s2izQ/edit?usp=sharing"",""กาญจนบุรี!I652"")"),0)</f>
        <v>0</v>
      </c>
      <c r="X53" s="177">
        <f ca="1">IFERROR(__xludf.DUMMYFUNCTION("IMPORTRANGE(""https://docs.google.com/spreadsheets/d/13wPX838HrBrQMCywv1BsuMkt4PEKTChp52zj44s2izQ/edit?usp=sharing"",""กาญจนบุรี!J652"")"),0)</f>
        <v>0</v>
      </c>
      <c r="Y53" s="354">
        <f t="shared" ca="1" si="50"/>
        <v>0</v>
      </c>
      <c r="Z53" s="177">
        <f ca="1">IFERROR(__xludf.DUMMYFUNCTION("IMPORTRANGE(""https://docs.google.com/spreadsheets/d/13wPX838HrBrQMCywv1BsuMkt4PEKTChp52zj44s2izQ/edit?usp=sharing"",""กาญจนบุรี!I653"")"),0)</f>
        <v>0</v>
      </c>
      <c r="AA53" s="177">
        <f ca="1">IFERROR(__xludf.DUMMYFUNCTION("IMPORTRANGE(""https://docs.google.com/spreadsheets/d/13wPX838HrBrQMCywv1BsuMkt4PEKTChp52zj44s2izQ/edit?usp=sharing"",""กาญจนบุรี!J653"")"),0)</f>
        <v>0</v>
      </c>
      <c r="AB53" s="354">
        <f t="shared" ca="1" si="52"/>
        <v>0</v>
      </c>
      <c r="AC53" s="177">
        <f ca="1">IFERROR(__xludf.DUMMYFUNCTION("IMPORTRANGE(""https://docs.google.com/spreadsheets/d/13wPX838HrBrQMCywv1BsuMkt4PEKTChp52zj44s2izQ/edit?usp=sharing"",""กาญจนบุรี!I654"")"),0)</f>
        <v>0</v>
      </c>
      <c r="AD53" s="177">
        <f ca="1">IFERROR(__xludf.DUMMYFUNCTION("IMPORTRANGE(""https://docs.google.com/spreadsheets/d/13wPX838HrBrQMCywv1BsuMkt4PEKTChp52zj44s2izQ/edit?usp=sharing"",""กาญจนบุรี!J654"")"),0)</f>
        <v>0</v>
      </c>
      <c r="AE53" s="354">
        <f t="shared" ca="1" si="54"/>
        <v>0</v>
      </c>
      <c r="AF53" s="354">
        <f ca="1">IFERROR(__xludf.DUMMYFUNCTION("IMPORTRANGE(""https://docs.google.com/spreadsheets/d/13wPX838HrBrQMCywv1BsuMkt4PEKTChp52zj44s2izQ/edit?usp=sharing"",""กาญจนบุรี!J655"")"),0)</f>
        <v>0</v>
      </c>
      <c r="AG53" s="354">
        <f ca="1">IFERROR(__xludf.DUMMYFUNCTION("IMPORTRANGE(""https://docs.google.com/spreadsheets/d/13wPX838HrBrQMCywv1BsuMkt4PEKTChp52zj44s2izQ/edit?usp=sharing"",""กาญจนบุรี!J656"")"),0)</f>
        <v>0</v>
      </c>
      <c r="AH53" s="354">
        <f ca="1">IFERROR(__xludf.DUMMYFUNCTION("IMPORTRANGE(""https://docs.google.com/spreadsheets/d/13wPX838HrBrQMCywv1BsuMkt4PEKTChp52zj44s2izQ/edit?usp=sharing"",""กาญจนบุรี!J657"")"),0)</f>
        <v>0</v>
      </c>
      <c r="AI53" s="354">
        <f ca="1">IFERROR(__xludf.DUMMYFUNCTION("IMPORTRANGE(""https://docs.google.com/spreadsheets/d/13wPX838HrBrQMCywv1BsuMkt4PEKTChp52zj44s2izQ/edit?usp=sharing"",""กาญจนบุรี!J658"")"),0)</f>
        <v>0</v>
      </c>
      <c r="AJ53" s="354">
        <f ca="1">IFERROR(__xludf.DUMMYFUNCTION("IMPORTRANGE(""https://docs.google.com/spreadsheets/d/13wPX838HrBrQMCywv1BsuMkt4PEKTChp52zj44s2izQ/edit?usp=sharing"",""กาญจนบุรี!J659"")"),0)</f>
        <v>0</v>
      </c>
      <c r="AK53" s="354">
        <f ca="1">IFERROR(__xludf.DUMMYFUNCTION("IMPORTRANGE(""https://docs.google.com/spreadsheets/d/13wPX838HrBrQMCywv1BsuMkt4PEKTChp52zj44s2izQ/edit?usp=sharing"",""กาญจนบุรี!J660"")"),0)</f>
        <v>0</v>
      </c>
      <c r="AL53" s="177">
        <f ca="1">IFERROR(__xludf.DUMMYFUNCTION("IMPORTRANGE(""https://docs.google.com/spreadsheets/d/13wPX838HrBrQMCywv1BsuMkt4PEKTChp52zj44s2izQ/edit?usp=sharing"",""กาญจนบุรี!I661"")"),0)</f>
        <v>0</v>
      </c>
      <c r="AM53" s="177">
        <f ca="1">IFERROR(__xludf.DUMMYFUNCTION("IMPORTRANGE(""https://docs.google.com/spreadsheets/d/13wPX838HrBrQMCywv1BsuMkt4PEKTChp52zj44s2izQ/edit?usp=sharing"",""กาญจนบุรี!J661"")"),0)</f>
        <v>0</v>
      </c>
      <c r="AN53" s="354">
        <f t="shared" ca="1" si="56"/>
        <v>0</v>
      </c>
      <c r="AO53" s="177">
        <f ca="1">IFERROR(__xludf.DUMMYFUNCTION("IMPORTRANGE(""https://docs.google.com/spreadsheets/d/13wPX838HrBrQMCywv1BsuMkt4PEKTChp52zj44s2izQ/edit?usp=sharing"",""กาญจนบุรี!J662"")"),0)</f>
        <v>0</v>
      </c>
      <c r="AP53" s="177">
        <f ca="1">IFERROR(__xludf.DUMMYFUNCTION("IMPORTRANGE(""https://docs.google.com/spreadsheets/d/13wPX838HrBrQMCywv1BsuMkt4PEKTChp52zj44s2izQ/edit?usp=sharing"",""กาญจนบุรี!J663"")"),0)</f>
        <v>0</v>
      </c>
      <c r="AQ53" s="177">
        <f ca="1">IFERROR(__xludf.DUMMYFUNCTION("IMPORTRANGE(""https://docs.google.com/spreadsheets/d/13wPX838HrBrQMCywv1BsuMkt4PEKTChp52zj44s2izQ/edit?usp=sharing"",""กาญจนบุรี!J665"")"),0)</f>
        <v>0</v>
      </c>
      <c r="AR53" s="177">
        <f ca="1">IFERROR(__xludf.DUMMYFUNCTION("IMPORTRANGE(""https://docs.google.com/spreadsheets/d/13wPX838HrBrQMCywv1BsuMkt4PEKTChp52zj44s2izQ/edit?usp=sharing"",""กาญจนบุรี!J666"")"),0)</f>
        <v>0</v>
      </c>
      <c r="AS53" s="177">
        <f ca="1">IFERROR(__xludf.DUMMYFUNCTION("IMPORTRANGE(""https://docs.google.com/spreadsheets/d/13wPX838HrBrQMCywv1BsuMkt4PEKTChp52zj44s2izQ/edit?usp=sharing"",""กาญจนบุรี!J667"")"),0)</f>
        <v>0</v>
      </c>
      <c r="AT53" s="177">
        <f ca="1">IFERROR(__xludf.DUMMYFUNCTION("IMPORTRANGE(""https://docs.google.com/spreadsheets/d/13wPX838HrBrQMCywv1BsuMkt4PEKTChp52zj44s2izQ/edit?usp=sharing"",""กาญจนบุรี!J668"")"),0)</f>
        <v>0</v>
      </c>
      <c r="AU53" s="177">
        <f ca="1">IFERROR(__xludf.DUMMYFUNCTION("IMPORTRANGE(""https://docs.google.com/spreadsheets/d/13wPX838HrBrQMCywv1BsuMkt4PEKTChp52zj44s2izQ/edit?usp=sharing"",""กาญจนบุรี!J669"")"),0)</f>
        <v>0</v>
      </c>
      <c r="AV53" s="177">
        <f ca="1">IFERROR(__xludf.DUMMYFUNCTION("IMPORTRANGE(""https://docs.google.com/spreadsheets/d/13wPX838HrBrQMCywv1BsuMkt4PEKTChp52zj44s2izQ/edit?usp=sharing"",""กาญจนบุรี!J670"")"),0)</f>
        <v>0</v>
      </c>
      <c r="AW53" s="177">
        <v>0</v>
      </c>
      <c r="AX53" s="177">
        <f ca="1">IFERROR(__xludf.DUMMYFUNCTION("IMPORTRANGE(""https://docs.google.com/spreadsheets/d/13wPX838HrBrQMCywv1BsuMkt4PEKTChp52zj44s2izQ/edit?usp=sharing"",""กาญจนบุรี!J671"")"),0)</f>
        <v>0</v>
      </c>
      <c r="AY53" s="177">
        <f ca="1">IFERROR(__xludf.DUMMYFUNCTION("IMPORTRANGE(""https://docs.google.com/spreadsheets/d/13wPX838HrBrQMCywv1BsuMkt4PEKTChp52zj44s2izQ/edit?usp=sharing"",""กาญจนบุรี!J672"")"),0)</f>
        <v>0</v>
      </c>
      <c r="AZ53" s="177">
        <f ca="1">IFERROR(__xludf.DUMMYFUNCTION("IMPORTRANGE(""https://docs.google.com/spreadsheets/d/13wPX838HrBrQMCywv1BsuMkt4PEKTChp52zj44s2izQ/edit?usp=sharing"",""กาญจนบุรี!J673"")"),0)</f>
        <v>0</v>
      </c>
      <c r="BA53" s="354">
        <f t="shared" si="58"/>
        <v>0</v>
      </c>
      <c r="BB53" s="177">
        <f ca="1">IFERROR(__xludf.DUMMYFUNCTION("IMPORTRANGE(""https://docs.google.com/spreadsheets/d/13wPX838HrBrQMCywv1BsuMkt4PEKTChp52zj44s2izQ/edit?usp=sharing"",""กาญจนบุรี!I674"")"),6)</f>
        <v>6</v>
      </c>
      <c r="BC53" s="177">
        <f ca="1">IFERROR(__xludf.DUMMYFUNCTION("IMPORTRANGE(""https://docs.google.com/spreadsheets/d/13wPX838HrBrQMCywv1BsuMkt4PEKTChp52zj44s2izQ/edit?usp=sharing"",""กาญจนบุรี!I675"")"),60)</f>
        <v>60</v>
      </c>
      <c r="BD53" s="177">
        <f ca="1">IFERROR(__xludf.DUMMYFUNCTION("IMPORTRANGE(""https://docs.google.com/spreadsheets/d/13wPX838HrBrQMCywv1BsuMkt4PEKTChp52zj44s2izQ/edit?usp=sharing"",""กาญจนบุรี!J674"")"),0)</f>
        <v>0</v>
      </c>
      <c r="BE53" s="354">
        <f t="shared" ca="1" si="60"/>
        <v>0</v>
      </c>
      <c r="BF53" s="177">
        <f ca="1">IFERROR(__xludf.DUMMYFUNCTION("IMPORTRANGE(""https://docs.google.com/spreadsheets/d/13wPX838HrBrQMCywv1BsuMkt4PEKTChp52zj44s2izQ/edit?usp=sharing"",""กาญจนบุรี!J675"")"),0)</f>
        <v>0</v>
      </c>
      <c r="BG53" s="354">
        <f t="shared" ca="1" si="61"/>
        <v>0</v>
      </c>
      <c r="BH53" s="177">
        <f ca="1">IFERROR(__xludf.DUMMYFUNCTION("IMPORTRANGE(""https://docs.google.com/spreadsheets/d/13wPX838HrBrQMCywv1BsuMkt4PEKTChp52zj44s2izQ/edit?usp=sharing"",""กาญจนบุรี!I676"")"),3)</f>
        <v>3</v>
      </c>
      <c r="BI53" s="177">
        <f ca="1">IFERROR(__xludf.DUMMYFUNCTION("IMPORTRANGE(""https://docs.google.com/spreadsheets/d/13wPX838HrBrQMCywv1BsuMkt4PEKTChp52zj44s2izQ/edit?usp=sharing"",""กาญจนบุรี!I678"")"),30)</f>
        <v>30</v>
      </c>
      <c r="BJ53" s="177">
        <f ca="1">IFERROR(__xludf.DUMMYFUNCTION("IMPORTRANGE(""https://docs.google.com/spreadsheets/d/13wPX838HrBrQMCywv1BsuMkt4PEKTChp52zj44s2izQ/edit?usp=sharing"",""กาญจนบุรี!J676"")"),0)</f>
        <v>0</v>
      </c>
      <c r="BK53" s="177">
        <f ca="1">IFERROR(__xludf.DUMMYFUNCTION("IMPORTRANGE(""https://docs.google.com/spreadsheets/d/13wPX838HrBrQMCywv1BsuMkt4PEKTChp52zj44s2izQ/edit?usp=sharing"",""กาญจนบุรี!J677"")"),0)</f>
        <v>0</v>
      </c>
      <c r="BL53" s="177">
        <f ca="1">IFERROR(__xludf.DUMMYFUNCTION("IMPORTRANGE(""https://docs.google.com/spreadsheets/d/13wPX838HrBrQMCywv1BsuMkt4PEKTChp52zj44s2izQ/edit?usp=sharing"",""กาญจนบุรี!J678"")"),0)</f>
        <v>0</v>
      </c>
      <c r="BM53" s="177">
        <f ca="1">IFERROR(__xludf.DUMMYFUNCTION("IMPORTRANGE(""https://docs.google.com/spreadsheets/d/13wPX838HrBrQMCywv1BsuMkt4PEKTChp52zj44s2izQ/edit?usp=sharing"",""กาญจนบุรี!I679"")"),3)</f>
        <v>3</v>
      </c>
      <c r="BN53" s="177">
        <f ca="1">IFERROR(__xludf.DUMMYFUNCTION("IMPORTRANGE(""https://docs.google.com/spreadsheets/d/13wPX838HrBrQMCywv1BsuMkt4PEKTChp52zj44s2izQ/edit?usp=sharing"",""กาญจนบุรี!I681"")"),30)</f>
        <v>30</v>
      </c>
      <c r="BO53" s="177">
        <f ca="1">IFERROR(__xludf.DUMMYFUNCTION("IMPORTRANGE(""https://docs.google.com/spreadsheets/d/13wPX838HrBrQMCywv1BsuMkt4PEKTChp52zj44s2izQ/edit?usp=sharing"",""กาญจนบุรี!J679"")"),0)</f>
        <v>0</v>
      </c>
      <c r="BP53" s="177">
        <f ca="1">IFERROR(__xludf.DUMMYFUNCTION("IMPORTRANGE(""https://docs.google.com/spreadsheets/d/13wPX838HrBrQMCywv1BsuMkt4PEKTChp52zj44s2izQ/edit?usp=sharing"",""กาญจนบุรี!J680"")"),0)</f>
        <v>0</v>
      </c>
      <c r="BQ53" s="177">
        <f ca="1">IFERROR(__xludf.DUMMYFUNCTION("IMPORTRANGE(""https://docs.google.com/spreadsheets/d/13wPX838HrBrQMCywv1BsuMkt4PEKTChp52zj44s2izQ/edit?usp=sharing"",""กาญจนบุรี!J681"")"),0)</f>
        <v>0</v>
      </c>
      <c r="BR53" s="177">
        <f ca="1">IFERROR(__xludf.DUMMYFUNCTION("IMPORTRANGE(""https://docs.google.com/spreadsheets/d/13wPX838HrBrQMCywv1BsuMkt4PEKTChp52zj44s2izQ/edit?usp=sharing"",""กาญจนบุรี!I682"")"),30)</f>
        <v>30</v>
      </c>
      <c r="BS53" s="177">
        <f ca="1">IFERROR(__xludf.DUMMYFUNCTION("IMPORTRANGE(""https://docs.google.com/spreadsheets/d/13wPX838HrBrQMCywv1BsuMkt4PEKTChp52zj44s2izQ/edit?usp=sharing"",""กาญจนบุรี!J682"")"),0)</f>
        <v>0</v>
      </c>
      <c r="BT53" s="354">
        <f t="shared" ca="1" si="63"/>
        <v>0</v>
      </c>
      <c r="BU53" s="177">
        <f ca="1">IFERROR(__xludf.DUMMYFUNCTION("IMPORTRANGE(""https://docs.google.com/spreadsheets/d/13wPX838HrBrQMCywv1BsuMkt4PEKTChp52zj44s2izQ/edit?usp=sharing"",""กาญจนบุรี!J683"")"),0)</f>
        <v>0</v>
      </c>
      <c r="BV53" s="177">
        <f ca="1">IFERROR(__xludf.DUMMYFUNCTION("IMPORTRANGE(""https://docs.google.com/spreadsheets/d/13wPX838HrBrQMCywv1BsuMkt4PEKTChp52zj44s2izQ/edit?usp=sharing"",""กาญจนบุรี!J684"")"),0)</f>
        <v>0</v>
      </c>
      <c r="BW53" s="177">
        <f ca="1">IFERROR(__xludf.DUMMYFUNCTION("IMPORTRANGE(""https://docs.google.com/spreadsheets/d/13wPX838HrBrQMCywv1BsuMkt4PEKTChp52zj44s2izQ/edit?usp=sharing"",""กาญจนบุรี!J685"")"),0)</f>
        <v>0</v>
      </c>
      <c r="BX53" s="177">
        <f ca="1">IFERROR(__xludf.DUMMYFUNCTION("IMPORTRANGE(""https://docs.google.com/spreadsheets/d/13wPX838HrBrQMCywv1BsuMkt4PEKTChp52zj44s2izQ/edit?usp=sharing"",""กาญจนบุรี!J686"")"),0)</f>
        <v>0</v>
      </c>
      <c r="BY53" s="177">
        <f ca="1">IFERROR(__xludf.DUMMYFUNCTION("IMPORTRANGE(""https://docs.google.com/spreadsheets/d/13wPX838HrBrQMCywv1BsuMkt4PEKTChp52zj44s2izQ/edit?usp=sharing"",""กาญจนบุรี!J687"")"),0)</f>
        <v>0</v>
      </c>
      <c r="BZ53" s="177">
        <f ca="1">IFERROR(__xludf.DUMMYFUNCTION("IMPORTRANGE(""https://docs.google.com/spreadsheets/d/13wPX838HrBrQMCywv1BsuMkt4PEKTChp52zj44s2izQ/edit?usp=sharing"",""กาญจนบุรี!J688"")"),0)</f>
        <v>0</v>
      </c>
    </row>
    <row r="54" spans="1:78" ht="21.75" customHeight="1" x14ac:dyDescent="0.3">
      <c r="A54" s="89">
        <v>2</v>
      </c>
      <c r="B54" s="90" t="s">
        <v>80</v>
      </c>
      <c r="C54" s="174">
        <f t="shared" si="38"/>
        <v>0</v>
      </c>
      <c r="D54" s="175">
        <f t="shared" si="87"/>
        <v>0</v>
      </c>
      <c r="E54" s="403">
        <v>0</v>
      </c>
      <c r="F54" s="403">
        <v>0</v>
      </c>
      <c r="G54" s="403">
        <v>0</v>
      </c>
      <c r="H54" s="403">
        <v>0</v>
      </c>
      <c r="I54" s="403">
        <v>0</v>
      </c>
      <c r="J54" s="176">
        <f t="shared" si="40"/>
        <v>0</v>
      </c>
      <c r="K54" s="179">
        <f t="shared" si="41"/>
        <v>0</v>
      </c>
      <c r="L54" s="403">
        <v>0</v>
      </c>
      <c r="M54" s="87">
        <f t="shared" si="42"/>
        <v>0</v>
      </c>
      <c r="N54" s="87">
        <f t="shared" si="43"/>
        <v>0</v>
      </c>
      <c r="O54" s="403">
        <v>0</v>
      </c>
      <c r="P54" s="86">
        <f t="shared" si="44"/>
        <v>0</v>
      </c>
      <c r="Q54" s="87">
        <f t="shared" si="45"/>
        <v>0</v>
      </c>
      <c r="R54" s="87">
        <f ca="1">IFERROR(__xludf.DUMMYFUNCTION("IMPORTRANGE(""https://docs.google.com/spreadsheets/d/1ddFKvqj1W1NEiWytbGlB1zMx_ykJDVtmfEQ-6-lIUBA/edit?usp=sharing"",""จันทบุรี!Q642"")"),8220)</f>
        <v>8220</v>
      </c>
      <c r="S54" s="87">
        <f ca="1">IFERROR(__xludf.DUMMYFUNCTION("IMPORTRANGE(""https://docs.google.com/spreadsheets/d/1ddFKvqj1W1NEiWytbGlB1zMx_ykJDVtmfEQ-6-lIUBA/edit?usp=sharing"",""จันทบุรี!R642"")"),0)</f>
        <v>0</v>
      </c>
      <c r="T54" s="87">
        <f ca="1">IFERROR(__xludf.DUMMYFUNCTION("IMPORTRANGE(""https://docs.google.com/spreadsheets/d/1ddFKvqj1W1NEiWytbGlB1zMx_ykJDVtmfEQ-6-lIUBA/edit?usp=sharing"",""จันทบุรี!S642"")"),740)</f>
        <v>740</v>
      </c>
      <c r="U54" s="87">
        <f t="shared" ca="1" si="47"/>
        <v>9.002433090024331</v>
      </c>
      <c r="V54" s="87">
        <f t="shared" ca="1" si="48"/>
        <v>0</v>
      </c>
      <c r="W54" s="353">
        <f ca="1">IFERROR(__xludf.DUMMYFUNCTION("IMPORTRANGE(""https://docs.google.com/spreadsheets/d/1ddFKvqj1W1NEiWytbGlB1zMx_ykJDVtmfEQ-6-lIUBA/edit?usp=sharing"",""จันทบุรี!I652"")"),10)</f>
        <v>10</v>
      </c>
      <c r="X54" s="177">
        <f ca="1">IFERROR(__xludf.DUMMYFUNCTION("IMPORTRANGE(""https://docs.google.com/spreadsheets/d/1ddFKvqj1W1NEiWytbGlB1zMx_ykJDVtmfEQ-6-lIUBA/edit?usp=sharing"",""จันทบุรี!J652"")"),0)</f>
        <v>0</v>
      </c>
      <c r="Y54" s="354">
        <f t="shared" ca="1" si="50"/>
        <v>0</v>
      </c>
      <c r="Z54" s="177">
        <f ca="1">IFERROR(__xludf.DUMMYFUNCTION("IMPORTRANGE(""https://docs.google.com/spreadsheets/d/1ddFKvqj1W1NEiWytbGlB1zMx_ykJDVtmfEQ-6-lIUBA/edit?usp=sharing"",""จันทบุรี!I653"")"),2)</f>
        <v>2</v>
      </c>
      <c r="AA54" s="177">
        <f ca="1">IFERROR(__xludf.DUMMYFUNCTION("IMPORTRANGE(""https://docs.google.com/spreadsheets/d/1ddFKvqj1W1NEiWytbGlB1zMx_ykJDVtmfEQ-6-lIUBA/edit?usp=sharing"",""จันทบุรี!J653"")"),0)</f>
        <v>0</v>
      </c>
      <c r="AB54" s="354">
        <f t="shared" ca="1" si="52"/>
        <v>0</v>
      </c>
      <c r="AC54" s="177">
        <f ca="1">IFERROR(__xludf.DUMMYFUNCTION("IMPORTRANGE(""https://docs.google.com/spreadsheets/d/1ddFKvqj1W1NEiWytbGlB1zMx_ykJDVtmfEQ-6-lIUBA/edit?usp=sharing"",""จันทบุรี!I654"")"),0)</f>
        <v>0</v>
      </c>
      <c r="AD54" s="177">
        <f ca="1">IFERROR(__xludf.DUMMYFUNCTION("IMPORTRANGE(""https://docs.google.com/spreadsheets/d/1ddFKvqj1W1NEiWytbGlB1zMx_ykJDVtmfEQ-6-lIUBA/edit?usp=sharing"",""จันทบุรี!J654"")"),0)</f>
        <v>0</v>
      </c>
      <c r="AE54" s="354">
        <f t="shared" ca="1" si="54"/>
        <v>0</v>
      </c>
      <c r="AF54" s="354">
        <f ca="1">IFERROR(__xludf.DUMMYFUNCTION("IMPORTRANGE(""https://docs.google.com/spreadsheets/d/1ddFKvqj1W1NEiWytbGlB1zMx_ykJDVtmfEQ-6-lIUBA/edit?usp=sharing"",""จันทบุรี!J655"")"),0)</f>
        <v>0</v>
      </c>
      <c r="AG54" s="354">
        <f ca="1">IFERROR(__xludf.DUMMYFUNCTION("IMPORTRANGE(""https://docs.google.com/spreadsheets/d/1ddFKvqj1W1NEiWytbGlB1zMx_ykJDVtmfEQ-6-lIUBA/edit?usp=sharing"",""จันทบุรี!J656"")"),0)</f>
        <v>0</v>
      </c>
      <c r="AH54" s="354">
        <f ca="1">IFERROR(__xludf.DUMMYFUNCTION("IMPORTRANGE(""https://docs.google.com/spreadsheets/d/1ddFKvqj1W1NEiWytbGlB1zMx_ykJDVtmfEQ-6-lIUBA/edit?usp=sharing"",""จันทบุรี!J657"")"),0)</f>
        <v>0</v>
      </c>
      <c r="AI54" s="354">
        <f ca="1">IFERROR(__xludf.DUMMYFUNCTION("IMPORTRANGE(""https://docs.google.com/spreadsheets/d/1ddFKvqj1W1NEiWytbGlB1zMx_ykJDVtmfEQ-6-lIUBA/edit?usp=sharing"",""จันทบุรี!J658"")"),0)</f>
        <v>0</v>
      </c>
      <c r="AJ54" s="354">
        <f ca="1">IFERROR(__xludf.DUMMYFUNCTION("IMPORTRANGE(""https://docs.google.com/spreadsheets/d/1ddFKvqj1W1NEiWytbGlB1zMx_ykJDVtmfEQ-6-lIUBA/edit?usp=sharing"",""จันทบุรี!J659"")"),0)</f>
        <v>0</v>
      </c>
      <c r="AK54" s="354">
        <f ca="1">IFERROR(__xludf.DUMMYFUNCTION("IMPORTRANGE(""https://docs.google.com/spreadsheets/d/1ddFKvqj1W1NEiWytbGlB1zMx_ykJDVtmfEQ-6-lIUBA/edit?usp=sharing"",""จันทบุรี!J660"")"),0)</f>
        <v>0</v>
      </c>
      <c r="AL54" s="177">
        <f ca="1">IFERROR(__xludf.DUMMYFUNCTION("IMPORTRANGE(""https://docs.google.com/spreadsheets/d/1ddFKvqj1W1NEiWytbGlB1zMx_ykJDVtmfEQ-6-lIUBA/edit?usp=sharing"",""จันทบุรี!I661"")"),64)</f>
        <v>64</v>
      </c>
      <c r="AM54" s="177">
        <f ca="1">IFERROR(__xludf.DUMMYFUNCTION("IMPORTRANGE(""https://docs.google.com/spreadsheets/d/1ddFKvqj1W1NEiWytbGlB1zMx_ykJDVtmfEQ-6-lIUBA/edit?usp=sharing"",""จันทบุรี!J661"")"),0)</f>
        <v>0</v>
      </c>
      <c r="AN54" s="354">
        <f t="shared" ca="1" si="56"/>
        <v>0</v>
      </c>
      <c r="AO54" s="177">
        <f ca="1">IFERROR(__xludf.DUMMYFUNCTION("IMPORTRANGE(""https://docs.google.com/spreadsheets/d/1ddFKvqj1W1NEiWytbGlB1zMx_ykJDVtmfEQ-6-lIUBA/edit?usp=sharing"",""จันทบุรี!J662"")"),0)</f>
        <v>0</v>
      </c>
      <c r="AP54" s="177">
        <f ca="1">IFERROR(__xludf.DUMMYFUNCTION("IMPORTRANGE(""https://docs.google.com/spreadsheets/d/1ddFKvqj1W1NEiWytbGlB1zMx_ykJDVtmfEQ-6-lIUBA/edit?usp=sharing"",""จันทบุรี!J663"")"),0)</f>
        <v>0</v>
      </c>
      <c r="AQ54" s="177">
        <f ca="1">IFERROR(__xludf.DUMMYFUNCTION("IMPORTRANGE(""https://docs.google.com/spreadsheets/d/1ddFKvqj1W1NEiWytbGlB1zMx_ykJDVtmfEQ-6-lIUBA/edit?usp=sharing"",""จันทบุรี!J665"")"),0)</f>
        <v>0</v>
      </c>
      <c r="AR54" s="177">
        <f ca="1">IFERROR(__xludf.DUMMYFUNCTION("IMPORTRANGE(""https://docs.google.com/spreadsheets/d/1ddFKvqj1W1NEiWytbGlB1zMx_ykJDVtmfEQ-6-lIUBA/edit?usp=sharing"",""จันทบุรี!J666"")"),0)</f>
        <v>0</v>
      </c>
      <c r="AS54" s="177">
        <f ca="1">IFERROR(__xludf.DUMMYFUNCTION("IMPORTRANGE(""https://docs.google.com/spreadsheets/d/1ddFKvqj1W1NEiWytbGlB1zMx_ykJDVtmfEQ-6-lIUBA/edit?usp=sharing"",""จันทบุรี!J667"")"),0)</f>
        <v>0</v>
      </c>
      <c r="AT54" s="177">
        <f ca="1">IFERROR(__xludf.DUMMYFUNCTION("IMPORTRANGE(""https://docs.google.com/spreadsheets/d/1ddFKvqj1W1NEiWytbGlB1zMx_ykJDVtmfEQ-6-lIUBA/edit?usp=sharing"",""จันทบุรี!J668"")"),0)</f>
        <v>0</v>
      </c>
      <c r="AU54" s="177">
        <f ca="1">IFERROR(__xludf.DUMMYFUNCTION("IMPORTRANGE(""https://docs.google.com/spreadsheets/d/1ddFKvqj1W1NEiWytbGlB1zMx_ykJDVtmfEQ-6-lIUBA/edit?usp=sharing"",""จันทบุรี!J669"")"),0)</f>
        <v>0</v>
      </c>
      <c r="AV54" s="177">
        <f ca="1">IFERROR(__xludf.DUMMYFUNCTION("IMPORTRANGE(""https://docs.google.com/spreadsheets/d/1ddFKvqj1W1NEiWytbGlB1zMx_ykJDVtmfEQ-6-lIUBA/edit?usp=sharing"",""จันทบุรี!J670"")"),0)</f>
        <v>0</v>
      </c>
      <c r="AW54" s="177">
        <v>0</v>
      </c>
      <c r="AX54" s="177">
        <f ca="1">IFERROR(__xludf.DUMMYFUNCTION("IMPORTRANGE(""https://docs.google.com/spreadsheets/d/1ddFKvqj1W1NEiWytbGlB1zMx_ykJDVtmfEQ-6-lIUBA/edit?usp=sharing"",""จันทบุรี!J671"")"),0)</f>
        <v>0</v>
      </c>
      <c r="AY54" s="177">
        <f ca="1">IFERROR(__xludf.DUMMYFUNCTION("IMPORTRANGE(""https://docs.google.com/spreadsheets/d/1ddFKvqj1W1NEiWytbGlB1zMx_ykJDVtmfEQ-6-lIUBA/edit?usp=sharing"",""จันทบุรี!J672"")"),0)</f>
        <v>0</v>
      </c>
      <c r="AZ54" s="177">
        <f ca="1">IFERROR(__xludf.DUMMYFUNCTION("IMPORTRANGE(""https://docs.google.com/spreadsheets/d/1ddFKvqj1W1NEiWytbGlB1zMx_ykJDVtmfEQ-6-lIUBA/edit?usp=sharing"",""จันทบุรี!J673"")"),0)</f>
        <v>0</v>
      </c>
      <c r="BA54" s="354">
        <f t="shared" si="58"/>
        <v>0</v>
      </c>
      <c r="BB54" s="177">
        <f ca="1">IFERROR(__xludf.DUMMYFUNCTION("IMPORTRANGE(""https://docs.google.com/spreadsheets/d/1ddFKvqj1W1NEiWytbGlB1zMx_ykJDVtmfEQ-6-lIUBA/edit?usp=sharing"",""จันทบุรี!I674"")"),5)</f>
        <v>5</v>
      </c>
      <c r="BC54" s="177">
        <f ca="1">IFERROR(__xludf.DUMMYFUNCTION("IMPORTRANGE(""https://docs.google.com/spreadsheets/d/1ddFKvqj1W1NEiWytbGlB1zMx_ykJDVtmfEQ-6-lIUBA/edit?usp=sharing"",""จันทบุรี!I675"")"),59)</f>
        <v>59</v>
      </c>
      <c r="BD54" s="177">
        <f ca="1">IFERROR(__xludf.DUMMYFUNCTION("IMPORTRANGE(""https://docs.google.com/spreadsheets/d/1ddFKvqj1W1NEiWytbGlB1zMx_ykJDVtmfEQ-6-lIUBA/edit?usp=sharing"",""จันทบุรี!J674"")"),0)</f>
        <v>0</v>
      </c>
      <c r="BE54" s="354">
        <f t="shared" ca="1" si="60"/>
        <v>0</v>
      </c>
      <c r="BF54" s="177">
        <f ca="1">IFERROR(__xludf.DUMMYFUNCTION("IMPORTRANGE(""https://docs.google.com/spreadsheets/d/1ddFKvqj1W1NEiWytbGlB1zMx_ykJDVtmfEQ-6-lIUBA/edit?usp=sharing"",""จันทบุรี!J675"")"),0)</f>
        <v>0</v>
      </c>
      <c r="BG54" s="354">
        <f t="shared" ca="1" si="61"/>
        <v>0</v>
      </c>
      <c r="BH54" s="177">
        <f ca="1">IFERROR(__xludf.DUMMYFUNCTION("IMPORTRANGE(""https://docs.google.com/spreadsheets/d/1ddFKvqj1W1NEiWytbGlB1zMx_ykJDVtmfEQ-6-lIUBA/edit?usp=sharing"",""จันทบุรี!I676"")"),5)</f>
        <v>5</v>
      </c>
      <c r="BI54" s="177">
        <f ca="1">IFERROR(__xludf.DUMMYFUNCTION("IMPORTRANGE(""https://docs.google.com/spreadsheets/d/1ddFKvqj1W1NEiWytbGlB1zMx_ykJDVtmfEQ-6-lIUBA/edit?usp=sharing"",""จันทบุรี!I678"")"),59)</f>
        <v>59</v>
      </c>
      <c r="BJ54" s="177">
        <f ca="1">IFERROR(__xludf.DUMMYFUNCTION("IMPORTRANGE(""https://docs.google.com/spreadsheets/d/1ddFKvqj1W1NEiWytbGlB1zMx_ykJDVtmfEQ-6-lIUBA/edit?usp=sharing"",""จันทบุรี!J676"")"),0)</f>
        <v>0</v>
      </c>
      <c r="BK54" s="177">
        <f ca="1">IFERROR(__xludf.DUMMYFUNCTION("IMPORTRANGE(""https://docs.google.com/spreadsheets/d/1ddFKvqj1W1NEiWytbGlB1zMx_ykJDVtmfEQ-6-lIUBA/edit?usp=sharing"",""จันทบุรี!J677"")"),0)</f>
        <v>0</v>
      </c>
      <c r="BL54" s="177">
        <f ca="1">IFERROR(__xludf.DUMMYFUNCTION("IMPORTRANGE(""https://docs.google.com/spreadsheets/d/1ddFKvqj1W1NEiWytbGlB1zMx_ykJDVtmfEQ-6-lIUBA/edit?usp=sharing"",""จันทบุรี!J678"")"),0)</f>
        <v>0</v>
      </c>
      <c r="BM54" s="177">
        <f ca="1">IFERROR(__xludf.DUMMYFUNCTION("IMPORTRANGE(""https://docs.google.com/spreadsheets/d/1ddFKvqj1W1NEiWytbGlB1zMx_ykJDVtmfEQ-6-lIUBA/edit?usp=sharing"",""จันทบุรี!I679"")"),0)</f>
        <v>0</v>
      </c>
      <c r="BN54" s="177">
        <f ca="1">IFERROR(__xludf.DUMMYFUNCTION("IMPORTRANGE(""https://docs.google.com/spreadsheets/d/1ddFKvqj1W1NEiWytbGlB1zMx_ykJDVtmfEQ-6-lIUBA/edit?usp=sharing"",""จันทบุรี!I681"")"),0)</f>
        <v>0</v>
      </c>
      <c r="BO54" s="177">
        <f ca="1">IFERROR(__xludf.DUMMYFUNCTION("IMPORTRANGE(""https://docs.google.com/spreadsheets/d/1ddFKvqj1W1NEiWytbGlB1zMx_ykJDVtmfEQ-6-lIUBA/edit?usp=sharing"",""จันทบุรี!J679"")"),0)</f>
        <v>0</v>
      </c>
      <c r="BP54" s="177">
        <f ca="1">IFERROR(__xludf.DUMMYFUNCTION("IMPORTRANGE(""https://docs.google.com/spreadsheets/d/1ddFKvqj1W1NEiWytbGlB1zMx_ykJDVtmfEQ-6-lIUBA/edit?usp=sharing"",""จันทบุรี!J680"")"),0)</f>
        <v>0</v>
      </c>
      <c r="BQ54" s="177">
        <f ca="1">IFERROR(__xludf.DUMMYFUNCTION("IMPORTRANGE(""https://docs.google.com/spreadsheets/d/1ddFKvqj1W1NEiWytbGlB1zMx_ykJDVtmfEQ-6-lIUBA/edit?usp=sharing"",""จันทบุรี!J681"")"),0)</f>
        <v>0</v>
      </c>
      <c r="BR54" s="177">
        <f ca="1">IFERROR(__xludf.DUMMYFUNCTION("IMPORTRANGE(""https://docs.google.com/spreadsheets/d/1ddFKvqj1W1NEiWytbGlB1zMx_ykJDVtmfEQ-6-lIUBA/edit?usp=sharing"",""จันทบุรี!I682"")"),0)</f>
        <v>0</v>
      </c>
      <c r="BS54" s="177">
        <f ca="1">IFERROR(__xludf.DUMMYFUNCTION("IMPORTRANGE(""https://docs.google.com/spreadsheets/d/1ddFKvqj1W1NEiWytbGlB1zMx_ykJDVtmfEQ-6-lIUBA/edit?usp=sharing"",""จันทบุรี!J682"")"),0)</f>
        <v>0</v>
      </c>
      <c r="BT54" s="354">
        <f t="shared" ca="1" si="63"/>
        <v>0</v>
      </c>
      <c r="BU54" s="177">
        <f ca="1">IFERROR(__xludf.DUMMYFUNCTION("IMPORTRANGE(""https://docs.google.com/spreadsheets/d/1ddFKvqj1W1NEiWytbGlB1zMx_ykJDVtmfEQ-6-lIUBA/edit?usp=sharing"",""จันทบุรี!J683"")"),0)</f>
        <v>0</v>
      </c>
      <c r="BV54" s="177">
        <f ca="1">IFERROR(__xludf.DUMMYFUNCTION("IMPORTRANGE(""https://docs.google.com/spreadsheets/d/1ddFKvqj1W1NEiWytbGlB1zMx_ykJDVtmfEQ-6-lIUBA/edit?usp=sharing"",""จันทบุรี!J684"")"),0)</f>
        <v>0</v>
      </c>
      <c r="BW54" s="177">
        <f ca="1">IFERROR(__xludf.DUMMYFUNCTION("IMPORTRANGE(""https://docs.google.com/spreadsheets/d/1ddFKvqj1W1NEiWytbGlB1zMx_ykJDVtmfEQ-6-lIUBA/edit?usp=sharing"",""จันทบุรี!J685"")"),0)</f>
        <v>0</v>
      </c>
      <c r="BX54" s="177">
        <f ca="1">IFERROR(__xludf.DUMMYFUNCTION("IMPORTRANGE(""https://docs.google.com/spreadsheets/d/1ddFKvqj1W1NEiWytbGlB1zMx_ykJDVtmfEQ-6-lIUBA/edit?usp=sharing"",""จันทบุรี!J686"")"),0)</f>
        <v>0</v>
      </c>
      <c r="BY54" s="177">
        <f ca="1">IFERROR(__xludf.DUMMYFUNCTION("IMPORTRANGE(""https://docs.google.com/spreadsheets/d/1ddFKvqj1W1NEiWytbGlB1zMx_ykJDVtmfEQ-6-lIUBA/edit?usp=sharing"",""จันทบุรี!J687"")"),0)</f>
        <v>0</v>
      </c>
      <c r="BZ54" s="177">
        <f ca="1">IFERROR(__xludf.DUMMYFUNCTION("IMPORTRANGE(""https://docs.google.com/spreadsheets/d/1ddFKvqj1W1NEiWytbGlB1zMx_ykJDVtmfEQ-6-lIUBA/edit?usp=sharing"",""จันทบุรี!J688"")"),0)</f>
        <v>0</v>
      </c>
    </row>
    <row r="55" spans="1:78" ht="21.75" customHeight="1" x14ac:dyDescent="0.3">
      <c r="A55" s="89">
        <v>3</v>
      </c>
      <c r="B55" s="90" t="s">
        <v>81</v>
      </c>
      <c r="C55" s="174">
        <f t="shared" si="38"/>
        <v>0</v>
      </c>
      <c r="D55" s="175">
        <f t="shared" si="87"/>
        <v>0</v>
      </c>
      <c r="E55" s="403">
        <v>0</v>
      </c>
      <c r="F55" s="403">
        <v>0</v>
      </c>
      <c r="G55" s="403">
        <v>0</v>
      </c>
      <c r="H55" s="403">
        <v>0</v>
      </c>
      <c r="I55" s="403">
        <v>0</v>
      </c>
      <c r="J55" s="176">
        <f t="shared" si="40"/>
        <v>0</v>
      </c>
      <c r="K55" s="179">
        <f t="shared" si="41"/>
        <v>0</v>
      </c>
      <c r="L55" s="403">
        <v>0</v>
      </c>
      <c r="M55" s="87">
        <f t="shared" si="42"/>
        <v>0</v>
      </c>
      <c r="N55" s="87">
        <f t="shared" si="43"/>
        <v>0</v>
      </c>
      <c r="O55" s="403">
        <v>0</v>
      </c>
      <c r="P55" s="86">
        <f t="shared" si="44"/>
        <v>0</v>
      </c>
      <c r="Q55" s="87">
        <f t="shared" si="45"/>
        <v>0</v>
      </c>
      <c r="R55" s="87">
        <f ca="1">IFERROR(__xludf.DUMMYFUNCTION("IMPORTRANGE(""https://docs.google.com/spreadsheets/d/1T1PQvRODqOBZk8BRht_U031fIS1beLA0Ub2CEytj2q0/edit?usp=sharing"",""ฉะเชิงเทรา!Q642"")"),65360)</f>
        <v>65360</v>
      </c>
      <c r="S55" s="87">
        <f ca="1">IFERROR(__xludf.DUMMYFUNCTION("IMPORTRANGE(""https://docs.google.com/spreadsheets/d/1T1PQvRODqOBZk8BRht_U031fIS1beLA0Ub2CEytj2q0/edit?usp=sharing"",""ฉะเชิงเทรา!R642"")"),0)</f>
        <v>0</v>
      </c>
      <c r="T55" s="87">
        <f ca="1">IFERROR(__xludf.DUMMYFUNCTION("IMPORTRANGE(""https://docs.google.com/spreadsheets/d/1T1PQvRODqOBZk8BRht_U031fIS1beLA0Ub2CEytj2q0/edit?usp=sharing"",""ฉะเชิงเทรา!S642"")"),360)</f>
        <v>360</v>
      </c>
      <c r="U55" s="87">
        <f t="shared" ca="1" si="47"/>
        <v>0.55079559363525088</v>
      </c>
      <c r="V55" s="87">
        <f t="shared" ca="1" si="48"/>
        <v>0</v>
      </c>
      <c r="W55" s="353">
        <f ca="1">IFERROR(__xludf.DUMMYFUNCTION("IMPORTRANGE(""https://docs.google.com/spreadsheets/d/1T1PQvRODqOBZk8BRht_U031fIS1beLA0Ub2CEytj2q0/edit?usp=sharing"",""ฉะเชิงเทรา!I652"")"),0)</f>
        <v>0</v>
      </c>
      <c r="X55" s="177">
        <f ca="1">IFERROR(__xludf.DUMMYFUNCTION("IMPORTRANGE(""https://docs.google.com/spreadsheets/d/1T1PQvRODqOBZk8BRht_U031fIS1beLA0Ub2CEytj2q0/edit?usp=sharing"",""ฉะเชิงเทรา!J652"")"),0)</f>
        <v>0</v>
      </c>
      <c r="Y55" s="354">
        <f t="shared" ca="1" si="50"/>
        <v>0</v>
      </c>
      <c r="Z55" s="177">
        <f ca="1">IFERROR(__xludf.DUMMYFUNCTION("IMPORTRANGE(""https://docs.google.com/spreadsheets/d/1T1PQvRODqOBZk8BRht_U031fIS1beLA0Ub2CEytj2q0/edit?usp=sharing"",""ฉะเชิงเทรา!I653"")"),10)</f>
        <v>10</v>
      </c>
      <c r="AA55" s="177">
        <f ca="1">IFERROR(__xludf.DUMMYFUNCTION("IMPORTRANGE(""https://docs.google.com/spreadsheets/d/1T1PQvRODqOBZk8BRht_U031fIS1beLA0Ub2CEytj2q0/edit?usp=sharing"",""ฉะเชิงเทรา!J653"")"),5)</f>
        <v>5</v>
      </c>
      <c r="AB55" s="354">
        <f t="shared" ca="1" si="52"/>
        <v>50</v>
      </c>
      <c r="AC55" s="177">
        <f ca="1">IFERROR(__xludf.DUMMYFUNCTION("IMPORTRANGE(""https://docs.google.com/spreadsheets/d/1T1PQvRODqOBZk8BRht_U031fIS1beLA0Ub2CEytj2q0/edit?usp=sharing"",""ฉะเชิงเทรา!I654"")"),50)</f>
        <v>50</v>
      </c>
      <c r="AD55" s="177">
        <f ca="1">IFERROR(__xludf.DUMMYFUNCTION("IMPORTRANGE(""https://docs.google.com/spreadsheets/d/1T1PQvRODqOBZk8BRht_U031fIS1beLA0Ub2CEytj2q0/edit?usp=sharing"",""ฉะเชิงเทรา!J654"")"),1.44)</f>
        <v>1.44</v>
      </c>
      <c r="AE55" s="354">
        <f t="shared" ca="1" si="54"/>
        <v>2.88</v>
      </c>
      <c r="AF55" s="354">
        <f ca="1">IFERROR(__xludf.DUMMYFUNCTION("IMPORTRANGE(""https://docs.google.com/spreadsheets/d/1T1PQvRODqOBZk8BRht_U031fIS1beLA0Ub2CEytj2q0/edit?usp=sharing"",""ฉะเชิงเทรา!J655"")"),1)</f>
        <v>1</v>
      </c>
      <c r="AG55" s="354">
        <f ca="1">IFERROR(__xludf.DUMMYFUNCTION("IMPORTRANGE(""https://docs.google.com/spreadsheets/d/1T1PQvRODqOBZk8BRht_U031fIS1beLA0Ub2CEytj2q0/edit?usp=sharing"",""ฉะเชิงเทรา!J656"")"),1)</f>
        <v>1</v>
      </c>
      <c r="AH55" s="354">
        <f ca="1">IFERROR(__xludf.DUMMYFUNCTION("IMPORTRANGE(""https://docs.google.com/spreadsheets/d/1T1PQvRODqOBZk8BRht_U031fIS1beLA0Ub2CEytj2q0/edit?usp=sharing"",""ฉะเชิงเทรา!J657"")"),1.44)</f>
        <v>1.44</v>
      </c>
      <c r="AI55" s="354" t="str">
        <f ca="1">IFERROR(__xludf.DUMMYFUNCTION("IMPORTRANGE(""https://docs.google.com/spreadsheets/d/1T1PQvRODqOBZk8BRht_U031fIS1beLA0Ub2CEytj2q0/edit?usp=sharing"",""ฉะเชิงเทรา!J658"")"),"")</f>
        <v/>
      </c>
      <c r="AJ55" s="354">
        <f ca="1">IFERROR(__xludf.DUMMYFUNCTION("IMPORTRANGE(""https://docs.google.com/spreadsheets/d/1T1PQvRODqOBZk8BRht_U031fIS1beLA0Ub2CEytj2q0/edit?usp=sharing"",""ฉะเชิงเทรา!J659"")"),0)</f>
        <v>0</v>
      </c>
      <c r="AK55" s="354">
        <f ca="1">IFERROR(__xludf.DUMMYFUNCTION("IMPORTRANGE(""https://docs.google.com/spreadsheets/d/1T1PQvRODqOBZk8BRht_U031fIS1beLA0Ub2CEytj2q0/edit?usp=sharing"",""ฉะเชิงเทรา!J660"")"),0)</f>
        <v>0</v>
      </c>
      <c r="AL55" s="177">
        <f ca="1">IFERROR(__xludf.DUMMYFUNCTION("IMPORTRANGE(""https://docs.google.com/spreadsheets/d/1T1PQvRODqOBZk8BRht_U031fIS1beLA0Ub2CEytj2q0/edit?usp=sharing"",""ฉะเชิงเทรา!I661"")"),400)</f>
        <v>400</v>
      </c>
      <c r="AM55" s="177">
        <f ca="1">IFERROR(__xludf.DUMMYFUNCTION("IMPORTRANGE(""https://docs.google.com/spreadsheets/d/1T1PQvRODqOBZk8BRht_U031fIS1beLA0Ub2CEytj2q0/edit?usp=sharing"",""ฉะเชิงเทรา!J661"")"),0)</f>
        <v>0</v>
      </c>
      <c r="AN55" s="354">
        <f t="shared" ca="1" si="56"/>
        <v>0</v>
      </c>
      <c r="AO55" s="177">
        <f ca="1">IFERROR(__xludf.DUMMYFUNCTION("IMPORTRANGE(""https://docs.google.com/spreadsheets/d/1T1PQvRODqOBZk8BRht_U031fIS1beLA0Ub2CEytj2q0/edit?usp=sharing"",""ฉะเชิงเทรา!J662"")"),0)</f>
        <v>0</v>
      </c>
      <c r="AP55" s="177">
        <f ca="1">IFERROR(__xludf.DUMMYFUNCTION("IMPORTRANGE(""https://docs.google.com/spreadsheets/d/1T1PQvRODqOBZk8BRht_U031fIS1beLA0Ub2CEytj2q0/edit?usp=sharing"",""ฉะเชิงเทรา!J663"")"),0)</f>
        <v>0</v>
      </c>
      <c r="AQ55" s="177">
        <f ca="1">IFERROR(__xludf.DUMMYFUNCTION("IMPORTRANGE(""https://docs.google.com/spreadsheets/d/1T1PQvRODqOBZk8BRht_U031fIS1beLA0Ub2CEytj2q0/edit?usp=sharing"",""ฉะเชิงเทรา!J665"")"),0)</f>
        <v>0</v>
      </c>
      <c r="AR55" s="177">
        <f ca="1">IFERROR(__xludf.DUMMYFUNCTION("IMPORTRANGE(""https://docs.google.com/spreadsheets/d/1T1PQvRODqOBZk8BRht_U031fIS1beLA0Ub2CEytj2q0/edit?usp=sharing"",""ฉะเชิงเทรา!J666"")"),0)</f>
        <v>0</v>
      </c>
      <c r="AS55" s="177">
        <f ca="1">IFERROR(__xludf.DUMMYFUNCTION("IMPORTRANGE(""https://docs.google.com/spreadsheets/d/1T1PQvRODqOBZk8BRht_U031fIS1beLA0Ub2CEytj2q0/edit?usp=sharing"",""ฉะเชิงเทรา!J667"")"),0)</f>
        <v>0</v>
      </c>
      <c r="AT55" s="177">
        <f ca="1">IFERROR(__xludf.DUMMYFUNCTION("IMPORTRANGE(""https://docs.google.com/spreadsheets/d/1T1PQvRODqOBZk8BRht_U031fIS1beLA0Ub2CEytj2q0/edit?usp=sharing"",""ฉะเชิงเทรา!J668"")"),0)</f>
        <v>0</v>
      </c>
      <c r="AU55" s="177">
        <f ca="1">IFERROR(__xludf.DUMMYFUNCTION("IMPORTRANGE(""https://docs.google.com/spreadsheets/d/1T1PQvRODqOBZk8BRht_U031fIS1beLA0Ub2CEytj2q0/edit?usp=sharing"",""ฉะเชิงเทรา!J669"")"),0)</f>
        <v>0</v>
      </c>
      <c r="AV55" s="177">
        <f ca="1">IFERROR(__xludf.DUMMYFUNCTION("IMPORTRANGE(""https://docs.google.com/spreadsheets/d/1T1PQvRODqOBZk8BRht_U031fIS1beLA0Ub2CEytj2q0/edit?usp=sharing"",""ฉะเชิงเทรา!J670"")"),0)</f>
        <v>0</v>
      </c>
      <c r="AW55" s="177">
        <v>0</v>
      </c>
      <c r="AX55" s="177">
        <f ca="1">IFERROR(__xludf.DUMMYFUNCTION("IMPORTRANGE(""https://docs.google.com/spreadsheets/d/1T1PQvRODqOBZk8BRht_U031fIS1beLA0Ub2CEytj2q0/edit?usp=sharing"",""ฉะเชิงเทรา!J671"")"),0)</f>
        <v>0</v>
      </c>
      <c r="AY55" s="177">
        <f ca="1">IFERROR(__xludf.DUMMYFUNCTION("IMPORTRANGE(""https://docs.google.com/spreadsheets/d/1T1PQvRODqOBZk8BRht_U031fIS1beLA0Ub2CEytj2q0/edit?usp=sharing"",""ฉะเชิงเทรา!J672"")"),0)</f>
        <v>0</v>
      </c>
      <c r="AZ55" s="177">
        <f ca="1">IFERROR(__xludf.DUMMYFUNCTION("IMPORTRANGE(""https://docs.google.com/spreadsheets/d/1T1PQvRODqOBZk8BRht_U031fIS1beLA0Ub2CEytj2q0/edit?usp=sharing"",""ฉะเชิงเทรา!J673"")"),0)</f>
        <v>0</v>
      </c>
      <c r="BA55" s="354">
        <f t="shared" si="58"/>
        <v>0</v>
      </c>
      <c r="BB55" s="177">
        <f ca="1">IFERROR(__xludf.DUMMYFUNCTION("IMPORTRANGE(""https://docs.google.com/spreadsheets/d/1T1PQvRODqOBZk8BRht_U031fIS1beLA0Ub2CEytj2q0/edit?usp=sharing"",""ฉะเชิงเทรา!I674"")"),78)</f>
        <v>78</v>
      </c>
      <c r="BC55" s="177">
        <f ca="1">IFERROR(__xludf.DUMMYFUNCTION("IMPORTRANGE(""https://docs.google.com/spreadsheets/d/1T1PQvRODqOBZk8BRht_U031fIS1beLA0Ub2CEytj2q0/edit?usp=sharing"",""ฉะเชิงเทรา!I675"")"),550)</f>
        <v>550</v>
      </c>
      <c r="BD55" s="177">
        <f ca="1">IFERROR(__xludf.DUMMYFUNCTION("IMPORTRANGE(""https://docs.google.com/spreadsheets/d/1T1PQvRODqOBZk8BRht_U031fIS1beLA0Ub2CEytj2q0/edit?usp=sharing"",""ฉะเชิงเทรา!J674"")"),0)</f>
        <v>0</v>
      </c>
      <c r="BE55" s="354">
        <f t="shared" ca="1" si="60"/>
        <v>0</v>
      </c>
      <c r="BF55" s="177">
        <f ca="1">IFERROR(__xludf.DUMMYFUNCTION("IMPORTRANGE(""https://docs.google.com/spreadsheets/d/1T1PQvRODqOBZk8BRht_U031fIS1beLA0Ub2CEytj2q0/edit?usp=sharing"",""ฉะเชิงเทรา!J675"")"),0)</f>
        <v>0</v>
      </c>
      <c r="BG55" s="354">
        <f t="shared" ca="1" si="61"/>
        <v>0</v>
      </c>
      <c r="BH55" s="177">
        <f ca="1">IFERROR(__xludf.DUMMYFUNCTION("IMPORTRANGE(""https://docs.google.com/spreadsheets/d/1T1PQvRODqOBZk8BRht_U031fIS1beLA0Ub2CEytj2q0/edit?usp=sharing"",""ฉะเชิงเทรา!I676"")"),40)</f>
        <v>40</v>
      </c>
      <c r="BI55" s="177">
        <f ca="1">IFERROR(__xludf.DUMMYFUNCTION("IMPORTRANGE(""https://docs.google.com/spreadsheets/d/1T1PQvRODqOBZk8BRht_U031fIS1beLA0Ub2CEytj2q0/edit?usp=sharing"",""ฉะเชิงเทรา!I678"")"),250)</f>
        <v>250</v>
      </c>
      <c r="BJ55" s="177">
        <f ca="1">IFERROR(__xludf.DUMMYFUNCTION("IMPORTRANGE(""https://docs.google.com/spreadsheets/d/1T1PQvRODqOBZk8BRht_U031fIS1beLA0Ub2CEytj2q0/edit?usp=sharing"",""ฉะเชิงเทรา!J676"")"),0)</f>
        <v>0</v>
      </c>
      <c r="BK55" s="177">
        <f ca="1">IFERROR(__xludf.DUMMYFUNCTION("IMPORTRANGE(""https://docs.google.com/spreadsheets/d/1T1PQvRODqOBZk8BRht_U031fIS1beLA0Ub2CEytj2q0/edit?usp=sharing"",""ฉะเชิงเทรา!J677"")"),0)</f>
        <v>0</v>
      </c>
      <c r="BL55" s="177">
        <f ca="1">IFERROR(__xludf.DUMMYFUNCTION("IMPORTRANGE(""https://docs.google.com/spreadsheets/d/1T1PQvRODqOBZk8BRht_U031fIS1beLA0Ub2CEytj2q0/edit?usp=sharing"",""ฉะเชิงเทรา!J678"")"),0)</f>
        <v>0</v>
      </c>
      <c r="BM55" s="177">
        <f ca="1">IFERROR(__xludf.DUMMYFUNCTION("IMPORTRANGE(""https://docs.google.com/spreadsheets/d/1T1PQvRODqOBZk8BRht_U031fIS1beLA0Ub2CEytj2q0/edit?usp=sharing"",""ฉะเชิงเทรา!I679"")"),38)</f>
        <v>38</v>
      </c>
      <c r="BN55" s="177">
        <f ca="1">IFERROR(__xludf.DUMMYFUNCTION("IMPORTRANGE(""https://docs.google.com/spreadsheets/d/1T1PQvRODqOBZk8BRht_U031fIS1beLA0Ub2CEytj2q0/edit?usp=sharing"",""ฉะเชิงเทรา!I681"")"),300)</f>
        <v>300</v>
      </c>
      <c r="BO55" s="177">
        <f ca="1">IFERROR(__xludf.DUMMYFUNCTION("IMPORTRANGE(""https://docs.google.com/spreadsheets/d/1T1PQvRODqOBZk8BRht_U031fIS1beLA0Ub2CEytj2q0/edit?usp=sharing"",""ฉะเชิงเทรา!J679"")"),0)</f>
        <v>0</v>
      </c>
      <c r="BP55" s="177">
        <f ca="1">IFERROR(__xludf.DUMMYFUNCTION("IMPORTRANGE(""https://docs.google.com/spreadsheets/d/1T1PQvRODqOBZk8BRht_U031fIS1beLA0Ub2CEytj2q0/edit?usp=sharing"",""ฉะเชิงเทรา!J680"")"),0)</f>
        <v>0</v>
      </c>
      <c r="BQ55" s="177">
        <f ca="1">IFERROR(__xludf.DUMMYFUNCTION("IMPORTRANGE(""https://docs.google.com/spreadsheets/d/1T1PQvRODqOBZk8BRht_U031fIS1beLA0Ub2CEytj2q0/edit?usp=sharing"",""ฉะเชิงเทรา!J681"")"),0)</f>
        <v>0</v>
      </c>
      <c r="BR55" s="177">
        <f ca="1">IFERROR(__xludf.DUMMYFUNCTION("IMPORTRANGE(""https://docs.google.com/spreadsheets/d/1T1PQvRODqOBZk8BRht_U031fIS1beLA0Ub2CEytj2q0/edit?usp=sharing"",""ฉะเชิงเทรา!I682"")"),50)</f>
        <v>50</v>
      </c>
      <c r="BS55" s="177">
        <f ca="1">IFERROR(__xludf.DUMMYFUNCTION("IMPORTRANGE(""https://docs.google.com/spreadsheets/d/1T1PQvRODqOBZk8BRht_U031fIS1beLA0Ub2CEytj2q0/edit?usp=sharing"",""ฉะเชิงเทรา!J682"")"),10)</f>
        <v>10</v>
      </c>
      <c r="BT55" s="354">
        <f t="shared" ca="1" si="63"/>
        <v>20</v>
      </c>
      <c r="BU55" s="177">
        <f ca="1">IFERROR(__xludf.DUMMYFUNCTION("IMPORTRANGE(""https://docs.google.com/spreadsheets/d/1T1PQvRODqOBZk8BRht_U031fIS1beLA0Ub2CEytj2q0/edit?usp=sharing"",""ฉะเชิงเทรา!J683"")"),2)</f>
        <v>2</v>
      </c>
      <c r="BV55" s="177">
        <f ca="1">IFERROR(__xludf.DUMMYFUNCTION("IMPORTRANGE(""https://docs.google.com/spreadsheets/d/1T1PQvRODqOBZk8BRht_U031fIS1beLA0Ub2CEytj2q0/edit?usp=sharing"",""ฉะเชิงเทรา!J684"")"),1)</f>
        <v>1</v>
      </c>
      <c r="BW55" s="177">
        <f ca="1">IFERROR(__xludf.DUMMYFUNCTION("IMPORTRANGE(""https://docs.google.com/spreadsheets/d/1T1PQvRODqOBZk8BRht_U031fIS1beLA0Ub2CEytj2q0/edit?usp=sharing"",""ฉะเชิงเทรา!J685"")"),10)</f>
        <v>10</v>
      </c>
      <c r="BX55" s="177">
        <f ca="1">IFERROR(__xludf.DUMMYFUNCTION("IMPORTRANGE(""https://docs.google.com/spreadsheets/d/1T1PQvRODqOBZk8BRht_U031fIS1beLA0Ub2CEytj2q0/edit?usp=sharing"",""ฉะเชิงเทรา!J686"")"),0)</f>
        <v>0</v>
      </c>
      <c r="BY55" s="177">
        <f ca="1">IFERROR(__xludf.DUMMYFUNCTION("IMPORTRANGE(""https://docs.google.com/spreadsheets/d/1T1PQvRODqOBZk8BRht_U031fIS1beLA0Ub2CEytj2q0/edit?usp=sharing"",""ฉะเชิงเทรา!J687"")"),0)</f>
        <v>0</v>
      </c>
      <c r="BZ55" s="177">
        <f ca="1">IFERROR(__xludf.DUMMYFUNCTION("IMPORTRANGE(""https://docs.google.com/spreadsheets/d/1T1PQvRODqOBZk8BRht_U031fIS1beLA0Ub2CEytj2q0/edit?usp=sharing"",""ฉะเชิงเทรา!J688"")"),0)</f>
        <v>0</v>
      </c>
    </row>
    <row r="56" spans="1:78" ht="21.75" customHeight="1" x14ac:dyDescent="0.3">
      <c r="A56" s="89">
        <v>4</v>
      </c>
      <c r="B56" s="90" t="s">
        <v>82</v>
      </c>
      <c r="C56" s="174">
        <f t="shared" si="38"/>
        <v>0</v>
      </c>
      <c r="D56" s="175">
        <f t="shared" si="87"/>
        <v>0</v>
      </c>
      <c r="E56" s="403">
        <v>0</v>
      </c>
      <c r="F56" s="403">
        <v>0</v>
      </c>
      <c r="G56" s="403">
        <v>0</v>
      </c>
      <c r="H56" s="403">
        <v>0</v>
      </c>
      <c r="I56" s="403">
        <v>0</v>
      </c>
      <c r="J56" s="176">
        <f t="shared" si="40"/>
        <v>0</v>
      </c>
      <c r="K56" s="179">
        <f t="shared" si="41"/>
        <v>0</v>
      </c>
      <c r="L56" s="403">
        <v>0</v>
      </c>
      <c r="M56" s="87">
        <f t="shared" si="42"/>
        <v>0</v>
      </c>
      <c r="N56" s="87">
        <f t="shared" si="43"/>
        <v>0</v>
      </c>
      <c r="O56" s="403">
        <v>0</v>
      </c>
      <c r="P56" s="86">
        <f t="shared" si="44"/>
        <v>0</v>
      </c>
      <c r="Q56" s="87">
        <f t="shared" si="45"/>
        <v>0</v>
      </c>
      <c r="R56" s="87">
        <f ca="1">IFERROR(__xludf.DUMMYFUNCTION("IMPORTRANGE(""https://docs.google.com/spreadsheets/d/11tr1B-Bhyr79v2bkwVh5h_fR-PStkgjlZtkrZpYurG0/edit?usp=sharing"",""ชลบุรี!Q642"")"),0)</f>
        <v>0</v>
      </c>
      <c r="S56" s="87">
        <f ca="1">IFERROR(__xludf.DUMMYFUNCTION("IMPORTRANGE(""https://docs.google.com/spreadsheets/d/11tr1B-Bhyr79v2bkwVh5h_fR-PStkgjlZtkrZpYurG0/edit?usp=sharing"",""ชลบุรี!R642"")"),0)</f>
        <v>0</v>
      </c>
      <c r="T56" s="87">
        <f ca="1">IFERROR(__xludf.DUMMYFUNCTION("IMPORTRANGE(""https://docs.google.com/spreadsheets/d/11tr1B-Bhyr79v2bkwVh5h_fR-PStkgjlZtkrZpYurG0/edit?usp=sharing"",""ชลบุรี!S642"")"),0)</f>
        <v>0</v>
      </c>
      <c r="U56" s="87">
        <f t="shared" ca="1" si="47"/>
        <v>0</v>
      </c>
      <c r="V56" s="87">
        <f t="shared" ca="1" si="48"/>
        <v>0</v>
      </c>
      <c r="W56" s="353">
        <f ca="1">IFERROR(__xludf.DUMMYFUNCTION("IMPORTRANGE(""https://docs.google.com/spreadsheets/d/11tr1B-Bhyr79v2bkwVh5h_fR-PStkgjlZtkrZpYurG0/edit?usp=sharing"",""ชลบุรี!I652"")"),0)</f>
        <v>0</v>
      </c>
      <c r="X56" s="452">
        <f ca="1">IFERROR(__xludf.DUMMYFUNCTION("IMPORTRANGE(""https://docs.google.com/spreadsheets/d/11tr1B-Bhyr79v2bkwVh5h_fR-PStkgjlZtkrZpYurG0/edit?usp=sharing"",""ชลบุรี!J652"")"),0)</f>
        <v>0</v>
      </c>
      <c r="Y56" s="354">
        <f t="shared" ca="1" si="50"/>
        <v>0</v>
      </c>
      <c r="Z56" s="177">
        <f ca="1">IFERROR(__xludf.DUMMYFUNCTION("IMPORTRANGE(""https://docs.google.com/spreadsheets/d/11tr1B-Bhyr79v2bkwVh5h_fR-PStkgjlZtkrZpYurG0/edit?usp=sharing"",""ชลบุรี!I653"")"),0)</f>
        <v>0</v>
      </c>
      <c r="AA56" s="452">
        <f ca="1">IFERROR(__xludf.DUMMYFUNCTION("IMPORTRANGE(""https://docs.google.com/spreadsheets/d/11tr1B-Bhyr79v2bkwVh5h_fR-PStkgjlZtkrZpYurG0/edit?usp=sharing"",""ชลบุรี!J653"")"),0)</f>
        <v>0</v>
      </c>
      <c r="AB56" s="354">
        <f t="shared" ca="1" si="52"/>
        <v>0</v>
      </c>
      <c r="AC56" s="177">
        <f ca="1">IFERROR(__xludf.DUMMYFUNCTION("IMPORTRANGE(""https://docs.google.com/spreadsheets/d/11tr1B-Bhyr79v2bkwVh5h_fR-PStkgjlZtkrZpYurG0/edit?usp=sharing"",""ชลบุรี!I654"")"),0)</f>
        <v>0</v>
      </c>
      <c r="AD56" s="177">
        <f ca="1">IFERROR(__xludf.DUMMYFUNCTION("IMPORTRANGE(""https://docs.google.com/spreadsheets/d/11tr1B-Bhyr79v2bkwVh5h_fR-PStkgjlZtkrZpYurG0/edit?usp=sharing"",""ชลบุรี!J654"")"),0)</f>
        <v>0</v>
      </c>
      <c r="AE56" s="354">
        <f t="shared" ca="1" si="54"/>
        <v>0</v>
      </c>
      <c r="AF56" s="354">
        <f ca="1">IFERROR(__xludf.DUMMYFUNCTION("IMPORTRANGE(""https://docs.google.com/spreadsheets/d/11tr1B-Bhyr79v2bkwVh5h_fR-PStkgjlZtkrZpYurG0/edit?usp=sharing"",""ชลบุรี!J655"")"),0)</f>
        <v>0</v>
      </c>
      <c r="AG56" s="354">
        <f ca="1">IFERROR(__xludf.DUMMYFUNCTION("IMPORTRANGE(""https://docs.google.com/spreadsheets/d/11tr1B-Bhyr79v2bkwVh5h_fR-PStkgjlZtkrZpYurG0/edit?usp=sharing"",""ชลบุรี!J656"")"),0)</f>
        <v>0</v>
      </c>
      <c r="AH56" s="354">
        <f ca="1">IFERROR(__xludf.DUMMYFUNCTION("IMPORTRANGE(""https://docs.google.com/spreadsheets/d/11tr1B-Bhyr79v2bkwVh5h_fR-PStkgjlZtkrZpYurG0/edit?usp=sharing"",""ชลบุรี!J657"")"),0)</f>
        <v>0</v>
      </c>
      <c r="AI56" s="354">
        <f ca="1">IFERROR(__xludf.DUMMYFUNCTION("IMPORTRANGE(""https://docs.google.com/spreadsheets/d/11tr1B-Bhyr79v2bkwVh5h_fR-PStkgjlZtkrZpYurG0/edit?usp=sharing"",""ชลบุรี!J658"")"),0)</f>
        <v>0</v>
      </c>
      <c r="AJ56" s="354">
        <f ca="1">IFERROR(__xludf.DUMMYFUNCTION("IMPORTRANGE(""https://docs.google.com/spreadsheets/d/11tr1B-Bhyr79v2bkwVh5h_fR-PStkgjlZtkrZpYurG0/edit?usp=sharing"",""ชลบุรี!J659"")"),0)</f>
        <v>0</v>
      </c>
      <c r="AK56" s="354">
        <f ca="1">IFERROR(__xludf.DUMMYFUNCTION("IMPORTRANGE(""https://docs.google.com/spreadsheets/d/11tr1B-Bhyr79v2bkwVh5h_fR-PStkgjlZtkrZpYurG0/edit?usp=sharing"",""ชลบุรี!J660"")"),0)</f>
        <v>0</v>
      </c>
      <c r="AL56" s="177">
        <f ca="1">IFERROR(__xludf.DUMMYFUNCTION("IMPORTRANGE(""https://docs.google.com/spreadsheets/d/11tr1B-Bhyr79v2bkwVh5h_fR-PStkgjlZtkrZpYurG0/edit?usp=sharing"",""ชลบุรี!I661"")"),0)</f>
        <v>0</v>
      </c>
      <c r="AM56" s="177">
        <f ca="1">IFERROR(__xludf.DUMMYFUNCTION("IMPORTRANGE(""https://docs.google.com/spreadsheets/d/11tr1B-Bhyr79v2bkwVh5h_fR-PStkgjlZtkrZpYurG0/edit?usp=sharing"",""ชลบุรี!J661"")"),0)</f>
        <v>0</v>
      </c>
      <c r="AN56" s="354">
        <f t="shared" ca="1" si="56"/>
        <v>0</v>
      </c>
      <c r="AO56" s="177">
        <f ca="1">IFERROR(__xludf.DUMMYFUNCTION("IMPORTRANGE(""https://docs.google.com/spreadsheets/d/11tr1B-Bhyr79v2bkwVh5h_fR-PStkgjlZtkrZpYurG0/edit?usp=sharing"",""ชลบุรี!J662"")"),0)</f>
        <v>0</v>
      </c>
      <c r="AP56" s="177">
        <f ca="1">IFERROR(__xludf.DUMMYFUNCTION("IMPORTRANGE(""https://docs.google.com/spreadsheets/d/11tr1B-Bhyr79v2bkwVh5h_fR-PStkgjlZtkrZpYurG0/edit?usp=sharing"",""ชลบุรี!J663"")"),0)</f>
        <v>0</v>
      </c>
      <c r="AQ56" s="177">
        <f ca="1">IFERROR(__xludf.DUMMYFUNCTION("IMPORTRANGE(""https://docs.google.com/spreadsheets/d/11tr1B-Bhyr79v2bkwVh5h_fR-PStkgjlZtkrZpYurG0/edit?usp=sharing"",""ชลบุรี!J665"")"),0)</f>
        <v>0</v>
      </c>
      <c r="AR56" s="177">
        <f ca="1">IFERROR(__xludf.DUMMYFUNCTION("IMPORTRANGE(""https://docs.google.com/spreadsheets/d/11tr1B-Bhyr79v2bkwVh5h_fR-PStkgjlZtkrZpYurG0/edit?usp=sharing"",""ชลบุรี!J666"")"),0)</f>
        <v>0</v>
      </c>
      <c r="AS56" s="177">
        <f ca="1">IFERROR(__xludf.DUMMYFUNCTION("IMPORTRANGE(""https://docs.google.com/spreadsheets/d/11tr1B-Bhyr79v2bkwVh5h_fR-PStkgjlZtkrZpYurG0/edit?usp=sharing"",""ชลบุรี!J667"")"),0)</f>
        <v>0</v>
      </c>
      <c r="AT56" s="177">
        <f ca="1">IFERROR(__xludf.DUMMYFUNCTION("IMPORTRANGE(""https://docs.google.com/spreadsheets/d/11tr1B-Bhyr79v2bkwVh5h_fR-PStkgjlZtkrZpYurG0/edit?usp=sharing"",""ชลบุรี!J668"")"),0)</f>
        <v>0</v>
      </c>
      <c r="AU56" s="177">
        <f ca="1">IFERROR(__xludf.DUMMYFUNCTION("IMPORTRANGE(""https://docs.google.com/spreadsheets/d/11tr1B-Bhyr79v2bkwVh5h_fR-PStkgjlZtkrZpYurG0/edit?usp=sharing"",""ชลบุรี!J669"")"),0)</f>
        <v>0</v>
      </c>
      <c r="AV56" s="177">
        <f ca="1">IFERROR(__xludf.DUMMYFUNCTION("IMPORTRANGE(""https://docs.google.com/spreadsheets/d/11tr1B-Bhyr79v2bkwVh5h_fR-PStkgjlZtkrZpYurG0/edit?usp=sharing"",""ชลบุรี!J670"")"),0)</f>
        <v>0</v>
      </c>
      <c r="AW56" s="177">
        <v>0</v>
      </c>
      <c r="AX56" s="452">
        <f ca="1">IFERROR(__xludf.DUMMYFUNCTION("IMPORTRANGE(""https://docs.google.com/spreadsheets/d/11tr1B-Bhyr79v2bkwVh5h_fR-PStkgjlZtkrZpYurG0/edit?usp=sharing"",""ชลบุรี!J671"")"),0)</f>
        <v>0</v>
      </c>
      <c r="AY56" s="452">
        <f ca="1">IFERROR(__xludf.DUMMYFUNCTION("IMPORTRANGE(""https://docs.google.com/spreadsheets/d/11tr1B-Bhyr79v2bkwVh5h_fR-PStkgjlZtkrZpYurG0/edit?usp=sharing"",""ชลบุรี!J672"")"),0)</f>
        <v>0</v>
      </c>
      <c r="AZ56" s="452">
        <f ca="1">IFERROR(__xludf.DUMMYFUNCTION("IMPORTRANGE(""https://docs.google.com/spreadsheets/d/11tr1B-Bhyr79v2bkwVh5h_fR-PStkgjlZtkrZpYurG0/edit?usp=sharing"",""ชลบุรี!J673"")"),0)</f>
        <v>0</v>
      </c>
      <c r="BA56" s="354">
        <f t="shared" si="58"/>
        <v>0</v>
      </c>
      <c r="BB56" s="177">
        <f ca="1">IFERROR(__xludf.DUMMYFUNCTION("IMPORTRANGE(""https://docs.google.com/spreadsheets/d/11tr1B-Bhyr79v2bkwVh5h_fR-PStkgjlZtkrZpYurG0/edit?usp=sharing"",""ชลบุรี!I674"")"),0)</f>
        <v>0</v>
      </c>
      <c r="BC56" s="177">
        <f ca="1">IFERROR(__xludf.DUMMYFUNCTION("IMPORTRANGE(""https://docs.google.com/spreadsheets/d/11tr1B-Bhyr79v2bkwVh5h_fR-PStkgjlZtkrZpYurG0/edit?usp=sharing"",""ชลบุรี!I675"")"),0)</f>
        <v>0</v>
      </c>
      <c r="BD56" s="452">
        <f ca="1">IFERROR(__xludf.DUMMYFUNCTION("IMPORTRANGE(""https://docs.google.com/spreadsheets/d/11tr1B-Bhyr79v2bkwVh5h_fR-PStkgjlZtkrZpYurG0/edit?usp=sharing"",""ชลบุรี!J674"")"),0)</f>
        <v>0</v>
      </c>
      <c r="BE56" s="354">
        <f t="shared" ca="1" si="60"/>
        <v>0</v>
      </c>
      <c r="BF56" s="452">
        <f ca="1">IFERROR(__xludf.DUMMYFUNCTION("IMPORTRANGE(""https://docs.google.com/spreadsheets/d/11tr1B-Bhyr79v2bkwVh5h_fR-PStkgjlZtkrZpYurG0/edit?usp=sharing"",""ชลบุรี!J675"")"),0)</f>
        <v>0</v>
      </c>
      <c r="BG56" s="354">
        <f t="shared" ca="1" si="61"/>
        <v>0</v>
      </c>
      <c r="BH56" s="177">
        <f ca="1">IFERROR(__xludf.DUMMYFUNCTION("IMPORTRANGE(""https://docs.google.com/spreadsheets/d/11tr1B-Bhyr79v2bkwVh5h_fR-PStkgjlZtkrZpYurG0/edit?usp=sharing"",""ชลบุรี!I676"")"),0)</f>
        <v>0</v>
      </c>
      <c r="BI56" s="177">
        <f ca="1">IFERROR(__xludf.DUMMYFUNCTION("IMPORTRANGE(""https://docs.google.com/spreadsheets/d/11tr1B-Bhyr79v2bkwVh5h_fR-PStkgjlZtkrZpYurG0/edit?usp=sharing"",""ชลบุรี!I678"")"),0)</f>
        <v>0</v>
      </c>
      <c r="BJ56" s="452">
        <f ca="1">IFERROR(__xludf.DUMMYFUNCTION("IMPORTRANGE(""https://docs.google.com/spreadsheets/d/11tr1B-Bhyr79v2bkwVh5h_fR-PStkgjlZtkrZpYurG0/edit?usp=sharing"",""ชลบุรี!J676"")"),0)</f>
        <v>0</v>
      </c>
      <c r="BK56" s="452">
        <f ca="1">IFERROR(__xludf.DUMMYFUNCTION("IMPORTRANGE(""https://docs.google.com/spreadsheets/d/11tr1B-Bhyr79v2bkwVh5h_fR-PStkgjlZtkrZpYurG0/edit?usp=sharing"",""ชลบุรี!J677"")"),0)</f>
        <v>0</v>
      </c>
      <c r="BL56" s="452">
        <f ca="1">IFERROR(__xludf.DUMMYFUNCTION("IMPORTRANGE(""https://docs.google.com/spreadsheets/d/11tr1B-Bhyr79v2bkwVh5h_fR-PStkgjlZtkrZpYurG0/edit?usp=sharing"",""ชลบุรี!J678"")"),0)</f>
        <v>0</v>
      </c>
      <c r="BM56" s="177">
        <f ca="1">IFERROR(__xludf.DUMMYFUNCTION("IMPORTRANGE(""https://docs.google.com/spreadsheets/d/11tr1B-Bhyr79v2bkwVh5h_fR-PStkgjlZtkrZpYurG0/edit?usp=sharing"",""ชลบุรี!I679"")"),0)</f>
        <v>0</v>
      </c>
      <c r="BN56" s="177">
        <f ca="1">IFERROR(__xludf.DUMMYFUNCTION("IMPORTRANGE(""https://docs.google.com/spreadsheets/d/11tr1B-Bhyr79v2bkwVh5h_fR-PStkgjlZtkrZpYurG0/edit?usp=sharing"",""ชลบุรี!I681"")"),0)</f>
        <v>0</v>
      </c>
      <c r="BO56" s="452">
        <f ca="1">IFERROR(__xludf.DUMMYFUNCTION("IMPORTRANGE(""https://docs.google.com/spreadsheets/d/11tr1B-Bhyr79v2bkwVh5h_fR-PStkgjlZtkrZpYurG0/edit?usp=sharing"",""ชลบุรี!J679"")"),0)</f>
        <v>0</v>
      </c>
      <c r="BP56" s="452">
        <f ca="1">IFERROR(__xludf.DUMMYFUNCTION("IMPORTRANGE(""https://docs.google.com/spreadsheets/d/11tr1B-Bhyr79v2bkwVh5h_fR-PStkgjlZtkrZpYurG0/edit?usp=sharing"",""ชลบุรี!J680"")"),0)</f>
        <v>0</v>
      </c>
      <c r="BQ56" s="452">
        <f ca="1">IFERROR(__xludf.DUMMYFUNCTION("IMPORTRANGE(""https://docs.google.com/spreadsheets/d/11tr1B-Bhyr79v2bkwVh5h_fR-PStkgjlZtkrZpYurG0/edit?usp=sharing"",""ชลบุรี!J681"")"),0)</f>
        <v>0</v>
      </c>
      <c r="BR56" s="177">
        <f ca="1">IFERROR(__xludf.DUMMYFUNCTION("IMPORTRANGE(""https://docs.google.com/spreadsheets/d/11tr1B-Bhyr79v2bkwVh5h_fR-PStkgjlZtkrZpYurG0/edit?usp=sharing"",""ชลบุรี!I682"")"),0)</f>
        <v>0</v>
      </c>
      <c r="BS56" s="177">
        <f ca="1">IFERROR(__xludf.DUMMYFUNCTION("IMPORTRANGE(""https://docs.google.com/spreadsheets/d/11tr1B-Bhyr79v2bkwVh5h_fR-PStkgjlZtkrZpYurG0/edit?usp=sharing"",""ชลบุรี!J682"")"),0)</f>
        <v>0</v>
      </c>
      <c r="BT56" s="354">
        <f t="shared" ca="1" si="63"/>
        <v>0</v>
      </c>
      <c r="BU56" s="177">
        <f ca="1">IFERROR(__xludf.DUMMYFUNCTION("IMPORTRANGE(""https://docs.google.com/spreadsheets/d/11tr1B-Bhyr79v2bkwVh5h_fR-PStkgjlZtkrZpYurG0/edit?usp=sharing"",""ชลบุรี!J683"")"),0)</f>
        <v>0</v>
      </c>
      <c r="BV56" s="177">
        <f ca="1">IFERROR(__xludf.DUMMYFUNCTION("IMPORTRANGE(""https://docs.google.com/spreadsheets/d/11tr1B-Bhyr79v2bkwVh5h_fR-PStkgjlZtkrZpYurG0/edit?usp=sharing"",""ชลบุรี!J684"")"),0)</f>
        <v>0</v>
      </c>
      <c r="BW56" s="177">
        <f ca="1">IFERROR(__xludf.DUMMYFUNCTION("IMPORTRANGE(""https://docs.google.com/spreadsheets/d/11tr1B-Bhyr79v2bkwVh5h_fR-PStkgjlZtkrZpYurG0/edit?usp=sharing"",""ชลบุรี!J685"")"),0)</f>
        <v>0</v>
      </c>
      <c r="BX56" s="177">
        <f ca="1">IFERROR(__xludf.DUMMYFUNCTION("IMPORTRANGE(""https://docs.google.com/spreadsheets/d/11tr1B-Bhyr79v2bkwVh5h_fR-PStkgjlZtkrZpYurG0/edit?usp=sharing"",""ชลบุรี!J686"")"),0)</f>
        <v>0</v>
      </c>
      <c r="BY56" s="177">
        <f ca="1">IFERROR(__xludf.DUMMYFUNCTION("IMPORTRANGE(""https://docs.google.com/spreadsheets/d/11tr1B-Bhyr79v2bkwVh5h_fR-PStkgjlZtkrZpYurG0/edit?usp=sharing"",""ชลบุรี!J687"")"),0)</f>
        <v>0</v>
      </c>
      <c r="BZ56" s="177">
        <f ca="1">IFERROR(__xludf.DUMMYFUNCTION("IMPORTRANGE(""https://docs.google.com/spreadsheets/d/11tr1B-Bhyr79v2bkwVh5h_fR-PStkgjlZtkrZpYurG0/edit?usp=sharing"",""ชลบุรี!J688"")"),0)</f>
        <v>0</v>
      </c>
    </row>
    <row r="57" spans="1:78" ht="21.75" customHeight="1" x14ac:dyDescent="0.3">
      <c r="A57" s="89">
        <v>5</v>
      </c>
      <c r="B57" s="90" t="s">
        <v>83</v>
      </c>
      <c r="C57" s="174">
        <f t="shared" si="38"/>
        <v>0</v>
      </c>
      <c r="D57" s="175">
        <f t="shared" si="87"/>
        <v>0</v>
      </c>
      <c r="E57" s="403">
        <v>0</v>
      </c>
      <c r="F57" s="403">
        <v>0</v>
      </c>
      <c r="G57" s="403">
        <v>0</v>
      </c>
      <c r="H57" s="403">
        <v>0</v>
      </c>
      <c r="I57" s="403">
        <v>0</v>
      </c>
      <c r="J57" s="176">
        <f t="shared" si="40"/>
        <v>0</v>
      </c>
      <c r="K57" s="179">
        <f t="shared" si="41"/>
        <v>0</v>
      </c>
      <c r="L57" s="403">
        <v>0</v>
      </c>
      <c r="M57" s="87">
        <f t="shared" si="42"/>
        <v>0</v>
      </c>
      <c r="N57" s="87">
        <f t="shared" si="43"/>
        <v>0</v>
      </c>
      <c r="O57" s="403">
        <v>0</v>
      </c>
      <c r="P57" s="86">
        <f t="shared" si="44"/>
        <v>0</v>
      </c>
      <c r="Q57" s="87">
        <f t="shared" si="45"/>
        <v>0</v>
      </c>
      <c r="R57" s="87">
        <f ca="1">IFERROR(__xludf.DUMMYFUNCTION("IMPORTRANGE(""https://docs.google.com/spreadsheets/d/1hh-FVnSX0vozXhGluamEcS54Dw9_zqW0N7qJUWgJ0Sw/edit?usp=sharing"",""ชัยนาท!Q642"")"),10480)</f>
        <v>10480</v>
      </c>
      <c r="S57" s="87">
        <f ca="1">IFERROR(__xludf.DUMMYFUNCTION("IMPORTRANGE(""https://docs.google.com/spreadsheets/d/1hh-FVnSX0vozXhGluamEcS54Dw9_zqW0N7qJUWgJ0Sw/edit?usp=sharing"",""ชัยนาท!R642"")"),0)</f>
        <v>0</v>
      </c>
      <c r="T57" s="87">
        <f ca="1">IFERROR(__xludf.DUMMYFUNCTION("IMPORTRANGE(""https://docs.google.com/spreadsheets/d/1hh-FVnSX0vozXhGluamEcS54Dw9_zqW0N7qJUWgJ0Sw/edit?usp=sharing"",""ชัยนาท!S642"")"),0)</f>
        <v>0</v>
      </c>
      <c r="U57" s="87">
        <f t="shared" ca="1" si="47"/>
        <v>0</v>
      </c>
      <c r="V57" s="87">
        <f t="shared" ca="1" si="48"/>
        <v>0</v>
      </c>
      <c r="W57" s="353">
        <f ca="1">IFERROR(__xludf.DUMMYFUNCTION("IMPORTRANGE(""https://docs.google.com/spreadsheets/d/1hh-FVnSX0vozXhGluamEcS54Dw9_zqW0N7qJUWgJ0Sw/edit?usp=sharing"",""ชัยนาท!I652"")"),0)</f>
        <v>0</v>
      </c>
      <c r="X57" s="177">
        <f ca="1">IFERROR(__xludf.DUMMYFUNCTION("IMPORTRANGE(""https://docs.google.com/spreadsheets/d/1hh-FVnSX0vozXhGluamEcS54Dw9_zqW0N7qJUWgJ0Sw/edit?usp=sharing"",""ชัยนาท!J652"")"),0)</f>
        <v>0</v>
      </c>
      <c r="Y57" s="354">
        <f t="shared" ca="1" si="50"/>
        <v>0</v>
      </c>
      <c r="Z57" s="177">
        <f ca="1">IFERROR(__xludf.DUMMYFUNCTION("IMPORTRANGE(""https://docs.google.com/spreadsheets/d/1hh-FVnSX0vozXhGluamEcS54Dw9_zqW0N7qJUWgJ0Sw/edit?usp=sharing"",""ชัยนาท!I653"")"),0)</f>
        <v>0</v>
      </c>
      <c r="AA57" s="177">
        <f ca="1">IFERROR(__xludf.DUMMYFUNCTION("IMPORTRANGE(""https://docs.google.com/spreadsheets/d/1hh-FVnSX0vozXhGluamEcS54Dw9_zqW0N7qJUWgJ0Sw/edit?usp=sharing"",""ชัยนาท!J653"")"),0)</f>
        <v>0</v>
      </c>
      <c r="AB57" s="354">
        <f t="shared" ca="1" si="52"/>
        <v>0</v>
      </c>
      <c r="AC57" s="177">
        <f ca="1">IFERROR(__xludf.DUMMYFUNCTION("IMPORTRANGE(""https://docs.google.com/spreadsheets/d/1hh-FVnSX0vozXhGluamEcS54Dw9_zqW0N7qJUWgJ0Sw/edit?usp=sharing"",""ชัยนาท!I654"")"),120)</f>
        <v>120</v>
      </c>
      <c r="AD57" s="177">
        <f ca="1">IFERROR(__xludf.DUMMYFUNCTION("IMPORTRANGE(""https://docs.google.com/spreadsheets/d/1hh-FVnSX0vozXhGluamEcS54Dw9_zqW0N7qJUWgJ0Sw/edit?usp=sharing"",""ชัยนาท!J654"")"),0)</f>
        <v>0</v>
      </c>
      <c r="AE57" s="354">
        <f t="shared" ca="1" si="54"/>
        <v>0</v>
      </c>
      <c r="AF57" s="354">
        <f ca="1">IFERROR(__xludf.DUMMYFUNCTION("IMPORTRANGE(""https://docs.google.com/spreadsheets/d/1hh-FVnSX0vozXhGluamEcS54Dw9_zqW0N7qJUWgJ0Sw/edit?usp=sharing"",""ชัยนาท!J655"")"),0)</f>
        <v>0</v>
      </c>
      <c r="AG57" s="354">
        <f ca="1">IFERROR(__xludf.DUMMYFUNCTION("IMPORTRANGE(""https://docs.google.com/spreadsheets/d/1hh-FVnSX0vozXhGluamEcS54Dw9_zqW0N7qJUWgJ0Sw/edit?usp=sharing"",""ชัยนาท!J656"")"),0)</f>
        <v>0</v>
      </c>
      <c r="AH57" s="354">
        <f ca="1">IFERROR(__xludf.DUMMYFUNCTION("IMPORTRANGE(""https://docs.google.com/spreadsheets/d/1hh-FVnSX0vozXhGluamEcS54Dw9_zqW0N7qJUWgJ0Sw/edit?usp=sharing"",""ชัยนาท!J657"")"),0)</f>
        <v>0</v>
      </c>
      <c r="AI57" s="354">
        <f ca="1">IFERROR(__xludf.DUMMYFUNCTION("IMPORTRANGE(""https://docs.google.com/spreadsheets/d/1hh-FVnSX0vozXhGluamEcS54Dw9_zqW0N7qJUWgJ0Sw/edit?usp=sharing"",""ชัยนาท!J658"")"),0)</f>
        <v>0</v>
      </c>
      <c r="AJ57" s="354">
        <f ca="1">IFERROR(__xludf.DUMMYFUNCTION("IMPORTRANGE(""https://docs.google.com/spreadsheets/d/1hh-FVnSX0vozXhGluamEcS54Dw9_zqW0N7qJUWgJ0Sw/edit?usp=sharing"",""ชัยนาท!J659"")"),0)</f>
        <v>0</v>
      </c>
      <c r="AK57" s="354">
        <f ca="1">IFERROR(__xludf.DUMMYFUNCTION("IMPORTRANGE(""https://docs.google.com/spreadsheets/d/1hh-FVnSX0vozXhGluamEcS54Dw9_zqW0N7qJUWgJ0Sw/edit?usp=sharing"",""ชัยนาท!J660"")"),0)</f>
        <v>0</v>
      </c>
      <c r="AL57" s="177">
        <f ca="1">IFERROR(__xludf.DUMMYFUNCTION("IMPORTRANGE(""https://docs.google.com/spreadsheets/d/1hh-FVnSX0vozXhGluamEcS54Dw9_zqW0N7qJUWgJ0Sw/edit?usp=sharing"",""ชัยนาท!I661"")"),0)</f>
        <v>0</v>
      </c>
      <c r="AM57" s="177">
        <f ca="1">IFERROR(__xludf.DUMMYFUNCTION("IMPORTRANGE(""https://docs.google.com/spreadsheets/d/1hh-FVnSX0vozXhGluamEcS54Dw9_zqW0N7qJUWgJ0Sw/edit?usp=sharing"",""ชัยนาท!J661"")"),0)</f>
        <v>0</v>
      </c>
      <c r="AN57" s="354">
        <f t="shared" ca="1" si="56"/>
        <v>0</v>
      </c>
      <c r="AO57" s="177">
        <f ca="1">IFERROR(__xludf.DUMMYFUNCTION("IMPORTRANGE(""https://docs.google.com/spreadsheets/d/1hh-FVnSX0vozXhGluamEcS54Dw9_zqW0N7qJUWgJ0Sw/edit?usp=sharing"",""ชัยนาท!J662"")"),0)</f>
        <v>0</v>
      </c>
      <c r="AP57" s="177">
        <f ca="1">IFERROR(__xludf.DUMMYFUNCTION("IMPORTRANGE(""https://docs.google.com/spreadsheets/d/1hh-FVnSX0vozXhGluamEcS54Dw9_zqW0N7qJUWgJ0Sw/edit?usp=sharing"",""ชัยนาท!J663"")"),0)</f>
        <v>0</v>
      </c>
      <c r="AQ57" s="177">
        <f ca="1">IFERROR(__xludf.DUMMYFUNCTION("IMPORTRANGE(""https://docs.google.com/spreadsheets/d/1hh-FVnSX0vozXhGluamEcS54Dw9_zqW0N7qJUWgJ0Sw/edit?usp=sharing"",""ชัยนาท!J665"")"),0)</f>
        <v>0</v>
      </c>
      <c r="AR57" s="177">
        <f ca="1">IFERROR(__xludf.DUMMYFUNCTION("IMPORTRANGE(""https://docs.google.com/spreadsheets/d/1hh-FVnSX0vozXhGluamEcS54Dw9_zqW0N7qJUWgJ0Sw/edit?usp=sharing"",""ชัยนาท!J666"")"),0)</f>
        <v>0</v>
      </c>
      <c r="AS57" s="177">
        <f ca="1">IFERROR(__xludf.DUMMYFUNCTION("IMPORTRANGE(""https://docs.google.com/spreadsheets/d/1hh-FVnSX0vozXhGluamEcS54Dw9_zqW0N7qJUWgJ0Sw/edit?usp=sharing"",""ชัยนาท!J667"")"),0)</f>
        <v>0</v>
      </c>
      <c r="AT57" s="177">
        <f ca="1">IFERROR(__xludf.DUMMYFUNCTION("IMPORTRANGE(""https://docs.google.com/spreadsheets/d/1hh-FVnSX0vozXhGluamEcS54Dw9_zqW0N7qJUWgJ0Sw/edit?usp=sharing"",""ชัยนาท!J668"")"),0)</f>
        <v>0</v>
      </c>
      <c r="AU57" s="177">
        <f ca="1">IFERROR(__xludf.DUMMYFUNCTION("IMPORTRANGE(""https://docs.google.com/spreadsheets/d/1hh-FVnSX0vozXhGluamEcS54Dw9_zqW0N7qJUWgJ0Sw/edit?usp=sharing"",""ชัยนาท!J669"")"),0)</f>
        <v>0</v>
      </c>
      <c r="AV57" s="177">
        <f ca="1">IFERROR(__xludf.DUMMYFUNCTION("IMPORTRANGE(""https://docs.google.com/spreadsheets/d/1hh-FVnSX0vozXhGluamEcS54Dw9_zqW0N7qJUWgJ0Sw/edit?usp=sharing"",""ชัยนาท!J670"")"),0)</f>
        <v>0</v>
      </c>
      <c r="AW57" s="177">
        <v>0</v>
      </c>
      <c r="AX57" s="177">
        <f ca="1">IFERROR(__xludf.DUMMYFUNCTION("IMPORTRANGE(""https://docs.google.com/spreadsheets/d/1hh-FVnSX0vozXhGluamEcS54Dw9_zqW0N7qJUWgJ0Sw/edit?usp=sharing"",""ชัยนาท!J671"")"),0)</f>
        <v>0</v>
      </c>
      <c r="AY57" s="177">
        <f ca="1">IFERROR(__xludf.DUMMYFUNCTION("IMPORTRANGE(""https://docs.google.com/spreadsheets/d/1hh-FVnSX0vozXhGluamEcS54Dw9_zqW0N7qJUWgJ0Sw/edit?usp=sharing"",""ชัยนาท!J672"")"),0)</f>
        <v>0</v>
      </c>
      <c r="AZ57" s="177">
        <f ca="1">IFERROR(__xludf.DUMMYFUNCTION("IMPORTRANGE(""https://docs.google.com/spreadsheets/d/1hh-FVnSX0vozXhGluamEcS54Dw9_zqW0N7qJUWgJ0Sw/edit?usp=sharing"",""ชัยนาท!J673"")"),0)</f>
        <v>0</v>
      </c>
      <c r="BA57" s="354">
        <f t="shared" si="58"/>
        <v>0</v>
      </c>
      <c r="BB57" s="177">
        <f ca="1">IFERROR(__xludf.DUMMYFUNCTION("IMPORTRANGE(""https://docs.google.com/spreadsheets/d/1hh-FVnSX0vozXhGluamEcS54Dw9_zqW0N7qJUWgJ0Sw/edit?usp=sharing"",""ชัยนาท!I674"")"),9)</f>
        <v>9</v>
      </c>
      <c r="BC57" s="177">
        <f ca="1">IFERROR(__xludf.DUMMYFUNCTION("IMPORTRANGE(""https://docs.google.com/spreadsheets/d/1hh-FVnSX0vozXhGluamEcS54Dw9_zqW0N7qJUWgJ0Sw/edit?usp=sharing"",""ชัยนาท!I675"")"),140)</f>
        <v>140</v>
      </c>
      <c r="BD57" s="177">
        <f ca="1">IFERROR(__xludf.DUMMYFUNCTION("IMPORTRANGE(""https://docs.google.com/spreadsheets/d/1hh-FVnSX0vozXhGluamEcS54Dw9_zqW0N7qJUWgJ0Sw/edit?usp=sharing"",""ชัยนาท!J674"")"),0)</f>
        <v>0</v>
      </c>
      <c r="BE57" s="354">
        <f t="shared" ca="1" si="60"/>
        <v>0</v>
      </c>
      <c r="BF57" s="177">
        <f ca="1">IFERROR(__xludf.DUMMYFUNCTION("IMPORTRANGE(""https://docs.google.com/spreadsheets/d/1hh-FVnSX0vozXhGluamEcS54Dw9_zqW0N7qJUWgJ0Sw/edit?usp=sharing"",""ชัยนาท!J675"")"),0)</f>
        <v>0</v>
      </c>
      <c r="BG57" s="354">
        <f t="shared" ca="1" si="61"/>
        <v>0</v>
      </c>
      <c r="BH57" s="177">
        <f ca="1">IFERROR(__xludf.DUMMYFUNCTION("IMPORTRANGE(""https://docs.google.com/spreadsheets/d/1hh-FVnSX0vozXhGluamEcS54Dw9_zqW0N7qJUWgJ0Sw/edit?usp=sharing"",""ชัยนาท!I676"")"),9)</f>
        <v>9</v>
      </c>
      <c r="BI57" s="177">
        <f ca="1">IFERROR(__xludf.DUMMYFUNCTION("IMPORTRANGE(""https://docs.google.com/spreadsheets/d/1hh-FVnSX0vozXhGluamEcS54Dw9_zqW0N7qJUWgJ0Sw/edit?usp=sharing"",""ชัยนาท!I678"")"),140)</f>
        <v>140</v>
      </c>
      <c r="BJ57" s="177">
        <f ca="1">IFERROR(__xludf.DUMMYFUNCTION("IMPORTRANGE(""https://docs.google.com/spreadsheets/d/1hh-FVnSX0vozXhGluamEcS54Dw9_zqW0N7qJUWgJ0Sw/edit?usp=sharing"",""ชัยนาท!J676"")"),0)</f>
        <v>0</v>
      </c>
      <c r="BK57" s="177">
        <f ca="1">IFERROR(__xludf.DUMMYFUNCTION("IMPORTRANGE(""https://docs.google.com/spreadsheets/d/1hh-FVnSX0vozXhGluamEcS54Dw9_zqW0N7qJUWgJ0Sw/edit?usp=sharing"",""ชัยนาท!J677"")"),0)</f>
        <v>0</v>
      </c>
      <c r="BL57" s="177">
        <f ca="1">IFERROR(__xludf.DUMMYFUNCTION("IMPORTRANGE(""https://docs.google.com/spreadsheets/d/1hh-FVnSX0vozXhGluamEcS54Dw9_zqW0N7qJUWgJ0Sw/edit?usp=sharing"",""ชัยนาท!J678"")"),0)</f>
        <v>0</v>
      </c>
      <c r="BM57" s="177">
        <f ca="1">IFERROR(__xludf.DUMMYFUNCTION("IMPORTRANGE(""https://docs.google.com/spreadsheets/d/1hh-FVnSX0vozXhGluamEcS54Dw9_zqW0N7qJUWgJ0Sw/edit?usp=sharing"",""ชัยนาท!I679"")"),0)</f>
        <v>0</v>
      </c>
      <c r="BN57" s="177">
        <f ca="1">IFERROR(__xludf.DUMMYFUNCTION("IMPORTRANGE(""https://docs.google.com/spreadsheets/d/1hh-FVnSX0vozXhGluamEcS54Dw9_zqW0N7qJUWgJ0Sw/edit?usp=sharing"",""ชัยนาท!I681"")"),0)</f>
        <v>0</v>
      </c>
      <c r="BO57" s="177">
        <f ca="1">IFERROR(__xludf.DUMMYFUNCTION("IMPORTRANGE(""https://docs.google.com/spreadsheets/d/1hh-FVnSX0vozXhGluamEcS54Dw9_zqW0N7qJUWgJ0Sw/edit?usp=sharing"",""ชัยนาท!J679"")"),0)</f>
        <v>0</v>
      </c>
      <c r="BP57" s="177">
        <f ca="1">IFERROR(__xludf.DUMMYFUNCTION("IMPORTRANGE(""https://docs.google.com/spreadsheets/d/1hh-FVnSX0vozXhGluamEcS54Dw9_zqW0N7qJUWgJ0Sw/edit?usp=sharing"",""ชัยนาท!J680"")"),0)</f>
        <v>0</v>
      </c>
      <c r="BQ57" s="177">
        <f ca="1">IFERROR(__xludf.DUMMYFUNCTION("IMPORTRANGE(""https://docs.google.com/spreadsheets/d/1hh-FVnSX0vozXhGluamEcS54Dw9_zqW0N7qJUWgJ0Sw/edit?usp=sharing"",""ชัยนาท!J681"")"),0)</f>
        <v>0</v>
      </c>
      <c r="BR57" s="177">
        <f ca="1">IFERROR(__xludf.DUMMYFUNCTION("IMPORTRANGE(""https://docs.google.com/spreadsheets/d/1hh-FVnSX0vozXhGluamEcS54Dw9_zqW0N7qJUWgJ0Sw/edit?usp=sharing"",""ชัยนาท!I682"")"),0)</f>
        <v>0</v>
      </c>
      <c r="BS57" s="177">
        <f ca="1">IFERROR(__xludf.DUMMYFUNCTION("IMPORTRANGE(""https://docs.google.com/spreadsheets/d/1hh-FVnSX0vozXhGluamEcS54Dw9_zqW0N7qJUWgJ0Sw/edit?usp=sharing"",""ชัยนาท!J682"")"),0)</f>
        <v>0</v>
      </c>
      <c r="BT57" s="354">
        <f t="shared" ca="1" si="63"/>
        <v>0</v>
      </c>
      <c r="BU57" s="177">
        <f ca="1">IFERROR(__xludf.DUMMYFUNCTION("IMPORTRANGE(""https://docs.google.com/spreadsheets/d/1hh-FVnSX0vozXhGluamEcS54Dw9_zqW0N7qJUWgJ0Sw/edit?usp=sharing"",""ชัยนาท!J683"")"),0)</f>
        <v>0</v>
      </c>
      <c r="BV57" s="177">
        <f ca="1">IFERROR(__xludf.DUMMYFUNCTION("IMPORTRANGE(""https://docs.google.com/spreadsheets/d/1hh-FVnSX0vozXhGluamEcS54Dw9_zqW0N7qJUWgJ0Sw/edit?usp=sharing"",""ชัยนาท!J684"")"),0)</f>
        <v>0</v>
      </c>
      <c r="BW57" s="177">
        <f ca="1">IFERROR(__xludf.DUMMYFUNCTION("IMPORTRANGE(""https://docs.google.com/spreadsheets/d/1hh-FVnSX0vozXhGluamEcS54Dw9_zqW0N7qJUWgJ0Sw/edit?usp=sharing"",""ชัยนาท!J685"")"),0)</f>
        <v>0</v>
      </c>
      <c r="BX57" s="177">
        <f ca="1">IFERROR(__xludf.DUMMYFUNCTION("IMPORTRANGE(""https://docs.google.com/spreadsheets/d/1hh-FVnSX0vozXhGluamEcS54Dw9_zqW0N7qJUWgJ0Sw/edit?usp=sharing"",""ชัยนาท!J686"")"),0)</f>
        <v>0</v>
      </c>
      <c r="BY57" s="177">
        <f ca="1">IFERROR(__xludf.DUMMYFUNCTION("IMPORTRANGE(""https://docs.google.com/spreadsheets/d/1hh-FVnSX0vozXhGluamEcS54Dw9_zqW0N7qJUWgJ0Sw/edit?usp=sharing"",""ชัยนาท!J687"")"),0)</f>
        <v>0</v>
      </c>
      <c r="BZ57" s="177">
        <f ca="1">IFERROR(__xludf.DUMMYFUNCTION("IMPORTRANGE(""https://docs.google.com/spreadsheets/d/1hh-FVnSX0vozXhGluamEcS54Dw9_zqW0N7qJUWgJ0Sw/edit?usp=sharing"",""ชัยนาท!J688"")"),0)</f>
        <v>0</v>
      </c>
    </row>
    <row r="58" spans="1:78" ht="21.75" customHeight="1" x14ac:dyDescent="0.3">
      <c r="A58" s="89">
        <v>6</v>
      </c>
      <c r="B58" s="90" t="s">
        <v>84</v>
      </c>
      <c r="C58" s="174">
        <f t="shared" si="38"/>
        <v>0</v>
      </c>
      <c r="D58" s="175">
        <f t="shared" si="87"/>
        <v>0</v>
      </c>
      <c r="E58" s="403">
        <v>0</v>
      </c>
      <c r="F58" s="403">
        <v>0</v>
      </c>
      <c r="G58" s="403">
        <v>0</v>
      </c>
      <c r="H58" s="403">
        <v>0</v>
      </c>
      <c r="I58" s="403">
        <v>0</v>
      </c>
      <c r="J58" s="176">
        <f t="shared" si="40"/>
        <v>0</v>
      </c>
      <c r="K58" s="179">
        <f t="shared" si="41"/>
        <v>0</v>
      </c>
      <c r="L58" s="403">
        <v>0</v>
      </c>
      <c r="M58" s="87">
        <f t="shared" si="42"/>
        <v>0</v>
      </c>
      <c r="N58" s="87">
        <f t="shared" si="43"/>
        <v>0</v>
      </c>
      <c r="O58" s="403">
        <v>0</v>
      </c>
      <c r="P58" s="86">
        <f t="shared" si="44"/>
        <v>0</v>
      </c>
      <c r="Q58" s="87">
        <f t="shared" si="45"/>
        <v>0</v>
      </c>
      <c r="R58" s="87">
        <f ca="1">IFERROR(__xludf.DUMMYFUNCTION("IMPORTRANGE(""https://docs.google.com/spreadsheets/d/1jkqa6GXxSacMcY1eN8AHjMNJ_7dDXMJVRLDlaFSOdPM/edit?usp=sharing"",""ตราด!Q642"")"),0)</f>
        <v>0</v>
      </c>
      <c r="S58" s="87">
        <f ca="1">IFERROR(__xludf.DUMMYFUNCTION("IMPORTRANGE(""https://docs.google.com/spreadsheets/d/1jkqa6GXxSacMcY1eN8AHjMNJ_7dDXMJVRLDlaFSOdPM/edit?usp=sharing"",""ตราด!R642"")"),0)</f>
        <v>0</v>
      </c>
      <c r="T58" s="87">
        <f ca="1">IFERROR(__xludf.DUMMYFUNCTION("IMPORTRANGE(""https://docs.google.com/spreadsheets/d/1jkqa6GXxSacMcY1eN8AHjMNJ_7dDXMJVRLDlaFSOdPM/edit?usp=sharing"",""ตราด!S642"")"),0)</f>
        <v>0</v>
      </c>
      <c r="U58" s="87">
        <f t="shared" ca="1" si="47"/>
        <v>0</v>
      </c>
      <c r="V58" s="87">
        <f t="shared" ca="1" si="48"/>
        <v>0</v>
      </c>
      <c r="W58" s="353">
        <f ca="1">IFERROR(__xludf.DUMMYFUNCTION("IMPORTRANGE(""https://docs.google.com/spreadsheets/d/1jkqa6GXxSacMcY1eN8AHjMNJ_7dDXMJVRLDlaFSOdPM/edit?usp=sharing"",""ตราด!I652"")"),0)</f>
        <v>0</v>
      </c>
      <c r="X58" s="177">
        <f ca="1">IFERROR(__xludf.DUMMYFUNCTION("IMPORTRANGE(""https://docs.google.com/spreadsheets/d/1jkqa6GXxSacMcY1eN8AHjMNJ_7dDXMJVRLDlaFSOdPM/edit?usp=sharing"",""ตราด!J652"")"),0)</f>
        <v>0</v>
      </c>
      <c r="Y58" s="354">
        <f t="shared" ca="1" si="50"/>
        <v>0</v>
      </c>
      <c r="Z58" s="177">
        <f ca="1">IFERROR(__xludf.DUMMYFUNCTION("IMPORTRANGE(""https://docs.google.com/spreadsheets/d/1jkqa6GXxSacMcY1eN8AHjMNJ_7dDXMJVRLDlaFSOdPM/edit?usp=sharing"",""ตราด!I653"")"),0)</f>
        <v>0</v>
      </c>
      <c r="AA58" s="177">
        <f ca="1">IFERROR(__xludf.DUMMYFUNCTION("IMPORTRANGE(""https://docs.google.com/spreadsheets/d/1jkqa6GXxSacMcY1eN8AHjMNJ_7dDXMJVRLDlaFSOdPM/edit?usp=sharing"",""ตราด!J653"")"),0)</f>
        <v>0</v>
      </c>
      <c r="AB58" s="354">
        <f t="shared" ca="1" si="52"/>
        <v>0</v>
      </c>
      <c r="AC58" s="177">
        <f ca="1">IFERROR(__xludf.DUMMYFUNCTION("IMPORTRANGE(""https://docs.google.com/spreadsheets/d/1jkqa6GXxSacMcY1eN8AHjMNJ_7dDXMJVRLDlaFSOdPM/edit?usp=sharing"",""ตราด!I654"")"),0)</f>
        <v>0</v>
      </c>
      <c r="AD58" s="177">
        <f ca="1">IFERROR(__xludf.DUMMYFUNCTION("IMPORTRANGE(""https://docs.google.com/spreadsheets/d/1jkqa6GXxSacMcY1eN8AHjMNJ_7dDXMJVRLDlaFSOdPM/edit?usp=sharing"",""ตราด!J654"")"),0)</f>
        <v>0</v>
      </c>
      <c r="AE58" s="354">
        <f t="shared" ca="1" si="54"/>
        <v>0</v>
      </c>
      <c r="AF58" s="354">
        <f ca="1">IFERROR(__xludf.DUMMYFUNCTION("IMPORTRANGE(""https://docs.google.com/spreadsheets/d/1jkqa6GXxSacMcY1eN8AHjMNJ_7dDXMJVRLDlaFSOdPM/edit?usp=sharing"",""ตราด!J655"")"),0)</f>
        <v>0</v>
      </c>
      <c r="AG58" s="354">
        <f ca="1">IFERROR(__xludf.DUMMYFUNCTION("IMPORTRANGE(""https://docs.google.com/spreadsheets/d/1jkqa6GXxSacMcY1eN8AHjMNJ_7dDXMJVRLDlaFSOdPM/edit?usp=sharing"",""ตราด!J656"")"),0)</f>
        <v>0</v>
      </c>
      <c r="AH58" s="354">
        <f ca="1">IFERROR(__xludf.DUMMYFUNCTION("IMPORTRANGE(""https://docs.google.com/spreadsheets/d/1jkqa6GXxSacMcY1eN8AHjMNJ_7dDXMJVRLDlaFSOdPM/edit?usp=sharing"",""ตราด!J657"")"),0)</f>
        <v>0</v>
      </c>
      <c r="AI58" s="354">
        <f ca="1">IFERROR(__xludf.DUMMYFUNCTION("IMPORTRANGE(""https://docs.google.com/spreadsheets/d/1jkqa6GXxSacMcY1eN8AHjMNJ_7dDXMJVRLDlaFSOdPM/edit?usp=sharing"",""ตราด!J658"")"),0)</f>
        <v>0</v>
      </c>
      <c r="AJ58" s="354">
        <f ca="1">IFERROR(__xludf.DUMMYFUNCTION("IMPORTRANGE(""https://docs.google.com/spreadsheets/d/1jkqa6GXxSacMcY1eN8AHjMNJ_7dDXMJVRLDlaFSOdPM/edit?usp=sharing"",""ตราด!J659"")"),0)</f>
        <v>0</v>
      </c>
      <c r="AK58" s="354">
        <f ca="1">IFERROR(__xludf.DUMMYFUNCTION("IMPORTRANGE(""https://docs.google.com/spreadsheets/d/1jkqa6GXxSacMcY1eN8AHjMNJ_7dDXMJVRLDlaFSOdPM/edit?usp=sharing"",""ตราด!J660"")"),0)</f>
        <v>0</v>
      </c>
      <c r="AL58" s="177">
        <f ca="1">IFERROR(__xludf.DUMMYFUNCTION("IMPORTRANGE(""https://docs.google.com/spreadsheets/d/1jkqa6GXxSacMcY1eN8AHjMNJ_7dDXMJVRLDlaFSOdPM/edit?usp=sharing"",""ตราด!I661"")"),0)</f>
        <v>0</v>
      </c>
      <c r="AM58" s="177">
        <f ca="1">IFERROR(__xludf.DUMMYFUNCTION("IMPORTRANGE(""https://docs.google.com/spreadsheets/d/1jkqa6GXxSacMcY1eN8AHjMNJ_7dDXMJVRLDlaFSOdPM/edit?usp=sharing"",""ตราด!J661"")"),0)</f>
        <v>0</v>
      </c>
      <c r="AN58" s="354">
        <f t="shared" ca="1" si="56"/>
        <v>0</v>
      </c>
      <c r="AO58" s="177">
        <f ca="1">IFERROR(__xludf.DUMMYFUNCTION("IMPORTRANGE(""https://docs.google.com/spreadsheets/d/1jkqa6GXxSacMcY1eN8AHjMNJ_7dDXMJVRLDlaFSOdPM/edit?usp=sharing"",""ตราด!J662"")"),0)</f>
        <v>0</v>
      </c>
      <c r="AP58" s="177">
        <f ca="1">IFERROR(__xludf.DUMMYFUNCTION("IMPORTRANGE(""https://docs.google.com/spreadsheets/d/1jkqa6GXxSacMcY1eN8AHjMNJ_7dDXMJVRLDlaFSOdPM/edit?usp=sharing"",""ตราด!J663"")"),0)</f>
        <v>0</v>
      </c>
      <c r="AQ58" s="177">
        <f ca="1">IFERROR(__xludf.DUMMYFUNCTION("IMPORTRANGE(""https://docs.google.com/spreadsheets/d/1jkqa6GXxSacMcY1eN8AHjMNJ_7dDXMJVRLDlaFSOdPM/edit?usp=sharing"",""ตราด!J665"")"),0)</f>
        <v>0</v>
      </c>
      <c r="AR58" s="177">
        <f ca="1">IFERROR(__xludf.DUMMYFUNCTION("IMPORTRANGE(""https://docs.google.com/spreadsheets/d/1jkqa6GXxSacMcY1eN8AHjMNJ_7dDXMJVRLDlaFSOdPM/edit?usp=sharing"",""ตราด!J666"")"),0)</f>
        <v>0</v>
      </c>
      <c r="AS58" s="177">
        <f ca="1">IFERROR(__xludf.DUMMYFUNCTION("IMPORTRANGE(""https://docs.google.com/spreadsheets/d/1jkqa6GXxSacMcY1eN8AHjMNJ_7dDXMJVRLDlaFSOdPM/edit?usp=sharing"",""ตราด!J667"")"),0)</f>
        <v>0</v>
      </c>
      <c r="AT58" s="177">
        <f ca="1">IFERROR(__xludf.DUMMYFUNCTION("IMPORTRANGE(""https://docs.google.com/spreadsheets/d/1jkqa6GXxSacMcY1eN8AHjMNJ_7dDXMJVRLDlaFSOdPM/edit?usp=sharing"",""ตราด!J668"")"),0)</f>
        <v>0</v>
      </c>
      <c r="AU58" s="177">
        <f ca="1">IFERROR(__xludf.DUMMYFUNCTION("IMPORTRANGE(""https://docs.google.com/spreadsheets/d/1jkqa6GXxSacMcY1eN8AHjMNJ_7dDXMJVRLDlaFSOdPM/edit?usp=sharing"",""ตราด!J669"")"),0)</f>
        <v>0</v>
      </c>
      <c r="AV58" s="177">
        <f ca="1">IFERROR(__xludf.DUMMYFUNCTION("IMPORTRANGE(""https://docs.google.com/spreadsheets/d/1jkqa6GXxSacMcY1eN8AHjMNJ_7dDXMJVRLDlaFSOdPM/edit?usp=sharing"",""ตราด!J670"")"),0)</f>
        <v>0</v>
      </c>
      <c r="AW58" s="177">
        <v>0</v>
      </c>
      <c r="AX58" s="177">
        <f ca="1">IFERROR(__xludf.DUMMYFUNCTION("IMPORTRANGE(""https://docs.google.com/spreadsheets/d/1jkqa6GXxSacMcY1eN8AHjMNJ_7dDXMJVRLDlaFSOdPM/edit?usp=sharing"",""ตราด!J671"")"),0)</f>
        <v>0</v>
      </c>
      <c r="AY58" s="177">
        <f ca="1">IFERROR(__xludf.DUMMYFUNCTION("IMPORTRANGE(""https://docs.google.com/spreadsheets/d/1jkqa6GXxSacMcY1eN8AHjMNJ_7dDXMJVRLDlaFSOdPM/edit?usp=sharing"",""ตราด!J672"")"),0)</f>
        <v>0</v>
      </c>
      <c r="AZ58" s="177">
        <f ca="1">IFERROR(__xludf.DUMMYFUNCTION("IMPORTRANGE(""https://docs.google.com/spreadsheets/d/1jkqa6GXxSacMcY1eN8AHjMNJ_7dDXMJVRLDlaFSOdPM/edit?usp=sharing"",""ตราด!J673"")"),0)</f>
        <v>0</v>
      </c>
      <c r="BA58" s="354">
        <f t="shared" si="58"/>
        <v>0</v>
      </c>
      <c r="BB58" s="177">
        <f ca="1">IFERROR(__xludf.DUMMYFUNCTION("IMPORTRANGE(""https://docs.google.com/spreadsheets/d/1jkqa6GXxSacMcY1eN8AHjMNJ_7dDXMJVRLDlaFSOdPM/edit?usp=sharing"",""ตราด!I674"")"),0)</f>
        <v>0</v>
      </c>
      <c r="BC58" s="177">
        <f ca="1">IFERROR(__xludf.DUMMYFUNCTION("IMPORTRANGE(""https://docs.google.com/spreadsheets/d/1jkqa6GXxSacMcY1eN8AHjMNJ_7dDXMJVRLDlaFSOdPM/edit?usp=sharing"",""ตราด!I675"")"),0)</f>
        <v>0</v>
      </c>
      <c r="BD58" s="177">
        <f ca="1">IFERROR(__xludf.DUMMYFUNCTION("IMPORTRANGE(""https://docs.google.com/spreadsheets/d/1jkqa6GXxSacMcY1eN8AHjMNJ_7dDXMJVRLDlaFSOdPM/edit?usp=sharing"",""ตราด!J674"")"),0)</f>
        <v>0</v>
      </c>
      <c r="BE58" s="354">
        <f t="shared" ca="1" si="60"/>
        <v>0</v>
      </c>
      <c r="BF58" s="177">
        <f ca="1">IFERROR(__xludf.DUMMYFUNCTION("IMPORTRANGE(""https://docs.google.com/spreadsheets/d/1jkqa6GXxSacMcY1eN8AHjMNJ_7dDXMJVRLDlaFSOdPM/edit?usp=sharing"",""ตราด!J675"")"),0)</f>
        <v>0</v>
      </c>
      <c r="BG58" s="354">
        <f t="shared" ca="1" si="61"/>
        <v>0</v>
      </c>
      <c r="BH58" s="177">
        <f ca="1">IFERROR(__xludf.DUMMYFUNCTION("IMPORTRANGE(""https://docs.google.com/spreadsheets/d/1jkqa6GXxSacMcY1eN8AHjMNJ_7dDXMJVRLDlaFSOdPM/edit?usp=sharing"",""ตราด!I676"")"),0)</f>
        <v>0</v>
      </c>
      <c r="BI58" s="177">
        <f ca="1">IFERROR(__xludf.DUMMYFUNCTION("IMPORTRANGE(""https://docs.google.com/spreadsheets/d/1jkqa6GXxSacMcY1eN8AHjMNJ_7dDXMJVRLDlaFSOdPM/edit?usp=sharing"",""ตราด!I678"")"),0)</f>
        <v>0</v>
      </c>
      <c r="BJ58" s="177">
        <f ca="1">IFERROR(__xludf.DUMMYFUNCTION("IMPORTRANGE(""https://docs.google.com/spreadsheets/d/1jkqa6GXxSacMcY1eN8AHjMNJ_7dDXMJVRLDlaFSOdPM/edit?usp=sharing"",""ตราด!J676"")"),0)</f>
        <v>0</v>
      </c>
      <c r="BK58" s="177">
        <f ca="1">IFERROR(__xludf.DUMMYFUNCTION("IMPORTRANGE(""https://docs.google.com/spreadsheets/d/1jkqa6GXxSacMcY1eN8AHjMNJ_7dDXMJVRLDlaFSOdPM/edit?usp=sharing"",""ตราด!J677"")"),0)</f>
        <v>0</v>
      </c>
      <c r="BL58" s="177">
        <f ca="1">IFERROR(__xludf.DUMMYFUNCTION("IMPORTRANGE(""https://docs.google.com/spreadsheets/d/1jkqa6GXxSacMcY1eN8AHjMNJ_7dDXMJVRLDlaFSOdPM/edit?usp=sharing"",""ตราด!J678"")"),0)</f>
        <v>0</v>
      </c>
      <c r="BM58" s="177">
        <f ca="1">IFERROR(__xludf.DUMMYFUNCTION("IMPORTRANGE(""https://docs.google.com/spreadsheets/d/1jkqa6GXxSacMcY1eN8AHjMNJ_7dDXMJVRLDlaFSOdPM/edit?usp=sharing"",""ตราด!I679"")"),0)</f>
        <v>0</v>
      </c>
      <c r="BN58" s="177">
        <f ca="1">IFERROR(__xludf.DUMMYFUNCTION("IMPORTRANGE(""https://docs.google.com/spreadsheets/d/1jkqa6GXxSacMcY1eN8AHjMNJ_7dDXMJVRLDlaFSOdPM/edit?usp=sharing"",""ตราด!I681"")"),0)</f>
        <v>0</v>
      </c>
      <c r="BO58" s="177">
        <f ca="1">IFERROR(__xludf.DUMMYFUNCTION("IMPORTRANGE(""https://docs.google.com/spreadsheets/d/1jkqa6GXxSacMcY1eN8AHjMNJ_7dDXMJVRLDlaFSOdPM/edit?usp=sharing"",""ตราด!J679"")"),0)</f>
        <v>0</v>
      </c>
      <c r="BP58" s="177">
        <f ca="1">IFERROR(__xludf.DUMMYFUNCTION("IMPORTRANGE(""https://docs.google.com/spreadsheets/d/1jkqa6GXxSacMcY1eN8AHjMNJ_7dDXMJVRLDlaFSOdPM/edit?usp=sharing"",""ตราด!J680"")"),0)</f>
        <v>0</v>
      </c>
      <c r="BQ58" s="177">
        <f ca="1">IFERROR(__xludf.DUMMYFUNCTION("IMPORTRANGE(""https://docs.google.com/spreadsheets/d/1jkqa6GXxSacMcY1eN8AHjMNJ_7dDXMJVRLDlaFSOdPM/edit?usp=sharing"",""ตราด!J681"")"),0)</f>
        <v>0</v>
      </c>
      <c r="BR58" s="177">
        <f ca="1">IFERROR(__xludf.DUMMYFUNCTION("IMPORTRANGE(""https://docs.google.com/spreadsheets/d/1jkqa6GXxSacMcY1eN8AHjMNJ_7dDXMJVRLDlaFSOdPM/edit?usp=sharing"",""ตราด!I682"")"),0)</f>
        <v>0</v>
      </c>
      <c r="BS58" s="177">
        <f ca="1">IFERROR(__xludf.DUMMYFUNCTION("IMPORTRANGE(""https://docs.google.com/spreadsheets/d/1jkqa6GXxSacMcY1eN8AHjMNJ_7dDXMJVRLDlaFSOdPM/edit?usp=sharing"",""ตราด!J682"")"),0)</f>
        <v>0</v>
      </c>
      <c r="BT58" s="354">
        <f t="shared" ca="1" si="63"/>
        <v>0</v>
      </c>
      <c r="BU58" s="177">
        <f ca="1">IFERROR(__xludf.DUMMYFUNCTION("IMPORTRANGE(""https://docs.google.com/spreadsheets/d/1jkqa6GXxSacMcY1eN8AHjMNJ_7dDXMJVRLDlaFSOdPM/edit?usp=sharing"",""ตราด!J683"")"),0)</f>
        <v>0</v>
      </c>
      <c r="BV58" s="177">
        <f ca="1">IFERROR(__xludf.DUMMYFUNCTION("IMPORTRANGE(""https://docs.google.com/spreadsheets/d/1jkqa6GXxSacMcY1eN8AHjMNJ_7dDXMJVRLDlaFSOdPM/edit?usp=sharing"",""ตราด!J684"")"),0)</f>
        <v>0</v>
      </c>
      <c r="BW58" s="177">
        <f ca="1">IFERROR(__xludf.DUMMYFUNCTION("IMPORTRANGE(""https://docs.google.com/spreadsheets/d/1jkqa6GXxSacMcY1eN8AHjMNJ_7dDXMJVRLDlaFSOdPM/edit?usp=sharing"",""ตราด!J685"")"),0)</f>
        <v>0</v>
      </c>
      <c r="BX58" s="177">
        <f ca="1">IFERROR(__xludf.DUMMYFUNCTION("IMPORTRANGE(""https://docs.google.com/spreadsheets/d/1jkqa6GXxSacMcY1eN8AHjMNJ_7dDXMJVRLDlaFSOdPM/edit?usp=sharing"",""ตราด!J686"")"),0)</f>
        <v>0</v>
      </c>
      <c r="BY58" s="177">
        <f ca="1">IFERROR(__xludf.DUMMYFUNCTION("IMPORTRANGE(""https://docs.google.com/spreadsheets/d/1jkqa6GXxSacMcY1eN8AHjMNJ_7dDXMJVRLDlaFSOdPM/edit?usp=sharing"",""ตราด!J687"")"),0)</f>
        <v>0</v>
      </c>
      <c r="BZ58" s="177">
        <f ca="1">IFERROR(__xludf.DUMMYFUNCTION("IMPORTRANGE(""https://docs.google.com/spreadsheets/d/1jkqa6GXxSacMcY1eN8AHjMNJ_7dDXMJVRLDlaFSOdPM/edit?usp=sharing"",""ตราด!J688"")"),0)</f>
        <v>0</v>
      </c>
    </row>
    <row r="59" spans="1:78" ht="21.75" customHeight="1" x14ac:dyDescent="0.3">
      <c r="A59" s="89">
        <v>7</v>
      </c>
      <c r="B59" s="90" t="s">
        <v>85</v>
      </c>
      <c r="C59" s="174">
        <f t="shared" si="38"/>
        <v>0</v>
      </c>
      <c r="D59" s="175">
        <f t="shared" si="87"/>
        <v>0</v>
      </c>
      <c r="E59" s="403">
        <v>0</v>
      </c>
      <c r="F59" s="403">
        <v>0</v>
      </c>
      <c r="G59" s="403">
        <v>0</v>
      </c>
      <c r="H59" s="403">
        <v>0</v>
      </c>
      <c r="I59" s="403">
        <v>0</v>
      </c>
      <c r="J59" s="176">
        <f t="shared" si="40"/>
        <v>0</v>
      </c>
      <c r="K59" s="179">
        <f t="shared" si="41"/>
        <v>0</v>
      </c>
      <c r="L59" s="403">
        <v>0</v>
      </c>
      <c r="M59" s="87">
        <f t="shared" si="42"/>
        <v>0</v>
      </c>
      <c r="N59" s="87">
        <f t="shared" si="43"/>
        <v>0</v>
      </c>
      <c r="O59" s="403">
        <v>0</v>
      </c>
      <c r="P59" s="86">
        <f t="shared" si="44"/>
        <v>0</v>
      </c>
      <c r="Q59" s="87">
        <f t="shared" si="45"/>
        <v>0</v>
      </c>
      <c r="R59" s="87">
        <f ca="1">IFERROR(__xludf.DUMMYFUNCTION("IMPORTRANGE(""https://docs.google.com/spreadsheets/d/18hSgUJ3VwClqi_qtULmmW3cLr0oe3OKaSYoKzdpTsYQ/edit?usp=sharing"",""นครนายก!Q642"")"),81800)</f>
        <v>81800</v>
      </c>
      <c r="S59" s="87">
        <f ca="1">IFERROR(__xludf.DUMMYFUNCTION("IMPORTRANGE(""https://docs.google.com/spreadsheets/d/18hSgUJ3VwClqi_qtULmmW3cLr0oe3OKaSYoKzdpTsYQ/edit?usp=sharing"",""นครนายก!R642"")"),0)</f>
        <v>0</v>
      </c>
      <c r="T59" s="87">
        <f ca="1">IFERROR(__xludf.DUMMYFUNCTION("IMPORTRANGE(""https://docs.google.com/spreadsheets/d/18hSgUJ3VwClqi_qtULmmW3cLr0oe3OKaSYoKzdpTsYQ/edit?usp=sharing"",""นครนายก!S642"")"),0)</f>
        <v>0</v>
      </c>
      <c r="U59" s="87">
        <f t="shared" ca="1" si="47"/>
        <v>0</v>
      </c>
      <c r="V59" s="87">
        <f t="shared" ca="1" si="48"/>
        <v>0</v>
      </c>
      <c r="W59" s="353">
        <f ca="1">IFERROR(__xludf.DUMMYFUNCTION("IMPORTRANGE(""https://docs.google.com/spreadsheets/d/18hSgUJ3VwClqi_qtULmmW3cLr0oe3OKaSYoKzdpTsYQ/edit?usp=sharing"",""นครนายก!I652"")"),0)</f>
        <v>0</v>
      </c>
      <c r="X59" s="177">
        <f ca="1">IFERROR(__xludf.DUMMYFUNCTION("IMPORTRANGE(""https://docs.google.com/spreadsheets/d/18hSgUJ3VwClqi_qtULmmW3cLr0oe3OKaSYoKzdpTsYQ/edit?usp=sharing"",""นครนายก!J652"")"),0)</f>
        <v>0</v>
      </c>
      <c r="Y59" s="354">
        <f t="shared" ca="1" si="50"/>
        <v>0</v>
      </c>
      <c r="Z59" s="177">
        <f ca="1">IFERROR(__xludf.DUMMYFUNCTION("IMPORTRANGE(""https://docs.google.com/spreadsheets/d/18hSgUJ3VwClqi_qtULmmW3cLr0oe3OKaSYoKzdpTsYQ/edit?usp=sharing"",""นครนายก!I653"")"),5)</f>
        <v>5</v>
      </c>
      <c r="AA59" s="177">
        <f ca="1">IFERROR(__xludf.DUMMYFUNCTION("IMPORTRANGE(""https://docs.google.com/spreadsheets/d/18hSgUJ3VwClqi_qtULmmW3cLr0oe3OKaSYoKzdpTsYQ/edit?usp=sharing"",""นครนายก!J653"")"),0)</f>
        <v>0</v>
      </c>
      <c r="AB59" s="354">
        <f t="shared" ca="1" si="52"/>
        <v>0</v>
      </c>
      <c r="AC59" s="177">
        <f ca="1">IFERROR(__xludf.DUMMYFUNCTION("IMPORTRANGE(""https://docs.google.com/spreadsheets/d/18hSgUJ3VwClqi_qtULmmW3cLr0oe3OKaSYoKzdpTsYQ/edit?usp=sharing"",""นครนายก!I654"")"),225)</f>
        <v>225</v>
      </c>
      <c r="AD59" s="177">
        <f ca="1">IFERROR(__xludf.DUMMYFUNCTION("IMPORTRANGE(""https://docs.google.com/spreadsheets/d/18hSgUJ3VwClqi_qtULmmW3cLr0oe3OKaSYoKzdpTsYQ/edit?usp=sharing"",""นครนายก!J654"")"),0)</f>
        <v>0</v>
      </c>
      <c r="AE59" s="354">
        <f t="shared" ca="1" si="54"/>
        <v>0</v>
      </c>
      <c r="AF59" s="354">
        <f ca="1">IFERROR(__xludf.DUMMYFUNCTION("IMPORTRANGE(""https://docs.google.com/spreadsheets/d/18hSgUJ3VwClqi_qtULmmW3cLr0oe3OKaSYoKzdpTsYQ/edit?usp=sharing"",""นครนายก!J655"")"),0)</f>
        <v>0</v>
      </c>
      <c r="AG59" s="354">
        <f ca="1">IFERROR(__xludf.DUMMYFUNCTION("IMPORTRANGE(""https://docs.google.com/spreadsheets/d/18hSgUJ3VwClqi_qtULmmW3cLr0oe3OKaSYoKzdpTsYQ/edit?usp=sharing"",""นครนายก!J656"")"),0)</f>
        <v>0</v>
      </c>
      <c r="AH59" s="354">
        <f ca="1">IFERROR(__xludf.DUMMYFUNCTION("IMPORTRANGE(""https://docs.google.com/spreadsheets/d/18hSgUJ3VwClqi_qtULmmW3cLr0oe3OKaSYoKzdpTsYQ/edit?usp=sharing"",""นครนายก!J657"")"),0)</f>
        <v>0</v>
      </c>
      <c r="AI59" s="354">
        <f ca="1">IFERROR(__xludf.DUMMYFUNCTION("IMPORTRANGE(""https://docs.google.com/spreadsheets/d/18hSgUJ3VwClqi_qtULmmW3cLr0oe3OKaSYoKzdpTsYQ/edit?usp=sharing"",""นครนายก!J658"")"),0)</f>
        <v>0</v>
      </c>
      <c r="AJ59" s="354">
        <f ca="1">IFERROR(__xludf.DUMMYFUNCTION("IMPORTRANGE(""https://docs.google.com/spreadsheets/d/18hSgUJ3VwClqi_qtULmmW3cLr0oe3OKaSYoKzdpTsYQ/edit?usp=sharing"",""นครนายก!J659"")"),0)</f>
        <v>0</v>
      </c>
      <c r="AK59" s="354">
        <f ca="1">IFERROR(__xludf.DUMMYFUNCTION("IMPORTRANGE(""https://docs.google.com/spreadsheets/d/18hSgUJ3VwClqi_qtULmmW3cLr0oe3OKaSYoKzdpTsYQ/edit?usp=sharing"",""นครนายก!J660"")"),0)</f>
        <v>0</v>
      </c>
      <c r="AL59" s="177">
        <f ca="1">IFERROR(__xludf.DUMMYFUNCTION("IMPORTRANGE(""https://docs.google.com/spreadsheets/d/18hSgUJ3VwClqi_qtULmmW3cLr0oe3OKaSYoKzdpTsYQ/edit?usp=sharing"",""นครนายก!I661"")"),100)</f>
        <v>100</v>
      </c>
      <c r="AM59" s="177">
        <f ca="1">IFERROR(__xludf.DUMMYFUNCTION("IMPORTRANGE(""https://docs.google.com/spreadsheets/d/18hSgUJ3VwClqi_qtULmmW3cLr0oe3OKaSYoKzdpTsYQ/edit?usp=sharing"",""นครนายก!J661"")"),0)</f>
        <v>0</v>
      </c>
      <c r="AN59" s="354">
        <f t="shared" ca="1" si="56"/>
        <v>0</v>
      </c>
      <c r="AO59" s="177">
        <f ca="1">IFERROR(__xludf.DUMMYFUNCTION("IMPORTRANGE(""https://docs.google.com/spreadsheets/d/18hSgUJ3VwClqi_qtULmmW3cLr0oe3OKaSYoKzdpTsYQ/edit?usp=sharing"",""นครนายก!J662"")"),0)</f>
        <v>0</v>
      </c>
      <c r="AP59" s="177">
        <f ca="1">IFERROR(__xludf.DUMMYFUNCTION("IMPORTRANGE(""https://docs.google.com/spreadsheets/d/18hSgUJ3VwClqi_qtULmmW3cLr0oe3OKaSYoKzdpTsYQ/edit?usp=sharing"",""นครนายก!J663"")"),0)</f>
        <v>0</v>
      </c>
      <c r="AQ59" s="177">
        <f ca="1">IFERROR(__xludf.DUMMYFUNCTION("IMPORTRANGE(""https://docs.google.com/spreadsheets/d/18hSgUJ3VwClqi_qtULmmW3cLr0oe3OKaSYoKzdpTsYQ/edit?usp=sharing"",""นครนายก!J665"")"),0)</f>
        <v>0</v>
      </c>
      <c r="AR59" s="177">
        <f ca="1">IFERROR(__xludf.DUMMYFUNCTION("IMPORTRANGE(""https://docs.google.com/spreadsheets/d/18hSgUJ3VwClqi_qtULmmW3cLr0oe3OKaSYoKzdpTsYQ/edit?usp=sharing"",""นครนายก!J666"")"),0)</f>
        <v>0</v>
      </c>
      <c r="AS59" s="177">
        <f ca="1">IFERROR(__xludf.DUMMYFUNCTION("IMPORTRANGE(""https://docs.google.com/spreadsheets/d/18hSgUJ3VwClqi_qtULmmW3cLr0oe3OKaSYoKzdpTsYQ/edit?usp=sharing"",""นครนายก!J667"")"),0)</f>
        <v>0</v>
      </c>
      <c r="AT59" s="177">
        <f ca="1">IFERROR(__xludf.DUMMYFUNCTION("IMPORTRANGE(""https://docs.google.com/spreadsheets/d/18hSgUJ3VwClqi_qtULmmW3cLr0oe3OKaSYoKzdpTsYQ/edit?usp=sharing"",""นครนายก!J668"")"),0)</f>
        <v>0</v>
      </c>
      <c r="AU59" s="177">
        <f ca="1">IFERROR(__xludf.DUMMYFUNCTION("IMPORTRANGE(""https://docs.google.com/spreadsheets/d/18hSgUJ3VwClqi_qtULmmW3cLr0oe3OKaSYoKzdpTsYQ/edit?usp=sharing"",""นครนายก!J669"")"),0)</f>
        <v>0</v>
      </c>
      <c r="AV59" s="177">
        <f ca="1">IFERROR(__xludf.DUMMYFUNCTION("IMPORTRANGE(""https://docs.google.com/spreadsheets/d/18hSgUJ3VwClqi_qtULmmW3cLr0oe3OKaSYoKzdpTsYQ/edit?usp=sharing"",""นครนายก!J670"")"),0)</f>
        <v>0</v>
      </c>
      <c r="AW59" s="177">
        <v>0</v>
      </c>
      <c r="AX59" s="177">
        <f ca="1">IFERROR(__xludf.DUMMYFUNCTION("IMPORTRANGE(""https://docs.google.com/spreadsheets/d/18hSgUJ3VwClqi_qtULmmW3cLr0oe3OKaSYoKzdpTsYQ/edit?usp=sharing"",""นครนายก!J671"")"),0)</f>
        <v>0</v>
      </c>
      <c r="AY59" s="177">
        <f ca="1">IFERROR(__xludf.DUMMYFUNCTION("IMPORTRANGE(""https://docs.google.com/spreadsheets/d/18hSgUJ3VwClqi_qtULmmW3cLr0oe3OKaSYoKzdpTsYQ/edit?usp=sharing"",""นครนายก!J672"")"),0)</f>
        <v>0</v>
      </c>
      <c r="AZ59" s="177">
        <f ca="1">IFERROR(__xludf.DUMMYFUNCTION("IMPORTRANGE(""https://docs.google.com/spreadsheets/d/18hSgUJ3VwClqi_qtULmmW3cLr0oe3OKaSYoKzdpTsYQ/edit?usp=sharing"",""นครนายก!J673"")"),0)</f>
        <v>0</v>
      </c>
      <c r="BA59" s="354">
        <f t="shared" si="58"/>
        <v>0</v>
      </c>
      <c r="BB59" s="177">
        <f ca="1">IFERROR(__xludf.DUMMYFUNCTION("IMPORTRANGE(""https://docs.google.com/spreadsheets/d/18hSgUJ3VwClqi_qtULmmW3cLr0oe3OKaSYoKzdpTsYQ/edit?usp=sharing"",""นครนายก!I674"")"),45)</f>
        <v>45</v>
      </c>
      <c r="BC59" s="177">
        <f ca="1">IFERROR(__xludf.DUMMYFUNCTION("IMPORTRANGE(""https://docs.google.com/spreadsheets/d/18hSgUJ3VwClqi_qtULmmW3cLr0oe3OKaSYoKzdpTsYQ/edit?usp=sharing"",""นครนายก!I675"")"),675)</f>
        <v>675</v>
      </c>
      <c r="BD59" s="177">
        <f ca="1">IFERROR(__xludf.DUMMYFUNCTION("IMPORTRANGE(""https://docs.google.com/spreadsheets/d/18hSgUJ3VwClqi_qtULmmW3cLr0oe3OKaSYoKzdpTsYQ/edit?usp=sharing"",""นครนายก!J674"")"),18)</f>
        <v>18</v>
      </c>
      <c r="BE59" s="354">
        <f t="shared" ca="1" si="60"/>
        <v>40</v>
      </c>
      <c r="BF59" s="177">
        <f ca="1">IFERROR(__xludf.DUMMYFUNCTION("IMPORTRANGE(""https://docs.google.com/spreadsheets/d/18hSgUJ3VwClqi_qtULmmW3cLr0oe3OKaSYoKzdpTsYQ/edit?usp=sharing"",""นครนายก!J675"")"),336.22)</f>
        <v>336.22</v>
      </c>
      <c r="BG59" s="354">
        <f t="shared" ca="1" si="61"/>
        <v>49.810370370370372</v>
      </c>
      <c r="BH59" s="177">
        <f ca="1">IFERROR(__xludf.DUMMYFUNCTION("IMPORTRANGE(""https://docs.google.com/spreadsheets/d/18hSgUJ3VwClqi_qtULmmW3cLr0oe3OKaSYoKzdpTsYQ/edit?usp=sharing"",""นครนายก!I676"")"),20)</f>
        <v>20</v>
      </c>
      <c r="BI59" s="177">
        <f ca="1">IFERROR(__xludf.DUMMYFUNCTION("IMPORTRANGE(""https://docs.google.com/spreadsheets/d/18hSgUJ3VwClqi_qtULmmW3cLr0oe3OKaSYoKzdpTsYQ/edit?usp=sharing"",""นครนายก!I678"")"),300)</f>
        <v>300</v>
      </c>
      <c r="BJ59" s="177">
        <f ca="1">IFERROR(__xludf.DUMMYFUNCTION("IMPORTRANGE(""https://docs.google.com/spreadsheets/d/18hSgUJ3VwClqi_qtULmmW3cLr0oe3OKaSYoKzdpTsYQ/edit?usp=sharing"",""นครนายก!J676"")"),18)</f>
        <v>18</v>
      </c>
      <c r="BK59" s="177">
        <f ca="1">IFERROR(__xludf.DUMMYFUNCTION("IMPORTRANGE(""https://docs.google.com/spreadsheets/d/18hSgUJ3VwClqi_qtULmmW3cLr0oe3OKaSYoKzdpTsYQ/edit?usp=sharing"",""นครนายก!J677"")"),25)</f>
        <v>25</v>
      </c>
      <c r="BL59" s="177">
        <f ca="1">IFERROR(__xludf.DUMMYFUNCTION("IMPORTRANGE(""https://docs.google.com/spreadsheets/d/18hSgUJ3VwClqi_qtULmmW3cLr0oe3OKaSYoKzdpTsYQ/edit?usp=sharing"",""นครนายก!J678"")"),336.22)</f>
        <v>336.22</v>
      </c>
      <c r="BM59" s="177">
        <f ca="1">IFERROR(__xludf.DUMMYFUNCTION("IMPORTRANGE(""https://docs.google.com/spreadsheets/d/18hSgUJ3VwClqi_qtULmmW3cLr0oe3OKaSYoKzdpTsYQ/edit?usp=sharing"",""นครนายก!I679"")"),25)</f>
        <v>25</v>
      </c>
      <c r="BN59" s="177">
        <f ca="1">IFERROR(__xludf.DUMMYFUNCTION("IMPORTRANGE(""https://docs.google.com/spreadsheets/d/18hSgUJ3VwClqi_qtULmmW3cLr0oe3OKaSYoKzdpTsYQ/edit?usp=sharing"",""นครนายก!I681"")"),375)</f>
        <v>375</v>
      </c>
      <c r="BO59" s="177">
        <f ca="1">IFERROR(__xludf.DUMMYFUNCTION("IMPORTRANGE(""https://docs.google.com/spreadsheets/d/18hSgUJ3VwClqi_qtULmmW3cLr0oe3OKaSYoKzdpTsYQ/edit?usp=sharing"",""นครนายก!J679"")"),0)</f>
        <v>0</v>
      </c>
      <c r="BP59" s="177">
        <f ca="1">IFERROR(__xludf.DUMMYFUNCTION("IMPORTRANGE(""https://docs.google.com/spreadsheets/d/18hSgUJ3VwClqi_qtULmmW3cLr0oe3OKaSYoKzdpTsYQ/edit?usp=sharing"",""นครนายก!J680"")"),0)</f>
        <v>0</v>
      </c>
      <c r="BQ59" s="177">
        <f ca="1">IFERROR(__xludf.DUMMYFUNCTION("IMPORTRANGE(""https://docs.google.com/spreadsheets/d/18hSgUJ3VwClqi_qtULmmW3cLr0oe3OKaSYoKzdpTsYQ/edit?usp=sharing"",""นครนายก!J681"")"),0)</f>
        <v>0</v>
      </c>
      <c r="BR59" s="177">
        <f ca="1">IFERROR(__xludf.DUMMYFUNCTION("IMPORTRANGE(""https://docs.google.com/spreadsheets/d/18hSgUJ3VwClqi_qtULmmW3cLr0oe3OKaSYoKzdpTsYQ/edit?usp=sharing"",""นครนายก!I682"")"),150)</f>
        <v>150</v>
      </c>
      <c r="BS59" s="177">
        <f ca="1">IFERROR(__xludf.DUMMYFUNCTION("IMPORTRANGE(""https://docs.google.com/spreadsheets/d/18hSgUJ3VwClqi_qtULmmW3cLr0oe3OKaSYoKzdpTsYQ/edit?usp=sharing"",""นครนายก!J682"")"),0)</f>
        <v>0</v>
      </c>
      <c r="BT59" s="354">
        <f t="shared" ca="1" si="63"/>
        <v>0</v>
      </c>
      <c r="BU59" s="177">
        <f ca="1">IFERROR(__xludf.DUMMYFUNCTION("IMPORTRANGE(""https://docs.google.com/spreadsheets/d/18hSgUJ3VwClqi_qtULmmW3cLr0oe3OKaSYoKzdpTsYQ/edit?usp=sharing"",""นครนายก!J683"")"),0)</f>
        <v>0</v>
      </c>
      <c r="BV59" s="177">
        <f ca="1">IFERROR(__xludf.DUMMYFUNCTION("IMPORTRANGE(""https://docs.google.com/spreadsheets/d/18hSgUJ3VwClqi_qtULmmW3cLr0oe3OKaSYoKzdpTsYQ/edit?usp=sharing"",""นครนายก!J684"")"),0)</f>
        <v>0</v>
      </c>
      <c r="BW59" s="177">
        <f ca="1">IFERROR(__xludf.DUMMYFUNCTION("IMPORTRANGE(""https://docs.google.com/spreadsheets/d/18hSgUJ3VwClqi_qtULmmW3cLr0oe3OKaSYoKzdpTsYQ/edit?usp=sharing"",""นครนายก!J685"")"),0)</f>
        <v>0</v>
      </c>
      <c r="BX59" s="177">
        <f ca="1">IFERROR(__xludf.DUMMYFUNCTION("IMPORTRANGE(""https://docs.google.com/spreadsheets/d/18hSgUJ3VwClqi_qtULmmW3cLr0oe3OKaSYoKzdpTsYQ/edit?usp=sharing"",""นครนายก!J686"")"),0)</f>
        <v>0</v>
      </c>
      <c r="BY59" s="177">
        <f ca="1">IFERROR(__xludf.DUMMYFUNCTION("IMPORTRANGE(""https://docs.google.com/spreadsheets/d/18hSgUJ3VwClqi_qtULmmW3cLr0oe3OKaSYoKzdpTsYQ/edit?usp=sharing"",""นครนายก!J687"")"),0)</f>
        <v>0</v>
      </c>
      <c r="BZ59" s="177">
        <f ca="1">IFERROR(__xludf.DUMMYFUNCTION("IMPORTRANGE(""https://docs.google.com/spreadsheets/d/18hSgUJ3VwClqi_qtULmmW3cLr0oe3OKaSYoKzdpTsYQ/edit?usp=sharing"",""นครนายก!J688"")"),0)</f>
        <v>0</v>
      </c>
    </row>
    <row r="60" spans="1:78" ht="21.75" customHeight="1" x14ac:dyDescent="0.3">
      <c r="A60" s="89">
        <v>8</v>
      </c>
      <c r="B60" s="90" t="s">
        <v>86</v>
      </c>
      <c r="C60" s="174">
        <f t="shared" si="38"/>
        <v>0</v>
      </c>
      <c r="D60" s="175">
        <f t="shared" si="87"/>
        <v>0</v>
      </c>
      <c r="E60" s="403">
        <v>0</v>
      </c>
      <c r="F60" s="403">
        <v>0</v>
      </c>
      <c r="G60" s="403">
        <v>0</v>
      </c>
      <c r="H60" s="403">
        <v>0</v>
      </c>
      <c r="I60" s="403">
        <v>0</v>
      </c>
      <c r="J60" s="176">
        <f t="shared" si="40"/>
        <v>0</v>
      </c>
      <c r="K60" s="179">
        <f t="shared" si="41"/>
        <v>0</v>
      </c>
      <c r="L60" s="403">
        <v>0</v>
      </c>
      <c r="M60" s="87">
        <f t="shared" si="42"/>
        <v>0</v>
      </c>
      <c r="N60" s="87">
        <f t="shared" si="43"/>
        <v>0</v>
      </c>
      <c r="O60" s="403">
        <v>0</v>
      </c>
      <c r="P60" s="86">
        <f t="shared" si="44"/>
        <v>0</v>
      </c>
      <c r="Q60" s="87">
        <f t="shared" si="45"/>
        <v>0</v>
      </c>
      <c r="R60" s="87">
        <f ca="1">IFERROR(__xludf.DUMMYFUNCTION("IMPORTRANGE(""https://docs.google.com/spreadsheets/d/1YTZo6WM2dQ6Ix6FSdnL5P7uVnVKu40sxZu975tgG10E/edit?usp=sharing"",""นครปฐม!Q642"")"),9360)</f>
        <v>9360</v>
      </c>
      <c r="S60" s="87">
        <f ca="1">IFERROR(__xludf.DUMMYFUNCTION("IMPORTRANGE(""https://docs.google.com/spreadsheets/d/1YTZo6WM2dQ6Ix6FSdnL5P7uVnVKu40sxZu975tgG10E/edit?usp=sharing"",""นครปฐม!R642"")"),0)</f>
        <v>0</v>
      </c>
      <c r="T60" s="87">
        <f ca="1">IFERROR(__xludf.DUMMYFUNCTION("IMPORTRANGE(""https://docs.google.com/spreadsheets/d/1YTZo6WM2dQ6Ix6FSdnL5P7uVnVKu40sxZu975tgG10E/edit?usp=sharing"",""นครปฐม!S642"")"),0)</f>
        <v>0</v>
      </c>
      <c r="U60" s="87">
        <f t="shared" ca="1" si="47"/>
        <v>0</v>
      </c>
      <c r="V60" s="87">
        <f t="shared" ca="1" si="48"/>
        <v>0</v>
      </c>
      <c r="W60" s="353">
        <f ca="1">IFERROR(__xludf.DUMMYFUNCTION("IMPORTRANGE(""https://docs.google.com/spreadsheets/d/1YTZo6WM2dQ6Ix6FSdnL5P7uVnVKu40sxZu975tgG10E/edit?usp=sharing"",""นครปฐม!I652"")"),0)</f>
        <v>0</v>
      </c>
      <c r="X60" s="177">
        <f ca="1">IFERROR(__xludf.DUMMYFUNCTION("IMPORTRANGE(""https://docs.google.com/spreadsheets/d/1YTZo6WM2dQ6Ix6FSdnL5P7uVnVKu40sxZu975tgG10E/edit?usp=sharing"",""นครปฐม!J652"")"),0)</f>
        <v>0</v>
      </c>
      <c r="Y60" s="354">
        <f t="shared" ca="1" si="50"/>
        <v>0</v>
      </c>
      <c r="Z60" s="177">
        <f ca="1">IFERROR(__xludf.DUMMYFUNCTION("IMPORTRANGE(""https://docs.google.com/spreadsheets/d/1YTZo6WM2dQ6Ix6FSdnL5P7uVnVKu40sxZu975tgG10E/edit?usp=sharing"",""นครปฐม!I653"")"),0)</f>
        <v>0</v>
      </c>
      <c r="AA60" s="177">
        <f ca="1">IFERROR(__xludf.DUMMYFUNCTION("IMPORTRANGE(""https://docs.google.com/spreadsheets/d/1YTZo6WM2dQ6Ix6FSdnL5P7uVnVKu40sxZu975tgG10E/edit?usp=sharing"",""นครปฐม!J653"")"),0)</f>
        <v>0</v>
      </c>
      <c r="AB60" s="354">
        <f t="shared" ca="1" si="52"/>
        <v>0</v>
      </c>
      <c r="AC60" s="177">
        <f ca="1">IFERROR(__xludf.DUMMYFUNCTION("IMPORTRANGE(""https://docs.google.com/spreadsheets/d/1YTZo6WM2dQ6Ix6FSdnL5P7uVnVKu40sxZu975tgG10E/edit?usp=sharing"",""นครปฐม!I654"")"),30)</f>
        <v>30</v>
      </c>
      <c r="AD60" s="177">
        <f ca="1">IFERROR(__xludf.DUMMYFUNCTION("IMPORTRANGE(""https://docs.google.com/spreadsheets/d/1YTZo6WM2dQ6Ix6FSdnL5P7uVnVKu40sxZu975tgG10E/edit?usp=sharing"",""นครปฐม!J654"")"),0)</f>
        <v>0</v>
      </c>
      <c r="AE60" s="354">
        <f t="shared" ca="1" si="54"/>
        <v>0</v>
      </c>
      <c r="AF60" s="354">
        <f ca="1">IFERROR(__xludf.DUMMYFUNCTION("IMPORTRANGE(""https://docs.google.com/spreadsheets/d/1YTZo6WM2dQ6Ix6FSdnL5P7uVnVKu40sxZu975tgG10E/edit?usp=sharing"",""นครปฐม!J655"")"),0)</f>
        <v>0</v>
      </c>
      <c r="AG60" s="354">
        <f ca="1">IFERROR(__xludf.DUMMYFUNCTION("IMPORTRANGE(""https://docs.google.com/spreadsheets/d/1YTZo6WM2dQ6Ix6FSdnL5P7uVnVKu40sxZu975tgG10E/edit?usp=sharing"",""นครปฐม!J656"")"),0)</f>
        <v>0</v>
      </c>
      <c r="AH60" s="354">
        <f ca="1">IFERROR(__xludf.DUMMYFUNCTION("IMPORTRANGE(""https://docs.google.com/spreadsheets/d/1YTZo6WM2dQ6Ix6FSdnL5P7uVnVKu40sxZu975tgG10E/edit?usp=sharing"",""นครปฐม!J657"")"),0)</f>
        <v>0</v>
      </c>
      <c r="AI60" s="354">
        <f ca="1">IFERROR(__xludf.DUMMYFUNCTION("IMPORTRANGE(""https://docs.google.com/spreadsheets/d/1YTZo6WM2dQ6Ix6FSdnL5P7uVnVKu40sxZu975tgG10E/edit?usp=sharing"",""นครปฐม!J658"")"),0)</f>
        <v>0</v>
      </c>
      <c r="AJ60" s="354">
        <f ca="1">IFERROR(__xludf.DUMMYFUNCTION("IMPORTRANGE(""https://docs.google.com/spreadsheets/d/1YTZo6WM2dQ6Ix6FSdnL5P7uVnVKu40sxZu975tgG10E/edit?usp=sharing"",""นครปฐม!J659"")"),0)</f>
        <v>0</v>
      </c>
      <c r="AK60" s="354">
        <f ca="1">IFERROR(__xludf.DUMMYFUNCTION("IMPORTRANGE(""https://docs.google.com/spreadsheets/d/1YTZo6WM2dQ6Ix6FSdnL5P7uVnVKu40sxZu975tgG10E/edit?usp=sharing"",""นครปฐม!J660"")"),0)</f>
        <v>0</v>
      </c>
      <c r="AL60" s="177">
        <f ca="1">IFERROR(__xludf.DUMMYFUNCTION("IMPORTRANGE(""https://docs.google.com/spreadsheets/d/1YTZo6WM2dQ6Ix6FSdnL5P7uVnVKu40sxZu975tgG10E/edit?usp=sharing"",""นครปฐม!I661"")"),21)</f>
        <v>21</v>
      </c>
      <c r="AM60" s="177">
        <f ca="1">IFERROR(__xludf.DUMMYFUNCTION("IMPORTRANGE(""https://docs.google.com/spreadsheets/d/1YTZo6WM2dQ6Ix6FSdnL5P7uVnVKu40sxZu975tgG10E/edit?usp=sharing"",""นครปฐม!J661"")"),0)</f>
        <v>0</v>
      </c>
      <c r="AN60" s="354">
        <f t="shared" ca="1" si="56"/>
        <v>0</v>
      </c>
      <c r="AO60" s="177">
        <f ca="1">IFERROR(__xludf.DUMMYFUNCTION("IMPORTRANGE(""https://docs.google.com/spreadsheets/d/1YTZo6WM2dQ6Ix6FSdnL5P7uVnVKu40sxZu975tgG10E/edit?usp=sharing"",""นครปฐม!J662"")"),0)</f>
        <v>0</v>
      </c>
      <c r="AP60" s="177">
        <f ca="1">IFERROR(__xludf.DUMMYFUNCTION("IMPORTRANGE(""https://docs.google.com/spreadsheets/d/1YTZo6WM2dQ6Ix6FSdnL5P7uVnVKu40sxZu975tgG10E/edit?usp=sharing"",""นครปฐม!J663"")"),0)</f>
        <v>0</v>
      </c>
      <c r="AQ60" s="177">
        <f ca="1">IFERROR(__xludf.DUMMYFUNCTION("IMPORTRANGE(""https://docs.google.com/spreadsheets/d/1YTZo6WM2dQ6Ix6FSdnL5P7uVnVKu40sxZu975tgG10E/edit?usp=sharing"",""นครปฐม!J665"")"),0)</f>
        <v>0</v>
      </c>
      <c r="AR60" s="177">
        <f ca="1">IFERROR(__xludf.DUMMYFUNCTION("IMPORTRANGE(""https://docs.google.com/spreadsheets/d/1YTZo6WM2dQ6Ix6FSdnL5P7uVnVKu40sxZu975tgG10E/edit?usp=sharing"",""นครปฐม!J666"")"),0)</f>
        <v>0</v>
      </c>
      <c r="AS60" s="177">
        <f ca="1">IFERROR(__xludf.DUMMYFUNCTION("IMPORTRANGE(""https://docs.google.com/spreadsheets/d/1YTZo6WM2dQ6Ix6FSdnL5P7uVnVKu40sxZu975tgG10E/edit?usp=sharing"",""นครปฐม!J667"")"),0)</f>
        <v>0</v>
      </c>
      <c r="AT60" s="177">
        <f ca="1">IFERROR(__xludf.DUMMYFUNCTION("IMPORTRANGE(""https://docs.google.com/spreadsheets/d/1YTZo6WM2dQ6Ix6FSdnL5P7uVnVKu40sxZu975tgG10E/edit?usp=sharing"",""นครปฐม!J668"")"),0)</f>
        <v>0</v>
      </c>
      <c r="AU60" s="177">
        <f ca="1">IFERROR(__xludf.DUMMYFUNCTION("IMPORTRANGE(""https://docs.google.com/spreadsheets/d/1YTZo6WM2dQ6Ix6FSdnL5P7uVnVKu40sxZu975tgG10E/edit?usp=sharing"",""นครปฐม!J669"")"),0)</f>
        <v>0</v>
      </c>
      <c r="AV60" s="453">
        <f ca="1">IFERROR(__xludf.DUMMYFUNCTION("IMPORTRANGE(""https://docs.google.com/spreadsheets/d/1YTZo6WM2dQ6Ix6FSdnL5P7uVnVKu40sxZu975tgG10E/edit?usp=sharing"",""นครปฐม!J670"")"),0)</f>
        <v>0</v>
      </c>
      <c r="AW60" s="177">
        <v>0</v>
      </c>
      <c r="AX60" s="177">
        <f ca="1">IFERROR(__xludf.DUMMYFUNCTION("IMPORTRANGE(""https://docs.google.com/spreadsheets/d/1YTZo6WM2dQ6Ix6FSdnL5P7uVnVKu40sxZu975tgG10E/edit?usp=sharing"",""นครปฐม!J671"")"),0)</f>
        <v>0</v>
      </c>
      <c r="AY60" s="177">
        <f ca="1">IFERROR(__xludf.DUMMYFUNCTION("IMPORTRANGE(""https://docs.google.com/spreadsheets/d/1YTZo6WM2dQ6Ix6FSdnL5P7uVnVKu40sxZu975tgG10E/edit?usp=sharing"",""นครปฐม!J672"")"),0)</f>
        <v>0</v>
      </c>
      <c r="AZ60" s="177">
        <f ca="1">IFERROR(__xludf.DUMMYFUNCTION("IMPORTRANGE(""https://docs.google.com/spreadsheets/d/1YTZo6WM2dQ6Ix6FSdnL5P7uVnVKu40sxZu975tgG10E/edit?usp=sharing"",""นครปฐม!J673"")"),0)</f>
        <v>0</v>
      </c>
      <c r="BA60" s="354">
        <f t="shared" si="58"/>
        <v>0</v>
      </c>
      <c r="BB60" s="177">
        <f ca="1">IFERROR(__xludf.DUMMYFUNCTION("IMPORTRANGE(""https://docs.google.com/spreadsheets/d/1YTZo6WM2dQ6Ix6FSdnL5P7uVnVKu40sxZu975tgG10E/edit?usp=sharing"",""นครปฐม!I674"")"),6)</f>
        <v>6</v>
      </c>
      <c r="BC60" s="177">
        <f ca="1">IFERROR(__xludf.DUMMYFUNCTION("IMPORTRANGE(""https://docs.google.com/spreadsheets/d/1YTZo6WM2dQ6Ix6FSdnL5P7uVnVKu40sxZu975tgG10E/edit?usp=sharing"",""นครปฐม!I675"")"),65)</f>
        <v>65</v>
      </c>
      <c r="BD60" s="177">
        <f ca="1">IFERROR(__xludf.DUMMYFUNCTION("IMPORTRANGE(""https://docs.google.com/spreadsheets/d/1YTZo6WM2dQ6Ix6FSdnL5P7uVnVKu40sxZu975tgG10E/edit?usp=sharing"",""นครปฐม!J674"")"),0)</f>
        <v>0</v>
      </c>
      <c r="BE60" s="354">
        <f t="shared" ca="1" si="60"/>
        <v>0</v>
      </c>
      <c r="BF60" s="177">
        <f ca="1">IFERROR(__xludf.DUMMYFUNCTION("IMPORTRANGE(""https://docs.google.com/spreadsheets/d/1YTZo6WM2dQ6Ix6FSdnL5P7uVnVKu40sxZu975tgG10E/edit?usp=sharing"",""นครปฐม!J675"")"),0)</f>
        <v>0</v>
      </c>
      <c r="BG60" s="354">
        <f t="shared" ca="1" si="61"/>
        <v>0</v>
      </c>
      <c r="BH60" s="177">
        <f ca="1">IFERROR(__xludf.DUMMYFUNCTION("IMPORTRANGE(""https://docs.google.com/spreadsheets/d/1YTZo6WM2dQ6Ix6FSdnL5P7uVnVKu40sxZu975tgG10E/edit?usp=sharing"",""นครปฐม!I676"")"),2)</f>
        <v>2</v>
      </c>
      <c r="BI60" s="177">
        <f ca="1">IFERROR(__xludf.DUMMYFUNCTION("IMPORTRANGE(""https://docs.google.com/spreadsheets/d/1YTZo6WM2dQ6Ix6FSdnL5P7uVnVKu40sxZu975tgG10E/edit?usp=sharing"",""นครปฐม!I678"")"),15)</f>
        <v>15</v>
      </c>
      <c r="BJ60" s="177">
        <f ca="1">IFERROR(__xludf.DUMMYFUNCTION("IMPORTRANGE(""https://docs.google.com/spreadsheets/d/1YTZo6WM2dQ6Ix6FSdnL5P7uVnVKu40sxZu975tgG10E/edit?usp=sharing"",""นครปฐม!J676"")"),0)</f>
        <v>0</v>
      </c>
      <c r="BK60" s="177">
        <f ca="1">IFERROR(__xludf.DUMMYFUNCTION("IMPORTRANGE(""https://docs.google.com/spreadsheets/d/1YTZo6WM2dQ6Ix6FSdnL5P7uVnVKu40sxZu975tgG10E/edit?usp=sharing"",""นครปฐม!J677"")"),0)</f>
        <v>0</v>
      </c>
      <c r="BL60" s="177">
        <f ca="1">IFERROR(__xludf.DUMMYFUNCTION("IMPORTRANGE(""https://docs.google.com/spreadsheets/d/1YTZo6WM2dQ6Ix6FSdnL5P7uVnVKu40sxZu975tgG10E/edit?usp=sharing"",""นครปฐม!J678"")"),0)</f>
        <v>0</v>
      </c>
      <c r="BM60" s="177">
        <f ca="1">IFERROR(__xludf.DUMMYFUNCTION("IMPORTRANGE(""https://docs.google.com/spreadsheets/d/1YTZo6WM2dQ6Ix6FSdnL5P7uVnVKu40sxZu975tgG10E/edit?usp=sharing"",""นครปฐม!I679"")"),4)</f>
        <v>4</v>
      </c>
      <c r="BN60" s="177">
        <f ca="1">IFERROR(__xludf.DUMMYFUNCTION("IMPORTRANGE(""https://docs.google.com/spreadsheets/d/1YTZo6WM2dQ6Ix6FSdnL5P7uVnVKu40sxZu975tgG10E/edit?usp=sharing"",""นครปฐม!I681"")"),50)</f>
        <v>50</v>
      </c>
      <c r="BO60" s="177">
        <f ca="1">IFERROR(__xludf.DUMMYFUNCTION("IMPORTRANGE(""https://docs.google.com/spreadsheets/d/1YTZo6WM2dQ6Ix6FSdnL5P7uVnVKu40sxZu975tgG10E/edit?usp=sharing"",""นครปฐม!J679"")"),0)</f>
        <v>0</v>
      </c>
      <c r="BP60" s="177">
        <f ca="1">IFERROR(__xludf.DUMMYFUNCTION("IMPORTRANGE(""https://docs.google.com/spreadsheets/d/1YTZo6WM2dQ6Ix6FSdnL5P7uVnVKu40sxZu975tgG10E/edit?usp=sharing"",""นครปฐม!J680"")"),0)</f>
        <v>0</v>
      </c>
      <c r="BQ60" s="177">
        <f ca="1">IFERROR(__xludf.DUMMYFUNCTION("IMPORTRANGE(""https://docs.google.com/spreadsheets/d/1YTZo6WM2dQ6Ix6FSdnL5P7uVnVKu40sxZu975tgG10E/edit?usp=sharing"",""นครปฐม!J681"")"),0)</f>
        <v>0</v>
      </c>
      <c r="BR60" s="177">
        <f ca="1">IFERROR(__xludf.DUMMYFUNCTION("IMPORTRANGE(""https://docs.google.com/spreadsheets/d/1YTZo6WM2dQ6Ix6FSdnL5P7uVnVKu40sxZu975tgG10E/edit?usp=sharing"",""นครปฐม!I682"")"),0)</f>
        <v>0</v>
      </c>
      <c r="BS60" s="177">
        <f ca="1">IFERROR(__xludf.DUMMYFUNCTION("IMPORTRANGE(""https://docs.google.com/spreadsheets/d/1YTZo6WM2dQ6Ix6FSdnL5P7uVnVKu40sxZu975tgG10E/edit?usp=sharing"",""นครปฐม!J682"")"),0)</f>
        <v>0</v>
      </c>
      <c r="BT60" s="354">
        <f t="shared" ca="1" si="63"/>
        <v>0</v>
      </c>
      <c r="BU60" s="454">
        <f ca="1">IFERROR(__xludf.DUMMYFUNCTION("IMPORTRANGE(""https://docs.google.com/spreadsheets/d/1YTZo6WM2dQ6Ix6FSdnL5P7uVnVKu40sxZu975tgG10E/edit?usp=sharing"",""นครปฐม!J683"")"),0)</f>
        <v>0</v>
      </c>
      <c r="BV60" s="177">
        <f ca="1">IFERROR(__xludf.DUMMYFUNCTION("IMPORTRANGE(""https://docs.google.com/spreadsheets/d/1YTZo6WM2dQ6Ix6FSdnL5P7uVnVKu40sxZu975tgG10E/edit?usp=sharing"",""นครปฐม!J684"")"),0)</f>
        <v>0</v>
      </c>
      <c r="BW60" s="177">
        <f ca="1">IFERROR(__xludf.DUMMYFUNCTION("IMPORTRANGE(""https://docs.google.com/spreadsheets/d/1YTZo6WM2dQ6Ix6FSdnL5P7uVnVKu40sxZu975tgG10E/edit?usp=sharing"",""นครปฐม!J685"")"),0)</f>
        <v>0</v>
      </c>
      <c r="BX60" s="177">
        <f ca="1">IFERROR(__xludf.DUMMYFUNCTION("IMPORTRANGE(""https://docs.google.com/spreadsheets/d/1YTZo6WM2dQ6Ix6FSdnL5P7uVnVKu40sxZu975tgG10E/edit?usp=sharing"",""นครปฐม!J686"")"),0)</f>
        <v>0</v>
      </c>
      <c r="BY60" s="177">
        <f ca="1">IFERROR(__xludf.DUMMYFUNCTION("IMPORTRANGE(""https://docs.google.com/spreadsheets/d/1YTZo6WM2dQ6Ix6FSdnL5P7uVnVKu40sxZu975tgG10E/edit?usp=sharing"",""นครปฐม!J687"")"),0)</f>
        <v>0</v>
      </c>
      <c r="BZ60" s="177">
        <f ca="1">IFERROR(__xludf.DUMMYFUNCTION("IMPORTRANGE(""https://docs.google.com/spreadsheets/d/1YTZo6WM2dQ6Ix6FSdnL5P7uVnVKu40sxZu975tgG10E/edit?usp=sharing"",""นครปฐม!J688"")"),0)</f>
        <v>0</v>
      </c>
    </row>
    <row r="61" spans="1:78" ht="21.75" customHeight="1" x14ac:dyDescent="0.3">
      <c r="A61" s="89">
        <v>9</v>
      </c>
      <c r="B61" s="90" t="s">
        <v>87</v>
      </c>
      <c r="C61" s="174">
        <f t="shared" si="38"/>
        <v>0</v>
      </c>
      <c r="D61" s="175">
        <f t="shared" si="87"/>
        <v>0</v>
      </c>
      <c r="E61" s="403">
        <v>0</v>
      </c>
      <c r="F61" s="403">
        <v>0</v>
      </c>
      <c r="G61" s="403">
        <v>0</v>
      </c>
      <c r="H61" s="403">
        <v>0</v>
      </c>
      <c r="I61" s="403">
        <v>0</v>
      </c>
      <c r="J61" s="176">
        <f t="shared" si="40"/>
        <v>0</v>
      </c>
      <c r="K61" s="179">
        <f t="shared" si="41"/>
        <v>0</v>
      </c>
      <c r="L61" s="403">
        <v>0</v>
      </c>
      <c r="M61" s="87">
        <f t="shared" si="42"/>
        <v>0</v>
      </c>
      <c r="N61" s="87">
        <f t="shared" si="43"/>
        <v>0</v>
      </c>
      <c r="O61" s="403">
        <v>0</v>
      </c>
      <c r="P61" s="86">
        <f t="shared" si="44"/>
        <v>0</v>
      </c>
      <c r="Q61" s="87">
        <f t="shared" si="45"/>
        <v>0</v>
      </c>
      <c r="R61" s="87">
        <f ca="1">IFERROR(__xludf.DUMMYFUNCTION("IMPORTRANGE(""https://docs.google.com/spreadsheets/d/1OYoGg4WDg5RIzwGeB10padOxJF9E_Vljuvvct_M7RDo/edit?usp=sharing"",""ปทุมธานี!Q642"")"),52200)</f>
        <v>52200</v>
      </c>
      <c r="S61" s="87">
        <f ca="1">IFERROR(__xludf.DUMMYFUNCTION("IMPORTRANGE(""https://docs.google.com/spreadsheets/d/1OYoGg4WDg5RIzwGeB10padOxJF9E_Vljuvvct_M7RDo/edit?usp=sharing"",""ปทุมธานี!R642"")"),0)</f>
        <v>0</v>
      </c>
      <c r="T61" s="87">
        <f ca="1">IFERROR(__xludf.DUMMYFUNCTION("IMPORTRANGE(""https://docs.google.com/spreadsheets/d/1OYoGg4WDg5RIzwGeB10padOxJF9E_Vljuvvct_M7RDo/edit?usp=sharing"",""ปทุมธานี!S642"")"),0)</f>
        <v>0</v>
      </c>
      <c r="U61" s="87">
        <f t="shared" ca="1" si="47"/>
        <v>0</v>
      </c>
      <c r="V61" s="87">
        <f t="shared" ca="1" si="48"/>
        <v>0</v>
      </c>
      <c r="W61" s="353">
        <f ca="1">IFERROR(__xludf.DUMMYFUNCTION("IMPORTRANGE(""https://docs.google.com/spreadsheets/d/1OYoGg4WDg5RIzwGeB10padOxJF9E_Vljuvvct_M7RDo/edit?usp=sharing"",""ปทุมธานี!I652"")"),0)</f>
        <v>0</v>
      </c>
      <c r="X61" s="177">
        <f ca="1">IFERROR(__xludf.DUMMYFUNCTION("IMPORTRANGE(""https://docs.google.com/spreadsheets/d/1OYoGg4WDg5RIzwGeB10padOxJF9E_Vljuvvct_M7RDo/edit?usp=sharing"",""ปทุมธานี!J652"")"),0)</f>
        <v>0</v>
      </c>
      <c r="Y61" s="354">
        <f t="shared" ca="1" si="50"/>
        <v>0</v>
      </c>
      <c r="Z61" s="177">
        <f ca="1">IFERROR(__xludf.DUMMYFUNCTION("IMPORTRANGE(""https://docs.google.com/spreadsheets/d/1OYoGg4WDg5RIzwGeB10padOxJF9E_Vljuvvct_M7RDo/edit?usp=sharing"",""ปทุมธานี!I653"")"),0)</f>
        <v>0</v>
      </c>
      <c r="AA61" s="177">
        <f ca="1">IFERROR(__xludf.DUMMYFUNCTION("IMPORTRANGE(""https://docs.google.com/spreadsheets/d/1OYoGg4WDg5RIzwGeB10padOxJF9E_Vljuvvct_M7RDo/edit?usp=sharing"",""ปทุมธานี!J653"")"),0)</f>
        <v>0</v>
      </c>
      <c r="AB61" s="354">
        <f t="shared" ca="1" si="52"/>
        <v>0</v>
      </c>
      <c r="AC61" s="177">
        <f ca="1">IFERROR(__xludf.DUMMYFUNCTION("IMPORTRANGE(""https://docs.google.com/spreadsheets/d/1OYoGg4WDg5RIzwGeB10padOxJF9E_Vljuvvct_M7RDo/edit?usp=sharing"",""ปทุมธานี!I654"")"),130)</f>
        <v>130</v>
      </c>
      <c r="AD61" s="177">
        <f ca="1">IFERROR(__xludf.DUMMYFUNCTION("IMPORTRANGE(""https://docs.google.com/spreadsheets/d/1OYoGg4WDg5RIzwGeB10padOxJF9E_Vljuvvct_M7RDo/edit?usp=sharing"",""ปทุมธานี!J654"")"),120.33)</f>
        <v>120.33</v>
      </c>
      <c r="AE61" s="354">
        <f t="shared" ca="1" si="54"/>
        <v>92.561538461538461</v>
      </c>
      <c r="AF61" s="354">
        <f ca="1">IFERROR(__xludf.DUMMYFUNCTION("IMPORTRANGE(""https://docs.google.com/spreadsheets/d/1OYoGg4WDg5RIzwGeB10padOxJF9E_Vljuvvct_M7RDo/edit?usp=sharing"",""ปทุมธานี!J655"")"),20)</f>
        <v>20</v>
      </c>
      <c r="AG61" s="354">
        <f ca="1">IFERROR(__xludf.DUMMYFUNCTION("IMPORTRANGE(""https://docs.google.com/spreadsheets/d/1OYoGg4WDg5RIzwGeB10padOxJF9E_Vljuvvct_M7RDo/edit?usp=sharing"",""ปทุมธานี!J656"")"),21)</f>
        <v>21</v>
      </c>
      <c r="AH61" s="354">
        <f ca="1">IFERROR(__xludf.DUMMYFUNCTION("IMPORTRANGE(""https://docs.google.com/spreadsheets/d/1OYoGg4WDg5RIzwGeB10padOxJF9E_Vljuvvct_M7RDo/edit?usp=sharing"",""ปทุมธานี!J657"")"),120.33)</f>
        <v>120.33</v>
      </c>
      <c r="AI61" s="354" t="str">
        <f ca="1">IFERROR(__xludf.DUMMYFUNCTION("IMPORTRANGE(""https://docs.google.com/spreadsheets/d/1OYoGg4WDg5RIzwGeB10padOxJF9E_Vljuvvct_M7RDo/edit?usp=sharing"",""ปทุมธานี!J658"")"),"")</f>
        <v/>
      </c>
      <c r="AJ61" s="354" t="str">
        <f ca="1">IFERROR(__xludf.DUMMYFUNCTION("IMPORTRANGE(""https://docs.google.com/spreadsheets/d/1OYoGg4WDg5RIzwGeB10padOxJF9E_Vljuvvct_M7RDo/edit?usp=sharing"",""ปทุมธานี!J659"")"),"")</f>
        <v/>
      </c>
      <c r="AK61" s="354">
        <f ca="1">IFERROR(__xludf.DUMMYFUNCTION("IMPORTRANGE(""https://docs.google.com/spreadsheets/d/1OYoGg4WDg5RIzwGeB10padOxJF9E_Vljuvvct_M7RDo/edit?usp=sharing"",""ปทุมธานี!J660"")"),0)</f>
        <v>0</v>
      </c>
      <c r="AL61" s="177">
        <f ca="1">IFERROR(__xludf.DUMMYFUNCTION("IMPORTRANGE(""https://docs.google.com/spreadsheets/d/1OYoGg4WDg5RIzwGeB10padOxJF9E_Vljuvvct_M7RDo/edit?usp=sharing"",""ปทุมธานี!I661"")"),100)</f>
        <v>100</v>
      </c>
      <c r="AM61" s="177">
        <f ca="1">IFERROR(__xludf.DUMMYFUNCTION("IMPORTRANGE(""https://docs.google.com/spreadsheets/d/1OYoGg4WDg5RIzwGeB10padOxJF9E_Vljuvvct_M7RDo/edit?usp=sharing"",""ปทุมธานี!J661"")"),74.88)</f>
        <v>74.88</v>
      </c>
      <c r="AN61" s="354">
        <f t="shared" ca="1" si="56"/>
        <v>74.88</v>
      </c>
      <c r="AO61" s="177">
        <f ca="1">IFERROR(__xludf.DUMMYFUNCTION("IMPORTRANGE(""https://docs.google.com/spreadsheets/d/1OYoGg4WDg5RIzwGeB10padOxJF9E_Vljuvvct_M7RDo/edit?usp=sharing"",""ปทุมธานี!J662"")"),0)</f>
        <v>0</v>
      </c>
      <c r="AP61" s="177">
        <f ca="1">IFERROR(__xludf.DUMMYFUNCTION("IMPORTRANGE(""https://docs.google.com/spreadsheets/d/1OYoGg4WDg5RIzwGeB10padOxJF9E_Vljuvvct_M7RDo/edit?usp=sharing"",""ปทุมธานี!J663"")"),0)</f>
        <v>0</v>
      </c>
      <c r="AQ61" s="177">
        <f ca="1">IFERROR(__xludf.DUMMYFUNCTION("IMPORTRANGE(""https://docs.google.com/spreadsheets/d/1OYoGg4WDg5RIzwGeB10padOxJF9E_Vljuvvct_M7RDo/edit?usp=sharing"",""ปทุมธานี!J665"")"),11)</f>
        <v>11</v>
      </c>
      <c r="AR61" s="177">
        <f ca="1">IFERROR(__xludf.DUMMYFUNCTION("IMPORTRANGE(""https://docs.google.com/spreadsheets/d/1OYoGg4WDg5RIzwGeB10padOxJF9E_Vljuvvct_M7RDo/edit?usp=sharing"",""ปทุมธานี!J666"")"),12)</f>
        <v>12</v>
      </c>
      <c r="AS61" s="177">
        <f ca="1">IFERROR(__xludf.DUMMYFUNCTION("IMPORTRANGE(""https://docs.google.com/spreadsheets/d/1OYoGg4WDg5RIzwGeB10padOxJF9E_Vljuvvct_M7RDo/edit?usp=sharing"",""ปทุมธานี!J667"")"),74.88)</f>
        <v>74.88</v>
      </c>
      <c r="AT61" s="177">
        <f ca="1">IFERROR(__xludf.DUMMYFUNCTION("IMPORTRANGE(""https://docs.google.com/spreadsheets/d/1OYoGg4WDg5RIzwGeB10padOxJF9E_Vljuvvct_M7RDo/edit?usp=sharing"",""ปทุมธานี!J668"")"),0)</f>
        <v>0</v>
      </c>
      <c r="AU61" s="177">
        <f ca="1">IFERROR(__xludf.DUMMYFUNCTION("IMPORTRANGE(""https://docs.google.com/spreadsheets/d/1OYoGg4WDg5RIzwGeB10padOxJF9E_Vljuvvct_M7RDo/edit?usp=sharing"",""ปทุมธานี!J669"")"),0)</f>
        <v>0</v>
      </c>
      <c r="AV61" s="177">
        <f ca="1">IFERROR(__xludf.DUMMYFUNCTION("IMPORTRANGE(""https://docs.google.com/spreadsheets/d/1OYoGg4WDg5RIzwGeB10padOxJF9E_Vljuvvct_M7RDo/edit?usp=sharing"",""ปทุมธานี!J670"")"),0)</f>
        <v>0</v>
      </c>
      <c r="AW61" s="177">
        <v>0</v>
      </c>
      <c r="AX61" s="177">
        <f ca="1">IFERROR(__xludf.DUMMYFUNCTION("IMPORTRANGE(""https://docs.google.com/spreadsheets/d/1OYoGg4WDg5RIzwGeB10padOxJF9E_Vljuvvct_M7RDo/edit?usp=sharing"",""ปทุมธานี!J671"")"),4)</f>
        <v>4</v>
      </c>
      <c r="AY61" s="177">
        <f ca="1">IFERROR(__xludf.DUMMYFUNCTION("IMPORTRANGE(""https://docs.google.com/spreadsheets/d/1OYoGg4WDg5RIzwGeB10padOxJF9E_Vljuvvct_M7RDo/edit?usp=sharing"",""ปทุมธานี!J672"")"),6)</f>
        <v>6</v>
      </c>
      <c r="AZ61" s="177">
        <f ca="1">IFERROR(__xludf.DUMMYFUNCTION("IMPORTRANGE(""https://docs.google.com/spreadsheets/d/1OYoGg4WDg5RIzwGeB10padOxJF9E_Vljuvvct_M7RDo/edit?usp=sharing"",""ปทุมธานี!J673"")"),51.26)</f>
        <v>51.26</v>
      </c>
      <c r="BA61" s="354">
        <f t="shared" si="58"/>
        <v>0</v>
      </c>
      <c r="BB61" s="177">
        <f ca="1">IFERROR(__xludf.DUMMYFUNCTION("IMPORTRANGE(""https://docs.google.com/spreadsheets/d/1OYoGg4WDg5RIzwGeB10padOxJF9E_Vljuvvct_M7RDo/edit?usp=sharing"",""ปทุมธานี!I674"")"),30)</f>
        <v>30</v>
      </c>
      <c r="BC61" s="177">
        <f ca="1">IFERROR(__xludf.DUMMYFUNCTION("IMPORTRANGE(""https://docs.google.com/spreadsheets/d/1OYoGg4WDg5RIzwGeB10padOxJF9E_Vljuvvct_M7RDo/edit?usp=sharing"",""ปทุมธานี!I675"")"),250)</f>
        <v>250</v>
      </c>
      <c r="BD61" s="177">
        <f ca="1">IFERROR(__xludf.DUMMYFUNCTION("IMPORTRANGE(""https://docs.google.com/spreadsheets/d/1OYoGg4WDg5RIzwGeB10padOxJF9E_Vljuvvct_M7RDo/edit?usp=sharing"",""ปทุมธานี!J674"")"),66)</f>
        <v>66</v>
      </c>
      <c r="BE61" s="354">
        <f t="shared" ca="1" si="60"/>
        <v>220</v>
      </c>
      <c r="BF61" s="177">
        <f ca="1">IFERROR(__xludf.DUMMYFUNCTION("IMPORTRANGE(""https://docs.google.com/spreadsheets/d/1OYoGg4WDg5RIzwGeB10padOxJF9E_Vljuvvct_M7RDo/edit?usp=sharing"",""ปทุมธานี!J675"")"),446.77)</f>
        <v>446.77</v>
      </c>
      <c r="BG61" s="354">
        <f t="shared" ca="1" si="61"/>
        <v>178.708</v>
      </c>
      <c r="BH61" s="177">
        <f ca="1">IFERROR(__xludf.DUMMYFUNCTION("IMPORTRANGE(""https://docs.google.com/spreadsheets/d/1OYoGg4WDg5RIzwGeB10padOxJF9E_Vljuvvct_M7RDo/edit?usp=sharing"",""ปทุมธานี!I676"")"),15)</f>
        <v>15</v>
      </c>
      <c r="BI61" s="177">
        <f ca="1">IFERROR(__xludf.DUMMYFUNCTION("IMPORTRANGE(""https://docs.google.com/spreadsheets/d/1OYoGg4WDg5RIzwGeB10padOxJF9E_Vljuvvct_M7RDo/edit?usp=sharing"",""ปทุมธานี!I678"")"),150)</f>
        <v>150</v>
      </c>
      <c r="BJ61" s="177">
        <f ca="1">IFERROR(__xludf.DUMMYFUNCTION("IMPORTRANGE(""https://docs.google.com/spreadsheets/d/1OYoGg4WDg5RIzwGeB10padOxJF9E_Vljuvvct_M7RDo/edit?usp=sharing"",""ปทุมธานี!J676"")"),15)</f>
        <v>15</v>
      </c>
      <c r="BK61" s="177">
        <f ca="1">IFERROR(__xludf.DUMMYFUNCTION("IMPORTRANGE(""https://docs.google.com/spreadsheets/d/1OYoGg4WDg5RIzwGeB10padOxJF9E_Vljuvvct_M7RDo/edit?usp=sharing"",""ปทุมธานี!J677"")"),16)</f>
        <v>16</v>
      </c>
      <c r="BL61" s="177">
        <f ca="1">IFERROR(__xludf.DUMMYFUNCTION("IMPORTRANGE(""https://docs.google.com/spreadsheets/d/1OYoGg4WDg5RIzwGeB10padOxJF9E_Vljuvvct_M7RDo/edit?usp=sharing"",""ปทุมธานี!J678"")"),135.83)</f>
        <v>135.83000000000001</v>
      </c>
      <c r="BM61" s="177">
        <f ca="1">IFERROR(__xludf.DUMMYFUNCTION("IMPORTRANGE(""https://docs.google.com/spreadsheets/d/1OYoGg4WDg5RIzwGeB10padOxJF9E_Vljuvvct_M7RDo/edit?usp=sharing"",""ปทุมธานี!I679"")"),15)</f>
        <v>15</v>
      </c>
      <c r="BN61" s="177">
        <f ca="1">IFERROR(__xludf.DUMMYFUNCTION("IMPORTRANGE(""https://docs.google.com/spreadsheets/d/1OYoGg4WDg5RIzwGeB10padOxJF9E_Vljuvvct_M7RDo/edit?usp=sharing"",""ปทุมธานี!I681"")"),100)</f>
        <v>100</v>
      </c>
      <c r="BO61" s="177">
        <f ca="1">IFERROR(__xludf.DUMMYFUNCTION("IMPORTRANGE(""https://docs.google.com/spreadsheets/d/1OYoGg4WDg5RIzwGeB10padOxJF9E_Vljuvvct_M7RDo/edit?usp=sharing"",""ปทุมธานี!J679"")"),51)</f>
        <v>51</v>
      </c>
      <c r="BP61" s="177">
        <f ca="1">IFERROR(__xludf.DUMMYFUNCTION("IMPORTRANGE(""https://docs.google.com/spreadsheets/d/1OYoGg4WDg5RIzwGeB10padOxJF9E_Vljuvvct_M7RDo/edit?usp=sharing"",""ปทุมธานี!J680"")"),60)</f>
        <v>60</v>
      </c>
      <c r="BQ61" s="177">
        <f ca="1">IFERROR(__xludf.DUMMYFUNCTION("IMPORTRANGE(""https://docs.google.com/spreadsheets/d/1OYoGg4WDg5RIzwGeB10padOxJF9E_Vljuvvct_M7RDo/edit?usp=sharing"",""ปทุมธานี!J681"")"),310.94)</f>
        <v>310.94</v>
      </c>
      <c r="BR61" s="177">
        <f ca="1">IFERROR(__xludf.DUMMYFUNCTION("IMPORTRANGE(""https://docs.google.com/spreadsheets/d/1OYoGg4WDg5RIzwGeB10padOxJF9E_Vljuvvct_M7RDo/edit?usp=sharing"",""ปทุมธานี!I682"")"),70)</f>
        <v>70</v>
      </c>
      <c r="BS61" s="177">
        <f ca="1">IFERROR(__xludf.DUMMYFUNCTION("IMPORTRANGE(""https://docs.google.com/spreadsheets/d/1OYoGg4WDg5RIzwGeB10padOxJF9E_Vljuvvct_M7RDo/edit?usp=sharing"",""ปทุมธานี!J682"")"),70.61)</f>
        <v>70.61</v>
      </c>
      <c r="BT61" s="354">
        <f t="shared" ca="1" si="63"/>
        <v>100.87142857142857</v>
      </c>
      <c r="BU61" s="177">
        <f ca="1">IFERROR(__xludf.DUMMYFUNCTION("IMPORTRANGE(""https://docs.google.com/spreadsheets/d/1OYoGg4WDg5RIzwGeB10padOxJF9E_Vljuvvct_M7RDo/edit?usp=sharing"",""ปทุมธานี!J683"")"),9)</f>
        <v>9</v>
      </c>
      <c r="BV61" s="177">
        <f ca="1">IFERROR(__xludf.DUMMYFUNCTION("IMPORTRANGE(""https://docs.google.com/spreadsheets/d/1OYoGg4WDg5RIzwGeB10padOxJF9E_Vljuvvct_M7RDo/edit?usp=sharing"",""ปทุมธานี!J684"")"),9)</f>
        <v>9</v>
      </c>
      <c r="BW61" s="177">
        <f ca="1">IFERROR(__xludf.DUMMYFUNCTION("IMPORTRANGE(""https://docs.google.com/spreadsheets/d/1OYoGg4WDg5RIzwGeB10padOxJF9E_Vljuvvct_M7RDo/edit?usp=sharing"",""ปทุมธานี!J685"")"),70.61)</f>
        <v>70.61</v>
      </c>
      <c r="BX61" s="177">
        <f ca="1">IFERROR(__xludf.DUMMYFUNCTION("IMPORTRANGE(""https://docs.google.com/spreadsheets/d/1OYoGg4WDg5RIzwGeB10padOxJF9E_Vljuvvct_M7RDo/edit?usp=sharing"",""ปทุมธานี!J686"")"),0)</f>
        <v>0</v>
      </c>
      <c r="BY61" s="177">
        <f ca="1">IFERROR(__xludf.DUMMYFUNCTION("IMPORTRANGE(""https://docs.google.com/spreadsheets/d/1OYoGg4WDg5RIzwGeB10padOxJF9E_Vljuvvct_M7RDo/edit?usp=sharing"",""ปทุมธานี!J687"")"),0)</f>
        <v>0</v>
      </c>
      <c r="BZ61" s="177">
        <f ca="1">IFERROR(__xludf.DUMMYFUNCTION("IMPORTRANGE(""https://docs.google.com/spreadsheets/d/1OYoGg4WDg5RIzwGeB10padOxJF9E_Vljuvvct_M7RDo/edit?usp=sharing"",""ปทุมธานี!J688"")"),0)</f>
        <v>0</v>
      </c>
    </row>
    <row r="62" spans="1:78" ht="21.75" customHeight="1" x14ac:dyDescent="0.3">
      <c r="A62" s="89">
        <v>10</v>
      </c>
      <c r="B62" s="90" t="s">
        <v>88</v>
      </c>
      <c r="C62" s="174">
        <f t="shared" si="38"/>
        <v>0</v>
      </c>
      <c r="D62" s="175">
        <f t="shared" si="87"/>
        <v>0</v>
      </c>
      <c r="E62" s="403">
        <v>0</v>
      </c>
      <c r="F62" s="403">
        <v>0</v>
      </c>
      <c r="G62" s="403">
        <v>0</v>
      </c>
      <c r="H62" s="403">
        <v>0</v>
      </c>
      <c r="I62" s="403">
        <v>0</v>
      </c>
      <c r="J62" s="176">
        <f t="shared" si="40"/>
        <v>0</v>
      </c>
      <c r="K62" s="179">
        <f t="shared" si="41"/>
        <v>0</v>
      </c>
      <c r="L62" s="403">
        <v>0</v>
      </c>
      <c r="M62" s="87">
        <f t="shared" si="42"/>
        <v>0</v>
      </c>
      <c r="N62" s="87">
        <f t="shared" si="43"/>
        <v>0</v>
      </c>
      <c r="O62" s="403">
        <v>0</v>
      </c>
      <c r="P62" s="86">
        <f t="shared" si="44"/>
        <v>0</v>
      </c>
      <c r="Q62" s="87">
        <f t="shared" si="45"/>
        <v>0</v>
      </c>
      <c r="R62" s="87">
        <f ca="1">IFERROR(__xludf.DUMMYFUNCTION("IMPORTRANGE(""https://docs.google.com/spreadsheets/d/1GbCIE4D4wk9FUozzqk7SxfDMxDVBwVmI5zcaVUSzKAc/edit?usp=sharing"",""ประจวบคีรีขันธ์!Q642"")"),0)</f>
        <v>0</v>
      </c>
      <c r="S62" s="87">
        <f ca="1">IFERROR(__xludf.DUMMYFUNCTION("IMPORTRANGE(""https://docs.google.com/spreadsheets/d/1GbCIE4D4wk9FUozzqk7SxfDMxDVBwVmI5zcaVUSzKAc/edit?usp=sharing"",""ประจวบคีรีขันธ์!R642"")"),0)</f>
        <v>0</v>
      </c>
      <c r="T62" s="87">
        <f ca="1">IFERROR(__xludf.DUMMYFUNCTION("IMPORTRANGE(""https://docs.google.com/spreadsheets/d/1GbCIE4D4wk9FUozzqk7SxfDMxDVBwVmI5zcaVUSzKAc/edit?usp=sharing"",""ประจวบคีรีขันธ์!S642"")"),0)</f>
        <v>0</v>
      </c>
      <c r="U62" s="87">
        <f t="shared" ca="1" si="47"/>
        <v>0</v>
      </c>
      <c r="V62" s="87">
        <f t="shared" ca="1" si="48"/>
        <v>0</v>
      </c>
      <c r="W62" s="353">
        <f ca="1">IFERROR(__xludf.DUMMYFUNCTION("IMPORTRANGE(""https://docs.google.com/spreadsheets/d/1GbCIE4D4wk9FUozzqk7SxfDMxDVBwVmI5zcaVUSzKAc/edit?usp=sharing"",""ประจวบคีรีขันธ์!I652"")"),0)</f>
        <v>0</v>
      </c>
      <c r="X62" s="177">
        <f ca="1">IFERROR(__xludf.DUMMYFUNCTION("IMPORTRANGE(""https://docs.google.com/spreadsheets/d/1GbCIE4D4wk9FUozzqk7SxfDMxDVBwVmI5zcaVUSzKAc/edit?usp=sharing"",""ประจวบคีรีขันธ์!J652"")"),0)</f>
        <v>0</v>
      </c>
      <c r="Y62" s="354">
        <f t="shared" ca="1" si="50"/>
        <v>0</v>
      </c>
      <c r="Z62" s="177">
        <f ca="1">IFERROR(__xludf.DUMMYFUNCTION("IMPORTRANGE(""https://docs.google.com/spreadsheets/d/1GbCIE4D4wk9FUozzqk7SxfDMxDVBwVmI5zcaVUSzKAc/edit?usp=sharing"",""ประจวบคีรีขันธ์!I653"")"),0)</f>
        <v>0</v>
      </c>
      <c r="AA62" s="177">
        <f ca="1">IFERROR(__xludf.DUMMYFUNCTION("IMPORTRANGE(""https://docs.google.com/spreadsheets/d/1GbCIE4D4wk9FUozzqk7SxfDMxDVBwVmI5zcaVUSzKAc/edit?usp=sharing"",""ประจวบคีรีขันธ์!J653"")"),0)</f>
        <v>0</v>
      </c>
      <c r="AB62" s="354">
        <f t="shared" ca="1" si="52"/>
        <v>0</v>
      </c>
      <c r="AC62" s="177">
        <f ca="1">IFERROR(__xludf.DUMMYFUNCTION("IMPORTRANGE(""https://docs.google.com/spreadsheets/d/1GbCIE4D4wk9FUozzqk7SxfDMxDVBwVmI5zcaVUSzKAc/edit?usp=sharing"",""ประจวบคีรีขันธ์!I654"")"),0)</f>
        <v>0</v>
      </c>
      <c r="AD62" s="177">
        <f ca="1">IFERROR(__xludf.DUMMYFUNCTION("IMPORTRANGE(""https://docs.google.com/spreadsheets/d/1GbCIE4D4wk9FUozzqk7SxfDMxDVBwVmI5zcaVUSzKAc/edit?usp=sharing"",""ประจวบคีรีขันธ์!J654"")"),0)</f>
        <v>0</v>
      </c>
      <c r="AE62" s="354">
        <f t="shared" ca="1" si="54"/>
        <v>0</v>
      </c>
      <c r="AF62" s="354">
        <f ca="1">IFERROR(__xludf.DUMMYFUNCTION("IMPORTRANGE(""https://docs.google.com/spreadsheets/d/1GbCIE4D4wk9FUozzqk7SxfDMxDVBwVmI5zcaVUSzKAc/edit?usp=sharing"",""ประจวบคีรีขันธ์!J655"")"),0)</f>
        <v>0</v>
      </c>
      <c r="AG62" s="354">
        <f ca="1">IFERROR(__xludf.DUMMYFUNCTION("IMPORTRANGE(""https://docs.google.com/spreadsheets/d/1GbCIE4D4wk9FUozzqk7SxfDMxDVBwVmI5zcaVUSzKAc/edit?usp=sharing"",""ประจวบคีรีขันธ์!J656"")"),0)</f>
        <v>0</v>
      </c>
      <c r="AH62" s="354">
        <f ca="1">IFERROR(__xludf.DUMMYFUNCTION("IMPORTRANGE(""https://docs.google.com/spreadsheets/d/1GbCIE4D4wk9FUozzqk7SxfDMxDVBwVmI5zcaVUSzKAc/edit?usp=sharing"",""ประจวบคีรีขันธ์!J657"")"),0)</f>
        <v>0</v>
      </c>
      <c r="AI62" s="354">
        <f ca="1">IFERROR(__xludf.DUMMYFUNCTION("IMPORTRANGE(""https://docs.google.com/spreadsheets/d/1GbCIE4D4wk9FUozzqk7SxfDMxDVBwVmI5zcaVUSzKAc/edit?usp=sharing"",""ประจวบคีรีขันธ์!J658"")"),0)</f>
        <v>0</v>
      </c>
      <c r="AJ62" s="354">
        <f ca="1">IFERROR(__xludf.DUMMYFUNCTION("IMPORTRANGE(""https://docs.google.com/spreadsheets/d/1GbCIE4D4wk9FUozzqk7SxfDMxDVBwVmI5zcaVUSzKAc/edit?usp=sharing"",""ประจวบคีรีขันธ์!J659"")"),0)</f>
        <v>0</v>
      </c>
      <c r="AK62" s="354">
        <f ca="1">IFERROR(__xludf.DUMMYFUNCTION("IMPORTRANGE(""https://docs.google.com/spreadsheets/d/1GbCIE4D4wk9FUozzqk7SxfDMxDVBwVmI5zcaVUSzKAc/edit?usp=sharing"",""ประจวบคีรีขันธ์!J660"")"),0)</f>
        <v>0</v>
      </c>
      <c r="AL62" s="177">
        <f ca="1">IFERROR(__xludf.DUMMYFUNCTION("IMPORTRANGE(""https://docs.google.com/spreadsheets/d/1GbCIE4D4wk9FUozzqk7SxfDMxDVBwVmI5zcaVUSzKAc/edit?usp=sharing"",""ประจวบคีรีขันธ์!I661"")"),0)</f>
        <v>0</v>
      </c>
      <c r="AM62" s="177">
        <f ca="1">IFERROR(__xludf.DUMMYFUNCTION("IMPORTRANGE(""https://docs.google.com/spreadsheets/d/1GbCIE4D4wk9FUozzqk7SxfDMxDVBwVmI5zcaVUSzKAc/edit?usp=sharing"",""ประจวบคีรีขันธ์!J661"")"),0)</f>
        <v>0</v>
      </c>
      <c r="AN62" s="354">
        <f t="shared" ca="1" si="56"/>
        <v>0</v>
      </c>
      <c r="AO62" s="177">
        <f ca="1">IFERROR(__xludf.DUMMYFUNCTION("IMPORTRANGE(""https://docs.google.com/spreadsheets/d/1GbCIE4D4wk9FUozzqk7SxfDMxDVBwVmI5zcaVUSzKAc/edit?usp=sharing"",""ประจวบคีรีขันธ์!J662"")"),0)</f>
        <v>0</v>
      </c>
      <c r="AP62" s="177">
        <f ca="1">IFERROR(__xludf.DUMMYFUNCTION("IMPORTRANGE(""https://docs.google.com/spreadsheets/d/1GbCIE4D4wk9FUozzqk7SxfDMxDVBwVmI5zcaVUSzKAc/edit?usp=sharing"",""ประจวบคีรีขันธ์!J663"")"),0)</f>
        <v>0</v>
      </c>
      <c r="AQ62" s="177">
        <f ca="1">IFERROR(__xludf.DUMMYFUNCTION("IMPORTRANGE(""https://docs.google.com/spreadsheets/d/1GbCIE4D4wk9FUozzqk7SxfDMxDVBwVmI5zcaVUSzKAc/edit?usp=sharing"",""ประจวบคีรีขันธ์!J665"")"),0)</f>
        <v>0</v>
      </c>
      <c r="AR62" s="177">
        <f ca="1">IFERROR(__xludf.DUMMYFUNCTION("IMPORTRANGE(""https://docs.google.com/spreadsheets/d/1GbCIE4D4wk9FUozzqk7SxfDMxDVBwVmI5zcaVUSzKAc/edit?usp=sharing"",""ประจวบคีรีขันธ์!J666"")"),0)</f>
        <v>0</v>
      </c>
      <c r="AS62" s="177">
        <f ca="1">IFERROR(__xludf.DUMMYFUNCTION("IMPORTRANGE(""https://docs.google.com/spreadsheets/d/1GbCIE4D4wk9FUozzqk7SxfDMxDVBwVmI5zcaVUSzKAc/edit?usp=sharing"",""ประจวบคีรีขันธ์!J667"")"),0)</f>
        <v>0</v>
      </c>
      <c r="AT62" s="177">
        <f ca="1">IFERROR(__xludf.DUMMYFUNCTION("IMPORTRANGE(""https://docs.google.com/spreadsheets/d/1GbCIE4D4wk9FUozzqk7SxfDMxDVBwVmI5zcaVUSzKAc/edit?usp=sharing"",""ประจวบคีรีขันธ์!J668"")"),0)</f>
        <v>0</v>
      </c>
      <c r="AU62" s="177">
        <f ca="1">IFERROR(__xludf.DUMMYFUNCTION("IMPORTRANGE(""https://docs.google.com/spreadsheets/d/1GbCIE4D4wk9FUozzqk7SxfDMxDVBwVmI5zcaVUSzKAc/edit?usp=sharing"",""ประจวบคีรีขันธ์!J669"")"),0)</f>
        <v>0</v>
      </c>
      <c r="AV62" s="177">
        <f ca="1">IFERROR(__xludf.DUMMYFUNCTION("IMPORTRANGE(""https://docs.google.com/spreadsheets/d/1GbCIE4D4wk9FUozzqk7SxfDMxDVBwVmI5zcaVUSzKAc/edit?usp=sharing"",""ประจวบคีรีขันธ์!J670"")"),0)</f>
        <v>0</v>
      </c>
      <c r="AW62" s="177">
        <v>0</v>
      </c>
      <c r="AX62" s="177">
        <f ca="1">IFERROR(__xludf.DUMMYFUNCTION("IMPORTRANGE(""https://docs.google.com/spreadsheets/d/1GbCIE4D4wk9FUozzqk7SxfDMxDVBwVmI5zcaVUSzKAc/edit?usp=sharing"",""ประจวบคีรีขันธ์!J671"")"),0)</f>
        <v>0</v>
      </c>
      <c r="AY62" s="177">
        <f ca="1">IFERROR(__xludf.DUMMYFUNCTION("IMPORTRANGE(""https://docs.google.com/spreadsheets/d/1GbCIE4D4wk9FUozzqk7SxfDMxDVBwVmI5zcaVUSzKAc/edit?usp=sharing"",""ประจวบคีรีขันธ์!J672"")"),0)</f>
        <v>0</v>
      </c>
      <c r="AZ62" s="177">
        <f ca="1">IFERROR(__xludf.DUMMYFUNCTION("IMPORTRANGE(""https://docs.google.com/spreadsheets/d/1GbCIE4D4wk9FUozzqk7SxfDMxDVBwVmI5zcaVUSzKAc/edit?usp=sharing"",""ประจวบคีรีขันธ์!J673"")"),0)</f>
        <v>0</v>
      </c>
      <c r="BA62" s="354">
        <f t="shared" si="58"/>
        <v>0</v>
      </c>
      <c r="BB62" s="177">
        <f ca="1">IFERROR(__xludf.DUMMYFUNCTION("IMPORTRANGE(""https://docs.google.com/spreadsheets/d/1GbCIE4D4wk9FUozzqk7SxfDMxDVBwVmI5zcaVUSzKAc/edit?usp=sharing"",""ประจวบคีรีขันธ์!I674"")"),0)</f>
        <v>0</v>
      </c>
      <c r="BC62" s="177">
        <f ca="1">IFERROR(__xludf.DUMMYFUNCTION("IMPORTRANGE(""https://docs.google.com/spreadsheets/d/1GbCIE4D4wk9FUozzqk7SxfDMxDVBwVmI5zcaVUSzKAc/edit?usp=sharing"",""ประจวบคีรีขันธ์!I675"")"),0)</f>
        <v>0</v>
      </c>
      <c r="BD62" s="177">
        <f ca="1">IFERROR(__xludf.DUMMYFUNCTION("IMPORTRANGE(""https://docs.google.com/spreadsheets/d/1GbCIE4D4wk9FUozzqk7SxfDMxDVBwVmI5zcaVUSzKAc/edit?usp=sharing"",""ประจวบคีรีขันธ์!J674"")"),0)</f>
        <v>0</v>
      </c>
      <c r="BE62" s="354">
        <f t="shared" ca="1" si="60"/>
        <v>0</v>
      </c>
      <c r="BF62" s="177">
        <f ca="1">IFERROR(__xludf.DUMMYFUNCTION("IMPORTRANGE(""https://docs.google.com/spreadsheets/d/1GbCIE4D4wk9FUozzqk7SxfDMxDVBwVmI5zcaVUSzKAc/edit?usp=sharing"",""ประจวบคีรีขันธ์!J675"")"),0)</f>
        <v>0</v>
      </c>
      <c r="BG62" s="354">
        <f t="shared" ca="1" si="61"/>
        <v>0</v>
      </c>
      <c r="BH62" s="177">
        <f ca="1">IFERROR(__xludf.DUMMYFUNCTION("IMPORTRANGE(""https://docs.google.com/spreadsheets/d/1GbCIE4D4wk9FUozzqk7SxfDMxDVBwVmI5zcaVUSzKAc/edit?usp=sharing"",""ประจวบคีรีขันธ์!I676"")"),0)</f>
        <v>0</v>
      </c>
      <c r="BI62" s="177">
        <f ca="1">IFERROR(__xludf.DUMMYFUNCTION("IMPORTRANGE(""https://docs.google.com/spreadsheets/d/1GbCIE4D4wk9FUozzqk7SxfDMxDVBwVmI5zcaVUSzKAc/edit?usp=sharing"",""ประจวบคีรีขันธ์!I678"")"),0)</f>
        <v>0</v>
      </c>
      <c r="BJ62" s="177">
        <f ca="1">IFERROR(__xludf.DUMMYFUNCTION("IMPORTRANGE(""https://docs.google.com/spreadsheets/d/1GbCIE4D4wk9FUozzqk7SxfDMxDVBwVmI5zcaVUSzKAc/edit?usp=sharing"",""ประจวบคีรีขันธ์!J676"")"),0)</f>
        <v>0</v>
      </c>
      <c r="BK62" s="177">
        <f ca="1">IFERROR(__xludf.DUMMYFUNCTION("IMPORTRANGE(""https://docs.google.com/spreadsheets/d/1GbCIE4D4wk9FUozzqk7SxfDMxDVBwVmI5zcaVUSzKAc/edit?usp=sharing"",""ประจวบคีรีขันธ์!J677"")"),0)</f>
        <v>0</v>
      </c>
      <c r="BL62" s="177">
        <f ca="1">IFERROR(__xludf.DUMMYFUNCTION("IMPORTRANGE(""https://docs.google.com/spreadsheets/d/1GbCIE4D4wk9FUozzqk7SxfDMxDVBwVmI5zcaVUSzKAc/edit?usp=sharing"",""ประจวบคีรีขันธ์!J678"")"),0)</f>
        <v>0</v>
      </c>
      <c r="BM62" s="177">
        <f ca="1">IFERROR(__xludf.DUMMYFUNCTION("IMPORTRANGE(""https://docs.google.com/spreadsheets/d/1GbCIE4D4wk9FUozzqk7SxfDMxDVBwVmI5zcaVUSzKAc/edit?usp=sharing"",""ประจวบคีรีขันธ์!I679"")"),0)</f>
        <v>0</v>
      </c>
      <c r="BN62" s="177">
        <f ca="1">IFERROR(__xludf.DUMMYFUNCTION("IMPORTRANGE(""https://docs.google.com/spreadsheets/d/1GbCIE4D4wk9FUozzqk7SxfDMxDVBwVmI5zcaVUSzKAc/edit?usp=sharing"",""ประจวบคีรีขันธ์!I681"")"),0)</f>
        <v>0</v>
      </c>
      <c r="BO62" s="177">
        <f ca="1">IFERROR(__xludf.DUMMYFUNCTION("IMPORTRANGE(""https://docs.google.com/spreadsheets/d/1GbCIE4D4wk9FUozzqk7SxfDMxDVBwVmI5zcaVUSzKAc/edit?usp=sharing"",""ประจวบคีรีขันธ์!J679"")"),0)</f>
        <v>0</v>
      </c>
      <c r="BP62" s="177">
        <f ca="1">IFERROR(__xludf.DUMMYFUNCTION("IMPORTRANGE(""https://docs.google.com/spreadsheets/d/1GbCIE4D4wk9FUozzqk7SxfDMxDVBwVmI5zcaVUSzKAc/edit?usp=sharing"",""ประจวบคีรีขันธ์!J680"")"),0)</f>
        <v>0</v>
      </c>
      <c r="BQ62" s="177">
        <f ca="1">IFERROR(__xludf.DUMMYFUNCTION("IMPORTRANGE(""https://docs.google.com/spreadsheets/d/1GbCIE4D4wk9FUozzqk7SxfDMxDVBwVmI5zcaVUSzKAc/edit?usp=sharing"",""ประจวบคีรีขันธ์!J681"")"),0)</f>
        <v>0</v>
      </c>
      <c r="BR62" s="177">
        <f ca="1">IFERROR(__xludf.DUMMYFUNCTION("IMPORTRANGE(""https://docs.google.com/spreadsheets/d/1GbCIE4D4wk9FUozzqk7SxfDMxDVBwVmI5zcaVUSzKAc/edit?usp=sharing"",""ประจวบคีรีขันธ์!I682"")"),0)</f>
        <v>0</v>
      </c>
      <c r="BS62" s="177">
        <f ca="1">IFERROR(__xludf.DUMMYFUNCTION("IMPORTRANGE(""https://docs.google.com/spreadsheets/d/1GbCIE4D4wk9FUozzqk7SxfDMxDVBwVmI5zcaVUSzKAc/edit?usp=sharing"",""ประจวบคีรีขันธ์!J682"")"),0)</f>
        <v>0</v>
      </c>
      <c r="BT62" s="354">
        <f t="shared" ca="1" si="63"/>
        <v>0</v>
      </c>
      <c r="BU62" s="177">
        <f ca="1">IFERROR(__xludf.DUMMYFUNCTION("IMPORTRANGE(""https://docs.google.com/spreadsheets/d/1GbCIE4D4wk9FUozzqk7SxfDMxDVBwVmI5zcaVUSzKAc/edit?usp=sharing"",""ประจวบคีรีขันธ์!J683"")"),0)</f>
        <v>0</v>
      </c>
      <c r="BV62" s="177">
        <f ca="1">IFERROR(__xludf.DUMMYFUNCTION("IMPORTRANGE(""https://docs.google.com/spreadsheets/d/1GbCIE4D4wk9FUozzqk7SxfDMxDVBwVmI5zcaVUSzKAc/edit?usp=sharing"",""ประจวบคีรีขันธ์!J684"")"),0)</f>
        <v>0</v>
      </c>
      <c r="BW62" s="177">
        <f ca="1">IFERROR(__xludf.DUMMYFUNCTION("IMPORTRANGE(""https://docs.google.com/spreadsheets/d/1GbCIE4D4wk9FUozzqk7SxfDMxDVBwVmI5zcaVUSzKAc/edit?usp=sharing"",""ประจวบคีรีขันธ์!J685"")"),0)</f>
        <v>0</v>
      </c>
      <c r="BX62" s="177">
        <f ca="1">IFERROR(__xludf.DUMMYFUNCTION("IMPORTRANGE(""https://docs.google.com/spreadsheets/d/1GbCIE4D4wk9FUozzqk7SxfDMxDVBwVmI5zcaVUSzKAc/edit?usp=sharing"",""ประจวบคีรีขันธ์!J686"")"),0)</f>
        <v>0</v>
      </c>
      <c r="BY62" s="177">
        <f ca="1">IFERROR(__xludf.DUMMYFUNCTION("IMPORTRANGE(""https://docs.google.com/spreadsheets/d/1GbCIE4D4wk9FUozzqk7SxfDMxDVBwVmI5zcaVUSzKAc/edit?usp=sharing"",""ประจวบคีรีขันธ์!J687"")"),0)</f>
        <v>0</v>
      </c>
      <c r="BZ62" s="177">
        <f ca="1">IFERROR(__xludf.DUMMYFUNCTION("IMPORTRANGE(""https://docs.google.com/spreadsheets/d/1GbCIE4D4wk9FUozzqk7SxfDMxDVBwVmI5zcaVUSzKAc/edit?usp=sharing"",""ประจวบคีรีขันธ์!J688"")"),0)</f>
        <v>0</v>
      </c>
    </row>
    <row r="63" spans="1:78" ht="21.75" customHeight="1" x14ac:dyDescent="0.3">
      <c r="A63" s="89">
        <v>11</v>
      </c>
      <c r="B63" s="90" t="s">
        <v>89</v>
      </c>
      <c r="C63" s="174">
        <f t="shared" si="38"/>
        <v>0</v>
      </c>
      <c r="D63" s="175">
        <f t="shared" si="87"/>
        <v>0</v>
      </c>
      <c r="E63" s="403">
        <v>0</v>
      </c>
      <c r="F63" s="403">
        <v>0</v>
      </c>
      <c r="G63" s="403">
        <v>0</v>
      </c>
      <c r="H63" s="403">
        <v>0</v>
      </c>
      <c r="I63" s="403">
        <v>0</v>
      </c>
      <c r="J63" s="176">
        <f t="shared" si="40"/>
        <v>0</v>
      </c>
      <c r="K63" s="179">
        <f t="shared" si="41"/>
        <v>0</v>
      </c>
      <c r="L63" s="403">
        <v>0</v>
      </c>
      <c r="M63" s="87">
        <f t="shared" si="42"/>
        <v>0</v>
      </c>
      <c r="N63" s="87">
        <f t="shared" si="43"/>
        <v>0</v>
      </c>
      <c r="O63" s="403">
        <v>0</v>
      </c>
      <c r="P63" s="86">
        <f t="shared" si="44"/>
        <v>0</v>
      </c>
      <c r="Q63" s="87">
        <f t="shared" si="45"/>
        <v>0</v>
      </c>
      <c r="R63" s="87">
        <f ca="1">IFERROR(__xludf.DUMMYFUNCTION("IMPORTRANGE(""https://docs.google.com/spreadsheets/d/1vVf6wykvW_lAyu7Yo9L4hUTqHqIeP_qcVuxCtosJEbg/edit?usp=sharing"",""ปราจีนบุรี!Q642"")"),15680)</f>
        <v>15680</v>
      </c>
      <c r="S63" s="87">
        <f ca="1">IFERROR(__xludf.DUMMYFUNCTION("IMPORTRANGE(""https://docs.google.com/spreadsheets/d/1vVf6wykvW_lAyu7Yo9L4hUTqHqIeP_qcVuxCtosJEbg/edit?usp=sharing"",""ปราจีนบุรี!R642"")"),0)</f>
        <v>0</v>
      </c>
      <c r="T63" s="87">
        <f ca="1">IFERROR(__xludf.DUMMYFUNCTION("IMPORTRANGE(""https://docs.google.com/spreadsheets/d/1vVf6wykvW_lAyu7Yo9L4hUTqHqIeP_qcVuxCtosJEbg/edit?usp=sharing"",""ปราจีนบุรี!S642"")"),0)</f>
        <v>0</v>
      </c>
      <c r="U63" s="87">
        <f t="shared" ca="1" si="47"/>
        <v>0</v>
      </c>
      <c r="V63" s="87">
        <f t="shared" ca="1" si="48"/>
        <v>0</v>
      </c>
      <c r="W63" s="353">
        <f ca="1">IFERROR(__xludf.DUMMYFUNCTION("IMPORTRANGE(""https://docs.google.com/spreadsheets/d/1vVf6wykvW_lAyu7Yo9L4hUTqHqIeP_qcVuxCtosJEbg/edit?usp=sharing"",""ปราจีนบุรี!I652"")"),0)</f>
        <v>0</v>
      </c>
      <c r="X63" s="177">
        <f ca="1">IFERROR(__xludf.DUMMYFUNCTION("IMPORTRANGE(""https://docs.google.com/spreadsheets/d/1vVf6wykvW_lAyu7Yo9L4hUTqHqIeP_qcVuxCtosJEbg/edit?usp=sharing"",""ปราจีนบุรี!J652"")"),0)</f>
        <v>0</v>
      </c>
      <c r="Y63" s="354">
        <f t="shared" ca="1" si="50"/>
        <v>0</v>
      </c>
      <c r="Z63" s="177">
        <f ca="1">IFERROR(__xludf.DUMMYFUNCTION("IMPORTRANGE(""https://docs.google.com/spreadsheets/d/1vVf6wykvW_lAyu7Yo9L4hUTqHqIeP_qcVuxCtosJEbg/edit?usp=sharing"",""ปราจีนบุรี!I653"")"),0)</f>
        <v>0</v>
      </c>
      <c r="AA63" s="177">
        <f ca="1">IFERROR(__xludf.DUMMYFUNCTION("IMPORTRANGE(""https://docs.google.com/spreadsheets/d/1vVf6wykvW_lAyu7Yo9L4hUTqHqIeP_qcVuxCtosJEbg/edit?usp=sharing"",""ปราจีนบุรี!J653"")"),0)</f>
        <v>0</v>
      </c>
      <c r="AB63" s="354">
        <f t="shared" ca="1" si="52"/>
        <v>0</v>
      </c>
      <c r="AC63" s="177">
        <f ca="1">IFERROR(__xludf.DUMMYFUNCTION("IMPORTRANGE(""https://docs.google.com/spreadsheets/d/1vVf6wykvW_lAyu7Yo9L4hUTqHqIeP_qcVuxCtosJEbg/edit?usp=sharing"",""ปราจีนบุรี!I654"")"),0)</f>
        <v>0</v>
      </c>
      <c r="AD63" s="177">
        <f ca="1">IFERROR(__xludf.DUMMYFUNCTION("IMPORTRANGE(""https://docs.google.com/spreadsheets/d/1vVf6wykvW_lAyu7Yo9L4hUTqHqIeP_qcVuxCtosJEbg/edit?usp=sharing"",""ปราจีนบุรี!J654"")"),0)</f>
        <v>0</v>
      </c>
      <c r="AE63" s="354">
        <f t="shared" ca="1" si="54"/>
        <v>0</v>
      </c>
      <c r="AF63" s="354">
        <f ca="1">IFERROR(__xludf.DUMMYFUNCTION("IMPORTRANGE(""https://docs.google.com/spreadsheets/d/1vVf6wykvW_lAyu7Yo9L4hUTqHqIeP_qcVuxCtosJEbg/edit?usp=sharing"",""ปราจีนบุรี!J655"")"),0)</f>
        <v>0</v>
      </c>
      <c r="AG63" s="354">
        <f ca="1">IFERROR(__xludf.DUMMYFUNCTION("IMPORTRANGE(""https://docs.google.com/spreadsheets/d/1vVf6wykvW_lAyu7Yo9L4hUTqHqIeP_qcVuxCtosJEbg/edit?usp=sharing"",""ปราจีนบุรี!J656"")"),0)</f>
        <v>0</v>
      </c>
      <c r="AH63" s="354">
        <f ca="1">IFERROR(__xludf.DUMMYFUNCTION("IMPORTRANGE(""https://docs.google.com/spreadsheets/d/1vVf6wykvW_lAyu7Yo9L4hUTqHqIeP_qcVuxCtosJEbg/edit?usp=sharing"",""ปราจีนบุรี!J657"")"),0)</f>
        <v>0</v>
      </c>
      <c r="AI63" s="354">
        <f ca="1">IFERROR(__xludf.DUMMYFUNCTION("IMPORTRANGE(""https://docs.google.com/spreadsheets/d/1vVf6wykvW_lAyu7Yo9L4hUTqHqIeP_qcVuxCtosJEbg/edit?usp=sharing"",""ปราจีนบุรี!J658"")"),0)</f>
        <v>0</v>
      </c>
      <c r="AJ63" s="354">
        <f ca="1">IFERROR(__xludf.DUMMYFUNCTION("IMPORTRANGE(""https://docs.google.com/spreadsheets/d/1vVf6wykvW_lAyu7Yo9L4hUTqHqIeP_qcVuxCtosJEbg/edit?usp=sharing"",""ปราจีนบุรี!J659"")"),0)</f>
        <v>0</v>
      </c>
      <c r="AK63" s="354">
        <f ca="1">IFERROR(__xludf.DUMMYFUNCTION("IMPORTRANGE(""https://docs.google.com/spreadsheets/d/1vVf6wykvW_lAyu7Yo9L4hUTqHqIeP_qcVuxCtosJEbg/edit?usp=sharing"",""ปราจีนบุรี!J660"")"),0)</f>
        <v>0</v>
      </c>
      <c r="AL63" s="177">
        <f ca="1">IFERROR(__xludf.DUMMYFUNCTION("IMPORTRANGE(""https://docs.google.com/spreadsheets/d/1vVf6wykvW_lAyu7Yo9L4hUTqHqIeP_qcVuxCtosJEbg/edit?usp=sharing"",""ปราจีนบุรี!I661"")"),137)</f>
        <v>137</v>
      </c>
      <c r="AM63" s="177">
        <f ca="1">IFERROR(__xludf.DUMMYFUNCTION("IMPORTRANGE(""https://docs.google.com/spreadsheets/d/1vVf6wykvW_lAyu7Yo9L4hUTqHqIeP_qcVuxCtosJEbg/edit?usp=sharing"",""ปราจีนบุรี!J661"")"),0)</f>
        <v>0</v>
      </c>
      <c r="AN63" s="354">
        <f t="shared" ca="1" si="56"/>
        <v>0</v>
      </c>
      <c r="AO63" s="177">
        <f ca="1">IFERROR(__xludf.DUMMYFUNCTION("IMPORTRANGE(""https://docs.google.com/spreadsheets/d/1vVf6wykvW_lAyu7Yo9L4hUTqHqIeP_qcVuxCtosJEbg/edit?usp=sharing"",""ปราจีนบุรี!J662"")"),0)</f>
        <v>0</v>
      </c>
      <c r="AP63" s="177">
        <f ca="1">IFERROR(__xludf.DUMMYFUNCTION("IMPORTRANGE(""https://docs.google.com/spreadsheets/d/1vVf6wykvW_lAyu7Yo9L4hUTqHqIeP_qcVuxCtosJEbg/edit?usp=sharing"",""ปราจีนบุรี!J663"")"),0)</f>
        <v>0</v>
      </c>
      <c r="AQ63" s="177">
        <f ca="1">IFERROR(__xludf.DUMMYFUNCTION("IMPORTRANGE(""https://docs.google.com/spreadsheets/d/1vVf6wykvW_lAyu7Yo9L4hUTqHqIeP_qcVuxCtosJEbg/edit?usp=sharing"",""ปราจีนบุรี!J665"")"),0)</f>
        <v>0</v>
      </c>
      <c r="AR63" s="177">
        <f ca="1">IFERROR(__xludf.DUMMYFUNCTION("IMPORTRANGE(""https://docs.google.com/spreadsheets/d/1vVf6wykvW_lAyu7Yo9L4hUTqHqIeP_qcVuxCtosJEbg/edit?usp=sharing"",""ปราจีนบุรี!J666"")"),0)</f>
        <v>0</v>
      </c>
      <c r="AS63" s="177">
        <f ca="1">IFERROR(__xludf.DUMMYFUNCTION("IMPORTRANGE(""https://docs.google.com/spreadsheets/d/1vVf6wykvW_lAyu7Yo9L4hUTqHqIeP_qcVuxCtosJEbg/edit?usp=sharing"",""ปราจีนบุรี!J667"")"),0)</f>
        <v>0</v>
      </c>
      <c r="AT63" s="177">
        <f ca="1">IFERROR(__xludf.DUMMYFUNCTION("IMPORTRANGE(""https://docs.google.com/spreadsheets/d/1vVf6wykvW_lAyu7Yo9L4hUTqHqIeP_qcVuxCtosJEbg/edit?usp=sharing"",""ปราจีนบุรี!J668"")"),0)</f>
        <v>0</v>
      </c>
      <c r="AU63" s="177">
        <f ca="1">IFERROR(__xludf.DUMMYFUNCTION("IMPORTRANGE(""https://docs.google.com/spreadsheets/d/1vVf6wykvW_lAyu7Yo9L4hUTqHqIeP_qcVuxCtosJEbg/edit?usp=sharing"",""ปราจีนบุรี!J669"")"),0)</f>
        <v>0</v>
      </c>
      <c r="AV63" s="177">
        <f ca="1">IFERROR(__xludf.DUMMYFUNCTION("IMPORTRANGE(""https://docs.google.com/spreadsheets/d/1vVf6wykvW_lAyu7Yo9L4hUTqHqIeP_qcVuxCtosJEbg/edit?usp=sharing"",""ปราจีนบุรี!J670"")"),0)</f>
        <v>0</v>
      </c>
      <c r="AW63" s="177">
        <v>0</v>
      </c>
      <c r="AX63" s="177">
        <f ca="1">IFERROR(__xludf.DUMMYFUNCTION("IMPORTRANGE(""https://docs.google.com/spreadsheets/d/1vVf6wykvW_lAyu7Yo9L4hUTqHqIeP_qcVuxCtosJEbg/edit?usp=sharing"",""ปราจีนบุรี!J671"")"),0)</f>
        <v>0</v>
      </c>
      <c r="AY63" s="177">
        <f ca="1">IFERROR(__xludf.DUMMYFUNCTION("IMPORTRANGE(""https://docs.google.com/spreadsheets/d/1vVf6wykvW_lAyu7Yo9L4hUTqHqIeP_qcVuxCtosJEbg/edit?usp=sharing"",""ปราจีนบุรี!J672"")"),0)</f>
        <v>0</v>
      </c>
      <c r="AZ63" s="177">
        <f ca="1">IFERROR(__xludf.DUMMYFUNCTION("IMPORTRANGE(""https://docs.google.com/spreadsheets/d/1vVf6wykvW_lAyu7Yo9L4hUTqHqIeP_qcVuxCtosJEbg/edit?usp=sharing"",""ปราจีนบุรี!J673"")"),0)</f>
        <v>0</v>
      </c>
      <c r="BA63" s="354">
        <f t="shared" si="58"/>
        <v>0</v>
      </c>
      <c r="BB63" s="177">
        <f ca="1">IFERROR(__xludf.DUMMYFUNCTION("IMPORTRANGE(""https://docs.google.com/spreadsheets/d/1vVf6wykvW_lAyu7Yo9L4hUTqHqIeP_qcVuxCtosJEbg/edit?usp=sharing"",""ปราจีนบุรี!I674"")"),10)</f>
        <v>10</v>
      </c>
      <c r="BC63" s="177">
        <f ca="1">IFERROR(__xludf.DUMMYFUNCTION("IMPORTRANGE(""https://docs.google.com/spreadsheets/d/1vVf6wykvW_lAyu7Yo9L4hUTqHqIeP_qcVuxCtosJEbg/edit?usp=sharing"",""ปราจีนบุรี!I675"")"),100)</f>
        <v>100</v>
      </c>
      <c r="BD63" s="177">
        <f ca="1">IFERROR(__xludf.DUMMYFUNCTION("IMPORTRANGE(""https://docs.google.com/spreadsheets/d/1vVf6wykvW_lAyu7Yo9L4hUTqHqIeP_qcVuxCtosJEbg/edit?usp=sharing"",""ปราจีนบุรี!J674"")"),0)</f>
        <v>0</v>
      </c>
      <c r="BE63" s="354">
        <f t="shared" ca="1" si="60"/>
        <v>0</v>
      </c>
      <c r="BF63" s="177">
        <f ca="1">IFERROR(__xludf.DUMMYFUNCTION("IMPORTRANGE(""https://docs.google.com/spreadsheets/d/1vVf6wykvW_lAyu7Yo9L4hUTqHqIeP_qcVuxCtosJEbg/edit?usp=sharing"",""ปราจีนบุรี!J675"")"),0)</f>
        <v>0</v>
      </c>
      <c r="BG63" s="354">
        <f t="shared" ca="1" si="61"/>
        <v>0</v>
      </c>
      <c r="BH63" s="177">
        <f ca="1">IFERROR(__xludf.DUMMYFUNCTION("IMPORTRANGE(""https://docs.google.com/spreadsheets/d/1vVf6wykvW_lAyu7Yo9L4hUTqHqIeP_qcVuxCtosJEbg/edit?usp=sharing"",""ปราจีนบุรี!I676"")"),5)</f>
        <v>5</v>
      </c>
      <c r="BI63" s="177">
        <f ca="1">IFERROR(__xludf.DUMMYFUNCTION("IMPORTRANGE(""https://docs.google.com/spreadsheets/d/1vVf6wykvW_lAyu7Yo9L4hUTqHqIeP_qcVuxCtosJEbg/edit?usp=sharing"",""ปราจีนบุรี!I678"")"),50)</f>
        <v>50</v>
      </c>
      <c r="BJ63" s="177">
        <f ca="1">IFERROR(__xludf.DUMMYFUNCTION("IMPORTRANGE(""https://docs.google.com/spreadsheets/d/1vVf6wykvW_lAyu7Yo9L4hUTqHqIeP_qcVuxCtosJEbg/edit?usp=sharing"",""ปราจีนบุรี!J676"")"),0)</f>
        <v>0</v>
      </c>
      <c r="BK63" s="177">
        <f ca="1">IFERROR(__xludf.DUMMYFUNCTION("IMPORTRANGE(""https://docs.google.com/spreadsheets/d/1vVf6wykvW_lAyu7Yo9L4hUTqHqIeP_qcVuxCtosJEbg/edit?usp=sharing"",""ปราจีนบุรี!J677"")"),0)</f>
        <v>0</v>
      </c>
      <c r="BL63" s="177">
        <f ca="1">IFERROR(__xludf.DUMMYFUNCTION("IMPORTRANGE(""https://docs.google.com/spreadsheets/d/1vVf6wykvW_lAyu7Yo9L4hUTqHqIeP_qcVuxCtosJEbg/edit?usp=sharing"",""ปราจีนบุรี!J678"")"),0)</f>
        <v>0</v>
      </c>
      <c r="BM63" s="177">
        <f ca="1">IFERROR(__xludf.DUMMYFUNCTION("IMPORTRANGE(""https://docs.google.com/spreadsheets/d/1vVf6wykvW_lAyu7Yo9L4hUTqHqIeP_qcVuxCtosJEbg/edit?usp=sharing"",""ปราจีนบุรี!I679"")"),5)</f>
        <v>5</v>
      </c>
      <c r="BN63" s="177">
        <f ca="1">IFERROR(__xludf.DUMMYFUNCTION("IMPORTRANGE(""https://docs.google.com/spreadsheets/d/1vVf6wykvW_lAyu7Yo9L4hUTqHqIeP_qcVuxCtosJEbg/edit?usp=sharing"",""ปราจีนบุรี!I681"")"),50)</f>
        <v>50</v>
      </c>
      <c r="BO63" s="177">
        <f ca="1">IFERROR(__xludf.DUMMYFUNCTION("IMPORTRANGE(""https://docs.google.com/spreadsheets/d/1vVf6wykvW_lAyu7Yo9L4hUTqHqIeP_qcVuxCtosJEbg/edit?usp=sharing"",""ปราจีนบุรี!J679"")"),0)</f>
        <v>0</v>
      </c>
      <c r="BP63" s="177">
        <f ca="1">IFERROR(__xludf.DUMMYFUNCTION("IMPORTRANGE(""https://docs.google.com/spreadsheets/d/1vVf6wykvW_lAyu7Yo9L4hUTqHqIeP_qcVuxCtosJEbg/edit?usp=sharing"",""ปราจีนบุรี!J680"")"),0)</f>
        <v>0</v>
      </c>
      <c r="BQ63" s="177">
        <f ca="1">IFERROR(__xludf.DUMMYFUNCTION("IMPORTRANGE(""https://docs.google.com/spreadsheets/d/1vVf6wykvW_lAyu7Yo9L4hUTqHqIeP_qcVuxCtosJEbg/edit?usp=sharing"",""ปราจีนบุรี!J681"")"),0)</f>
        <v>0</v>
      </c>
      <c r="BR63" s="177">
        <f ca="1">IFERROR(__xludf.DUMMYFUNCTION("IMPORTRANGE(""https://docs.google.com/spreadsheets/d/1vVf6wykvW_lAyu7Yo9L4hUTqHqIeP_qcVuxCtosJEbg/edit?usp=sharing"",""ปราจีนบุรี!I682"")"),0)</f>
        <v>0</v>
      </c>
      <c r="BS63" s="177">
        <f ca="1">IFERROR(__xludf.DUMMYFUNCTION("IMPORTRANGE(""https://docs.google.com/spreadsheets/d/1vVf6wykvW_lAyu7Yo9L4hUTqHqIeP_qcVuxCtosJEbg/edit?usp=sharing"",""ปราจีนบุรี!J682"")"),0)</f>
        <v>0</v>
      </c>
      <c r="BT63" s="354">
        <f t="shared" ca="1" si="63"/>
        <v>0</v>
      </c>
      <c r="BU63" s="177">
        <f ca="1">IFERROR(__xludf.DUMMYFUNCTION("IMPORTRANGE(""https://docs.google.com/spreadsheets/d/1vVf6wykvW_lAyu7Yo9L4hUTqHqIeP_qcVuxCtosJEbg/edit?usp=sharing"",""ปราจีนบุรี!J683"")"),0)</f>
        <v>0</v>
      </c>
      <c r="BV63" s="177">
        <f ca="1">IFERROR(__xludf.DUMMYFUNCTION("IMPORTRANGE(""https://docs.google.com/spreadsheets/d/1vVf6wykvW_lAyu7Yo9L4hUTqHqIeP_qcVuxCtosJEbg/edit?usp=sharing"",""ปราจีนบุรี!J684"")"),0)</f>
        <v>0</v>
      </c>
      <c r="BW63" s="177">
        <f ca="1">IFERROR(__xludf.DUMMYFUNCTION("IMPORTRANGE(""https://docs.google.com/spreadsheets/d/1vVf6wykvW_lAyu7Yo9L4hUTqHqIeP_qcVuxCtosJEbg/edit?usp=sharing"",""ปราจีนบุรี!J685"")"),0)</f>
        <v>0</v>
      </c>
      <c r="BX63" s="177">
        <f ca="1">IFERROR(__xludf.DUMMYFUNCTION("IMPORTRANGE(""https://docs.google.com/spreadsheets/d/1vVf6wykvW_lAyu7Yo9L4hUTqHqIeP_qcVuxCtosJEbg/edit?usp=sharing"",""ปราจีนบุรี!J686"")"),0)</f>
        <v>0</v>
      </c>
      <c r="BY63" s="177">
        <f ca="1">IFERROR(__xludf.DUMMYFUNCTION("IMPORTRANGE(""https://docs.google.com/spreadsheets/d/1vVf6wykvW_lAyu7Yo9L4hUTqHqIeP_qcVuxCtosJEbg/edit?usp=sharing"",""ปราจีนบุรี!J687"")"),0)</f>
        <v>0</v>
      </c>
      <c r="BZ63" s="177">
        <f ca="1">IFERROR(__xludf.DUMMYFUNCTION("IMPORTRANGE(""https://docs.google.com/spreadsheets/d/1vVf6wykvW_lAyu7Yo9L4hUTqHqIeP_qcVuxCtosJEbg/edit?usp=sharing"",""ปราจีนบุรี!J688"")"),0)</f>
        <v>0</v>
      </c>
    </row>
    <row r="64" spans="1:78" ht="21.75" customHeight="1" x14ac:dyDescent="0.3">
      <c r="A64" s="89">
        <v>12</v>
      </c>
      <c r="B64" s="90" t="s">
        <v>90</v>
      </c>
      <c r="C64" s="174">
        <f t="shared" si="38"/>
        <v>0</v>
      </c>
      <c r="D64" s="175">
        <f t="shared" si="87"/>
        <v>0</v>
      </c>
      <c r="E64" s="403">
        <v>0</v>
      </c>
      <c r="F64" s="403">
        <v>0</v>
      </c>
      <c r="G64" s="403">
        <v>0</v>
      </c>
      <c r="H64" s="403">
        <v>0</v>
      </c>
      <c r="I64" s="403">
        <v>0</v>
      </c>
      <c r="J64" s="176">
        <f t="shared" si="40"/>
        <v>0</v>
      </c>
      <c r="K64" s="179">
        <f t="shared" si="41"/>
        <v>0</v>
      </c>
      <c r="L64" s="403">
        <v>0</v>
      </c>
      <c r="M64" s="87">
        <f t="shared" si="42"/>
        <v>0</v>
      </c>
      <c r="N64" s="87">
        <f t="shared" si="43"/>
        <v>0</v>
      </c>
      <c r="O64" s="403">
        <v>0</v>
      </c>
      <c r="P64" s="86">
        <f t="shared" si="44"/>
        <v>0</v>
      </c>
      <c r="Q64" s="87">
        <f t="shared" si="45"/>
        <v>0</v>
      </c>
      <c r="R64" s="87">
        <f ca="1">IFERROR(__xludf.DUMMYFUNCTION("IMPORTRANGE(""https://docs.google.com/spreadsheets/d/1BIDqLLg5jk3v59G8NlR8rk5xfQDKne0sAvZHSj7TI6I/edit?usp=sharing"",""พระนครศรีอยุธยา!Q642"")"),76220)</f>
        <v>76220</v>
      </c>
      <c r="S64" s="87">
        <f ca="1">IFERROR(__xludf.DUMMYFUNCTION("IMPORTRANGE(""https://docs.google.com/spreadsheets/d/1BIDqLLg5jk3v59G8NlR8rk5xfQDKne0sAvZHSj7TI6I/edit?usp=sharing"",""พระนครศรีอยุธยา!R642"")"),0)</f>
        <v>0</v>
      </c>
      <c r="T64" s="87">
        <f ca="1">IFERROR(__xludf.DUMMYFUNCTION("IMPORTRANGE(""https://docs.google.com/spreadsheets/d/1BIDqLLg5jk3v59G8NlR8rk5xfQDKne0sAvZHSj7TI6I/edit?usp=sharing"",""พระนครศรีอยุธยา!S642"")"),0)</f>
        <v>0</v>
      </c>
      <c r="U64" s="87">
        <f t="shared" ca="1" si="47"/>
        <v>0</v>
      </c>
      <c r="V64" s="87">
        <f t="shared" ca="1" si="48"/>
        <v>0</v>
      </c>
      <c r="W64" s="353">
        <f ca="1">IFERROR(__xludf.DUMMYFUNCTION("IMPORTRANGE(""https://docs.google.com/spreadsheets/d/1BIDqLLg5jk3v59G8NlR8rk5xfQDKne0sAvZHSj7TI6I/edit?usp=sharing"",""พระนครศรีอยุธยา!I652"")"),0)</f>
        <v>0</v>
      </c>
      <c r="X64" s="177">
        <f ca="1">IFERROR(__xludf.DUMMYFUNCTION("IMPORTRANGE(""https://docs.google.com/spreadsheets/d/1BIDqLLg5jk3v59G8NlR8rk5xfQDKne0sAvZHSj7TI6I/edit?usp=sharing"",""พระนครศรีอยุธยา!J652"")"),0)</f>
        <v>0</v>
      </c>
      <c r="Y64" s="354">
        <f t="shared" ca="1" si="50"/>
        <v>0</v>
      </c>
      <c r="Z64" s="177">
        <f ca="1">IFERROR(__xludf.DUMMYFUNCTION("IMPORTRANGE(""https://docs.google.com/spreadsheets/d/1BIDqLLg5jk3v59G8NlR8rk5xfQDKne0sAvZHSj7TI6I/edit?usp=sharing"",""พระนครศรีอยุธยา!I653"")"),63)</f>
        <v>63</v>
      </c>
      <c r="AA64" s="177">
        <f ca="1">IFERROR(__xludf.DUMMYFUNCTION("IMPORTRANGE(""https://docs.google.com/spreadsheets/d/1BIDqLLg5jk3v59G8NlR8rk5xfQDKne0sAvZHSj7TI6I/edit?usp=sharing"",""พระนครศรีอยุธยา!J653"")"),0)</f>
        <v>0</v>
      </c>
      <c r="AB64" s="354">
        <f t="shared" ca="1" si="52"/>
        <v>0</v>
      </c>
      <c r="AC64" s="177">
        <f ca="1">IFERROR(__xludf.DUMMYFUNCTION("IMPORTRANGE(""https://docs.google.com/spreadsheets/d/1BIDqLLg5jk3v59G8NlR8rk5xfQDKne0sAvZHSj7TI6I/edit?usp=sharing"",""พระนครศรีอยุธยา!I654"")"),0)</f>
        <v>0</v>
      </c>
      <c r="AD64" s="177">
        <f ca="1">IFERROR(__xludf.DUMMYFUNCTION("IMPORTRANGE(""https://docs.google.com/spreadsheets/d/1BIDqLLg5jk3v59G8NlR8rk5xfQDKne0sAvZHSj7TI6I/edit?usp=sharing"",""พระนครศรีอยุธยา!J654"")"),0)</f>
        <v>0</v>
      </c>
      <c r="AE64" s="354">
        <f t="shared" ca="1" si="54"/>
        <v>0</v>
      </c>
      <c r="AF64" s="354">
        <f ca="1">IFERROR(__xludf.DUMMYFUNCTION("IMPORTRANGE(""https://docs.google.com/spreadsheets/d/1BIDqLLg5jk3v59G8NlR8rk5xfQDKne0sAvZHSj7TI6I/edit?usp=sharing"",""พระนครศรีอยุธยา!J655"")"),0)</f>
        <v>0</v>
      </c>
      <c r="AG64" s="354">
        <f ca="1">IFERROR(__xludf.DUMMYFUNCTION("IMPORTRANGE(""https://docs.google.com/spreadsheets/d/1BIDqLLg5jk3v59G8NlR8rk5xfQDKne0sAvZHSj7TI6I/edit?usp=sharing"",""พระนครศรีอยุธยา!J656"")"),0)</f>
        <v>0</v>
      </c>
      <c r="AH64" s="354">
        <f ca="1">IFERROR(__xludf.DUMMYFUNCTION("IMPORTRANGE(""https://docs.google.com/spreadsheets/d/1BIDqLLg5jk3v59G8NlR8rk5xfQDKne0sAvZHSj7TI6I/edit?usp=sharing"",""พระนครศรีอยุธยา!J657"")"),0)</f>
        <v>0</v>
      </c>
      <c r="AI64" s="354">
        <f ca="1">IFERROR(__xludf.DUMMYFUNCTION("IMPORTRANGE(""https://docs.google.com/spreadsheets/d/1BIDqLLg5jk3v59G8NlR8rk5xfQDKne0sAvZHSj7TI6I/edit?usp=sharing"",""พระนครศรีอยุธยา!J658"")"),0)</f>
        <v>0</v>
      </c>
      <c r="AJ64" s="354">
        <f ca="1">IFERROR(__xludf.DUMMYFUNCTION("IMPORTRANGE(""https://docs.google.com/spreadsheets/d/1BIDqLLg5jk3v59G8NlR8rk5xfQDKne0sAvZHSj7TI6I/edit?usp=sharing"",""พระนครศรีอยุธยา!J659"")"),0)</f>
        <v>0</v>
      </c>
      <c r="AK64" s="354">
        <f ca="1">IFERROR(__xludf.DUMMYFUNCTION("IMPORTRANGE(""https://docs.google.com/spreadsheets/d/1BIDqLLg5jk3v59G8NlR8rk5xfQDKne0sAvZHSj7TI6I/edit?usp=sharing"",""พระนครศรีอยุธยา!J660"")"),0)</f>
        <v>0</v>
      </c>
      <c r="AL64" s="177">
        <f ca="1">IFERROR(__xludf.DUMMYFUNCTION("IMPORTRANGE(""https://docs.google.com/spreadsheets/d/1BIDqLLg5jk3v59G8NlR8rk5xfQDKne0sAvZHSj7TI6I/edit?usp=sharing"",""พระนครศรีอยุธยา!I661"")"),20)</f>
        <v>20</v>
      </c>
      <c r="AM64" s="177">
        <f ca="1">IFERROR(__xludf.DUMMYFUNCTION("IMPORTRANGE(""https://docs.google.com/spreadsheets/d/1BIDqLLg5jk3v59G8NlR8rk5xfQDKne0sAvZHSj7TI6I/edit?usp=sharing"",""พระนครศรีอยุธยา!J661"")"),0)</f>
        <v>0</v>
      </c>
      <c r="AN64" s="354">
        <f t="shared" ca="1" si="56"/>
        <v>0</v>
      </c>
      <c r="AO64" s="177">
        <f ca="1">IFERROR(__xludf.DUMMYFUNCTION("IMPORTRANGE(""https://docs.google.com/spreadsheets/d/1BIDqLLg5jk3v59G8NlR8rk5xfQDKne0sAvZHSj7TI6I/edit?usp=sharing"",""พระนครศรีอยุธยา!J662"")"),0)</f>
        <v>0</v>
      </c>
      <c r="AP64" s="177">
        <f ca="1">IFERROR(__xludf.DUMMYFUNCTION("IMPORTRANGE(""https://docs.google.com/spreadsheets/d/1BIDqLLg5jk3v59G8NlR8rk5xfQDKne0sAvZHSj7TI6I/edit?usp=sharing"",""พระนครศรีอยุธยา!J663"")"),0)</f>
        <v>0</v>
      </c>
      <c r="AQ64" s="177">
        <f ca="1">IFERROR(__xludf.DUMMYFUNCTION("IMPORTRANGE(""https://docs.google.com/spreadsheets/d/1BIDqLLg5jk3v59G8NlR8rk5xfQDKne0sAvZHSj7TI6I/edit?usp=sharing"",""พระนครศรีอยุธยา!J665"")"),0)</f>
        <v>0</v>
      </c>
      <c r="AR64" s="177">
        <f ca="1">IFERROR(__xludf.DUMMYFUNCTION("IMPORTRANGE(""https://docs.google.com/spreadsheets/d/1BIDqLLg5jk3v59G8NlR8rk5xfQDKne0sAvZHSj7TI6I/edit?usp=sharing"",""พระนครศรีอยุธยา!J666"")"),0)</f>
        <v>0</v>
      </c>
      <c r="AS64" s="177">
        <f ca="1">IFERROR(__xludf.DUMMYFUNCTION("IMPORTRANGE(""https://docs.google.com/spreadsheets/d/1BIDqLLg5jk3v59G8NlR8rk5xfQDKne0sAvZHSj7TI6I/edit?usp=sharing"",""พระนครศรีอยุธยา!J667"")"),0)</f>
        <v>0</v>
      </c>
      <c r="AT64" s="177">
        <f ca="1">IFERROR(__xludf.DUMMYFUNCTION("IMPORTRANGE(""https://docs.google.com/spreadsheets/d/1BIDqLLg5jk3v59G8NlR8rk5xfQDKne0sAvZHSj7TI6I/edit?usp=sharing"",""พระนครศรีอยุธยา!J668"")"),0)</f>
        <v>0</v>
      </c>
      <c r="AU64" s="177">
        <f ca="1">IFERROR(__xludf.DUMMYFUNCTION("IMPORTRANGE(""https://docs.google.com/spreadsheets/d/1BIDqLLg5jk3v59G8NlR8rk5xfQDKne0sAvZHSj7TI6I/edit?usp=sharing"",""พระนครศรีอยุธยา!J669"")"),0)</f>
        <v>0</v>
      </c>
      <c r="AV64" s="177">
        <f ca="1">IFERROR(__xludf.DUMMYFUNCTION("IMPORTRANGE(""https://docs.google.com/spreadsheets/d/1BIDqLLg5jk3v59G8NlR8rk5xfQDKne0sAvZHSj7TI6I/edit?usp=sharing"",""พระนครศรีอยุธยา!J670"")"),0)</f>
        <v>0</v>
      </c>
      <c r="AW64" s="177">
        <v>0</v>
      </c>
      <c r="AX64" s="177">
        <f ca="1">IFERROR(__xludf.DUMMYFUNCTION("IMPORTRANGE(""https://docs.google.com/spreadsheets/d/1BIDqLLg5jk3v59G8NlR8rk5xfQDKne0sAvZHSj7TI6I/edit?usp=sharing"",""พระนครศรีอยุธยา!J671"")"),31)</f>
        <v>31</v>
      </c>
      <c r="AY64" s="177">
        <f ca="1">IFERROR(__xludf.DUMMYFUNCTION("IMPORTRANGE(""https://docs.google.com/spreadsheets/d/1BIDqLLg5jk3v59G8NlR8rk5xfQDKne0sAvZHSj7TI6I/edit?usp=sharing"",""พระนครศรีอยุธยา!J672"")"),34)</f>
        <v>34</v>
      </c>
      <c r="AZ64" s="177">
        <f ca="1">IFERROR(__xludf.DUMMYFUNCTION("IMPORTRANGE(""https://docs.google.com/spreadsheets/d/1BIDqLLg5jk3v59G8NlR8rk5xfQDKne0sAvZHSj7TI6I/edit?usp=sharing"",""พระนครศรีอยุธยา!J673"")"),229.9)</f>
        <v>229.9</v>
      </c>
      <c r="BA64" s="354">
        <f t="shared" si="58"/>
        <v>0</v>
      </c>
      <c r="BB64" s="177">
        <f ca="1">IFERROR(__xludf.DUMMYFUNCTION("IMPORTRANGE(""https://docs.google.com/spreadsheets/d/1BIDqLLg5jk3v59G8NlR8rk5xfQDKne0sAvZHSj7TI6I/edit?usp=sharing"",""พระนครศรีอยุธยา!I674"")"),43)</f>
        <v>43</v>
      </c>
      <c r="BC64" s="177">
        <f ca="1">IFERROR(__xludf.DUMMYFUNCTION("IMPORTRANGE(""https://docs.google.com/spreadsheets/d/1BIDqLLg5jk3v59G8NlR8rk5xfQDKne0sAvZHSj7TI6I/edit?usp=sharing"",""พระนครศรีอยุธยา!I675"")"),330)</f>
        <v>330</v>
      </c>
      <c r="BD64" s="177">
        <f ca="1">IFERROR(__xludf.DUMMYFUNCTION("IMPORTRANGE(""https://docs.google.com/spreadsheets/d/1BIDqLLg5jk3v59G8NlR8rk5xfQDKne0sAvZHSj7TI6I/edit?usp=sharing"",""พระนครศรีอยุธยา!J674"")"),1)</f>
        <v>1</v>
      </c>
      <c r="BE64" s="354">
        <f t="shared" ca="1" si="60"/>
        <v>2.3255813953488373</v>
      </c>
      <c r="BF64" s="177">
        <f ca="1">IFERROR(__xludf.DUMMYFUNCTION("IMPORTRANGE(""https://docs.google.com/spreadsheets/d/1BIDqLLg5jk3v59G8NlR8rk5xfQDKne0sAvZHSj7TI6I/edit?usp=sharing"",""พระนครศรีอยุธยา!J675"")"),11.89)</f>
        <v>11.89</v>
      </c>
      <c r="BG64" s="354">
        <f t="shared" ca="1" si="61"/>
        <v>3.603030303030303</v>
      </c>
      <c r="BH64" s="177">
        <f ca="1">IFERROR(__xludf.DUMMYFUNCTION("IMPORTRANGE(""https://docs.google.com/spreadsheets/d/1BIDqLLg5jk3v59G8NlR8rk5xfQDKne0sAvZHSj7TI6I/edit?usp=sharing"",""พระนครศรีอยุธยา!I676"")"),40)</f>
        <v>40</v>
      </c>
      <c r="BI64" s="177">
        <f ca="1">IFERROR(__xludf.DUMMYFUNCTION("IMPORTRANGE(""https://docs.google.com/spreadsheets/d/1BIDqLLg5jk3v59G8NlR8rk5xfQDKne0sAvZHSj7TI6I/edit?usp=sharing"",""พระนครศรีอยุธยา!I678"")"),300)</f>
        <v>300</v>
      </c>
      <c r="BJ64" s="177">
        <f ca="1">IFERROR(__xludf.DUMMYFUNCTION("IMPORTRANGE(""https://docs.google.com/spreadsheets/d/1BIDqLLg5jk3v59G8NlR8rk5xfQDKne0sAvZHSj7TI6I/edit?usp=sharing"",""พระนครศรีอยุธยา!J676"")"),1)</f>
        <v>1</v>
      </c>
      <c r="BK64" s="177">
        <f ca="1">IFERROR(__xludf.DUMMYFUNCTION("IMPORTRANGE(""https://docs.google.com/spreadsheets/d/1BIDqLLg5jk3v59G8NlR8rk5xfQDKne0sAvZHSj7TI6I/edit?usp=sharing"",""พระนครศรีอยุธยา!J677"")"),1)</f>
        <v>1</v>
      </c>
      <c r="BL64" s="177">
        <f ca="1">IFERROR(__xludf.DUMMYFUNCTION("IMPORTRANGE(""https://docs.google.com/spreadsheets/d/1BIDqLLg5jk3v59G8NlR8rk5xfQDKne0sAvZHSj7TI6I/edit?usp=sharing"",""พระนครศรีอยุธยา!J678"")"),11.89)</f>
        <v>11.89</v>
      </c>
      <c r="BM64" s="177">
        <f ca="1">IFERROR(__xludf.DUMMYFUNCTION("IMPORTRANGE(""https://docs.google.com/spreadsheets/d/1BIDqLLg5jk3v59G8NlR8rk5xfQDKne0sAvZHSj7TI6I/edit?usp=sharing"",""พระนครศรีอยุธยา!I679"")"),3)</f>
        <v>3</v>
      </c>
      <c r="BN64" s="177">
        <f ca="1">IFERROR(__xludf.DUMMYFUNCTION("IMPORTRANGE(""https://docs.google.com/spreadsheets/d/1BIDqLLg5jk3v59G8NlR8rk5xfQDKne0sAvZHSj7TI6I/edit?usp=sharing"",""พระนครศรีอยุธยา!I681"")"),30)</f>
        <v>30</v>
      </c>
      <c r="BO64" s="177">
        <f ca="1">IFERROR(__xludf.DUMMYFUNCTION("IMPORTRANGE(""https://docs.google.com/spreadsheets/d/1BIDqLLg5jk3v59G8NlR8rk5xfQDKne0sAvZHSj7TI6I/edit?usp=sharing"",""พระนครศรีอยุธยา!J679"")"),0)</f>
        <v>0</v>
      </c>
      <c r="BP64" s="177">
        <f ca="1">IFERROR(__xludf.DUMMYFUNCTION("IMPORTRANGE(""https://docs.google.com/spreadsheets/d/1BIDqLLg5jk3v59G8NlR8rk5xfQDKne0sAvZHSj7TI6I/edit?usp=sharing"",""พระนครศรีอยุธยา!J680"")"),0)</f>
        <v>0</v>
      </c>
      <c r="BQ64" s="177">
        <f ca="1">IFERROR(__xludf.DUMMYFUNCTION("IMPORTRANGE(""https://docs.google.com/spreadsheets/d/1BIDqLLg5jk3v59G8NlR8rk5xfQDKne0sAvZHSj7TI6I/edit?usp=sharing"",""พระนครศรีอยุธยา!J681"")"),0)</f>
        <v>0</v>
      </c>
      <c r="BR64" s="177">
        <f ca="1">IFERROR(__xludf.DUMMYFUNCTION("IMPORTRANGE(""https://docs.google.com/spreadsheets/d/1BIDqLLg5jk3v59G8NlR8rk5xfQDKne0sAvZHSj7TI6I/edit?usp=sharing"",""พระนครศรีอยุธยา!I682"")"),317)</f>
        <v>317</v>
      </c>
      <c r="BS64" s="177">
        <f ca="1">IFERROR(__xludf.DUMMYFUNCTION("IMPORTRANGE(""https://docs.google.com/spreadsheets/d/1BIDqLLg5jk3v59G8NlR8rk5xfQDKne0sAvZHSj7TI6I/edit?usp=sharing"",""พระนครศรีอยุธยา!J682"")"),0)</f>
        <v>0</v>
      </c>
      <c r="BT64" s="354">
        <f t="shared" ca="1" si="63"/>
        <v>0</v>
      </c>
      <c r="BU64" s="177">
        <f ca="1">IFERROR(__xludf.DUMMYFUNCTION("IMPORTRANGE(""https://docs.google.com/spreadsheets/d/1BIDqLLg5jk3v59G8NlR8rk5xfQDKne0sAvZHSj7TI6I/edit?usp=sharing"",""พระนครศรีอยุธยา!J683"")"),0)</f>
        <v>0</v>
      </c>
      <c r="BV64" s="177">
        <f ca="1">IFERROR(__xludf.DUMMYFUNCTION("IMPORTRANGE(""https://docs.google.com/spreadsheets/d/1BIDqLLg5jk3v59G8NlR8rk5xfQDKne0sAvZHSj7TI6I/edit?usp=sharing"",""พระนครศรีอยุธยา!J684"")"),0)</f>
        <v>0</v>
      </c>
      <c r="BW64" s="177">
        <f ca="1">IFERROR(__xludf.DUMMYFUNCTION("IMPORTRANGE(""https://docs.google.com/spreadsheets/d/1BIDqLLg5jk3v59G8NlR8rk5xfQDKne0sAvZHSj7TI6I/edit?usp=sharing"",""พระนครศรีอยุธยา!J685"")"),0)</f>
        <v>0</v>
      </c>
      <c r="BX64" s="177">
        <f ca="1">IFERROR(__xludf.DUMMYFUNCTION("IMPORTRANGE(""https://docs.google.com/spreadsheets/d/1BIDqLLg5jk3v59G8NlR8rk5xfQDKne0sAvZHSj7TI6I/edit?usp=sharing"",""พระนครศรีอยุธยา!J686"")"),0)</f>
        <v>0</v>
      </c>
      <c r="BY64" s="177">
        <f ca="1">IFERROR(__xludf.DUMMYFUNCTION("IMPORTRANGE(""https://docs.google.com/spreadsheets/d/1BIDqLLg5jk3v59G8NlR8rk5xfQDKne0sAvZHSj7TI6I/edit?usp=sharing"",""พระนครศรีอยุธยา!J687"")"),0)</f>
        <v>0</v>
      </c>
      <c r="BZ64" s="177">
        <f ca="1">IFERROR(__xludf.DUMMYFUNCTION("IMPORTRANGE(""https://docs.google.com/spreadsheets/d/1BIDqLLg5jk3v59G8NlR8rk5xfQDKne0sAvZHSj7TI6I/edit?usp=sharing"",""พระนครศรีอยุธยา!J688"")"),0)</f>
        <v>0</v>
      </c>
    </row>
    <row r="65" spans="1:78" ht="21.75" customHeight="1" x14ac:dyDescent="0.3">
      <c r="A65" s="89">
        <v>13</v>
      </c>
      <c r="B65" s="90" t="s">
        <v>91</v>
      </c>
      <c r="C65" s="174">
        <f t="shared" si="38"/>
        <v>0</v>
      </c>
      <c r="D65" s="175">
        <f t="shared" si="87"/>
        <v>0</v>
      </c>
      <c r="E65" s="403">
        <v>0</v>
      </c>
      <c r="F65" s="403">
        <v>0</v>
      </c>
      <c r="G65" s="403">
        <v>0</v>
      </c>
      <c r="H65" s="403">
        <v>0</v>
      </c>
      <c r="I65" s="403">
        <v>0</v>
      </c>
      <c r="J65" s="176">
        <f t="shared" si="40"/>
        <v>0</v>
      </c>
      <c r="K65" s="179">
        <f t="shared" si="41"/>
        <v>0</v>
      </c>
      <c r="L65" s="403">
        <v>0</v>
      </c>
      <c r="M65" s="87">
        <f t="shared" si="42"/>
        <v>0</v>
      </c>
      <c r="N65" s="87">
        <f t="shared" si="43"/>
        <v>0</v>
      </c>
      <c r="O65" s="403">
        <v>0</v>
      </c>
      <c r="P65" s="86">
        <f t="shared" si="44"/>
        <v>0</v>
      </c>
      <c r="Q65" s="87">
        <f t="shared" si="45"/>
        <v>0</v>
      </c>
      <c r="R65" s="87">
        <f ca="1">IFERROR(__xludf.DUMMYFUNCTION("IMPORTRANGE(""https://docs.google.com/spreadsheets/d/1YXvxf8Yu6_rV4hTBrwMqAcAnv6DfhUxh5emyM3CJp_w/edit?usp=sharing"",""เพชรบุรี!Q642"")"),8600)</f>
        <v>8600</v>
      </c>
      <c r="S65" s="87">
        <f ca="1">IFERROR(__xludf.DUMMYFUNCTION("IMPORTRANGE(""https://docs.google.com/spreadsheets/d/1YXvxf8Yu6_rV4hTBrwMqAcAnv6DfhUxh5emyM3CJp_w/edit?usp=sharing"",""เพชรบุรี!R642"")"),0)</f>
        <v>0</v>
      </c>
      <c r="T65" s="87">
        <f ca="1">IFERROR(__xludf.DUMMYFUNCTION("IMPORTRANGE(""https://docs.google.com/spreadsheets/d/1YXvxf8Yu6_rV4hTBrwMqAcAnv6DfhUxh5emyM3CJp_w/edit?usp=sharing"",""เพชรบุรี!S642"")"),0)</f>
        <v>0</v>
      </c>
      <c r="U65" s="87">
        <f t="shared" ca="1" si="47"/>
        <v>0</v>
      </c>
      <c r="V65" s="87">
        <f t="shared" ca="1" si="48"/>
        <v>0</v>
      </c>
      <c r="W65" s="353">
        <f ca="1">IFERROR(__xludf.DUMMYFUNCTION("IMPORTRANGE(""https://docs.google.com/spreadsheets/d/1YXvxf8Yu6_rV4hTBrwMqAcAnv6DfhUxh5emyM3CJp_w/edit?usp=sharing"",""เพชรบุรี!I652"")"),0)</f>
        <v>0</v>
      </c>
      <c r="X65" s="177">
        <f ca="1">IFERROR(__xludf.DUMMYFUNCTION("IMPORTRANGE(""https://docs.google.com/spreadsheets/d/1YXvxf8Yu6_rV4hTBrwMqAcAnv6DfhUxh5emyM3CJp_w/edit?usp=sharing"",""เพชรบุรี!J652"")"),0)</f>
        <v>0</v>
      </c>
      <c r="Y65" s="354">
        <f t="shared" ca="1" si="50"/>
        <v>0</v>
      </c>
      <c r="Z65" s="177">
        <f ca="1">IFERROR(__xludf.DUMMYFUNCTION("IMPORTRANGE(""https://docs.google.com/spreadsheets/d/1YXvxf8Yu6_rV4hTBrwMqAcAnv6DfhUxh5emyM3CJp_w/edit?usp=sharing"",""เพชรบุรี!I653"")"),0)</f>
        <v>0</v>
      </c>
      <c r="AA65" s="177">
        <f ca="1">IFERROR(__xludf.DUMMYFUNCTION("IMPORTRANGE(""https://docs.google.com/spreadsheets/d/1YXvxf8Yu6_rV4hTBrwMqAcAnv6DfhUxh5emyM3CJp_w/edit?usp=sharing"",""เพชรบุรี!J653"")"),2)</f>
        <v>2</v>
      </c>
      <c r="AB65" s="354">
        <f t="shared" ca="1" si="52"/>
        <v>0</v>
      </c>
      <c r="AC65" s="177">
        <f ca="1">IFERROR(__xludf.DUMMYFUNCTION("IMPORTRANGE(""https://docs.google.com/spreadsheets/d/1YXvxf8Yu6_rV4hTBrwMqAcAnv6DfhUxh5emyM3CJp_w/edit?usp=sharing"",""เพชรบุรี!I654"")"),350)</f>
        <v>350</v>
      </c>
      <c r="AD65" s="177">
        <f ca="1">IFERROR(__xludf.DUMMYFUNCTION("IMPORTRANGE(""https://docs.google.com/spreadsheets/d/1YXvxf8Yu6_rV4hTBrwMqAcAnv6DfhUxh5emyM3CJp_w/edit?usp=sharing"",""เพชรบุรี!J654"")"),0)</f>
        <v>0</v>
      </c>
      <c r="AE65" s="354">
        <f t="shared" ca="1" si="54"/>
        <v>0</v>
      </c>
      <c r="AF65" s="354">
        <f ca="1">IFERROR(__xludf.DUMMYFUNCTION("IMPORTRANGE(""https://docs.google.com/spreadsheets/d/1YXvxf8Yu6_rV4hTBrwMqAcAnv6DfhUxh5emyM3CJp_w/edit?usp=sharing"",""เพชรบุรี!J655"")"),0)</f>
        <v>0</v>
      </c>
      <c r="AG65" s="354">
        <f ca="1">IFERROR(__xludf.DUMMYFUNCTION("IMPORTRANGE(""https://docs.google.com/spreadsheets/d/1YXvxf8Yu6_rV4hTBrwMqAcAnv6DfhUxh5emyM3CJp_w/edit?usp=sharing"",""เพชรบุรี!J656"")"),0)</f>
        <v>0</v>
      </c>
      <c r="AH65" s="354">
        <f ca="1">IFERROR(__xludf.DUMMYFUNCTION("IMPORTRANGE(""https://docs.google.com/spreadsheets/d/1YXvxf8Yu6_rV4hTBrwMqAcAnv6DfhUxh5emyM3CJp_w/edit?usp=sharing"",""เพชรบุรี!J657"")"),0)</f>
        <v>0</v>
      </c>
      <c r="AI65" s="354">
        <f ca="1">IFERROR(__xludf.DUMMYFUNCTION("IMPORTRANGE(""https://docs.google.com/spreadsheets/d/1YXvxf8Yu6_rV4hTBrwMqAcAnv6DfhUxh5emyM3CJp_w/edit?usp=sharing"",""เพชรบุรี!J658"")"),0)</f>
        <v>0</v>
      </c>
      <c r="AJ65" s="354">
        <f ca="1">IFERROR(__xludf.DUMMYFUNCTION("IMPORTRANGE(""https://docs.google.com/spreadsheets/d/1YXvxf8Yu6_rV4hTBrwMqAcAnv6DfhUxh5emyM3CJp_w/edit?usp=sharing"",""เพชรบุรี!J659"")"),0)</f>
        <v>0</v>
      </c>
      <c r="AK65" s="354">
        <f ca="1">IFERROR(__xludf.DUMMYFUNCTION("IMPORTRANGE(""https://docs.google.com/spreadsheets/d/1YXvxf8Yu6_rV4hTBrwMqAcAnv6DfhUxh5emyM3CJp_w/edit?usp=sharing"",""เพชรบุรี!J660"")"),0)</f>
        <v>0</v>
      </c>
      <c r="AL65" s="177">
        <f ca="1">IFERROR(__xludf.DUMMYFUNCTION("IMPORTRANGE(""https://docs.google.com/spreadsheets/d/1YXvxf8Yu6_rV4hTBrwMqAcAnv6DfhUxh5emyM3CJp_w/edit?usp=sharing"",""เพชรบุรี!I661"")"),0)</f>
        <v>0</v>
      </c>
      <c r="AM65" s="177">
        <f ca="1">IFERROR(__xludf.DUMMYFUNCTION("IMPORTRANGE(""https://docs.google.com/spreadsheets/d/1YXvxf8Yu6_rV4hTBrwMqAcAnv6DfhUxh5emyM3CJp_w/edit?usp=sharing"",""เพชรบุรี!J661"")"),0)</f>
        <v>0</v>
      </c>
      <c r="AN65" s="354">
        <f t="shared" ca="1" si="56"/>
        <v>0</v>
      </c>
      <c r="AO65" s="177">
        <f ca="1">IFERROR(__xludf.DUMMYFUNCTION("IMPORTRANGE(""https://docs.google.com/spreadsheets/d/1YXvxf8Yu6_rV4hTBrwMqAcAnv6DfhUxh5emyM3CJp_w/edit?usp=sharing"",""เพชรบุรี!J662"")"),0)</f>
        <v>0</v>
      </c>
      <c r="AP65" s="177">
        <f ca="1">IFERROR(__xludf.DUMMYFUNCTION("IMPORTRANGE(""https://docs.google.com/spreadsheets/d/1YXvxf8Yu6_rV4hTBrwMqAcAnv6DfhUxh5emyM3CJp_w/edit?usp=sharing"",""เพชรบุรี!J663"")"),0)</f>
        <v>0</v>
      </c>
      <c r="AQ65" s="177">
        <f ca="1">IFERROR(__xludf.DUMMYFUNCTION("IMPORTRANGE(""https://docs.google.com/spreadsheets/d/1YXvxf8Yu6_rV4hTBrwMqAcAnv6DfhUxh5emyM3CJp_w/edit?usp=sharing"",""เพชรบุรี!J665"")"),0)</f>
        <v>0</v>
      </c>
      <c r="AR65" s="177">
        <f ca="1">IFERROR(__xludf.DUMMYFUNCTION("IMPORTRANGE(""https://docs.google.com/spreadsheets/d/1YXvxf8Yu6_rV4hTBrwMqAcAnv6DfhUxh5emyM3CJp_w/edit?usp=sharing"",""เพชรบุรี!J666"")"),0)</f>
        <v>0</v>
      </c>
      <c r="AS65" s="177">
        <f ca="1">IFERROR(__xludf.DUMMYFUNCTION("IMPORTRANGE(""https://docs.google.com/spreadsheets/d/1YXvxf8Yu6_rV4hTBrwMqAcAnv6DfhUxh5emyM3CJp_w/edit?usp=sharing"",""เพชรบุรี!J667"")"),0)</f>
        <v>0</v>
      </c>
      <c r="AT65" s="177">
        <f ca="1">IFERROR(__xludf.DUMMYFUNCTION("IMPORTRANGE(""https://docs.google.com/spreadsheets/d/1YXvxf8Yu6_rV4hTBrwMqAcAnv6DfhUxh5emyM3CJp_w/edit?usp=sharing"",""เพชรบุรี!J668"")"),0)</f>
        <v>0</v>
      </c>
      <c r="AU65" s="177">
        <f ca="1">IFERROR(__xludf.DUMMYFUNCTION("IMPORTRANGE(""https://docs.google.com/spreadsheets/d/1YXvxf8Yu6_rV4hTBrwMqAcAnv6DfhUxh5emyM3CJp_w/edit?usp=sharing"",""เพชรบุรี!J669"")"),0)</f>
        <v>0</v>
      </c>
      <c r="AV65" s="177">
        <f ca="1">IFERROR(__xludf.DUMMYFUNCTION("IMPORTRANGE(""https://docs.google.com/spreadsheets/d/1YXvxf8Yu6_rV4hTBrwMqAcAnv6DfhUxh5emyM3CJp_w/edit?usp=sharing"",""เพชรบุรี!J670"")"),0)</f>
        <v>0</v>
      </c>
      <c r="AW65" s="177">
        <v>0</v>
      </c>
      <c r="AX65" s="177">
        <f ca="1">IFERROR(__xludf.DUMMYFUNCTION("IMPORTRANGE(""https://docs.google.com/spreadsheets/d/1YXvxf8Yu6_rV4hTBrwMqAcAnv6DfhUxh5emyM3CJp_w/edit?usp=sharing"",""เพชรบุรี!J671"")"),0)</f>
        <v>0</v>
      </c>
      <c r="AY65" s="177">
        <f ca="1">IFERROR(__xludf.DUMMYFUNCTION("IMPORTRANGE(""https://docs.google.com/spreadsheets/d/1YXvxf8Yu6_rV4hTBrwMqAcAnv6DfhUxh5emyM3CJp_w/edit?usp=sharing"",""เพชรบุรี!J672"")"),0)</f>
        <v>0</v>
      </c>
      <c r="AZ65" s="177">
        <f ca="1">IFERROR(__xludf.DUMMYFUNCTION("IMPORTRANGE(""https://docs.google.com/spreadsheets/d/1YXvxf8Yu6_rV4hTBrwMqAcAnv6DfhUxh5emyM3CJp_w/edit?usp=sharing"",""เพชรบุรี!J673"")"),0)</f>
        <v>0</v>
      </c>
      <c r="BA65" s="354">
        <f t="shared" si="58"/>
        <v>0</v>
      </c>
      <c r="BB65" s="177">
        <f ca="1">IFERROR(__xludf.DUMMYFUNCTION("IMPORTRANGE(""https://docs.google.com/spreadsheets/d/1YXvxf8Yu6_rV4hTBrwMqAcAnv6DfhUxh5emyM3CJp_w/edit?usp=sharing"",""เพชรบุรี!I674"")"),5)</f>
        <v>5</v>
      </c>
      <c r="BC65" s="177">
        <f ca="1">IFERROR(__xludf.DUMMYFUNCTION("IMPORTRANGE(""https://docs.google.com/spreadsheets/d/1YXvxf8Yu6_rV4hTBrwMqAcAnv6DfhUxh5emyM3CJp_w/edit?usp=sharing"",""เพชรบุรี!I675"")"),140)</f>
        <v>140</v>
      </c>
      <c r="BD65" s="177">
        <f ca="1">IFERROR(__xludf.DUMMYFUNCTION("IMPORTRANGE(""https://docs.google.com/spreadsheets/d/1YXvxf8Yu6_rV4hTBrwMqAcAnv6DfhUxh5emyM3CJp_w/edit?usp=sharing"",""เพชรบุรี!J674"")"),0)</f>
        <v>0</v>
      </c>
      <c r="BE65" s="354">
        <f t="shared" ca="1" si="60"/>
        <v>0</v>
      </c>
      <c r="BF65" s="177">
        <f ca="1">IFERROR(__xludf.DUMMYFUNCTION("IMPORTRANGE(""https://docs.google.com/spreadsheets/d/1YXvxf8Yu6_rV4hTBrwMqAcAnv6DfhUxh5emyM3CJp_w/edit?usp=sharing"",""เพชรบุรี!J675"")"),0)</f>
        <v>0</v>
      </c>
      <c r="BG65" s="354">
        <f t="shared" ca="1" si="61"/>
        <v>0</v>
      </c>
      <c r="BH65" s="177">
        <f ca="1">IFERROR(__xludf.DUMMYFUNCTION("IMPORTRANGE(""https://docs.google.com/spreadsheets/d/1YXvxf8Yu6_rV4hTBrwMqAcAnv6DfhUxh5emyM3CJp_w/edit?usp=sharing"",""เพชรบุรี!I676"")"),5)</f>
        <v>5</v>
      </c>
      <c r="BI65" s="177">
        <f ca="1">IFERROR(__xludf.DUMMYFUNCTION("IMPORTRANGE(""https://docs.google.com/spreadsheets/d/1YXvxf8Yu6_rV4hTBrwMqAcAnv6DfhUxh5emyM3CJp_w/edit?usp=sharing"",""เพชรบุรี!I678"")"),140)</f>
        <v>140</v>
      </c>
      <c r="BJ65" s="177">
        <f ca="1">IFERROR(__xludf.DUMMYFUNCTION("IMPORTRANGE(""https://docs.google.com/spreadsheets/d/1YXvxf8Yu6_rV4hTBrwMqAcAnv6DfhUxh5emyM3CJp_w/edit?usp=sharing"",""เพชรบุรี!J676"")"),0)</f>
        <v>0</v>
      </c>
      <c r="BK65" s="177">
        <f ca="1">IFERROR(__xludf.DUMMYFUNCTION("IMPORTRANGE(""https://docs.google.com/spreadsheets/d/1YXvxf8Yu6_rV4hTBrwMqAcAnv6DfhUxh5emyM3CJp_w/edit?usp=sharing"",""เพชรบุรี!J677"")"),0)</f>
        <v>0</v>
      </c>
      <c r="BL65" s="177">
        <f ca="1">IFERROR(__xludf.DUMMYFUNCTION("IMPORTRANGE(""https://docs.google.com/spreadsheets/d/1YXvxf8Yu6_rV4hTBrwMqAcAnv6DfhUxh5emyM3CJp_w/edit?usp=sharing"",""เพชรบุรี!J678"")"),0)</f>
        <v>0</v>
      </c>
      <c r="BM65" s="177">
        <f ca="1">IFERROR(__xludf.DUMMYFUNCTION("IMPORTRANGE(""https://docs.google.com/spreadsheets/d/1YXvxf8Yu6_rV4hTBrwMqAcAnv6DfhUxh5emyM3CJp_w/edit?usp=sharing"",""เพชรบุรี!I679"")"),0)</f>
        <v>0</v>
      </c>
      <c r="BN65" s="177">
        <f ca="1">IFERROR(__xludf.DUMMYFUNCTION("IMPORTRANGE(""https://docs.google.com/spreadsheets/d/1YXvxf8Yu6_rV4hTBrwMqAcAnv6DfhUxh5emyM3CJp_w/edit?usp=sharing"",""เพชรบุรี!I681"")"),0)</f>
        <v>0</v>
      </c>
      <c r="BO65" s="177">
        <f ca="1">IFERROR(__xludf.DUMMYFUNCTION("IMPORTRANGE(""https://docs.google.com/spreadsheets/d/1YXvxf8Yu6_rV4hTBrwMqAcAnv6DfhUxh5emyM3CJp_w/edit?usp=sharing"",""เพชรบุรี!J679"")"),0)</f>
        <v>0</v>
      </c>
      <c r="BP65" s="177">
        <f ca="1">IFERROR(__xludf.DUMMYFUNCTION("IMPORTRANGE(""https://docs.google.com/spreadsheets/d/1YXvxf8Yu6_rV4hTBrwMqAcAnv6DfhUxh5emyM3CJp_w/edit?usp=sharing"",""เพชรบุรี!J680"")"),0)</f>
        <v>0</v>
      </c>
      <c r="BQ65" s="177">
        <f ca="1">IFERROR(__xludf.DUMMYFUNCTION("IMPORTRANGE(""https://docs.google.com/spreadsheets/d/1YXvxf8Yu6_rV4hTBrwMqAcAnv6DfhUxh5emyM3CJp_w/edit?usp=sharing"",""เพชรบุรี!J681"")"),0)</f>
        <v>0</v>
      </c>
      <c r="BR65" s="177">
        <f ca="1">IFERROR(__xludf.DUMMYFUNCTION("IMPORTRANGE(""https://docs.google.com/spreadsheets/d/1YXvxf8Yu6_rV4hTBrwMqAcAnv6DfhUxh5emyM3CJp_w/edit?usp=sharing"",""เพชรบุรี!I682"")"),0)</f>
        <v>0</v>
      </c>
      <c r="BS65" s="177">
        <f ca="1">IFERROR(__xludf.DUMMYFUNCTION("IMPORTRANGE(""https://docs.google.com/spreadsheets/d/1YXvxf8Yu6_rV4hTBrwMqAcAnv6DfhUxh5emyM3CJp_w/edit?usp=sharing"",""เพชรบุรี!J682"")"),0)</f>
        <v>0</v>
      </c>
      <c r="BT65" s="354">
        <f t="shared" ca="1" si="63"/>
        <v>0</v>
      </c>
      <c r="BU65" s="177">
        <f ca="1">IFERROR(__xludf.DUMMYFUNCTION("IMPORTRANGE(""https://docs.google.com/spreadsheets/d/1YXvxf8Yu6_rV4hTBrwMqAcAnv6DfhUxh5emyM3CJp_w/edit?usp=sharing"",""เพชรบุรี!J683"")"),0)</f>
        <v>0</v>
      </c>
      <c r="BV65" s="177">
        <f ca="1">IFERROR(__xludf.DUMMYFUNCTION("IMPORTRANGE(""https://docs.google.com/spreadsheets/d/1YXvxf8Yu6_rV4hTBrwMqAcAnv6DfhUxh5emyM3CJp_w/edit?usp=sharing"",""เพชรบุรี!J684"")"),0)</f>
        <v>0</v>
      </c>
      <c r="BW65" s="177">
        <f ca="1">IFERROR(__xludf.DUMMYFUNCTION("IMPORTRANGE(""https://docs.google.com/spreadsheets/d/1YXvxf8Yu6_rV4hTBrwMqAcAnv6DfhUxh5emyM3CJp_w/edit?usp=sharing"",""เพชรบุรี!J685"")"),0)</f>
        <v>0</v>
      </c>
      <c r="BX65" s="177">
        <f ca="1">IFERROR(__xludf.DUMMYFUNCTION("IMPORTRANGE(""https://docs.google.com/spreadsheets/d/1YXvxf8Yu6_rV4hTBrwMqAcAnv6DfhUxh5emyM3CJp_w/edit?usp=sharing"",""เพชรบุรี!J686"")"),0)</f>
        <v>0</v>
      </c>
      <c r="BY65" s="177">
        <f ca="1">IFERROR(__xludf.DUMMYFUNCTION("IMPORTRANGE(""https://docs.google.com/spreadsheets/d/1YXvxf8Yu6_rV4hTBrwMqAcAnv6DfhUxh5emyM3CJp_w/edit?usp=sharing"",""เพชรบุรี!J687"")"),0)</f>
        <v>0</v>
      </c>
      <c r="BZ65" s="177">
        <f ca="1">IFERROR(__xludf.DUMMYFUNCTION("IMPORTRANGE(""https://docs.google.com/spreadsheets/d/1YXvxf8Yu6_rV4hTBrwMqAcAnv6DfhUxh5emyM3CJp_w/edit?usp=sharing"",""เพชรบุรี!J688"")"),0)</f>
        <v>0</v>
      </c>
    </row>
    <row r="66" spans="1:78" ht="21.75" customHeight="1" x14ac:dyDescent="0.3">
      <c r="A66" s="89">
        <v>14</v>
      </c>
      <c r="B66" s="90" t="s">
        <v>92</v>
      </c>
      <c r="C66" s="174">
        <f t="shared" si="38"/>
        <v>0</v>
      </c>
      <c r="D66" s="175">
        <f t="shared" si="87"/>
        <v>0</v>
      </c>
      <c r="E66" s="403">
        <v>0</v>
      </c>
      <c r="F66" s="403">
        <v>0</v>
      </c>
      <c r="G66" s="403">
        <v>0</v>
      </c>
      <c r="H66" s="403">
        <v>0</v>
      </c>
      <c r="I66" s="403">
        <v>0</v>
      </c>
      <c r="J66" s="176">
        <f t="shared" si="40"/>
        <v>0</v>
      </c>
      <c r="K66" s="179">
        <f t="shared" si="41"/>
        <v>0</v>
      </c>
      <c r="L66" s="403">
        <v>0</v>
      </c>
      <c r="M66" s="87">
        <f t="shared" si="42"/>
        <v>0</v>
      </c>
      <c r="N66" s="87">
        <f t="shared" si="43"/>
        <v>0</v>
      </c>
      <c r="O66" s="403">
        <v>0</v>
      </c>
      <c r="P66" s="86">
        <f t="shared" si="44"/>
        <v>0</v>
      </c>
      <c r="Q66" s="87">
        <f t="shared" si="45"/>
        <v>0</v>
      </c>
      <c r="R66" s="87">
        <f ca="1">IFERROR(__xludf.DUMMYFUNCTION("IMPORTRANGE(""https://docs.google.com/spreadsheets/d/19KBlQQs7uwvsao6t2n-KvW3Ax8J8uRRfZPq1zPbXgKc/edit?usp=sharing"",""ระยอง!Q642"")"),0)</f>
        <v>0</v>
      </c>
      <c r="S66" s="87">
        <f ca="1">IFERROR(__xludf.DUMMYFUNCTION("IMPORTRANGE(""https://docs.google.com/spreadsheets/d/19KBlQQs7uwvsao6t2n-KvW3Ax8J8uRRfZPq1zPbXgKc/edit?usp=sharing"",""ระยอง!R642"")"),0)</f>
        <v>0</v>
      </c>
      <c r="T66" s="87">
        <f ca="1">IFERROR(__xludf.DUMMYFUNCTION("IMPORTRANGE(""https://docs.google.com/spreadsheets/d/19KBlQQs7uwvsao6t2n-KvW3Ax8J8uRRfZPq1zPbXgKc/edit?usp=sharing"",""ระยอง!S642"")"),0)</f>
        <v>0</v>
      </c>
      <c r="U66" s="87">
        <f t="shared" ca="1" si="47"/>
        <v>0</v>
      </c>
      <c r="V66" s="87">
        <f t="shared" ca="1" si="48"/>
        <v>0</v>
      </c>
      <c r="W66" s="353">
        <f ca="1">IFERROR(__xludf.DUMMYFUNCTION("IMPORTRANGE(""https://docs.google.com/spreadsheets/d/19KBlQQs7uwvsao6t2n-KvW3Ax8J8uRRfZPq1zPbXgKc/edit?usp=sharing"",""ระยอง!I652"")"),0)</f>
        <v>0</v>
      </c>
      <c r="X66" s="177">
        <f ca="1">IFERROR(__xludf.DUMMYFUNCTION("IMPORTRANGE(""https://docs.google.com/spreadsheets/d/19KBlQQs7uwvsao6t2n-KvW3Ax8J8uRRfZPq1zPbXgKc/edit?usp=sharing"",""ระยอง!J652"")"),0)</f>
        <v>0</v>
      </c>
      <c r="Y66" s="354">
        <f t="shared" ca="1" si="50"/>
        <v>0</v>
      </c>
      <c r="Z66" s="177">
        <f ca="1">IFERROR(__xludf.DUMMYFUNCTION("IMPORTRANGE(""https://docs.google.com/spreadsheets/d/19KBlQQs7uwvsao6t2n-KvW3Ax8J8uRRfZPq1zPbXgKc/edit?usp=sharing"",""ระยอง!I653"")"),0)</f>
        <v>0</v>
      </c>
      <c r="AA66" s="177">
        <f ca="1">IFERROR(__xludf.DUMMYFUNCTION("IMPORTRANGE(""https://docs.google.com/spreadsheets/d/19KBlQQs7uwvsao6t2n-KvW3Ax8J8uRRfZPq1zPbXgKc/edit?usp=sharing"",""ระยอง!J653"")"),0)</f>
        <v>0</v>
      </c>
      <c r="AB66" s="354">
        <f t="shared" ca="1" si="52"/>
        <v>0</v>
      </c>
      <c r="AC66" s="177">
        <f ca="1">IFERROR(__xludf.DUMMYFUNCTION("IMPORTRANGE(""https://docs.google.com/spreadsheets/d/19KBlQQs7uwvsao6t2n-KvW3Ax8J8uRRfZPq1zPbXgKc/edit?usp=sharing"",""ระยอง!I654"")"),0)</f>
        <v>0</v>
      </c>
      <c r="AD66" s="177">
        <f ca="1">IFERROR(__xludf.DUMMYFUNCTION("IMPORTRANGE(""https://docs.google.com/spreadsheets/d/19KBlQQs7uwvsao6t2n-KvW3Ax8J8uRRfZPq1zPbXgKc/edit?usp=sharing"",""ระยอง!J654"")"),0)</f>
        <v>0</v>
      </c>
      <c r="AE66" s="354">
        <f t="shared" ca="1" si="54"/>
        <v>0</v>
      </c>
      <c r="AF66" s="354">
        <f ca="1">IFERROR(__xludf.DUMMYFUNCTION("IMPORTRANGE(""https://docs.google.com/spreadsheets/d/19KBlQQs7uwvsao6t2n-KvW3Ax8J8uRRfZPq1zPbXgKc/edit?usp=sharing"",""ระยอง!J655"")"),0)</f>
        <v>0</v>
      </c>
      <c r="AG66" s="354">
        <f ca="1">IFERROR(__xludf.DUMMYFUNCTION("IMPORTRANGE(""https://docs.google.com/spreadsheets/d/19KBlQQs7uwvsao6t2n-KvW3Ax8J8uRRfZPq1zPbXgKc/edit?usp=sharing"",""ระยอง!J656"")"),0)</f>
        <v>0</v>
      </c>
      <c r="AH66" s="354">
        <f ca="1">IFERROR(__xludf.DUMMYFUNCTION("IMPORTRANGE(""https://docs.google.com/spreadsheets/d/19KBlQQs7uwvsao6t2n-KvW3Ax8J8uRRfZPq1zPbXgKc/edit?usp=sharing"",""ระยอง!J657"")"),0)</f>
        <v>0</v>
      </c>
      <c r="AI66" s="354">
        <f ca="1">IFERROR(__xludf.DUMMYFUNCTION("IMPORTRANGE(""https://docs.google.com/spreadsheets/d/19KBlQQs7uwvsao6t2n-KvW3Ax8J8uRRfZPq1zPbXgKc/edit?usp=sharing"",""ระยอง!J658"")"),0)</f>
        <v>0</v>
      </c>
      <c r="AJ66" s="354">
        <f ca="1">IFERROR(__xludf.DUMMYFUNCTION("IMPORTRANGE(""https://docs.google.com/spreadsheets/d/19KBlQQs7uwvsao6t2n-KvW3Ax8J8uRRfZPq1zPbXgKc/edit?usp=sharing"",""ระยอง!J659"")"),0)</f>
        <v>0</v>
      </c>
      <c r="AK66" s="354">
        <f ca="1">IFERROR(__xludf.DUMMYFUNCTION("IMPORTRANGE(""https://docs.google.com/spreadsheets/d/19KBlQQs7uwvsao6t2n-KvW3Ax8J8uRRfZPq1zPbXgKc/edit?usp=sharing"",""ระยอง!J660"")"),0)</f>
        <v>0</v>
      </c>
      <c r="AL66" s="177">
        <f ca="1">IFERROR(__xludf.DUMMYFUNCTION("IMPORTRANGE(""https://docs.google.com/spreadsheets/d/19KBlQQs7uwvsao6t2n-KvW3Ax8J8uRRfZPq1zPbXgKc/edit?usp=sharing"",""ระยอง!I661"")"),0)</f>
        <v>0</v>
      </c>
      <c r="AM66" s="177">
        <f ca="1">IFERROR(__xludf.DUMMYFUNCTION("IMPORTRANGE(""https://docs.google.com/spreadsheets/d/19KBlQQs7uwvsao6t2n-KvW3Ax8J8uRRfZPq1zPbXgKc/edit?usp=sharing"",""ระยอง!J661"")"),0)</f>
        <v>0</v>
      </c>
      <c r="AN66" s="354">
        <f t="shared" ca="1" si="56"/>
        <v>0</v>
      </c>
      <c r="AO66" s="177">
        <f ca="1">IFERROR(__xludf.DUMMYFUNCTION("IMPORTRANGE(""https://docs.google.com/spreadsheets/d/19KBlQQs7uwvsao6t2n-KvW3Ax8J8uRRfZPq1zPbXgKc/edit?usp=sharing"",""ระยอง!J662"")"),0)</f>
        <v>0</v>
      </c>
      <c r="AP66" s="177">
        <f ca="1">IFERROR(__xludf.DUMMYFUNCTION("IMPORTRANGE(""https://docs.google.com/spreadsheets/d/19KBlQQs7uwvsao6t2n-KvW3Ax8J8uRRfZPq1zPbXgKc/edit?usp=sharing"",""ระยอง!J663"")"),0)</f>
        <v>0</v>
      </c>
      <c r="AQ66" s="177">
        <f ca="1">IFERROR(__xludf.DUMMYFUNCTION("IMPORTRANGE(""https://docs.google.com/spreadsheets/d/19KBlQQs7uwvsao6t2n-KvW3Ax8J8uRRfZPq1zPbXgKc/edit?usp=sharing"",""ระยอง!J665"")"),0)</f>
        <v>0</v>
      </c>
      <c r="AR66" s="177">
        <f ca="1">IFERROR(__xludf.DUMMYFUNCTION("IMPORTRANGE(""https://docs.google.com/spreadsheets/d/19KBlQQs7uwvsao6t2n-KvW3Ax8J8uRRfZPq1zPbXgKc/edit?usp=sharing"",""ระยอง!J666"")"),0)</f>
        <v>0</v>
      </c>
      <c r="AS66" s="177">
        <f ca="1">IFERROR(__xludf.DUMMYFUNCTION("IMPORTRANGE(""https://docs.google.com/spreadsheets/d/19KBlQQs7uwvsao6t2n-KvW3Ax8J8uRRfZPq1zPbXgKc/edit?usp=sharing"",""ระยอง!J667"")"),0)</f>
        <v>0</v>
      </c>
      <c r="AT66" s="177">
        <f ca="1">IFERROR(__xludf.DUMMYFUNCTION("IMPORTRANGE(""https://docs.google.com/spreadsheets/d/19KBlQQs7uwvsao6t2n-KvW3Ax8J8uRRfZPq1zPbXgKc/edit?usp=sharing"",""ระยอง!J668"")"),0)</f>
        <v>0</v>
      </c>
      <c r="AU66" s="177">
        <f ca="1">IFERROR(__xludf.DUMMYFUNCTION("IMPORTRANGE(""https://docs.google.com/spreadsheets/d/19KBlQQs7uwvsao6t2n-KvW3Ax8J8uRRfZPq1zPbXgKc/edit?usp=sharing"",""ระยอง!J669"")"),0)</f>
        <v>0</v>
      </c>
      <c r="AV66" s="177">
        <f ca="1">IFERROR(__xludf.DUMMYFUNCTION("IMPORTRANGE(""https://docs.google.com/spreadsheets/d/19KBlQQs7uwvsao6t2n-KvW3Ax8J8uRRfZPq1zPbXgKc/edit?usp=sharing"",""ระยอง!J670"")"),0)</f>
        <v>0</v>
      </c>
      <c r="AW66" s="177">
        <v>0</v>
      </c>
      <c r="AX66" s="177">
        <f ca="1">IFERROR(__xludf.DUMMYFUNCTION("IMPORTRANGE(""https://docs.google.com/spreadsheets/d/19KBlQQs7uwvsao6t2n-KvW3Ax8J8uRRfZPq1zPbXgKc/edit?usp=sharing"",""ระยอง!J671"")"),0)</f>
        <v>0</v>
      </c>
      <c r="AY66" s="177">
        <f ca="1">IFERROR(__xludf.DUMMYFUNCTION("IMPORTRANGE(""https://docs.google.com/spreadsheets/d/19KBlQQs7uwvsao6t2n-KvW3Ax8J8uRRfZPq1zPbXgKc/edit?usp=sharing"",""ระยอง!J672"")"),0)</f>
        <v>0</v>
      </c>
      <c r="AZ66" s="177">
        <f ca="1">IFERROR(__xludf.DUMMYFUNCTION("IMPORTRANGE(""https://docs.google.com/spreadsheets/d/19KBlQQs7uwvsao6t2n-KvW3Ax8J8uRRfZPq1zPbXgKc/edit?usp=sharing"",""ระยอง!J673"")"),0)</f>
        <v>0</v>
      </c>
      <c r="BA66" s="354">
        <f t="shared" si="58"/>
        <v>0</v>
      </c>
      <c r="BB66" s="177">
        <f ca="1">IFERROR(__xludf.DUMMYFUNCTION("IMPORTRANGE(""https://docs.google.com/spreadsheets/d/19KBlQQs7uwvsao6t2n-KvW3Ax8J8uRRfZPq1zPbXgKc/edit?usp=sharing"",""ระยอง!I674"")"),0)</f>
        <v>0</v>
      </c>
      <c r="BC66" s="177">
        <f ca="1">IFERROR(__xludf.DUMMYFUNCTION("IMPORTRANGE(""https://docs.google.com/spreadsheets/d/19KBlQQs7uwvsao6t2n-KvW3Ax8J8uRRfZPq1zPbXgKc/edit?usp=sharing"",""ระยอง!I675"")"),0)</f>
        <v>0</v>
      </c>
      <c r="BD66" s="177">
        <f ca="1">IFERROR(__xludf.DUMMYFUNCTION("IMPORTRANGE(""https://docs.google.com/spreadsheets/d/19KBlQQs7uwvsao6t2n-KvW3Ax8J8uRRfZPq1zPbXgKc/edit?usp=sharing"",""ระยอง!J674"")"),0)</f>
        <v>0</v>
      </c>
      <c r="BE66" s="354">
        <f t="shared" ca="1" si="60"/>
        <v>0</v>
      </c>
      <c r="BF66" s="177">
        <f ca="1">IFERROR(__xludf.DUMMYFUNCTION("IMPORTRANGE(""https://docs.google.com/spreadsheets/d/19KBlQQs7uwvsao6t2n-KvW3Ax8J8uRRfZPq1zPbXgKc/edit?usp=sharing"",""ระยอง!J675"")"),0)</f>
        <v>0</v>
      </c>
      <c r="BG66" s="354">
        <f t="shared" ca="1" si="61"/>
        <v>0</v>
      </c>
      <c r="BH66" s="177">
        <f ca="1">IFERROR(__xludf.DUMMYFUNCTION("IMPORTRANGE(""https://docs.google.com/spreadsheets/d/19KBlQQs7uwvsao6t2n-KvW3Ax8J8uRRfZPq1zPbXgKc/edit?usp=sharing"",""ระยอง!I676"")"),0)</f>
        <v>0</v>
      </c>
      <c r="BI66" s="177">
        <f ca="1">IFERROR(__xludf.DUMMYFUNCTION("IMPORTRANGE(""https://docs.google.com/spreadsheets/d/19KBlQQs7uwvsao6t2n-KvW3Ax8J8uRRfZPq1zPbXgKc/edit?usp=sharing"",""ระยอง!I678"")"),0)</f>
        <v>0</v>
      </c>
      <c r="BJ66" s="177">
        <f ca="1">IFERROR(__xludf.DUMMYFUNCTION("IMPORTRANGE(""https://docs.google.com/spreadsheets/d/19KBlQQs7uwvsao6t2n-KvW3Ax8J8uRRfZPq1zPbXgKc/edit?usp=sharing"",""ระยอง!J676"")"),0)</f>
        <v>0</v>
      </c>
      <c r="BK66" s="177">
        <f ca="1">IFERROR(__xludf.DUMMYFUNCTION("IMPORTRANGE(""https://docs.google.com/spreadsheets/d/19KBlQQs7uwvsao6t2n-KvW3Ax8J8uRRfZPq1zPbXgKc/edit?usp=sharing"",""ระยอง!J677"")"),0)</f>
        <v>0</v>
      </c>
      <c r="BL66" s="177">
        <f ca="1">IFERROR(__xludf.DUMMYFUNCTION("IMPORTRANGE(""https://docs.google.com/spreadsheets/d/19KBlQQs7uwvsao6t2n-KvW3Ax8J8uRRfZPq1zPbXgKc/edit?usp=sharing"",""ระยอง!J678"")"),0)</f>
        <v>0</v>
      </c>
      <c r="BM66" s="177">
        <f ca="1">IFERROR(__xludf.DUMMYFUNCTION("IMPORTRANGE(""https://docs.google.com/spreadsheets/d/19KBlQQs7uwvsao6t2n-KvW3Ax8J8uRRfZPq1zPbXgKc/edit?usp=sharing"",""ระยอง!I679"")"),0)</f>
        <v>0</v>
      </c>
      <c r="BN66" s="177">
        <f ca="1">IFERROR(__xludf.DUMMYFUNCTION("IMPORTRANGE(""https://docs.google.com/spreadsheets/d/19KBlQQs7uwvsao6t2n-KvW3Ax8J8uRRfZPq1zPbXgKc/edit?usp=sharing"",""ระยอง!I681"")"),0)</f>
        <v>0</v>
      </c>
      <c r="BO66" s="177">
        <f ca="1">IFERROR(__xludf.DUMMYFUNCTION("IMPORTRANGE(""https://docs.google.com/spreadsheets/d/19KBlQQs7uwvsao6t2n-KvW3Ax8J8uRRfZPq1zPbXgKc/edit?usp=sharing"",""ระยอง!J679"")"),0)</f>
        <v>0</v>
      </c>
      <c r="BP66" s="177">
        <f ca="1">IFERROR(__xludf.DUMMYFUNCTION("IMPORTRANGE(""https://docs.google.com/spreadsheets/d/19KBlQQs7uwvsao6t2n-KvW3Ax8J8uRRfZPq1zPbXgKc/edit?usp=sharing"",""ระยอง!J680"")"),0)</f>
        <v>0</v>
      </c>
      <c r="BQ66" s="177">
        <f ca="1">IFERROR(__xludf.DUMMYFUNCTION("IMPORTRANGE(""https://docs.google.com/spreadsheets/d/19KBlQQs7uwvsao6t2n-KvW3Ax8J8uRRfZPq1zPbXgKc/edit?usp=sharing"",""ระยอง!J681"")"),0)</f>
        <v>0</v>
      </c>
      <c r="BR66" s="177">
        <f ca="1">IFERROR(__xludf.DUMMYFUNCTION("IMPORTRANGE(""https://docs.google.com/spreadsheets/d/19KBlQQs7uwvsao6t2n-KvW3Ax8J8uRRfZPq1zPbXgKc/edit?usp=sharing"",""ระยอง!I682"")"),0)</f>
        <v>0</v>
      </c>
      <c r="BS66" s="177">
        <f ca="1">IFERROR(__xludf.DUMMYFUNCTION("IMPORTRANGE(""https://docs.google.com/spreadsheets/d/19KBlQQs7uwvsao6t2n-KvW3Ax8J8uRRfZPq1zPbXgKc/edit?usp=sharing"",""ระยอง!J682"")"),0)</f>
        <v>0</v>
      </c>
      <c r="BT66" s="354">
        <f t="shared" ca="1" si="63"/>
        <v>0</v>
      </c>
      <c r="BU66" s="177">
        <f ca="1">IFERROR(__xludf.DUMMYFUNCTION("IMPORTRANGE(""https://docs.google.com/spreadsheets/d/19KBlQQs7uwvsao6t2n-KvW3Ax8J8uRRfZPq1zPbXgKc/edit?usp=sharing"",""ระยอง!J683"")"),0)</f>
        <v>0</v>
      </c>
      <c r="BV66" s="177">
        <f ca="1">IFERROR(__xludf.DUMMYFUNCTION("IMPORTRANGE(""https://docs.google.com/spreadsheets/d/19KBlQQs7uwvsao6t2n-KvW3Ax8J8uRRfZPq1zPbXgKc/edit?usp=sharing"",""ระยอง!J684"")"),0)</f>
        <v>0</v>
      </c>
      <c r="BW66" s="177">
        <f ca="1">IFERROR(__xludf.DUMMYFUNCTION("IMPORTRANGE(""https://docs.google.com/spreadsheets/d/19KBlQQs7uwvsao6t2n-KvW3Ax8J8uRRfZPq1zPbXgKc/edit?usp=sharing"",""ระยอง!J685"")"),0)</f>
        <v>0</v>
      </c>
      <c r="BX66" s="177">
        <f ca="1">IFERROR(__xludf.DUMMYFUNCTION("IMPORTRANGE(""https://docs.google.com/spreadsheets/d/19KBlQQs7uwvsao6t2n-KvW3Ax8J8uRRfZPq1zPbXgKc/edit?usp=sharing"",""ระยอง!J686"")"),0)</f>
        <v>0</v>
      </c>
      <c r="BY66" s="177">
        <f ca="1">IFERROR(__xludf.DUMMYFUNCTION("IMPORTRANGE(""https://docs.google.com/spreadsheets/d/19KBlQQs7uwvsao6t2n-KvW3Ax8J8uRRfZPq1zPbXgKc/edit?usp=sharing"",""ระยอง!J687"")"),0)</f>
        <v>0</v>
      </c>
      <c r="BZ66" s="177">
        <f ca="1">IFERROR(__xludf.DUMMYFUNCTION("IMPORTRANGE(""https://docs.google.com/spreadsheets/d/19KBlQQs7uwvsao6t2n-KvW3Ax8J8uRRfZPq1zPbXgKc/edit?usp=sharing"",""ระยอง!J688"")"),0)</f>
        <v>0</v>
      </c>
    </row>
    <row r="67" spans="1:78" ht="21.75" customHeight="1" x14ac:dyDescent="0.3">
      <c r="A67" s="89">
        <v>15</v>
      </c>
      <c r="B67" s="90" t="s">
        <v>93</v>
      </c>
      <c r="C67" s="174">
        <f t="shared" si="38"/>
        <v>0</v>
      </c>
      <c r="D67" s="175">
        <f t="shared" si="87"/>
        <v>0</v>
      </c>
      <c r="E67" s="403">
        <v>0</v>
      </c>
      <c r="F67" s="403">
        <v>0</v>
      </c>
      <c r="G67" s="403">
        <v>0</v>
      </c>
      <c r="H67" s="403">
        <v>0</v>
      </c>
      <c r="I67" s="403">
        <v>0</v>
      </c>
      <c r="J67" s="176">
        <f t="shared" si="40"/>
        <v>0</v>
      </c>
      <c r="K67" s="179">
        <f t="shared" si="41"/>
        <v>0</v>
      </c>
      <c r="L67" s="403">
        <v>0</v>
      </c>
      <c r="M67" s="87">
        <f t="shared" si="42"/>
        <v>0</v>
      </c>
      <c r="N67" s="87">
        <f t="shared" si="43"/>
        <v>0</v>
      </c>
      <c r="O67" s="403">
        <v>0</v>
      </c>
      <c r="P67" s="86">
        <f t="shared" si="44"/>
        <v>0</v>
      </c>
      <c r="Q67" s="87">
        <f t="shared" si="45"/>
        <v>0</v>
      </c>
      <c r="R67" s="87">
        <f ca="1">IFERROR(__xludf.DUMMYFUNCTION("IMPORTRANGE(""https://docs.google.com/spreadsheets/d/1jQ6P4QcrGM89YfqcC_PxOHGCMq5ezhucwJd8ci-NHng/edit?usp=sharing"",""ราชบุรี!Q642"")"),6900)</f>
        <v>6900</v>
      </c>
      <c r="S67" s="87">
        <f ca="1">IFERROR(__xludf.DUMMYFUNCTION("IMPORTRANGE(""https://docs.google.com/spreadsheets/d/1jQ6P4QcrGM89YfqcC_PxOHGCMq5ezhucwJd8ci-NHng/edit?usp=sharing"",""ราชบุรี!R642"")"),0)</f>
        <v>0</v>
      </c>
      <c r="T67" s="87">
        <f ca="1">IFERROR(__xludf.DUMMYFUNCTION("IMPORTRANGE(""https://docs.google.com/spreadsheets/d/1jQ6P4QcrGM89YfqcC_PxOHGCMq5ezhucwJd8ci-NHng/edit?usp=sharing"",""ราชบุรี!S642"")"),0)</f>
        <v>0</v>
      </c>
      <c r="U67" s="87">
        <f t="shared" ca="1" si="47"/>
        <v>0</v>
      </c>
      <c r="V67" s="87">
        <f t="shared" ca="1" si="48"/>
        <v>0</v>
      </c>
      <c r="W67" s="353">
        <f ca="1">IFERROR(__xludf.DUMMYFUNCTION("IMPORTRANGE(""https://docs.google.com/spreadsheets/d/1jQ6P4QcrGM89YfqcC_PxOHGCMq5ezhucwJd8ci-NHng/edit?usp=sharing"",""ราชบุรี!I652"")"),11)</f>
        <v>11</v>
      </c>
      <c r="X67" s="177">
        <f ca="1">IFERROR(__xludf.DUMMYFUNCTION("IMPORTRANGE(""https://docs.google.com/spreadsheets/d/1jQ6P4QcrGM89YfqcC_PxOHGCMq5ezhucwJd8ci-NHng/edit?usp=sharing"",""ราชบุรี!J652"")"),0)</f>
        <v>0</v>
      </c>
      <c r="Y67" s="354">
        <f t="shared" ca="1" si="50"/>
        <v>0</v>
      </c>
      <c r="Z67" s="177">
        <f ca="1">IFERROR(__xludf.DUMMYFUNCTION("IMPORTRANGE(""https://docs.google.com/spreadsheets/d/1jQ6P4QcrGM89YfqcC_PxOHGCMq5ezhucwJd8ci-NHng/edit?usp=sharing"",""ราชบุรี!I653"")"),0)</f>
        <v>0</v>
      </c>
      <c r="AA67" s="177">
        <f ca="1">IFERROR(__xludf.DUMMYFUNCTION("IMPORTRANGE(""https://docs.google.com/spreadsheets/d/1jQ6P4QcrGM89YfqcC_PxOHGCMq5ezhucwJd8ci-NHng/edit?usp=sharing"",""ราชบุรี!J653"")"),0)</f>
        <v>0</v>
      </c>
      <c r="AB67" s="354">
        <f t="shared" ca="1" si="52"/>
        <v>0</v>
      </c>
      <c r="AC67" s="177">
        <f ca="1">IFERROR(__xludf.DUMMYFUNCTION("IMPORTRANGE(""https://docs.google.com/spreadsheets/d/1jQ6P4QcrGM89YfqcC_PxOHGCMq5ezhucwJd8ci-NHng/edit?usp=sharing"",""ราชบุรี!I654"")"),0)</f>
        <v>0</v>
      </c>
      <c r="AD67" s="177">
        <f ca="1">IFERROR(__xludf.DUMMYFUNCTION("IMPORTRANGE(""https://docs.google.com/spreadsheets/d/1jQ6P4QcrGM89YfqcC_PxOHGCMq5ezhucwJd8ci-NHng/edit?usp=sharing"",""ราชบุรี!J654"")"),0)</f>
        <v>0</v>
      </c>
      <c r="AE67" s="354">
        <f t="shared" ca="1" si="54"/>
        <v>0</v>
      </c>
      <c r="AF67" s="354">
        <f ca="1">IFERROR(__xludf.DUMMYFUNCTION("IMPORTRANGE(""https://docs.google.com/spreadsheets/d/1jQ6P4QcrGM89YfqcC_PxOHGCMq5ezhucwJd8ci-NHng/edit?usp=sharing"",""ราชบุรี!J655"")"),0)</f>
        <v>0</v>
      </c>
      <c r="AG67" s="354">
        <f ca="1">IFERROR(__xludf.DUMMYFUNCTION("IMPORTRANGE(""https://docs.google.com/spreadsheets/d/1jQ6P4QcrGM89YfqcC_PxOHGCMq5ezhucwJd8ci-NHng/edit?usp=sharing"",""ราชบุรี!J656"")"),0)</f>
        <v>0</v>
      </c>
      <c r="AH67" s="354">
        <f ca="1">IFERROR(__xludf.DUMMYFUNCTION("IMPORTRANGE(""https://docs.google.com/spreadsheets/d/1jQ6P4QcrGM89YfqcC_PxOHGCMq5ezhucwJd8ci-NHng/edit?usp=sharing"",""ราชบุรี!J657"")"),0)</f>
        <v>0</v>
      </c>
      <c r="AI67" s="354">
        <f ca="1">IFERROR(__xludf.DUMMYFUNCTION("IMPORTRANGE(""https://docs.google.com/spreadsheets/d/1jQ6P4QcrGM89YfqcC_PxOHGCMq5ezhucwJd8ci-NHng/edit?usp=sharing"",""ราชบุรี!J658"")"),0)</f>
        <v>0</v>
      </c>
      <c r="AJ67" s="354">
        <f ca="1">IFERROR(__xludf.DUMMYFUNCTION("IMPORTRANGE(""https://docs.google.com/spreadsheets/d/1jQ6P4QcrGM89YfqcC_PxOHGCMq5ezhucwJd8ci-NHng/edit?usp=sharing"",""ราชบุรี!J659"")"),0)</f>
        <v>0</v>
      </c>
      <c r="AK67" s="354">
        <f ca="1">IFERROR(__xludf.DUMMYFUNCTION("IMPORTRANGE(""https://docs.google.com/spreadsheets/d/1jQ6P4QcrGM89YfqcC_PxOHGCMq5ezhucwJd8ci-NHng/edit?usp=sharing"",""ราชบุรี!J660"")"),0)</f>
        <v>0</v>
      </c>
      <c r="AL67" s="177">
        <f ca="1">IFERROR(__xludf.DUMMYFUNCTION("IMPORTRANGE(""https://docs.google.com/spreadsheets/d/1jQ6P4QcrGM89YfqcC_PxOHGCMq5ezhucwJd8ci-NHng/edit?usp=sharing"",""ราชบุรี!I661"")"),0)</f>
        <v>0</v>
      </c>
      <c r="AM67" s="177">
        <f ca="1">IFERROR(__xludf.DUMMYFUNCTION("IMPORTRANGE(""https://docs.google.com/spreadsheets/d/1jQ6P4QcrGM89YfqcC_PxOHGCMq5ezhucwJd8ci-NHng/edit?usp=sharing"",""ราชบุรี!J661"")"),0)</f>
        <v>0</v>
      </c>
      <c r="AN67" s="354">
        <f t="shared" ca="1" si="56"/>
        <v>0</v>
      </c>
      <c r="AO67" s="177">
        <f ca="1">IFERROR(__xludf.DUMMYFUNCTION("IMPORTRANGE(""https://docs.google.com/spreadsheets/d/1jQ6P4QcrGM89YfqcC_PxOHGCMq5ezhucwJd8ci-NHng/edit?usp=sharing"",""ราชบุรี!J662"")"),0)</f>
        <v>0</v>
      </c>
      <c r="AP67" s="177">
        <f ca="1">IFERROR(__xludf.DUMMYFUNCTION("IMPORTRANGE(""https://docs.google.com/spreadsheets/d/1jQ6P4QcrGM89YfqcC_PxOHGCMq5ezhucwJd8ci-NHng/edit?usp=sharing"",""ราชบุรี!J663"")"),0)</f>
        <v>0</v>
      </c>
      <c r="AQ67" s="177">
        <f ca="1">IFERROR(__xludf.DUMMYFUNCTION("IMPORTRANGE(""https://docs.google.com/spreadsheets/d/1jQ6P4QcrGM89YfqcC_PxOHGCMq5ezhucwJd8ci-NHng/edit?usp=sharing"",""ราชบุรี!J665"")"),0)</f>
        <v>0</v>
      </c>
      <c r="AR67" s="177">
        <f ca="1">IFERROR(__xludf.DUMMYFUNCTION("IMPORTRANGE(""https://docs.google.com/spreadsheets/d/1jQ6P4QcrGM89YfqcC_PxOHGCMq5ezhucwJd8ci-NHng/edit?usp=sharing"",""ราชบุรี!J666"")"),0)</f>
        <v>0</v>
      </c>
      <c r="AS67" s="177">
        <f ca="1">IFERROR(__xludf.DUMMYFUNCTION("IMPORTRANGE(""https://docs.google.com/spreadsheets/d/1jQ6P4QcrGM89YfqcC_PxOHGCMq5ezhucwJd8ci-NHng/edit?usp=sharing"",""ราชบุรี!J667"")"),0)</f>
        <v>0</v>
      </c>
      <c r="AT67" s="177">
        <f ca="1">IFERROR(__xludf.DUMMYFUNCTION("IMPORTRANGE(""https://docs.google.com/spreadsheets/d/1jQ6P4QcrGM89YfqcC_PxOHGCMq5ezhucwJd8ci-NHng/edit?usp=sharing"",""ราชบุรี!J668"")"),0)</f>
        <v>0</v>
      </c>
      <c r="AU67" s="177">
        <f ca="1">IFERROR(__xludf.DUMMYFUNCTION("IMPORTRANGE(""https://docs.google.com/spreadsheets/d/1jQ6P4QcrGM89YfqcC_PxOHGCMq5ezhucwJd8ci-NHng/edit?usp=sharing"",""ราชบุรี!J669"")"),0)</f>
        <v>0</v>
      </c>
      <c r="AV67" s="177">
        <f ca="1">IFERROR(__xludf.DUMMYFUNCTION("IMPORTRANGE(""https://docs.google.com/spreadsheets/d/1jQ6P4QcrGM89YfqcC_PxOHGCMq5ezhucwJd8ci-NHng/edit?usp=sharing"",""ราชบุรี!J670"")"),0)</f>
        <v>0</v>
      </c>
      <c r="AW67" s="177">
        <v>0</v>
      </c>
      <c r="AX67" s="177">
        <f ca="1">IFERROR(__xludf.DUMMYFUNCTION("IMPORTRANGE(""https://docs.google.com/spreadsheets/d/1jQ6P4QcrGM89YfqcC_PxOHGCMq5ezhucwJd8ci-NHng/edit?usp=sharing"",""ราชบุรี!J671"")"),0)</f>
        <v>0</v>
      </c>
      <c r="AY67" s="177">
        <f ca="1">IFERROR(__xludf.DUMMYFUNCTION("IMPORTRANGE(""https://docs.google.com/spreadsheets/d/1jQ6P4QcrGM89YfqcC_PxOHGCMq5ezhucwJd8ci-NHng/edit?usp=sharing"",""ราชบุรี!J672"")"),0)</f>
        <v>0</v>
      </c>
      <c r="AZ67" s="177">
        <f ca="1">IFERROR(__xludf.DUMMYFUNCTION("IMPORTRANGE(""https://docs.google.com/spreadsheets/d/1jQ6P4QcrGM89YfqcC_PxOHGCMq5ezhucwJd8ci-NHng/edit?usp=sharing"",""ราชบุรี!J673"")"),0)</f>
        <v>0</v>
      </c>
      <c r="BA67" s="354">
        <f t="shared" si="58"/>
        <v>0</v>
      </c>
      <c r="BB67" s="177">
        <f ca="1">IFERROR(__xludf.DUMMYFUNCTION("IMPORTRANGE(""https://docs.google.com/spreadsheets/d/1jQ6P4QcrGM89YfqcC_PxOHGCMq5ezhucwJd8ci-NHng/edit?usp=sharing"",""ราชบุรี!I674"")"),0)</f>
        <v>0</v>
      </c>
      <c r="BC67" s="177">
        <f ca="1">IFERROR(__xludf.DUMMYFUNCTION("IMPORTRANGE(""https://docs.google.com/spreadsheets/d/1jQ6P4QcrGM89YfqcC_PxOHGCMq5ezhucwJd8ci-NHng/edit?usp=sharing"",""ราชบุรี!I675"")"),0)</f>
        <v>0</v>
      </c>
      <c r="BD67" s="177">
        <f ca="1">IFERROR(__xludf.DUMMYFUNCTION("IMPORTRANGE(""https://docs.google.com/spreadsheets/d/1jQ6P4QcrGM89YfqcC_PxOHGCMq5ezhucwJd8ci-NHng/edit?usp=sharing"",""ราชบุรี!J674"")"),0)</f>
        <v>0</v>
      </c>
      <c r="BE67" s="354">
        <f t="shared" ca="1" si="60"/>
        <v>0</v>
      </c>
      <c r="BF67" s="177">
        <f ca="1">IFERROR(__xludf.DUMMYFUNCTION("IMPORTRANGE(""https://docs.google.com/spreadsheets/d/1jQ6P4QcrGM89YfqcC_PxOHGCMq5ezhucwJd8ci-NHng/edit?usp=sharing"",""ราชบุรี!J675"")"),0)</f>
        <v>0</v>
      </c>
      <c r="BG67" s="354">
        <f t="shared" ca="1" si="61"/>
        <v>0</v>
      </c>
      <c r="BH67" s="177">
        <f ca="1">IFERROR(__xludf.DUMMYFUNCTION("IMPORTRANGE(""https://docs.google.com/spreadsheets/d/1jQ6P4QcrGM89YfqcC_PxOHGCMq5ezhucwJd8ci-NHng/edit?usp=sharing"",""ราชบุรี!I676"")"),0)</f>
        <v>0</v>
      </c>
      <c r="BI67" s="177">
        <f ca="1">IFERROR(__xludf.DUMMYFUNCTION("IMPORTRANGE(""https://docs.google.com/spreadsheets/d/1jQ6P4QcrGM89YfqcC_PxOHGCMq5ezhucwJd8ci-NHng/edit?usp=sharing"",""ราชบุรี!I678"")"),0)</f>
        <v>0</v>
      </c>
      <c r="BJ67" s="177">
        <f ca="1">IFERROR(__xludf.DUMMYFUNCTION("IMPORTRANGE(""https://docs.google.com/spreadsheets/d/1jQ6P4QcrGM89YfqcC_PxOHGCMq5ezhucwJd8ci-NHng/edit?usp=sharing"",""ราชบุรี!J676"")"),0)</f>
        <v>0</v>
      </c>
      <c r="BK67" s="177">
        <f ca="1">IFERROR(__xludf.DUMMYFUNCTION("IMPORTRANGE(""https://docs.google.com/spreadsheets/d/1jQ6P4QcrGM89YfqcC_PxOHGCMq5ezhucwJd8ci-NHng/edit?usp=sharing"",""ราชบุรี!J677"")"),0)</f>
        <v>0</v>
      </c>
      <c r="BL67" s="177">
        <f ca="1">IFERROR(__xludf.DUMMYFUNCTION("IMPORTRANGE(""https://docs.google.com/spreadsheets/d/1jQ6P4QcrGM89YfqcC_PxOHGCMq5ezhucwJd8ci-NHng/edit?usp=sharing"",""ราชบุรี!J678"")"),0)</f>
        <v>0</v>
      </c>
      <c r="BM67" s="177">
        <f ca="1">IFERROR(__xludf.DUMMYFUNCTION("IMPORTRANGE(""https://docs.google.com/spreadsheets/d/1jQ6P4QcrGM89YfqcC_PxOHGCMq5ezhucwJd8ci-NHng/edit?usp=sharing"",""ราชบุรี!I679"")"),0)</f>
        <v>0</v>
      </c>
      <c r="BN67" s="177">
        <f ca="1">IFERROR(__xludf.DUMMYFUNCTION("IMPORTRANGE(""https://docs.google.com/spreadsheets/d/1jQ6P4QcrGM89YfqcC_PxOHGCMq5ezhucwJd8ci-NHng/edit?usp=sharing"",""ราชบุรี!I681"")"),0)</f>
        <v>0</v>
      </c>
      <c r="BO67" s="177">
        <f ca="1">IFERROR(__xludf.DUMMYFUNCTION("IMPORTRANGE(""https://docs.google.com/spreadsheets/d/1jQ6P4QcrGM89YfqcC_PxOHGCMq5ezhucwJd8ci-NHng/edit?usp=sharing"",""ราชบุรี!J679"")"),0)</f>
        <v>0</v>
      </c>
      <c r="BP67" s="177">
        <f ca="1">IFERROR(__xludf.DUMMYFUNCTION("IMPORTRANGE(""https://docs.google.com/spreadsheets/d/1jQ6P4QcrGM89YfqcC_PxOHGCMq5ezhucwJd8ci-NHng/edit?usp=sharing"",""ราชบุรี!J680"")"),0)</f>
        <v>0</v>
      </c>
      <c r="BQ67" s="177">
        <f ca="1">IFERROR(__xludf.DUMMYFUNCTION("IMPORTRANGE(""https://docs.google.com/spreadsheets/d/1jQ6P4QcrGM89YfqcC_PxOHGCMq5ezhucwJd8ci-NHng/edit?usp=sharing"",""ราชบุรี!J681"")"),0)</f>
        <v>0</v>
      </c>
      <c r="BR67" s="177">
        <f ca="1">IFERROR(__xludf.DUMMYFUNCTION("IMPORTRANGE(""https://docs.google.com/spreadsheets/d/1jQ6P4QcrGM89YfqcC_PxOHGCMq5ezhucwJd8ci-NHng/edit?usp=sharing"",""ราชบุรี!I682"")"),0)</f>
        <v>0</v>
      </c>
      <c r="BS67" s="177">
        <f ca="1">IFERROR(__xludf.DUMMYFUNCTION("IMPORTRANGE(""https://docs.google.com/spreadsheets/d/1jQ6P4QcrGM89YfqcC_PxOHGCMq5ezhucwJd8ci-NHng/edit?usp=sharing"",""ราชบุรี!J682"")"),0)</f>
        <v>0</v>
      </c>
      <c r="BT67" s="354">
        <f t="shared" ca="1" si="63"/>
        <v>0</v>
      </c>
      <c r="BU67" s="177">
        <f ca="1">IFERROR(__xludf.DUMMYFUNCTION("IMPORTRANGE(""https://docs.google.com/spreadsheets/d/1jQ6P4QcrGM89YfqcC_PxOHGCMq5ezhucwJd8ci-NHng/edit?usp=sharing"",""ราชบุรี!J683"")"),0)</f>
        <v>0</v>
      </c>
      <c r="BV67" s="177">
        <f ca="1">IFERROR(__xludf.DUMMYFUNCTION("IMPORTRANGE(""https://docs.google.com/spreadsheets/d/1jQ6P4QcrGM89YfqcC_PxOHGCMq5ezhucwJd8ci-NHng/edit?usp=sharing"",""ราชบุรี!J684"")"),0)</f>
        <v>0</v>
      </c>
      <c r="BW67" s="177">
        <f ca="1">IFERROR(__xludf.DUMMYFUNCTION("IMPORTRANGE(""https://docs.google.com/spreadsheets/d/1jQ6P4QcrGM89YfqcC_PxOHGCMq5ezhucwJd8ci-NHng/edit?usp=sharing"",""ราชบุรี!J685"")"),0)</f>
        <v>0</v>
      </c>
      <c r="BX67" s="177">
        <f ca="1">IFERROR(__xludf.DUMMYFUNCTION("IMPORTRANGE(""https://docs.google.com/spreadsheets/d/1jQ6P4QcrGM89YfqcC_PxOHGCMq5ezhucwJd8ci-NHng/edit?usp=sharing"",""ราชบุรี!J686"")"),0)</f>
        <v>0</v>
      </c>
      <c r="BY67" s="177">
        <f ca="1">IFERROR(__xludf.DUMMYFUNCTION("IMPORTRANGE(""https://docs.google.com/spreadsheets/d/1jQ6P4QcrGM89YfqcC_PxOHGCMq5ezhucwJd8ci-NHng/edit?usp=sharing"",""ราชบุรี!J687"")"),0)</f>
        <v>0</v>
      </c>
      <c r="BZ67" s="177">
        <f ca="1">IFERROR(__xludf.DUMMYFUNCTION("IMPORTRANGE(""https://docs.google.com/spreadsheets/d/1jQ6P4QcrGM89YfqcC_PxOHGCMq5ezhucwJd8ci-NHng/edit?usp=sharing"",""ราชบุรี!J688"")"),0)</f>
        <v>0</v>
      </c>
    </row>
    <row r="68" spans="1:78" ht="21.75" customHeight="1" x14ac:dyDescent="0.3">
      <c r="A68" s="89">
        <v>16</v>
      </c>
      <c r="B68" s="90" t="s">
        <v>94</v>
      </c>
      <c r="C68" s="174">
        <f t="shared" si="38"/>
        <v>0</v>
      </c>
      <c r="D68" s="175">
        <f t="shared" si="87"/>
        <v>0</v>
      </c>
      <c r="E68" s="403">
        <v>0</v>
      </c>
      <c r="F68" s="403">
        <v>0</v>
      </c>
      <c r="G68" s="403">
        <v>0</v>
      </c>
      <c r="H68" s="403">
        <v>0</v>
      </c>
      <c r="I68" s="403">
        <v>0</v>
      </c>
      <c r="J68" s="176">
        <f t="shared" si="40"/>
        <v>0</v>
      </c>
      <c r="K68" s="179">
        <f t="shared" si="41"/>
        <v>0</v>
      </c>
      <c r="L68" s="403">
        <v>0</v>
      </c>
      <c r="M68" s="87">
        <f t="shared" si="42"/>
        <v>0</v>
      </c>
      <c r="N68" s="87">
        <f t="shared" si="43"/>
        <v>0</v>
      </c>
      <c r="O68" s="403">
        <v>0</v>
      </c>
      <c r="P68" s="86">
        <f t="shared" si="44"/>
        <v>0</v>
      </c>
      <c r="Q68" s="87">
        <f t="shared" si="45"/>
        <v>0</v>
      </c>
      <c r="R68" s="87">
        <f ca="1">IFERROR(__xludf.DUMMYFUNCTION("IMPORTRANGE(""https://docs.google.com/spreadsheets/d/1lufeA2cfFqM-elVq2hznhDzC6Pr7wkJ9ZG_sYNGCMCU/edit?usp=sharing"",""ลพบุรี!Q642"")"),36200)</f>
        <v>36200</v>
      </c>
      <c r="S68" s="87">
        <f ca="1">IFERROR(__xludf.DUMMYFUNCTION("IMPORTRANGE(""https://docs.google.com/spreadsheets/d/1lufeA2cfFqM-elVq2hznhDzC6Pr7wkJ9ZG_sYNGCMCU/edit?usp=sharing"",""ลพบุรี!R642"")"),0)</f>
        <v>0</v>
      </c>
      <c r="T68" s="87">
        <f ca="1">IFERROR(__xludf.DUMMYFUNCTION("IMPORTRANGE(""https://docs.google.com/spreadsheets/d/1lufeA2cfFqM-elVq2hznhDzC6Pr7wkJ9ZG_sYNGCMCU/edit?usp=sharing"",""ลพบุรี!S642"")"),0)</f>
        <v>0</v>
      </c>
      <c r="U68" s="87">
        <f t="shared" ca="1" si="47"/>
        <v>0</v>
      </c>
      <c r="V68" s="87">
        <f t="shared" ca="1" si="48"/>
        <v>0</v>
      </c>
      <c r="W68" s="353">
        <f ca="1">IFERROR(__xludf.DUMMYFUNCTION("IMPORTRANGE(""https://docs.google.com/spreadsheets/d/1lufeA2cfFqM-elVq2hznhDzC6Pr7wkJ9ZG_sYNGCMCU/edit?usp=sharing"",""ลพบุรี!I652"")"),0)</f>
        <v>0</v>
      </c>
      <c r="X68" s="452">
        <f ca="1">IFERROR(__xludf.DUMMYFUNCTION("IMPORTRANGE(""https://docs.google.com/spreadsheets/d/1lufeA2cfFqM-elVq2hznhDzC6Pr7wkJ9ZG_sYNGCMCU/edit?usp=sharing"",""ลพบุรี!J652"")"),0)</f>
        <v>0</v>
      </c>
      <c r="Y68" s="354">
        <f t="shared" ca="1" si="50"/>
        <v>0</v>
      </c>
      <c r="Z68" s="177">
        <f ca="1">IFERROR(__xludf.DUMMYFUNCTION("IMPORTRANGE(""https://docs.google.com/spreadsheets/d/1lufeA2cfFqM-elVq2hznhDzC6Pr7wkJ9ZG_sYNGCMCU/edit?usp=sharing"",""ลพบุรี!I653"")"),0)</f>
        <v>0</v>
      </c>
      <c r="AA68" s="452">
        <f ca="1">IFERROR(__xludf.DUMMYFUNCTION("IMPORTRANGE(""https://docs.google.com/spreadsheets/d/1lufeA2cfFqM-elVq2hznhDzC6Pr7wkJ9ZG_sYNGCMCU/edit?usp=sharing"",""ลพบุรี!J653"")"),0)</f>
        <v>0</v>
      </c>
      <c r="AB68" s="354">
        <f t="shared" ca="1" si="52"/>
        <v>0</v>
      </c>
      <c r="AC68" s="177">
        <f ca="1">IFERROR(__xludf.DUMMYFUNCTION("IMPORTRANGE(""https://docs.google.com/spreadsheets/d/1lufeA2cfFqM-elVq2hznhDzC6Pr7wkJ9ZG_sYNGCMCU/edit?usp=sharing"",""ลพบุรี!I654"")"),50)</f>
        <v>50</v>
      </c>
      <c r="AD68" s="177">
        <f ca="1">IFERROR(__xludf.DUMMYFUNCTION("IMPORTRANGE(""https://docs.google.com/spreadsheets/d/1lufeA2cfFqM-elVq2hznhDzC6Pr7wkJ9ZG_sYNGCMCU/edit?usp=sharing"",""ลพบุรี!J654"")"),0)</f>
        <v>0</v>
      </c>
      <c r="AE68" s="354">
        <f t="shared" ca="1" si="54"/>
        <v>0</v>
      </c>
      <c r="AF68" s="354">
        <f ca="1">IFERROR(__xludf.DUMMYFUNCTION("IMPORTRANGE(""https://docs.google.com/spreadsheets/d/1lufeA2cfFqM-elVq2hznhDzC6Pr7wkJ9ZG_sYNGCMCU/edit?usp=sharing"",""ลพบุรี!J655"")"),0)</f>
        <v>0</v>
      </c>
      <c r="AG68" s="354">
        <f ca="1">IFERROR(__xludf.DUMMYFUNCTION("IMPORTRANGE(""https://docs.google.com/spreadsheets/d/1lufeA2cfFqM-elVq2hznhDzC6Pr7wkJ9ZG_sYNGCMCU/edit?usp=sharing"",""ลพบุรี!J656"")"),0)</f>
        <v>0</v>
      </c>
      <c r="AH68" s="354">
        <f ca="1">IFERROR(__xludf.DUMMYFUNCTION("IMPORTRANGE(""https://docs.google.com/spreadsheets/d/1lufeA2cfFqM-elVq2hznhDzC6Pr7wkJ9ZG_sYNGCMCU/edit?usp=sharing"",""ลพบุรี!J657"")"),0)</f>
        <v>0</v>
      </c>
      <c r="AI68" s="354">
        <f ca="1">IFERROR(__xludf.DUMMYFUNCTION("IMPORTRANGE(""https://docs.google.com/spreadsheets/d/1lufeA2cfFqM-elVq2hznhDzC6Pr7wkJ9ZG_sYNGCMCU/edit?usp=sharing"",""ลพบุรี!J658"")"),0)</f>
        <v>0</v>
      </c>
      <c r="AJ68" s="354">
        <f ca="1">IFERROR(__xludf.DUMMYFUNCTION("IMPORTRANGE(""https://docs.google.com/spreadsheets/d/1lufeA2cfFqM-elVq2hznhDzC6Pr7wkJ9ZG_sYNGCMCU/edit?usp=sharing"",""ลพบุรี!J659"")"),0)</f>
        <v>0</v>
      </c>
      <c r="AK68" s="354">
        <f ca="1">IFERROR(__xludf.DUMMYFUNCTION("IMPORTRANGE(""https://docs.google.com/spreadsheets/d/1lufeA2cfFqM-elVq2hznhDzC6Pr7wkJ9ZG_sYNGCMCU/edit?usp=sharing"",""ลพบุรี!J660"")"),0)</f>
        <v>0</v>
      </c>
      <c r="AL68" s="177">
        <f ca="1">IFERROR(__xludf.DUMMYFUNCTION("IMPORTRANGE(""https://docs.google.com/spreadsheets/d/1lufeA2cfFqM-elVq2hznhDzC6Pr7wkJ9ZG_sYNGCMCU/edit?usp=sharing"",""ลพบุรี!I661"")"),100)</f>
        <v>100</v>
      </c>
      <c r="AM68" s="177">
        <f ca="1">IFERROR(__xludf.DUMMYFUNCTION("IMPORTRANGE(""https://docs.google.com/spreadsheets/d/1lufeA2cfFqM-elVq2hznhDzC6Pr7wkJ9ZG_sYNGCMCU/edit?usp=sharing"",""ลพบุรี!J661"")"),0)</f>
        <v>0</v>
      </c>
      <c r="AN68" s="354">
        <f t="shared" ca="1" si="56"/>
        <v>0</v>
      </c>
      <c r="AO68" s="177">
        <f ca="1">IFERROR(__xludf.DUMMYFUNCTION("IMPORTRANGE(""https://docs.google.com/spreadsheets/d/1lufeA2cfFqM-elVq2hznhDzC6Pr7wkJ9ZG_sYNGCMCU/edit?usp=sharing"",""ลพบุรี!J662"")"),0)</f>
        <v>0</v>
      </c>
      <c r="AP68" s="177">
        <f ca="1">IFERROR(__xludf.DUMMYFUNCTION("IMPORTRANGE(""https://docs.google.com/spreadsheets/d/1lufeA2cfFqM-elVq2hznhDzC6Pr7wkJ9ZG_sYNGCMCU/edit?usp=sharing"",""ลพบุรี!J663"")"),0)</f>
        <v>0</v>
      </c>
      <c r="AQ68" s="177">
        <f ca="1">IFERROR(__xludf.DUMMYFUNCTION("IMPORTRANGE(""https://docs.google.com/spreadsheets/d/1lufeA2cfFqM-elVq2hznhDzC6Pr7wkJ9ZG_sYNGCMCU/edit?usp=sharing"",""ลพบุรี!J665"")"),0)</f>
        <v>0</v>
      </c>
      <c r="AR68" s="177">
        <f ca="1">IFERROR(__xludf.DUMMYFUNCTION("IMPORTRANGE(""https://docs.google.com/spreadsheets/d/1lufeA2cfFqM-elVq2hznhDzC6Pr7wkJ9ZG_sYNGCMCU/edit?usp=sharing"",""ลพบุรี!J666"")"),0)</f>
        <v>0</v>
      </c>
      <c r="AS68" s="177">
        <f ca="1">IFERROR(__xludf.DUMMYFUNCTION("IMPORTRANGE(""https://docs.google.com/spreadsheets/d/1lufeA2cfFqM-elVq2hznhDzC6Pr7wkJ9ZG_sYNGCMCU/edit?usp=sharing"",""ลพบุรี!J667"")"),0)</f>
        <v>0</v>
      </c>
      <c r="AT68" s="177">
        <f ca="1">IFERROR(__xludf.DUMMYFUNCTION("IMPORTRANGE(""https://docs.google.com/spreadsheets/d/1lufeA2cfFqM-elVq2hznhDzC6Pr7wkJ9ZG_sYNGCMCU/edit?usp=sharing"",""ลพบุรี!J668"")"),0)</f>
        <v>0</v>
      </c>
      <c r="AU68" s="177">
        <f ca="1">IFERROR(__xludf.DUMMYFUNCTION("IMPORTRANGE(""https://docs.google.com/spreadsheets/d/1lufeA2cfFqM-elVq2hznhDzC6Pr7wkJ9ZG_sYNGCMCU/edit?usp=sharing"",""ลพบุรี!J669"")"),0)</f>
        <v>0</v>
      </c>
      <c r="AV68" s="177">
        <f ca="1">IFERROR(__xludf.DUMMYFUNCTION("IMPORTRANGE(""https://docs.google.com/spreadsheets/d/1lufeA2cfFqM-elVq2hznhDzC6Pr7wkJ9ZG_sYNGCMCU/edit?usp=sharing"",""ลพบุรี!J670"")"),0)</f>
        <v>0</v>
      </c>
      <c r="AW68" s="177">
        <v>0</v>
      </c>
      <c r="AX68" s="452">
        <f ca="1">IFERROR(__xludf.DUMMYFUNCTION("IMPORTRANGE(""https://docs.google.com/spreadsheets/d/1lufeA2cfFqM-elVq2hznhDzC6Pr7wkJ9ZG_sYNGCMCU/edit?usp=sharing"",""ลพบุรี!J671"")"),0)</f>
        <v>0</v>
      </c>
      <c r="AY68" s="452">
        <f ca="1">IFERROR(__xludf.DUMMYFUNCTION("IMPORTRANGE(""https://docs.google.com/spreadsheets/d/1lufeA2cfFqM-elVq2hznhDzC6Pr7wkJ9ZG_sYNGCMCU/edit?usp=sharing"",""ลพบุรี!J672"")"),0)</f>
        <v>0</v>
      </c>
      <c r="AZ68" s="452">
        <f ca="1">IFERROR(__xludf.DUMMYFUNCTION("IMPORTRANGE(""https://docs.google.com/spreadsheets/d/1lufeA2cfFqM-elVq2hznhDzC6Pr7wkJ9ZG_sYNGCMCU/edit?usp=sharing"",""ลพบุรี!J673"")"),0)</f>
        <v>0</v>
      </c>
      <c r="BA68" s="354">
        <f t="shared" si="58"/>
        <v>0</v>
      </c>
      <c r="BB68" s="177">
        <f ca="1">IFERROR(__xludf.DUMMYFUNCTION("IMPORTRANGE(""https://docs.google.com/spreadsheets/d/1lufeA2cfFqM-elVq2hznhDzC6Pr7wkJ9ZG_sYNGCMCU/edit?usp=sharing"",""ลพบุรี!I674"")"),10)</f>
        <v>10</v>
      </c>
      <c r="BC68" s="177">
        <f ca="1">IFERROR(__xludf.DUMMYFUNCTION("IMPORTRANGE(""https://docs.google.com/spreadsheets/d/1lufeA2cfFqM-elVq2hznhDzC6Pr7wkJ9ZG_sYNGCMCU/edit?usp=sharing"",""ลพบุรี!I675"")"),150)</f>
        <v>150</v>
      </c>
      <c r="BD68" s="452">
        <f ca="1">IFERROR(__xludf.DUMMYFUNCTION("IMPORTRANGE(""https://docs.google.com/spreadsheets/d/1lufeA2cfFqM-elVq2hznhDzC6Pr7wkJ9ZG_sYNGCMCU/edit?usp=sharing"",""ลพบุรี!J674"")"),0)</f>
        <v>0</v>
      </c>
      <c r="BE68" s="354">
        <f t="shared" ca="1" si="60"/>
        <v>0</v>
      </c>
      <c r="BF68" s="452">
        <f ca="1">IFERROR(__xludf.DUMMYFUNCTION("IMPORTRANGE(""https://docs.google.com/spreadsheets/d/1lufeA2cfFqM-elVq2hznhDzC6Pr7wkJ9ZG_sYNGCMCU/edit?usp=sharing"",""ลพบุรี!J675"")"),0)</f>
        <v>0</v>
      </c>
      <c r="BG68" s="354">
        <f t="shared" ca="1" si="61"/>
        <v>0</v>
      </c>
      <c r="BH68" s="177">
        <f ca="1">IFERROR(__xludf.DUMMYFUNCTION("IMPORTRANGE(""https://docs.google.com/spreadsheets/d/1lufeA2cfFqM-elVq2hznhDzC6Pr7wkJ9ZG_sYNGCMCU/edit?usp=sharing"",""ลพบุรี!I676"")"),10)</f>
        <v>10</v>
      </c>
      <c r="BI68" s="177">
        <f ca="1">IFERROR(__xludf.DUMMYFUNCTION("IMPORTRANGE(""https://docs.google.com/spreadsheets/d/1lufeA2cfFqM-elVq2hznhDzC6Pr7wkJ9ZG_sYNGCMCU/edit?usp=sharing"",""ลพบุรี!I678"")"),150)</f>
        <v>150</v>
      </c>
      <c r="BJ68" s="452">
        <f ca="1">IFERROR(__xludf.DUMMYFUNCTION("IMPORTRANGE(""https://docs.google.com/spreadsheets/d/1lufeA2cfFqM-elVq2hznhDzC6Pr7wkJ9ZG_sYNGCMCU/edit?usp=sharing"",""ลพบุรี!J676"")"),0)</f>
        <v>0</v>
      </c>
      <c r="BK68" s="452">
        <f ca="1">IFERROR(__xludf.DUMMYFUNCTION("IMPORTRANGE(""https://docs.google.com/spreadsheets/d/1lufeA2cfFqM-elVq2hznhDzC6Pr7wkJ9ZG_sYNGCMCU/edit?usp=sharing"",""ลพบุรี!J677"")"),0)</f>
        <v>0</v>
      </c>
      <c r="BL68" s="452">
        <f ca="1">IFERROR(__xludf.DUMMYFUNCTION("IMPORTRANGE(""https://docs.google.com/spreadsheets/d/1lufeA2cfFqM-elVq2hznhDzC6Pr7wkJ9ZG_sYNGCMCU/edit?usp=sharing"",""ลพบุรี!J678"")"),0)</f>
        <v>0</v>
      </c>
      <c r="BM68" s="177">
        <f ca="1">IFERROR(__xludf.DUMMYFUNCTION("IMPORTRANGE(""https://docs.google.com/spreadsheets/d/1lufeA2cfFqM-elVq2hznhDzC6Pr7wkJ9ZG_sYNGCMCU/edit?usp=sharing"",""ลพบุรี!I679"")"),0)</f>
        <v>0</v>
      </c>
      <c r="BN68" s="177">
        <f ca="1">IFERROR(__xludf.DUMMYFUNCTION("IMPORTRANGE(""https://docs.google.com/spreadsheets/d/1lufeA2cfFqM-elVq2hznhDzC6Pr7wkJ9ZG_sYNGCMCU/edit?usp=sharing"",""ลพบุรี!I681"")"),0)</f>
        <v>0</v>
      </c>
      <c r="BO68" s="452">
        <f ca="1">IFERROR(__xludf.DUMMYFUNCTION("IMPORTRANGE(""https://docs.google.com/spreadsheets/d/1lufeA2cfFqM-elVq2hznhDzC6Pr7wkJ9ZG_sYNGCMCU/edit?usp=sharing"",""ลพบุรี!J679"")"),0)</f>
        <v>0</v>
      </c>
      <c r="BP68" s="452">
        <f ca="1">IFERROR(__xludf.DUMMYFUNCTION("IMPORTRANGE(""https://docs.google.com/spreadsheets/d/1lufeA2cfFqM-elVq2hznhDzC6Pr7wkJ9ZG_sYNGCMCU/edit?usp=sharing"",""ลพบุรี!J680"")"),0)</f>
        <v>0</v>
      </c>
      <c r="BQ68" s="452">
        <f ca="1">IFERROR(__xludf.DUMMYFUNCTION("IMPORTRANGE(""https://docs.google.com/spreadsheets/d/1lufeA2cfFqM-elVq2hznhDzC6Pr7wkJ9ZG_sYNGCMCU/edit?usp=sharing"",""ลพบุรี!J681"")"),0)</f>
        <v>0</v>
      </c>
      <c r="BR68" s="177">
        <f ca="1">IFERROR(__xludf.DUMMYFUNCTION("IMPORTRANGE(""https://docs.google.com/spreadsheets/d/1lufeA2cfFqM-elVq2hznhDzC6Pr7wkJ9ZG_sYNGCMCU/edit?usp=sharing"",""ลพบุรี!I682"")"),20)</f>
        <v>20</v>
      </c>
      <c r="BS68" s="177">
        <f ca="1">IFERROR(__xludf.DUMMYFUNCTION("IMPORTRANGE(""https://docs.google.com/spreadsheets/d/1lufeA2cfFqM-elVq2hznhDzC6Pr7wkJ9ZG_sYNGCMCU/edit?usp=sharing"",""ลพบุรี!J682"")"),0)</f>
        <v>0</v>
      </c>
      <c r="BT68" s="354">
        <f t="shared" ca="1" si="63"/>
        <v>0</v>
      </c>
      <c r="BU68" s="177">
        <f ca="1">IFERROR(__xludf.DUMMYFUNCTION("IMPORTRANGE(""https://docs.google.com/spreadsheets/d/1lufeA2cfFqM-elVq2hznhDzC6Pr7wkJ9ZG_sYNGCMCU/edit?usp=sharing"",""ลพบุรี!J683"")"),0)</f>
        <v>0</v>
      </c>
      <c r="BV68" s="177">
        <f ca="1">IFERROR(__xludf.DUMMYFUNCTION("IMPORTRANGE(""https://docs.google.com/spreadsheets/d/1lufeA2cfFqM-elVq2hznhDzC6Pr7wkJ9ZG_sYNGCMCU/edit?usp=sharing"",""ลพบุรี!J684"")"),0)</f>
        <v>0</v>
      </c>
      <c r="BW68" s="177">
        <f ca="1">IFERROR(__xludf.DUMMYFUNCTION("IMPORTRANGE(""https://docs.google.com/spreadsheets/d/1lufeA2cfFqM-elVq2hznhDzC6Pr7wkJ9ZG_sYNGCMCU/edit?usp=sharing"",""ลพบุรี!J685"")"),0)</f>
        <v>0</v>
      </c>
      <c r="BX68" s="177">
        <f ca="1">IFERROR(__xludf.DUMMYFUNCTION("IMPORTRANGE(""https://docs.google.com/spreadsheets/d/1lufeA2cfFqM-elVq2hznhDzC6Pr7wkJ9ZG_sYNGCMCU/edit?usp=sharing"",""ลพบุรี!J686"")"),0)</f>
        <v>0</v>
      </c>
      <c r="BY68" s="177">
        <f ca="1">IFERROR(__xludf.DUMMYFUNCTION("IMPORTRANGE(""https://docs.google.com/spreadsheets/d/1lufeA2cfFqM-elVq2hznhDzC6Pr7wkJ9ZG_sYNGCMCU/edit?usp=sharing"",""ลพบุรี!J687"")"),0)</f>
        <v>0</v>
      </c>
      <c r="BZ68" s="177">
        <f ca="1">IFERROR(__xludf.DUMMYFUNCTION("IMPORTRANGE(""https://docs.google.com/spreadsheets/d/1lufeA2cfFqM-elVq2hznhDzC6Pr7wkJ9ZG_sYNGCMCU/edit?usp=sharing"",""ลพบุรี!J688"")"),0)</f>
        <v>0</v>
      </c>
    </row>
    <row r="69" spans="1:78" ht="21.75" customHeight="1" x14ac:dyDescent="0.3">
      <c r="A69" s="89">
        <v>17</v>
      </c>
      <c r="B69" s="90" t="s">
        <v>95</v>
      </c>
      <c r="C69" s="174">
        <f t="shared" si="38"/>
        <v>0</v>
      </c>
      <c r="D69" s="175">
        <f t="shared" si="87"/>
        <v>0</v>
      </c>
      <c r="E69" s="403">
        <v>0</v>
      </c>
      <c r="F69" s="403">
        <v>0</v>
      </c>
      <c r="G69" s="403">
        <v>0</v>
      </c>
      <c r="H69" s="403">
        <v>0</v>
      </c>
      <c r="I69" s="403">
        <v>0</v>
      </c>
      <c r="J69" s="176">
        <f t="shared" si="40"/>
        <v>0</v>
      </c>
      <c r="K69" s="179">
        <f t="shared" si="41"/>
        <v>0</v>
      </c>
      <c r="L69" s="403">
        <v>0</v>
      </c>
      <c r="M69" s="87">
        <f t="shared" si="42"/>
        <v>0</v>
      </c>
      <c r="N69" s="87">
        <f t="shared" si="43"/>
        <v>0</v>
      </c>
      <c r="O69" s="403">
        <v>0</v>
      </c>
      <c r="P69" s="86">
        <f t="shared" si="44"/>
        <v>0</v>
      </c>
      <c r="Q69" s="87">
        <f t="shared" si="45"/>
        <v>0</v>
      </c>
      <c r="R69" s="87">
        <f ca="1">IFERROR(__xludf.DUMMYFUNCTION("IMPORTRANGE(""https://docs.google.com/spreadsheets/d/10oOiF7loTyfsTkbd4MpaIm0HQ9SwB7IYHdIUvt-U1Uc/edit?usp=sharing"",""สระแก้ว!Q642"")"),0)</f>
        <v>0</v>
      </c>
      <c r="S69" s="87">
        <f ca="1">IFERROR(__xludf.DUMMYFUNCTION("IMPORTRANGE(""https://docs.google.com/spreadsheets/d/10oOiF7loTyfsTkbd4MpaIm0HQ9SwB7IYHdIUvt-U1Uc/edit?usp=sharing"",""สระแก้ว!R642"")"),0)</f>
        <v>0</v>
      </c>
      <c r="T69" s="87">
        <f ca="1">IFERROR(__xludf.DUMMYFUNCTION("IMPORTRANGE(""https://docs.google.com/spreadsheets/d/10oOiF7loTyfsTkbd4MpaIm0HQ9SwB7IYHdIUvt-U1Uc/edit?usp=sharing"",""สระแก้ว!S642"")"),0)</f>
        <v>0</v>
      </c>
      <c r="U69" s="87">
        <f t="shared" ca="1" si="47"/>
        <v>0</v>
      </c>
      <c r="V69" s="87">
        <f t="shared" ca="1" si="48"/>
        <v>0</v>
      </c>
      <c r="W69" s="353">
        <f ca="1">IFERROR(__xludf.DUMMYFUNCTION("IMPORTRANGE(""https://docs.google.com/spreadsheets/d/10oOiF7loTyfsTkbd4MpaIm0HQ9SwB7IYHdIUvt-U1Uc/edit?usp=sharing"",""สระแก้ว!I652"")"),0)</f>
        <v>0</v>
      </c>
      <c r="X69" s="452">
        <f ca="1">IFERROR(__xludf.DUMMYFUNCTION("IMPORTRANGE(""https://docs.google.com/spreadsheets/d/10oOiF7loTyfsTkbd4MpaIm0HQ9SwB7IYHdIUvt-U1Uc/edit?usp=sharing"",""สระแก้ว!J652"")"),0)</f>
        <v>0</v>
      </c>
      <c r="Y69" s="354">
        <f t="shared" ca="1" si="50"/>
        <v>0</v>
      </c>
      <c r="Z69" s="177">
        <f ca="1">IFERROR(__xludf.DUMMYFUNCTION("IMPORTRANGE(""https://docs.google.com/spreadsheets/d/10oOiF7loTyfsTkbd4MpaIm0HQ9SwB7IYHdIUvt-U1Uc/edit?usp=sharing"",""สระแก้ว!I653"")"),0)</f>
        <v>0</v>
      </c>
      <c r="AA69" s="452">
        <f ca="1">IFERROR(__xludf.DUMMYFUNCTION("IMPORTRANGE(""https://docs.google.com/spreadsheets/d/10oOiF7loTyfsTkbd4MpaIm0HQ9SwB7IYHdIUvt-U1Uc/edit?usp=sharing"",""สระแก้ว!J653"")"),0)</f>
        <v>0</v>
      </c>
      <c r="AB69" s="354">
        <f t="shared" ca="1" si="52"/>
        <v>0</v>
      </c>
      <c r="AC69" s="177">
        <f ca="1">IFERROR(__xludf.DUMMYFUNCTION("IMPORTRANGE(""https://docs.google.com/spreadsheets/d/10oOiF7loTyfsTkbd4MpaIm0HQ9SwB7IYHdIUvt-U1Uc/edit?usp=sharing"",""สระแก้ว!I654"")"),0)</f>
        <v>0</v>
      </c>
      <c r="AD69" s="177">
        <f ca="1">IFERROR(__xludf.DUMMYFUNCTION("IMPORTRANGE(""https://docs.google.com/spreadsheets/d/10oOiF7loTyfsTkbd4MpaIm0HQ9SwB7IYHdIUvt-U1Uc/edit?usp=sharing"",""สระแก้ว!J654"")"),0)</f>
        <v>0</v>
      </c>
      <c r="AE69" s="354">
        <f t="shared" ca="1" si="54"/>
        <v>0</v>
      </c>
      <c r="AF69" s="354">
        <f ca="1">IFERROR(__xludf.DUMMYFUNCTION("IMPORTRANGE(""https://docs.google.com/spreadsheets/d/10oOiF7loTyfsTkbd4MpaIm0HQ9SwB7IYHdIUvt-U1Uc/edit?usp=sharing"",""สระแก้ว!J655"")"),0)</f>
        <v>0</v>
      </c>
      <c r="AG69" s="354">
        <f ca="1">IFERROR(__xludf.DUMMYFUNCTION("IMPORTRANGE(""https://docs.google.com/spreadsheets/d/10oOiF7loTyfsTkbd4MpaIm0HQ9SwB7IYHdIUvt-U1Uc/edit?usp=sharing"",""สระแก้ว!J656"")"),0)</f>
        <v>0</v>
      </c>
      <c r="AH69" s="354">
        <f ca="1">IFERROR(__xludf.DUMMYFUNCTION("IMPORTRANGE(""https://docs.google.com/spreadsheets/d/10oOiF7loTyfsTkbd4MpaIm0HQ9SwB7IYHdIUvt-U1Uc/edit?usp=sharing"",""สระแก้ว!J657"")"),0)</f>
        <v>0</v>
      </c>
      <c r="AI69" s="354">
        <f ca="1">IFERROR(__xludf.DUMMYFUNCTION("IMPORTRANGE(""https://docs.google.com/spreadsheets/d/10oOiF7loTyfsTkbd4MpaIm0HQ9SwB7IYHdIUvt-U1Uc/edit?usp=sharing"",""สระแก้ว!J658"")"),0)</f>
        <v>0</v>
      </c>
      <c r="AJ69" s="354">
        <f ca="1">IFERROR(__xludf.DUMMYFUNCTION("IMPORTRANGE(""https://docs.google.com/spreadsheets/d/10oOiF7loTyfsTkbd4MpaIm0HQ9SwB7IYHdIUvt-U1Uc/edit?usp=sharing"",""สระแก้ว!J659"")"),0)</f>
        <v>0</v>
      </c>
      <c r="AK69" s="354">
        <f ca="1">IFERROR(__xludf.DUMMYFUNCTION("IMPORTRANGE(""https://docs.google.com/spreadsheets/d/10oOiF7loTyfsTkbd4MpaIm0HQ9SwB7IYHdIUvt-U1Uc/edit?usp=sharing"",""สระแก้ว!J660"")"),0)</f>
        <v>0</v>
      </c>
      <c r="AL69" s="177">
        <f ca="1">IFERROR(__xludf.DUMMYFUNCTION("IMPORTRANGE(""https://docs.google.com/spreadsheets/d/10oOiF7loTyfsTkbd4MpaIm0HQ9SwB7IYHdIUvt-U1Uc/edit?usp=sharing"",""สระแก้ว!I661"")"),0)</f>
        <v>0</v>
      </c>
      <c r="AM69" s="177">
        <f ca="1">IFERROR(__xludf.DUMMYFUNCTION("IMPORTRANGE(""https://docs.google.com/spreadsheets/d/10oOiF7loTyfsTkbd4MpaIm0HQ9SwB7IYHdIUvt-U1Uc/edit?usp=sharing"",""สระแก้ว!J661"")"),0)</f>
        <v>0</v>
      </c>
      <c r="AN69" s="354">
        <f t="shared" ca="1" si="56"/>
        <v>0</v>
      </c>
      <c r="AO69" s="177">
        <f ca="1">IFERROR(__xludf.DUMMYFUNCTION("IMPORTRANGE(""https://docs.google.com/spreadsheets/d/10oOiF7loTyfsTkbd4MpaIm0HQ9SwB7IYHdIUvt-U1Uc/edit?usp=sharing"",""สระแก้ว!J662"")"),0)</f>
        <v>0</v>
      </c>
      <c r="AP69" s="177">
        <f ca="1">IFERROR(__xludf.DUMMYFUNCTION("IMPORTRANGE(""https://docs.google.com/spreadsheets/d/10oOiF7loTyfsTkbd4MpaIm0HQ9SwB7IYHdIUvt-U1Uc/edit?usp=sharing"",""สระแก้ว!J663"")"),0)</f>
        <v>0</v>
      </c>
      <c r="AQ69" s="177">
        <f ca="1">IFERROR(__xludf.DUMMYFUNCTION("IMPORTRANGE(""https://docs.google.com/spreadsheets/d/10oOiF7loTyfsTkbd4MpaIm0HQ9SwB7IYHdIUvt-U1Uc/edit?usp=sharing"",""สระแก้ว!J665"")"),0)</f>
        <v>0</v>
      </c>
      <c r="AR69" s="177">
        <f ca="1">IFERROR(__xludf.DUMMYFUNCTION("IMPORTRANGE(""https://docs.google.com/spreadsheets/d/10oOiF7loTyfsTkbd4MpaIm0HQ9SwB7IYHdIUvt-U1Uc/edit?usp=sharing"",""สระแก้ว!J666"")"),0)</f>
        <v>0</v>
      </c>
      <c r="AS69" s="177">
        <f ca="1">IFERROR(__xludf.DUMMYFUNCTION("IMPORTRANGE(""https://docs.google.com/spreadsheets/d/10oOiF7loTyfsTkbd4MpaIm0HQ9SwB7IYHdIUvt-U1Uc/edit?usp=sharing"",""สระแก้ว!J667"")"),0)</f>
        <v>0</v>
      </c>
      <c r="AT69" s="177">
        <f ca="1">IFERROR(__xludf.DUMMYFUNCTION("IMPORTRANGE(""https://docs.google.com/spreadsheets/d/10oOiF7loTyfsTkbd4MpaIm0HQ9SwB7IYHdIUvt-U1Uc/edit?usp=sharing"",""สระแก้ว!J668"")"),0)</f>
        <v>0</v>
      </c>
      <c r="AU69" s="177">
        <f ca="1">IFERROR(__xludf.DUMMYFUNCTION("IMPORTRANGE(""https://docs.google.com/spreadsheets/d/10oOiF7loTyfsTkbd4MpaIm0HQ9SwB7IYHdIUvt-U1Uc/edit?usp=sharing"",""สระแก้ว!J669"")"),0)</f>
        <v>0</v>
      </c>
      <c r="AV69" s="177">
        <f ca="1">IFERROR(__xludf.DUMMYFUNCTION("IMPORTRANGE(""https://docs.google.com/spreadsheets/d/10oOiF7loTyfsTkbd4MpaIm0HQ9SwB7IYHdIUvt-U1Uc/edit?usp=sharing"",""สระแก้ว!J670"")"),0)</f>
        <v>0</v>
      </c>
      <c r="AW69" s="177">
        <v>0</v>
      </c>
      <c r="AX69" s="452">
        <f ca="1">IFERROR(__xludf.DUMMYFUNCTION("IMPORTRANGE(""https://docs.google.com/spreadsheets/d/10oOiF7loTyfsTkbd4MpaIm0HQ9SwB7IYHdIUvt-U1Uc/edit?usp=sharing"",""สระแก้ว!J671"")"),0)</f>
        <v>0</v>
      </c>
      <c r="AY69" s="452">
        <f ca="1">IFERROR(__xludf.DUMMYFUNCTION("IMPORTRANGE(""https://docs.google.com/spreadsheets/d/10oOiF7loTyfsTkbd4MpaIm0HQ9SwB7IYHdIUvt-U1Uc/edit?usp=sharing"",""สระแก้ว!J672"")"),0)</f>
        <v>0</v>
      </c>
      <c r="AZ69" s="452">
        <f ca="1">IFERROR(__xludf.DUMMYFUNCTION("IMPORTRANGE(""https://docs.google.com/spreadsheets/d/10oOiF7loTyfsTkbd4MpaIm0HQ9SwB7IYHdIUvt-U1Uc/edit?usp=sharing"",""สระแก้ว!J673"")"),0)</f>
        <v>0</v>
      </c>
      <c r="BA69" s="354">
        <f t="shared" si="58"/>
        <v>0</v>
      </c>
      <c r="BB69" s="177">
        <f ca="1">IFERROR(__xludf.DUMMYFUNCTION("IMPORTRANGE(""https://docs.google.com/spreadsheets/d/10oOiF7loTyfsTkbd4MpaIm0HQ9SwB7IYHdIUvt-U1Uc/edit?usp=sharing"",""สระแก้ว!I674"")"),0)</f>
        <v>0</v>
      </c>
      <c r="BC69" s="177">
        <f ca="1">IFERROR(__xludf.DUMMYFUNCTION("IMPORTRANGE(""https://docs.google.com/spreadsheets/d/10oOiF7loTyfsTkbd4MpaIm0HQ9SwB7IYHdIUvt-U1Uc/edit?usp=sharing"",""สระแก้ว!I675"")"),0)</f>
        <v>0</v>
      </c>
      <c r="BD69" s="452">
        <f ca="1">IFERROR(__xludf.DUMMYFUNCTION("IMPORTRANGE(""https://docs.google.com/spreadsheets/d/10oOiF7loTyfsTkbd4MpaIm0HQ9SwB7IYHdIUvt-U1Uc/edit?usp=sharing"",""สระแก้ว!J674"")"),0)</f>
        <v>0</v>
      </c>
      <c r="BE69" s="354">
        <f t="shared" ca="1" si="60"/>
        <v>0</v>
      </c>
      <c r="BF69" s="452">
        <f ca="1">IFERROR(__xludf.DUMMYFUNCTION("IMPORTRANGE(""https://docs.google.com/spreadsheets/d/10oOiF7loTyfsTkbd4MpaIm0HQ9SwB7IYHdIUvt-U1Uc/edit?usp=sharing"",""สระแก้ว!J675"")"),0)</f>
        <v>0</v>
      </c>
      <c r="BG69" s="354">
        <f t="shared" ca="1" si="61"/>
        <v>0</v>
      </c>
      <c r="BH69" s="177">
        <f ca="1">IFERROR(__xludf.DUMMYFUNCTION("IMPORTRANGE(""https://docs.google.com/spreadsheets/d/10oOiF7loTyfsTkbd4MpaIm0HQ9SwB7IYHdIUvt-U1Uc/edit?usp=sharing"",""สระแก้ว!I676"")"),0)</f>
        <v>0</v>
      </c>
      <c r="BI69" s="177">
        <f ca="1">IFERROR(__xludf.DUMMYFUNCTION("IMPORTRANGE(""https://docs.google.com/spreadsheets/d/10oOiF7loTyfsTkbd4MpaIm0HQ9SwB7IYHdIUvt-U1Uc/edit?usp=sharing"",""สระแก้ว!I678"")"),0)</f>
        <v>0</v>
      </c>
      <c r="BJ69" s="452">
        <f ca="1">IFERROR(__xludf.DUMMYFUNCTION("IMPORTRANGE(""https://docs.google.com/spreadsheets/d/10oOiF7loTyfsTkbd4MpaIm0HQ9SwB7IYHdIUvt-U1Uc/edit?usp=sharing"",""สระแก้ว!J676"")"),0)</f>
        <v>0</v>
      </c>
      <c r="BK69" s="452">
        <f ca="1">IFERROR(__xludf.DUMMYFUNCTION("IMPORTRANGE(""https://docs.google.com/spreadsheets/d/10oOiF7loTyfsTkbd4MpaIm0HQ9SwB7IYHdIUvt-U1Uc/edit?usp=sharing"",""สระแก้ว!J677"")"),0)</f>
        <v>0</v>
      </c>
      <c r="BL69" s="452">
        <f ca="1">IFERROR(__xludf.DUMMYFUNCTION("IMPORTRANGE(""https://docs.google.com/spreadsheets/d/10oOiF7loTyfsTkbd4MpaIm0HQ9SwB7IYHdIUvt-U1Uc/edit?usp=sharing"",""สระแก้ว!J678"")"),0)</f>
        <v>0</v>
      </c>
      <c r="BM69" s="177">
        <f ca="1">IFERROR(__xludf.DUMMYFUNCTION("IMPORTRANGE(""https://docs.google.com/spreadsheets/d/10oOiF7loTyfsTkbd4MpaIm0HQ9SwB7IYHdIUvt-U1Uc/edit?usp=sharing"",""สระแก้ว!I679"")"),0)</f>
        <v>0</v>
      </c>
      <c r="BN69" s="177">
        <f ca="1">IFERROR(__xludf.DUMMYFUNCTION("IMPORTRANGE(""https://docs.google.com/spreadsheets/d/10oOiF7loTyfsTkbd4MpaIm0HQ9SwB7IYHdIUvt-U1Uc/edit?usp=sharing"",""สระแก้ว!I681"")"),0)</f>
        <v>0</v>
      </c>
      <c r="BO69" s="452">
        <f ca="1">IFERROR(__xludf.DUMMYFUNCTION("IMPORTRANGE(""https://docs.google.com/spreadsheets/d/10oOiF7loTyfsTkbd4MpaIm0HQ9SwB7IYHdIUvt-U1Uc/edit?usp=sharing"",""สระแก้ว!J679"")"),0)</f>
        <v>0</v>
      </c>
      <c r="BP69" s="452">
        <f ca="1">IFERROR(__xludf.DUMMYFUNCTION("IMPORTRANGE(""https://docs.google.com/spreadsheets/d/10oOiF7loTyfsTkbd4MpaIm0HQ9SwB7IYHdIUvt-U1Uc/edit?usp=sharing"",""สระแก้ว!J680"")"),0)</f>
        <v>0</v>
      </c>
      <c r="BQ69" s="452">
        <f ca="1">IFERROR(__xludf.DUMMYFUNCTION("IMPORTRANGE(""https://docs.google.com/spreadsheets/d/10oOiF7loTyfsTkbd4MpaIm0HQ9SwB7IYHdIUvt-U1Uc/edit?usp=sharing"",""สระแก้ว!J681"")"),0)</f>
        <v>0</v>
      </c>
      <c r="BR69" s="177">
        <f ca="1">IFERROR(__xludf.DUMMYFUNCTION("IMPORTRANGE(""https://docs.google.com/spreadsheets/d/10oOiF7loTyfsTkbd4MpaIm0HQ9SwB7IYHdIUvt-U1Uc/edit?usp=sharing"",""สระแก้ว!I682"")"),0)</f>
        <v>0</v>
      </c>
      <c r="BS69" s="177">
        <f ca="1">IFERROR(__xludf.DUMMYFUNCTION("IMPORTRANGE(""https://docs.google.com/spreadsheets/d/10oOiF7loTyfsTkbd4MpaIm0HQ9SwB7IYHdIUvt-U1Uc/edit?usp=sharing"",""สระแก้ว!J682"")"),0)</f>
        <v>0</v>
      </c>
      <c r="BT69" s="354">
        <f t="shared" ca="1" si="63"/>
        <v>0</v>
      </c>
      <c r="BU69" s="177">
        <f ca="1">IFERROR(__xludf.DUMMYFUNCTION("IMPORTRANGE(""https://docs.google.com/spreadsheets/d/10oOiF7loTyfsTkbd4MpaIm0HQ9SwB7IYHdIUvt-U1Uc/edit?usp=sharing"",""สระแก้ว!J683"")"),0)</f>
        <v>0</v>
      </c>
      <c r="BV69" s="177">
        <f ca="1">IFERROR(__xludf.DUMMYFUNCTION("IMPORTRANGE(""https://docs.google.com/spreadsheets/d/10oOiF7loTyfsTkbd4MpaIm0HQ9SwB7IYHdIUvt-U1Uc/edit?usp=sharing"",""สระแก้ว!J684"")"),0)</f>
        <v>0</v>
      </c>
      <c r="BW69" s="177">
        <f ca="1">IFERROR(__xludf.DUMMYFUNCTION("IMPORTRANGE(""https://docs.google.com/spreadsheets/d/10oOiF7loTyfsTkbd4MpaIm0HQ9SwB7IYHdIUvt-U1Uc/edit?usp=sharing"",""สระแก้ว!J685"")"),0)</f>
        <v>0</v>
      </c>
      <c r="BX69" s="177">
        <f ca="1">IFERROR(__xludf.DUMMYFUNCTION("IMPORTRANGE(""https://docs.google.com/spreadsheets/d/10oOiF7loTyfsTkbd4MpaIm0HQ9SwB7IYHdIUvt-U1Uc/edit?usp=sharing"",""สระแก้ว!J686"")"),0)</f>
        <v>0</v>
      </c>
      <c r="BY69" s="177">
        <f ca="1">IFERROR(__xludf.DUMMYFUNCTION("IMPORTRANGE(""https://docs.google.com/spreadsheets/d/10oOiF7loTyfsTkbd4MpaIm0HQ9SwB7IYHdIUvt-U1Uc/edit?usp=sharing"",""สระแก้ว!J687"")"),0)</f>
        <v>0</v>
      </c>
      <c r="BZ69" s="177">
        <f ca="1">IFERROR(__xludf.DUMMYFUNCTION("IMPORTRANGE(""https://docs.google.com/spreadsheets/d/10oOiF7loTyfsTkbd4MpaIm0HQ9SwB7IYHdIUvt-U1Uc/edit?usp=sharing"",""สระแก้ว!J688"")"),0)</f>
        <v>0</v>
      </c>
    </row>
    <row r="70" spans="1:78" ht="21.75" customHeight="1" x14ac:dyDescent="0.3">
      <c r="A70" s="89">
        <v>18</v>
      </c>
      <c r="B70" s="90" t="s">
        <v>96</v>
      </c>
      <c r="C70" s="174">
        <f t="shared" si="38"/>
        <v>0</v>
      </c>
      <c r="D70" s="175">
        <f t="shared" si="87"/>
        <v>0</v>
      </c>
      <c r="E70" s="403">
        <v>0</v>
      </c>
      <c r="F70" s="403">
        <v>0</v>
      </c>
      <c r="G70" s="403">
        <v>0</v>
      </c>
      <c r="H70" s="403">
        <v>0</v>
      </c>
      <c r="I70" s="403">
        <v>0</v>
      </c>
      <c r="J70" s="176">
        <f t="shared" si="40"/>
        <v>0</v>
      </c>
      <c r="K70" s="179">
        <f t="shared" si="41"/>
        <v>0</v>
      </c>
      <c r="L70" s="403">
        <v>0</v>
      </c>
      <c r="M70" s="87">
        <f t="shared" si="42"/>
        <v>0</v>
      </c>
      <c r="N70" s="87">
        <f t="shared" si="43"/>
        <v>0</v>
      </c>
      <c r="O70" s="403">
        <v>0</v>
      </c>
      <c r="P70" s="86">
        <f t="shared" si="44"/>
        <v>0</v>
      </c>
      <c r="Q70" s="87">
        <f t="shared" si="45"/>
        <v>0</v>
      </c>
      <c r="R70" s="87">
        <f ca="1">IFERROR(__xludf.DUMMYFUNCTION("IMPORTRANGE(""https://docs.google.com/spreadsheets/d/1xmPlrr1QbdSIKvl1dWUl9K4PjAfSL9oeMr_37QVzcxc/edit?usp=sharing"",""สระบุรี!Q642"")"),1600)</f>
        <v>1600</v>
      </c>
      <c r="S70" s="87">
        <f ca="1">IFERROR(__xludf.DUMMYFUNCTION("IMPORTRANGE(""https://docs.google.com/spreadsheets/d/1xmPlrr1QbdSIKvl1dWUl9K4PjAfSL9oeMr_37QVzcxc/edit?usp=sharing"",""สระบุรี!R642"")"),0)</f>
        <v>0</v>
      </c>
      <c r="T70" s="87">
        <f ca="1">IFERROR(__xludf.DUMMYFUNCTION("IMPORTRANGE(""https://docs.google.com/spreadsheets/d/1xmPlrr1QbdSIKvl1dWUl9K4PjAfSL9oeMr_37QVzcxc/edit?usp=sharing"",""สระบุรี!S642"")"),0)</f>
        <v>0</v>
      </c>
      <c r="U70" s="87">
        <f t="shared" ca="1" si="47"/>
        <v>0</v>
      </c>
      <c r="V70" s="87">
        <f t="shared" ca="1" si="48"/>
        <v>0</v>
      </c>
      <c r="W70" s="353">
        <f ca="1">IFERROR(__xludf.DUMMYFUNCTION("IMPORTRANGE(""https://docs.google.com/spreadsheets/d/1xmPlrr1QbdSIKvl1dWUl9K4PjAfSL9oeMr_37QVzcxc/edit?usp=sharing"",""สระบุรี!I652"")"),0)</f>
        <v>0</v>
      </c>
      <c r="X70" s="177">
        <f ca="1">IFERROR(__xludf.DUMMYFUNCTION("IMPORTRANGE(""https://docs.google.com/spreadsheets/d/1xmPlrr1QbdSIKvl1dWUl9K4PjAfSL9oeMr_37QVzcxc/edit?usp=sharing"",""สระบุรี!J652"")"),0)</f>
        <v>0</v>
      </c>
      <c r="Y70" s="354">
        <f t="shared" ca="1" si="50"/>
        <v>0</v>
      </c>
      <c r="Z70" s="177">
        <f ca="1">IFERROR(__xludf.DUMMYFUNCTION("IMPORTRANGE(""https://docs.google.com/spreadsheets/d/1xmPlrr1QbdSIKvl1dWUl9K4PjAfSL9oeMr_37QVzcxc/edit?usp=sharing"",""สระบุรี!I653"")"),0)</f>
        <v>0</v>
      </c>
      <c r="AA70" s="177">
        <f ca="1">IFERROR(__xludf.DUMMYFUNCTION("IMPORTRANGE(""https://docs.google.com/spreadsheets/d/1xmPlrr1QbdSIKvl1dWUl9K4PjAfSL9oeMr_37QVzcxc/edit?usp=sharing"",""สระบุรี!J653"")"),0)</f>
        <v>0</v>
      </c>
      <c r="AB70" s="354">
        <f t="shared" ca="1" si="52"/>
        <v>0</v>
      </c>
      <c r="AC70" s="177">
        <f ca="1">IFERROR(__xludf.DUMMYFUNCTION("IMPORTRANGE(""https://docs.google.com/spreadsheets/d/1xmPlrr1QbdSIKvl1dWUl9K4PjAfSL9oeMr_37QVzcxc/edit?usp=sharing"",""สระบุรี!I654"")"),0)</f>
        <v>0</v>
      </c>
      <c r="AD70" s="177">
        <f ca="1">IFERROR(__xludf.DUMMYFUNCTION("IMPORTRANGE(""https://docs.google.com/spreadsheets/d/1xmPlrr1QbdSIKvl1dWUl9K4PjAfSL9oeMr_37QVzcxc/edit?usp=sharing"",""สระบุรี!J654"")"),0)</f>
        <v>0</v>
      </c>
      <c r="AE70" s="354">
        <f t="shared" ca="1" si="54"/>
        <v>0</v>
      </c>
      <c r="AF70" s="354">
        <f ca="1">IFERROR(__xludf.DUMMYFUNCTION("IMPORTRANGE(""https://docs.google.com/spreadsheets/d/1xmPlrr1QbdSIKvl1dWUl9K4PjAfSL9oeMr_37QVzcxc/edit?usp=sharing"",""สระบุรี!J655"")"),0)</f>
        <v>0</v>
      </c>
      <c r="AG70" s="354">
        <f ca="1">IFERROR(__xludf.DUMMYFUNCTION("IMPORTRANGE(""https://docs.google.com/spreadsheets/d/1xmPlrr1QbdSIKvl1dWUl9K4PjAfSL9oeMr_37QVzcxc/edit?usp=sharing"",""สระบุรี!J656"")"),0)</f>
        <v>0</v>
      </c>
      <c r="AH70" s="354">
        <f ca="1">IFERROR(__xludf.DUMMYFUNCTION("IMPORTRANGE(""https://docs.google.com/spreadsheets/d/1xmPlrr1QbdSIKvl1dWUl9K4PjAfSL9oeMr_37QVzcxc/edit?usp=sharing"",""สระบุรี!J657"")"),0)</f>
        <v>0</v>
      </c>
      <c r="AI70" s="354">
        <f ca="1">IFERROR(__xludf.DUMMYFUNCTION("IMPORTRANGE(""https://docs.google.com/spreadsheets/d/1xmPlrr1QbdSIKvl1dWUl9K4PjAfSL9oeMr_37QVzcxc/edit?usp=sharing"",""สระบุรี!J658"")"),0)</f>
        <v>0</v>
      </c>
      <c r="AJ70" s="354">
        <f ca="1">IFERROR(__xludf.DUMMYFUNCTION("IMPORTRANGE(""https://docs.google.com/spreadsheets/d/1xmPlrr1QbdSIKvl1dWUl9K4PjAfSL9oeMr_37QVzcxc/edit?usp=sharing"",""สระบุรี!J659"")"),0)</f>
        <v>0</v>
      </c>
      <c r="AK70" s="354">
        <f ca="1">IFERROR(__xludf.DUMMYFUNCTION("IMPORTRANGE(""https://docs.google.com/spreadsheets/d/1xmPlrr1QbdSIKvl1dWUl9K4PjAfSL9oeMr_37QVzcxc/edit?usp=sharing"",""สระบุรี!J660"")"),0)</f>
        <v>0</v>
      </c>
      <c r="AL70" s="177">
        <f ca="1">IFERROR(__xludf.DUMMYFUNCTION("IMPORTRANGE(""https://docs.google.com/spreadsheets/d/1xmPlrr1QbdSIKvl1dWUl9K4PjAfSL9oeMr_37QVzcxc/edit?usp=sharing"",""สระบุรี!I661"")"),0)</f>
        <v>0</v>
      </c>
      <c r="AM70" s="177">
        <f ca="1">IFERROR(__xludf.DUMMYFUNCTION("IMPORTRANGE(""https://docs.google.com/spreadsheets/d/1xmPlrr1QbdSIKvl1dWUl9K4PjAfSL9oeMr_37QVzcxc/edit?usp=sharing"",""สระบุรี!J661"")"),0)</f>
        <v>0</v>
      </c>
      <c r="AN70" s="354">
        <f t="shared" ca="1" si="56"/>
        <v>0</v>
      </c>
      <c r="AO70" s="177">
        <f ca="1">IFERROR(__xludf.DUMMYFUNCTION("IMPORTRANGE(""https://docs.google.com/spreadsheets/d/1xmPlrr1QbdSIKvl1dWUl9K4PjAfSL9oeMr_37QVzcxc/edit?usp=sharing"",""สระบุรี!J662"")"),0)</f>
        <v>0</v>
      </c>
      <c r="AP70" s="177">
        <f ca="1">IFERROR(__xludf.DUMMYFUNCTION("IMPORTRANGE(""https://docs.google.com/spreadsheets/d/1xmPlrr1QbdSIKvl1dWUl9K4PjAfSL9oeMr_37QVzcxc/edit?usp=sharing"",""สระบุรี!J663"")"),0)</f>
        <v>0</v>
      </c>
      <c r="AQ70" s="177">
        <f ca="1">IFERROR(__xludf.DUMMYFUNCTION("IMPORTRANGE(""https://docs.google.com/spreadsheets/d/1xmPlrr1QbdSIKvl1dWUl9K4PjAfSL9oeMr_37QVzcxc/edit?usp=sharing"",""สระบุรี!J665"")"),0)</f>
        <v>0</v>
      </c>
      <c r="AR70" s="177">
        <f ca="1">IFERROR(__xludf.DUMMYFUNCTION("IMPORTRANGE(""https://docs.google.com/spreadsheets/d/1xmPlrr1QbdSIKvl1dWUl9K4PjAfSL9oeMr_37QVzcxc/edit?usp=sharing"",""สระบุรี!J666"")"),0)</f>
        <v>0</v>
      </c>
      <c r="AS70" s="177">
        <f ca="1">IFERROR(__xludf.DUMMYFUNCTION("IMPORTRANGE(""https://docs.google.com/spreadsheets/d/1xmPlrr1QbdSIKvl1dWUl9K4PjAfSL9oeMr_37QVzcxc/edit?usp=sharing"",""สระบุรี!J667"")"),0)</f>
        <v>0</v>
      </c>
      <c r="AT70" s="177">
        <f ca="1">IFERROR(__xludf.DUMMYFUNCTION("IMPORTRANGE(""https://docs.google.com/spreadsheets/d/1xmPlrr1QbdSIKvl1dWUl9K4PjAfSL9oeMr_37QVzcxc/edit?usp=sharing"",""สระบุรี!J668"")"),0)</f>
        <v>0</v>
      </c>
      <c r="AU70" s="177">
        <f ca="1">IFERROR(__xludf.DUMMYFUNCTION("IMPORTRANGE(""https://docs.google.com/spreadsheets/d/1xmPlrr1QbdSIKvl1dWUl9K4PjAfSL9oeMr_37QVzcxc/edit?usp=sharing"",""สระบุรี!J669"")"),0)</f>
        <v>0</v>
      </c>
      <c r="AV70" s="177">
        <f ca="1">IFERROR(__xludf.DUMMYFUNCTION("IMPORTRANGE(""https://docs.google.com/spreadsheets/d/1xmPlrr1QbdSIKvl1dWUl9K4PjAfSL9oeMr_37QVzcxc/edit?usp=sharing"",""สระบุรี!J670"")"),0)</f>
        <v>0</v>
      </c>
      <c r="AW70" s="177">
        <v>0</v>
      </c>
      <c r="AX70" s="177">
        <f ca="1">IFERROR(__xludf.DUMMYFUNCTION("IMPORTRANGE(""https://docs.google.com/spreadsheets/d/1xmPlrr1QbdSIKvl1dWUl9K4PjAfSL9oeMr_37QVzcxc/edit?usp=sharing"",""สระบุรี!J671"")"),0)</f>
        <v>0</v>
      </c>
      <c r="AY70" s="177">
        <f ca="1">IFERROR(__xludf.DUMMYFUNCTION("IMPORTRANGE(""https://docs.google.com/spreadsheets/d/1xmPlrr1QbdSIKvl1dWUl9K4PjAfSL9oeMr_37QVzcxc/edit?usp=sharing"",""สระบุรี!J672"")"),0)</f>
        <v>0</v>
      </c>
      <c r="AZ70" s="177">
        <f ca="1">IFERROR(__xludf.DUMMYFUNCTION("IMPORTRANGE(""https://docs.google.com/spreadsheets/d/1xmPlrr1QbdSIKvl1dWUl9K4PjAfSL9oeMr_37QVzcxc/edit?usp=sharing"",""สระบุรี!J673"")"),0)</f>
        <v>0</v>
      </c>
      <c r="BA70" s="354">
        <f t="shared" si="58"/>
        <v>0</v>
      </c>
      <c r="BB70" s="177">
        <f ca="1">IFERROR(__xludf.DUMMYFUNCTION("IMPORTRANGE(""https://docs.google.com/spreadsheets/d/1xmPlrr1QbdSIKvl1dWUl9K4PjAfSL9oeMr_37QVzcxc/edit?usp=sharing"",""สระบุรี!I674"")"),5)</f>
        <v>5</v>
      </c>
      <c r="BC70" s="177">
        <f ca="1">IFERROR(__xludf.DUMMYFUNCTION("IMPORTRANGE(""https://docs.google.com/spreadsheets/d/1xmPlrr1QbdSIKvl1dWUl9K4PjAfSL9oeMr_37QVzcxc/edit?usp=sharing"",""สระบุรี!I675"")"),30)</f>
        <v>30</v>
      </c>
      <c r="BD70" s="177">
        <f ca="1">IFERROR(__xludf.DUMMYFUNCTION("IMPORTRANGE(""https://docs.google.com/spreadsheets/d/1xmPlrr1QbdSIKvl1dWUl9K4PjAfSL9oeMr_37QVzcxc/edit?usp=sharing"",""สระบุรี!J674"")"),0)</f>
        <v>0</v>
      </c>
      <c r="BE70" s="354">
        <f t="shared" ca="1" si="60"/>
        <v>0</v>
      </c>
      <c r="BF70" s="177">
        <f ca="1">IFERROR(__xludf.DUMMYFUNCTION("IMPORTRANGE(""https://docs.google.com/spreadsheets/d/1xmPlrr1QbdSIKvl1dWUl9K4PjAfSL9oeMr_37QVzcxc/edit?usp=sharing"",""สระบุรี!J675"")"),0)</f>
        <v>0</v>
      </c>
      <c r="BG70" s="354">
        <f t="shared" ca="1" si="61"/>
        <v>0</v>
      </c>
      <c r="BH70" s="177">
        <f ca="1">IFERROR(__xludf.DUMMYFUNCTION("IMPORTRANGE(""https://docs.google.com/spreadsheets/d/1xmPlrr1QbdSIKvl1dWUl9K4PjAfSL9oeMr_37QVzcxc/edit?usp=sharing"",""สระบุรี!I676"")"),5)</f>
        <v>5</v>
      </c>
      <c r="BI70" s="177">
        <f ca="1">IFERROR(__xludf.DUMMYFUNCTION("IMPORTRANGE(""https://docs.google.com/spreadsheets/d/1xmPlrr1QbdSIKvl1dWUl9K4PjAfSL9oeMr_37QVzcxc/edit?usp=sharing"",""สระบุรี!I678"")"),30)</f>
        <v>30</v>
      </c>
      <c r="BJ70" s="177">
        <f ca="1">IFERROR(__xludf.DUMMYFUNCTION("IMPORTRANGE(""https://docs.google.com/spreadsheets/d/1xmPlrr1QbdSIKvl1dWUl9K4PjAfSL9oeMr_37QVzcxc/edit?usp=sharing"",""สระบุรี!J676"")"),0)</f>
        <v>0</v>
      </c>
      <c r="BK70" s="177">
        <f ca="1">IFERROR(__xludf.DUMMYFUNCTION("IMPORTRANGE(""https://docs.google.com/spreadsheets/d/1xmPlrr1QbdSIKvl1dWUl9K4PjAfSL9oeMr_37QVzcxc/edit?usp=sharing"",""สระบุรี!J677"")"),0)</f>
        <v>0</v>
      </c>
      <c r="BL70" s="177">
        <f ca="1">IFERROR(__xludf.DUMMYFUNCTION("IMPORTRANGE(""https://docs.google.com/spreadsheets/d/1xmPlrr1QbdSIKvl1dWUl9K4PjAfSL9oeMr_37QVzcxc/edit?usp=sharing"",""สระบุรี!J678"")"),0)</f>
        <v>0</v>
      </c>
      <c r="BM70" s="177">
        <f ca="1">IFERROR(__xludf.DUMMYFUNCTION("IMPORTRANGE(""https://docs.google.com/spreadsheets/d/1xmPlrr1QbdSIKvl1dWUl9K4PjAfSL9oeMr_37QVzcxc/edit?usp=sharing"",""สระบุรี!I679"")"),0)</f>
        <v>0</v>
      </c>
      <c r="BN70" s="177">
        <f ca="1">IFERROR(__xludf.DUMMYFUNCTION("IMPORTRANGE(""https://docs.google.com/spreadsheets/d/1xmPlrr1QbdSIKvl1dWUl9K4PjAfSL9oeMr_37QVzcxc/edit?usp=sharing"",""สระบุรี!I681"")"),0)</f>
        <v>0</v>
      </c>
      <c r="BO70" s="177">
        <f ca="1">IFERROR(__xludf.DUMMYFUNCTION("IMPORTRANGE(""https://docs.google.com/spreadsheets/d/1xmPlrr1QbdSIKvl1dWUl9K4PjAfSL9oeMr_37QVzcxc/edit?usp=sharing"",""สระบุรี!J679"")"),0)</f>
        <v>0</v>
      </c>
      <c r="BP70" s="177">
        <f ca="1">IFERROR(__xludf.DUMMYFUNCTION("IMPORTRANGE(""https://docs.google.com/spreadsheets/d/1xmPlrr1QbdSIKvl1dWUl9K4PjAfSL9oeMr_37QVzcxc/edit?usp=sharing"",""สระบุรี!J680"")"),0)</f>
        <v>0</v>
      </c>
      <c r="BQ70" s="177">
        <f ca="1">IFERROR(__xludf.DUMMYFUNCTION("IMPORTRANGE(""https://docs.google.com/spreadsheets/d/1xmPlrr1QbdSIKvl1dWUl9K4PjAfSL9oeMr_37QVzcxc/edit?usp=sharing"",""สระบุรี!J681"")"),0)</f>
        <v>0</v>
      </c>
      <c r="BR70" s="177">
        <f ca="1">IFERROR(__xludf.DUMMYFUNCTION("IMPORTRANGE(""https://docs.google.com/spreadsheets/d/1xmPlrr1QbdSIKvl1dWUl9K4PjAfSL9oeMr_37QVzcxc/edit?usp=sharing"",""สระบุรี!I682"")"),0)</f>
        <v>0</v>
      </c>
      <c r="BS70" s="177">
        <f ca="1">IFERROR(__xludf.DUMMYFUNCTION("IMPORTRANGE(""https://docs.google.com/spreadsheets/d/1xmPlrr1QbdSIKvl1dWUl9K4PjAfSL9oeMr_37QVzcxc/edit?usp=sharing"",""สระบุรี!J682"")"),0)</f>
        <v>0</v>
      </c>
      <c r="BT70" s="354">
        <f t="shared" ca="1" si="63"/>
        <v>0</v>
      </c>
      <c r="BU70" s="177">
        <f ca="1">IFERROR(__xludf.DUMMYFUNCTION("IMPORTRANGE(""https://docs.google.com/spreadsheets/d/1xmPlrr1QbdSIKvl1dWUl9K4PjAfSL9oeMr_37QVzcxc/edit?usp=sharing"",""สระบุรี!J683"")"),0)</f>
        <v>0</v>
      </c>
      <c r="BV70" s="177">
        <f ca="1">IFERROR(__xludf.DUMMYFUNCTION("IMPORTRANGE(""https://docs.google.com/spreadsheets/d/1xmPlrr1QbdSIKvl1dWUl9K4PjAfSL9oeMr_37QVzcxc/edit?usp=sharing"",""สระบุรี!J684"")"),0)</f>
        <v>0</v>
      </c>
      <c r="BW70" s="177">
        <f ca="1">IFERROR(__xludf.DUMMYFUNCTION("IMPORTRANGE(""https://docs.google.com/spreadsheets/d/1xmPlrr1QbdSIKvl1dWUl9K4PjAfSL9oeMr_37QVzcxc/edit?usp=sharing"",""สระบุรี!J685"")"),0)</f>
        <v>0</v>
      </c>
      <c r="BX70" s="177">
        <f ca="1">IFERROR(__xludf.DUMMYFUNCTION("IMPORTRANGE(""https://docs.google.com/spreadsheets/d/1xmPlrr1QbdSIKvl1dWUl9K4PjAfSL9oeMr_37QVzcxc/edit?usp=sharing"",""สระบุรี!J686"")"),0)</f>
        <v>0</v>
      </c>
      <c r="BY70" s="177">
        <f ca="1">IFERROR(__xludf.DUMMYFUNCTION("IMPORTRANGE(""https://docs.google.com/spreadsheets/d/1xmPlrr1QbdSIKvl1dWUl9K4PjAfSL9oeMr_37QVzcxc/edit?usp=sharing"",""สระบุรี!J687"")"),0)</f>
        <v>0</v>
      </c>
      <c r="BZ70" s="177">
        <f ca="1">IFERROR(__xludf.DUMMYFUNCTION("IMPORTRANGE(""https://docs.google.com/spreadsheets/d/1xmPlrr1QbdSIKvl1dWUl9K4PjAfSL9oeMr_37QVzcxc/edit?usp=sharing"",""สระบุรี!J688"")"),0)</f>
        <v>0</v>
      </c>
    </row>
    <row r="71" spans="1:78" ht="21.75" customHeight="1" x14ac:dyDescent="0.3">
      <c r="A71" s="89">
        <v>19</v>
      </c>
      <c r="B71" s="90" t="s">
        <v>97</v>
      </c>
      <c r="C71" s="174">
        <f t="shared" si="38"/>
        <v>0</v>
      </c>
      <c r="D71" s="175">
        <f t="shared" si="87"/>
        <v>0</v>
      </c>
      <c r="E71" s="403">
        <v>0</v>
      </c>
      <c r="F71" s="403">
        <v>0</v>
      </c>
      <c r="G71" s="403">
        <v>0</v>
      </c>
      <c r="H71" s="403">
        <v>0</v>
      </c>
      <c r="I71" s="403">
        <v>0</v>
      </c>
      <c r="J71" s="176">
        <f t="shared" si="40"/>
        <v>0</v>
      </c>
      <c r="K71" s="179">
        <f t="shared" si="41"/>
        <v>0</v>
      </c>
      <c r="L71" s="403">
        <v>0</v>
      </c>
      <c r="M71" s="87">
        <f t="shared" si="42"/>
        <v>0</v>
      </c>
      <c r="N71" s="87">
        <f t="shared" si="43"/>
        <v>0</v>
      </c>
      <c r="O71" s="403">
        <v>0</v>
      </c>
      <c r="P71" s="86">
        <f t="shared" si="44"/>
        <v>0</v>
      </c>
      <c r="Q71" s="87">
        <f t="shared" si="45"/>
        <v>0</v>
      </c>
      <c r="R71" s="87">
        <f ca="1">IFERROR(__xludf.DUMMYFUNCTION("IMPORTRANGE(""https://docs.google.com/spreadsheets/d/1j51vR6CYVGhABJpv6tkstgok82RLpXieLzW1yOY5rHw/edit?usp=sharing"",""สิงห์บุรี!Q642"")"),7560)</f>
        <v>7560</v>
      </c>
      <c r="S71" s="87">
        <f ca="1">IFERROR(__xludf.DUMMYFUNCTION("IMPORTRANGE(""https://docs.google.com/spreadsheets/d/1j51vR6CYVGhABJpv6tkstgok82RLpXieLzW1yOY5rHw/edit?usp=sharing"",""สิงห์บุรี!R642"")"),0)</f>
        <v>0</v>
      </c>
      <c r="T71" s="87">
        <f ca="1">IFERROR(__xludf.DUMMYFUNCTION("IMPORTRANGE(""https://docs.google.com/spreadsheets/d/1j51vR6CYVGhABJpv6tkstgok82RLpXieLzW1yOY5rHw/edit?usp=sharing"",""สิงห์บุรี!S642"")"),0)</f>
        <v>0</v>
      </c>
      <c r="U71" s="87">
        <f t="shared" ca="1" si="47"/>
        <v>0</v>
      </c>
      <c r="V71" s="87">
        <f t="shared" ca="1" si="48"/>
        <v>0</v>
      </c>
      <c r="W71" s="353">
        <f ca="1">IFERROR(__xludf.DUMMYFUNCTION("IMPORTRANGE(""https://docs.google.com/spreadsheets/d/1j51vR6CYVGhABJpv6tkstgok82RLpXieLzW1yOY5rHw/edit?usp=sharing"",""สิงห์บุรี!I652"")"),0)</f>
        <v>0</v>
      </c>
      <c r="X71" s="177">
        <f ca="1">IFERROR(__xludf.DUMMYFUNCTION("IMPORTRANGE(""https://docs.google.com/spreadsheets/d/1j51vR6CYVGhABJpv6tkstgok82RLpXieLzW1yOY5rHw/edit?usp=sharing"",""สิงห์บุรี!J652"")"),0)</f>
        <v>0</v>
      </c>
      <c r="Y71" s="354">
        <f t="shared" ca="1" si="50"/>
        <v>0</v>
      </c>
      <c r="Z71" s="177">
        <f ca="1">IFERROR(__xludf.DUMMYFUNCTION("IMPORTRANGE(""https://docs.google.com/spreadsheets/d/1j51vR6CYVGhABJpv6tkstgok82RLpXieLzW1yOY5rHw/edit?usp=sharing"",""สิงห์บุรี!I653"")"),1)</f>
        <v>1</v>
      </c>
      <c r="AA71" s="177">
        <f ca="1">IFERROR(__xludf.DUMMYFUNCTION("IMPORTRANGE(""https://docs.google.com/spreadsheets/d/1j51vR6CYVGhABJpv6tkstgok82RLpXieLzW1yOY5rHw/edit?usp=sharing"",""สิงห์บุรี!J653"")"),0)</f>
        <v>0</v>
      </c>
      <c r="AB71" s="354">
        <f t="shared" ca="1" si="52"/>
        <v>0</v>
      </c>
      <c r="AC71" s="177">
        <f ca="1">IFERROR(__xludf.DUMMYFUNCTION("IMPORTRANGE(""https://docs.google.com/spreadsheets/d/1j51vR6CYVGhABJpv6tkstgok82RLpXieLzW1yOY5rHw/edit?usp=sharing"",""สิงห์บุรี!I654"")"),0)</f>
        <v>0</v>
      </c>
      <c r="AD71" s="177">
        <f ca="1">IFERROR(__xludf.DUMMYFUNCTION("IMPORTRANGE(""https://docs.google.com/spreadsheets/d/1j51vR6CYVGhABJpv6tkstgok82RLpXieLzW1yOY5rHw/edit?usp=sharing"",""สิงห์บุรี!J654"")"),0)</f>
        <v>0</v>
      </c>
      <c r="AE71" s="354">
        <f t="shared" ca="1" si="54"/>
        <v>0</v>
      </c>
      <c r="AF71" s="354">
        <f ca="1">IFERROR(__xludf.DUMMYFUNCTION("IMPORTRANGE(""https://docs.google.com/spreadsheets/d/1j51vR6CYVGhABJpv6tkstgok82RLpXieLzW1yOY5rHw/edit?usp=sharing"",""สิงห์บุรี!J655"")"),0)</f>
        <v>0</v>
      </c>
      <c r="AG71" s="354">
        <f ca="1">IFERROR(__xludf.DUMMYFUNCTION("IMPORTRANGE(""https://docs.google.com/spreadsheets/d/1j51vR6CYVGhABJpv6tkstgok82RLpXieLzW1yOY5rHw/edit?usp=sharing"",""สิงห์บุรี!J656"")"),0)</f>
        <v>0</v>
      </c>
      <c r="AH71" s="354">
        <f ca="1">IFERROR(__xludf.DUMMYFUNCTION("IMPORTRANGE(""https://docs.google.com/spreadsheets/d/1j51vR6CYVGhABJpv6tkstgok82RLpXieLzW1yOY5rHw/edit?usp=sharing"",""สิงห์บุรี!J657"")"),0)</f>
        <v>0</v>
      </c>
      <c r="AI71" s="354">
        <f ca="1">IFERROR(__xludf.DUMMYFUNCTION("IMPORTRANGE(""https://docs.google.com/spreadsheets/d/1j51vR6CYVGhABJpv6tkstgok82RLpXieLzW1yOY5rHw/edit?usp=sharing"",""สิงห์บุรี!J658"")"),0)</f>
        <v>0</v>
      </c>
      <c r="AJ71" s="354">
        <f ca="1">IFERROR(__xludf.DUMMYFUNCTION("IMPORTRANGE(""https://docs.google.com/spreadsheets/d/1j51vR6CYVGhABJpv6tkstgok82RLpXieLzW1yOY5rHw/edit?usp=sharing"",""สิงห์บุรี!J659"")"),0)</f>
        <v>0</v>
      </c>
      <c r="AK71" s="354">
        <f ca="1">IFERROR(__xludf.DUMMYFUNCTION("IMPORTRANGE(""https://docs.google.com/spreadsheets/d/1j51vR6CYVGhABJpv6tkstgok82RLpXieLzW1yOY5rHw/edit?usp=sharing"",""สิงห์บุรี!J660"")"),0)</f>
        <v>0</v>
      </c>
      <c r="AL71" s="177">
        <f ca="1">IFERROR(__xludf.DUMMYFUNCTION("IMPORTRANGE(""https://docs.google.com/spreadsheets/d/1j51vR6CYVGhABJpv6tkstgok82RLpXieLzW1yOY5rHw/edit?usp=sharing"",""สิงห์บุรี!I661"")"),0)</f>
        <v>0</v>
      </c>
      <c r="AM71" s="177">
        <f ca="1">IFERROR(__xludf.DUMMYFUNCTION("IMPORTRANGE(""https://docs.google.com/spreadsheets/d/1j51vR6CYVGhABJpv6tkstgok82RLpXieLzW1yOY5rHw/edit?usp=sharing"",""สิงห์บุรี!J661"")"),0)</f>
        <v>0</v>
      </c>
      <c r="AN71" s="354">
        <f t="shared" ca="1" si="56"/>
        <v>0</v>
      </c>
      <c r="AO71" s="177">
        <f ca="1">IFERROR(__xludf.DUMMYFUNCTION("IMPORTRANGE(""https://docs.google.com/spreadsheets/d/1j51vR6CYVGhABJpv6tkstgok82RLpXieLzW1yOY5rHw/edit?usp=sharing"",""สิงห์บุรี!J662"")"),0)</f>
        <v>0</v>
      </c>
      <c r="AP71" s="177">
        <f ca="1">IFERROR(__xludf.DUMMYFUNCTION("IMPORTRANGE(""https://docs.google.com/spreadsheets/d/1j51vR6CYVGhABJpv6tkstgok82RLpXieLzW1yOY5rHw/edit?usp=sharing"",""สิงห์บุรี!J663"")"),0)</f>
        <v>0</v>
      </c>
      <c r="AQ71" s="177">
        <f ca="1">IFERROR(__xludf.DUMMYFUNCTION("IMPORTRANGE(""https://docs.google.com/spreadsheets/d/1j51vR6CYVGhABJpv6tkstgok82RLpXieLzW1yOY5rHw/edit?usp=sharing"",""สิงห์บุรี!J665"")"),0)</f>
        <v>0</v>
      </c>
      <c r="AR71" s="177">
        <f ca="1">IFERROR(__xludf.DUMMYFUNCTION("IMPORTRANGE(""https://docs.google.com/spreadsheets/d/1j51vR6CYVGhABJpv6tkstgok82RLpXieLzW1yOY5rHw/edit?usp=sharing"",""สิงห์บุรี!J666"")"),0)</f>
        <v>0</v>
      </c>
      <c r="AS71" s="177">
        <f ca="1">IFERROR(__xludf.DUMMYFUNCTION("IMPORTRANGE(""https://docs.google.com/spreadsheets/d/1j51vR6CYVGhABJpv6tkstgok82RLpXieLzW1yOY5rHw/edit?usp=sharing"",""สิงห์บุรี!J667"")"),0)</f>
        <v>0</v>
      </c>
      <c r="AT71" s="177">
        <f ca="1">IFERROR(__xludf.DUMMYFUNCTION("IMPORTRANGE(""https://docs.google.com/spreadsheets/d/1j51vR6CYVGhABJpv6tkstgok82RLpXieLzW1yOY5rHw/edit?usp=sharing"",""สิงห์บุรี!J668"")"),0)</f>
        <v>0</v>
      </c>
      <c r="AU71" s="177">
        <f ca="1">IFERROR(__xludf.DUMMYFUNCTION("IMPORTRANGE(""https://docs.google.com/spreadsheets/d/1j51vR6CYVGhABJpv6tkstgok82RLpXieLzW1yOY5rHw/edit?usp=sharing"",""สิงห์บุรี!J669"")"),0)</f>
        <v>0</v>
      </c>
      <c r="AV71" s="177">
        <f ca="1">IFERROR(__xludf.DUMMYFUNCTION("IMPORTRANGE(""https://docs.google.com/spreadsheets/d/1j51vR6CYVGhABJpv6tkstgok82RLpXieLzW1yOY5rHw/edit?usp=sharing"",""สิงห์บุรี!J670"")"),0)</f>
        <v>0</v>
      </c>
      <c r="AW71" s="177">
        <v>0</v>
      </c>
      <c r="AX71" s="177">
        <f ca="1">IFERROR(__xludf.DUMMYFUNCTION("IMPORTRANGE(""https://docs.google.com/spreadsheets/d/1j51vR6CYVGhABJpv6tkstgok82RLpXieLzW1yOY5rHw/edit?usp=sharing"",""สิงห์บุรี!J671"")"),0)</f>
        <v>0</v>
      </c>
      <c r="AY71" s="177">
        <f ca="1">IFERROR(__xludf.DUMMYFUNCTION("IMPORTRANGE(""https://docs.google.com/spreadsheets/d/1j51vR6CYVGhABJpv6tkstgok82RLpXieLzW1yOY5rHw/edit?usp=sharing"",""สิงห์บุรี!J672"")"),0)</f>
        <v>0</v>
      </c>
      <c r="AZ71" s="177">
        <f ca="1">IFERROR(__xludf.DUMMYFUNCTION("IMPORTRANGE(""https://docs.google.com/spreadsheets/d/1j51vR6CYVGhABJpv6tkstgok82RLpXieLzW1yOY5rHw/edit?usp=sharing"",""สิงห์บุรี!J673"")"),0)</f>
        <v>0</v>
      </c>
      <c r="BA71" s="354">
        <f t="shared" si="58"/>
        <v>0</v>
      </c>
      <c r="BB71" s="177">
        <f ca="1">IFERROR(__xludf.DUMMYFUNCTION("IMPORTRANGE(""https://docs.google.com/spreadsheets/d/1j51vR6CYVGhABJpv6tkstgok82RLpXieLzW1yOY5rHw/edit?usp=sharing"",""สิงห์บุรี!I674"")"),5)</f>
        <v>5</v>
      </c>
      <c r="BC71" s="177">
        <f ca="1">IFERROR(__xludf.DUMMYFUNCTION("IMPORTRANGE(""https://docs.google.com/spreadsheets/d/1j51vR6CYVGhABJpv6tkstgok82RLpXieLzW1yOY5rHw/edit?usp=sharing"",""สิงห์บุรี!I675"")"),48)</f>
        <v>48</v>
      </c>
      <c r="BD71" s="177">
        <f ca="1">IFERROR(__xludf.DUMMYFUNCTION("IMPORTRANGE(""https://docs.google.com/spreadsheets/d/1j51vR6CYVGhABJpv6tkstgok82RLpXieLzW1yOY5rHw/edit?usp=sharing"",""สิงห์บุรี!J674"")"),0)</f>
        <v>0</v>
      </c>
      <c r="BE71" s="354">
        <f t="shared" ca="1" si="60"/>
        <v>0</v>
      </c>
      <c r="BF71" s="177">
        <f ca="1">IFERROR(__xludf.DUMMYFUNCTION("IMPORTRANGE(""https://docs.google.com/spreadsheets/d/1j51vR6CYVGhABJpv6tkstgok82RLpXieLzW1yOY5rHw/edit?usp=sharing"",""สิงห์บุรี!J675"")"),0)</f>
        <v>0</v>
      </c>
      <c r="BG71" s="354">
        <f t="shared" ca="1" si="61"/>
        <v>0</v>
      </c>
      <c r="BH71" s="177">
        <f ca="1">IFERROR(__xludf.DUMMYFUNCTION("IMPORTRANGE(""https://docs.google.com/spreadsheets/d/1j51vR6CYVGhABJpv6tkstgok82RLpXieLzW1yOY5rHw/edit?usp=sharing"",""สิงห์บุรี!I676"")"),3)</f>
        <v>3</v>
      </c>
      <c r="BI71" s="177">
        <f ca="1">IFERROR(__xludf.DUMMYFUNCTION("IMPORTRANGE(""https://docs.google.com/spreadsheets/d/1j51vR6CYVGhABJpv6tkstgok82RLpXieLzW1yOY5rHw/edit?usp=sharing"",""สิงห์บุรี!I678"")"),31)</f>
        <v>31</v>
      </c>
      <c r="BJ71" s="177">
        <f ca="1">IFERROR(__xludf.DUMMYFUNCTION("IMPORTRANGE(""https://docs.google.com/spreadsheets/d/1j51vR6CYVGhABJpv6tkstgok82RLpXieLzW1yOY5rHw/edit?usp=sharing"",""สิงห์บุรี!J676"")"),0)</f>
        <v>0</v>
      </c>
      <c r="BK71" s="177">
        <f ca="1">IFERROR(__xludf.DUMMYFUNCTION("IMPORTRANGE(""https://docs.google.com/spreadsheets/d/1j51vR6CYVGhABJpv6tkstgok82RLpXieLzW1yOY5rHw/edit?usp=sharing"",""สิงห์บุรี!J677"")"),0)</f>
        <v>0</v>
      </c>
      <c r="BL71" s="177">
        <f ca="1">IFERROR(__xludf.DUMMYFUNCTION("IMPORTRANGE(""https://docs.google.com/spreadsheets/d/1j51vR6CYVGhABJpv6tkstgok82RLpXieLzW1yOY5rHw/edit?usp=sharing"",""สิงห์บุรี!J678"")"),0)</f>
        <v>0</v>
      </c>
      <c r="BM71" s="177">
        <f ca="1">IFERROR(__xludf.DUMMYFUNCTION("IMPORTRANGE(""https://docs.google.com/spreadsheets/d/1j51vR6CYVGhABJpv6tkstgok82RLpXieLzW1yOY5rHw/edit?usp=sharing"",""สิงห์บุรี!I679"")"),2)</f>
        <v>2</v>
      </c>
      <c r="BN71" s="177">
        <f ca="1">IFERROR(__xludf.DUMMYFUNCTION("IMPORTRANGE(""https://docs.google.com/spreadsheets/d/1j51vR6CYVGhABJpv6tkstgok82RLpXieLzW1yOY5rHw/edit?usp=sharing"",""สิงห์บุรี!I681"")"),17)</f>
        <v>17</v>
      </c>
      <c r="BO71" s="177">
        <f ca="1">IFERROR(__xludf.DUMMYFUNCTION("IMPORTRANGE(""https://docs.google.com/spreadsheets/d/1j51vR6CYVGhABJpv6tkstgok82RLpXieLzW1yOY5rHw/edit?usp=sharing"",""สิงห์บุรี!J679"")"),0)</f>
        <v>0</v>
      </c>
      <c r="BP71" s="177">
        <f ca="1">IFERROR(__xludf.DUMMYFUNCTION("IMPORTRANGE(""https://docs.google.com/spreadsheets/d/1j51vR6CYVGhABJpv6tkstgok82RLpXieLzW1yOY5rHw/edit?usp=sharing"",""สิงห์บุรี!J680"")"),0)</f>
        <v>0</v>
      </c>
      <c r="BQ71" s="177">
        <f ca="1">IFERROR(__xludf.DUMMYFUNCTION("IMPORTRANGE(""https://docs.google.com/spreadsheets/d/1j51vR6CYVGhABJpv6tkstgok82RLpXieLzW1yOY5rHw/edit?usp=sharing"",""สิงห์บุรี!J681"")"),0)</f>
        <v>0</v>
      </c>
      <c r="BR71" s="177">
        <f ca="1">IFERROR(__xludf.DUMMYFUNCTION("IMPORTRANGE(""https://docs.google.com/spreadsheets/d/1j51vR6CYVGhABJpv6tkstgok82RLpXieLzW1yOY5rHw/edit?usp=sharing"",""สิงห์บุรี!I682"")"),0)</f>
        <v>0</v>
      </c>
      <c r="BS71" s="177">
        <f ca="1">IFERROR(__xludf.DUMMYFUNCTION("IMPORTRANGE(""https://docs.google.com/spreadsheets/d/1j51vR6CYVGhABJpv6tkstgok82RLpXieLzW1yOY5rHw/edit?usp=sharing"",""สิงห์บุรี!J682"")"),0)</f>
        <v>0</v>
      </c>
      <c r="BT71" s="354">
        <f t="shared" ca="1" si="63"/>
        <v>0</v>
      </c>
      <c r="BU71" s="177">
        <f ca="1">IFERROR(__xludf.DUMMYFUNCTION("IMPORTRANGE(""https://docs.google.com/spreadsheets/d/1j51vR6CYVGhABJpv6tkstgok82RLpXieLzW1yOY5rHw/edit?usp=sharing"",""สิงห์บุรี!J683"")"),0)</f>
        <v>0</v>
      </c>
      <c r="BV71" s="177">
        <f ca="1">IFERROR(__xludf.DUMMYFUNCTION("IMPORTRANGE(""https://docs.google.com/spreadsheets/d/1j51vR6CYVGhABJpv6tkstgok82RLpXieLzW1yOY5rHw/edit?usp=sharing"",""สิงห์บุรี!J684"")"),0)</f>
        <v>0</v>
      </c>
      <c r="BW71" s="177">
        <f ca="1">IFERROR(__xludf.DUMMYFUNCTION("IMPORTRANGE(""https://docs.google.com/spreadsheets/d/1j51vR6CYVGhABJpv6tkstgok82RLpXieLzW1yOY5rHw/edit?usp=sharing"",""สิงห์บุรี!J685"")"),0)</f>
        <v>0</v>
      </c>
      <c r="BX71" s="177">
        <f ca="1">IFERROR(__xludf.DUMMYFUNCTION("IMPORTRANGE(""https://docs.google.com/spreadsheets/d/1j51vR6CYVGhABJpv6tkstgok82RLpXieLzW1yOY5rHw/edit?usp=sharing"",""สิงห์บุรี!J686"")"),0)</f>
        <v>0</v>
      </c>
      <c r="BY71" s="177">
        <f ca="1">IFERROR(__xludf.DUMMYFUNCTION("IMPORTRANGE(""https://docs.google.com/spreadsheets/d/1j51vR6CYVGhABJpv6tkstgok82RLpXieLzW1yOY5rHw/edit?usp=sharing"",""สิงห์บุรี!J687"")"),0)</f>
        <v>0</v>
      </c>
      <c r="BZ71" s="177">
        <f ca="1">IFERROR(__xludf.DUMMYFUNCTION("IMPORTRANGE(""https://docs.google.com/spreadsheets/d/1j51vR6CYVGhABJpv6tkstgok82RLpXieLzW1yOY5rHw/edit?usp=sharing"",""สิงห์บุรี!J688"")"),0)</f>
        <v>0</v>
      </c>
    </row>
    <row r="72" spans="1:78" ht="21.75" customHeight="1" x14ac:dyDescent="0.3">
      <c r="A72" s="89">
        <v>20</v>
      </c>
      <c r="B72" s="90" t="s">
        <v>98</v>
      </c>
      <c r="C72" s="174">
        <f t="shared" si="38"/>
        <v>0</v>
      </c>
      <c r="D72" s="175">
        <f t="shared" si="87"/>
        <v>0</v>
      </c>
      <c r="E72" s="403">
        <v>0</v>
      </c>
      <c r="F72" s="403">
        <v>0</v>
      </c>
      <c r="G72" s="403">
        <v>0</v>
      </c>
      <c r="H72" s="403">
        <v>0</v>
      </c>
      <c r="I72" s="403">
        <v>0</v>
      </c>
      <c r="J72" s="176">
        <f t="shared" si="40"/>
        <v>0</v>
      </c>
      <c r="K72" s="179">
        <f t="shared" si="41"/>
        <v>0</v>
      </c>
      <c r="L72" s="403">
        <v>0</v>
      </c>
      <c r="M72" s="87">
        <f t="shared" si="42"/>
        <v>0</v>
      </c>
      <c r="N72" s="87">
        <f t="shared" si="43"/>
        <v>0</v>
      </c>
      <c r="O72" s="403">
        <v>0</v>
      </c>
      <c r="P72" s="86">
        <f t="shared" si="44"/>
        <v>0</v>
      </c>
      <c r="Q72" s="87">
        <f t="shared" si="45"/>
        <v>0</v>
      </c>
      <c r="R72" s="87">
        <f ca="1">IFERROR(__xludf.DUMMYFUNCTION("IMPORTRANGE(""https://docs.google.com/spreadsheets/d/1H1EalTWKUSzO4Z1-1CwzoDUaVffgrThEBe2sl74kKG0/edit?usp=sharing"",""สุพรรณบุรี!Q642"")"),14600)</f>
        <v>14600</v>
      </c>
      <c r="S72" s="87">
        <f ca="1">IFERROR(__xludf.DUMMYFUNCTION("IMPORTRANGE(""https://docs.google.com/spreadsheets/d/1H1EalTWKUSzO4Z1-1CwzoDUaVffgrThEBe2sl74kKG0/edit?usp=sharing"",""สุพรรณบุรี!R642"")"),0)</f>
        <v>0</v>
      </c>
      <c r="T72" s="87">
        <f ca="1">IFERROR(__xludf.DUMMYFUNCTION("IMPORTRANGE(""https://docs.google.com/spreadsheets/d/1H1EalTWKUSzO4Z1-1CwzoDUaVffgrThEBe2sl74kKG0/edit?usp=sharing"",""สุพรรณบุรี!S642"")"),0)</f>
        <v>0</v>
      </c>
      <c r="U72" s="87">
        <f t="shared" ca="1" si="47"/>
        <v>0</v>
      </c>
      <c r="V72" s="87">
        <f t="shared" ca="1" si="48"/>
        <v>0</v>
      </c>
      <c r="W72" s="353">
        <f ca="1">IFERROR(__xludf.DUMMYFUNCTION("IMPORTRANGE(""https://docs.google.com/spreadsheets/d/1H1EalTWKUSzO4Z1-1CwzoDUaVffgrThEBe2sl74kKG0/edit?usp=sharing"",""สุพรรณบุรี!I652"")"),0)</f>
        <v>0</v>
      </c>
      <c r="X72" s="177">
        <f ca="1">IFERROR(__xludf.DUMMYFUNCTION("IMPORTRANGE(""https://docs.google.com/spreadsheets/d/1H1EalTWKUSzO4Z1-1CwzoDUaVffgrThEBe2sl74kKG0/edit?usp=sharing"",""สุพรรณบุรี!J652"")"),0)</f>
        <v>0</v>
      </c>
      <c r="Y72" s="354">
        <f t="shared" ca="1" si="50"/>
        <v>0</v>
      </c>
      <c r="Z72" s="177">
        <f ca="1">IFERROR(__xludf.DUMMYFUNCTION("IMPORTRANGE(""https://docs.google.com/spreadsheets/d/1H1EalTWKUSzO4Z1-1CwzoDUaVffgrThEBe2sl74kKG0/edit?usp=sharing"",""สุพรรณบุรี!I653"")"),0)</f>
        <v>0</v>
      </c>
      <c r="AA72" s="177">
        <f ca="1">IFERROR(__xludf.DUMMYFUNCTION("IMPORTRANGE(""https://docs.google.com/spreadsheets/d/1H1EalTWKUSzO4Z1-1CwzoDUaVffgrThEBe2sl74kKG0/edit?usp=sharing"",""สุพรรณบุรี!J653"")"),0)</f>
        <v>0</v>
      </c>
      <c r="AB72" s="354">
        <f t="shared" ca="1" si="52"/>
        <v>0</v>
      </c>
      <c r="AC72" s="177">
        <f ca="1">IFERROR(__xludf.DUMMYFUNCTION("IMPORTRANGE(""https://docs.google.com/spreadsheets/d/1H1EalTWKUSzO4Z1-1CwzoDUaVffgrThEBe2sl74kKG0/edit?usp=sharing"",""สุพรรณบุรี!I654"")"),0)</f>
        <v>0</v>
      </c>
      <c r="AD72" s="177">
        <f ca="1">IFERROR(__xludf.DUMMYFUNCTION("IMPORTRANGE(""https://docs.google.com/spreadsheets/d/1H1EalTWKUSzO4Z1-1CwzoDUaVffgrThEBe2sl74kKG0/edit?usp=sharing"",""สุพรรณบุรี!J654"")"),0)</f>
        <v>0</v>
      </c>
      <c r="AE72" s="354">
        <f t="shared" ca="1" si="54"/>
        <v>0</v>
      </c>
      <c r="AF72" s="354">
        <f ca="1">IFERROR(__xludf.DUMMYFUNCTION("IMPORTRANGE(""https://docs.google.com/spreadsheets/d/1H1EalTWKUSzO4Z1-1CwzoDUaVffgrThEBe2sl74kKG0/edit?usp=sharing"",""สุพรรณบุรี!J655"")"),0)</f>
        <v>0</v>
      </c>
      <c r="AG72" s="354">
        <f ca="1">IFERROR(__xludf.DUMMYFUNCTION("IMPORTRANGE(""https://docs.google.com/spreadsheets/d/1H1EalTWKUSzO4Z1-1CwzoDUaVffgrThEBe2sl74kKG0/edit?usp=sharing"",""สุพรรณบุรี!J656"")"),0)</f>
        <v>0</v>
      </c>
      <c r="AH72" s="354">
        <f ca="1">IFERROR(__xludf.DUMMYFUNCTION("IMPORTRANGE(""https://docs.google.com/spreadsheets/d/1H1EalTWKUSzO4Z1-1CwzoDUaVffgrThEBe2sl74kKG0/edit?usp=sharing"",""สุพรรณบุรี!J657"")"),0)</f>
        <v>0</v>
      </c>
      <c r="AI72" s="354">
        <f ca="1">IFERROR(__xludf.DUMMYFUNCTION("IMPORTRANGE(""https://docs.google.com/spreadsheets/d/1H1EalTWKUSzO4Z1-1CwzoDUaVffgrThEBe2sl74kKG0/edit?usp=sharing"",""สุพรรณบุรี!J658"")"),0)</f>
        <v>0</v>
      </c>
      <c r="AJ72" s="354">
        <f ca="1">IFERROR(__xludf.DUMMYFUNCTION("IMPORTRANGE(""https://docs.google.com/spreadsheets/d/1H1EalTWKUSzO4Z1-1CwzoDUaVffgrThEBe2sl74kKG0/edit?usp=sharing"",""สุพรรณบุรี!J659"")"),0)</f>
        <v>0</v>
      </c>
      <c r="AK72" s="354">
        <f ca="1">IFERROR(__xludf.DUMMYFUNCTION("IMPORTRANGE(""https://docs.google.com/spreadsheets/d/1H1EalTWKUSzO4Z1-1CwzoDUaVffgrThEBe2sl74kKG0/edit?usp=sharing"",""สุพรรณบุรี!J660"")"),0)</f>
        <v>0</v>
      </c>
      <c r="AL72" s="177">
        <f ca="1">IFERROR(__xludf.DUMMYFUNCTION("IMPORTRANGE(""https://docs.google.com/spreadsheets/d/1H1EalTWKUSzO4Z1-1CwzoDUaVffgrThEBe2sl74kKG0/edit?usp=sharing"",""สุพรรณบุรี!I661"")"),80)</f>
        <v>80</v>
      </c>
      <c r="AM72" s="177">
        <f ca="1">IFERROR(__xludf.DUMMYFUNCTION("IMPORTRANGE(""https://docs.google.com/spreadsheets/d/1H1EalTWKUSzO4Z1-1CwzoDUaVffgrThEBe2sl74kKG0/edit?usp=sharing"",""สุพรรณบุรี!J661"")"),0)</f>
        <v>0</v>
      </c>
      <c r="AN72" s="354">
        <f t="shared" ca="1" si="56"/>
        <v>0</v>
      </c>
      <c r="AO72" s="177">
        <f ca="1">IFERROR(__xludf.DUMMYFUNCTION("IMPORTRANGE(""https://docs.google.com/spreadsheets/d/1H1EalTWKUSzO4Z1-1CwzoDUaVffgrThEBe2sl74kKG0/edit?usp=sharing"",""สุพรรณบุรี!J662"")"),0)</f>
        <v>0</v>
      </c>
      <c r="AP72" s="177">
        <f ca="1">IFERROR(__xludf.DUMMYFUNCTION("IMPORTRANGE(""https://docs.google.com/spreadsheets/d/1H1EalTWKUSzO4Z1-1CwzoDUaVffgrThEBe2sl74kKG0/edit?usp=sharing"",""สุพรรณบุรี!J663"")"),0)</f>
        <v>0</v>
      </c>
      <c r="AQ72" s="177">
        <f ca="1">IFERROR(__xludf.DUMMYFUNCTION("IMPORTRANGE(""https://docs.google.com/spreadsheets/d/1H1EalTWKUSzO4Z1-1CwzoDUaVffgrThEBe2sl74kKG0/edit?usp=sharing"",""สุพรรณบุรี!J665"")"),0)</f>
        <v>0</v>
      </c>
      <c r="AR72" s="177">
        <f ca="1">IFERROR(__xludf.DUMMYFUNCTION("IMPORTRANGE(""https://docs.google.com/spreadsheets/d/1H1EalTWKUSzO4Z1-1CwzoDUaVffgrThEBe2sl74kKG0/edit?usp=sharing"",""สุพรรณบุรี!J666"")"),0)</f>
        <v>0</v>
      </c>
      <c r="AS72" s="177">
        <f ca="1">IFERROR(__xludf.DUMMYFUNCTION("IMPORTRANGE(""https://docs.google.com/spreadsheets/d/1H1EalTWKUSzO4Z1-1CwzoDUaVffgrThEBe2sl74kKG0/edit?usp=sharing"",""สุพรรณบุรี!J667"")"),0)</f>
        <v>0</v>
      </c>
      <c r="AT72" s="453">
        <f ca="1">IFERROR(__xludf.DUMMYFUNCTION("IMPORTRANGE(""https://docs.google.com/spreadsheets/d/1H1EalTWKUSzO4Z1-1CwzoDUaVffgrThEBe2sl74kKG0/edit?usp=sharing"",""สุพรรณบุรี!J668"")"),0)</f>
        <v>0</v>
      </c>
      <c r="AU72" s="177">
        <f ca="1">IFERROR(__xludf.DUMMYFUNCTION("IMPORTRANGE(""https://docs.google.com/spreadsheets/d/1H1EalTWKUSzO4Z1-1CwzoDUaVffgrThEBe2sl74kKG0/edit?usp=sharing"",""สุพรรณบุรี!J669"")"),0)</f>
        <v>0</v>
      </c>
      <c r="AV72" s="177">
        <f ca="1">IFERROR(__xludf.DUMMYFUNCTION("IMPORTRANGE(""https://docs.google.com/spreadsheets/d/1H1EalTWKUSzO4Z1-1CwzoDUaVffgrThEBe2sl74kKG0/edit?usp=sharing"",""สุพรรณบุรี!J670"")"),0)</f>
        <v>0</v>
      </c>
      <c r="AW72" s="177">
        <v>0</v>
      </c>
      <c r="AX72" s="177">
        <f ca="1">IFERROR(__xludf.DUMMYFUNCTION("IMPORTRANGE(""https://docs.google.com/spreadsheets/d/1H1EalTWKUSzO4Z1-1CwzoDUaVffgrThEBe2sl74kKG0/edit?usp=sharing"",""สุพรรณบุรี!J671"")"),0)</f>
        <v>0</v>
      </c>
      <c r="AY72" s="177">
        <f ca="1">IFERROR(__xludf.DUMMYFUNCTION("IMPORTRANGE(""https://docs.google.com/spreadsheets/d/1H1EalTWKUSzO4Z1-1CwzoDUaVffgrThEBe2sl74kKG0/edit?usp=sharing"",""สุพรรณบุรี!J672"")"),0)</f>
        <v>0</v>
      </c>
      <c r="AZ72" s="177">
        <f ca="1">IFERROR(__xludf.DUMMYFUNCTION("IMPORTRANGE(""https://docs.google.com/spreadsheets/d/1H1EalTWKUSzO4Z1-1CwzoDUaVffgrThEBe2sl74kKG0/edit?usp=sharing"",""สุพรรณบุรี!J673"")"),0)</f>
        <v>0</v>
      </c>
      <c r="BA72" s="354">
        <f t="shared" si="58"/>
        <v>0</v>
      </c>
      <c r="BB72" s="177">
        <f ca="1">IFERROR(__xludf.DUMMYFUNCTION("IMPORTRANGE(""https://docs.google.com/spreadsheets/d/1H1EalTWKUSzO4Z1-1CwzoDUaVffgrThEBe2sl74kKG0/edit?usp=sharing"",""สุพรรณบุรี!I674"")"),10)</f>
        <v>10</v>
      </c>
      <c r="BC72" s="177">
        <f ca="1">IFERROR(__xludf.DUMMYFUNCTION("IMPORTRANGE(""https://docs.google.com/spreadsheets/d/1H1EalTWKUSzO4Z1-1CwzoDUaVffgrThEBe2sl74kKG0/edit?usp=sharing"",""สุพรรณบุรี!I675"")"),100)</f>
        <v>100</v>
      </c>
      <c r="BD72" s="177">
        <f ca="1">IFERROR(__xludf.DUMMYFUNCTION("IMPORTRANGE(""https://docs.google.com/spreadsheets/d/1H1EalTWKUSzO4Z1-1CwzoDUaVffgrThEBe2sl74kKG0/edit?usp=sharing"",""สุพรรณบุรี!J674"")"),0)</f>
        <v>0</v>
      </c>
      <c r="BE72" s="354">
        <f t="shared" ca="1" si="60"/>
        <v>0</v>
      </c>
      <c r="BF72" s="177">
        <f ca="1">IFERROR(__xludf.DUMMYFUNCTION("IMPORTRANGE(""https://docs.google.com/spreadsheets/d/1H1EalTWKUSzO4Z1-1CwzoDUaVffgrThEBe2sl74kKG0/edit?usp=sharing"",""สุพรรณบุรี!J675"")"),0)</f>
        <v>0</v>
      </c>
      <c r="BG72" s="354">
        <f t="shared" ca="1" si="61"/>
        <v>0</v>
      </c>
      <c r="BH72" s="177">
        <f ca="1">IFERROR(__xludf.DUMMYFUNCTION("IMPORTRANGE(""https://docs.google.com/spreadsheets/d/1H1EalTWKUSzO4Z1-1CwzoDUaVffgrThEBe2sl74kKG0/edit?usp=sharing"",""สุพรรณบุรี!I676"")"),10)</f>
        <v>10</v>
      </c>
      <c r="BI72" s="177">
        <f ca="1">IFERROR(__xludf.DUMMYFUNCTION("IMPORTRANGE(""https://docs.google.com/spreadsheets/d/1H1EalTWKUSzO4Z1-1CwzoDUaVffgrThEBe2sl74kKG0/edit?usp=sharing"",""สุพรรณบุรี!I678"")"),100)</f>
        <v>100</v>
      </c>
      <c r="BJ72" s="177">
        <f ca="1">IFERROR(__xludf.DUMMYFUNCTION("IMPORTRANGE(""https://docs.google.com/spreadsheets/d/1H1EalTWKUSzO4Z1-1CwzoDUaVffgrThEBe2sl74kKG0/edit?usp=sharing"",""สุพรรณบุรี!J676"")"),0)</f>
        <v>0</v>
      </c>
      <c r="BK72" s="177">
        <f ca="1">IFERROR(__xludf.DUMMYFUNCTION("IMPORTRANGE(""https://docs.google.com/spreadsheets/d/1H1EalTWKUSzO4Z1-1CwzoDUaVffgrThEBe2sl74kKG0/edit?usp=sharing"",""สุพรรณบุรี!J677"")"),0)</f>
        <v>0</v>
      </c>
      <c r="BL72" s="177">
        <f ca="1">IFERROR(__xludf.DUMMYFUNCTION("IMPORTRANGE(""https://docs.google.com/spreadsheets/d/1H1EalTWKUSzO4Z1-1CwzoDUaVffgrThEBe2sl74kKG0/edit?usp=sharing"",""สุพรรณบุรี!J678"")"),0)</f>
        <v>0</v>
      </c>
      <c r="BM72" s="177">
        <f ca="1">IFERROR(__xludf.DUMMYFUNCTION("IMPORTRANGE(""https://docs.google.com/spreadsheets/d/1H1EalTWKUSzO4Z1-1CwzoDUaVffgrThEBe2sl74kKG0/edit?usp=sharing"",""สุพรรณบุรี!I679"")"),0)</f>
        <v>0</v>
      </c>
      <c r="BN72" s="177">
        <f ca="1">IFERROR(__xludf.DUMMYFUNCTION("IMPORTRANGE(""https://docs.google.com/spreadsheets/d/1H1EalTWKUSzO4Z1-1CwzoDUaVffgrThEBe2sl74kKG0/edit?usp=sharing"",""สุพรรณบุรี!I681"")"),0)</f>
        <v>0</v>
      </c>
      <c r="BO72" s="177">
        <f ca="1">IFERROR(__xludf.DUMMYFUNCTION("IMPORTRANGE(""https://docs.google.com/spreadsheets/d/1H1EalTWKUSzO4Z1-1CwzoDUaVffgrThEBe2sl74kKG0/edit?usp=sharing"",""สุพรรณบุรี!J679"")"),0)</f>
        <v>0</v>
      </c>
      <c r="BP72" s="177">
        <f ca="1">IFERROR(__xludf.DUMMYFUNCTION("IMPORTRANGE(""https://docs.google.com/spreadsheets/d/1H1EalTWKUSzO4Z1-1CwzoDUaVffgrThEBe2sl74kKG0/edit?usp=sharing"",""สุพรรณบุรี!J680"")"),0)</f>
        <v>0</v>
      </c>
      <c r="BQ72" s="177">
        <f ca="1">IFERROR(__xludf.DUMMYFUNCTION("IMPORTRANGE(""https://docs.google.com/spreadsheets/d/1H1EalTWKUSzO4Z1-1CwzoDUaVffgrThEBe2sl74kKG0/edit?usp=sharing"",""สุพรรณบุรี!J681"")"),0)</f>
        <v>0</v>
      </c>
      <c r="BR72" s="177">
        <f ca="1">IFERROR(__xludf.DUMMYFUNCTION("IMPORTRANGE(""https://docs.google.com/spreadsheets/d/1H1EalTWKUSzO4Z1-1CwzoDUaVffgrThEBe2sl74kKG0/edit?usp=sharing"",""สุพรรณบุรี!I682"")"),20)</f>
        <v>20</v>
      </c>
      <c r="BS72" s="177">
        <f ca="1">IFERROR(__xludf.DUMMYFUNCTION("IMPORTRANGE(""https://docs.google.com/spreadsheets/d/1H1EalTWKUSzO4Z1-1CwzoDUaVffgrThEBe2sl74kKG0/edit?usp=sharing"",""สุพรรณบุรี!J682"")"),0)</f>
        <v>0</v>
      </c>
      <c r="BT72" s="354">
        <f t="shared" ca="1" si="63"/>
        <v>0</v>
      </c>
      <c r="BU72" s="177">
        <f ca="1">IFERROR(__xludf.DUMMYFUNCTION("IMPORTRANGE(""https://docs.google.com/spreadsheets/d/1H1EalTWKUSzO4Z1-1CwzoDUaVffgrThEBe2sl74kKG0/edit?usp=sharing"",""สุพรรณบุรี!J683"")"),0)</f>
        <v>0</v>
      </c>
      <c r="BV72" s="177">
        <f ca="1">IFERROR(__xludf.DUMMYFUNCTION("IMPORTRANGE(""https://docs.google.com/spreadsheets/d/1H1EalTWKUSzO4Z1-1CwzoDUaVffgrThEBe2sl74kKG0/edit?usp=sharing"",""สุพรรณบุรี!J684"")"),0)</f>
        <v>0</v>
      </c>
      <c r="BW72" s="177">
        <f ca="1">IFERROR(__xludf.DUMMYFUNCTION("IMPORTRANGE(""https://docs.google.com/spreadsheets/d/1H1EalTWKUSzO4Z1-1CwzoDUaVffgrThEBe2sl74kKG0/edit?usp=sharing"",""สุพรรณบุรี!J685"")"),0)</f>
        <v>0</v>
      </c>
      <c r="BX72" s="177">
        <f ca="1">IFERROR(__xludf.DUMMYFUNCTION("IMPORTRANGE(""https://docs.google.com/spreadsheets/d/1H1EalTWKUSzO4Z1-1CwzoDUaVffgrThEBe2sl74kKG0/edit?usp=sharing"",""สุพรรณบุรี!J686"")"),0)</f>
        <v>0</v>
      </c>
      <c r="BY72" s="177">
        <f ca="1">IFERROR(__xludf.DUMMYFUNCTION("IMPORTRANGE(""https://docs.google.com/spreadsheets/d/1H1EalTWKUSzO4Z1-1CwzoDUaVffgrThEBe2sl74kKG0/edit?usp=sharing"",""สุพรรณบุรี!J687"")"),0)</f>
        <v>0</v>
      </c>
      <c r="BZ72" s="177">
        <f ca="1">IFERROR(__xludf.DUMMYFUNCTION("IMPORTRANGE(""https://docs.google.com/spreadsheets/d/1H1EalTWKUSzO4Z1-1CwzoDUaVffgrThEBe2sl74kKG0/edit?usp=sharing"",""สุพรรณบุรี!J688"")"),0)</f>
        <v>0</v>
      </c>
    </row>
    <row r="73" spans="1:78" ht="21.75" customHeight="1" x14ac:dyDescent="0.3">
      <c r="A73" s="100">
        <v>21</v>
      </c>
      <c r="B73" s="101" t="s">
        <v>99</v>
      </c>
      <c r="C73" s="182">
        <f t="shared" si="38"/>
        <v>0</v>
      </c>
      <c r="D73" s="183">
        <f t="shared" si="87"/>
        <v>0</v>
      </c>
      <c r="E73" s="409">
        <v>0</v>
      </c>
      <c r="F73" s="409">
        <v>0</v>
      </c>
      <c r="G73" s="409">
        <v>0</v>
      </c>
      <c r="H73" s="409">
        <v>0</v>
      </c>
      <c r="I73" s="409">
        <v>0</v>
      </c>
      <c r="J73" s="184">
        <f t="shared" si="40"/>
        <v>0</v>
      </c>
      <c r="K73" s="185">
        <f t="shared" si="41"/>
        <v>0</v>
      </c>
      <c r="L73" s="409">
        <v>0</v>
      </c>
      <c r="M73" s="109">
        <f t="shared" si="42"/>
        <v>0</v>
      </c>
      <c r="N73" s="109">
        <f t="shared" si="43"/>
        <v>0</v>
      </c>
      <c r="O73" s="409">
        <v>0</v>
      </c>
      <c r="P73" s="108">
        <f t="shared" si="44"/>
        <v>0</v>
      </c>
      <c r="Q73" s="109">
        <f t="shared" si="45"/>
        <v>0</v>
      </c>
      <c r="R73" s="109">
        <f ca="1">IFERROR(__xludf.DUMMYFUNCTION("IMPORTRANGE(""https://docs.google.com/spreadsheets/d/1BmIruG_sIrJLYao_Pdr7zVArWsfoBt2692TMi6x_854/edit?usp=sharing"",""อ่างทอง!Q642"")"),15160)</f>
        <v>15160</v>
      </c>
      <c r="S73" s="109">
        <f ca="1">IFERROR(__xludf.DUMMYFUNCTION("IMPORTRANGE(""https://docs.google.com/spreadsheets/d/1BmIruG_sIrJLYao_Pdr7zVArWsfoBt2692TMi6x_854/edit?usp=sharing"",""อ่างทอง!R642"")"),0)</f>
        <v>0</v>
      </c>
      <c r="T73" s="109">
        <f ca="1">IFERROR(__xludf.DUMMYFUNCTION("IMPORTRANGE(""https://docs.google.com/spreadsheets/d/1BmIruG_sIrJLYao_Pdr7zVArWsfoBt2692TMi6x_854/edit?usp=sharing"",""อ่างทอง!S642"")"),0)</f>
        <v>0</v>
      </c>
      <c r="U73" s="109">
        <f t="shared" ca="1" si="47"/>
        <v>0</v>
      </c>
      <c r="V73" s="109">
        <f t="shared" ca="1" si="48"/>
        <v>0</v>
      </c>
      <c r="W73" s="356">
        <f ca="1">IFERROR(__xludf.DUMMYFUNCTION("IMPORTRANGE(""https://docs.google.com/spreadsheets/d/1BmIruG_sIrJLYao_Pdr7zVArWsfoBt2692TMi6x_854/edit?usp=sharing"",""อ่างทอง!I652"")"),0)</f>
        <v>0</v>
      </c>
      <c r="X73" s="186">
        <f ca="1">IFERROR(__xludf.DUMMYFUNCTION("IMPORTRANGE(""https://docs.google.com/spreadsheets/d/1BmIruG_sIrJLYao_Pdr7zVArWsfoBt2692TMi6x_854/edit?usp=sharing"",""อ่างทอง!J652"")"),0)</f>
        <v>0</v>
      </c>
      <c r="Y73" s="357">
        <f t="shared" ca="1" si="50"/>
        <v>0</v>
      </c>
      <c r="Z73" s="186">
        <f ca="1">IFERROR(__xludf.DUMMYFUNCTION("IMPORTRANGE(""https://docs.google.com/spreadsheets/d/1BmIruG_sIrJLYao_Pdr7zVArWsfoBt2692TMi6x_854/edit?usp=sharing"",""อ่างทอง!I653"")"),41)</f>
        <v>41</v>
      </c>
      <c r="AA73" s="186">
        <f ca="1">IFERROR(__xludf.DUMMYFUNCTION("IMPORTRANGE(""https://docs.google.com/spreadsheets/d/1BmIruG_sIrJLYao_Pdr7zVArWsfoBt2692TMi6x_854/edit?usp=sharing"",""อ่างทอง!J653"")"),0)</f>
        <v>0</v>
      </c>
      <c r="AB73" s="357">
        <f t="shared" ca="1" si="52"/>
        <v>0</v>
      </c>
      <c r="AC73" s="186">
        <f ca="1">IFERROR(__xludf.DUMMYFUNCTION("IMPORTRANGE(""https://docs.google.com/spreadsheets/d/1BmIruG_sIrJLYao_Pdr7zVArWsfoBt2692TMi6x_854/edit?usp=sharing"",""อ่างทอง!I654"")"),0)</f>
        <v>0</v>
      </c>
      <c r="AD73" s="186">
        <f ca="1">IFERROR(__xludf.DUMMYFUNCTION("IMPORTRANGE(""https://docs.google.com/spreadsheets/d/1BmIruG_sIrJLYao_Pdr7zVArWsfoBt2692TMi6x_854/edit?usp=sharing"",""อ่างทอง!J654"")"),0)</f>
        <v>0</v>
      </c>
      <c r="AE73" s="357">
        <f t="shared" ca="1" si="54"/>
        <v>0</v>
      </c>
      <c r="AF73" s="357">
        <f ca="1">IFERROR(__xludf.DUMMYFUNCTION("IMPORTRANGE(""https://docs.google.com/spreadsheets/d/1BmIruG_sIrJLYao_Pdr7zVArWsfoBt2692TMi6x_854/edit?usp=sharing"",""อ่างทอง!J655"")"),0)</f>
        <v>0</v>
      </c>
      <c r="AG73" s="357">
        <f ca="1">IFERROR(__xludf.DUMMYFUNCTION("IMPORTRANGE(""https://docs.google.com/spreadsheets/d/1BmIruG_sIrJLYao_Pdr7zVArWsfoBt2692TMi6x_854/edit?usp=sharing"",""อ่างทอง!J656"")"),0)</f>
        <v>0</v>
      </c>
      <c r="AH73" s="357">
        <f ca="1">IFERROR(__xludf.DUMMYFUNCTION("IMPORTRANGE(""https://docs.google.com/spreadsheets/d/1BmIruG_sIrJLYao_Pdr7zVArWsfoBt2692TMi6x_854/edit?usp=sharing"",""อ่างทอง!J657"")"),0)</f>
        <v>0</v>
      </c>
      <c r="AI73" s="357">
        <f ca="1">IFERROR(__xludf.DUMMYFUNCTION("IMPORTRANGE(""https://docs.google.com/spreadsheets/d/1BmIruG_sIrJLYao_Pdr7zVArWsfoBt2692TMi6x_854/edit?usp=sharing"",""อ่างทอง!J658"")"),0)</f>
        <v>0</v>
      </c>
      <c r="AJ73" s="357">
        <f ca="1">IFERROR(__xludf.DUMMYFUNCTION("IMPORTRANGE(""https://docs.google.com/spreadsheets/d/1BmIruG_sIrJLYao_Pdr7zVArWsfoBt2692TMi6x_854/edit?usp=sharing"",""อ่างทอง!J659"")"),0)</f>
        <v>0</v>
      </c>
      <c r="AK73" s="357">
        <f ca="1">IFERROR(__xludf.DUMMYFUNCTION("IMPORTRANGE(""https://docs.google.com/spreadsheets/d/1BmIruG_sIrJLYao_Pdr7zVArWsfoBt2692TMi6x_854/edit?usp=sharing"",""อ่างทอง!J660"")"),0)</f>
        <v>0</v>
      </c>
      <c r="AL73" s="186">
        <f ca="1">IFERROR(__xludf.DUMMYFUNCTION("IMPORTRANGE(""https://docs.google.com/spreadsheets/d/1BmIruG_sIrJLYao_Pdr7zVArWsfoBt2692TMi6x_854/edit?usp=sharing"",""อ่างทอง!I661"")"),228)</f>
        <v>228</v>
      </c>
      <c r="AM73" s="186">
        <f ca="1">IFERROR(__xludf.DUMMYFUNCTION("IMPORTRANGE(""https://docs.google.com/spreadsheets/d/1BmIruG_sIrJLYao_Pdr7zVArWsfoBt2692TMi6x_854/edit?usp=sharing"",""อ่างทอง!J661"")"),0)</f>
        <v>0</v>
      </c>
      <c r="AN73" s="357">
        <f t="shared" ca="1" si="56"/>
        <v>0</v>
      </c>
      <c r="AO73" s="186">
        <f ca="1">IFERROR(__xludf.DUMMYFUNCTION("IMPORTRANGE(""https://docs.google.com/spreadsheets/d/1BmIruG_sIrJLYao_Pdr7zVArWsfoBt2692TMi6x_854/edit?usp=sharing"",""อ่างทอง!J662"")"),0)</f>
        <v>0</v>
      </c>
      <c r="AP73" s="186">
        <f ca="1">IFERROR(__xludf.DUMMYFUNCTION("IMPORTRANGE(""https://docs.google.com/spreadsheets/d/1BmIruG_sIrJLYao_Pdr7zVArWsfoBt2692TMi6x_854/edit?usp=sharing"",""อ่างทอง!J663"")"),0)</f>
        <v>0</v>
      </c>
      <c r="AQ73" s="186">
        <f ca="1">IFERROR(__xludf.DUMMYFUNCTION("IMPORTRANGE(""https://docs.google.com/spreadsheets/d/1BmIruG_sIrJLYao_Pdr7zVArWsfoBt2692TMi6x_854/edit?usp=sharing"",""อ่างทอง!J665"")"),0)</f>
        <v>0</v>
      </c>
      <c r="AR73" s="186">
        <f ca="1">IFERROR(__xludf.DUMMYFUNCTION("IMPORTRANGE(""https://docs.google.com/spreadsheets/d/1BmIruG_sIrJLYao_Pdr7zVArWsfoBt2692TMi6x_854/edit?usp=sharing"",""อ่างทอง!J666"")"),0)</f>
        <v>0</v>
      </c>
      <c r="AS73" s="186">
        <f ca="1">IFERROR(__xludf.DUMMYFUNCTION("IMPORTRANGE(""https://docs.google.com/spreadsheets/d/1BmIruG_sIrJLYao_Pdr7zVArWsfoBt2692TMi6x_854/edit?usp=sharing"",""อ่างทอง!J667"")"),0)</f>
        <v>0</v>
      </c>
      <c r="AT73" s="186">
        <f ca="1">IFERROR(__xludf.DUMMYFUNCTION("IMPORTRANGE(""https://docs.google.com/spreadsheets/d/1BmIruG_sIrJLYao_Pdr7zVArWsfoBt2692TMi6x_854/edit?usp=sharing"",""อ่างทอง!J668"")"),0)</f>
        <v>0</v>
      </c>
      <c r="AU73" s="186">
        <f ca="1">IFERROR(__xludf.DUMMYFUNCTION("IMPORTRANGE(""https://docs.google.com/spreadsheets/d/1BmIruG_sIrJLYao_Pdr7zVArWsfoBt2692TMi6x_854/edit?usp=sharing"",""อ่างทอง!J669"")"),0)</f>
        <v>0</v>
      </c>
      <c r="AV73" s="186">
        <f ca="1">IFERROR(__xludf.DUMMYFUNCTION("IMPORTRANGE(""https://docs.google.com/spreadsheets/d/1BmIruG_sIrJLYao_Pdr7zVArWsfoBt2692TMi6x_854/edit?usp=sharing"",""อ่างทอง!J670"")"),0)</f>
        <v>0</v>
      </c>
      <c r="AW73" s="186">
        <v>0</v>
      </c>
      <c r="AX73" s="186">
        <f ca="1">IFERROR(__xludf.DUMMYFUNCTION("IMPORTRANGE(""https://docs.google.com/spreadsheets/d/1BmIruG_sIrJLYao_Pdr7zVArWsfoBt2692TMi6x_854/edit?usp=sharing"",""อ่างทอง!J671"")"),0)</f>
        <v>0</v>
      </c>
      <c r="AY73" s="186">
        <f ca="1">IFERROR(__xludf.DUMMYFUNCTION("IMPORTRANGE(""https://docs.google.com/spreadsheets/d/1BmIruG_sIrJLYao_Pdr7zVArWsfoBt2692TMi6x_854/edit?usp=sharing"",""อ่างทอง!J672"")"),0)</f>
        <v>0</v>
      </c>
      <c r="AZ73" s="186">
        <f ca="1">IFERROR(__xludf.DUMMYFUNCTION("IMPORTRANGE(""https://docs.google.com/spreadsheets/d/1BmIruG_sIrJLYao_Pdr7zVArWsfoBt2692TMi6x_854/edit?usp=sharing"",""อ่างทอง!J673"")"),0)</f>
        <v>0</v>
      </c>
      <c r="BA73" s="357">
        <f t="shared" si="58"/>
        <v>0</v>
      </c>
      <c r="BB73" s="186">
        <f ca="1">IFERROR(__xludf.DUMMYFUNCTION("IMPORTRANGE(""https://docs.google.com/spreadsheets/d/1BmIruG_sIrJLYao_Pdr7zVArWsfoBt2692TMi6x_854/edit?usp=sharing"",""อ่างทอง!I674"")"),1)</f>
        <v>1</v>
      </c>
      <c r="BC73" s="186">
        <f ca="1">IFERROR(__xludf.DUMMYFUNCTION("IMPORTRANGE(""https://docs.google.com/spreadsheets/d/1BmIruG_sIrJLYao_Pdr7zVArWsfoBt2692TMi6x_854/edit?usp=sharing"",""อ่างทอง!I675"")"),6)</f>
        <v>6</v>
      </c>
      <c r="BD73" s="186">
        <f ca="1">IFERROR(__xludf.DUMMYFUNCTION("IMPORTRANGE(""https://docs.google.com/spreadsheets/d/1BmIruG_sIrJLYao_Pdr7zVArWsfoBt2692TMi6x_854/edit?usp=sharing"",""อ่างทอง!J674"")"),0)</f>
        <v>0</v>
      </c>
      <c r="BE73" s="357">
        <f t="shared" ca="1" si="60"/>
        <v>0</v>
      </c>
      <c r="BF73" s="186">
        <f ca="1">IFERROR(__xludf.DUMMYFUNCTION("IMPORTRANGE(""https://docs.google.com/spreadsheets/d/1BmIruG_sIrJLYao_Pdr7zVArWsfoBt2692TMi6x_854/edit?usp=sharing"",""อ่างทอง!J675"")"),0)</f>
        <v>0</v>
      </c>
      <c r="BG73" s="357">
        <f t="shared" ca="1" si="61"/>
        <v>0</v>
      </c>
      <c r="BH73" s="186">
        <f ca="1">IFERROR(__xludf.DUMMYFUNCTION("IMPORTRANGE(""https://docs.google.com/spreadsheets/d/1BmIruG_sIrJLYao_Pdr7zVArWsfoBt2692TMi6x_854/edit?usp=sharing"",""อ่างทอง!I676"")"),1)</f>
        <v>1</v>
      </c>
      <c r="BI73" s="186">
        <f ca="1">IFERROR(__xludf.DUMMYFUNCTION("IMPORTRANGE(""https://docs.google.com/spreadsheets/d/1BmIruG_sIrJLYao_Pdr7zVArWsfoBt2692TMi6x_854/edit?usp=sharing"",""อ่างทอง!I678"")"),6)</f>
        <v>6</v>
      </c>
      <c r="BJ73" s="186">
        <f ca="1">IFERROR(__xludf.DUMMYFUNCTION("IMPORTRANGE(""https://docs.google.com/spreadsheets/d/1BmIruG_sIrJLYao_Pdr7zVArWsfoBt2692TMi6x_854/edit?usp=sharing"",""อ่างทอง!J676"")"),0)</f>
        <v>0</v>
      </c>
      <c r="BK73" s="186">
        <f ca="1">IFERROR(__xludf.DUMMYFUNCTION("IMPORTRANGE(""https://docs.google.com/spreadsheets/d/1BmIruG_sIrJLYao_Pdr7zVArWsfoBt2692TMi6x_854/edit?usp=sharing"",""อ่างทอง!J677"")"),0)</f>
        <v>0</v>
      </c>
      <c r="BL73" s="186">
        <f ca="1">IFERROR(__xludf.DUMMYFUNCTION("IMPORTRANGE(""https://docs.google.com/spreadsheets/d/1BmIruG_sIrJLYao_Pdr7zVArWsfoBt2692TMi6x_854/edit?usp=sharing"",""อ่างทอง!J678"")"),0)</f>
        <v>0</v>
      </c>
      <c r="BM73" s="186">
        <f ca="1">IFERROR(__xludf.DUMMYFUNCTION("IMPORTRANGE(""https://docs.google.com/spreadsheets/d/1BmIruG_sIrJLYao_Pdr7zVArWsfoBt2692TMi6x_854/edit?usp=sharing"",""อ่างทอง!I679"")"),0)</f>
        <v>0</v>
      </c>
      <c r="BN73" s="186">
        <f ca="1">IFERROR(__xludf.DUMMYFUNCTION("IMPORTRANGE(""https://docs.google.com/spreadsheets/d/1BmIruG_sIrJLYao_Pdr7zVArWsfoBt2692TMi6x_854/edit?usp=sharing"",""อ่างทอง!I681"")"),0)</f>
        <v>0</v>
      </c>
      <c r="BO73" s="186">
        <f ca="1">IFERROR(__xludf.DUMMYFUNCTION("IMPORTRANGE(""https://docs.google.com/spreadsheets/d/1BmIruG_sIrJLYao_Pdr7zVArWsfoBt2692TMi6x_854/edit?usp=sharing"",""อ่างทอง!J679"")"),0)</f>
        <v>0</v>
      </c>
      <c r="BP73" s="186">
        <f ca="1">IFERROR(__xludf.DUMMYFUNCTION("IMPORTRANGE(""https://docs.google.com/spreadsheets/d/1BmIruG_sIrJLYao_Pdr7zVArWsfoBt2692TMi6x_854/edit?usp=sharing"",""อ่างทอง!J680"")"),0)</f>
        <v>0</v>
      </c>
      <c r="BQ73" s="186">
        <f ca="1">IFERROR(__xludf.DUMMYFUNCTION("IMPORTRANGE(""https://docs.google.com/spreadsheets/d/1BmIruG_sIrJLYao_Pdr7zVArWsfoBt2692TMi6x_854/edit?usp=sharing"",""อ่างทอง!J681"")"),0)</f>
        <v>0</v>
      </c>
      <c r="BR73" s="186">
        <f ca="1">IFERROR(__xludf.DUMMYFUNCTION("IMPORTRANGE(""https://docs.google.com/spreadsheets/d/1BmIruG_sIrJLYao_Pdr7zVArWsfoBt2692TMi6x_854/edit?usp=sharing"",""อ่างทอง!I682"")"),0)</f>
        <v>0</v>
      </c>
      <c r="BS73" s="186">
        <f ca="1">IFERROR(__xludf.DUMMYFUNCTION("IMPORTRANGE(""https://docs.google.com/spreadsheets/d/1BmIruG_sIrJLYao_Pdr7zVArWsfoBt2692TMi6x_854/edit?usp=sharing"",""อ่างทอง!J682"")"),0)</f>
        <v>0</v>
      </c>
      <c r="BT73" s="357">
        <f t="shared" ca="1" si="63"/>
        <v>0</v>
      </c>
      <c r="BU73" s="186">
        <f ca="1">IFERROR(__xludf.DUMMYFUNCTION("IMPORTRANGE(""https://docs.google.com/spreadsheets/d/1BmIruG_sIrJLYao_Pdr7zVArWsfoBt2692TMi6x_854/edit?usp=sharing"",""อ่างทอง!J683"")"),0)</f>
        <v>0</v>
      </c>
      <c r="BV73" s="186">
        <f ca="1">IFERROR(__xludf.DUMMYFUNCTION("IMPORTRANGE(""https://docs.google.com/spreadsheets/d/1BmIruG_sIrJLYao_Pdr7zVArWsfoBt2692TMi6x_854/edit?usp=sharing"",""อ่างทอง!J684"")"),0)</f>
        <v>0</v>
      </c>
      <c r="BW73" s="186">
        <f ca="1">IFERROR(__xludf.DUMMYFUNCTION("IMPORTRANGE(""https://docs.google.com/spreadsheets/d/1BmIruG_sIrJLYao_Pdr7zVArWsfoBt2692TMi6x_854/edit?usp=sharing"",""อ่างทอง!J685"")"),0)</f>
        <v>0</v>
      </c>
      <c r="BX73" s="186">
        <f ca="1">IFERROR(__xludf.DUMMYFUNCTION("IMPORTRANGE(""https://docs.google.com/spreadsheets/d/1BmIruG_sIrJLYao_Pdr7zVArWsfoBt2692TMi6x_854/edit?usp=sharing"",""อ่างทอง!J686"")"),0)</f>
        <v>0</v>
      </c>
      <c r="BY73" s="186">
        <f ca="1">IFERROR(__xludf.DUMMYFUNCTION("IMPORTRANGE(""https://docs.google.com/spreadsheets/d/1BmIruG_sIrJLYao_Pdr7zVArWsfoBt2692TMi6x_854/edit?usp=sharing"",""อ่างทอง!J687"")"),0)</f>
        <v>0</v>
      </c>
      <c r="BZ73" s="186">
        <f ca="1">IFERROR(__xludf.DUMMYFUNCTION("IMPORTRANGE(""https://docs.google.com/spreadsheets/d/1BmIruG_sIrJLYao_Pdr7zVArWsfoBt2692TMi6x_854/edit?usp=sharing"",""อ่างทอง!J688"")"),0)</f>
        <v>0</v>
      </c>
    </row>
    <row r="74" spans="1:78" ht="21.75" customHeight="1" x14ac:dyDescent="0.3">
      <c r="A74" s="624" t="s">
        <v>100</v>
      </c>
      <c r="B74" s="604"/>
      <c r="C74" s="161">
        <f t="shared" si="38"/>
        <v>0</v>
      </c>
      <c r="D74" s="161">
        <f t="shared" ref="D74:I74" si="88">SUM(D75:D88)</f>
        <v>0</v>
      </c>
      <c r="E74" s="161">
        <f t="shared" si="88"/>
        <v>0</v>
      </c>
      <c r="F74" s="161">
        <f t="shared" si="88"/>
        <v>0</v>
      </c>
      <c r="G74" s="161">
        <f t="shared" si="88"/>
        <v>0</v>
      </c>
      <c r="H74" s="161">
        <f t="shared" si="88"/>
        <v>0</v>
      </c>
      <c r="I74" s="161">
        <f t="shared" si="88"/>
        <v>0</v>
      </c>
      <c r="J74" s="161">
        <f t="shared" si="40"/>
        <v>0</v>
      </c>
      <c r="K74" s="162">
        <f t="shared" si="41"/>
        <v>0</v>
      </c>
      <c r="L74" s="161">
        <f>SUM(L75:L88)</f>
        <v>0</v>
      </c>
      <c r="M74" s="40">
        <f t="shared" si="42"/>
        <v>0</v>
      </c>
      <c r="N74" s="40">
        <f t="shared" si="43"/>
        <v>0</v>
      </c>
      <c r="O74" s="39">
        <f>SUM(O75:O88)</f>
        <v>0</v>
      </c>
      <c r="P74" s="39">
        <f t="shared" si="44"/>
        <v>0</v>
      </c>
      <c r="Q74" s="40">
        <f t="shared" si="45"/>
        <v>0</v>
      </c>
      <c r="R74" s="40">
        <f t="shared" ref="R74:T74" ca="1" si="89">SUM(R75:R88)</f>
        <v>8200</v>
      </c>
      <c r="S74" s="40">
        <f t="shared" ca="1" si="89"/>
        <v>0</v>
      </c>
      <c r="T74" s="40">
        <f t="shared" ca="1" si="89"/>
        <v>0</v>
      </c>
      <c r="U74" s="40">
        <f t="shared" ca="1" si="47"/>
        <v>0</v>
      </c>
      <c r="V74" s="40">
        <f t="shared" ca="1" si="48"/>
        <v>0</v>
      </c>
      <c r="W74" s="347">
        <f t="shared" ref="W74:X74" ca="1" si="90">SUM(W75:W88)</f>
        <v>0</v>
      </c>
      <c r="X74" s="451">
        <f t="shared" ca="1" si="90"/>
        <v>0</v>
      </c>
      <c r="Y74" s="40">
        <f t="shared" ca="1" si="50"/>
        <v>0</v>
      </c>
      <c r="Z74" s="161">
        <f t="shared" ref="Z74:AA74" ca="1" si="91">SUM(Z75:Z88)</f>
        <v>60</v>
      </c>
      <c r="AA74" s="451">
        <f t="shared" ca="1" si="91"/>
        <v>0</v>
      </c>
      <c r="AB74" s="40">
        <f t="shared" ca="1" si="52"/>
        <v>0</v>
      </c>
      <c r="AC74" s="161">
        <f t="shared" ref="AC74:AD74" ca="1" si="92">SUM(AC75:AC88)</f>
        <v>0</v>
      </c>
      <c r="AD74" s="161">
        <f t="shared" ca="1" si="92"/>
        <v>0</v>
      </c>
      <c r="AE74" s="40">
        <f t="shared" ca="1" si="54"/>
        <v>0</v>
      </c>
      <c r="AF74" s="40">
        <f t="shared" ref="AF74:AM74" ca="1" si="93">SUM(AF75:AF88)</f>
        <v>0</v>
      </c>
      <c r="AG74" s="40">
        <f t="shared" ca="1" si="93"/>
        <v>0</v>
      </c>
      <c r="AH74" s="40">
        <f t="shared" ca="1" si="93"/>
        <v>0</v>
      </c>
      <c r="AI74" s="40">
        <f t="shared" ca="1" si="93"/>
        <v>0</v>
      </c>
      <c r="AJ74" s="40">
        <f t="shared" ca="1" si="93"/>
        <v>0</v>
      </c>
      <c r="AK74" s="40">
        <f t="shared" ca="1" si="93"/>
        <v>0</v>
      </c>
      <c r="AL74" s="161">
        <f t="shared" ca="1" si="93"/>
        <v>0</v>
      </c>
      <c r="AM74" s="161">
        <f t="shared" ca="1" si="93"/>
        <v>0</v>
      </c>
      <c r="AN74" s="40">
        <f t="shared" ca="1" si="56"/>
        <v>0</v>
      </c>
      <c r="AO74" s="161">
        <f t="shared" ref="AO74:AZ74" ca="1" si="94">SUM(AO75:AO88)</f>
        <v>0</v>
      </c>
      <c r="AP74" s="161">
        <f t="shared" ca="1" si="94"/>
        <v>0</v>
      </c>
      <c r="AQ74" s="161">
        <f t="shared" ca="1" si="94"/>
        <v>0</v>
      </c>
      <c r="AR74" s="161">
        <f t="shared" ca="1" si="94"/>
        <v>0</v>
      </c>
      <c r="AS74" s="161">
        <f t="shared" ca="1" si="94"/>
        <v>0</v>
      </c>
      <c r="AT74" s="161">
        <f t="shared" ca="1" si="94"/>
        <v>0</v>
      </c>
      <c r="AU74" s="161">
        <f t="shared" ca="1" si="94"/>
        <v>0</v>
      </c>
      <c r="AV74" s="161">
        <f t="shared" ca="1" si="94"/>
        <v>0</v>
      </c>
      <c r="AW74" s="161">
        <f t="shared" si="94"/>
        <v>0</v>
      </c>
      <c r="AX74" s="451">
        <f t="shared" ca="1" si="94"/>
        <v>0</v>
      </c>
      <c r="AY74" s="451">
        <f t="shared" ca="1" si="94"/>
        <v>0</v>
      </c>
      <c r="AZ74" s="451">
        <f t="shared" ca="1" si="94"/>
        <v>0</v>
      </c>
      <c r="BA74" s="40">
        <f t="shared" si="58"/>
        <v>0</v>
      </c>
      <c r="BB74" s="161">
        <f t="shared" ref="BB74:BD74" ca="1" si="95">SUM(BB75:BB88)</f>
        <v>0</v>
      </c>
      <c r="BC74" s="161">
        <f t="shared" ca="1" si="95"/>
        <v>0</v>
      </c>
      <c r="BD74" s="451">
        <f t="shared" ca="1" si="95"/>
        <v>0</v>
      </c>
      <c r="BE74" s="40">
        <f t="shared" ca="1" si="60"/>
        <v>0</v>
      </c>
      <c r="BF74" s="451">
        <f ca="1">SUM(BF75:BF88)</f>
        <v>0</v>
      </c>
      <c r="BG74" s="40">
        <f t="shared" ca="1" si="61"/>
        <v>0</v>
      </c>
      <c r="BH74" s="161">
        <f t="shared" ref="BH74:BS74" ca="1" si="96">SUM(BH75:BH88)</f>
        <v>0</v>
      </c>
      <c r="BI74" s="161">
        <f t="shared" ca="1" si="96"/>
        <v>0</v>
      </c>
      <c r="BJ74" s="451">
        <f t="shared" ca="1" si="96"/>
        <v>0</v>
      </c>
      <c r="BK74" s="451">
        <f t="shared" ca="1" si="96"/>
        <v>0</v>
      </c>
      <c r="BL74" s="451">
        <f t="shared" ca="1" si="96"/>
        <v>0</v>
      </c>
      <c r="BM74" s="161">
        <f t="shared" ca="1" si="96"/>
        <v>0</v>
      </c>
      <c r="BN74" s="161">
        <f t="shared" ca="1" si="96"/>
        <v>0</v>
      </c>
      <c r="BO74" s="451">
        <f t="shared" ca="1" si="96"/>
        <v>0</v>
      </c>
      <c r="BP74" s="451">
        <f t="shared" ca="1" si="96"/>
        <v>0</v>
      </c>
      <c r="BQ74" s="451">
        <f t="shared" ca="1" si="96"/>
        <v>0</v>
      </c>
      <c r="BR74" s="161">
        <f t="shared" ca="1" si="96"/>
        <v>0</v>
      </c>
      <c r="BS74" s="161">
        <f t="shared" ca="1" si="96"/>
        <v>0</v>
      </c>
      <c r="BT74" s="40">
        <f t="shared" ca="1" si="63"/>
        <v>0</v>
      </c>
      <c r="BU74" s="161">
        <f t="shared" ref="BU74:BZ74" ca="1" si="97">SUM(BU75:BU88)</f>
        <v>0</v>
      </c>
      <c r="BV74" s="161">
        <f t="shared" ca="1" si="97"/>
        <v>0</v>
      </c>
      <c r="BW74" s="161">
        <f t="shared" ca="1" si="97"/>
        <v>0</v>
      </c>
      <c r="BX74" s="161">
        <f t="shared" ca="1" si="97"/>
        <v>0</v>
      </c>
      <c r="BY74" s="161">
        <f t="shared" ca="1" si="97"/>
        <v>0</v>
      </c>
      <c r="BZ74" s="161">
        <f t="shared" ca="1" si="97"/>
        <v>0</v>
      </c>
    </row>
    <row r="75" spans="1:78" ht="21.75" customHeight="1" x14ac:dyDescent="0.3">
      <c r="A75" s="77">
        <v>1</v>
      </c>
      <c r="B75" s="78" t="s">
        <v>101</v>
      </c>
      <c r="C75" s="174">
        <f t="shared" si="38"/>
        <v>0</v>
      </c>
      <c r="D75" s="175">
        <f t="shared" ref="D75:D88" si="98">+E75+F75</f>
        <v>0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176">
        <f t="shared" si="40"/>
        <v>0</v>
      </c>
      <c r="K75" s="179">
        <f t="shared" si="41"/>
        <v>0</v>
      </c>
      <c r="L75" s="403">
        <v>0</v>
      </c>
      <c r="M75" s="87">
        <f t="shared" si="42"/>
        <v>0</v>
      </c>
      <c r="N75" s="87">
        <f t="shared" si="43"/>
        <v>0</v>
      </c>
      <c r="O75" s="403">
        <v>0</v>
      </c>
      <c r="P75" s="86">
        <f t="shared" si="44"/>
        <v>0</v>
      </c>
      <c r="Q75" s="87">
        <f t="shared" si="45"/>
        <v>0</v>
      </c>
      <c r="R75" s="87">
        <f ca="1">IFERROR(__xludf.DUMMYFUNCTION("IMPORTRANGE(""https://docs.google.com/spreadsheets/d/1kKUcYdkIfrgTSj8iHHHB2MD2FAtwyyocFgqGQn6ADyI/edit?usp=sharing"",""กระบี่!Q642"")"),0)</f>
        <v>0</v>
      </c>
      <c r="S75" s="87">
        <f ca="1">IFERROR(__xludf.DUMMYFUNCTION("IMPORTRANGE(""https://docs.google.com/spreadsheets/d/1kKUcYdkIfrgTSj8iHHHB2MD2FAtwyyocFgqGQn6ADyI/edit?usp=sharing"",""กระบี่!R642"")"),0)</f>
        <v>0</v>
      </c>
      <c r="T75" s="87">
        <f ca="1">IFERROR(__xludf.DUMMYFUNCTION("IMPORTRANGE(""https://docs.google.com/spreadsheets/d/1kKUcYdkIfrgTSj8iHHHB2MD2FAtwyyocFgqGQn6ADyI/edit?usp=sharing"",""กระบี่!S642"")"),0)</f>
        <v>0</v>
      </c>
      <c r="U75" s="87">
        <f t="shared" ca="1" si="47"/>
        <v>0</v>
      </c>
      <c r="V75" s="87">
        <f t="shared" ca="1" si="48"/>
        <v>0</v>
      </c>
      <c r="W75" s="353">
        <f ca="1">IFERROR(__xludf.DUMMYFUNCTION("IMPORTRANGE(""https://docs.google.com/spreadsheets/d/1kKUcYdkIfrgTSj8iHHHB2MD2FAtwyyocFgqGQn6ADyI/edit?usp=sharing"",""กระบี่!I652"")"),0)</f>
        <v>0</v>
      </c>
      <c r="X75" s="177">
        <f ca="1">IFERROR(__xludf.DUMMYFUNCTION("IMPORTRANGE(""https://docs.google.com/spreadsheets/d/1kKUcYdkIfrgTSj8iHHHB2MD2FAtwyyocFgqGQn6ADyI/edit?usp=sharing"",""กระบี่!J652"")"),0)</f>
        <v>0</v>
      </c>
      <c r="Y75" s="354">
        <f t="shared" ca="1" si="50"/>
        <v>0</v>
      </c>
      <c r="Z75" s="177">
        <f ca="1">IFERROR(__xludf.DUMMYFUNCTION("IMPORTRANGE(""https://docs.google.com/spreadsheets/d/1kKUcYdkIfrgTSj8iHHHB2MD2FAtwyyocFgqGQn6ADyI/edit?usp=sharing"",""กระบี่!I653"")"),0)</f>
        <v>0</v>
      </c>
      <c r="AA75" s="177">
        <f ca="1">IFERROR(__xludf.DUMMYFUNCTION("IMPORTRANGE(""https://docs.google.com/spreadsheets/d/1kKUcYdkIfrgTSj8iHHHB2MD2FAtwyyocFgqGQn6ADyI/edit?usp=sharing"",""กระบี่!J653"")"),0)</f>
        <v>0</v>
      </c>
      <c r="AB75" s="354">
        <f t="shared" ca="1" si="52"/>
        <v>0</v>
      </c>
      <c r="AC75" s="177">
        <f ca="1">IFERROR(__xludf.DUMMYFUNCTION("IMPORTRANGE(""https://docs.google.com/spreadsheets/d/1kKUcYdkIfrgTSj8iHHHB2MD2FAtwyyocFgqGQn6ADyI/edit?usp=sharing"",""กระบี่!I654"")"),0)</f>
        <v>0</v>
      </c>
      <c r="AD75" s="177">
        <f ca="1">IFERROR(__xludf.DUMMYFUNCTION("IMPORTRANGE(""https://docs.google.com/spreadsheets/d/1kKUcYdkIfrgTSj8iHHHB2MD2FAtwyyocFgqGQn6ADyI/edit?usp=sharing"",""กระบี่!J654"")"),0)</f>
        <v>0</v>
      </c>
      <c r="AE75" s="354">
        <f t="shared" ca="1" si="54"/>
        <v>0</v>
      </c>
      <c r="AF75" s="354">
        <f ca="1">IFERROR(__xludf.DUMMYFUNCTION("IMPORTRANGE(""https://docs.google.com/spreadsheets/d/1kKUcYdkIfrgTSj8iHHHB2MD2FAtwyyocFgqGQn6ADyI/edit?usp=sharing"",""กระบี่!J655"")"),0)</f>
        <v>0</v>
      </c>
      <c r="AG75" s="354">
        <f ca="1">IFERROR(__xludf.DUMMYFUNCTION("IMPORTRANGE(""https://docs.google.com/spreadsheets/d/1kKUcYdkIfrgTSj8iHHHB2MD2FAtwyyocFgqGQn6ADyI/edit?usp=sharing"",""กระบี่!J656"")"),0)</f>
        <v>0</v>
      </c>
      <c r="AH75" s="354">
        <f ca="1">IFERROR(__xludf.DUMMYFUNCTION("IMPORTRANGE(""https://docs.google.com/spreadsheets/d/1kKUcYdkIfrgTSj8iHHHB2MD2FAtwyyocFgqGQn6ADyI/edit?usp=sharing"",""กระบี่!J657"")"),0)</f>
        <v>0</v>
      </c>
      <c r="AI75" s="354">
        <f ca="1">IFERROR(__xludf.DUMMYFUNCTION("IMPORTRANGE(""https://docs.google.com/spreadsheets/d/1kKUcYdkIfrgTSj8iHHHB2MD2FAtwyyocFgqGQn6ADyI/edit?usp=sharing"",""กระบี่!J658"")"),0)</f>
        <v>0</v>
      </c>
      <c r="AJ75" s="354">
        <f ca="1">IFERROR(__xludf.DUMMYFUNCTION("IMPORTRANGE(""https://docs.google.com/spreadsheets/d/1kKUcYdkIfrgTSj8iHHHB2MD2FAtwyyocFgqGQn6ADyI/edit?usp=sharing"",""กระบี่!J659"")"),0)</f>
        <v>0</v>
      </c>
      <c r="AK75" s="354">
        <f ca="1">IFERROR(__xludf.DUMMYFUNCTION("IMPORTRANGE(""https://docs.google.com/spreadsheets/d/1kKUcYdkIfrgTSj8iHHHB2MD2FAtwyyocFgqGQn6ADyI/edit?usp=sharing"",""กระบี่!J660"")"),0)</f>
        <v>0</v>
      </c>
      <c r="AL75" s="177">
        <f ca="1">IFERROR(__xludf.DUMMYFUNCTION("IMPORTRANGE(""https://docs.google.com/spreadsheets/d/1kKUcYdkIfrgTSj8iHHHB2MD2FAtwyyocFgqGQn6ADyI/edit?usp=sharing"",""กระบี่!I661"")"),0)</f>
        <v>0</v>
      </c>
      <c r="AM75" s="177">
        <f ca="1">IFERROR(__xludf.DUMMYFUNCTION("IMPORTRANGE(""https://docs.google.com/spreadsheets/d/1kKUcYdkIfrgTSj8iHHHB2MD2FAtwyyocFgqGQn6ADyI/edit?usp=sharing"",""กระบี่!J661"")"),0)</f>
        <v>0</v>
      </c>
      <c r="AN75" s="354">
        <f t="shared" ca="1" si="56"/>
        <v>0</v>
      </c>
      <c r="AO75" s="177">
        <f ca="1">IFERROR(__xludf.DUMMYFUNCTION("IMPORTRANGE(""https://docs.google.com/spreadsheets/d/1kKUcYdkIfrgTSj8iHHHB2MD2FAtwyyocFgqGQn6ADyI/edit?usp=sharing"",""กระบี่!J662"")"),0)</f>
        <v>0</v>
      </c>
      <c r="AP75" s="177">
        <f ca="1">IFERROR(__xludf.DUMMYFUNCTION("IMPORTRANGE(""https://docs.google.com/spreadsheets/d/1kKUcYdkIfrgTSj8iHHHB2MD2FAtwyyocFgqGQn6ADyI/edit?usp=sharing"",""กระบี่!J663"")"),0)</f>
        <v>0</v>
      </c>
      <c r="AQ75" s="177">
        <f ca="1">IFERROR(__xludf.DUMMYFUNCTION("IMPORTRANGE(""https://docs.google.com/spreadsheets/d/1kKUcYdkIfrgTSj8iHHHB2MD2FAtwyyocFgqGQn6ADyI/edit?usp=sharing"",""กระบี่!J665"")"),0)</f>
        <v>0</v>
      </c>
      <c r="AR75" s="177">
        <f ca="1">IFERROR(__xludf.DUMMYFUNCTION("IMPORTRANGE(""https://docs.google.com/spreadsheets/d/1kKUcYdkIfrgTSj8iHHHB2MD2FAtwyyocFgqGQn6ADyI/edit?usp=sharing"",""กระบี่!J666"")"),0)</f>
        <v>0</v>
      </c>
      <c r="AS75" s="177">
        <f ca="1">IFERROR(__xludf.DUMMYFUNCTION("IMPORTRANGE(""https://docs.google.com/spreadsheets/d/1kKUcYdkIfrgTSj8iHHHB2MD2FAtwyyocFgqGQn6ADyI/edit?usp=sharing"",""กระบี่!J667"")"),0)</f>
        <v>0</v>
      </c>
      <c r="AT75" s="177">
        <f ca="1">IFERROR(__xludf.DUMMYFUNCTION("IMPORTRANGE(""https://docs.google.com/spreadsheets/d/1kKUcYdkIfrgTSj8iHHHB2MD2FAtwyyocFgqGQn6ADyI/edit?usp=sharing"",""กระบี่!J668"")"),0)</f>
        <v>0</v>
      </c>
      <c r="AU75" s="177">
        <f ca="1">IFERROR(__xludf.DUMMYFUNCTION("IMPORTRANGE(""https://docs.google.com/spreadsheets/d/1kKUcYdkIfrgTSj8iHHHB2MD2FAtwyyocFgqGQn6ADyI/edit?usp=sharing"",""กระบี่!J669"")"),0)</f>
        <v>0</v>
      </c>
      <c r="AV75" s="177">
        <f ca="1">IFERROR(__xludf.DUMMYFUNCTION("IMPORTRANGE(""https://docs.google.com/spreadsheets/d/1kKUcYdkIfrgTSj8iHHHB2MD2FAtwyyocFgqGQn6ADyI/edit?usp=sharing"",""กระบี่!J670"")"),0)</f>
        <v>0</v>
      </c>
      <c r="AW75" s="177">
        <v>0</v>
      </c>
      <c r="AX75" s="177">
        <f ca="1">IFERROR(__xludf.DUMMYFUNCTION("IMPORTRANGE(""https://docs.google.com/spreadsheets/d/1kKUcYdkIfrgTSj8iHHHB2MD2FAtwyyocFgqGQn6ADyI/edit?usp=sharing"",""กระบี่!J671"")"),0)</f>
        <v>0</v>
      </c>
      <c r="AY75" s="177">
        <f ca="1">IFERROR(__xludf.DUMMYFUNCTION("IMPORTRANGE(""https://docs.google.com/spreadsheets/d/1kKUcYdkIfrgTSj8iHHHB2MD2FAtwyyocFgqGQn6ADyI/edit?usp=sharing"",""กระบี่!J672"")"),0)</f>
        <v>0</v>
      </c>
      <c r="AZ75" s="177">
        <f ca="1">IFERROR(__xludf.DUMMYFUNCTION("IMPORTRANGE(""https://docs.google.com/spreadsheets/d/1kKUcYdkIfrgTSj8iHHHB2MD2FAtwyyocFgqGQn6ADyI/edit?usp=sharing"",""กระบี่!J673"")"),0)</f>
        <v>0</v>
      </c>
      <c r="BA75" s="354">
        <f t="shared" si="58"/>
        <v>0</v>
      </c>
      <c r="BB75" s="177">
        <f ca="1">IFERROR(__xludf.DUMMYFUNCTION("IMPORTRANGE(""https://docs.google.com/spreadsheets/d/1kKUcYdkIfrgTSj8iHHHB2MD2FAtwyyocFgqGQn6ADyI/edit?usp=sharing"",""กระบี่!I674"")"),0)</f>
        <v>0</v>
      </c>
      <c r="BC75" s="177">
        <f ca="1">IFERROR(__xludf.DUMMYFUNCTION("IMPORTRANGE(""https://docs.google.com/spreadsheets/d/1kKUcYdkIfrgTSj8iHHHB2MD2FAtwyyocFgqGQn6ADyI/edit?usp=sharing"",""กระบี่!I675"")"),0)</f>
        <v>0</v>
      </c>
      <c r="BD75" s="177">
        <f ca="1">IFERROR(__xludf.DUMMYFUNCTION("IMPORTRANGE(""https://docs.google.com/spreadsheets/d/1kKUcYdkIfrgTSj8iHHHB2MD2FAtwyyocFgqGQn6ADyI/edit?usp=sharing"",""กระบี่!J674"")"),0)</f>
        <v>0</v>
      </c>
      <c r="BE75" s="354">
        <f t="shared" ca="1" si="60"/>
        <v>0</v>
      </c>
      <c r="BF75" s="177">
        <f ca="1">IFERROR(__xludf.DUMMYFUNCTION("IMPORTRANGE(""https://docs.google.com/spreadsheets/d/1kKUcYdkIfrgTSj8iHHHB2MD2FAtwyyocFgqGQn6ADyI/edit?usp=sharing"",""กระบี่!J675"")"),0)</f>
        <v>0</v>
      </c>
      <c r="BG75" s="354">
        <f t="shared" ca="1" si="61"/>
        <v>0</v>
      </c>
      <c r="BH75" s="177">
        <f ca="1">IFERROR(__xludf.DUMMYFUNCTION("IMPORTRANGE(""https://docs.google.com/spreadsheets/d/1kKUcYdkIfrgTSj8iHHHB2MD2FAtwyyocFgqGQn6ADyI/edit?usp=sharing"",""กระบี่!I676"")"),0)</f>
        <v>0</v>
      </c>
      <c r="BI75" s="177">
        <f ca="1">IFERROR(__xludf.DUMMYFUNCTION("IMPORTRANGE(""https://docs.google.com/spreadsheets/d/1kKUcYdkIfrgTSj8iHHHB2MD2FAtwyyocFgqGQn6ADyI/edit?usp=sharing"",""กระบี่!I678"")"),0)</f>
        <v>0</v>
      </c>
      <c r="BJ75" s="177">
        <f ca="1">IFERROR(__xludf.DUMMYFUNCTION("IMPORTRANGE(""https://docs.google.com/spreadsheets/d/1kKUcYdkIfrgTSj8iHHHB2MD2FAtwyyocFgqGQn6ADyI/edit?usp=sharing"",""กระบี่!J676"")"),0)</f>
        <v>0</v>
      </c>
      <c r="BK75" s="177">
        <f ca="1">IFERROR(__xludf.DUMMYFUNCTION("IMPORTRANGE(""https://docs.google.com/spreadsheets/d/1kKUcYdkIfrgTSj8iHHHB2MD2FAtwyyocFgqGQn6ADyI/edit?usp=sharing"",""กระบี่!J677"")"),0)</f>
        <v>0</v>
      </c>
      <c r="BL75" s="177">
        <f ca="1">IFERROR(__xludf.DUMMYFUNCTION("IMPORTRANGE(""https://docs.google.com/spreadsheets/d/1kKUcYdkIfrgTSj8iHHHB2MD2FAtwyyocFgqGQn6ADyI/edit?usp=sharing"",""กระบี่!J678"")"),0)</f>
        <v>0</v>
      </c>
      <c r="BM75" s="177">
        <f ca="1">IFERROR(__xludf.DUMMYFUNCTION("IMPORTRANGE(""https://docs.google.com/spreadsheets/d/1kKUcYdkIfrgTSj8iHHHB2MD2FAtwyyocFgqGQn6ADyI/edit?usp=sharing"",""กระบี่!I679"")"),0)</f>
        <v>0</v>
      </c>
      <c r="BN75" s="177">
        <f ca="1">IFERROR(__xludf.DUMMYFUNCTION("IMPORTRANGE(""https://docs.google.com/spreadsheets/d/1kKUcYdkIfrgTSj8iHHHB2MD2FAtwyyocFgqGQn6ADyI/edit?usp=sharing"",""กระบี่!I681"")"),0)</f>
        <v>0</v>
      </c>
      <c r="BO75" s="177">
        <f ca="1">IFERROR(__xludf.DUMMYFUNCTION("IMPORTRANGE(""https://docs.google.com/spreadsheets/d/1kKUcYdkIfrgTSj8iHHHB2MD2FAtwyyocFgqGQn6ADyI/edit?usp=sharing"",""กระบี่!J679"")"),0)</f>
        <v>0</v>
      </c>
      <c r="BP75" s="177">
        <f ca="1">IFERROR(__xludf.DUMMYFUNCTION("IMPORTRANGE(""https://docs.google.com/spreadsheets/d/1kKUcYdkIfrgTSj8iHHHB2MD2FAtwyyocFgqGQn6ADyI/edit?usp=sharing"",""กระบี่!J680"")"),0)</f>
        <v>0</v>
      </c>
      <c r="BQ75" s="177">
        <f ca="1">IFERROR(__xludf.DUMMYFUNCTION("IMPORTRANGE(""https://docs.google.com/spreadsheets/d/1kKUcYdkIfrgTSj8iHHHB2MD2FAtwyyocFgqGQn6ADyI/edit?usp=sharing"",""กระบี่!J681"")"),0)</f>
        <v>0</v>
      </c>
      <c r="BR75" s="177">
        <f ca="1">IFERROR(__xludf.DUMMYFUNCTION("IMPORTRANGE(""https://docs.google.com/spreadsheets/d/1kKUcYdkIfrgTSj8iHHHB2MD2FAtwyyocFgqGQn6ADyI/edit?usp=sharing"",""กระบี่!I682"")"),0)</f>
        <v>0</v>
      </c>
      <c r="BS75" s="177">
        <f ca="1">IFERROR(__xludf.DUMMYFUNCTION("IMPORTRANGE(""https://docs.google.com/spreadsheets/d/1kKUcYdkIfrgTSj8iHHHB2MD2FAtwyyocFgqGQn6ADyI/edit?usp=sharing"",""กระบี่!J682"")"),0)</f>
        <v>0</v>
      </c>
      <c r="BT75" s="354">
        <f t="shared" ca="1" si="63"/>
        <v>0</v>
      </c>
      <c r="BU75" s="177">
        <f ca="1">IFERROR(__xludf.DUMMYFUNCTION("IMPORTRANGE(""https://docs.google.com/spreadsheets/d/1kKUcYdkIfrgTSj8iHHHB2MD2FAtwyyocFgqGQn6ADyI/edit?usp=sharing"",""กระบี่!J683"")"),0)</f>
        <v>0</v>
      </c>
      <c r="BV75" s="177">
        <f ca="1">IFERROR(__xludf.DUMMYFUNCTION("IMPORTRANGE(""https://docs.google.com/spreadsheets/d/1kKUcYdkIfrgTSj8iHHHB2MD2FAtwyyocFgqGQn6ADyI/edit?usp=sharing"",""กระบี่!J684"")"),0)</f>
        <v>0</v>
      </c>
      <c r="BW75" s="177">
        <f ca="1">IFERROR(__xludf.DUMMYFUNCTION("IMPORTRANGE(""https://docs.google.com/spreadsheets/d/1kKUcYdkIfrgTSj8iHHHB2MD2FAtwyyocFgqGQn6ADyI/edit?usp=sharing"",""กระบี่!J685"")"),0)</f>
        <v>0</v>
      </c>
      <c r="BX75" s="177">
        <f ca="1">IFERROR(__xludf.DUMMYFUNCTION("IMPORTRANGE(""https://docs.google.com/spreadsheets/d/1kKUcYdkIfrgTSj8iHHHB2MD2FAtwyyocFgqGQn6ADyI/edit?usp=sharing"",""กระบี่!J686"")"),0)</f>
        <v>0</v>
      </c>
      <c r="BY75" s="177">
        <f ca="1">IFERROR(__xludf.DUMMYFUNCTION("IMPORTRANGE(""https://docs.google.com/spreadsheets/d/1kKUcYdkIfrgTSj8iHHHB2MD2FAtwyyocFgqGQn6ADyI/edit?usp=sharing"",""กระบี่!J687"")"),0)</f>
        <v>0</v>
      </c>
      <c r="BZ75" s="177">
        <f ca="1">IFERROR(__xludf.DUMMYFUNCTION("IMPORTRANGE(""https://docs.google.com/spreadsheets/d/1kKUcYdkIfrgTSj8iHHHB2MD2FAtwyyocFgqGQn6ADyI/edit?usp=sharing"",""กระบี่!J688"")"),0)</f>
        <v>0</v>
      </c>
    </row>
    <row r="76" spans="1:78" ht="21.75" customHeight="1" x14ac:dyDescent="0.3">
      <c r="A76" s="89">
        <v>2</v>
      </c>
      <c r="B76" s="90" t="s">
        <v>102</v>
      </c>
      <c r="C76" s="174">
        <f t="shared" si="38"/>
        <v>0</v>
      </c>
      <c r="D76" s="175">
        <f t="shared" si="98"/>
        <v>0</v>
      </c>
      <c r="E76" s="403">
        <v>0</v>
      </c>
      <c r="F76" s="403">
        <v>0</v>
      </c>
      <c r="G76" s="403">
        <v>0</v>
      </c>
      <c r="H76" s="403">
        <v>0</v>
      </c>
      <c r="I76" s="403">
        <v>0</v>
      </c>
      <c r="J76" s="176">
        <f t="shared" si="40"/>
        <v>0</v>
      </c>
      <c r="K76" s="179">
        <f t="shared" si="41"/>
        <v>0</v>
      </c>
      <c r="L76" s="403">
        <v>0</v>
      </c>
      <c r="M76" s="87">
        <f t="shared" si="42"/>
        <v>0</v>
      </c>
      <c r="N76" s="87">
        <f t="shared" si="43"/>
        <v>0</v>
      </c>
      <c r="O76" s="403">
        <v>0</v>
      </c>
      <c r="P76" s="86">
        <f t="shared" si="44"/>
        <v>0</v>
      </c>
      <c r="Q76" s="87">
        <f t="shared" si="45"/>
        <v>0</v>
      </c>
      <c r="R76" s="87">
        <f ca="1">IFERROR(__xludf.DUMMYFUNCTION("IMPORTRANGE(""https://docs.google.com/spreadsheets/d/1GwtLaSlNZkLk7iDqcyZz22giiy40b_usZZBXYciEN1U/edit?usp=sharing"",""ชุมพร!Q642"")"),0)</f>
        <v>0</v>
      </c>
      <c r="S76" s="87">
        <f ca="1">IFERROR(__xludf.DUMMYFUNCTION("IMPORTRANGE(""https://docs.google.com/spreadsheets/d/1GwtLaSlNZkLk7iDqcyZz22giiy40b_usZZBXYciEN1U/edit?usp=sharing"",""ชุมพร!R642"")"),0)</f>
        <v>0</v>
      </c>
      <c r="T76" s="87">
        <f ca="1">IFERROR(__xludf.DUMMYFUNCTION("IMPORTRANGE(""https://docs.google.com/spreadsheets/d/1GwtLaSlNZkLk7iDqcyZz22giiy40b_usZZBXYciEN1U/edit?usp=sharing"",""ชุมพร!S642"")"),0)</f>
        <v>0</v>
      </c>
      <c r="U76" s="87">
        <f t="shared" ca="1" si="47"/>
        <v>0</v>
      </c>
      <c r="V76" s="87">
        <f t="shared" ca="1" si="48"/>
        <v>0</v>
      </c>
      <c r="W76" s="353">
        <f ca="1">IFERROR(__xludf.DUMMYFUNCTION("IMPORTRANGE(""https://docs.google.com/spreadsheets/d/1GwtLaSlNZkLk7iDqcyZz22giiy40b_usZZBXYciEN1U/edit?usp=sharing"",""ชุมพร!I652"")"),0)</f>
        <v>0</v>
      </c>
      <c r="X76" s="452">
        <f ca="1">IFERROR(__xludf.DUMMYFUNCTION("IMPORTRANGE(""https://docs.google.com/spreadsheets/d/1GwtLaSlNZkLk7iDqcyZz22giiy40b_usZZBXYciEN1U/edit?usp=sharing"",""ชุมพร!J652"")"),0)</f>
        <v>0</v>
      </c>
      <c r="Y76" s="354">
        <f t="shared" ca="1" si="50"/>
        <v>0</v>
      </c>
      <c r="Z76" s="177">
        <f ca="1">IFERROR(__xludf.DUMMYFUNCTION("IMPORTRANGE(""https://docs.google.com/spreadsheets/d/1GwtLaSlNZkLk7iDqcyZz22giiy40b_usZZBXYciEN1U/edit?usp=sharing"",""ชุมพร!I653"")"),0)</f>
        <v>0</v>
      </c>
      <c r="AA76" s="452">
        <f ca="1">IFERROR(__xludf.DUMMYFUNCTION("IMPORTRANGE(""https://docs.google.com/spreadsheets/d/1GwtLaSlNZkLk7iDqcyZz22giiy40b_usZZBXYciEN1U/edit?usp=sharing"",""ชุมพร!J653"")"),0)</f>
        <v>0</v>
      </c>
      <c r="AB76" s="354">
        <f t="shared" ca="1" si="52"/>
        <v>0</v>
      </c>
      <c r="AC76" s="177">
        <f ca="1">IFERROR(__xludf.DUMMYFUNCTION("IMPORTRANGE(""https://docs.google.com/spreadsheets/d/1GwtLaSlNZkLk7iDqcyZz22giiy40b_usZZBXYciEN1U/edit?usp=sharing"",""ชุมพร!I654"")"),0)</f>
        <v>0</v>
      </c>
      <c r="AD76" s="177">
        <f ca="1">IFERROR(__xludf.DUMMYFUNCTION("IMPORTRANGE(""https://docs.google.com/spreadsheets/d/1GwtLaSlNZkLk7iDqcyZz22giiy40b_usZZBXYciEN1U/edit?usp=sharing"",""ชุมพร!J654"")"),0)</f>
        <v>0</v>
      </c>
      <c r="AE76" s="354">
        <f t="shared" ca="1" si="54"/>
        <v>0</v>
      </c>
      <c r="AF76" s="354">
        <f ca="1">IFERROR(__xludf.DUMMYFUNCTION("IMPORTRANGE(""https://docs.google.com/spreadsheets/d/1GwtLaSlNZkLk7iDqcyZz22giiy40b_usZZBXYciEN1U/edit?usp=sharing"",""ชุมพร!J655"")"),0)</f>
        <v>0</v>
      </c>
      <c r="AG76" s="354">
        <f ca="1">IFERROR(__xludf.DUMMYFUNCTION("IMPORTRANGE(""https://docs.google.com/spreadsheets/d/1GwtLaSlNZkLk7iDqcyZz22giiy40b_usZZBXYciEN1U/edit?usp=sharing"",""ชุมพร!J656"")"),0)</f>
        <v>0</v>
      </c>
      <c r="AH76" s="354">
        <f ca="1">IFERROR(__xludf.DUMMYFUNCTION("IMPORTRANGE(""https://docs.google.com/spreadsheets/d/1GwtLaSlNZkLk7iDqcyZz22giiy40b_usZZBXYciEN1U/edit?usp=sharing"",""ชุมพร!J657"")"),0)</f>
        <v>0</v>
      </c>
      <c r="AI76" s="354">
        <f ca="1">IFERROR(__xludf.DUMMYFUNCTION("IMPORTRANGE(""https://docs.google.com/spreadsheets/d/1GwtLaSlNZkLk7iDqcyZz22giiy40b_usZZBXYciEN1U/edit?usp=sharing"",""ชุมพร!J658"")"),0)</f>
        <v>0</v>
      </c>
      <c r="AJ76" s="354">
        <f ca="1">IFERROR(__xludf.DUMMYFUNCTION("IMPORTRANGE(""https://docs.google.com/spreadsheets/d/1GwtLaSlNZkLk7iDqcyZz22giiy40b_usZZBXYciEN1U/edit?usp=sharing"",""ชุมพร!J659"")"),0)</f>
        <v>0</v>
      </c>
      <c r="AK76" s="354">
        <f ca="1">IFERROR(__xludf.DUMMYFUNCTION("IMPORTRANGE(""https://docs.google.com/spreadsheets/d/1GwtLaSlNZkLk7iDqcyZz22giiy40b_usZZBXYciEN1U/edit?usp=sharing"",""ชุมพร!J660"")"),0)</f>
        <v>0</v>
      </c>
      <c r="AL76" s="177">
        <f ca="1">IFERROR(__xludf.DUMMYFUNCTION("IMPORTRANGE(""https://docs.google.com/spreadsheets/d/1GwtLaSlNZkLk7iDqcyZz22giiy40b_usZZBXYciEN1U/edit?usp=sharing"",""ชุมพร!I661"")"),0)</f>
        <v>0</v>
      </c>
      <c r="AM76" s="177">
        <f ca="1">IFERROR(__xludf.DUMMYFUNCTION("IMPORTRANGE(""https://docs.google.com/spreadsheets/d/1GwtLaSlNZkLk7iDqcyZz22giiy40b_usZZBXYciEN1U/edit?usp=sharing"",""ชุมพร!J661"")"),0)</f>
        <v>0</v>
      </c>
      <c r="AN76" s="354">
        <f t="shared" ca="1" si="56"/>
        <v>0</v>
      </c>
      <c r="AO76" s="177">
        <f ca="1">IFERROR(__xludf.DUMMYFUNCTION("IMPORTRANGE(""https://docs.google.com/spreadsheets/d/1GwtLaSlNZkLk7iDqcyZz22giiy40b_usZZBXYciEN1U/edit?usp=sharing"",""ชุมพร!J662"")"),0)</f>
        <v>0</v>
      </c>
      <c r="AP76" s="177">
        <f ca="1">IFERROR(__xludf.DUMMYFUNCTION("IMPORTRANGE(""https://docs.google.com/spreadsheets/d/1GwtLaSlNZkLk7iDqcyZz22giiy40b_usZZBXYciEN1U/edit?usp=sharing"",""ชุมพร!J663"")"),0)</f>
        <v>0</v>
      </c>
      <c r="AQ76" s="177">
        <f ca="1">IFERROR(__xludf.DUMMYFUNCTION("IMPORTRANGE(""https://docs.google.com/spreadsheets/d/1GwtLaSlNZkLk7iDqcyZz22giiy40b_usZZBXYciEN1U/edit?usp=sharing"",""ชุมพร!J665"")"),0)</f>
        <v>0</v>
      </c>
      <c r="AR76" s="177">
        <f ca="1">IFERROR(__xludf.DUMMYFUNCTION("IMPORTRANGE(""https://docs.google.com/spreadsheets/d/1GwtLaSlNZkLk7iDqcyZz22giiy40b_usZZBXYciEN1U/edit?usp=sharing"",""ชุมพร!J666"")"),0)</f>
        <v>0</v>
      </c>
      <c r="AS76" s="177">
        <f ca="1">IFERROR(__xludf.DUMMYFUNCTION("IMPORTRANGE(""https://docs.google.com/spreadsheets/d/1GwtLaSlNZkLk7iDqcyZz22giiy40b_usZZBXYciEN1U/edit?usp=sharing"",""ชุมพร!J667"")"),0)</f>
        <v>0</v>
      </c>
      <c r="AT76" s="177">
        <f ca="1">IFERROR(__xludf.DUMMYFUNCTION("IMPORTRANGE(""https://docs.google.com/spreadsheets/d/1GwtLaSlNZkLk7iDqcyZz22giiy40b_usZZBXYciEN1U/edit?usp=sharing"",""ชุมพร!J668"")"),0)</f>
        <v>0</v>
      </c>
      <c r="AU76" s="177">
        <f ca="1">IFERROR(__xludf.DUMMYFUNCTION("IMPORTRANGE(""https://docs.google.com/spreadsheets/d/1GwtLaSlNZkLk7iDqcyZz22giiy40b_usZZBXYciEN1U/edit?usp=sharing"",""ชุมพร!J669"")"),0)</f>
        <v>0</v>
      </c>
      <c r="AV76" s="177">
        <f ca="1">IFERROR(__xludf.DUMMYFUNCTION("IMPORTRANGE(""https://docs.google.com/spreadsheets/d/1GwtLaSlNZkLk7iDqcyZz22giiy40b_usZZBXYciEN1U/edit?usp=sharing"",""ชุมพร!J670"")"),0)</f>
        <v>0</v>
      </c>
      <c r="AW76" s="177">
        <v>0</v>
      </c>
      <c r="AX76" s="452">
        <f ca="1">IFERROR(__xludf.DUMMYFUNCTION("IMPORTRANGE(""https://docs.google.com/spreadsheets/d/1GwtLaSlNZkLk7iDqcyZz22giiy40b_usZZBXYciEN1U/edit?usp=sharing"",""ชุมพร!J671"")"),0)</f>
        <v>0</v>
      </c>
      <c r="AY76" s="452">
        <f ca="1">IFERROR(__xludf.DUMMYFUNCTION("IMPORTRANGE(""https://docs.google.com/spreadsheets/d/1GwtLaSlNZkLk7iDqcyZz22giiy40b_usZZBXYciEN1U/edit?usp=sharing"",""ชุมพร!J672"")"),0)</f>
        <v>0</v>
      </c>
      <c r="AZ76" s="452">
        <f ca="1">IFERROR(__xludf.DUMMYFUNCTION("IMPORTRANGE(""https://docs.google.com/spreadsheets/d/1GwtLaSlNZkLk7iDqcyZz22giiy40b_usZZBXYciEN1U/edit?usp=sharing"",""ชุมพร!J673"")"),0)</f>
        <v>0</v>
      </c>
      <c r="BA76" s="354">
        <f t="shared" si="58"/>
        <v>0</v>
      </c>
      <c r="BB76" s="177">
        <f ca="1">IFERROR(__xludf.DUMMYFUNCTION("IMPORTRANGE(""https://docs.google.com/spreadsheets/d/1GwtLaSlNZkLk7iDqcyZz22giiy40b_usZZBXYciEN1U/edit?usp=sharing"",""ชุมพร!I674"")"),0)</f>
        <v>0</v>
      </c>
      <c r="BC76" s="177">
        <f ca="1">IFERROR(__xludf.DUMMYFUNCTION("IMPORTRANGE(""https://docs.google.com/spreadsheets/d/1GwtLaSlNZkLk7iDqcyZz22giiy40b_usZZBXYciEN1U/edit?usp=sharing"",""ชุมพร!I675"")"),0)</f>
        <v>0</v>
      </c>
      <c r="BD76" s="452">
        <f ca="1">IFERROR(__xludf.DUMMYFUNCTION("IMPORTRANGE(""https://docs.google.com/spreadsheets/d/1GwtLaSlNZkLk7iDqcyZz22giiy40b_usZZBXYciEN1U/edit?usp=sharing"",""ชุมพร!J674"")"),0)</f>
        <v>0</v>
      </c>
      <c r="BE76" s="354">
        <f t="shared" ca="1" si="60"/>
        <v>0</v>
      </c>
      <c r="BF76" s="452">
        <f ca="1">IFERROR(__xludf.DUMMYFUNCTION("IMPORTRANGE(""https://docs.google.com/spreadsheets/d/1GwtLaSlNZkLk7iDqcyZz22giiy40b_usZZBXYciEN1U/edit?usp=sharing"",""ชุมพร!J675"")"),0)</f>
        <v>0</v>
      </c>
      <c r="BG76" s="354">
        <f t="shared" ca="1" si="61"/>
        <v>0</v>
      </c>
      <c r="BH76" s="177">
        <f ca="1">IFERROR(__xludf.DUMMYFUNCTION("IMPORTRANGE(""https://docs.google.com/spreadsheets/d/1GwtLaSlNZkLk7iDqcyZz22giiy40b_usZZBXYciEN1U/edit?usp=sharing"",""ชุมพร!I676"")"),0)</f>
        <v>0</v>
      </c>
      <c r="BI76" s="177">
        <f ca="1">IFERROR(__xludf.DUMMYFUNCTION("IMPORTRANGE(""https://docs.google.com/spreadsheets/d/1GwtLaSlNZkLk7iDqcyZz22giiy40b_usZZBXYciEN1U/edit?usp=sharing"",""ชุมพร!I678"")"),0)</f>
        <v>0</v>
      </c>
      <c r="BJ76" s="452">
        <f ca="1">IFERROR(__xludf.DUMMYFUNCTION("IMPORTRANGE(""https://docs.google.com/spreadsheets/d/1GwtLaSlNZkLk7iDqcyZz22giiy40b_usZZBXYciEN1U/edit?usp=sharing"",""ชุมพร!J676"")"),0)</f>
        <v>0</v>
      </c>
      <c r="BK76" s="452">
        <f ca="1">IFERROR(__xludf.DUMMYFUNCTION("IMPORTRANGE(""https://docs.google.com/spreadsheets/d/1GwtLaSlNZkLk7iDqcyZz22giiy40b_usZZBXYciEN1U/edit?usp=sharing"",""ชุมพร!J677"")"),0)</f>
        <v>0</v>
      </c>
      <c r="BL76" s="452">
        <f ca="1">IFERROR(__xludf.DUMMYFUNCTION("IMPORTRANGE(""https://docs.google.com/spreadsheets/d/1GwtLaSlNZkLk7iDqcyZz22giiy40b_usZZBXYciEN1U/edit?usp=sharing"",""ชุมพร!J678"")"),0)</f>
        <v>0</v>
      </c>
      <c r="BM76" s="177">
        <f ca="1">IFERROR(__xludf.DUMMYFUNCTION("IMPORTRANGE(""https://docs.google.com/spreadsheets/d/1GwtLaSlNZkLk7iDqcyZz22giiy40b_usZZBXYciEN1U/edit?usp=sharing"",""ชุมพร!I679"")"),0)</f>
        <v>0</v>
      </c>
      <c r="BN76" s="177">
        <f ca="1">IFERROR(__xludf.DUMMYFUNCTION("IMPORTRANGE(""https://docs.google.com/spreadsheets/d/1GwtLaSlNZkLk7iDqcyZz22giiy40b_usZZBXYciEN1U/edit?usp=sharing"",""ชุมพร!I681"")"),0)</f>
        <v>0</v>
      </c>
      <c r="BO76" s="452">
        <f ca="1">IFERROR(__xludf.DUMMYFUNCTION("IMPORTRANGE(""https://docs.google.com/spreadsheets/d/1GwtLaSlNZkLk7iDqcyZz22giiy40b_usZZBXYciEN1U/edit?usp=sharing"",""ชุมพร!J679"")"),0)</f>
        <v>0</v>
      </c>
      <c r="BP76" s="452">
        <f ca="1">IFERROR(__xludf.DUMMYFUNCTION("IMPORTRANGE(""https://docs.google.com/spreadsheets/d/1GwtLaSlNZkLk7iDqcyZz22giiy40b_usZZBXYciEN1U/edit?usp=sharing"",""ชุมพร!J680"")"),0)</f>
        <v>0</v>
      </c>
      <c r="BQ76" s="452">
        <f ca="1">IFERROR(__xludf.DUMMYFUNCTION("IMPORTRANGE(""https://docs.google.com/spreadsheets/d/1GwtLaSlNZkLk7iDqcyZz22giiy40b_usZZBXYciEN1U/edit?usp=sharing"",""ชุมพร!J681"")"),0)</f>
        <v>0</v>
      </c>
      <c r="BR76" s="177">
        <f ca="1">IFERROR(__xludf.DUMMYFUNCTION("IMPORTRANGE(""https://docs.google.com/spreadsheets/d/1GwtLaSlNZkLk7iDqcyZz22giiy40b_usZZBXYciEN1U/edit?usp=sharing"",""ชุมพร!I682"")"),0)</f>
        <v>0</v>
      </c>
      <c r="BS76" s="177">
        <f ca="1">IFERROR(__xludf.DUMMYFUNCTION("IMPORTRANGE(""https://docs.google.com/spreadsheets/d/1GwtLaSlNZkLk7iDqcyZz22giiy40b_usZZBXYciEN1U/edit?usp=sharing"",""ชุมพร!J682"")"),0)</f>
        <v>0</v>
      </c>
      <c r="BT76" s="354">
        <f t="shared" ca="1" si="63"/>
        <v>0</v>
      </c>
      <c r="BU76" s="177">
        <f ca="1">IFERROR(__xludf.DUMMYFUNCTION("IMPORTRANGE(""https://docs.google.com/spreadsheets/d/1GwtLaSlNZkLk7iDqcyZz22giiy40b_usZZBXYciEN1U/edit?usp=sharing"",""ชุมพร!J683"")"),0)</f>
        <v>0</v>
      </c>
      <c r="BV76" s="177">
        <f ca="1">IFERROR(__xludf.DUMMYFUNCTION("IMPORTRANGE(""https://docs.google.com/spreadsheets/d/1GwtLaSlNZkLk7iDqcyZz22giiy40b_usZZBXYciEN1U/edit?usp=sharing"",""ชุมพร!J684"")"),0)</f>
        <v>0</v>
      </c>
      <c r="BW76" s="177">
        <f ca="1">IFERROR(__xludf.DUMMYFUNCTION("IMPORTRANGE(""https://docs.google.com/spreadsheets/d/1GwtLaSlNZkLk7iDqcyZz22giiy40b_usZZBXYciEN1U/edit?usp=sharing"",""ชุมพร!J685"")"),0)</f>
        <v>0</v>
      </c>
      <c r="BX76" s="177">
        <f ca="1">IFERROR(__xludf.DUMMYFUNCTION("IMPORTRANGE(""https://docs.google.com/spreadsheets/d/1GwtLaSlNZkLk7iDqcyZz22giiy40b_usZZBXYciEN1U/edit?usp=sharing"",""ชุมพร!J686"")"),0)</f>
        <v>0</v>
      </c>
      <c r="BY76" s="177">
        <f ca="1">IFERROR(__xludf.DUMMYFUNCTION("IMPORTRANGE(""https://docs.google.com/spreadsheets/d/1GwtLaSlNZkLk7iDqcyZz22giiy40b_usZZBXYciEN1U/edit?usp=sharing"",""ชุมพร!J687"")"),0)</f>
        <v>0</v>
      </c>
      <c r="BZ76" s="177">
        <f ca="1">IFERROR(__xludf.DUMMYFUNCTION("IMPORTRANGE(""https://docs.google.com/spreadsheets/d/1GwtLaSlNZkLk7iDqcyZz22giiy40b_usZZBXYciEN1U/edit?usp=sharing"",""ชุมพร!J688"")"),0)</f>
        <v>0</v>
      </c>
    </row>
    <row r="77" spans="1:78" ht="21.75" customHeight="1" x14ac:dyDescent="0.3">
      <c r="A77" s="89">
        <v>3</v>
      </c>
      <c r="B77" s="90" t="s">
        <v>103</v>
      </c>
      <c r="C77" s="174">
        <f t="shared" si="38"/>
        <v>0</v>
      </c>
      <c r="D77" s="175">
        <f t="shared" si="98"/>
        <v>0</v>
      </c>
      <c r="E77" s="403">
        <v>0</v>
      </c>
      <c r="F77" s="403">
        <v>0</v>
      </c>
      <c r="G77" s="403">
        <v>0</v>
      </c>
      <c r="H77" s="403">
        <v>0</v>
      </c>
      <c r="I77" s="403">
        <v>0</v>
      </c>
      <c r="J77" s="176">
        <f t="shared" si="40"/>
        <v>0</v>
      </c>
      <c r="K77" s="179">
        <f t="shared" si="41"/>
        <v>0</v>
      </c>
      <c r="L77" s="403">
        <v>0</v>
      </c>
      <c r="M77" s="87">
        <f t="shared" si="42"/>
        <v>0</v>
      </c>
      <c r="N77" s="87">
        <f t="shared" si="43"/>
        <v>0</v>
      </c>
      <c r="O77" s="403">
        <v>0</v>
      </c>
      <c r="P77" s="86">
        <f t="shared" si="44"/>
        <v>0</v>
      </c>
      <c r="Q77" s="87">
        <f t="shared" si="45"/>
        <v>0</v>
      </c>
      <c r="R77" s="87">
        <f ca="1">IFERROR(__xludf.DUMMYFUNCTION("IMPORTRANGE(""https://docs.google.com/spreadsheets/d/16pAz3pOhQEZBhvFNMa5KGgZS6iKWpsKX0pg6tQmwFpo/edit?usp=sharing"",""ตรัง!Q642"")"),0)</f>
        <v>0</v>
      </c>
      <c r="S77" s="87">
        <f ca="1">IFERROR(__xludf.DUMMYFUNCTION("IMPORTRANGE(""https://docs.google.com/spreadsheets/d/16pAz3pOhQEZBhvFNMa5KGgZS6iKWpsKX0pg6tQmwFpo/edit?usp=sharing"",""ตรัง!R642"")"),0)</f>
        <v>0</v>
      </c>
      <c r="T77" s="87">
        <f ca="1">IFERROR(__xludf.DUMMYFUNCTION("IMPORTRANGE(""https://docs.google.com/spreadsheets/d/16pAz3pOhQEZBhvFNMa5KGgZS6iKWpsKX0pg6tQmwFpo/edit?usp=sharing"",""ตรัง!S642"")"),0)</f>
        <v>0</v>
      </c>
      <c r="U77" s="87">
        <f t="shared" ca="1" si="47"/>
        <v>0</v>
      </c>
      <c r="V77" s="87">
        <f t="shared" ca="1" si="48"/>
        <v>0</v>
      </c>
      <c r="W77" s="353">
        <f ca="1">IFERROR(__xludf.DUMMYFUNCTION("IMPORTRANGE(""https://docs.google.com/spreadsheets/d/16pAz3pOhQEZBhvFNMa5KGgZS6iKWpsKX0pg6tQmwFpo/edit?usp=sharing"",""ตรัง!I652"")"),0)</f>
        <v>0</v>
      </c>
      <c r="X77" s="177">
        <f ca="1">IFERROR(__xludf.DUMMYFUNCTION("IMPORTRANGE(""https://docs.google.com/spreadsheets/d/16pAz3pOhQEZBhvFNMa5KGgZS6iKWpsKX0pg6tQmwFpo/edit?usp=sharing"",""ตรัง!J652"")"),0)</f>
        <v>0</v>
      </c>
      <c r="Y77" s="354">
        <f t="shared" ca="1" si="50"/>
        <v>0</v>
      </c>
      <c r="Z77" s="177">
        <f ca="1">IFERROR(__xludf.DUMMYFUNCTION("IMPORTRANGE(""https://docs.google.com/spreadsheets/d/16pAz3pOhQEZBhvFNMa5KGgZS6iKWpsKX0pg6tQmwFpo/edit?usp=sharing"",""ตรัง!I653"")"),0)</f>
        <v>0</v>
      </c>
      <c r="AA77" s="177">
        <f ca="1">IFERROR(__xludf.DUMMYFUNCTION("IMPORTRANGE(""https://docs.google.com/spreadsheets/d/16pAz3pOhQEZBhvFNMa5KGgZS6iKWpsKX0pg6tQmwFpo/edit?usp=sharing"",""ตรัง!J653"")"),0)</f>
        <v>0</v>
      </c>
      <c r="AB77" s="354">
        <f t="shared" ca="1" si="52"/>
        <v>0</v>
      </c>
      <c r="AC77" s="177">
        <f ca="1">IFERROR(__xludf.DUMMYFUNCTION("IMPORTRANGE(""https://docs.google.com/spreadsheets/d/16pAz3pOhQEZBhvFNMa5KGgZS6iKWpsKX0pg6tQmwFpo/edit?usp=sharing"",""ตรัง!I654"")"),0)</f>
        <v>0</v>
      </c>
      <c r="AD77" s="177">
        <f ca="1">IFERROR(__xludf.DUMMYFUNCTION("IMPORTRANGE(""https://docs.google.com/spreadsheets/d/16pAz3pOhQEZBhvFNMa5KGgZS6iKWpsKX0pg6tQmwFpo/edit?usp=sharing"",""ตรัง!J654"")"),0)</f>
        <v>0</v>
      </c>
      <c r="AE77" s="354">
        <f t="shared" ca="1" si="54"/>
        <v>0</v>
      </c>
      <c r="AF77" s="354">
        <f ca="1">IFERROR(__xludf.DUMMYFUNCTION("IMPORTRANGE(""https://docs.google.com/spreadsheets/d/16pAz3pOhQEZBhvFNMa5KGgZS6iKWpsKX0pg6tQmwFpo/edit?usp=sharing"",""ตรัง!J655"")"),0)</f>
        <v>0</v>
      </c>
      <c r="AG77" s="354">
        <f ca="1">IFERROR(__xludf.DUMMYFUNCTION("IMPORTRANGE(""https://docs.google.com/spreadsheets/d/16pAz3pOhQEZBhvFNMa5KGgZS6iKWpsKX0pg6tQmwFpo/edit?usp=sharing"",""ตรัง!J656"")"),0)</f>
        <v>0</v>
      </c>
      <c r="AH77" s="354">
        <f ca="1">IFERROR(__xludf.DUMMYFUNCTION("IMPORTRANGE(""https://docs.google.com/spreadsheets/d/16pAz3pOhQEZBhvFNMa5KGgZS6iKWpsKX0pg6tQmwFpo/edit?usp=sharing"",""ตรัง!J657"")"),0)</f>
        <v>0</v>
      </c>
      <c r="AI77" s="354">
        <f ca="1">IFERROR(__xludf.DUMMYFUNCTION("IMPORTRANGE(""https://docs.google.com/spreadsheets/d/16pAz3pOhQEZBhvFNMa5KGgZS6iKWpsKX0pg6tQmwFpo/edit?usp=sharing"",""ตรัง!J658"")"),0)</f>
        <v>0</v>
      </c>
      <c r="AJ77" s="354">
        <f ca="1">IFERROR(__xludf.DUMMYFUNCTION("IMPORTRANGE(""https://docs.google.com/spreadsheets/d/16pAz3pOhQEZBhvFNMa5KGgZS6iKWpsKX0pg6tQmwFpo/edit?usp=sharing"",""ตรัง!J659"")"),0)</f>
        <v>0</v>
      </c>
      <c r="AK77" s="354">
        <f ca="1">IFERROR(__xludf.DUMMYFUNCTION("IMPORTRANGE(""https://docs.google.com/spreadsheets/d/16pAz3pOhQEZBhvFNMa5KGgZS6iKWpsKX0pg6tQmwFpo/edit?usp=sharing"",""ตรัง!J660"")"),0)</f>
        <v>0</v>
      </c>
      <c r="AL77" s="177">
        <f ca="1">IFERROR(__xludf.DUMMYFUNCTION("IMPORTRANGE(""https://docs.google.com/spreadsheets/d/16pAz3pOhQEZBhvFNMa5KGgZS6iKWpsKX0pg6tQmwFpo/edit?usp=sharing"",""ตรัง!I661"")"),0)</f>
        <v>0</v>
      </c>
      <c r="AM77" s="177">
        <f ca="1">IFERROR(__xludf.DUMMYFUNCTION("IMPORTRANGE(""https://docs.google.com/spreadsheets/d/16pAz3pOhQEZBhvFNMa5KGgZS6iKWpsKX0pg6tQmwFpo/edit?usp=sharing"",""ตรัง!J661"")"),0)</f>
        <v>0</v>
      </c>
      <c r="AN77" s="354">
        <f t="shared" ca="1" si="56"/>
        <v>0</v>
      </c>
      <c r="AO77" s="177">
        <f ca="1">IFERROR(__xludf.DUMMYFUNCTION("IMPORTRANGE(""https://docs.google.com/spreadsheets/d/16pAz3pOhQEZBhvFNMa5KGgZS6iKWpsKX0pg6tQmwFpo/edit?usp=sharing"",""ตรัง!J662"")"),0)</f>
        <v>0</v>
      </c>
      <c r="AP77" s="177">
        <f ca="1">IFERROR(__xludf.DUMMYFUNCTION("IMPORTRANGE(""https://docs.google.com/spreadsheets/d/16pAz3pOhQEZBhvFNMa5KGgZS6iKWpsKX0pg6tQmwFpo/edit?usp=sharing"",""ตรัง!J663"")"),0)</f>
        <v>0</v>
      </c>
      <c r="AQ77" s="177">
        <f ca="1">IFERROR(__xludf.DUMMYFUNCTION("IMPORTRANGE(""https://docs.google.com/spreadsheets/d/16pAz3pOhQEZBhvFNMa5KGgZS6iKWpsKX0pg6tQmwFpo/edit?usp=sharing"",""ตรัง!J665"")"),0)</f>
        <v>0</v>
      </c>
      <c r="AR77" s="177">
        <f ca="1">IFERROR(__xludf.DUMMYFUNCTION("IMPORTRANGE(""https://docs.google.com/spreadsheets/d/16pAz3pOhQEZBhvFNMa5KGgZS6iKWpsKX0pg6tQmwFpo/edit?usp=sharing"",""ตรัง!J666"")"),0)</f>
        <v>0</v>
      </c>
      <c r="AS77" s="177">
        <f ca="1">IFERROR(__xludf.DUMMYFUNCTION("IMPORTRANGE(""https://docs.google.com/spreadsheets/d/16pAz3pOhQEZBhvFNMa5KGgZS6iKWpsKX0pg6tQmwFpo/edit?usp=sharing"",""ตรัง!J667"")"),0)</f>
        <v>0</v>
      </c>
      <c r="AT77" s="177">
        <f ca="1">IFERROR(__xludf.DUMMYFUNCTION("IMPORTRANGE(""https://docs.google.com/spreadsheets/d/16pAz3pOhQEZBhvFNMa5KGgZS6iKWpsKX0pg6tQmwFpo/edit?usp=sharing"",""ตรัง!J668"")"),0)</f>
        <v>0</v>
      </c>
      <c r="AU77" s="177">
        <f ca="1">IFERROR(__xludf.DUMMYFUNCTION("IMPORTRANGE(""https://docs.google.com/spreadsheets/d/16pAz3pOhQEZBhvFNMa5KGgZS6iKWpsKX0pg6tQmwFpo/edit?usp=sharing"",""ตรัง!J669"")"),0)</f>
        <v>0</v>
      </c>
      <c r="AV77" s="177">
        <f ca="1">IFERROR(__xludf.DUMMYFUNCTION("IMPORTRANGE(""https://docs.google.com/spreadsheets/d/16pAz3pOhQEZBhvFNMa5KGgZS6iKWpsKX0pg6tQmwFpo/edit?usp=sharing"",""ตรัง!J670"")"),0)</f>
        <v>0</v>
      </c>
      <c r="AW77" s="177">
        <v>0</v>
      </c>
      <c r="AX77" s="177">
        <f ca="1">IFERROR(__xludf.DUMMYFUNCTION("IMPORTRANGE(""https://docs.google.com/spreadsheets/d/16pAz3pOhQEZBhvFNMa5KGgZS6iKWpsKX0pg6tQmwFpo/edit?usp=sharing"",""ตรัง!J671"")"),0)</f>
        <v>0</v>
      </c>
      <c r="AY77" s="177">
        <f ca="1">IFERROR(__xludf.DUMMYFUNCTION("IMPORTRANGE(""https://docs.google.com/spreadsheets/d/16pAz3pOhQEZBhvFNMa5KGgZS6iKWpsKX0pg6tQmwFpo/edit?usp=sharing"",""ตรัง!J672"")"),0)</f>
        <v>0</v>
      </c>
      <c r="AZ77" s="177">
        <f ca="1">IFERROR(__xludf.DUMMYFUNCTION("IMPORTRANGE(""https://docs.google.com/spreadsheets/d/16pAz3pOhQEZBhvFNMa5KGgZS6iKWpsKX0pg6tQmwFpo/edit?usp=sharing"",""ตรัง!J673"")"),0)</f>
        <v>0</v>
      </c>
      <c r="BA77" s="354">
        <f t="shared" si="58"/>
        <v>0</v>
      </c>
      <c r="BB77" s="177">
        <f ca="1">IFERROR(__xludf.DUMMYFUNCTION("IMPORTRANGE(""https://docs.google.com/spreadsheets/d/16pAz3pOhQEZBhvFNMa5KGgZS6iKWpsKX0pg6tQmwFpo/edit?usp=sharing"",""ตรัง!I674"")"),0)</f>
        <v>0</v>
      </c>
      <c r="BC77" s="177">
        <f ca="1">IFERROR(__xludf.DUMMYFUNCTION("IMPORTRANGE(""https://docs.google.com/spreadsheets/d/16pAz3pOhQEZBhvFNMa5KGgZS6iKWpsKX0pg6tQmwFpo/edit?usp=sharing"",""ตรัง!I675"")"),0)</f>
        <v>0</v>
      </c>
      <c r="BD77" s="177">
        <f ca="1">IFERROR(__xludf.DUMMYFUNCTION("IMPORTRANGE(""https://docs.google.com/spreadsheets/d/16pAz3pOhQEZBhvFNMa5KGgZS6iKWpsKX0pg6tQmwFpo/edit?usp=sharing"",""ตรัง!J674"")"),0)</f>
        <v>0</v>
      </c>
      <c r="BE77" s="354">
        <f t="shared" ca="1" si="60"/>
        <v>0</v>
      </c>
      <c r="BF77" s="177">
        <f ca="1">IFERROR(__xludf.DUMMYFUNCTION("IMPORTRANGE(""https://docs.google.com/spreadsheets/d/16pAz3pOhQEZBhvFNMa5KGgZS6iKWpsKX0pg6tQmwFpo/edit?usp=sharing"",""ตรัง!J675"")"),0)</f>
        <v>0</v>
      </c>
      <c r="BG77" s="354">
        <f t="shared" ca="1" si="61"/>
        <v>0</v>
      </c>
      <c r="BH77" s="177">
        <f ca="1">IFERROR(__xludf.DUMMYFUNCTION("IMPORTRANGE(""https://docs.google.com/spreadsheets/d/16pAz3pOhQEZBhvFNMa5KGgZS6iKWpsKX0pg6tQmwFpo/edit?usp=sharing"",""ตรัง!I676"")"),0)</f>
        <v>0</v>
      </c>
      <c r="BI77" s="177">
        <f ca="1">IFERROR(__xludf.DUMMYFUNCTION("IMPORTRANGE(""https://docs.google.com/spreadsheets/d/16pAz3pOhQEZBhvFNMa5KGgZS6iKWpsKX0pg6tQmwFpo/edit?usp=sharing"",""ตรัง!I678"")"),0)</f>
        <v>0</v>
      </c>
      <c r="BJ77" s="177">
        <f ca="1">IFERROR(__xludf.DUMMYFUNCTION("IMPORTRANGE(""https://docs.google.com/spreadsheets/d/16pAz3pOhQEZBhvFNMa5KGgZS6iKWpsKX0pg6tQmwFpo/edit?usp=sharing"",""ตรัง!J676"")"),0)</f>
        <v>0</v>
      </c>
      <c r="BK77" s="177">
        <f ca="1">IFERROR(__xludf.DUMMYFUNCTION("IMPORTRANGE(""https://docs.google.com/spreadsheets/d/16pAz3pOhQEZBhvFNMa5KGgZS6iKWpsKX0pg6tQmwFpo/edit?usp=sharing"",""ตรัง!J677"")"),0)</f>
        <v>0</v>
      </c>
      <c r="BL77" s="177">
        <f ca="1">IFERROR(__xludf.DUMMYFUNCTION("IMPORTRANGE(""https://docs.google.com/spreadsheets/d/16pAz3pOhQEZBhvFNMa5KGgZS6iKWpsKX0pg6tQmwFpo/edit?usp=sharing"",""ตรัง!J678"")"),0)</f>
        <v>0</v>
      </c>
      <c r="BM77" s="177">
        <f ca="1">IFERROR(__xludf.DUMMYFUNCTION("IMPORTRANGE(""https://docs.google.com/spreadsheets/d/16pAz3pOhQEZBhvFNMa5KGgZS6iKWpsKX0pg6tQmwFpo/edit?usp=sharing"",""ตรัง!I679"")"),0)</f>
        <v>0</v>
      </c>
      <c r="BN77" s="177">
        <f ca="1">IFERROR(__xludf.DUMMYFUNCTION("IMPORTRANGE(""https://docs.google.com/spreadsheets/d/16pAz3pOhQEZBhvFNMa5KGgZS6iKWpsKX0pg6tQmwFpo/edit?usp=sharing"",""ตรัง!I681"")"),0)</f>
        <v>0</v>
      </c>
      <c r="BO77" s="177">
        <f ca="1">IFERROR(__xludf.DUMMYFUNCTION("IMPORTRANGE(""https://docs.google.com/spreadsheets/d/16pAz3pOhQEZBhvFNMa5KGgZS6iKWpsKX0pg6tQmwFpo/edit?usp=sharing"",""ตรัง!J679"")"),0)</f>
        <v>0</v>
      </c>
      <c r="BP77" s="177">
        <f ca="1">IFERROR(__xludf.DUMMYFUNCTION("IMPORTRANGE(""https://docs.google.com/spreadsheets/d/16pAz3pOhQEZBhvFNMa5KGgZS6iKWpsKX0pg6tQmwFpo/edit?usp=sharing"",""ตรัง!J680"")"),0)</f>
        <v>0</v>
      </c>
      <c r="BQ77" s="177">
        <f ca="1">IFERROR(__xludf.DUMMYFUNCTION("IMPORTRANGE(""https://docs.google.com/spreadsheets/d/16pAz3pOhQEZBhvFNMa5KGgZS6iKWpsKX0pg6tQmwFpo/edit?usp=sharing"",""ตรัง!J681"")"),0)</f>
        <v>0</v>
      </c>
      <c r="BR77" s="177">
        <f ca="1">IFERROR(__xludf.DUMMYFUNCTION("IMPORTRANGE(""https://docs.google.com/spreadsheets/d/16pAz3pOhQEZBhvFNMa5KGgZS6iKWpsKX0pg6tQmwFpo/edit?usp=sharing"",""ตรัง!I682"")"),0)</f>
        <v>0</v>
      </c>
      <c r="BS77" s="177">
        <f ca="1">IFERROR(__xludf.DUMMYFUNCTION("IMPORTRANGE(""https://docs.google.com/spreadsheets/d/16pAz3pOhQEZBhvFNMa5KGgZS6iKWpsKX0pg6tQmwFpo/edit?usp=sharing"",""ตรัง!J682"")"),0)</f>
        <v>0</v>
      </c>
      <c r="BT77" s="354">
        <f t="shared" ca="1" si="63"/>
        <v>0</v>
      </c>
      <c r="BU77" s="177">
        <f ca="1">IFERROR(__xludf.DUMMYFUNCTION("IMPORTRANGE(""https://docs.google.com/spreadsheets/d/16pAz3pOhQEZBhvFNMa5KGgZS6iKWpsKX0pg6tQmwFpo/edit?usp=sharing"",""ตรัง!J683"")"),0)</f>
        <v>0</v>
      </c>
      <c r="BV77" s="177">
        <f ca="1">IFERROR(__xludf.DUMMYFUNCTION("IMPORTRANGE(""https://docs.google.com/spreadsheets/d/16pAz3pOhQEZBhvFNMa5KGgZS6iKWpsKX0pg6tQmwFpo/edit?usp=sharing"",""ตรัง!J684"")"),0)</f>
        <v>0</v>
      </c>
      <c r="BW77" s="177">
        <f ca="1">IFERROR(__xludf.DUMMYFUNCTION("IMPORTRANGE(""https://docs.google.com/spreadsheets/d/16pAz3pOhQEZBhvFNMa5KGgZS6iKWpsKX0pg6tQmwFpo/edit?usp=sharing"",""ตรัง!J685"")"),0)</f>
        <v>0</v>
      </c>
      <c r="BX77" s="177">
        <f ca="1">IFERROR(__xludf.DUMMYFUNCTION("IMPORTRANGE(""https://docs.google.com/spreadsheets/d/16pAz3pOhQEZBhvFNMa5KGgZS6iKWpsKX0pg6tQmwFpo/edit?usp=sharing"",""ตรัง!J686"")"),0)</f>
        <v>0</v>
      </c>
      <c r="BY77" s="177">
        <f ca="1">IFERROR(__xludf.DUMMYFUNCTION("IMPORTRANGE(""https://docs.google.com/spreadsheets/d/16pAz3pOhQEZBhvFNMa5KGgZS6iKWpsKX0pg6tQmwFpo/edit?usp=sharing"",""ตรัง!J687"")"),0)</f>
        <v>0</v>
      </c>
      <c r="BZ77" s="177">
        <f ca="1">IFERROR(__xludf.DUMMYFUNCTION("IMPORTRANGE(""https://docs.google.com/spreadsheets/d/16pAz3pOhQEZBhvFNMa5KGgZS6iKWpsKX0pg6tQmwFpo/edit?usp=sharing"",""ตรัง!J688"")"),0)</f>
        <v>0</v>
      </c>
    </row>
    <row r="78" spans="1:78" ht="21.75" customHeight="1" x14ac:dyDescent="0.3">
      <c r="A78" s="89">
        <v>4</v>
      </c>
      <c r="B78" s="90" t="s">
        <v>104</v>
      </c>
      <c r="C78" s="174">
        <f t="shared" si="38"/>
        <v>0</v>
      </c>
      <c r="D78" s="175">
        <f t="shared" si="98"/>
        <v>0</v>
      </c>
      <c r="E78" s="403">
        <v>0</v>
      </c>
      <c r="F78" s="403">
        <v>0</v>
      </c>
      <c r="G78" s="403">
        <v>0</v>
      </c>
      <c r="H78" s="403">
        <v>0</v>
      </c>
      <c r="I78" s="403">
        <v>0</v>
      </c>
      <c r="J78" s="176">
        <f t="shared" si="40"/>
        <v>0</v>
      </c>
      <c r="K78" s="179">
        <f t="shared" si="41"/>
        <v>0</v>
      </c>
      <c r="L78" s="403">
        <v>0</v>
      </c>
      <c r="M78" s="87">
        <f t="shared" si="42"/>
        <v>0</v>
      </c>
      <c r="N78" s="87">
        <f t="shared" si="43"/>
        <v>0</v>
      </c>
      <c r="O78" s="403">
        <v>0</v>
      </c>
      <c r="P78" s="86">
        <f t="shared" si="44"/>
        <v>0</v>
      </c>
      <c r="Q78" s="87">
        <f t="shared" si="45"/>
        <v>0</v>
      </c>
      <c r="R78" s="87">
        <f ca="1">IFERROR(__xludf.DUMMYFUNCTION("IMPORTRANGE(""https://docs.google.com/spreadsheets/d/1Dj4jcHCTV9JXKCaMoheSXS52JE63kDKyG7bPXnFogHk/edit?usp=sharing"",""นครศรีธรรมราช!Q642"")"),0)</f>
        <v>0</v>
      </c>
      <c r="S78" s="87">
        <f ca="1">IFERROR(__xludf.DUMMYFUNCTION("IMPORTRANGE(""https://docs.google.com/spreadsheets/d/1Dj4jcHCTV9JXKCaMoheSXS52JE63kDKyG7bPXnFogHk/edit?usp=sharing"",""นครศรีธรรมราช!R642"")"),0)</f>
        <v>0</v>
      </c>
      <c r="T78" s="87">
        <f ca="1">IFERROR(__xludf.DUMMYFUNCTION("IMPORTRANGE(""https://docs.google.com/spreadsheets/d/1Dj4jcHCTV9JXKCaMoheSXS52JE63kDKyG7bPXnFogHk/edit?usp=sharing"",""นครศรีธรรมราช!S642"")"),0)</f>
        <v>0</v>
      </c>
      <c r="U78" s="87">
        <f t="shared" ca="1" si="47"/>
        <v>0</v>
      </c>
      <c r="V78" s="87">
        <f t="shared" ca="1" si="48"/>
        <v>0</v>
      </c>
      <c r="W78" s="353">
        <f ca="1">IFERROR(__xludf.DUMMYFUNCTION("IMPORTRANGE(""https://docs.google.com/spreadsheets/d/1Dj4jcHCTV9JXKCaMoheSXS52JE63kDKyG7bPXnFogHk/edit?usp=sharing"",""นครศรีธรรมราช!I652"")"),0)</f>
        <v>0</v>
      </c>
      <c r="X78" s="177">
        <f ca="1">IFERROR(__xludf.DUMMYFUNCTION("IMPORTRANGE(""https://docs.google.com/spreadsheets/d/1Dj4jcHCTV9JXKCaMoheSXS52JE63kDKyG7bPXnFogHk/edit?usp=sharing"",""นครศรีธรรมราช!J652"")"),0)</f>
        <v>0</v>
      </c>
      <c r="Y78" s="354">
        <f t="shared" ca="1" si="50"/>
        <v>0</v>
      </c>
      <c r="Z78" s="177">
        <f ca="1">IFERROR(__xludf.DUMMYFUNCTION("IMPORTRANGE(""https://docs.google.com/spreadsheets/d/1Dj4jcHCTV9JXKCaMoheSXS52JE63kDKyG7bPXnFogHk/edit?usp=sharing"",""นครศรีธรรมราช!I653"")"),0)</f>
        <v>0</v>
      </c>
      <c r="AA78" s="177">
        <f ca="1">IFERROR(__xludf.DUMMYFUNCTION("IMPORTRANGE(""https://docs.google.com/spreadsheets/d/1Dj4jcHCTV9JXKCaMoheSXS52JE63kDKyG7bPXnFogHk/edit?usp=sharing"",""นครศรีธรรมราช!J653"")"),0)</f>
        <v>0</v>
      </c>
      <c r="AB78" s="354">
        <f t="shared" ca="1" si="52"/>
        <v>0</v>
      </c>
      <c r="AC78" s="177">
        <f ca="1">IFERROR(__xludf.DUMMYFUNCTION("IMPORTRANGE(""https://docs.google.com/spreadsheets/d/1Dj4jcHCTV9JXKCaMoheSXS52JE63kDKyG7bPXnFogHk/edit?usp=sharing"",""นครศรีธรรมราช!I654"")"),0)</f>
        <v>0</v>
      </c>
      <c r="AD78" s="177">
        <f ca="1">IFERROR(__xludf.DUMMYFUNCTION("IMPORTRANGE(""https://docs.google.com/spreadsheets/d/1Dj4jcHCTV9JXKCaMoheSXS52JE63kDKyG7bPXnFogHk/edit?usp=sharing"",""นครศรีธรรมราช!J654"")"),0)</f>
        <v>0</v>
      </c>
      <c r="AE78" s="354">
        <f t="shared" ca="1" si="54"/>
        <v>0</v>
      </c>
      <c r="AF78" s="354">
        <f ca="1">IFERROR(__xludf.DUMMYFUNCTION("IMPORTRANGE(""https://docs.google.com/spreadsheets/d/1Dj4jcHCTV9JXKCaMoheSXS52JE63kDKyG7bPXnFogHk/edit?usp=sharing"",""นครศรีธรรมราช!J655"")"),0)</f>
        <v>0</v>
      </c>
      <c r="AG78" s="354">
        <f ca="1">IFERROR(__xludf.DUMMYFUNCTION("IMPORTRANGE(""https://docs.google.com/spreadsheets/d/1Dj4jcHCTV9JXKCaMoheSXS52JE63kDKyG7bPXnFogHk/edit?usp=sharing"",""นครศรีธรรมราช!J656"")"),0)</f>
        <v>0</v>
      </c>
      <c r="AH78" s="354">
        <f ca="1">IFERROR(__xludf.DUMMYFUNCTION("IMPORTRANGE(""https://docs.google.com/spreadsheets/d/1Dj4jcHCTV9JXKCaMoheSXS52JE63kDKyG7bPXnFogHk/edit?usp=sharing"",""นครศรีธรรมราช!J657"")"),0)</f>
        <v>0</v>
      </c>
      <c r="AI78" s="354">
        <f ca="1">IFERROR(__xludf.DUMMYFUNCTION("IMPORTRANGE(""https://docs.google.com/spreadsheets/d/1Dj4jcHCTV9JXKCaMoheSXS52JE63kDKyG7bPXnFogHk/edit?usp=sharing"",""นครศรีธรรมราช!J658"")"),0)</f>
        <v>0</v>
      </c>
      <c r="AJ78" s="354">
        <f ca="1">IFERROR(__xludf.DUMMYFUNCTION("IMPORTRANGE(""https://docs.google.com/spreadsheets/d/1Dj4jcHCTV9JXKCaMoheSXS52JE63kDKyG7bPXnFogHk/edit?usp=sharing"",""นครศรีธรรมราช!J659"")"),0)</f>
        <v>0</v>
      </c>
      <c r="AK78" s="354">
        <f ca="1">IFERROR(__xludf.DUMMYFUNCTION("IMPORTRANGE(""https://docs.google.com/spreadsheets/d/1Dj4jcHCTV9JXKCaMoheSXS52JE63kDKyG7bPXnFogHk/edit?usp=sharing"",""นครศรีธรรมราช!J660"")"),0)</f>
        <v>0</v>
      </c>
      <c r="AL78" s="177">
        <f ca="1">IFERROR(__xludf.DUMMYFUNCTION("IMPORTRANGE(""https://docs.google.com/spreadsheets/d/1Dj4jcHCTV9JXKCaMoheSXS52JE63kDKyG7bPXnFogHk/edit?usp=sharing"",""นครศรีธรรมราช!I661"")"),0)</f>
        <v>0</v>
      </c>
      <c r="AM78" s="177">
        <f ca="1">IFERROR(__xludf.DUMMYFUNCTION("IMPORTRANGE(""https://docs.google.com/spreadsheets/d/1Dj4jcHCTV9JXKCaMoheSXS52JE63kDKyG7bPXnFogHk/edit?usp=sharing"",""นครศรีธรรมราช!J661"")"),0)</f>
        <v>0</v>
      </c>
      <c r="AN78" s="354">
        <f t="shared" ca="1" si="56"/>
        <v>0</v>
      </c>
      <c r="AO78" s="177">
        <f ca="1">IFERROR(__xludf.DUMMYFUNCTION("IMPORTRANGE(""https://docs.google.com/spreadsheets/d/1Dj4jcHCTV9JXKCaMoheSXS52JE63kDKyG7bPXnFogHk/edit?usp=sharing"",""นครศรีธรรมราช!J662"")"),0)</f>
        <v>0</v>
      </c>
      <c r="AP78" s="177">
        <f ca="1">IFERROR(__xludf.DUMMYFUNCTION("IMPORTRANGE(""https://docs.google.com/spreadsheets/d/1Dj4jcHCTV9JXKCaMoheSXS52JE63kDKyG7bPXnFogHk/edit?usp=sharing"",""นครศรีธรรมราช!J663"")"),0)</f>
        <v>0</v>
      </c>
      <c r="AQ78" s="177">
        <f ca="1">IFERROR(__xludf.DUMMYFUNCTION("IMPORTRANGE(""https://docs.google.com/spreadsheets/d/1Dj4jcHCTV9JXKCaMoheSXS52JE63kDKyG7bPXnFogHk/edit?usp=sharing"",""นครศรีธรรมราช!J665"")"),0)</f>
        <v>0</v>
      </c>
      <c r="AR78" s="177">
        <f ca="1">IFERROR(__xludf.DUMMYFUNCTION("IMPORTRANGE(""https://docs.google.com/spreadsheets/d/1Dj4jcHCTV9JXKCaMoheSXS52JE63kDKyG7bPXnFogHk/edit?usp=sharing"",""นครศรีธรรมราช!J666"")"),0)</f>
        <v>0</v>
      </c>
      <c r="AS78" s="177">
        <f ca="1">IFERROR(__xludf.DUMMYFUNCTION("IMPORTRANGE(""https://docs.google.com/spreadsheets/d/1Dj4jcHCTV9JXKCaMoheSXS52JE63kDKyG7bPXnFogHk/edit?usp=sharing"",""นครศรีธรรมราช!J667"")"),0)</f>
        <v>0</v>
      </c>
      <c r="AT78" s="177">
        <f ca="1">IFERROR(__xludf.DUMMYFUNCTION("IMPORTRANGE(""https://docs.google.com/spreadsheets/d/1Dj4jcHCTV9JXKCaMoheSXS52JE63kDKyG7bPXnFogHk/edit?usp=sharing"",""นครศรีธรรมราช!J668"")"),0)</f>
        <v>0</v>
      </c>
      <c r="AU78" s="177">
        <f ca="1">IFERROR(__xludf.DUMMYFUNCTION("IMPORTRANGE(""https://docs.google.com/spreadsheets/d/1Dj4jcHCTV9JXKCaMoheSXS52JE63kDKyG7bPXnFogHk/edit?usp=sharing"",""นครศรีธรรมราช!J669"")"),0)</f>
        <v>0</v>
      </c>
      <c r="AV78" s="177">
        <f ca="1">IFERROR(__xludf.DUMMYFUNCTION("IMPORTRANGE(""https://docs.google.com/spreadsheets/d/1Dj4jcHCTV9JXKCaMoheSXS52JE63kDKyG7bPXnFogHk/edit?usp=sharing"",""นครศรีธรรมราช!J670"")"),0)</f>
        <v>0</v>
      </c>
      <c r="AW78" s="177">
        <v>0</v>
      </c>
      <c r="AX78" s="177">
        <f ca="1">IFERROR(__xludf.DUMMYFUNCTION("IMPORTRANGE(""https://docs.google.com/spreadsheets/d/1Dj4jcHCTV9JXKCaMoheSXS52JE63kDKyG7bPXnFogHk/edit?usp=sharing"",""นครศรีธรรมราช!J671"")"),0)</f>
        <v>0</v>
      </c>
      <c r="AY78" s="177">
        <f ca="1">IFERROR(__xludf.DUMMYFUNCTION("IMPORTRANGE(""https://docs.google.com/spreadsheets/d/1Dj4jcHCTV9JXKCaMoheSXS52JE63kDKyG7bPXnFogHk/edit?usp=sharing"",""นครศรีธรรมราช!J672"")"),0)</f>
        <v>0</v>
      </c>
      <c r="AZ78" s="177">
        <f ca="1">IFERROR(__xludf.DUMMYFUNCTION("IMPORTRANGE(""https://docs.google.com/spreadsheets/d/1Dj4jcHCTV9JXKCaMoheSXS52JE63kDKyG7bPXnFogHk/edit?usp=sharing"",""นครศรีธรรมราช!J673"")"),0)</f>
        <v>0</v>
      </c>
      <c r="BA78" s="354">
        <f t="shared" si="58"/>
        <v>0</v>
      </c>
      <c r="BB78" s="177">
        <f ca="1">IFERROR(__xludf.DUMMYFUNCTION("IMPORTRANGE(""https://docs.google.com/spreadsheets/d/1Dj4jcHCTV9JXKCaMoheSXS52JE63kDKyG7bPXnFogHk/edit?usp=sharing"",""นครศรีธรรมราช!I674"")"),0)</f>
        <v>0</v>
      </c>
      <c r="BC78" s="177">
        <f ca="1">IFERROR(__xludf.DUMMYFUNCTION("IMPORTRANGE(""https://docs.google.com/spreadsheets/d/1Dj4jcHCTV9JXKCaMoheSXS52JE63kDKyG7bPXnFogHk/edit?usp=sharing"",""นครศรีธรรมราช!I675"")"),0)</f>
        <v>0</v>
      </c>
      <c r="BD78" s="177">
        <f ca="1">IFERROR(__xludf.DUMMYFUNCTION("IMPORTRANGE(""https://docs.google.com/spreadsheets/d/1Dj4jcHCTV9JXKCaMoheSXS52JE63kDKyG7bPXnFogHk/edit?usp=sharing"",""นครศรีธรรมราช!J674"")"),0)</f>
        <v>0</v>
      </c>
      <c r="BE78" s="354">
        <f t="shared" ca="1" si="60"/>
        <v>0</v>
      </c>
      <c r="BF78" s="177">
        <f ca="1">IFERROR(__xludf.DUMMYFUNCTION("IMPORTRANGE(""https://docs.google.com/spreadsheets/d/1Dj4jcHCTV9JXKCaMoheSXS52JE63kDKyG7bPXnFogHk/edit?usp=sharing"",""นครศรีธรรมราช!J675"")"),0)</f>
        <v>0</v>
      </c>
      <c r="BG78" s="354">
        <f t="shared" ca="1" si="61"/>
        <v>0</v>
      </c>
      <c r="BH78" s="177">
        <f ca="1">IFERROR(__xludf.DUMMYFUNCTION("IMPORTRANGE(""https://docs.google.com/spreadsheets/d/1Dj4jcHCTV9JXKCaMoheSXS52JE63kDKyG7bPXnFogHk/edit?usp=sharing"",""นครศรีธรรมราช!I676"")"),0)</f>
        <v>0</v>
      </c>
      <c r="BI78" s="177">
        <f ca="1">IFERROR(__xludf.DUMMYFUNCTION("IMPORTRANGE(""https://docs.google.com/spreadsheets/d/1Dj4jcHCTV9JXKCaMoheSXS52JE63kDKyG7bPXnFogHk/edit?usp=sharing"",""นครศรีธรรมราช!I678"")"),0)</f>
        <v>0</v>
      </c>
      <c r="BJ78" s="177">
        <f ca="1">IFERROR(__xludf.DUMMYFUNCTION("IMPORTRANGE(""https://docs.google.com/spreadsheets/d/1Dj4jcHCTV9JXKCaMoheSXS52JE63kDKyG7bPXnFogHk/edit?usp=sharing"",""นครศรีธรรมราช!J676"")"),0)</f>
        <v>0</v>
      </c>
      <c r="BK78" s="177">
        <f ca="1">IFERROR(__xludf.DUMMYFUNCTION("IMPORTRANGE(""https://docs.google.com/spreadsheets/d/1Dj4jcHCTV9JXKCaMoheSXS52JE63kDKyG7bPXnFogHk/edit?usp=sharing"",""นครศรีธรรมราช!J677"")"),0)</f>
        <v>0</v>
      </c>
      <c r="BL78" s="177">
        <f ca="1">IFERROR(__xludf.DUMMYFUNCTION("IMPORTRANGE(""https://docs.google.com/spreadsheets/d/1Dj4jcHCTV9JXKCaMoheSXS52JE63kDKyG7bPXnFogHk/edit?usp=sharing"",""นครศรีธรรมราช!J678"")"),0)</f>
        <v>0</v>
      </c>
      <c r="BM78" s="177">
        <f ca="1">IFERROR(__xludf.DUMMYFUNCTION("IMPORTRANGE(""https://docs.google.com/spreadsheets/d/1Dj4jcHCTV9JXKCaMoheSXS52JE63kDKyG7bPXnFogHk/edit?usp=sharing"",""นครศรีธรรมราช!I679"")"),0)</f>
        <v>0</v>
      </c>
      <c r="BN78" s="177">
        <f ca="1">IFERROR(__xludf.DUMMYFUNCTION("IMPORTRANGE(""https://docs.google.com/spreadsheets/d/1Dj4jcHCTV9JXKCaMoheSXS52JE63kDKyG7bPXnFogHk/edit?usp=sharing"",""นครศรีธรรมราช!I681"")"),0)</f>
        <v>0</v>
      </c>
      <c r="BO78" s="177">
        <f ca="1">IFERROR(__xludf.DUMMYFUNCTION("IMPORTRANGE(""https://docs.google.com/spreadsheets/d/1Dj4jcHCTV9JXKCaMoheSXS52JE63kDKyG7bPXnFogHk/edit?usp=sharing"",""นครศรีธรรมราช!J679"")"),0)</f>
        <v>0</v>
      </c>
      <c r="BP78" s="177">
        <f ca="1">IFERROR(__xludf.DUMMYFUNCTION("IMPORTRANGE(""https://docs.google.com/spreadsheets/d/1Dj4jcHCTV9JXKCaMoheSXS52JE63kDKyG7bPXnFogHk/edit?usp=sharing"",""นครศรีธรรมราช!J680"")"),0)</f>
        <v>0</v>
      </c>
      <c r="BQ78" s="177">
        <f ca="1">IFERROR(__xludf.DUMMYFUNCTION("IMPORTRANGE(""https://docs.google.com/spreadsheets/d/1Dj4jcHCTV9JXKCaMoheSXS52JE63kDKyG7bPXnFogHk/edit?usp=sharing"",""นครศรีธรรมราช!J681"")"),0)</f>
        <v>0</v>
      </c>
      <c r="BR78" s="177">
        <f ca="1">IFERROR(__xludf.DUMMYFUNCTION("IMPORTRANGE(""https://docs.google.com/spreadsheets/d/1Dj4jcHCTV9JXKCaMoheSXS52JE63kDKyG7bPXnFogHk/edit?usp=sharing"",""นครศรีธรรมราช!I682"")"),0)</f>
        <v>0</v>
      </c>
      <c r="BS78" s="177">
        <f ca="1">IFERROR(__xludf.DUMMYFUNCTION("IMPORTRANGE(""https://docs.google.com/spreadsheets/d/1Dj4jcHCTV9JXKCaMoheSXS52JE63kDKyG7bPXnFogHk/edit?usp=sharing"",""นครศรีธรรมราช!J682"")"),0)</f>
        <v>0</v>
      </c>
      <c r="BT78" s="354">
        <f t="shared" ca="1" si="63"/>
        <v>0</v>
      </c>
      <c r="BU78" s="177">
        <f ca="1">IFERROR(__xludf.DUMMYFUNCTION("IMPORTRANGE(""https://docs.google.com/spreadsheets/d/1Dj4jcHCTV9JXKCaMoheSXS52JE63kDKyG7bPXnFogHk/edit?usp=sharing"",""นครศรีธรรมราช!J683"")"),0)</f>
        <v>0</v>
      </c>
      <c r="BV78" s="177">
        <f ca="1">IFERROR(__xludf.DUMMYFUNCTION("IMPORTRANGE(""https://docs.google.com/spreadsheets/d/1Dj4jcHCTV9JXKCaMoheSXS52JE63kDKyG7bPXnFogHk/edit?usp=sharing"",""นครศรีธรรมราช!J684"")"),0)</f>
        <v>0</v>
      </c>
      <c r="BW78" s="177">
        <f ca="1">IFERROR(__xludf.DUMMYFUNCTION("IMPORTRANGE(""https://docs.google.com/spreadsheets/d/1Dj4jcHCTV9JXKCaMoheSXS52JE63kDKyG7bPXnFogHk/edit?usp=sharing"",""นครศรีธรรมราช!J685"")"),0)</f>
        <v>0</v>
      </c>
      <c r="BX78" s="177">
        <f ca="1">IFERROR(__xludf.DUMMYFUNCTION("IMPORTRANGE(""https://docs.google.com/spreadsheets/d/1Dj4jcHCTV9JXKCaMoheSXS52JE63kDKyG7bPXnFogHk/edit?usp=sharing"",""นครศรีธรรมราช!J686"")"),0)</f>
        <v>0</v>
      </c>
      <c r="BY78" s="177">
        <f ca="1">IFERROR(__xludf.DUMMYFUNCTION("IMPORTRANGE(""https://docs.google.com/spreadsheets/d/1Dj4jcHCTV9JXKCaMoheSXS52JE63kDKyG7bPXnFogHk/edit?usp=sharing"",""นครศรีธรรมราช!J687"")"),0)</f>
        <v>0</v>
      </c>
      <c r="BZ78" s="177">
        <f ca="1">IFERROR(__xludf.DUMMYFUNCTION("IMPORTRANGE(""https://docs.google.com/spreadsheets/d/1Dj4jcHCTV9JXKCaMoheSXS52JE63kDKyG7bPXnFogHk/edit?usp=sharing"",""นครศรีธรรมราช!J688"")"),0)</f>
        <v>0</v>
      </c>
    </row>
    <row r="79" spans="1:78" ht="21.75" customHeight="1" x14ac:dyDescent="0.3">
      <c r="A79" s="89">
        <v>5</v>
      </c>
      <c r="B79" s="90" t="s">
        <v>105</v>
      </c>
      <c r="C79" s="174">
        <f t="shared" si="38"/>
        <v>0</v>
      </c>
      <c r="D79" s="175">
        <f t="shared" si="98"/>
        <v>0</v>
      </c>
      <c r="E79" s="403">
        <v>0</v>
      </c>
      <c r="F79" s="403">
        <v>0</v>
      </c>
      <c r="G79" s="403">
        <v>0</v>
      </c>
      <c r="H79" s="403">
        <v>0</v>
      </c>
      <c r="I79" s="403">
        <v>0</v>
      </c>
      <c r="J79" s="176">
        <f t="shared" si="40"/>
        <v>0</v>
      </c>
      <c r="K79" s="179">
        <f t="shared" si="41"/>
        <v>0</v>
      </c>
      <c r="L79" s="403">
        <v>0</v>
      </c>
      <c r="M79" s="87">
        <f t="shared" si="42"/>
        <v>0</v>
      </c>
      <c r="N79" s="87">
        <f t="shared" si="43"/>
        <v>0</v>
      </c>
      <c r="O79" s="403">
        <v>0</v>
      </c>
      <c r="P79" s="86">
        <f t="shared" si="44"/>
        <v>0</v>
      </c>
      <c r="Q79" s="87">
        <f t="shared" si="45"/>
        <v>0</v>
      </c>
      <c r="R79" s="87">
        <f ca="1">IFERROR(__xludf.DUMMYFUNCTION("IMPORTRANGE(""https://docs.google.com/spreadsheets/d/1iodCdmuK2GR3jzUwk8tpccY2JHQQA-87DLOtJP-ooyU/edit?usp=sharing"",""นราธิวาส!Q642"")"),0)</f>
        <v>0</v>
      </c>
      <c r="S79" s="87">
        <f ca="1">IFERROR(__xludf.DUMMYFUNCTION("IMPORTRANGE(""https://docs.google.com/spreadsheets/d/1iodCdmuK2GR3jzUwk8tpccY2JHQQA-87DLOtJP-ooyU/edit?usp=sharing"",""นราธิวาส!R642"")"),0)</f>
        <v>0</v>
      </c>
      <c r="T79" s="87">
        <f ca="1">IFERROR(__xludf.DUMMYFUNCTION("IMPORTRANGE(""https://docs.google.com/spreadsheets/d/1iodCdmuK2GR3jzUwk8tpccY2JHQQA-87DLOtJP-ooyU/edit?usp=sharing"",""นราธิวาส!S642"")"),0)</f>
        <v>0</v>
      </c>
      <c r="U79" s="87">
        <f t="shared" ca="1" si="47"/>
        <v>0</v>
      </c>
      <c r="V79" s="87">
        <f t="shared" ca="1" si="48"/>
        <v>0</v>
      </c>
      <c r="W79" s="353">
        <f ca="1">IFERROR(__xludf.DUMMYFUNCTION("IMPORTRANGE(""https://docs.google.com/spreadsheets/d/1iodCdmuK2GR3jzUwk8tpccY2JHQQA-87DLOtJP-ooyU/edit?usp=sharing"",""นราธิวาส!I652"")"),0)</f>
        <v>0</v>
      </c>
      <c r="X79" s="177">
        <f ca="1">IFERROR(__xludf.DUMMYFUNCTION("IMPORTRANGE(""https://docs.google.com/spreadsheets/d/1iodCdmuK2GR3jzUwk8tpccY2JHQQA-87DLOtJP-ooyU/edit?usp=sharing"",""นราธิวาส!J652"")"),0)</f>
        <v>0</v>
      </c>
      <c r="Y79" s="354">
        <f t="shared" ca="1" si="50"/>
        <v>0</v>
      </c>
      <c r="Z79" s="177">
        <f ca="1">IFERROR(__xludf.DUMMYFUNCTION("IMPORTRANGE(""https://docs.google.com/spreadsheets/d/1iodCdmuK2GR3jzUwk8tpccY2JHQQA-87DLOtJP-ooyU/edit?usp=sharing"",""นราธิวาส!I653"")"),0)</f>
        <v>0</v>
      </c>
      <c r="AA79" s="177">
        <f ca="1">IFERROR(__xludf.DUMMYFUNCTION("IMPORTRANGE(""https://docs.google.com/spreadsheets/d/1iodCdmuK2GR3jzUwk8tpccY2JHQQA-87DLOtJP-ooyU/edit?usp=sharing"",""นราธิวาส!J653"")"),0)</f>
        <v>0</v>
      </c>
      <c r="AB79" s="354">
        <f t="shared" ca="1" si="52"/>
        <v>0</v>
      </c>
      <c r="AC79" s="177">
        <f ca="1">IFERROR(__xludf.DUMMYFUNCTION("IMPORTRANGE(""https://docs.google.com/spreadsheets/d/1iodCdmuK2GR3jzUwk8tpccY2JHQQA-87DLOtJP-ooyU/edit?usp=sharing"",""นราธิวาส!I654"")"),0)</f>
        <v>0</v>
      </c>
      <c r="AD79" s="177">
        <f ca="1">IFERROR(__xludf.DUMMYFUNCTION("IMPORTRANGE(""https://docs.google.com/spreadsheets/d/1iodCdmuK2GR3jzUwk8tpccY2JHQQA-87DLOtJP-ooyU/edit?usp=sharing"",""นราธิวาส!J654"")"),0)</f>
        <v>0</v>
      </c>
      <c r="AE79" s="354">
        <f t="shared" ca="1" si="54"/>
        <v>0</v>
      </c>
      <c r="AF79" s="354">
        <f ca="1">IFERROR(__xludf.DUMMYFUNCTION("IMPORTRANGE(""https://docs.google.com/spreadsheets/d/1iodCdmuK2GR3jzUwk8tpccY2JHQQA-87DLOtJP-ooyU/edit?usp=sharing"",""นราธิวาส!J655"")"),0)</f>
        <v>0</v>
      </c>
      <c r="AG79" s="354">
        <f ca="1">IFERROR(__xludf.DUMMYFUNCTION("IMPORTRANGE(""https://docs.google.com/spreadsheets/d/1iodCdmuK2GR3jzUwk8tpccY2JHQQA-87DLOtJP-ooyU/edit?usp=sharing"",""นราธิวาส!J656"")"),0)</f>
        <v>0</v>
      </c>
      <c r="AH79" s="354">
        <f ca="1">IFERROR(__xludf.DUMMYFUNCTION("IMPORTRANGE(""https://docs.google.com/spreadsheets/d/1iodCdmuK2GR3jzUwk8tpccY2JHQQA-87DLOtJP-ooyU/edit?usp=sharing"",""นราธิวาส!J657"")"),0)</f>
        <v>0</v>
      </c>
      <c r="AI79" s="354">
        <f ca="1">IFERROR(__xludf.DUMMYFUNCTION("IMPORTRANGE(""https://docs.google.com/spreadsheets/d/1iodCdmuK2GR3jzUwk8tpccY2JHQQA-87DLOtJP-ooyU/edit?usp=sharing"",""นราธิวาส!J658"")"),0)</f>
        <v>0</v>
      </c>
      <c r="AJ79" s="354">
        <f ca="1">IFERROR(__xludf.DUMMYFUNCTION("IMPORTRANGE(""https://docs.google.com/spreadsheets/d/1iodCdmuK2GR3jzUwk8tpccY2JHQQA-87DLOtJP-ooyU/edit?usp=sharing"",""นราธิวาส!J659"")"),0)</f>
        <v>0</v>
      </c>
      <c r="AK79" s="354">
        <f ca="1">IFERROR(__xludf.DUMMYFUNCTION("IMPORTRANGE(""https://docs.google.com/spreadsheets/d/1iodCdmuK2GR3jzUwk8tpccY2JHQQA-87DLOtJP-ooyU/edit?usp=sharing"",""นราธิวาส!J660"")"),0)</f>
        <v>0</v>
      </c>
      <c r="AL79" s="177">
        <f ca="1">IFERROR(__xludf.DUMMYFUNCTION("IMPORTRANGE(""https://docs.google.com/spreadsheets/d/1iodCdmuK2GR3jzUwk8tpccY2JHQQA-87DLOtJP-ooyU/edit?usp=sharing"",""นราธิวาส!I661"")"),0)</f>
        <v>0</v>
      </c>
      <c r="AM79" s="177">
        <f ca="1">IFERROR(__xludf.DUMMYFUNCTION("IMPORTRANGE(""https://docs.google.com/spreadsheets/d/1iodCdmuK2GR3jzUwk8tpccY2JHQQA-87DLOtJP-ooyU/edit?usp=sharing"",""นราธิวาส!J661"")"),0)</f>
        <v>0</v>
      </c>
      <c r="AN79" s="354">
        <f t="shared" ca="1" si="56"/>
        <v>0</v>
      </c>
      <c r="AO79" s="177">
        <f ca="1">IFERROR(__xludf.DUMMYFUNCTION("IMPORTRANGE(""https://docs.google.com/spreadsheets/d/1iodCdmuK2GR3jzUwk8tpccY2JHQQA-87DLOtJP-ooyU/edit?usp=sharing"",""นราธิวาส!J662"")"),0)</f>
        <v>0</v>
      </c>
      <c r="AP79" s="177">
        <f ca="1">IFERROR(__xludf.DUMMYFUNCTION("IMPORTRANGE(""https://docs.google.com/spreadsheets/d/1iodCdmuK2GR3jzUwk8tpccY2JHQQA-87DLOtJP-ooyU/edit?usp=sharing"",""นราธิวาส!J663"")"),0)</f>
        <v>0</v>
      </c>
      <c r="AQ79" s="177">
        <f ca="1">IFERROR(__xludf.DUMMYFUNCTION("IMPORTRANGE(""https://docs.google.com/spreadsheets/d/1iodCdmuK2GR3jzUwk8tpccY2JHQQA-87DLOtJP-ooyU/edit?usp=sharing"",""นราธิวาส!J665"")"),0)</f>
        <v>0</v>
      </c>
      <c r="AR79" s="177">
        <f ca="1">IFERROR(__xludf.DUMMYFUNCTION("IMPORTRANGE(""https://docs.google.com/spreadsheets/d/1iodCdmuK2GR3jzUwk8tpccY2JHQQA-87DLOtJP-ooyU/edit?usp=sharing"",""นราธิวาส!J666"")"),0)</f>
        <v>0</v>
      </c>
      <c r="AS79" s="177">
        <f ca="1">IFERROR(__xludf.DUMMYFUNCTION("IMPORTRANGE(""https://docs.google.com/spreadsheets/d/1iodCdmuK2GR3jzUwk8tpccY2JHQQA-87DLOtJP-ooyU/edit?usp=sharing"",""นราธิวาส!J667"")"),0)</f>
        <v>0</v>
      </c>
      <c r="AT79" s="177">
        <f ca="1">IFERROR(__xludf.DUMMYFUNCTION("IMPORTRANGE(""https://docs.google.com/spreadsheets/d/1iodCdmuK2GR3jzUwk8tpccY2JHQQA-87DLOtJP-ooyU/edit?usp=sharing"",""นราธิวาส!J668"")"),0)</f>
        <v>0</v>
      </c>
      <c r="AU79" s="177">
        <f ca="1">IFERROR(__xludf.DUMMYFUNCTION("IMPORTRANGE(""https://docs.google.com/spreadsheets/d/1iodCdmuK2GR3jzUwk8tpccY2JHQQA-87DLOtJP-ooyU/edit?usp=sharing"",""นราธิวาส!J669"")"),0)</f>
        <v>0</v>
      </c>
      <c r="AV79" s="177">
        <f ca="1">IFERROR(__xludf.DUMMYFUNCTION("IMPORTRANGE(""https://docs.google.com/spreadsheets/d/1iodCdmuK2GR3jzUwk8tpccY2JHQQA-87DLOtJP-ooyU/edit?usp=sharing"",""นราธิวาส!J670"")"),0)</f>
        <v>0</v>
      </c>
      <c r="AW79" s="177">
        <v>0</v>
      </c>
      <c r="AX79" s="177">
        <f ca="1">IFERROR(__xludf.DUMMYFUNCTION("IMPORTRANGE(""https://docs.google.com/spreadsheets/d/1iodCdmuK2GR3jzUwk8tpccY2JHQQA-87DLOtJP-ooyU/edit?usp=sharing"",""นราธิวาส!J671"")"),0)</f>
        <v>0</v>
      </c>
      <c r="AY79" s="177">
        <f ca="1">IFERROR(__xludf.DUMMYFUNCTION("IMPORTRANGE(""https://docs.google.com/spreadsheets/d/1iodCdmuK2GR3jzUwk8tpccY2JHQQA-87DLOtJP-ooyU/edit?usp=sharing"",""นราธิวาส!J672"")"),0)</f>
        <v>0</v>
      </c>
      <c r="AZ79" s="177">
        <f ca="1">IFERROR(__xludf.DUMMYFUNCTION("IMPORTRANGE(""https://docs.google.com/spreadsheets/d/1iodCdmuK2GR3jzUwk8tpccY2JHQQA-87DLOtJP-ooyU/edit?usp=sharing"",""นราธิวาส!J673"")"),0)</f>
        <v>0</v>
      </c>
      <c r="BA79" s="354">
        <f t="shared" si="58"/>
        <v>0</v>
      </c>
      <c r="BB79" s="177">
        <f ca="1">IFERROR(__xludf.DUMMYFUNCTION("IMPORTRANGE(""https://docs.google.com/spreadsheets/d/1iodCdmuK2GR3jzUwk8tpccY2JHQQA-87DLOtJP-ooyU/edit?usp=sharing"",""นราธิวาส!I674"")"),0)</f>
        <v>0</v>
      </c>
      <c r="BC79" s="177">
        <f ca="1">IFERROR(__xludf.DUMMYFUNCTION("IMPORTRANGE(""https://docs.google.com/spreadsheets/d/1iodCdmuK2GR3jzUwk8tpccY2JHQQA-87DLOtJP-ooyU/edit?usp=sharing"",""นราธิวาส!I675"")"),0)</f>
        <v>0</v>
      </c>
      <c r="BD79" s="177">
        <f ca="1">IFERROR(__xludf.DUMMYFUNCTION("IMPORTRANGE(""https://docs.google.com/spreadsheets/d/1iodCdmuK2GR3jzUwk8tpccY2JHQQA-87DLOtJP-ooyU/edit?usp=sharing"",""นราธิวาส!J674"")"),0)</f>
        <v>0</v>
      </c>
      <c r="BE79" s="354">
        <f t="shared" ca="1" si="60"/>
        <v>0</v>
      </c>
      <c r="BF79" s="177">
        <f ca="1">IFERROR(__xludf.DUMMYFUNCTION("IMPORTRANGE(""https://docs.google.com/spreadsheets/d/1iodCdmuK2GR3jzUwk8tpccY2JHQQA-87DLOtJP-ooyU/edit?usp=sharing"",""นราธิวาส!J675"")"),0)</f>
        <v>0</v>
      </c>
      <c r="BG79" s="354">
        <f t="shared" ca="1" si="61"/>
        <v>0</v>
      </c>
      <c r="BH79" s="177">
        <f ca="1">IFERROR(__xludf.DUMMYFUNCTION("IMPORTRANGE(""https://docs.google.com/spreadsheets/d/1iodCdmuK2GR3jzUwk8tpccY2JHQQA-87DLOtJP-ooyU/edit?usp=sharing"",""นราธิวาส!I676"")"),0)</f>
        <v>0</v>
      </c>
      <c r="BI79" s="177">
        <f ca="1">IFERROR(__xludf.DUMMYFUNCTION("IMPORTRANGE(""https://docs.google.com/spreadsheets/d/1iodCdmuK2GR3jzUwk8tpccY2JHQQA-87DLOtJP-ooyU/edit?usp=sharing"",""นราธิวาส!I678"")"),0)</f>
        <v>0</v>
      </c>
      <c r="BJ79" s="177">
        <f ca="1">IFERROR(__xludf.DUMMYFUNCTION("IMPORTRANGE(""https://docs.google.com/spreadsheets/d/1iodCdmuK2GR3jzUwk8tpccY2JHQQA-87DLOtJP-ooyU/edit?usp=sharing"",""นราธิวาส!J676"")"),0)</f>
        <v>0</v>
      </c>
      <c r="BK79" s="177">
        <f ca="1">IFERROR(__xludf.DUMMYFUNCTION("IMPORTRANGE(""https://docs.google.com/spreadsheets/d/1iodCdmuK2GR3jzUwk8tpccY2JHQQA-87DLOtJP-ooyU/edit?usp=sharing"",""นราธิวาส!J677"")"),0)</f>
        <v>0</v>
      </c>
      <c r="BL79" s="177">
        <f ca="1">IFERROR(__xludf.DUMMYFUNCTION("IMPORTRANGE(""https://docs.google.com/spreadsheets/d/1iodCdmuK2GR3jzUwk8tpccY2JHQQA-87DLOtJP-ooyU/edit?usp=sharing"",""นราธิวาส!J678"")"),0)</f>
        <v>0</v>
      </c>
      <c r="BM79" s="177">
        <f ca="1">IFERROR(__xludf.DUMMYFUNCTION("IMPORTRANGE(""https://docs.google.com/spreadsheets/d/1iodCdmuK2GR3jzUwk8tpccY2JHQQA-87DLOtJP-ooyU/edit?usp=sharing"",""นราธิวาส!I679"")"),0)</f>
        <v>0</v>
      </c>
      <c r="BN79" s="177">
        <f ca="1">IFERROR(__xludf.DUMMYFUNCTION("IMPORTRANGE(""https://docs.google.com/spreadsheets/d/1iodCdmuK2GR3jzUwk8tpccY2JHQQA-87DLOtJP-ooyU/edit?usp=sharing"",""นราธิวาส!I681"")"),0)</f>
        <v>0</v>
      </c>
      <c r="BO79" s="177">
        <f ca="1">IFERROR(__xludf.DUMMYFUNCTION("IMPORTRANGE(""https://docs.google.com/spreadsheets/d/1iodCdmuK2GR3jzUwk8tpccY2JHQQA-87DLOtJP-ooyU/edit?usp=sharing"",""นราธิวาส!J679"")"),0)</f>
        <v>0</v>
      </c>
      <c r="BP79" s="177">
        <f ca="1">IFERROR(__xludf.DUMMYFUNCTION("IMPORTRANGE(""https://docs.google.com/spreadsheets/d/1iodCdmuK2GR3jzUwk8tpccY2JHQQA-87DLOtJP-ooyU/edit?usp=sharing"",""นราธิวาส!J680"")"),0)</f>
        <v>0</v>
      </c>
      <c r="BQ79" s="177">
        <f ca="1">IFERROR(__xludf.DUMMYFUNCTION("IMPORTRANGE(""https://docs.google.com/spreadsheets/d/1iodCdmuK2GR3jzUwk8tpccY2JHQQA-87DLOtJP-ooyU/edit?usp=sharing"",""นราธิวาส!J681"")"),0)</f>
        <v>0</v>
      </c>
      <c r="BR79" s="177">
        <f ca="1">IFERROR(__xludf.DUMMYFUNCTION("IMPORTRANGE(""https://docs.google.com/spreadsheets/d/1iodCdmuK2GR3jzUwk8tpccY2JHQQA-87DLOtJP-ooyU/edit?usp=sharing"",""นราธิวาส!I682"")"),0)</f>
        <v>0</v>
      </c>
      <c r="BS79" s="177">
        <f ca="1">IFERROR(__xludf.DUMMYFUNCTION("IMPORTRANGE(""https://docs.google.com/spreadsheets/d/1iodCdmuK2GR3jzUwk8tpccY2JHQQA-87DLOtJP-ooyU/edit?usp=sharing"",""นราธิวาส!J682"")"),0)</f>
        <v>0</v>
      </c>
      <c r="BT79" s="354">
        <f t="shared" ca="1" si="63"/>
        <v>0</v>
      </c>
      <c r="BU79" s="177">
        <f ca="1">IFERROR(__xludf.DUMMYFUNCTION("IMPORTRANGE(""https://docs.google.com/spreadsheets/d/1iodCdmuK2GR3jzUwk8tpccY2JHQQA-87DLOtJP-ooyU/edit?usp=sharing"",""นราธิวาส!J683"")"),0)</f>
        <v>0</v>
      </c>
      <c r="BV79" s="177">
        <f ca="1">IFERROR(__xludf.DUMMYFUNCTION("IMPORTRANGE(""https://docs.google.com/spreadsheets/d/1iodCdmuK2GR3jzUwk8tpccY2JHQQA-87DLOtJP-ooyU/edit?usp=sharing"",""นราธิวาส!J684"")"),0)</f>
        <v>0</v>
      </c>
      <c r="BW79" s="177">
        <f ca="1">IFERROR(__xludf.DUMMYFUNCTION("IMPORTRANGE(""https://docs.google.com/spreadsheets/d/1iodCdmuK2GR3jzUwk8tpccY2JHQQA-87DLOtJP-ooyU/edit?usp=sharing"",""นราธิวาส!J685"")"),0)</f>
        <v>0</v>
      </c>
      <c r="BX79" s="177">
        <f ca="1">IFERROR(__xludf.DUMMYFUNCTION("IMPORTRANGE(""https://docs.google.com/spreadsheets/d/1iodCdmuK2GR3jzUwk8tpccY2JHQQA-87DLOtJP-ooyU/edit?usp=sharing"",""นราธิวาส!J686"")"),0)</f>
        <v>0</v>
      </c>
      <c r="BY79" s="177">
        <f ca="1">IFERROR(__xludf.DUMMYFUNCTION("IMPORTRANGE(""https://docs.google.com/spreadsheets/d/1iodCdmuK2GR3jzUwk8tpccY2JHQQA-87DLOtJP-ooyU/edit?usp=sharing"",""นราธิวาส!J687"")"),0)</f>
        <v>0</v>
      </c>
      <c r="BZ79" s="177">
        <f ca="1">IFERROR(__xludf.DUMMYFUNCTION("IMPORTRANGE(""https://docs.google.com/spreadsheets/d/1iodCdmuK2GR3jzUwk8tpccY2JHQQA-87DLOtJP-ooyU/edit?usp=sharing"",""นราธิวาส!J688"")"),0)</f>
        <v>0</v>
      </c>
    </row>
    <row r="80" spans="1:78" ht="21.75" customHeight="1" x14ac:dyDescent="0.3">
      <c r="A80" s="89">
        <v>6</v>
      </c>
      <c r="B80" s="90" t="s">
        <v>106</v>
      </c>
      <c r="C80" s="174">
        <f t="shared" si="38"/>
        <v>0</v>
      </c>
      <c r="D80" s="175">
        <f t="shared" si="98"/>
        <v>0</v>
      </c>
      <c r="E80" s="403">
        <v>0</v>
      </c>
      <c r="F80" s="403">
        <v>0</v>
      </c>
      <c r="G80" s="403">
        <v>0</v>
      </c>
      <c r="H80" s="403">
        <v>0</v>
      </c>
      <c r="I80" s="403">
        <v>0</v>
      </c>
      <c r="J80" s="176">
        <f t="shared" si="40"/>
        <v>0</v>
      </c>
      <c r="K80" s="179">
        <f t="shared" si="41"/>
        <v>0</v>
      </c>
      <c r="L80" s="403">
        <v>0</v>
      </c>
      <c r="M80" s="87">
        <f t="shared" si="42"/>
        <v>0</v>
      </c>
      <c r="N80" s="87">
        <f t="shared" si="43"/>
        <v>0</v>
      </c>
      <c r="O80" s="403">
        <v>0</v>
      </c>
      <c r="P80" s="86">
        <f t="shared" si="44"/>
        <v>0</v>
      </c>
      <c r="Q80" s="87">
        <f t="shared" si="45"/>
        <v>0</v>
      </c>
      <c r="R80" s="87">
        <f ca="1">IFERROR(__xludf.DUMMYFUNCTION("IMPORTRANGE(""https://docs.google.com/spreadsheets/d/1SDNX3JhDdYRuIOsj0Wh2M-Qa_eaXl0NbWmhAOTbfQAs/edit?usp=sharing"",""ปัตตานี!Q642"")"),8200)</f>
        <v>8200</v>
      </c>
      <c r="S80" s="87">
        <f ca="1">IFERROR(__xludf.DUMMYFUNCTION("IMPORTRANGE(""https://docs.google.com/spreadsheets/d/1SDNX3JhDdYRuIOsj0Wh2M-Qa_eaXl0NbWmhAOTbfQAs/edit?usp=sharing"",""ปัตตานี!R642"")"),0)</f>
        <v>0</v>
      </c>
      <c r="T80" s="87">
        <f ca="1">IFERROR(__xludf.DUMMYFUNCTION("IMPORTRANGE(""https://docs.google.com/spreadsheets/d/1SDNX3JhDdYRuIOsj0Wh2M-Qa_eaXl0NbWmhAOTbfQAs/edit?usp=sharing"",""ปัตตานี!S642"")"),0)</f>
        <v>0</v>
      </c>
      <c r="U80" s="87">
        <f t="shared" ca="1" si="47"/>
        <v>0</v>
      </c>
      <c r="V80" s="87">
        <f t="shared" ca="1" si="48"/>
        <v>0</v>
      </c>
      <c r="W80" s="353">
        <f ca="1">IFERROR(__xludf.DUMMYFUNCTION("IMPORTRANGE(""https://docs.google.com/spreadsheets/d/1SDNX3JhDdYRuIOsj0Wh2M-Qa_eaXl0NbWmhAOTbfQAs/edit?usp=sharing"",""ปัตตานี!I652"")"),0)</f>
        <v>0</v>
      </c>
      <c r="X80" s="177">
        <f ca="1">IFERROR(__xludf.DUMMYFUNCTION("IMPORTRANGE(""https://docs.google.com/spreadsheets/d/1SDNX3JhDdYRuIOsj0Wh2M-Qa_eaXl0NbWmhAOTbfQAs/edit?usp=sharing"",""ปัตตานี!J652"")"),0)</f>
        <v>0</v>
      </c>
      <c r="Y80" s="354">
        <f t="shared" ca="1" si="50"/>
        <v>0</v>
      </c>
      <c r="Z80" s="177">
        <f ca="1">IFERROR(__xludf.DUMMYFUNCTION("IMPORTRANGE(""https://docs.google.com/spreadsheets/d/1SDNX3JhDdYRuIOsj0Wh2M-Qa_eaXl0NbWmhAOTbfQAs/edit?usp=sharing"",""ปัตตานี!I653"")"),60)</f>
        <v>60</v>
      </c>
      <c r="AA80" s="177">
        <f ca="1">IFERROR(__xludf.DUMMYFUNCTION("IMPORTRANGE(""https://docs.google.com/spreadsheets/d/1SDNX3JhDdYRuIOsj0Wh2M-Qa_eaXl0NbWmhAOTbfQAs/edit?usp=sharing"",""ปัตตานี!J653"")"),0)</f>
        <v>0</v>
      </c>
      <c r="AB80" s="354">
        <f t="shared" ca="1" si="52"/>
        <v>0</v>
      </c>
      <c r="AC80" s="177">
        <f ca="1">IFERROR(__xludf.DUMMYFUNCTION("IMPORTRANGE(""https://docs.google.com/spreadsheets/d/1SDNX3JhDdYRuIOsj0Wh2M-Qa_eaXl0NbWmhAOTbfQAs/edit?usp=sharing"",""ปัตตานี!I654"")"),0)</f>
        <v>0</v>
      </c>
      <c r="AD80" s="177">
        <f ca="1">IFERROR(__xludf.DUMMYFUNCTION("IMPORTRANGE(""https://docs.google.com/spreadsheets/d/1SDNX3JhDdYRuIOsj0Wh2M-Qa_eaXl0NbWmhAOTbfQAs/edit?usp=sharing"",""ปัตตานี!J654"")"),0)</f>
        <v>0</v>
      </c>
      <c r="AE80" s="354">
        <f t="shared" ca="1" si="54"/>
        <v>0</v>
      </c>
      <c r="AF80" s="354">
        <f ca="1">IFERROR(__xludf.DUMMYFUNCTION("IMPORTRANGE(""https://docs.google.com/spreadsheets/d/1SDNX3JhDdYRuIOsj0Wh2M-Qa_eaXl0NbWmhAOTbfQAs/edit?usp=sharing"",""ปัตตานี!J655"")"),0)</f>
        <v>0</v>
      </c>
      <c r="AG80" s="354">
        <f ca="1">IFERROR(__xludf.DUMMYFUNCTION("IMPORTRANGE(""https://docs.google.com/spreadsheets/d/1SDNX3JhDdYRuIOsj0Wh2M-Qa_eaXl0NbWmhAOTbfQAs/edit?usp=sharing"",""ปัตตานี!J656"")"),0)</f>
        <v>0</v>
      </c>
      <c r="AH80" s="354">
        <f ca="1">IFERROR(__xludf.DUMMYFUNCTION("IMPORTRANGE(""https://docs.google.com/spreadsheets/d/1SDNX3JhDdYRuIOsj0Wh2M-Qa_eaXl0NbWmhAOTbfQAs/edit?usp=sharing"",""ปัตตานี!J657"")"),0)</f>
        <v>0</v>
      </c>
      <c r="AI80" s="354">
        <f ca="1">IFERROR(__xludf.DUMMYFUNCTION("IMPORTRANGE(""https://docs.google.com/spreadsheets/d/1SDNX3JhDdYRuIOsj0Wh2M-Qa_eaXl0NbWmhAOTbfQAs/edit?usp=sharing"",""ปัตตานี!J658"")"),0)</f>
        <v>0</v>
      </c>
      <c r="AJ80" s="354">
        <f ca="1">IFERROR(__xludf.DUMMYFUNCTION("IMPORTRANGE(""https://docs.google.com/spreadsheets/d/1SDNX3JhDdYRuIOsj0Wh2M-Qa_eaXl0NbWmhAOTbfQAs/edit?usp=sharing"",""ปัตตานี!J659"")"),0)</f>
        <v>0</v>
      </c>
      <c r="AK80" s="354">
        <f ca="1">IFERROR(__xludf.DUMMYFUNCTION("IMPORTRANGE(""https://docs.google.com/spreadsheets/d/1SDNX3JhDdYRuIOsj0Wh2M-Qa_eaXl0NbWmhAOTbfQAs/edit?usp=sharing"",""ปัตตานี!J660"")"),0)</f>
        <v>0</v>
      </c>
      <c r="AL80" s="177">
        <f ca="1">IFERROR(__xludf.DUMMYFUNCTION("IMPORTRANGE(""https://docs.google.com/spreadsheets/d/1SDNX3JhDdYRuIOsj0Wh2M-Qa_eaXl0NbWmhAOTbfQAs/edit?usp=sharing"",""ปัตตานี!I661"")"),0)</f>
        <v>0</v>
      </c>
      <c r="AM80" s="177">
        <f ca="1">IFERROR(__xludf.DUMMYFUNCTION("IMPORTRANGE(""https://docs.google.com/spreadsheets/d/1SDNX3JhDdYRuIOsj0Wh2M-Qa_eaXl0NbWmhAOTbfQAs/edit?usp=sharing"",""ปัตตานี!J661"")"),0)</f>
        <v>0</v>
      </c>
      <c r="AN80" s="354">
        <f t="shared" ca="1" si="56"/>
        <v>0</v>
      </c>
      <c r="AO80" s="177">
        <f ca="1">IFERROR(__xludf.DUMMYFUNCTION("IMPORTRANGE(""https://docs.google.com/spreadsheets/d/1SDNX3JhDdYRuIOsj0Wh2M-Qa_eaXl0NbWmhAOTbfQAs/edit?usp=sharing"",""ปัตตานี!J662"")"),0)</f>
        <v>0</v>
      </c>
      <c r="AP80" s="177">
        <f ca="1">IFERROR(__xludf.DUMMYFUNCTION("IMPORTRANGE(""https://docs.google.com/spreadsheets/d/1SDNX3JhDdYRuIOsj0Wh2M-Qa_eaXl0NbWmhAOTbfQAs/edit?usp=sharing"",""ปัตตานี!J663"")"),0)</f>
        <v>0</v>
      </c>
      <c r="AQ80" s="177">
        <f ca="1">IFERROR(__xludf.DUMMYFUNCTION("IMPORTRANGE(""https://docs.google.com/spreadsheets/d/1SDNX3JhDdYRuIOsj0Wh2M-Qa_eaXl0NbWmhAOTbfQAs/edit?usp=sharing"",""ปัตตานี!J665"")"),0)</f>
        <v>0</v>
      </c>
      <c r="AR80" s="177">
        <f ca="1">IFERROR(__xludf.DUMMYFUNCTION("IMPORTRANGE(""https://docs.google.com/spreadsheets/d/1SDNX3JhDdYRuIOsj0Wh2M-Qa_eaXl0NbWmhAOTbfQAs/edit?usp=sharing"",""ปัตตานี!J666"")"),0)</f>
        <v>0</v>
      </c>
      <c r="AS80" s="177">
        <f ca="1">IFERROR(__xludf.DUMMYFUNCTION("IMPORTRANGE(""https://docs.google.com/spreadsheets/d/1SDNX3JhDdYRuIOsj0Wh2M-Qa_eaXl0NbWmhAOTbfQAs/edit?usp=sharing"",""ปัตตานี!J667"")"),0)</f>
        <v>0</v>
      </c>
      <c r="AT80" s="177">
        <f ca="1">IFERROR(__xludf.DUMMYFUNCTION("IMPORTRANGE(""https://docs.google.com/spreadsheets/d/1SDNX3JhDdYRuIOsj0Wh2M-Qa_eaXl0NbWmhAOTbfQAs/edit?usp=sharing"",""ปัตตานี!J668"")"),0)</f>
        <v>0</v>
      </c>
      <c r="AU80" s="177">
        <f ca="1">IFERROR(__xludf.DUMMYFUNCTION("IMPORTRANGE(""https://docs.google.com/spreadsheets/d/1SDNX3JhDdYRuIOsj0Wh2M-Qa_eaXl0NbWmhAOTbfQAs/edit?usp=sharing"",""ปัตตานี!J669"")"),0)</f>
        <v>0</v>
      </c>
      <c r="AV80" s="177">
        <f ca="1">IFERROR(__xludf.DUMMYFUNCTION("IMPORTRANGE(""https://docs.google.com/spreadsheets/d/1SDNX3JhDdYRuIOsj0Wh2M-Qa_eaXl0NbWmhAOTbfQAs/edit?usp=sharing"",""ปัตตานี!J670"")"),0)</f>
        <v>0</v>
      </c>
      <c r="AW80" s="177">
        <v>0</v>
      </c>
      <c r="AX80" s="177">
        <f ca="1">IFERROR(__xludf.DUMMYFUNCTION("IMPORTRANGE(""https://docs.google.com/spreadsheets/d/1SDNX3JhDdYRuIOsj0Wh2M-Qa_eaXl0NbWmhAOTbfQAs/edit?usp=sharing"",""ปัตตานี!J671"")"),0)</f>
        <v>0</v>
      </c>
      <c r="AY80" s="177">
        <f ca="1">IFERROR(__xludf.DUMMYFUNCTION("IMPORTRANGE(""https://docs.google.com/spreadsheets/d/1SDNX3JhDdYRuIOsj0Wh2M-Qa_eaXl0NbWmhAOTbfQAs/edit?usp=sharing"",""ปัตตานี!J672"")"),0)</f>
        <v>0</v>
      </c>
      <c r="AZ80" s="177">
        <f ca="1">IFERROR(__xludf.DUMMYFUNCTION("IMPORTRANGE(""https://docs.google.com/spreadsheets/d/1SDNX3JhDdYRuIOsj0Wh2M-Qa_eaXl0NbWmhAOTbfQAs/edit?usp=sharing"",""ปัตตานี!J673"")"),0)</f>
        <v>0</v>
      </c>
      <c r="BA80" s="354">
        <f t="shared" si="58"/>
        <v>0</v>
      </c>
      <c r="BB80" s="177">
        <f ca="1">IFERROR(__xludf.DUMMYFUNCTION("IMPORTRANGE(""https://docs.google.com/spreadsheets/d/1SDNX3JhDdYRuIOsj0Wh2M-Qa_eaXl0NbWmhAOTbfQAs/edit?usp=sharing"",""ปัตตานี!I674"")"),0)</f>
        <v>0</v>
      </c>
      <c r="BC80" s="177">
        <f ca="1">IFERROR(__xludf.DUMMYFUNCTION("IMPORTRANGE(""https://docs.google.com/spreadsheets/d/1SDNX3JhDdYRuIOsj0Wh2M-Qa_eaXl0NbWmhAOTbfQAs/edit?usp=sharing"",""ปัตตานี!I675"")"),0)</f>
        <v>0</v>
      </c>
      <c r="BD80" s="177">
        <f ca="1">IFERROR(__xludf.DUMMYFUNCTION("IMPORTRANGE(""https://docs.google.com/spreadsheets/d/1SDNX3JhDdYRuIOsj0Wh2M-Qa_eaXl0NbWmhAOTbfQAs/edit?usp=sharing"",""ปัตตานี!J674"")"),0)</f>
        <v>0</v>
      </c>
      <c r="BE80" s="354">
        <f t="shared" ca="1" si="60"/>
        <v>0</v>
      </c>
      <c r="BF80" s="177">
        <f ca="1">IFERROR(__xludf.DUMMYFUNCTION("IMPORTRANGE(""https://docs.google.com/spreadsheets/d/1SDNX3JhDdYRuIOsj0Wh2M-Qa_eaXl0NbWmhAOTbfQAs/edit?usp=sharing"",""ปัตตานี!J675"")"),0)</f>
        <v>0</v>
      </c>
      <c r="BG80" s="354">
        <f t="shared" ca="1" si="61"/>
        <v>0</v>
      </c>
      <c r="BH80" s="177">
        <f ca="1">IFERROR(__xludf.DUMMYFUNCTION("IMPORTRANGE(""https://docs.google.com/spreadsheets/d/1SDNX3JhDdYRuIOsj0Wh2M-Qa_eaXl0NbWmhAOTbfQAs/edit?usp=sharing"",""ปัตตานี!I676"")"),0)</f>
        <v>0</v>
      </c>
      <c r="BI80" s="177">
        <f ca="1">IFERROR(__xludf.DUMMYFUNCTION("IMPORTRANGE(""https://docs.google.com/spreadsheets/d/1SDNX3JhDdYRuIOsj0Wh2M-Qa_eaXl0NbWmhAOTbfQAs/edit?usp=sharing"",""ปัตตานี!I678"")"),0)</f>
        <v>0</v>
      </c>
      <c r="BJ80" s="177">
        <f ca="1">IFERROR(__xludf.DUMMYFUNCTION("IMPORTRANGE(""https://docs.google.com/spreadsheets/d/1SDNX3JhDdYRuIOsj0Wh2M-Qa_eaXl0NbWmhAOTbfQAs/edit?usp=sharing"",""ปัตตานี!J676"")"),0)</f>
        <v>0</v>
      </c>
      <c r="BK80" s="177">
        <f ca="1">IFERROR(__xludf.DUMMYFUNCTION("IMPORTRANGE(""https://docs.google.com/spreadsheets/d/1SDNX3JhDdYRuIOsj0Wh2M-Qa_eaXl0NbWmhAOTbfQAs/edit?usp=sharing"",""ปัตตานี!J677"")"),0)</f>
        <v>0</v>
      </c>
      <c r="BL80" s="177">
        <f ca="1">IFERROR(__xludf.DUMMYFUNCTION("IMPORTRANGE(""https://docs.google.com/spreadsheets/d/1SDNX3JhDdYRuIOsj0Wh2M-Qa_eaXl0NbWmhAOTbfQAs/edit?usp=sharing"",""ปัตตานี!J678"")"),0)</f>
        <v>0</v>
      </c>
      <c r="BM80" s="177">
        <f ca="1">IFERROR(__xludf.DUMMYFUNCTION("IMPORTRANGE(""https://docs.google.com/spreadsheets/d/1SDNX3JhDdYRuIOsj0Wh2M-Qa_eaXl0NbWmhAOTbfQAs/edit?usp=sharing"",""ปัตตานี!I679"")"),0)</f>
        <v>0</v>
      </c>
      <c r="BN80" s="177">
        <f ca="1">IFERROR(__xludf.DUMMYFUNCTION("IMPORTRANGE(""https://docs.google.com/spreadsheets/d/1SDNX3JhDdYRuIOsj0Wh2M-Qa_eaXl0NbWmhAOTbfQAs/edit?usp=sharing"",""ปัตตานี!I681"")"),0)</f>
        <v>0</v>
      </c>
      <c r="BO80" s="177">
        <f ca="1">IFERROR(__xludf.DUMMYFUNCTION("IMPORTRANGE(""https://docs.google.com/spreadsheets/d/1SDNX3JhDdYRuIOsj0Wh2M-Qa_eaXl0NbWmhAOTbfQAs/edit?usp=sharing"",""ปัตตานี!J679"")"),0)</f>
        <v>0</v>
      </c>
      <c r="BP80" s="177">
        <f ca="1">IFERROR(__xludf.DUMMYFUNCTION("IMPORTRANGE(""https://docs.google.com/spreadsheets/d/1SDNX3JhDdYRuIOsj0Wh2M-Qa_eaXl0NbWmhAOTbfQAs/edit?usp=sharing"",""ปัตตานี!J680"")"),0)</f>
        <v>0</v>
      </c>
      <c r="BQ80" s="177">
        <f ca="1">IFERROR(__xludf.DUMMYFUNCTION("IMPORTRANGE(""https://docs.google.com/spreadsheets/d/1SDNX3JhDdYRuIOsj0Wh2M-Qa_eaXl0NbWmhAOTbfQAs/edit?usp=sharing"",""ปัตตานี!J681"")"),0)</f>
        <v>0</v>
      </c>
      <c r="BR80" s="177">
        <f ca="1">IFERROR(__xludf.DUMMYFUNCTION("IMPORTRANGE(""https://docs.google.com/spreadsheets/d/1SDNX3JhDdYRuIOsj0Wh2M-Qa_eaXl0NbWmhAOTbfQAs/edit?usp=sharing"",""ปัตตานี!I682"")"),0)</f>
        <v>0</v>
      </c>
      <c r="BS80" s="177">
        <f ca="1">IFERROR(__xludf.DUMMYFUNCTION("IMPORTRANGE(""https://docs.google.com/spreadsheets/d/1SDNX3JhDdYRuIOsj0Wh2M-Qa_eaXl0NbWmhAOTbfQAs/edit?usp=sharing"",""ปัตตานี!J682"")"),0)</f>
        <v>0</v>
      </c>
      <c r="BT80" s="354">
        <f t="shared" ca="1" si="63"/>
        <v>0</v>
      </c>
      <c r="BU80" s="177">
        <f ca="1">IFERROR(__xludf.DUMMYFUNCTION("IMPORTRANGE(""https://docs.google.com/spreadsheets/d/1SDNX3JhDdYRuIOsj0Wh2M-Qa_eaXl0NbWmhAOTbfQAs/edit?usp=sharing"",""ปัตตานี!J683"")"),0)</f>
        <v>0</v>
      </c>
      <c r="BV80" s="177">
        <f ca="1">IFERROR(__xludf.DUMMYFUNCTION("IMPORTRANGE(""https://docs.google.com/spreadsheets/d/1SDNX3JhDdYRuIOsj0Wh2M-Qa_eaXl0NbWmhAOTbfQAs/edit?usp=sharing"",""ปัตตานี!J684"")"),0)</f>
        <v>0</v>
      </c>
      <c r="BW80" s="177">
        <f ca="1">IFERROR(__xludf.DUMMYFUNCTION("IMPORTRANGE(""https://docs.google.com/spreadsheets/d/1SDNX3JhDdYRuIOsj0Wh2M-Qa_eaXl0NbWmhAOTbfQAs/edit?usp=sharing"",""ปัตตานี!J685"")"),0)</f>
        <v>0</v>
      </c>
      <c r="BX80" s="177">
        <f ca="1">IFERROR(__xludf.DUMMYFUNCTION("IMPORTRANGE(""https://docs.google.com/spreadsheets/d/1SDNX3JhDdYRuIOsj0Wh2M-Qa_eaXl0NbWmhAOTbfQAs/edit?usp=sharing"",""ปัตตานี!J686"")"),0)</f>
        <v>0</v>
      </c>
      <c r="BY80" s="177">
        <f ca="1">IFERROR(__xludf.DUMMYFUNCTION("IMPORTRANGE(""https://docs.google.com/spreadsheets/d/1SDNX3JhDdYRuIOsj0Wh2M-Qa_eaXl0NbWmhAOTbfQAs/edit?usp=sharing"",""ปัตตานี!J687"")"),0)</f>
        <v>0</v>
      </c>
      <c r="BZ80" s="177">
        <f ca="1">IFERROR(__xludf.DUMMYFUNCTION("IMPORTRANGE(""https://docs.google.com/spreadsheets/d/1SDNX3JhDdYRuIOsj0Wh2M-Qa_eaXl0NbWmhAOTbfQAs/edit?usp=sharing"",""ปัตตานี!J688"")"),0)</f>
        <v>0</v>
      </c>
    </row>
    <row r="81" spans="1:78" ht="21.75" customHeight="1" x14ac:dyDescent="0.3">
      <c r="A81" s="89">
        <v>7</v>
      </c>
      <c r="B81" s="90" t="s">
        <v>107</v>
      </c>
      <c r="C81" s="174">
        <f t="shared" si="38"/>
        <v>0</v>
      </c>
      <c r="D81" s="175">
        <f t="shared" si="98"/>
        <v>0</v>
      </c>
      <c r="E81" s="403">
        <v>0</v>
      </c>
      <c r="F81" s="403">
        <v>0</v>
      </c>
      <c r="G81" s="403">
        <v>0</v>
      </c>
      <c r="H81" s="403">
        <v>0</v>
      </c>
      <c r="I81" s="403">
        <v>0</v>
      </c>
      <c r="J81" s="176">
        <f t="shared" si="40"/>
        <v>0</v>
      </c>
      <c r="K81" s="179">
        <f t="shared" si="41"/>
        <v>0</v>
      </c>
      <c r="L81" s="403">
        <v>0</v>
      </c>
      <c r="M81" s="87">
        <f t="shared" si="42"/>
        <v>0</v>
      </c>
      <c r="N81" s="87">
        <f t="shared" si="43"/>
        <v>0</v>
      </c>
      <c r="O81" s="403">
        <v>0</v>
      </c>
      <c r="P81" s="86">
        <f t="shared" si="44"/>
        <v>0</v>
      </c>
      <c r="Q81" s="87">
        <f t="shared" si="45"/>
        <v>0</v>
      </c>
      <c r="R81" s="87">
        <f ca="1">IFERROR(__xludf.DUMMYFUNCTION("IMPORTRANGE(""https://docs.google.com/spreadsheets/d/16JDLGguT8s5DsGCND1KcwHP_AWR_zDMTqLHPLJUKhaU/edit?usp=sharing"",""พังงา!Q642"")"),0)</f>
        <v>0</v>
      </c>
      <c r="S81" s="87">
        <f ca="1">IFERROR(__xludf.DUMMYFUNCTION("IMPORTRANGE(""https://docs.google.com/spreadsheets/d/16JDLGguT8s5DsGCND1KcwHP_AWR_zDMTqLHPLJUKhaU/edit?usp=sharing"",""พังงา!R642"")"),0)</f>
        <v>0</v>
      </c>
      <c r="T81" s="87">
        <f ca="1">IFERROR(__xludf.DUMMYFUNCTION("IMPORTRANGE(""https://docs.google.com/spreadsheets/d/16JDLGguT8s5DsGCND1KcwHP_AWR_zDMTqLHPLJUKhaU/edit?usp=sharing"",""พังงา!S642"")"),0)</f>
        <v>0</v>
      </c>
      <c r="U81" s="87">
        <f t="shared" ca="1" si="47"/>
        <v>0</v>
      </c>
      <c r="V81" s="87">
        <f t="shared" ca="1" si="48"/>
        <v>0</v>
      </c>
      <c r="W81" s="353">
        <f ca="1">IFERROR(__xludf.DUMMYFUNCTION("IMPORTRANGE(""https://docs.google.com/spreadsheets/d/16JDLGguT8s5DsGCND1KcwHP_AWR_zDMTqLHPLJUKhaU/edit?usp=sharing"",""พังงา!I652"")"),0)</f>
        <v>0</v>
      </c>
      <c r="X81" s="177">
        <f ca="1">IFERROR(__xludf.DUMMYFUNCTION("IMPORTRANGE(""https://docs.google.com/spreadsheets/d/16JDLGguT8s5DsGCND1KcwHP_AWR_zDMTqLHPLJUKhaU/edit?usp=sharing"",""พังงา!J652"")"),0)</f>
        <v>0</v>
      </c>
      <c r="Y81" s="354">
        <f t="shared" ca="1" si="50"/>
        <v>0</v>
      </c>
      <c r="Z81" s="177">
        <f ca="1">IFERROR(__xludf.DUMMYFUNCTION("IMPORTRANGE(""https://docs.google.com/spreadsheets/d/16JDLGguT8s5DsGCND1KcwHP_AWR_zDMTqLHPLJUKhaU/edit?usp=sharing"",""พังงา!I653"")"),0)</f>
        <v>0</v>
      </c>
      <c r="AA81" s="177">
        <f ca="1">IFERROR(__xludf.DUMMYFUNCTION("IMPORTRANGE(""https://docs.google.com/spreadsheets/d/16JDLGguT8s5DsGCND1KcwHP_AWR_zDMTqLHPLJUKhaU/edit?usp=sharing"",""พังงา!J653"")"),0)</f>
        <v>0</v>
      </c>
      <c r="AB81" s="354">
        <f t="shared" ca="1" si="52"/>
        <v>0</v>
      </c>
      <c r="AC81" s="177">
        <f ca="1">IFERROR(__xludf.DUMMYFUNCTION("IMPORTRANGE(""https://docs.google.com/spreadsheets/d/16JDLGguT8s5DsGCND1KcwHP_AWR_zDMTqLHPLJUKhaU/edit?usp=sharing"",""พังงา!I654"")"),0)</f>
        <v>0</v>
      </c>
      <c r="AD81" s="177">
        <f ca="1">IFERROR(__xludf.DUMMYFUNCTION("IMPORTRANGE(""https://docs.google.com/spreadsheets/d/16JDLGguT8s5DsGCND1KcwHP_AWR_zDMTqLHPLJUKhaU/edit?usp=sharing"",""พังงา!J654"")"),0)</f>
        <v>0</v>
      </c>
      <c r="AE81" s="354">
        <f t="shared" ca="1" si="54"/>
        <v>0</v>
      </c>
      <c r="AF81" s="354">
        <f ca="1">IFERROR(__xludf.DUMMYFUNCTION("IMPORTRANGE(""https://docs.google.com/spreadsheets/d/16JDLGguT8s5DsGCND1KcwHP_AWR_zDMTqLHPLJUKhaU/edit?usp=sharing"",""พังงา!J655"")"),0)</f>
        <v>0</v>
      </c>
      <c r="AG81" s="354">
        <f ca="1">IFERROR(__xludf.DUMMYFUNCTION("IMPORTRANGE(""https://docs.google.com/spreadsheets/d/16JDLGguT8s5DsGCND1KcwHP_AWR_zDMTqLHPLJUKhaU/edit?usp=sharing"",""พังงา!J656"")"),0)</f>
        <v>0</v>
      </c>
      <c r="AH81" s="354">
        <f ca="1">IFERROR(__xludf.DUMMYFUNCTION("IMPORTRANGE(""https://docs.google.com/spreadsheets/d/16JDLGguT8s5DsGCND1KcwHP_AWR_zDMTqLHPLJUKhaU/edit?usp=sharing"",""พังงา!J657"")"),0)</f>
        <v>0</v>
      </c>
      <c r="AI81" s="354">
        <f ca="1">IFERROR(__xludf.DUMMYFUNCTION("IMPORTRANGE(""https://docs.google.com/spreadsheets/d/16JDLGguT8s5DsGCND1KcwHP_AWR_zDMTqLHPLJUKhaU/edit?usp=sharing"",""พังงา!J658"")"),0)</f>
        <v>0</v>
      </c>
      <c r="AJ81" s="354">
        <f ca="1">IFERROR(__xludf.DUMMYFUNCTION("IMPORTRANGE(""https://docs.google.com/spreadsheets/d/16JDLGguT8s5DsGCND1KcwHP_AWR_zDMTqLHPLJUKhaU/edit?usp=sharing"",""พังงา!J659"")"),0)</f>
        <v>0</v>
      </c>
      <c r="AK81" s="354">
        <f ca="1">IFERROR(__xludf.DUMMYFUNCTION("IMPORTRANGE(""https://docs.google.com/spreadsheets/d/16JDLGguT8s5DsGCND1KcwHP_AWR_zDMTqLHPLJUKhaU/edit?usp=sharing"",""พังงา!J660"")"),0)</f>
        <v>0</v>
      </c>
      <c r="AL81" s="177">
        <f ca="1">IFERROR(__xludf.DUMMYFUNCTION("IMPORTRANGE(""https://docs.google.com/spreadsheets/d/16JDLGguT8s5DsGCND1KcwHP_AWR_zDMTqLHPLJUKhaU/edit?usp=sharing"",""พังงา!I661"")"),0)</f>
        <v>0</v>
      </c>
      <c r="AM81" s="177">
        <f ca="1">IFERROR(__xludf.DUMMYFUNCTION("IMPORTRANGE(""https://docs.google.com/spreadsheets/d/16JDLGguT8s5DsGCND1KcwHP_AWR_zDMTqLHPLJUKhaU/edit?usp=sharing"",""พังงา!J661"")"),0)</f>
        <v>0</v>
      </c>
      <c r="AN81" s="354">
        <f t="shared" ca="1" si="56"/>
        <v>0</v>
      </c>
      <c r="AO81" s="177">
        <f ca="1">IFERROR(__xludf.DUMMYFUNCTION("IMPORTRANGE(""https://docs.google.com/spreadsheets/d/16JDLGguT8s5DsGCND1KcwHP_AWR_zDMTqLHPLJUKhaU/edit?usp=sharing"",""พังงา!J662"")"),0)</f>
        <v>0</v>
      </c>
      <c r="AP81" s="177">
        <f ca="1">IFERROR(__xludf.DUMMYFUNCTION("IMPORTRANGE(""https://docs.google.com/spreadsheets/d/16JDLGguT8s5DsGCND1KcwHP_AWR_zDMTqLHPLJUKhaU/edit?usp=sharing"",""พังงา!J663"")"),0)</f>
        <v>0</v>
      </c>
      <c r="AQ81" s="177">
        <f ca="1">IFERROR(__xludf.DUMMYFUNCTION("IMPORTRANGE(""https://docs.google.com/spreadsheets/d/16JDLGguT8s5DsGCND1KcwHP_AWR_zDMTqLHPLJUKhaU/edit?usp=sharing"",""พังงา!J665"")"),0)</f>
        <v>0</v>
      </c>
      <c r="AR81" s="177">
        <f ca="1">IFERROR(__xludf.DUMMYFUNCTION("IMPORTRANGE(""https://docs.google.com/spreadsheets/d/16JDLGguT8s5DsGCND1KcwHP_AWR_zDMTqLHPLJUKhaU/edit?usp=sharing"",""พังงา!J666"")"),0)</f>
        <v>0</v>
      </c>
      <c r="AS81" s="177">
        <f ca="1">IFERROR(__xludf.DUMMYFUNCTION("IMPORTRANGE(""https://docs.google.com/spreadsheets/d/16JDLGguT8s5DsGCND1KcwHP_AWR_zDMTqLHPLJUKhaU/edit?usp=sharing"",""พังงา!J667"")"),0)</f>
        <v>0</v>
      </c>
      <c r="AT81" s="177">
        <f ca="1">IFERROR(__xludf.DUMMYFUNCTION("IMPORTRANGE(""https://docs.google.com/spreadsheets/d/16JDLGguT8s5DsGCND1KcwHP_AWR_zDMTqLHPLJUKhaU/edit?usp=sharing"",""พังงา!J668"")"),0)</f>
        <v>0</v>
      </c>
      <c r="AU81" s="177">
        <f ca="1">IFERROR(__xludf.DUMMYFUNCTION("IMPORTRANGE(""https://docs.google.com/spreadsheets/d/16JDLGguT8s5DsGCND1KcwHP_AWR_zDMTqLHPLJUKhaU/edit?usp=sharing"",""พังงา!J669"")"),0)</f>
        <v>0</v>
      </c>
      <c r="AV81" s="177">
        <f ca="1">IFERROR(__xludf.DUMMYFUNCTION("IMPORTRANGE(""https://docs.google.com/spreadsheets/d/16JDLGguT8s5DsGCND1KcwHP_AWR_zDMTqLHPLJUKhaU/edit?usp=sharing"",""พังงา!J670"")"),0)</f>
        <v>0</v>
      </c>
      <c r="AW81" s="177">
        <v>0</v>
      </c>
      <c r="AX81" s="177">
        <f ca="1">IFERROR(__xludf.DUMMYFUNCTION("IMPORTRANGE(""https://docs.google.com/spreadsheets/d/16JDLGguT8s5DsGCND1KcwHP_AWR_zDMTqLHPLJUKhaU/edit?usp=sharing"",""พังงา!J671"")"),0)</f>
        <v>0</v>
      </c>
      <c r="AY81" s="177">
        <f ca="1">IFERROR(__xludf.DUMMYFUNCTION("IMPORTRANGE(""https://docs.google.com/spreadsheets/d/16JDLGguT8s5DsGCND1KcwHP_AWR_zDMTqLHPLJUKhaU/edit?usp=sharing"",""พังงา!J672"")"),0)</f>
        <v>0</v>
      </c>
      <c r="AZ81" s="177">
        <f ca="1">IFERROR(__xludf.DUMMYFUNCTION("IMPORTRANGE(""https://docs.google.com/spreadsheets/d/16JDLGguT8s5DsGCND1KcwHP_AWR_zDMTqLHPLJUKhaU/edit?usp=sharing"",""พังงา!J673"")"),0)</f>
        <v>0</v>
      </c>
      <c r="BA81" s="354">
        <f t="shared" si="58"/>
        <v>0</v>
      </c>
      <c r="BB81" s="177">
        <f ca="1">IFERROR(__xludf.DUMMYFUNCTION("IMPORTRANGE(""https://docs.google.com/spreadsheets/d/16JDLGguT8s5DsGCND1KcwHP_AWR_zDMTqLHPLJUKhaU/edit?usp=sharing"",""พังงา!I674"")"),0)</f>
        <v>0</v>
      </c>
      <c r="BC81" s="177">
        <f ca="1">IFERROR(__xludf.DUMMYFUNCTION("IMPORTRANGE(""https://docs.google.com/spreadsheets/d/16JDLGguT8s5DsGCND1KcwHP_AWR_zDMTqLHPLJUKhaU/edit?usp=sharing"",""พังงา!I675"")"),0)</f>
        <v>0</v>
      </c>
      <c r="BD81" s="177">
        <f ca="1">IFERROR(__xludf.DUMMYFUNCTION("IMPORTRANGE(""https://docs.google.com/spreadsheets/d/16JDLGguT8s5DsGCND1KcwHP_AWR_zDMTqLHPLJUKhaU/edit?usp=sharing"",""พังงา!J674"")"),0)</f>
        <v>0</v>
      </c>
      <c r="BE81" s="354">
        <f t="shared" ca="1" si="60"/>
        <v>0</v>
      </c>
      <c r="BF81" s="177">
        <f ca="1">IFERROR(__xludf.DUMMYFUNCTION("IMPORTRANGE(""https://docs.google.com/spreadsheets/d/16JDLGguT8s5DsGCND1KcwHP_AWR_zDMTqLHPLJUKhaU/edit?usp=sharing"",""พังงา!J675"")"),0)</f>
        <v>0</v>
      </c>
      <c r="BG81" s="354">
        <f t="shared" ca="1" si="61"/>
        <v>0</v>
      </c>
      <c r="BH81" s="177">
        <f ca="1">IFERROR(__xludf.DUMMYFUNCTION("IMPORTRANGE(""https://docs.google.com/spreadsheets/d/16JDLGguT8s5DsGCND1KcwHP_AWR_zDMTqLHPLJUKhaU/edit?usp=sharing"",""พังงา!I676"")"),0)</f>
        <v>0</v>
      </c>
      <c r="BI81" s="177">
        <f ca="1">IFERROR(__xludf.DUMMYFUNCTION("IMPORTRANGE(""https://docs.google.com/spreadsheets/d/16JDLGguT8s5DsGCND1KcwHP_AWR_zDMTqLHPLJUKhaU/edit?usp=sharing"",""พังงา!I678"")"),0)</f>
        <v>0</v>
      </c>
      <c r="BJ81" s="177">
        <f ca="1">IFERROR(__xludf.DUMMYFUNCTION("IMPORTRANGE(""https://docs.google.com/spreadsheets/d/16JDLGguT8s5DsGCND1KcwHP_AWR_zDMTqLHPLJUKhaU/edit?usp=sharing"",""พังงา!J676"")"),0)</f>
        <v>0</v>
      </c>
      <c r="BK81" s="177">
        <f ca="1">IFERROR(__xludf.DUMMYFUNCTION("IMPORTRANGE(""https://docs.google.com/spreadsheets/d/16JDLGguT8s5DsGCND1KcwHP_AWR_zDMTqLHPLJUKhaU/edit?usp=sharing"",""พังงา!J677"")"),0)</f>
        <v>0</v>
      </c>
      <c r="BL81" s="177">
        <f ca="1">IFERROR(__xludf.DUMMYFUNCTION("IMPORTRANGE(""https://docs.google.com/spreadsheets/d/16JDLGguT8s5DsGCND1KcwHP_AWR_zDMTqLHPLJUKhaU/edit?usp=sharing"",""พังงา!J678"")"),0)</f>
        <v>0</v>
      </c>
      <c r="BM81" s="177">
        <f ca="1">IFERROR(__xludf.DUMMYFUNCTION("IMPORTRANGE(""https://docs.google.com/spreadsheets/d/16JDLGguT8s5DsGCND1KcwHP_AWR_zDMTqLHPLJUKhaU/edit?usp=sharing"",""พังงา!I679"")"),0)</f>
        <v>0</v>
      </c>
      <c r="BN81" s="177">
        <f ca="1">IFERROR(__xludf.DUMMYFUNCTION("IMPORTRANGE(""https://docs.google.com/spreadsheets/d/16JDLGguT8s5DsGCND1KcwHP_AWR_zDMTqLHPLJUKhaU/edit?usp=sharing"",""พังงา!I681"")"),0)</f>
        <v>0</v>
      </c>
      <c r="BO81" s="177">
        <f ca="1">IFERROR(__xludf.DUMMYFUNCTION("IMPORTRANGE(""https://docs.google.com/spreadsheets/d/16JDLGguT8s5DsGCND1KcwHP_AWR_zDMTqLHPLJUKhaU/edit?usp=sharing"",""พังงา!J679"")"),0)</f>
        <v>0</v>
      </c>
      <c r="BP81" s="177">
        <f ca="1">IFERROR(__xludf.DUMMYFUNCTION("IMPORTRANGE(""https://docs.google.com/spreadsheets/d/16JDLGguT8s5DsGCND1KcwHP_AWR_zDMTqLHPLJUKhaU/edit?usp=sharing"",""พังงา!J680"")"),0)</f>
        <v>0</v>
      </c>
      <c r="BQ81" s="177">
        <f ca="1">IFERROR(__xludf.DUMMYFUNCTION("IMPORTRANGE(""https://docs.google.com/spreadsheets/d/16JDLGguT8s5DsGCND1KcwHP_AWR_zDMTqLHPLJUKhaU/edit?usp=sharing"",""พังงา!J681"")"),0)</f>
        <v>0</v>
      </c>
      <c r="BR81" s="177">
        <f ca="1">IFERROR(__xludf.DUMMYFUNCTION("IMPORTRANGE(""https://docs.google.com/spreadsheets/d/16JDLGguT8s5DsGCND1KcwHP_AWR_zDMTqLHPLJUKhaU/edit?usp=sharing"",""พังงา!I682"")"),0)</f>
        <v>0</v>
      </c>
      <c r="BS81" s="177">
        <f ca="1">IFERROR(__xludf.DUMMYFUNCTION("IMPORTRANGE(""https://docs.google.com/spreadsheets/d/16JDLGguT8s5DsGCND1KcwHP_AWR_zDMTqLHPLJUKhaU/edit?usp=sharing"",""พังงา!J682"")"),0)</f>
        <v>0</v>
      </c>
      <c r="BT81" s="354">
        <f t="shared" ca="1" si="63"/>
        <v>0</v>
      </c>
      <c r="BU81" s="177">
        <f ca="1">IFERROR(__xludf.DUMMYFUNCTION("IMPORTRANGE(""https://docs.google.com/spreadsheets/d/16JDLGguT8s5DsGCND1KcwHP_AWR_zDMTqLHPLJUKhaU/edit?usp=sharing"",""พังงา!J683"")"),0)</f>
        <v>0</v>
      </c>
      <c r="BV81" s="177">
        <f ca="1">IFERROR(__xludf.DUMMYFUNCTION("IMPORTRANGE(""https://docs.google.com/spreadsheets/d/16JDLGguT8s5DsGCND1KcwHP_AWR_zDMTqLHPLJUKhaU/edit?usp=sharing"",""พังงา!J684"")"),0)</f>
        <v>0</v>
      </c>
      <c r="BW81" s="177">
        <f ca="1">IFERROR(__xludf.DUMMYFUNCTION("IMPORTRANGE(""https://docs.google.com/spreadsheets/d/16JDLGguT8s5DsGCND1KcwHP_AWR_zDMTqLHPLJUKhaU/edit?usp=sharing"",""พังงา!J685"")"),0)</f>
        <v>0</v>
      </c>
      <c r="BX81" s="177">
        <f ca="1">IFERROR(__xludf.DUMMYFUNCTION("IMPORTRANGE(""https://docs.google.com/spreadsheets/d/16JDLGguT8s5DsGCND1KcwHP_AWR_zDMTqLHPLJUKhaU/edit?usp=sharing"",""พังงา!J686"")"),0)</f>
        <v>0</v>
      </c>
      <c r="BY81" s="177">
        <f ca="1">IFERROR(__xludf.DUMMYFUNCTION("IMPORTRANGE(""https://docs.google.com/spreadsheets/d/16JDLGguT8s5DsGCND1KcwHP_AWR_zDMTqLHPLJUKhaU/edit?usp=sharing"",""พังงา!J687"")"),0)</f>
        <v>0</v>
      </c>
      <c r="BZ81" s="177">
        <f ca="1">IFERROR(__xludf.DUMMYFUNCTION("IMPORTRANGE(""https://docs.google.com/spreadsheets/d/16JDLGguT8s5DsGCND1KcwHP_AWR_zDMTqLHPLJUKhaU/edit?usp=sharing"",""พังงา!J688"")"),0)</f>
        <v>0</v>
      </c>
    </row>
    <row r="82" spans="1:78" ht="21.75" customHeight="1" x14ac:dyDescent="0.3">
      <c r="A82" s="89">
        <v>8</v>
      </c>
      <c r="B82" s="90" t="s">
        <v>108</v>
      </c>
      <c r="C82" s="174">
        <f t="shared" si="38"/>
        <v>0</v>
      </c>
      <c r="D82" s="175">
        <f t="shared" si="98"/>
        <v>0</v>
      </c>
      <c r="E82" s="403">
        <v>0</v>
      </c>
      <c r="F82" s="403">
        <v>0</v>
      </c>
      <c r="G82" s="403">
        <v>0</v>
      </c>
      <c r="H82" s="403">
        <v>0</v>
      </c>
      <c r="I82" s="403">
        <v>0</v>
      </c>
      <c r="J82" s="176">
        <f t="shared" si="40"/>
        <v>0</v>
      </c>
      <c r="K82" s="179">
        <f t="shared" si="41"/>
        <v>0</v>
      </c>
      <c r="L82" s="403">
        <v>0</v>
      </c>
      <c r="M82" s="87">
        <f t="shared" si="42"/>
        <v>0</v>
      </c>
      <c r="N82" s="87">
        <f t="shared" si="43"/>
        <v>0</v>
      </c>
      <c r="O82" s="403">
        <v>0</v>
      </c>
      <c r="P82" s="86">
        <f t="shared" si="44"/>
        <v>0</v>
      </c>
      <c r="Q82" s="87">
        <f t="shared" si="45"/>
        <v>0</v>
      </c>
      <c r="R82" s="87">
        <f ca="1">IFERROR(__xludf.DUMMYFUNCTION("IMPORTRANGE(""https://docs.google.com/spreadsheets/d/17ht0gPKzzT3PObBL1XJkeRmntBXI7wGjpLV7QorqlTk/edit?usp=sharing"",""พัทลุง!Q642"")"),0)</f>
        <v>0</v>
      </c>
      <c r="S82" s="87">
        <f ca="1">IFERROR(__xludf.DUMMYFUNCTION("IMPORTRANGE(""https://docs.google.com/spreadsheets/d/17ht0gPKzzT3PObBL1XJkeRmntBXI7wGjpLV7QorqlTk/edit?usp=sharing"",""พัทลุง!R642"")"),0)</f>
        <v>0</v>
      </c>
      <c r="T82" s="87">
        <f ca="1">IFERROR(__xludf.DUMMYFUNCTION("IMPORTRANGE(""https://docs.google.com/spreadsheets/d/17ht0gPKzzT3PObBL1XJkeRmntBXI7wGjpLV7QorqlTk/edit?usp=sharing"",""พัทลุง!S642"")"),0)</f>
        <v>0</v>
      </c>
      <c r="U82" s="87">
        <f t="shared" ca="1" si="47"/>
        <v>0</v>
      </c>
      <c r="V82" s="87">
        <f t="shared" ca="1" si="48"/>
        <v>0</v>
      </c>
      <c r="W82" s="353">
        <f ca="1">IFERROR(__xludf.DUMMYFUNCTION("IMPORTRANGE(""https://docs.google.com/spreadsheets/d/17ht0gPKzzT3PObBL1XJkeRmntBXI7wGjpLV7QorqlTk/edit?usp=sharing"",""พัทลุง!I652"")"),0)</f>
        <v>0</v>
      </c>
      <c r="X82" s="452">
        <f ca="1">IFERROR(__xludf.DUMMYFUNCTION("IMPORTRANGE(""https://docs.google.com/spreadsheets/d/17ht0gPKzzT3PObBL1XJkeRmntBXI7wGjpLV7QorqlTk/edit?usp=sharing"",""พัทลุง!J652"")"),0)</f>
        <v>0</v>
      </c>
      <c r="Y82" s="354">
        <f t="shared" ca="1" si="50"/>
        <v>0</v>
      </c>
      <c r="Z82" s="177">
        <f ca="1">IFERROR(__xludf.DUMMYFUNCTION("IMPORTRANGE(""https://docs.google.com/spreadsheets/d/17ht0gPKzzT3PObBL1XJkeRmntBXI7wGjpLV7QorqlTk/edit?usp=sharing"",""พัทลุง!I653"")"),0)</f>
        <v>0</v>
      </c>
      <c r="AA82" s="452">
        <f ca="1">IFERROR(__xludf.DUMMYFUNCTION("IMPORTRANGE(""https://docs.google.com/spreadsheets/d/17ht0gPKzzT3PObBL1XJkeRmntBXI7wGjpLV7QorqlTk/edit?usp=sharing"",""พัทลุง!J653"")"),0)</f>
        <v>0</v>
      </c>
      <c r="AB82" s="354">
        <f t="shared" ca="1" si="52"/>
        <v>0</v>
      </c>
      <c r="AC82" s="177">
        <f ca="1">IFERROR(__xludf.DUMMYFUNCTION("IMPORTRANGE(""https://docs.google.com/spreadsheets/d/17ht0gPKzzT3PObBL1XJkeRmntBXI7wGjpLV7QorqlTk/edit?usp=sharing"",""พัทลุง!I654"")"),0)</f>
        <v>0</v>
      </c>
      <c r="AD82" s="177">
        <f ca="1">IFERROR(__xludf.DUMMYFUNCTION("IMPORTRANGE(""https://docs.google.com/spreadsheets/d/17ht0gPKzzT3PObBL1XJkeRmntBXI7wGjpLV7QorqlTk/edit?usp=sharing"",""พัทลุง!J654"")"),0)</f>
        <v>0</v>
      </c>
      <c r="AE82" s="354">
        <f t="shared" ca="1" si="54"/>
        <v>0</v>
      </c>
      <c r="AF82" s="354">
        <f ca="1">IFERROR(__xludf.DUMMYFUNCTION("IMPORTRANGE(""https://docs.google.com/spreadsheets/d/17ht0gPKzzT3PObBL1XJkeRmntBXI7wGjpLV7QorqlTk/edit?usp=sharing"",""พัทลุง!J655"")"),0)</f>
        <v>0</v>
      </c>
      <c r="AG82" s="354">
        <f ca="1">IFERROR(__xludf.DUMMYFUNCTION("IMPORTRANGE(""https://docs.google.com/spreadsheets/d/17ht0gPKzzT3PObBL1XJkeRmntBXI7wGjpLV7QorqlTk/edit?usp=sharing"",""พัทลุง!J656"")"),0)</f>
        <v>0</v>
      </c>
      <c r="AH82" s="354">
        <f ca="1">IFERROR(__xludf.DUMMYFUNCTION("IMPORTRANGE(""https://docs.google.com/spreadsheets/d/17ht0gPKzzT3PObBL1XJkeRmntBXI7wGjpLV7QorqlTk/edit?usp=sharing"",""พัทลุง!J657"")"),0)</f>
        <v>0</v>
      </c>
      <c r="AI82" s="354">
        <f ca="1">IFERROR(__xludf.DUMMYFUNCTION("IMPORTRANGE(""https://docs.google.com/spreadsheets/d/17ht0gPKzzT3PObBL1XJkeRmntBXI7wGjpLV7QorqlTk/edit?usp=sharing"",""พัทลุง!J658"")"),0)</f>
        <v>0</v>
      </c>
      <c r="AJ82" s="354">
        <f ca="1">IFERROR(__xludf.DUMMYFUNCTION("IMPORTRANGE(""https://docs.google.com/spreadsheets/d/17ht0gPKzzT3PObBL1XJkeRmntBXI7wGjpLV7QorqlTk/edit?usp=sharing"",""พัทลุง!J659"")"),0)</f>
        <v>0</v>
      </c>
      <c r="AK82" s="354">
        <f ca="1">IFERROR(__xludf.DUMMYFUNCTION("IMPORTRANGE(""https://docs.google.com/spreadsheets/d/17ht0gPKzzT3PObBL1XJkeRmntBXI7wGjpLV7QorqlTk/edit?usp=sharing"",""พัทลุง!J660"")"),0)</f>
        <v>0</v>
      </c>
      <c r="AL82" s="177">
        <f ca="1">IFERROR(__xludf.DUMMYFUNCTION("IMPORTRANGE(""https://docs.google.com/spreadsheets/d/17ht0gPKzzT3PObBL1XJkeRmntBXI7wGjpLV7QorqlTk/edit?usp=sharing"",""พัทลุง!I661"")"),0)</f>
        <v>0</v>
      </c>
      <c r="AM82" s="177">
        <f ca="1">IFERROR(__xludf.DUMMYFUNCTION("IMPORTRANGE(""https://docs.google.com/spreadsheets/d/17ht0gPKzzT3PObBL1XJkeRmntBXI7wGjpLV7QorqlTk/edit?usp=sharing"",""พัทลุง!J661"")"),0)</f>
        <v>0</v>
      </c>
      <c r="AN82" s="354">
        <f t="shared" ca="1" si="56"/>
        <v>0</v>
      </c>
      <c r="AO82" s="177">
        <f ca="1">IFERROR(__xludf.DUMMYFUNCTION("IMPORTRANGE(""https://docs.google.com/spreadsheets/d/17ht0gPKzzT3PObBL1XJkeRmntBXI7wGjpLV7QorqlTk/edit?usp=sharing"",""พัทลุง!J662"")"),0)</f>
        <v>0</v>
      </c>
      <c r="AP82" s="177">
        <f ca="1">IFERROR(__xludf.DUMMYFUNCTION("IMPORTRANGE(""https://docs.google.com/spreadsheets/d/17ht0gPKzzT3PObBL1XJkeRmntBXI7wGjpLV7QorqlTk/edit?usp=sharing"",""พัทลุง!J663"")"),0)</f>
        <v>0</v>
      </c>
      <c r="AQ82" s="177">
        <f ca="1">IFERROR(__xludf.DUMMYFUNCTION("IMPORTRANGE(""https://docs.google.com/spreadsheets/d/17ht0gPKzzT3PObBL1XJkeRmntBXI7wGjpLV7QorqlTk/edit?usp=sharing"",""พัทลุง!J665"")"),0)</f>
        <v>0</v>
      </c>
      <c r="AR82" s="177">
        <f ca="1">IFERROR(__xludf.DUMMYFUNCTION("IMPORTRANGE(""https://docs.google.com/spreadsheets/d/17ht0gPKzzT3PObBL1XJkeRmntBXI7wGjpLV7QorqlTk/edit?usp=sharing"",""พัทลุง!J666"")"),0)</f>
        <v>0</v>
      </c>
      <c r="AS82" s="177">
        <f ca="1">IFERROR(__xludf.DUMMYFUNCTION("IMPORTRANGE(""https://docs.google.com/spreadsheets/d/17ht0gPKzzT3PObBL1XJkeRmntBXI7wGjpLV7QorqlTk/edit?usp=sharing"",""พัทลุง!J667"")"),0)</f>
        <v>0</v>
      </c>
      <c r="AT82" s="177">
        <f ca="1">IFERROR(__xludf.DUMMYFUNCTION("IMPORTRANGE(""https://docs.google.com/spreadsheets/d/17ht0gPKzzT3PObBL1XJkeRmntBXI7wGjpLV7QorqlTk/edit?usp=sharing"",""พัทลุง!J668"")"),0)</f>
        <v>0</v>
      </c>
      <c r="AU82" s="177">
        <f ca="1">IFERROR(__xludf.DUMMYFUNCTION("IMPORTRANGE(""https://docs.google.com/spreadsheets/d/17ht0gPKzzT3PObBL1XJkeRmntBXI7wGjpLV7QorqlTk/edit?usp=sharing"",""พัทลุง!J669"")"),0)</f>
        <v>0</v>
      </c>
      <c r="AV82" s="177">
        <f ca="1">IFERROR(__xludf.DUMMYFUNCTION("IMPORTRANGE(""https://docs.google.com/spreadsheets/d/17ht0gPKzzT3PObBL1XJkeRmntBXI7wGjpLV7QorqlTk/edit?usp=sharing"",""พัทลุง!J670"")"),0)</f>
        <v>0</v>
      </c>
      <c r="AW82" s="177">
        <v>0</v>
      </c>
      <c r="AX82" s="452">
        <f ca="1">IFERROR(__xludf.DUMMYFUNCTION("IMPORTRANGE(""https://docs.google.com/spreadsheets/d/17ht0gPKzzT3PObBL1XJkeRmntBXI7wGjpLV7QorqlTk/edit?usp=sharing"",""พัทลุง!J671"")"),0)</f>
        <v>0</v>
      </c>
      <c r="AY82" s="452">
        <f ca="1">IFERROR(__xludf.DUMMYFUNCTION("IMPORTRANGE(""https://docs.google.com/spreadsheets/d/17ht0gPKzzT3PObBL1XJkeRmntBXI7wGjpLV7QorqlTk/edit?usp=sharing"",""พัทลุง!J672"")"),0)</f>
        <v>0</v>
      </c>
      <c r="AZ82" s="452">
        <f ca="1">IFERROR(__xludf.DUMMYFUNCTION("IMPORTRANGE(""https://docs.google.com/spreadsheets/d/17ht0gPKzzT3PObBL1XJkeRmntBXI7wGjpLV7QorqlTk/edit?usp=sharing"",""พัทลุง!J673"")"),0)</f>
        <v>0</v>
      </c>
      <c r="BA82" s="354">
        <f t="shared" si="58"/>
        <v>0</v>
      </c>
      <c r="BB82" s="177">
        <f ca="1">IFERROR(__xludf.DUMMYFUNCTION("IMPORTRANGE(""https://docs.google.com/spreadsheets/d/17ht0gPKzzT3PObBL1XJkeRmntBXI7wGjpLV7QorqlTk/edit?usp=sharing"",""พัทลุง!I674"")"),0)</f>
        <v>0</v>
      </c>
      <c r="BC82" s="177">
        <f ca="1">IFERROR(__xludf.DUMMYFUNCTION("IMPORTRANGE(""https://docs.google.com/spreadsheets/d/17ht0gPKzzT3PObBL1XJkeRmntBXI7wGjpLV7QorqlTk/edit?usp=sharing"",""พัทลุง!I675"")"),0)</f>
        <v>0</v>
      </c>
      <c r="BD82" s="452">
        <f ca="1">IFERROR(__xludf.DUMMYFUNCTION("IMPORTRANGE(""https://docs.google.com/spreadsheets/d/17ht0gPKzzT3PObBL1XJkeRmntBXI7wGjpLV7QorqlTk/edit?usp=sharing"",""พัทลุง!J674"")"),0)</f>
        <v>0</v>
      </c>
      <c r="BE82" s="354">
        <f t="shared" ca="1" si="60"/>
        <v>0</v>
      </c>
      <c r="BF82" s="452">
        <f ca="1">IFERROR(__xludf.DUMMYFUNCTION("IMPORTRANGE(""https://docs.google.com/spreadsheets/d/17ht0gPKzzT3PObBL1XJkeRmntBXI7wGjpLV7QorqlTk/edit?usp=sharing"",""พัทลุง!J675"")"),0)</f>
        <v>0</v>
      </c>
      <c r="BG82" s="354">
        <f t="shared" ca="1" si="61"/>
        <v>0</v>
      </c>
      <c r="BH82" s="177">
        <f ca="1">IFERROR(__xludf.DUMMYFUNCTION("IMPORTRANGE(""https://docs.google.com/spreadsheets/d/17ht0gPKzzT3PObBL1XJkeRmntBXI7wGjpLV7QorqlTk/edit?usp=sharing"",""พัทลุง!I676"")"),0)</f>
        <v>0</v>
      </c>
      <c r="BI82" s="177">
        <f ca="1">IFERROR(__xludf.DUMMYFUNCTION("IMPORTRANGE(""https://docs.google.com/spreadsheets/d/17ht0gPKzzT3PObBL1XJkeRmntBXI7wGjpLV7QorqlTk/edit?usp=sharing"",""พัทลุง!I678"")"),0)</f>
        <v>0</v>
      </c>
      <c r="BJ82" s="452">
        <f ca="1">IFERROR(__xludf.DUMMYFUNCTION("IMPORTRANGE(""https://docs.google.com/spreadsheets/d/17ht0gPKzzT3PObBL1XJkeRmntBXI7wGjpLV7QorqlTk/edit?usp=sharing"",""พัทลุง!J676"")"),0)</f>
        <v>0</v>
      </c>
      <c r="BK82" s="452">
        <f ca="1">IFERROR(__xludf.DUMMYFUNCTION("IMPORTRANGE(""https://docs.google.com/spreadsheets/d/17ht0gPKzzT3PObBL1XJkeRmntBXI7wGjpLV7QorqlTk/edit?usp=sharing"",""พัทลุง!J677"")"),0)</f>
        <v>0</v>
      </c>
      <c r="BL82" s="452">
        <f ca="1">IFERROR(__xludf.DUMMYFUNCTION("IMPORTRANGE(""https://docs.google.com/spreadsheets/d/17ht0gPKzzT3PObBL1XJkeRmntBXI7wGjpLV7QorqlTk/edit?usp=sharing"",""พัทลุง!J678"")"),0)</f>
        <v>0</v>
      </c>
      <c r="BM82" s="177">
        <f ca="1">IFERROR(__xludf.DUMMYFUNCTION("IMPORTRANGE(""https://docs.google.com/spreadsheets/d/17ht0gPKzzT3PObBL1XJkeRmntBXI7wGjpLV7QorqlTk/edit?usp=sharing"",""พัทลุง!I679"")"),0)</f>
        <v>0</v>
      </c>
      <c r="BN82" s="177">
        <f ca="1">IFERROR(__xludf.DUMMYFUNCTION("IMPORTRANGE(""https://docs.google.com/spreadsheets/d/17ht0gPKzzT3PObBL1XJkeRmntBXI7wGjpLV7QorqlTk/edit?usp=sharing"",""พัทลุง!I681"")"),0)</f>
        <v>0</v>
      </c>
      <c r="BO82" s="452">
        <f ca="1">IFERROR(__xludf.DUMMYFUNCTION("IMPORTRANGE(""https://docs.google.com/spreadsheets/d/17ht0gPKzzT3PObBL1XJkeRmntBXI7wGjpLV7QorqlTk/edit?usp=sharing"",""พัทลุง!J679"")"),0)</f>
        <v>0</v>
      </c>
      <c r="BP82" s="452">
        <f ca="1">IFERROR(__xludf.DUMMYFUNCTION("IMPORTRANGE(""https://docs.google.com/spreadsheets/d/17ht0gPKzzT3PObBL1XJkeRmntBXI7wGjpLV7QorqlTk/edit?usp=sharing"",""พัทลุง!J680"")"),0)</f>
        <v>0</v>
      </c>
      <c r="BQ82" s="452">
        <f ca="1">IFERROR(__xludf.DUMMYFUNCTION("IMPORTRANGE(""https://docs.google.com/spreadsheets/d/17ht0gPKzzT3PObBL1XJkeRmntBXI7wGjpLV7QorqlTk/edit?usp=sharing"",""พัทลุง!J681"")"),0)</f>
        <v>0</v>
      </c>
      <c r="BR82" s="177">
        <f ca="1">IFERROR(__xludf.DUMMYFUNCTION("IMPORTRANGE(""https://docs.google.com/spreadsheets/d/17ht0gPKzzT3PObBL1XJkeRmntBXI7wGjpLV7QorqlTk/edit?usp=sharing"",""พัทลุง!I682"")"),0)</f>
        <v>0</v>
      </c>
      <c r="BS82" s="177">
        <f ca="1">IFERROR(__xludf.DUMMYFUNCTION("IMPORTRANGE(""https://docs.google.com/spreadsheets/d/17ht0gPKzzT3PObBL1XJkeRmntBXI7wGjpLV7QorqlTk/edit?usp=sharing"",""พัทลุง!J682"")"),0)</f>
        <v>0</v>
      </c>
      <c r="BT82" s="354">
        <f t="shared" ca="1" si="63"/>
        <v>0</v>
      </c>
      <c r="BU82" s="177">
        <f ca="1">IFERROR(__xludf.DUMMYFUNCTION("IMPORTRANGE(""https://docs.google.com/spreadsheets/d/17ht0gPKzzT3PObBL1XJkeRmntBXI7wGjpLV7QorqlTk/edit?usp=sharing"",""พัทลุง!J683"")"),0)</f>
        <v>0</v>
      </c>
      <c r="BV82" s="177">
        <f ca="1">IFERROR(__xludf.DUMMYFUNCTION("IMPORTRANGE(""https://docs.google.com/spreadsheets/d/17ht0gPKzzT3PObBL1XJkeRmntBXI7wGjpLV7QorqlTk/edit?usp=sharing"",""พัทลุง!J684"")"),0)</f>
        <v>0</v>
      </c>
      <c r="BW82" s="177">
        <f ca="1">IFERROR(__xludf.DUMMYFUNCTION("IMPORTRANGE(""https://docs.google.com/spreadsheets/d/17ht0gPKzzT3PObBL1XJkeRmntBXI7wGjpLV7QorqlTk/edit?usp=sharing"",""พัทลุง!J685"")"),0)</f>
        <v>0</v>
      </c>
      <c r="BX82" s="177">
        <f ca="1">IFERROR(__xludf.DUMMYFUNCTION("IMPORTRANGE(""https://docs.google.com/spreadsheets/d/17ht0gPKzzT3PObBL1XJkeRmntBXI7wGjpLV7QorqlTk/edit?usp=sharing"",""พัทลุง!J686"")"),0)</f>
        <v>0</v>
      </c>
      <c r="BY82" s="177">
        <f ca="1">IFERROR(__xludf.DUMMYFUNCTION("IMPORTRANGE(""https://docs.google.com/spreadsheets/d/17ht0gPKzzT3PObBL1XJkeRmntBXI7wGjpLV7QorqlTk/edit?usp=sharing"",""พัทลุง!J687"")"),0)</f>
        <v>0</v>
      </c>
      <c r="BZ82" s="177">
        <f ca="1">IFERROR(__xludf.DUMMYFUNCTION("IMPORTRANGE(""https://docs.google.com/spreadsheets/d/17ht0gPKzzT3PObBL1XJkeRmntBXI7wGjpLV7QorqlTk/edit?usp=sharing"",""พัทลุง!J688"")"),0)</f>
        <v>0</v>
      </c>
    </row>
    <row r="83" spans="1:78" ht="21.75" customHeight="1" x14ac:dyDescent="0.3">
      <c r="A83" s="89">
        <v>9</v>
      </c>
      <c r="B83" s="90" t="s">
        <v>109</v>
      </c>
      <c r="C83" s="174">
        <f t="shared" si="38"/>
        <v>0</v>
      </c>
      <c r="D83" s="175">
        <f t="shared" si="98"/>
        <v>0</v>
      </c>
      <c r="E83" s="403">
        <v>0</v>
      </c>
      <c r="F83" s="403">
        <v>0</v>
      </c>
      <c r="G83" s="403">
        <v>0</v>
      </c>
      <c r="H83" s="403">
        <v>0</v>
      </c>
      <c r="I83" s="403">
        <v>0</v>
      </c>
      <c r="J83" s="176">
        <f t="shared" si="40"/>
        <v>0</v>
      </c>
      <c r="K83" s="179">
        <f t="shared" si="41"/>
        <v>0</v>
      </c>
      <c r="L83" s="403">
        <v>0</v>
      </c>
      <c r="M83" s="87">
        <f t="shared" si="42"/>
        <v>0</v>
      </c>
      <c r="N83" s="87">
        <f t="shared" si="43"/>
        <v>0</v>
      </c>
      <c r="O83" s="403">
        <v>0</v>
      </c>
      <c r="P83" s="86">
        <f t="shared" si="44"/>
        <v>0</v>
      </c>
      <c r="Q83" s="87">
        <f t="shared" si="45"/>
        <v>0</v>
      </c>
      <c r="R83" s="87">
        <f ca="1">IFERROR(__xludf.DUMMYFUNCTION("IMPORTRANGE(""https://docs.google.com/spreadsheets/d/1rd4qoM1q_hsgaolqNGfrim9gbsoLxQsda4-vOz5x_BM/edit?usp=sharing"",""ภูเก็ต!Q642"")"),0)</f>
        <v>0</v>
      </c>
      <c r="S83" s="87">
        <f ca="1">IFERROR(__xludf.DUMMYFUNCTION("IMPORTRANGE(""https://docs.google.com/spreadsheets/d/1rd4qoM1q_hsgaolqNGfrim9gbsoLxQsda4-vOz5x_BM/edit?usp=sharing"",""ภูเก็ต!R642"")"),0)</f>
        <v>0</v>
      </c>
      <c r="T83" s="87">
        <f ca="1">IFERROR(__xludf.DUMMYFUNCTION("IMPORTRANGE(""https://docs.google.com/spreadsheets/d/1rd4qoM1q_hsgaolqNGfrim9gbsoLxQsda4-vOz5x_BM/edit?usp=sharing"",""ภูเก็ต!S642"")"),0)</f>
        <v>0</v>
      </c>
      <c r="U83" s="87">
        <f t="shared" ca="1" si="47"/>
        <v>0</v>
      </c>
      <c r="V83" s="87">
        <f t="shared" ca="1" si="48"/>
        <v>0</v>
      </c>
      <c r="W83" s="353">
        <f ca="1">IFERROR(__xludf.DUMMYFUNCTION("IMPORTRANGE(""https://docs.google.com/spreadsheets/d/1rd4qoM1q_hsgaolqNGfrim9gbsoLxQsda4-vOz5x_BM/edit?usp=sharing"",""ภูเก็ต!I652"")"),0)</f>
        <v>0</v>
      </c>
      <c r="X83" s="177">
        <f ca="1">IFERROR(__xludf.DUMMYFUNCTION("IMPORTRANGE(""https://docs.google.com/spreadsheets/d/1rd4qoM1q_hsgaolqNGfrim9gbsoLxQsda4-vOz5x_BM/edit?usp=sharing"",""ภูเก็ต!J652"")"),0)</f>
        <v>0</v>
      </c>
      <c r="Y83" s="354">
        <f t="shared" ca="1" si="50"/>
        <v>0</v>
      </c>
      <c r="Z83" s="177">
        <f ca="1">IFERROR(__xludf.DUMMYFUNCTION("IMPORTRANGE(""https://docs.google.com/spreadsheets/d/1rd4qoM1q_hsgaolqNGfrim9gbsoLxQsda4-vOz5x_BM/edit?usp=sharing"",""ภูเก็ต!I653"")"),0)</f>
        <v>0</v>
      </c>
      <c r="AA83" s="177">
        <f ca="1">IFERROR(__xludf.DUMMYFUNCTION("IMPORTRANGE(""https://docs.google.com/spreadsheets/d/1rd4qoM1q_hsgaolqNGfrim9gbsoLxQsda4-vOz5x_BM/edit?usp=sharing"",""ภูเก็ต!J653"")"),0)</f>
        <v>0</v>
      </c>
      <c r="AB83" s="354">
        <f t="shared" ca="1" si="52"/>
        <v>0</v>
      </c>
      <c r="AC83" s="177">
        <f ca="1">IFERROR(__xludf.DUMMYFUNCTION("IMPORTRANGE(""https://docs.google.com/spreadsheets/d/1rd4qoM1q_hsgaolqNGfrim9gbsoLxQsda4-vOz5x_BM/edit?usp=sharing"",""ภูเก็ต!I654"")"),0)</f>
        <v>0</v>
      </c>
      <c r="AD83" s="177">
        <f ca="1">IFERROR(__xludf.DUMMYFUNCTION("IMPORTRANGE(""https://docs.google.com/spreadsheets/d/1rd4qoM1q_hsgaolqNGfrim9gbsoLxQsda4-vOz5x_BM/edit?usp=sharing"",""ภูเก็ต!J654"")"),0)</f>
        <v>0</v>
      </c>
      <c r="AE83" s="354">
        <f t="shared" ca="1" si="54"/>
        <v>0</v>
      </c>
      <c r="AF83" s="354">
        <f ca="1">IFERROR(__xludf.DUMMYFUNCTION("IMPORTRANGE(""https://docs.google.com/spreadsheets/d/1rd4qoM1q_hsgaolqNGfrim9gbsoLxQsda4-vOz5x_BM/edit?usp=sharing"",""ภูเก็ต!J655"")"),0)</f>
        <v>0</v>
      </c>
      <c r="AG83" s="354">
        <f ca="1">IFERROR(__xludf.DUMMYFUNCTION("IMPORTRANGE(""https://docs.google.com/spreadsheets/d/1rd4qoM1q_hsgaolqNGfrim9gbsoLxQsda4-vOz5x_BM/edit?usp=sharing"",""ภูเก็ต!J656"")"),0)</f>
        <v>0</v>
      </c>
      <c r="AH83" s="354">
        <f ca="1">IFERROR(__xludf.DUMMYFUNCTION("IMPORTRANGE(""https://docs.google.com/spreadsheets/d/1rd4qoM1q_hsgaolqNGfrim9gbsoLxQsda4-vOz5x_BM/edit?usp=sharing"",""ภูเก็ต!J657"")"),0)</f>
        <v>0</v>
      </c>
      <c r="AI83" s="354">
        <f ca="1">IFERROR(__xludf.DUMMYFUNCTION("IMPORTRANGE(""https://docs.google.com/spreadsheets/d/1rd4qoM1q_hsgaolqNGfrim9gbsoLxQsda4-vOz5x_BM/edit?usp=sharing"",""ภูเก็ต!J658"")"),0)</f>
        <v>0</v>
      </c>
      <c r="AJ83" s="354">
        <f ca="1">IFERROR(__xludf.DUMMYFUNCTION("IMPORTRANGE(""https://docs.google.com/spreadsheets/d/1rd4qoM1q_hsgaolqNGfrim9gbsoLxQsda4-vOz5x_BM/edit?usp=sharing"",""ภูเก็ต!J659"")"),0)</f>
        <v>0</v>
      </c>
      <c r="AK83" s="354">
        <f ca="1">IFERROR(__xludf.DUMMYFUNCTION("IMPORTRANGE(""https://docs.google.com/spreadsheets/d/1rd4qoM1q_hsgaolqNGfrim9gbsoLxQsda4-vOz5x_BM/edit?usp=sharing"",""ภูเก็ต!J660"")"),0)</f>
        <v>0</v>
      </c>
      <c r="AL83" s="177">
        <f ca="1">IFERROR(__xludf.DUMMYFUNCTION("IMPORTRANGE(""https://docs.google.com/spreadsheets/d/1rd4qoM1q_hsgaolqNGfrim9gbsoLxQsda4-vOz5x_BM/edit?usp=sharing"",""ภูเก็ต!I661"")"),0)</f>
        <v>0</v>
      </c>
      <c r="AM83" s="177">
        <f ca="1">IFERROR(__xludf.DUMMYFUNCTION("IMPORTRANGE(""https://docs.google.com/spreadsheets/d/1rd4qoM1q_hsgaolqNGfrim9gbsoLxQsda4-vOz5x_BM/edit?usp=sharing"",""ภูเก็ต!J661"")"),0)</f>
        <v>0</v>
      </c>
      <c r="AN83" s="354">
        <f t="shared" ca="1" si="56"/>
        <v>0</v>
      </c>
      <c r="AO83" s="177">
        <f ca="1">IFERROR(__xludf.DUMMYFUNCTION("IMPORTRANGE(""https://docs.google.com/spreadsheets/d/1rd4qoM1q_hsgaolqNGfrim9gbsoLxQsda4-vOz5x_BM/edit?usp=sharing"",""ภูเก็ต!J662"")"),0)</f>
        <v>0</v>
      </c>
      <c r="AP83" s="177">
        <f ca="1">IFERROR(__xludf.DUMMYFUNCTION("IMPORTRANGE(""https://docs.google.com/spreadsheets/d/1rd4qoM1q_hsgaolqNGfrim9gbsoLxQsda4-vOz5x_BM/edit?usp=sharing"",""ภูเก็ต!J663"")"),0)</f>
        <v>0</v>
      </c>
      <c r="AQ83" s="177">
        <f ca="1">IFERROR(__xludf.DUMMYFUNCTION("IMPORTRANGE(""https://docs.google.com/spreadsheets/d/1rd4qoM1q_hsgaolqNGfrim9gbsoLxQsda4-vOz5x_BM/edit?usp=sharing"",""ภูเก็ต!J665"")"),0)</f>
        <v>0</v>
      </c>
      <c r="AR83" s="177">
        <f ca="1">IFERROR(__xludf.DUMMYFUNCTION("IMPORTRANGE(""https://docs.google.com/spreadsheets/d/1rd4qoM1q_hsgaolqNGfrim9gbsoLxQsda4-vOz5x_BM/edit?usp=sharing"",""ภูเก็ต!J666"")"),0)</f>
        <v>0</v>
      </c>
      <c r="AS83" s="177">
        <f ca="1">IFERROR(__xludf.DUMMYFUNCTION("IMPORTRANGE(""https://docs.google.com/spreadsheets/d/1rd4qoM1q_hsgaolqNGfrim9gbsoLxQsda4-vOz5x_BM/edit?usp=sharing"",""ภูเก็ต!J667"")"),0)</f>
        <v>0</v>
      </c>
      <c r="AT83" s="177">
        <f ca="1">IFERROR(__xludf.DUMMYFUNCTION("IMPORTRANGE(""https://docs.google.com/spreadsheets/d/1rd4qoM1q_hsgaolqNGfrim9gbsoLxQsda4-vOz5x_BM/edit?usp=sharing"",""ภูเก็ต!J668"")"),0)</f>
        <v>0</v>
      </c>
      <c r="AU83" s="177">
        <f ca="1">IFERROR(__xludf.DUMMYFUNCTION("IMPORTRANGE(""https://docs.google.com/spreadsheets/d/1rd4qoM1q_hsgaolqNGfrim9gbsoLxQsda4-vOz5x_BM/edit?usp=sharing"",""ภูเก็ต!J669"")"),0)</f>
        <v>0</v>
      </c>
      <c r="AV83" s="177">
        <f ca="1">IFERROR(__xludf.DUMMYFUNCTION("IMPORTRANGE(""https://docs.google.com/spreadsheets/d/1rd4qoM1q_hsgaolqNGfrim9gbsoLxQsda4-vOz5x_BM/edit?usp=sharing"",""ภูเก็ต!J670"")"),0)</f>
        <v>0</v>
      </c>
      <c r="AW83" s="177">
        <v>0</v>
      </c>
      <c r="AX83" s="177">
        <f ca="1">IFERROR(__xludf.DUMMYFUNCTION("IMPORTRANGE(""https://docs.google.com/spreadsheets/d/1rd4qoM1q_hsgaolqNGfrim9gbsoLxQsda4-vOz5x_BM/edit?usp=sharing"",""ภูเก็ต!J671"")"),0)</f>
        <v>0</v>
      </c>
      <c r="AY83" s="177">
        <f ca="1">IFERROR(__xludf.DUMMYFUNCTION("IMPORTRANGE(""https://docs.google.com/spreadsheets/d/1rd4qoM1q_hsgaolqNGfrim9gbsoLxQsda4-vOz5x_BM/edit?usp=sharing"",""ภูเก็ต!J672"")"),0)</f>
        <v>0</v>
      </c>
      <c r="AZ83" s="177">
        <f ca="1">IFERROR(__xludf.DUMMYFUNCTION("IMPORTRANGE(""https://docs.google.com/spreadsheets/d/1rd4qoM1q_hsgaolqNGfrim9gbsoLxQsda4-vOz5x_BM/edit?usp=sharing"",""ภูเก็ต!J673"")"),0)</f>
        <v>0</v>
      </c>
      <c r="BA83" s="354">
        <f t="shared" si="58"/>
        <v>0</v>
      </c>
      <c r="BB83" s="177">
        <f ca="1">IFERROR(__xludf.DUMMYFUNCTION("IMPORTRANGE(""https://docs.google.com/spreadsheets/d/1rd4qoM1q_hsgaolqNGfrim9gbsoLxQsda4-vOz5x_BM/edit?usp=sharing"",""ภูเก็ต!I674"")"),0)</f>
        <v>0</v>
      </c>
      <c r="BC83" s="177">
        <f ca="1">IFERROR(__xludf.DUMMYFUNCTION("IMPORTRANGE(""https://docs.google.com/spreadsheets/d/1rd4qoM1q_hsgaolqNGfrim9gbsoLxQsda4-vOz5x_BM/edit?usp=sharing"",""ภูเก็ต!I675"")"),0)</f>
        <v>0</v>
      </c>
      <c r="BD83" s="177">
        <f ca="1">IFERROR(__xludf.DUMMYFUNCTION("IMPORTRANGE(""https://docs.google.com/spreadsheets/d/1rd4qoM1q_hsgaolqNGfrim9gbsoLxQsda4-vOz5x_BM/edit?usp=sharing"",""ภูเก็ต!J674"")"),0)</f>
        <v>0</v>
      </c>
      <c r="BE83" s="354">
        <f t="shared" ca="1" si="60"/>
        <v>0</v>
      </c>
      <c r="BF83" s="177">
        <f ca="1">IFERROR(__xludf.DUMMYFUNCTION("IMPORTRANGE(""https://docs.google.com/spreadsheets/d/1rd4qoM1q_hsgaolqNGfrim9gbsoLxQsda4-vOz5x_BM/edit?usp=sharing"",""ภูเก็ต!J675"")"),0)</f>
        <v>0</v>
      </c>
      <c r="BG83" s="354">
        <f t="shared" ca="1" si="61"/>
        <v>0</v>
      </c>
      <c r="BH83" s="177">
        <f ca="1">IFERROR(__xludf.DUMMYFUNCTION("IMPORTRANGE(""https://docs.google.com/spreadsheets/d/1rd4qoM1q_hsgaolqNGfrim9gbsoLxQsda4-vOz5x_BM/edit?usp=sharing"",""ภูเก็ต!I676"")"),0)</f>
        <v>0</v>
      </c>
      <c r="BI83" s="177">
        <f ca="1">IFERROR(__xludf.DUMMYFUNCTION("IMPORTRANGE(""https://docs.google.com/spreadsheets/d/1rd4qoM1q_hsgaolqNGfrim9gbsoLxQsda4-vOz5x_BM/edit?usp=sharing"",""ภูเก็ต!I678"")"),0)</f>
        <v>0</v>
      </c>
      <c r="BJ83" s="177">
        <f ca="1">IFERROR(__xludf.DUMMYFUNCTION("IMPORTRANGE(""https://docs.google.com/spreadsheets/d/1rd4qoM1q_hsgaolqNGfrim9gbsoLxQsda4-vOz5x_BM/edit?usp=sharing"",""ภูเก็ต!J676"")"),0)</f>
        <v>0</v>
      </c>
      <c r="BK83" s="177">
        <f ca="1">IFERROR(__xludf.DUMMYFUNCTION("IMPORTRANGE(""https://docs.google.com/spreadsheets/d/1rd4qoM1q_hsgaolqNGfrim9gbsoLxQsda4-vOz5x_BM/edit?usp=sharing"",""ภูเก็ต!J677"")"),0)</f>
        <v>0</v>
      </c>
      <c r="BL83" s="177">
        <f ca="1">IFERROR(__xludf.DUMMYFUNCTION("IMPORTRANGE(""https://docs.google.com/spreadsheets/d/1rd4qoM1q_hsgaolqNGfrim9gbsoLxQsda4-vOz5x_BM/edit?usp=sharing"",""ภูเก็ต!J678"")"),0)</f>
        <v>0</v>
      </c>
      <c r="BM83" s="177">
        <f ca="1">IFERROR(__xludf.DUMMYFUNCTION("IMPORTRANGE(""https://docs.google.com/spreadsheets/d/1rd4qoM1q_hsgaolqNGfrim9gbsoLxQsda4-vOz5x_BM/edit?usp=sharing"",""ภูเก็ต!I679"")"),0)</f>
        <v>0</v>
      </c>
      <c r="BN83" s="177">
        <f ca="1">IFERROR(__xludf.DUMMYFUNCTION("IMPORTRANGE(""https://docs.google.com/spreadsheets/d/1rd4qoM1q_hsgaolqNGfrim9gbsoLxQsda4-vOz5x_BM/edit?usp=sharing"",""ภูเก็ต!I681"")"),0)</f>
        <v>0</v>
      </c>
      <c r="BO83" s="177">
        <f ca="1">IFERROR(__xludf.DUMMYFUNCTION("IMPORTRANGE(""https://docs.google.com/spreadsheets/d/1rd4qoM1q_hsgaolqNGfrim9gbsoLxQsda4-vOz5x_BM/edit?usp=sharing"",""ภูเก็ต!J679"")"),0)</f>
        <v>0</v>
      </c>
      <c r="BP83" s="177">
        <f ca="1">IFERROR(__xludf.DUMMYFUNCTION("IMPORTRANGE(""https://docs.google.com/spreadsheets/d/1rd4qoM1q_hsgaolqNGfrim9gbsoLxQsda4-vOz5x_BM/edit?usp=sharing"",""ภูเก็ต!J680"")"),0)</f>
        <v>0</v>
      </c>
      <c r="BQ83" s="177">
        <f ca="1">IFERROR(__xludf.DUMMYFUNCTION("IMPORTRANGE(""https://docs.google.com/spreadsheets/d/1rd4qoM1q_hsgaolqNGfrim9gbsoLxQsda4-vOz5x_BM/edit?usp=sharing"",""ภูเก็ต!J681"")"),0)</f>
        <v>0</v>
      </c>
      <c r="BR83" s="177">
        <f ca="1">IFERROR(__xludf.DUMMYFUNCTION("IMPORTRANGE(""https://docs.google.com/spreadsheets/d/1rd4qoM1q_hsgaolqNGfrim9gbsoLxQsda4-vOz5x_BM/edit?usp=sharing"",""ภูเก็ต!I682"")"),0)</f>
        <v>0</v>
      </c>
      <c r="BS83" s="177">
        <f ca="1">IFERROR(__xludf.DUMMYFUNCTION("IMPORTRANGE(""https://docs.google.com/spreadsheets/d/1rd4qoM1q_hsgaolqNGfrim9gbsoLxQsda4-vOz5x_BM/edit?usp=sharing"",""ภูเก็ต!J682"")"),0)</f>
        <v>0</v>
      </c>
      <c r="BT83" s="354">
        <f t="shared" ca="1" si="63"/>
        <v>0</v>
      </c>
      <c r="BU83" s="177">
        <f ca="1">IFERROR(__xludf.DUMMYFUNCTION("IMPORTRANGE(""https://docs.google.com/spreadsheets/d/1rd4qoM1q_hsgaolqNGfrim9gbsoLxQsda4-vOz5x_BM/edit?usp=sharing"",""ภูเก็ต!J683"")"),0)</f>
        <v>0</v>
      </c>
      <c r="BV83" s="177">
        <f ca="1">IFERROR(__xludf.DUMMYFUNCTION("IMPORTRANGE(""https://docs.google.com/spreadsheets/d/1rd4qoM1q_hsgaolqNGfrim9gbsoLxQsda4-vOz5x_BM/edit?usp=sharing"",""ภูเก็ต!J684"")"),0)</f>
        <v>0</v>
      </c>
      <c r="BW83" s="177">
        <f ca="1">IFERROR(__xludf.DUMMYFUNCTION("IMPORTRANGE(""https://docs.google.com/spreadsheets/d/1rd4qoM1q_hsgaolqNGfrim9gbsoLxQsda4-vOz5x_BM/edit?usp=sharing"",""ภูเก็ต!J685"")"),0)</f>
        <v>0</v>
      </c>
      <c r="BX83" s="177">
        <f ca="1">IFERROR(__xludf.DUMMYFUNCTION("IMPORTRANGE(""https://docs.google.com/spreadsheets/d/1rd4qoM1q_hsgaolqNGfrim9gbsoLxQsda4-vOz5x_BM/edit?usp=sharing"",""ภูเก็ต!J686"")"),0)</f>
        <v>0</v>
      </c>
      <c r="BY83" s="177">
        <f ca="1">IFERROR(__xludf.DUMMYFUNCTION("IMPORTRANGE(""https://docs.google.com/spreadsheets/d/1rd4qoM1q_hsgaolqNGfrim9gbsoLxQsda4-vOz5x_BM/edit?usp=sharing"",""ภูเก็ต!J687"")"),0)</f>
        <v>0</v>
      </c>
      <c r="BZ83" s="177">
        <f ca="1">IFERROR(__xludf.DUMMYFUNCTION("IMPORTRANGE(""https://docs.google.com/spreadsheets/d/1rd4qoM1q_hsgaolqNGfrim9gbsoLxQsda4-vOz5x_BM/edit?usp=sharing"",""ภูเก็ต!J688"")"),0)</f>
        <v>0</v>
      </c>
    </row>
    <row r="84" spans="1:78" ht="21.75" customHeight="1" x14ac:dyDescent="0.3">
      <c r="A84" s="89">
        <v>10</v>
      </c>
      <c r="B84" s="90" t="s">
        <v>110</v>
      </c>
      <c r="C84" s="174">
        <f t="shared" si="38"/>
        <v>0</v>
      </c>
      <c r="D84" s="175">
        <f t="shared" si="98"/>
        <v>0</v>
      </c>
      <c r="E84" s="403">
        <v>0</v>
      </c>
      <c r="F84" s="403">
        <v>0</v>
      </c>
      <c r="G84" s="403">
        <v>0</v>
      </c>
      <c r="H84" s="403">
        <v>0</v>
      </c>
      <c r="I84" s="403">
        <v>0</v>
      </c>
      <c r="J84" s="176">
        <f t="shared" si="40"/>
        <v>0</v>
      </c>
      <c r="K84" s="179">
        <f t="shared" si="41"/>
        <v>0</v>
      </c>
      <c r="L84" s="403">
        <v>0</v>
      </c>
      <c r="M84" s="87">
        <f t="shared" si="42"/>
        <v>0</v>
      </c>
      <c r="N84" s="87">
        <f t="shared" si="43"/>
        <v>0</v>
      </c>
      <c r="O84" s="403">
        <v>0</v>
      </c>
      <c r="P84" s="86">
        <f t="shared" si="44"/>
        <v>0</v>
      </c>
      <c r="Q84" s="87">
        <f t="shared" si="45"/>
        <v>0</v>
      </c>
      <c r="R84" s="87">
        <f ca="1">IFERROR(__xludf.DUMMYFUNCTION("IMPORTRANGE(""https://docs.google.com/spreadsheets/d/1woKwKjgoLssDvPcPeVyezB5izizAn4X1JDrys69n6xI/edit?usp=sharing"",""ยะลา!Q642"")"),0)</f>
        <v>0</v>
      </c>
      <c r="S84" s="87">
        <f ca="1">IFERROR(__xludf.DUMMYFUNCTION("IMPORTRANGE(""https://docs.google.com/spreadsheets/d/1woKwKjgoLssDvPcPeVyezB5izizAn4X1JDrys69n6xI/edit?usp=sharing"",""ยะลา!R642"")"),0)</f>
        <v>0</v>
      </c>
      <c r="T84" s="87">
        <f ca="1">IFERROR(__xludf.DUMMYFUNCTION("IMPORTRANGE(""https://docs.google.com/spreadsheets/d/1woKwKjgoLssDvPcPeVyezB5izizAn4X1JDrys69n6xI/edit?usp=sharing"",""ยะลา!S642"")"),0)</f>
        <v>0</v>
      </c>
      <c r="U84" s="87">
        <f t="shared" ca="1" si="47"/>
        <v>0</v>
      </c>
      <c r="V84" s="87">
        <f t="shared" ca="1" si="48"/>
        <v>0</v>
      </c>
      <c r="W84" s="353">
        <f ca="1">IFERROR(__xludf.DUMMYFUNCTION("IMPORTRANGE(""https://docs.google.com/spreadsheets/d/1woKwKjgoLssDvPcPeVyezB5izizAn4X1JDrys69n6xI/edit?usp=sharing"",""ยะลา!I652"")"),0)</f>
        <v>0</v>
      </c>
      <c r="X84" s="177">
        <f ca="1">IFERROR(__xludf.DUMMYFUNCTION("IMPORTRANGE(""https://docs.google.com/spreadsheets/d/1woKwKjgoLssDvPcPeVyezB5izizAn4X1JDrys69n6xI/edit?usp=sharing"",""ยะลา!J652"")"),0)</f>
        <v>0</v>
      </c>
      <c r="Y84" s="354">
        <f t="shared" ca="1" si="50"/>
        <v>0</v>
      </c>
      <c r="Z84" s="177">
        <f ca="1">IFERROR(__xludf.DUMMYFUNCTION("IMPORTRANGE(""https://docs.google.com/spreadsheets/d/1woKwKjgoLssDvPcPeVyezB5izizAn4X1JDrys69n6xI/edit?usp=sharing"",""ยะลา!I653"")"),0)</f>
        <v>0</v>
      </c>
      <c r="AA84" s="177">
        <f ca="1">IFERROR(__xludf.DUMMYFUNCTION("IMPORTRANGE(""https://docs.google.com/spreadsheets/d/1woKwKjgoLssDvPcPeVyezB5izizAn4X1JDrys69n6xI/edit?usp=sharing"",""ยะลา!J653"")"),0)</f>
        <v>0</v>
      </c>
      <c r="AB84" s="354">
        <f t="shared" ca="1" si="52"/>
        <v>0</v>
      </c>
      <c r="AC84" s="177">
        <f ca="1">IFERROR(__xludf.DUMMYFUNCTION("IMPORTRANGE(""https://docs.google.com/spreadsheets/d/1woKwKjgoLssDvPcPeVyezB5izizAn4X1JDrys69n6xI/edit?usp=sharing"",""ยะลา!I654"")"),0)</f>
        <v>0</v>
      </c>
      <c r="AD84" s="177">
        <f ca="1">IFERROR(__xludf.DUMMYFUNCTION("IMPORTRANGE(""https://docs.google.com/spreadsheets/d/1woKwKjgoLssDvPcPeVyezB5izizAn4X1JDrys69n6xI/edit?usp=sharing"",""ยะลา!J654"")"),0)</f>
        <v>0</v>
      </c>
      <c r="AE84" s="354">
        <f t="shared" ca="1" si="54"/>
        <v>0</v>
      </c>
      <c r="AF84" s="354">
        <f ca="1">IFERROR(__xludf.DUMMYFUNCTION("IMPORTRANGE(""https://docs.google.com/spreadsheets/d/1woKwKjgoLssDvPcPeVyezB5izizAn4X1JDrys69n6xI/edit?usp=sharing"",""ยะลา!J655"")"),0)</f>
        <v>0</v>
      </c>
      <c r="AG84" s="354">
        <f ca="1">IFERROR(__xludf.DUMMYFUNCTION("IMPORTRANGE(""https://docs.google.com/spreadsheets/d/1woKwKjgoLssDvPcPeVyezB5izizAn4X1JDrys69n6xI/edit?usp=sharing"",""ยะลา!J656"")"),0)</f>
        <v>0</v>
      </c>
      <c r="AH84" s="354">
        <f ca="1">IFERROR(__xludf.DUMMYFUNCTION("IMPORTRANGE(""https://docs.google.com/spreadsheets/d/1woKwKjgoLssDvPcPeVyezB5izizAn4X1JDrys69n6xI/edit?usp=sharing"",""ยะลา!J657"")"),0)</f>
        <v>0</v>
      </c>
      <c r="AI84" s="354">
        <f ca="1">IFERROR(__xludf.DUMMYFUNCTION("IMPORTRANGE(""https://docs.google.com/spreadsheets/d/1woKwKjgoLssDvPcPeVyezB5izizAn4X1JDrys69n6xI/edit?usp=sharing"",""ยะลา!J658"")"),0)</f>
        <v>0</v>
      </c>
      <c r="AJ84" s="354">
        <f ca="1">IFERROR(__xludf.DUMMYFUNCTION("IMPORTRANGE(""https://docs.google.com/spreadsheets/d/1woKwKjgoLssDvPcPeVyezB5izizAn4X1JDrys69n6xI/edit?usp=sharing"",""ยะลา!J659"")"),0)</f>
        <v>0</v>
      </c>
      <c r="AK84" s="354">
        <f ca="1">IFERROR(__xludf.DUMMYFUNCTION("IMPORTRANGE(""https://docs.google.com/spreadsheets/d/1woKwKjgoLssDvPcPeVyezB5izizAn4X1JDrys69n6xI/edit?usp=sharing"",""ยะลา!J660"")"),0)</f>
        <v>0</v>
      </c>
      <c r="AL84" s="177">
        <f ca="1">IFERROR(__xludf.DUMMYFUNCTION("IMPORTRANGE(""https://docs.google.com/spreadsheets/d/1woKwKjgoLssDvPcPeVyezB5izizAn4X1JDrys69n6xI/edit?usp=sharing"",""ยะลา!I661"")"),0)</f>
        <v>0</v>
      </c>
      <c r="AM84" s="177">
        <f ca="1">IFERROR(__xludf.DUMMYFUNCTION("IMPORTRANGE(""https://docs.google.com/spreadsheets/d/1woKwKjgoLssDvPcPeVyezB5izizAn4X1JDrys69n6xI/edit?usp=sharing"",""ยะลา!J661"")"),0)</f>
        <v>0</v>
      </c>
      <c r="AN84" s="354">
        <f t="shared" ca="1" si="56"/>
        <v>0</v>
      </c>
      <c r="AO84" s="177">
        <f ca="1">IFERROR(__xludf.DUMMYFUNCTION("IMPORTRANGE(""https://docs.google.com/spreadsheets/d/1woKwKjgoLssDvPcPeVyezB5izizAn4X1JDrys69n6xI/edit?usp=sharing"",""ยะลา!J662"")"),0)</f>
        <v>0</v>
      </c>
      <c r="AP84" s="177">
        <f ca="1">IFERROR(__xludf.DUMMYFUNCTION("IMPORTRANGE(""https://docs.google.com/spreadsheets/d/1woKwKjgoLssDvPcPeVyezB5izizAn4X1JDrys69n6xI/edit?usp=sharing"",""ยะลา!J663"")"),0)</f>
        <v>0</v>
      </c>
      <c r="AQ84" s="177">
        <f ca="1">IFERROR(__xludf.DUMMYFUNCTION("IMPORTRANGE(""https://docs.google.com/spreadsheets/d/1woKwKjgoLssDvPcPeVyezB5izizAn4X1JDrys69n6xI/edit?usp=sharing"",""ยะลา!J665"")"),0)</f>
        <v>0</v>
      </c>
      <c r="AR84" s="177">
        <f ca="1">IFERROR(__xludf.DUMMYFUNCTION("IMPORTRANGE(""https://docs.google.com/spreadsheets/d/1woKwKjgoLssDvPcPeVyezB5izizAn4X1JDrys69n6xI/edit?usp=sharing"",""ยะลา!J666"")"),0)</f>
        <v>0</v>
      </c>
      <c r="AS84" s="177">
        <f ca="1">IFERROR(__xludf.DUMMYFUNCTION("IMPORTRANGE(""https://docs.google.com/spreadsheets/d/1woKwKjgoLssDvPcPeVyezB5izizAn4X1JDrys69n6xI/edit?usp=sharing"",""ยะลา!J667"")"),0)</f>
        <v>0</v>
      </c>
      <c r="AT84" s="177">
        <f ca="1">IFERROR(__xludf.DUMMYFUNCTION("IMPORTRANGE(""https://docs.google.com/spreadsheets/d/1woKwKjgoLssDvPcPeVyezB5izizAn4X1JDrys69n6xI/edit?usp=sharing"",""ยะลา!J668"")"),0)</f>
        <v>0</v>
      </c>
      <c r="AU84" s="177">
        <f ca="1">IFERROR(__xludf.DUMMYFUNCTION("IMPORTRANGE(""https://docs.google.com/spreadsheets/d/1woKwKjgoLssDvPcPeVyezB5izizAn4X1JDrys69n6xI/edit?usp=sharing"",""ยะลา!J669"")"),0)</f>
        <v>0</v>
      </c>
      <c r="AV84" s="177">
        <f ca="1">IFERROR(__xludf.DUMMYFUNCTION("IMPORTRANGE(""https://docs.google.com/spreadsheets/d/1woKwKjgoLssDvPcPeVyezB5izizAn4X1JDrys69n6xI/edit?usp=sharing"",""ยะลา!J670"")"),0)</f>
        <v>0</v>
      </c>
      <c r="AW84" s="177">
        <v>0</v>
      </c>
      <c r="AX84" s="177">
        <f ca="1">IFERROR(__xludf.DUMMYFUNCTION("IMPORTRANGE(""https://docs.google.com/spreadsheets/d/1woKwKjgoLssDvPcPeVyezB5izizAn4X1JDrys69n6xI/edit?usp=sharing"",""ยะลา!J671"")"),0)</f>
        <v>0</v>
      </c>
      <c r="AY84" s="177">
        <f ca="1">IFERROR(__xludf.DUMMYFUNCTION("IMPORTRANGE(""https://docs.google.com/spreadsheets/d/1woKwKjgoLssDvPcPeVyezB5izizAn4X1JDrys69n6xI/edit?usp=sharing"",""ยะลา!J672"")"),0)</f>
        <v>0</v>
      </c>
      <c r="AZ84" s="177">
        <f ca="1">IFERROR(__xludf.DUMMYFUNCTION("IMPORTRANGE(""https://docs.google.com/spreadsheets/d/1woKwKjgoLssDvPcPeVyezB5izizAn4X1JDrys69n6xI/edit?usp=sharing"",""ยะลา!J673"")"),0)</f>
        <v>0</v>
      </c>
      <c r="BA84" s="354">
        <f t="shared" si="58"/>
        <v>0</v>
      </c>
      <c r="BB84" s="177">
        <f ca="1">IFERROR(__xludf.DUMMYFUNCTION("IMPORTRANGE(""https://docs.google.com/spreadsheets/d/1woKwKjgoLssDvPcPeVyezB5izizAn4X1JDrys69n6xI/edit?usp=sharing"",""ยะลา!I674"")"),0)</f>
        <v>0</v>
      </c>
      <c r="BC84" s="177">
        <f ca="1">IFERROR(__xludf.DUMMYFUNCTION("IMPORTRANGE(""https://docs.google.com/spreadsheets/d/1woKwKjgoLssDvPcPeVyezB5izizAn4X1JDrys69n6xI/edit?usp=sharing"",""ยะลา!I675"")"),0)</f>
        <v>0</v>
      </c>
      <c r="BD84" s="177">
        <f ca="1">IFERROR(__xludf.DUMMYFUNCTION("IMPORTRANGE(""https://docs.google.com/spreadsheets/d/1woKwKjgoLssDvPcPeVyezB5izizAn4X1JDrys69n6xI/edit?usp=sharing"",""ยะลา!J674"")"),0)</f>
        <v>0</v>
      </c>
      <c r="BE84" s="354">
        <f t="shared" ca="1" si="60"/>
        <v>0</v>
      </c>
      <c r="BF84" s="177">
        <f ca="1">IFERROR(__xludf.DUMMYFUNCTION("IMPORTRANGE(""https://docs.google.com/spreadsheets/d/1woKwKjgoLssDvPcPeVyezB5izizAn4X1JDrys69n6xI/edit?usp=sharing"",""ยะลา!J675"")"),0)</f>
        <v>0</v>
      </c>
      <c r="BG84" s="354">
        <f t="shared" ca="1" si="61"/>
        <v>0</v>
      </c>
      <c r="BH84" s="177">
        <f ca="1">IFERROR(__xludf.DUMMYFUNCTION("IMPORTRANGE(""https://docs.google.com/spreadsheets/d/1woKwKjgoLssDvPcPeVyezB5izizAn4X1JDrys69n6xI/edit?usp=sharing"",""ยะลา!I676"")"),0)</f>
        <v>0</v>
      </c>
      <c r="BI84" s="177">
        <f ca="1">IFERROR(__xludf.DUMMYFUNCTION("IMPORTRANGE(""https://docs.google.com/spreadsheets/d/1woKwKjgoLssDvPcPeVyezB5izizAn4X1JDrys69n6xI/edit?usp=sharing"",""ยะลา!I678"")"),0)</f>
        <v>0</v>
      </c>
      <c r="BJ84" s="177">
        <f ca="1">IFERROR(__xludf.DUMMYFUNCTION("IMPORTRANGE(""https://docs.google.com/spreadsheets/d/1woKwKjgoLssDvPcPeVyezB5izizAn4X1JDrys69n6xI/edit?usp=sharing"",""ยะลา!J676"")"),0)</f>
        <v>0</v>
      </c>
      <c r="BK84" s="177">
        <f ca="1">IFERROR(__xludf.DUMMYFUNCTION("IMPORTRANGE(""https://docs.google.com/spreadsheets/d/1woKwKjgoLssDvPcPeVyezB5izizAn4X1JDrys69n6xI/edit?usp=sharing"",""ยะลา!J677"")"),0)</f>
        <v>0</v>
      </c>
      <c r="BL84" s="177">
        <f ca="1">IFERROR(__xludf.DUMMYFUNCTION("IMPORTRANGE(""https://docs.google.com/spreadsheets/d/1woKwKjgoLssDvPcPeVyezB5izizAn4X1JDrys69n6xI/edit?usp=sharing"",""ยะลา!J678"")"),0)</f>
        <v>0</v>
      </c>
      <c r="BM84" s="177">
        <f ca="1">IFERROR(__xludf.DUMMYFUNCTION("IMPORTRANGE(""https://docs.google.com/spreadsheets/d/1woKwKjgoLssDvPcPeVyezB5izizAn4X1JDrys69n6xI/edit?usp=sharing"",""ยะลา!I679"")"),0)</f>
        <v>0</v>
      </c>
      <c r="BN84" s="177">
        <f ca="1">IFERROR(__xludf.DUMMYFUNCTION("IMPORTRANGE(""https://docs.google.com/spreadsheets/d/1woKwKjgoLssDvPcPeVyezB5izizAn4X1JDrys69n6xI/edit?usp=sharing"",""ยะลา!I681"")"),0)</f>
        <v>0</v>
      </c>
      <c r="BO84" s="177">
        <f ca="1">IFERROR(__xludf.DUMMYFUNCTION("IMPORTRANGE(""https://docs.google.com/spreadsheets/d/1woKwKjgoLssDvPcPeVyezB5izizAn4X1JDrys69n6xI/edit?usp=sharing"",""ยะลา!J679"")"),0)</f>
        <v>0</v>
      </c>
      <c r="BP84" s="177">
        <f ca="1">IFERROR(__xludf.DUMMYFUNCTION("IMPORTRANGE(""https://docs.google.com/spreadsheets/d/1woKwKjgoLssDvPcPeVyezB5izizAn4X1JDrys69n6xI/edit?usp=sharing"",""ยะลา!J680"")"),0)</f>
        <v>0</v>
      </c>
      <c r="BQ84" s="177">
        <f ca="1">IFERROR(__xludf.DUMMYFUNCTION("IMPORTRANGE(""https://docs.google.com/spreadsheets/d/1woKwKjgoLssDvPcPeVyezB5izizAn4X1JDrys69n6xI/edit?usp=sharing"",""ยะลา!J681"")"),0)</f>
        <v>0</v>
      </c>
      <c r="BR84" s="177">
        <f ca="1">IFERROR(__xludf.DUMMYFUNCTION("IMPORTRANGE(""https://docs.google.com/spreadsheets/d/1woKwKjgoLssDvPcPeVyezB5izizAn4X1JDrys69n6xI/edit?usp=sharing"",""ยะลา!I682"")"),0)</f>
        <v>0</v>
      </c>
      <c r="BS84" s="177">
        <f ca="1">IFERROR(__xludf.DUMMYFUNCTION("IMPORTRANGE(""https://docs.google.com/spreadsheets/d/1woKwKjgoLssDvPcPeVyezB5izizAn4X1JDrys69n6xI/edit?usp=sharing"",""ยะลา!J682"")"),0)</f>
        <v>0</v>
      </c>
      <c r="BT84" s="354">
        <f t="shared" ca="1" si="63"/>
        <v>0</v>
      </c>
      <c r="BU84" s="177">
        <f ca="1">IFERROR(__xludf.DUMMYFUNCTION("IMPORTRANGE(""https://docs.google.com/spreadsheets/d/1woKwKjgoLssDvPcPeVyezB5izizAn4X1JDrys69n6xI/edit?usp=sharing"",""ยะลา!J683"")"),0)</f>
        <v>0</v>
      </c>
      <c r="BV84" s="177">
        <f ca="1">IFERROR(__xludf.DUMMYFUNCTION("IMPORTRANGE(""https://docs.google.com/spreadsheets/d/1woKwKjgoLssDvPcPeVyezB5izizAn4X1JDrys69n6xI/edit?usp=sharing"",""ยะลา!J684"")"),0)</f>
        <v>0</v>
      </c>
      <c r="BW84" s="177">
        <f ca="1">IFERROR(__xludf.DUMMYFUNCTION("IMPORTRANGE(""https://docs.google.com/spreadsheets/d/1woKwKjgoLssDvPcPeVyezB5izizAn4X1JDrys69n6xI/edit?usp=sharing"",""ยะลา!J685"")"),0)</f>
        <v>0</v>
      </c>
      <c r="BX84" s="177">
        <f ca="1">IFERROR(__xludf.DUMMYFUNCTION("IMPORTRANGE(""https://docs.google.com/spreadsheets/d/1woKwKjgoLssDvPcPeVyezB5izizAn4X1JDrys69n6xI/edit?usp=sharing"",""ยะลา!J686"")"),0)</f>
        <v>0</v>
      </c>
      <c r="BY84" s="177">
        <f ca="1">IFERROR(__xludf.DUMMYFUNCTION("IMPORTRANGE(""https://docs.google.com/spreadsheets/d/1woKwKjgoLssDvPcPeVyezB5izizAn4X1JDrys69n6xI/edit?usp=sharing"",""ยะลา!J687"")"),0)</f>
        <v>0</v>
      </c>
      <c r="BZ84" s="177">
        <f ca="1">IFERROR(__xludf.DUMMYFUNCTION("IMPORTRANGE(""https://docs.google.com/spreadsheets/d/1woKwKjgoLssDvPcPeVyezB5izizAn4X1JDrys69n6xI/edit?usp=sharing"",""ยะลา!J688"")"),0)</f>
        <v>0</v>
      </c>
    </row>
    <row r="85" spans="1:78" ht="21.75" customHeight="1" x14ac:dyDescent="0.3">
      <c r="A85" s="89">
        <v>11</v>
      </c>
      <c r="B85" s="90" t="s">
        <v>111</v>
      </c>
      <c r="C85" s="174">
        <f t="shared" si="38"/>
        <v>0</v>
      </c>
      <c r="D85" s="175">
        <f t="shared" si="98"/>
        <v>0</v>
      </c>
      <c r="E85" s="403">
        <v>0</v>
      </c>
      <c r="F85" s="403">
        <v>0</v>
      </c>
      <c r="G85" s="403">
        <v>0</v>
      </c>
      <c r="H85" s="403">
        <v>0</v>
      </c>
      <c r="I85" s="403">
        <v>0</v>
      </c>
      <c r="J85" s="176">
        <f t="shared" si="40"/>
        <v>0</v>
      </c>
      <c r="K85" s="179">
        <f t="shared" si="41"/>
        <v>0</v>
      </c>
      <c r="L85" s="403">
        <v>0</v>
      </c>
      <c r="M85" s="87">
        <f t="shared" si="42"/>
        <v>0</v>
      </c>
      <c r="N85" s="87">
        <f t="shared" si="43"/>
        <v>0</v>
      </c>
      <c r="O85" s="403">
        <v>0</v>
      </c>
      <c r="P85" s="86">
        <f t="shared" si="44"/>
        <v>0</v>
      </c>
      <c r="Q85" s="87">
        <f t="shared" si="45"/>
        <v>0</v>
      </c>
      <c r="R85" s="87">
        <f ca="1">IFERROR(__xludf.DUMMYFUNCTION("IMPORTRANGE(""https://docs.google.com/spreadsheets/d/1qfrKjzMhm2HJfxQ-qVlJlJQ25Hne1d0khsySbZyGtPA/edit?usp=sharing"",""ระนอง!Q642"")"),0)</f>
        <v>0</v>
      </c>
      <c r="S85" s="87">
        <f ca="1">IFERROR(__xludf.DUMMYFUNCTION("IMPORTRANGE(""https://docs.google.com/spreadsheets/d/1qfrKjzMhm2HJfxQ-qVlJlJQ25Hne1d0khsySbZyGtPA/edit?usp=sharing"",""ระนอง!R642"")"),0)</f>
        <v>0</v>
      </c>
      <c r="T85" s="87">
        <f ca="1">IFERROR(__xludf.DUMMYFUNCTION("IMPORTRANGE(""https://docs.google.com/spreadsheets/d/1qfrKjzMhm2HJfxQ-qVlJlJQ25Hne1d0khsySbZyGtPA/edit?usp=sharing"",""ระนอง!S642"")"),0)</f>
        <v>0</v>
      </c>
      <c r="U85" s="87">
        <f t="shared" ca="1" si="47"/>
        <v>0</v>
      </c>
      <c r="V85" s="87">
        <f t="shared" ca="1" si="48"/>
        <v>0</v>
      </c>
      <c r="W85" s="353">
        <f ca="1">IFERROR(__xludf.DUMMYFUNCTION("IMPORTRANGE(""https://docs.google.com/spreadsheets/d/1qfrKjzMhm2HJfxQ-qVlJlJQ25Hne1d0khsySbZyGtPA/edit?usp=sharing"",""ระนอง!I652"")"),0)</f>
        <v>0</v>
      </c>
      <c r="X85" s="177">
        <f ca="1">IFERROR(__xludf.DUMMYFUNCTION("IMPORTRANGE(""https://docs.google.com/spreadsheets/d/1qfrKjzMhm2HJfxQ-qVlJlJQ25Hne1d0khsySbZyGtPA/edit?usp=sharing"",""ระนอง!J652"")"),0)</f>
        <v>0</v>
      </c>
      <c r="Y85" s="354">
        <f t="shared" ca="1" si="50"/>
        <v>0</v>
      </c>
      <c r="Z85" s="177">
        <f ca="1">IFERROR(__xludf.DUMMYFUNCTION("IMPORTRANGE(""https://docs.google.com/spreadsheets/d/1qfrKjzMhm2HJfxQ-qVlJlJQ25Hne1d0khsySbZyGtPA/edit?usp=sharing"",""ระนอง!I653"")"),0)</f>
        <v>0</v>
      </c>
      <c r="AA85" s="177">
        <f ca="1">IFERROR(__xludf.DUMMYFUNCTION("IMPORTRANGE(""https://docs.google.com/spreadsheets/d/1qfrKjzMhm2HJfxQ-qVlJlJQ25Hne1d0khsySbZyGtPA/edit?usp=sharing"",""ระนอง!J653"")"),0)</f>
        <v>0</v>
      </c>
      <c r="AB85" s="354">
        <f t="shared" ca="1" si="52"/>
        <v>0</v>
      </c>
      <c r="AC85" s="177">
        <f ca="1">IFERROR(__xludf.DUMMYFUNCTION("IMPORTRANGE(""https://docs.google.com/spreadsheets/d/1qfrKjzMhm2HJfxQ-qVlJlJQ25Hne1d0khsySbZyGtPA/edit?usp=sharing"",""ระนอง!I654"")"),0)</f>
        <v>0</v>
      </c>
      <c r="AD85" s="177">
        <f ca="1">IFERROR(__xludf.DUMMYFUNCTION("IMPORTRANGE(""https://docs.google.com/spreadsheets/d/1qfrKjzMhm2HJfxQ-qVlJlJQ25Hne1d0khsySbZyGtPA/edit?usp=sharing"",""ระนอง!J654"")"),0)</f>
        <v>0</v>
      </c>
      <c r="AE85" s="354">
        <f t="shared" ca="1" si="54"/>
        <v>0</v>
      </c>
      <c r="AF85" s="354">
        <f ca="1">IFERROR(__xludf.DUMMYFUNCTION("IMPORTRANGE(""https://docs.google.com/spreadsheets/d/1qfrKjzMhm2HJfxQ-qVlJlJQ25Hne1d0khsySbZyGtPA/edit?usp=sharing"",""ระนอง!J655"")"),0)</f>
        <v>0</v>
      </c>
      <c r="AG85" s="354">
        <f ca="1">IFERROR(__xludf.DUMMYFUNCTION("IMPORTRANGE(""https://docs.google.com/spreadsheets/d/1qfrKjzMhm2HJfxQ-qVlJlJQ25Hne1d0khsySbZyGtPA/edit?usp=sharing"",""ระนอง!J656"")"),0)</f>
        <v>0</v>
      </c>
      <c r="AH85" s="354">
        <f ca="1">IFERROR(__xludf.DUMMYFUNCTION("IMPORTRANGE(""https://docs.google.com/spreadsheets/d/1qfrKjzMhm2HJfxQ-qVlJlJQ25Hne1d0khsySbZyGtPA/edit?usp=sharing"",""ระนอง!J657"")"),0)</f>
        <v>0</v>
      </c>
      <c r="AI85" s="354">
        <f ca="1">IFERROR(__xludf.DUMMYFUNCTION("IMPORTRANGE(""https://docs.google.com/spreadsheets/d/1qfrKjzMhm2HJfxQ-qVlJlJQ25Hne1d0khsySbZyGtPA/edit?usp=sharing"",""ระนอง!J658"")"),0)</f>
        <v>0</v>
      </c>
      <c r="AJ85" s="354">
        <f ca="1">IFERROR(__xludf.DUMMYFUNCTION("IMPORTRANGE(""https://docs.google.com/spreadsheets/d/1qfrKjzMhm2HJfxQ-qVlJlJQ25Hne1d0khsySbZyGtPA/edit?usp=sharing"",""ระนอง!J659"")"),0)</f>
        <v>0</v>
      </c>
      <c r="AK85" s="354">
        <f ca="1">IFERROR(__xludf.DUMMYFUNCTION("IMPORTRANGE(""https://docs.google.com/spreadsheets/d/1qfrKjzMhm2HJfxQ-qVlJlJQ25Hne1d0khsySbZyGtPA/edit?usp=sharing"",""ระนอง!J660"")"),0)</f>
        <v>0</v>
      </c>
      <c r="AL85" s="177">
        <f ca="1">IFERROR(__xludf.DUMMYFUNCTION("IMPORTRANGE(""https://docs.google.com/spreadsheets/d/1qfrKjzMhm2HJfxQ-qVlJlJQ25Hne1d0khsySbZyGtPA/edit?usp=sharing"",""ระนอง!I661"")"),0)</f>
        <v>0</v>
      </c>
      <c r="AM85" s="177">
        <f ca="1">IFERROR(__xludf.DUMMYFUNCTION("IMPORTRANGE(""https://docs.google.com/spreadsheets/d/1qfrKjzMhm2HJfxQ-qVlJlJQ25Hne1d0khsySbZyGtPA/edit?usp=sharing"",""ระนอง!J661"")"),0)</f>
        <v>0</v>
      </c>
      <c r="AN85" s="354">
        <f t="shared" ca="1" si="56"/>
        <v>0</v>
      </c>
      <c r="AO85" s="177">
        <f ca="1">IFERROR(__xludf.DUMMYFUNCTION("IMPORTRANGE(""https://docs.google.com/spreadsheets/d/1qfrKjzMhm2HJfxQ-qVlJlJQ25Hne1d0khsySbZyGtPA/edit?usp=sharing"",""ระนอง!J662"")"),0)</f>
        <v>0</v>
      </c>
      <c r="AP85" s="177">
        <f ca="1">IFERROR(__xludf.DUMMYFUNCTION("IMPORTRANGE(""https://docs.google.com/spreadsheets/d/1qfrKjzMhm2HJfxQ-qVlJlJQ25Hne1d0khsySbZyGtPA/edit?usp=sharing"",""ระนอง!J663"")"),0)</f>
        <v>0</v>
      </c>
      <c r="AQ85" s="177">
        <f ca="1">IFERROR(__xludf.DUMMYFUNCTION("IMPORTRANGE(""https://docs.google.com/spreadsheets/d/1qfrKjzMhm2HJfxQ-qVlJlJQ25Hne1d0khsySbZyGtPA/edit?usp=sharing"",""ระนอง!J665"")"),0)</f>
        <v>0</v>
      </c>
      <c r="AR85" s="177">
        <f ca="1">IFERROR(__xludf.DUMMYFUNCTION("IMPORTRANGE(""https://docs.google.com/spreadsheets/d/1qfrKjzMhm2HJfxQ-qVlJlJQ25Hne1d0khsySbZyGtPA/edit?usp=sharing"",""ระนอง!J666"")"),0)</f>
        <v>0</v>
      </c>
      <c r="AS85" s="177">
        <f ca="1">IFERROR(__xludf.DUMMYFUNCTION("IMPORTRANGE(""https://docs.google.com/spreadsheets/d/1qfrKjzMhm2HJfxQ-qVlJlJQ25Hne1d0khsySbZyGtPA/edit?usp=sharing"",""ระนอง!J667"")"),0)</f>
        <v>0</v>
      </c>
      <c r="AT85" s="177">
        <f ca="1">IFERROR(__xludf.DUMMYFUNCTION("IMPORTRANGE(""https://docs.google.com/spreadsheets/d/1qfrKjzMhm2HJfxQ-qVlJlJQ25Hne1d0khsySbZyGtPA/edit?usp=sharing"",""ระนอง!J668"")"),0)</f>
        <v>0</v>
      </c>
      <c r="AU85" s="177">
        <f ca="1">IFERROR(__xludf.DUMMYFUNCTION("IMPORTRANGE(""https://docs.google.com/spreadsheets/d/1qfrKjzMhm2HJfxQ-qVlJlJQ25Hne1d0khsySbZyGtPA/edit?usp=sharing"",""ระนอง!J669"")"),0)</f>
        <v>0</v>
      </c>
      <c r="AV85" s="177">
        <f ca="1">IFERROR(__xludf.DUMMYFUNCTION("IMPORTRANGE(""https://docs.google.com/spreadsheets/d/1qfrKjzMhm2HJfxQ-qVlJlJQ25Hne1d0khsySbZyGtPA/edit?usp=sharing"",""ระนอง!J670"")"),0)</f>
        <v>0</v>
      </c>
      <c r="AW85" s="177">
        <v>0</v>
      </c>
      <c r="AX85" s="177">
        <f ca="1">IFERROR(__xludf.DUMMYFUNCTION("IMPORTRANGE(""https://docs.google.com/spreadsheets/d/1qfrKjzMhm2HJfxQ-qVlJlJQ25Hne1d0khsySbZyGtPA/edit?usp=sharing"",""ระนอง!J671"")"),0)</f>
        <v>0</v>
      </c>
      <c r="AY85" s="177">
        <f ca="1">IFERROR(__xludf.DUMMYFUNCTION("IMPORTRANGE(""https://docs.google.com/spreadsheets/d/1qfrKjzMhm2HJfxQ-qVlJlJQ25Hne1d0khsySbZyGtPA/edit?usp=sharing"",""ระนอง!J672"")"),0)</f>
        <v>0</v>
      </c>
      <c r="AZ85" s="177">
        <f ca="1">IFERROR(__xludf.DUMMYFUNCTION("IMPORTRANGE(""https://docs.google.com/spreadsheets/d/1qfrKjzMhm2HJfxQ-qVlJlJQ25Hne1d0khsySbZyGtPA/edit?usp=sharing"",""ระนอง!J673"")"),0)</f>
        <v>0</v>
      </c>
      <c r="BA85" s="354">
        <f t="shared" si="58"/>
        <v>0</v>
      </c>
      <c r="BB85" s="177">
        <f ca="1">IFERROR(__xludf.DUMMYFUNCTION("IMPORTRANGE(""https://docs.google.com/spreadsheets/d/1qfrKjzMhm2HJfxQ-qVlJlJQ25Hne1d0khsySbZyGtPA/edit?usp=sharing"",""ระนอง!I674"")"),0)</f>
        <v>0</v>
      </c>
      <c r="BC85" s="177">
        <f ca="1">IFERROR(__xludf.DUMMYFUNCTION("IMPORTRANGE(""https://docs.google.com/spreadsheets/d/1qfrKjzMhm2HJfxQ-qVlJlJQ25Hne1d0khsySbZyGtPA/edit?usp=sharing"",""ระนอง!I675"")"),0)</f>
        <v>0</v>
      </c>
      <c r="BD85" s="177">
        <f ca="1">IFERROR(__xludf.DUMMYFUNCTION("IMPORTRANGE(""https://docs.google.com/spreadsheets/d/1qfrKjzMhm2HJfxQ-qVlJlJQ25Hne1d0khsySbZyGtPA/edit?usp=sharing"",""ระนอง!J674"")"),0)</f>
        <v>0</v>
      </c>
      <c r="BE85" s="354">
        <f t="shared" ca="1" si="60"/>
        <v>0</v>
      </c>
      <c r="BF85" s="177">
        <f ca="1">IFERROR(__xludf.DUMMYFUNCTION("IMPORTRANGE(""https://docs.google.com/spreadsheets/d/1qfrKjzMhm2HJfxQ-qVlJlJQ25Hne1d0khsySbZyGtPA/edit?usp=sharing"",""ระนอง!J675"")"),0)</f>
        <v>0</v>
      </c>
      <c r="BG85" s="354">
        <f t="shared" ca="1" si="61"/>
        <v>0</v>
      </c>
      <c r="BH85" s="177">
        <f ca="1">IFERROR(__xludf.DUMMYFUNCTION("IMPORTRANGE(""https://docs.google.com/spreadsheets/d/1qfrKjzMhm2HJfxQ-qVlJlJQ25Hne1d0khsySbZyGtPA/edit?usp=sharing"",""ระนอง!I676"")"),0)</f>
        <v>0</v>
      </c>
      <c r="BI85" s="177">
        <f ca="1">IFERROR(__xludf.DUMMYFUNCTION("IMPORTRANGE(""https://docs.google.com/spreadsheets/d/1qfrKjzMhm2HJfxQ-qVlJlJQ25Hne1d0khsySbZyGtPA/edit?usp=sharing"",""ระนอง!I678"")"),0)</f>
        <v>0</v>
      </c>
      <c r="BJ85" s="177">
        <f ca="1">IFERROR(__xludf.DUMMYFUNCTION("IMPORTRANGE(""https://docs.google.com/spreadsheets/d/1qfrKjzMhm2HJfxQ-qVlJlJQ25Hne1d0khsySbZyGtPA/edit?usp=sharing"",""ระนอง!J676"")"),0)</f>
        <v>0</v>
      </c>
      <c r="BK85" s="177">
        <f ca="1">IFERROR(__xludf.DUMMYFUNCTION("IMPORTRANGE(""https://docs.google.com/spreadsheets/d/1qfrKjzMhm2HJfxQ-qVlJlJQ25Hne1d0khsySbZyGtPA/edit?usp=sharing"",""ระนอง!J677"")"),0)</f>
        <v>0</v>
      </c>
      <c r="BL85" s="177">
        <f ca="1">IFERROR(__xludf.DUMMYFUNCTION("IMPORTRANGE(""https://docs.google.com/spreadsheets/d/1qfrKjzMhm2HJfxQ-qVlJlJQ25Hne1d0khsySbZyGtPA/edit?usp=sharing"",""ระนอง!J678"")"),0)</f>
        <v>0</v>
      </c>
      <c r="BM85" s="177">
        <f ca="1">IFERROR(__xludf.DUMMYFUNCTION("IMPORTRANGE(""https://docs.google.com/spreadsheets/d/1qfrKjzMhm2HJfxQ-qVlJlJQ25Hne1d0khsySbZyGtPA/edit?usp=sharing"",""ระนอง!I679"")"),0)</f>
        <v>0</v>
      </c>
      <c r="BN85" s="177">
        <f ca="1">IFERROR(__xludf.DUMMYFUNCTION("IMPORTRANGE(""https://docs.google.com/spreadsheets/d/1qfrKjzMhm2HJfxQ-qVlJlJQ25Hne1d0khsySbZyGtPA/edit?usp=sharing"",""ระนอง!I681"")"),0)</f>
        <v>0</v>
      </c>
      <c r="BO85" s="177">
        <f ca="1">IFERROR(__xludf.DUMMYFUNCTION("IMPORTRANGE(""https://docs.google.com/spreadsheets/d/1qfrKjzMhm2HJfxQ-qVlJlJQ25Hne1d0khsySbZyGtPA/edit?usp=sharing"",""ระนอง!J679"")"),0)</f>
        <v>0</v>
      </c>
      <c r="BP85" s="177">
        <f ca="1">IFERROR(__xludf.DUMMYFUNCTION("IMPORTRANGE(""https://docs.google.com/spreadsheets/d/1qfrKjzMhm2HJfxQ-qVlJlJQ25Hne1d0khsySbZyGtPA/edit?usp=sharing"",""ระนอง!J680"")"),0)</f>
        <v>0</v>
      </c>
      <c r="BQ85" s="177">
        <f ca="1">IFERROR(__xludf.DUMMYFUNCTION("IMPORTRANGE(""https://docs.google.com/spreadsheets/d/1qfrKjzMhm2HJfxQ-qVlJlJQ25Hne1d0khsySbZyGtPA/edit?usp=sharing"",""ระนอง!J681"")"),0)</f>
        <v>0</v>
      </c>
      <c r="BR85" s="177">
        <f ca="1">IFERROR(__xludf.DUMMYFUNCTION("IMPORTRANGE(""https://docs.google.com/spreadsheets/d/1qfrKjzMhm2HJfxQ-qVlJlJQ25Hne1d0khsySbZyGtPA/edit?usp=sharing"",""ระนอง!I682"")"),0)</f>
        <v>0</v>
      </c>
      <c r="BS85" s="177">
        <f ca="1">IFERROR(__xludf.DUMMYFUNCTION("IMPORTRANGE(""https://docs.google.com/spreadsheets/d/1qfrKjzMhm2HJfxQ-qVlJlJQ25Hne1d0khsySbZyGtPA/edit?usp=sharing"",""ระนอง!J682"")"),0)</f>
        <v>0</v>
      </c>
      <c r="BT85" s="354">
        <f t="shared" ca="1" si="63"/>
        <v>0</v>
      </c>
      <c r="BU85" s="177">
        <f ca="1">IFERROR(__xludf.DUMMYFUNCTION("IMPORTRANGE(""https://docs.google.com/spreadsheets/d/1qfrKjzMhm2HJfxQ-qVlJlJQ25Hne1d0khsySbZyGtPA/edit?usp=sharing"",""ระนอง!J683"")"),0)</f>
        <v>0</v>
      </c>
      <c r="BV85" s="177">
        <f ca="1">IFERROR(__xludf.DUMMYFUNCTION("IMPORTRANGE(""https://docs.google.com/spreadsheets/d/1qfrKjzMhm2HJfxQ-qVlJlJQ25Hne1d0khsySbZyGtPA/edit?usp=sharing"",""ระนอง!J684"")"),0)</f>
        <v>0</v>
      </c>
      <c r="BW85" s="177">
        <f ca="1">IFERROR(__xludf.DUMMYFUNCTION("IMPORTRANGE(""https://docs.google.com/spreadsheets/d/1qfrKjzMhm2HJfxQ-qVlJlJQ25Hne1d0khsySbZyGtPA/edit?usp=sharing"",""ระนอง!J685"")"),0)</f>
        <v>0</v>
      </c>
      <c r="BX85" s="177">
        <f ca="1">IFERROR(__xludf.DUMMYFUNCTION("IMPORTRANGE(""https://docs.google.com/spreadsheets/d/1qfrKjzMhm2HJfxQ-qVlJlJQ25Hne1d0khsySbZyGtPA/edit?usp=sharing"",""ระนอง!J686"")"),0)</f>
        <v>0</v>
      </c>
      <c r="BY85" s="177">
        <f ca="1">IFERROR(__xludf.DUMMYFUNCTION("IMPORTRANGE(""https://docs.google.com/spreadsheets/d/1qfrKjzMhm2HJfxQ-qVlJlJQ25Hne1d0khsySbZyGtPA/edit?usp=sharing"",""ระนอง!J687"")"),0)</f>
        <v>0</v>
      </c>
      <c r="BZ85" s="177">
        <f ca="1">IFERROR(__xludf.DUMMYFUNCTION("IMPORTRANGE(""https://docs.google.com/spreadsheets/d/1qfrKjzMhm2HJfxQ-qVlJlJQ25Hne1d0khsySbZyGtPA/edit?usp=sharing"",""ระนอง!J688"")"),0)</f>
        <v>0</v>
      </c>
    </row>
    <row r="86" spans="1:78" ht="21.75" customHeight="1" x14ac:dyDescent="0.3">
      <c r="A86" s="89">
        <v>12</v>
      </c>
      <c r="B86" s="90" t="s">
        <v>112</v>
      </c>
      <c r="C86" s="174">
        <f t="shared" si="38"/>
        <v>0</v>
      </c>
      <c r="D86" s="175">
        <f t="shared" si="98"/>
        <v>0</v>
      </c>
      <c r="E86" s="403">
        <v>0</v>
      </c>
      <c r="F86" s="403">
        <v>0</v>
      </c>
      <c r="G86" s="403">
        <v>0</v>
      </c>
      <c r="H86" s="403">
        <v>0</v>
      </c>
      <c r="I86" s="403">
        <v>0</v>
      </c>
      <c r="J86" s="176">
        <f t="shared" si="40"/>
        <v>0</v>
      </c>
      <c r="K86" s="179">
        <f t="shared" si="41"/>
        <v>0</v>
      </c>
      <c r="L86" s="403">
        <v>0</v>
      </c>
      <c r="M86" s="87">
        <f t="shared" si="42"/>
        <v>0</v>
      </c>
      <c r="N86" s="87">
        <f t="shared" si="43"/>
        <v>0</v>
      </c>
      <c r="O86" s="403">
        <v>0</v>
      </c>
      <c r="P86" s="86">
        <f t="shared" si="44"/>
        <v>0</v>
      </c>
      <c r="Q86" s="87">
        <f t="shared" si="45"/>
        <v>0</v>
      </c>
      <c r="R86" s="87">
        <f ca="1">IFERROR(__xludf.DUMMYFUNCTION("IMPORTRANGE(""https://docs.google.com/spreadsheets/d/1IbSCnFOKpZsnFogBHJnL_isstZVaOMnFiIN0fGTPZZw/edit?usp=sharing"",""สงขลา!Q642"")"),0)</f>
        <v>0</v>
      </c>
      <c r="S86" s="87">
        <f ca="1">IFERROR(__xludf.DUMMYFUNCTION("IMPORTRANGE(""https://docs.google.com/spreadsheets/d/1IbSCnFOKpZsnFogBHJnL_isstZVaOMnFiIN0fGTPZZw/edit?usp=sharing"",""สงขลา!R642"")"),0)</f>
        <v>0</v>
      </c>
      <c r="T86" s="87">
        <f ca="1">IFERROR(__xludf.DUMMYFUNCTION("IMPORTRANGE(""https://docs.google.com/spreadsheets/d/1IbSCnFOKpZsnFogBHJnL_isstZVaOMnFiIN0fGTPZZw/edit?usp=sharing"",""สงขลา!S642"")"),0)</f>
        <v>0</v>
      </c>
      <c r="U86" s="87">
        <f t="shared" ca="1" si="47"/>
        <v>0</v>
      </c>
      <c r="V86" s="87">
        <f t="shared" ca="1" si="48"/>
        <v>0</v>
      </c>
      <c r="W86" s="353">
        <f ca="1">IFERROR(__xludf.DUMMYFUNCTION("IMPORTRANGE(""https://docs.google.com/spreadsheets/d/1IbSCnFOKpZsnFogBHJnL_isstZVaOMnFiIN0fGTPZZw/edit?usp=sharing"",""สงขลา!I652"")"),0)</f>
        <v>0</v>
      </c>
      <c r="X86" s="177">
        <f ca="1">IFERROR(__xludf.DUMMYFUNCTION("IMPORTRANGE(""https://docs.google.com/spreadsheets/d/1IbSCnFOKpZsnFogBHJnL_isstZVaOMnFiIN0fGTPZZw/edit?usp=sharing"",""สงขลา!J652"")"),0)</f>
        <v>0</v>
      </c>
      <c r="Y86" s="354">
        <f t="shared" ca="1" si="50"/>
        <v>0</v>
      </c>
      <c r="Z86" s="177">
        <f ca="1">IFERROR(__xludf.DUMMYFUNCTION("IMPORTRANGE(""https://docs.google.com/spreadsheets/d/1IbSCnFOKpZsnFogBHJnL_isstZVaOMnFiIN0fGTPZZw/edit?usp=sharing"",""สงขลา!I653"")"),0)</f>
        <v>0</v>
      </c>
      <c r="AA86" s="177">
        <f ca="1">IFERROR(__xludf.DUMMYFUNCTION("IMPORTRANGE(""https://docs.google.com/spreadsheets/d/1IbSCnFOKpZsnFogBHJnL_isstZVaOMnFiIN0fGTPZZw/edit?usp=sharing"",""สงขลา!J653"")"),0)</f>
        <v>0</v>
      </c>
      <c r="AB86" s="354">
        <f t="shared" ca="1" si="52"/>
        <v>0</v>
      </c>
      <c r="AC86" s="177">
        <f ca="1">IFERROR(__xludf.DUMMYFUNCTION("IMPORTRANGE(""https://docs.google.com/spreadsheets/d/1IbSCnFOKpZsnFogBHJnL_isstZVaOMnFiIN0fGTPZZw/edit?usp=sharing"",""สงขลา!I654"")"),0)</f>
        <v>0</v>
      </c>
      <c r="AD86" s="177">
        <f ca="1">IFERROR(__xludf.DUMMYFUNCTION("IMPORTRANGE(""https://docs.google.com/spreadsheets/d/1IbSCnFOKpZsnFogBHJnL_isstZVaOMnFiIN0fGTPZZw/edit?usp=sharing"",""สงขลา!J654"")"),0)</f>
        <v>0</v>
      </c>
      <c r="AE86" s="354">
        <f t="shared" ca="1" si="54"/>
        <v>0</v>
      </c>
      <c r="AF86" s="354">
        <f ca="1">IFERROR(__xludf.DUMMYFUNCTION("IMPORTRANGE(""https://docs.google.com/spreadsheets/d/1IbSCnFOKpZsnFogBHJnL_isstZVaOMnFiIN0fGTPZZw/edit?usp=sharing"",""สงขลา!J655"")"),0)</f>
        <v>0</v>
      </c>
      <c r="AG86" s="354">
        <f ca="1">IFERROR(__xludf.DUMMYFUNCTION("IMPORTRANGE(""https://docs.google.com/spreadsheets/d/1IbSCnFOKpZsnFogBHJnL_isstZVaOMnFiIN0fGTPZZw/edit?usp=sharing"",""สงขลา!J656"")"),0)</f>
        <v>0</v>
      </c>
      <c r="AH86" s="354">
        <f ca="1">IFERROR(__xludf.DUMMYFUNCTION("IMPORTRANGE(""https://docs.google.com/spreadsheets/d/1IbSCnFOKpZsnFogBHJnL_isstZVaOMnFiIN0fGTPZZw/edit?usp=sharing"",""สงขลา!J657"")"),0)</f>
        <v>0</v>
      </c>
      <c r="AI86" s="354">
        <f ca="1">IFERROR(__xludf.DUMMYFUNCTION("IMPORTRANGE(""https://docs.google.com/spreadsheets/d/1IbSCnFOKpZsnFogBHJnL_isstZVaOMnFiIN0fGTPZZw/edit?usp=sharing"",""สงขลา!J658"")"),0)</f>
        <v>0</v>
      </c>
      <c r="AJ86" s="354">
        <f ca="1">IFERROR(__xludf.DUMMYFUNCTION("IMPORTRANGE(""https://docs.google.com/spreadsheets/d/1IbSCnFOKpZsnFogBHJnL_isstZVaOMnFiIN0fGTPZZw/edit?usp=sharing"",""สงขลา!J659"")"),0)</f>
        <v>0</v>
      </c>
      <c r="AK86" s="354">
        <f ca="1">IFERROR(__xludf.DUMMYFUNCTION("IMPORTRANGE(""https://docs.google.com/spreadsheets/d/1IbSCnFOKpZsnFogBHJnL_isstZVaOMnFiIN0fGTPZZw/edit?usp=sharing"",""สงขลา!J660"")"),0)</f>
        <v>0</v>
      </c>
      <c r="AL86" s="177">
        <f ca="1">IFERROR(__xludf.DUMMYFUNCTION("IMPORTRANGE(""https://docs.google.com/spreadsheets/d/1IbSCnFOKpZsnFogBHJnL_isstZVaOMnFiIN0fGTPZZw/edit?usp=sharing"",""สงขลา!I661"")"),0)</f>
        <v>0</v>
      </c>
      <c r="AM86" s="177">
        <f ca="1">IFERROR(__xludf.DUMMYFUNCTION("IMPORTRANGE(""https://docs.google.com/spreadsheets/d/1IbSCnFOKpZsnFogBHJnL_isstZVaOMnFiIN0fGTPZZw/edit?usp=sharing"",""สงขลา!J661"")"),0)</f>
        <v>0</v>
      </c>
      <c r="AN86" s="354">
        <f t="shared" ca="1" si="56"/>
        <v>0</v>
      </c>
      <c r="AO86" s="177">
        <f ca="1">IFERROR(__xludf.DUMMYFUNCTION("IMPORTRANGE(""https://docs.google.com/spreadsheets/d/1IbSCnFOKpZsnFogBHJnL_isstZVaOMnFiIN0fGTPZZw/edit?usp=sharing"",""สงขลา!J662"")"),0)</f>
        <v>0</v>
      </c>
      <c r="AP86" s="177">
        <f ca="1">IFERROR(__xludf.DUMMYFUNCTION("IMPORTRANGE(""https://docs.google.com/spreadsheets/d/1IbSCnFOKpZsnFogBHJnL_isstZVaOMnFiIN0fGTPZZw/edit?usp=sharing"",""สงขลา!J663"")"),0)</f>
        <v>0</v>
      </c>
      <c r="AQ86" s="177">
        <f ca="1">IFERROR(__xludf.DUMMYFUNCTION("IMPORTRANGE(""https://docs.google.com/spreadsheets/d/1IbSCnFOKpZsnFogBHJnL_isstZVaOMnFiIN0fGTPZZw/edit?usp=sharing"",""สงขลา!J665"")"),0)</f>
        <v>0</v>
      </c>
      <c r="AR86" s="177">
        <f ca="1">IFERROR(__xludf.DUMMYFUNCTION("IMPORTRANGE(""https://docs.google.com/spreadsheets/d/1IbSCnFOKpZsnFogBHJnL_isstZVaOMnFiIN0fGTPZZw/edit?usp=sharing"",""สงขลา!J666"")"),0)</f>
        <v>0</v>
      </c>
      <c r="AS86" s="177">
        <f ca="1">IFERROR(__xludf.DUMMYFUNCTION("IMPORTRANGE(""https://docs.google.com/spreadsheets/d/1IbSCnFOKpZsnFogBHJnL_isstZVaOMnFiIN0fGTPZZw/edit?usp=sharing"",""สงขลา!J667"")"),0)</f>
        <v>0</v>
      </c>
      <c r="AT86" s="177">
        <f ca="1">IFERROR(__xludf.DUMMYFUNCTION("IMPORTRANGE(""https://docs.google.com/spreadsheets/d/1IbSCnFOKpZsnFogBHJnL_isstZVaOMnFiIN0fGTPZZw/edit?usp=sharing"",""สงขลา!J668"")"),0)</f>
        <v>0</v>
      </c>
      <c r="AU86" s="177">
        <f ca="1">IFERROR(__xludf.DUMMYFUNCTION("IMPORTRANGE(""https://docs.google.com/spreadsheets/d/1IbSCnFOKpZsnFogBHJnL_isstZVaOMnFiIN0fGTPZZw/edit?usp=sharing"",""สงขลา!J669"")"),0)</f>
        <v>0</v>
      </c>
      <c r="AV86" s="177">
        <f ca="1">IFERROR(__xludf.DUMMYFUNCTION("IMPORTRANGE(""https://docs.google.com/spreadsheets/d/1IbSCnFOKpZsnFogBHJnL_isstZVaOMnFiIN0fGTPZZw/edit?usp=sharing"",""สงขลา!J670"")"),0)</f>
        <v>0</v>
      </c>
      <c r="AW86" s="177">
        <v>0</v>
      </c>
      <c r="AX86" s="177">
        <f ca="1">IFERROR(__xludf.DUMMYFUNCTION("IMPORTRANGE(""https://docs.google.com/spreadsheets/d/1IbSCnFOKpZsnFogBHJnL_isstZVaOMnFiIN0fGTPZZw/edit?usp=sharing"",""สงขลา!J671"")"),0)</f>
        <v>0</v>
      </c>
      <c r="AY86" s="177">
        <f ca="1">IFERROR(__xludf.DUMMYFUNCTION("IMPORTRANGE(""https://docs.google.com/spreadsheets/d/1IbSCnFOKpZsnFogBHJnL_isstZVaOMnFiIN0fGTPZZw/edit?usp=sharing"",""สงขลา!J672"")"),0)</f>
        <v>0</v>
      </c>
      <c r="AZ86" s="177">
        <f ca="1">IFERROR(__xludf.DUMMYFUNCTION("IMPORTRANGE(""https://docs.google.com/spreadsheets/d/1IbSCnFOKpZsnFogBHJnL_isstZVaOMnFiIN0fGTPZZw/edit?usp=sharing"",""สงขลา!J673"")"),0)</f>
        <v>0</v>
      </c>
      <c r="BA86" s="354">
        <f t="shared" si="58"/>
        <v>0</v>
      </c>
      <c r="BB86" s="177">
        <f ca="1">IFERROR(__xludf.DUMMYFUNCTION("IMPORTRANGE(""https://docs.google.com/spreadsheets/d/1IbSCnFOKpZsnFogBHJnL_isstZVaOMnFiIN0fGTPZZw/edit?usp=sharing"",""สงขลา!I674"")"),0)</f>
        <v>0</v>
      </c>
      <c r="BC86" s="177">
        <f ca="1">IFERROR(__xludf.DUMMYFUNCTION("IMPORTRANGE(""https://docs.google.com/spreadsheets/d/1IbSCnFOKpZsnFogBHJnL_isstZVaOMnFiIN0fGTPZZw/edit?usp=sharing"",""สงขลา!I675"")"),0)</f>
        <v>0</v>
      </c>
      <c r="BD86" s="177">
        <f ca="1">IFERROR(__xludf.DUMMYFUNCTION("IMPORTRANGE(""https://docs.google.com/spreadsheets/d/1IbSCnFOKpZsnFogBHJnL_isstZVaOMnFiIN0fGTPZZw/edit?usp=sharing"",""สงขลา!J674"")"),0)</f>
        <v>0</v>
      </c>
      <c r="BE86" s="354">
        <f t="shared" ca="1" si="60"/>
        <v>0</v>
      </c>
      <c r="BF86" s="177">
        <f ca="1">IFERROR(__xludf.DUMMYFUNCTION("IMPORTRANGE(""https://docs.google.com/spreadsheets/d/1IbSCnFOKpZsnFogBHJnL_isstZVaOMnFiIN0fGTPZZw/edit?usp=sharing"",""สงขลา!J675"")"),0)</f>
        <v>0</v>
      </c>
      <c r="BG86" s="354">
        <f t="shared" ca="1" si="61"/>
        <v>0</v>
      </c>
      <c r="BH86" s="177">
        <f ca="1">IFERROR(__xludf.DUMMYFUNCTION("IMPORTRANGE(""https://docs.google.com/spreadsheets/d/1IbSCnFOKpZsnFogBHJnL_isstZVaOMnFiIN0fGTPZZw/edit?usp=sharing"",""สงขลา!I676"")"),0)</f>
        <v>0</v>
      </c>
      <c r="BI86" s="177">
        <f ca="1">IFERROR(__xludf.DUMMYFUNCTION("IMPORTRANGE(""https://docs.google.com/spreadsheets/d/1IbSCnFOKpZsnFogBHJnL_isstZVaOMnFiIN0fGTPZZw/edit?usp=sharing"",""สงขลา!I678"")"),0)</f>
        <v>0</v>
      </c>
      <c r="BJ86" s="177">
        <f ca="1">IFERROR(__xludf.DUMMYFUNCTION("IMPORTRANGE(""https://docs.google.com/spreadsheets/d/1IbSCnFOKpZsnFogBHJnL_isstZVaOMnFiIN0fGTPZZw/edit?usp=sharing"",""สงขลา!J676"")"),0)</f>
        <v>0</v>
      </c>
      <c r="BK86" s="177">
        <f ca="1">IFERROR(__xludf.DUMMYFUNCTION("IMPORTRANGE(""https://docs.google.com/spreadsheets/d/1IbSCnFOKpZsnFogBHJnL_isstZVaOMnFiIN0fGTPZZw/edit?usp=sharing"",""สงขลา!J677"")"),0)</f>
        <v>0</v>
      </c>
      <c r="BL86" s="177">
        <f ca="1">IFERROR(__xludf.DUMMYFUNCTION("IMPORTRANGE(""https://docs.google.com/spreadsheets/d/1IbSCnFOKpZsnFogBHJnL_isstZVaOMnFiIN0fGTPZZw/edit?usp=sharing"",""สงขลา!J678"")"),0)</f>
        <v>0</v>
      </c>
      <c r="BM86" s="177">
        <f ca="1">IFERROR(__xludf.DUMMYFUNCTION("IMPORTRANGE(""https://docs.google.com/spreadsheets/d/1IbSCnFOKpZsnFogBHJnL_isstZVaOMnFiIN0fGTPZZw/edit?usp=sharing"",""สงขลา!I679"")"),0)</f>
        <v>0</v>
      </c>
      <c r="BN86" s="177">
        <f ca="1">IFERROR(__xludf.DUMMYFUNCTION("IMPORTRANGE(""https://docs.google.com/spreadsheets/d/1IbSCnFOKpZsnFogBHJnL_isstZVaOMnFiIN0fGTPZZw/edit?usp=sharing"",""สงขลา!I681"")"),0)</f>
        <v>0</v>
      </c>
      <c r="BO86" s="177">
        <f ca="1">IFERROR(__xludf.DUMMYFUNCTION("IMPORTRANGE(""https://docs.google.com/spreadsheets/d/1IbSCnFOKpZsnFogBHJnL_isstZVaOMnFiIN0fGTPZZw/edit?usp=sharing"",""สงขลา!J679"")"),0)</f>
        <v>0</v>
      </c>
      <c r="BP86" s="177">
        <f ca="1">IFERROR(__xludf.DUMMYFUNCTION("IMPORTRANGE(""https://docs.google.com/spreadsheets/d/1IbSCnFOKpZsnFogBHJnL_isstZVaOMnFiIN0fGTPZZw/edit?usp=sharing"",""สงขลา!J680"")"),0)</f>
        <v>0</v>
      </c>
      <c r="BQ86" s="177">
        <f ca="1">IFERROR(__xludf.DUMMYFUNCTION("IMPORTRANGE(""https://docs.google.com/spreadsheets/d/1IbSCnFOKpZsnFogBHJnL_isstZVaOMnFiIN0fGTPZZw/edit?usp=sharing"",""สงขลา!J681"")"),0)</f>
        <v>0</v>
      </c>
      <c r="BR86" s="177">
        <f ca="1">IFERROR(__xludf.DUMMYFUNCTION("IMPORTRANGE(""https://docs.google.com/spreadsheets/d/1IbSCnFOKpZsnFogBHJnL_isstZVaOMnFiIN0fGTPZZw/edit?usp=sharing"",""สงขลา!I682"")"),0)</f>
        <v>0</v>
      </c>
      <c r="BS86" s="177">
        <f ca="1">IFERROR(__xludf.DUMMYFUNCTION("IMPORTRANGE(""https://docs.google.com/spreadsheets/d/1IbSCnFOKpZsnFogBHJnL_isstZVaOMnFiIN0fGTPZZw/edit?usp=sharing"",""สงขลา!J682"")"),0)</f>
        <v>0</v>
      </c>
      <c r="BT86" s="354">
        <f t="shared" ca="1" si="63"/>
        <v>0</v>
      </c>
      <c r="BU86" s="177">
        <f ca="1">IFERROR(__xludf.DUMMYFUNCTION("IMPORTRANGE(""https://docs.google.com/spreadsheets/d/1IbSCnFOKpZsnFogBHJnL_isstZVaOMnFiIN0fGTPZZw/edit?usp=sharing"",""สงขลา!J683"")"),0)</f>
        <v>0</v>
      </c>
      <c r="BV86" s="177">
        <f ca="1">IFERROR(__xludf.DUMMYFUNCTION("IMPORTRANGE(""https://docs.google.com/spreadsheets/d/1IbSCnFOKpZsnFogBHJnL_isstZVaOMnFiIN0fGTPZZw/edit?usp=sharing"",""สงขลา!J684"")"),0)</f>
        <v>0</v>
      </c>
      <c r="BW86" s="177">
        <f ca="1">IFERROR(__xludf.DUMMYFUNCTION("IMPORTRANGE(""https://docs.google.com/spreadsheets/d/1IbSCnFOKpZsnFogBHJnL_isstZVaOMnFiIN0fGTPZZw/edit?usp=sharing"",""สงขลา!J685"")"),0)</f>
        <v>0</v>
      </c>
      <c r="BX86" s="177">
        <f ca="1">IFERROR(__xludf.DUMMYFUNCTION("IMPORTRANGE(""https://docs.google.com/spreadsheets/d/1IbSCnFOKpZsnFogBHJnL_isstZVaOMnFiIN0fGTPZZw/edit?usp=sharing"",""สงขลา!J686"")"),0)</f>
        <v>0</v>
      </c>
      <c r="BY86" s="177">
        <f ca="1">IFERROR(__xludf.DUMMYFUNCTION("IMPORTRANGE(""https://docs.google.com/spreadsheets/d/1IbSCnFOKpZsnFogBHJnL_isstZVaOMnFiIN0fGTPZZw/edit?usp=sharing"",""สงขลา!J687"")"),0)</f>
        <v>0</v>
      </c>
      <c r="BZ86" s="177">
        <f ca="1">IFERROR(__xludf.DUMMYFUNCTION("IMPORTRANGE(""https://docs.google.com/spreadsheets/d/1IbSCnFOKpZsnFogBHJnL_isstZVaOMnFiIN0fGTPZZw/edit?usp=sharing"",""สงขลา!J688"")"),0)</f>
        <v>0</v>
      </c>
    </row>
    <row r="87" spans="1:78" ht="21.75" customHeight="1" x14ac:dyDescent="0.3">
      <c r="A87" s="89">
        <v>13</v>
      </c>
      <c r="B87" s="90" t="s">
        <v>113</v>
      </c>
      <c r="C87" s="174">
        <f t="shared" si="38"/>
        <v>0</v>
      </c>
      <c r="D87" s="175">
        <f t="shared" si="98"/>
        <v>0</v>
      </c>
      <c r="E87" s="403">
        <v>0</v>
      </c>
      <c r="F87" s="403">
        <v>0</v>
      </c>
      <c r="G87" s="403">
        <v>0</v>
      </c>
      <c r="H87" s="403">
        <v>0</v>
      </c>
      <c r="I87" s="403">
        <v>0</v>
      </c>
      <c r="J87" s="176">
        <f t="shared" si="40"/>
        <v>0</v>
      </c>
      <c r="K87" s="179">
        <f t="shared" si="41"/>
        <v>0</v>
      </c>
      <c r="L87" s="403">
        <v>0</v>
      </c>
      <c r="M87" s="87">
        <f t="shared" si="42"/>
        <v>0</v>
      </c>
      <c r="N87" s="87">
        <f t="shared" si="43"/>
        <v>0</v>
      </c>
      <c r="O87" s="403">
        <v>0</v>
      </c>
      <c r="P87" s="86">
        <f t="shared" si="44"/>
        <v>0</v>
      </c>
      <c r="Q87" s="87">
        <f t="shared" si="45"/>
        <v>0</v>
      </c>
      <c r="R87" s="87">
        <f ca="1">IFERROR(__xludf.DUMMYFUNCTION("IMPORTRANGE(""https://docs.google.com/spreadsheets/d/1q9nWasZJ-K8bFGvbE9n0qSRuKGA4Toe3Y89cKCiVtCU/edit?usp=sharing"",""สตูล!Q642"")"),0)</f>
        <v>0</v>
      </c>
      <c r="S87" s="87">
        <f ca="1">IFERROR(__xludf.DUMMYFUNCTION("IMPORTRANGE(""https://docs.google.com/spreadsheets/d/1q9nWasZJ-K8bFGvbE9n0qSRuKGA4Toe3Y89cKCiVtCU/edit?usp=sharing"",""สตูล!R642"")"),0)</f>
        <v>0</v>
      </c>
      <c r="T87" s="87">
        <f ca="1">IFERROR(__xludf.DUMMYFUNCTION("IMPORTRANGE(""https://docs.google.com/spreadsheets/d/1q9nWasZJ-K8bFGvbE9n0qSRuKGA4Toe3Y89cKCiVtCU/edit?usp=sharing"",""สตูล!S642"")"),0)</f>
        <v>0</v>
      </c>
      <c r="U87" s="87">
        <f t="shared" ca="1" si="47"/>
        <v>0</v>
      </c>
      <c r="V87" s="87">
        <f t="shared" ca="1" si="48"/>
        <v>0</v>
      </c>
      <c r="W87" s="353">
        <f ca="1">IFERROR(__xludf.DUMMYFUNCTION("IMPORTRANGE(""https://docs.google.com/spreadsheets/d/1q9nWasZJ-K8bFGvbE9n0qSRuKGA4Toe3Y89cKCiVtCU/edit?usp=sharing"",""สตูล!I652"")"),0)</f>
        <v>0</v>
      </c>
      <c r="X87" s="177">
        <f ca="1">IFERROR(__xludf.DUMMYFUNCTION("IMPORTRANGE(""https://docs.google.com/spreadsheets/d/1q9nWasZJ-K8bFGvbE9n0qSRuKGA4Toe3Y89cKCiVtCU/edit?usp=sharing"",""สตูล!J652"")"),0)</f>
        <v>0</v>
      </c>
      <c r="Y87" s="354">
        <f t="shared" ca="1" si="50"/>
        <v>0</v>
      </c>
      <c r="Z87" s="177">
        <f ca="1">IFERROR(__xludf.DUMMYFUNCTION("IMPORTRANGE(""https://docs.google.com/spreadsheets/d/1q9nWasZJ-K8bFGvbE9n0qSRuKGA4Toe3Y89cKCiVtCU/edit?usp=sharing"",""สตูล!I653"")"),0)</f>
        <v>0</v>
      </c>
      <c r="AA87" s="177">
        <f ca="1">IFERROR(__xludf.DUMMYFUNCTION("IMPORTRANGE(""https://docs.google.com/spreadsheets/d/1q9nWasZJ-K8bFGvbE9n0qSRuKGA4Toe3Y89cKCiVtCU/edit?usp=sharing"",""สตูล!J653"")"),0)</f>
        <v>0</v>
      </c>
      <c r="AB87" s="354">
        <f t="shared" ca="1" si="52"/>
        <v>0</v>
      </c>
      <c r="AC87" s="177">
        <f ca="1">IFERROR(__xludf.DUMMYFUNCTION("IMPORTRANGE(""https://docs.google.com/spreadsheets/d/1q9nWasZJ-K8bFGvbE9n0qSRuKGA4Toe3Y89cKCiVtCU/edit?usp=sharing"",""สตูล!I654"")"),0)</f>
        <v>0</v>
      </c>
      <c r="AD87" s="177">
        <f ca="1">IFERROR(__xludf.DUMMYFUNCTION("IMPORTRANGE(""https://docs.google.com/spreadsheets/d/1q9nWasZJ-K8bFGvbE9n0qSRuKGA4Toe3Y89cKCiVtCU/edit?usp=sharing"",""สตูล!J654"")"),0)</f>
        <v>0</v>
      </c>
      <c r="AE87" s="354">
        <f t="shared" ca="1" si="54"/>
        <v>0</v>
      </c>
      <c r="AF87" s="354">
        <f ca="1">IFERROR(__xludf.DUMMYFUNCTION("IMPORTRANGE(""https://docs.google.com/spreadsheets/d/1q9nWasZJ-K8bFGvbE9n0qSRuKGA4Toe3Y89cKCiVtCU/edit?usp=sharing"",""สตูล!J655"")"),0)</f>
        <v>0</v>
      </c>
      <c r="AG87" s="354">
        <f ca="1">IFERROR(__xludf.DUMMYFUNCTION("IMPORTRANGE(""https://docs.google.com/spreadsheets/d/1q9nWasZJ-K8bFGvbE9n0qSRuKGA4Toe3Y89cKCiVtCU/edit?usp=sharing"",""สตูล!J656"")"),0)</f>
        <v>0</v>
      </c>
      <c r="AH87" s="354">
        <f ca="1">IFERROR(__xludf.DUMMYFUNCTION("IMPORTRANGE(""https://docs.google.com/spreadsheets/d/1q9nWasZJ-K8bFGvbE9n0qSRuKGA4Toe3Y89cKCiVtCU/edit?usp=sharing"",""สตูล!J657"")"),0)</f>
        <v>0</v>
      </c>
      <c r="AI87" s="354">
        <f ca="1">IFERROR(__xludf.DUMMYFUNCTION("IMPORTRANGE(""https://docs.google.com/spreadsheets/d/1q9nWasZJ-K8bFGvbE9n0qSRuKGA4Toe3Y89cKCiVtCU/edit?usp=sharing"",""สตูล!J658"")"),0)</f>
        <v>0</v>
      </c>
      <c r="AJ87" s="354">
        <f ca="1">IFERROR(__xludf.DUMMYFUNCTION("IMPORTRANGE(""https://docs.google.com/spreadsheets/d/1q9nWasZJ-K8bFGvbE9n0qSRuKGA4Toe3Y89cKCiVtCU/edit?usp=sharing"",""สตูล!J659"")"),0)</f>
        <v>0</v>
      </c>
      <c r="AK87" s="354">
        <f ca="1">IFERROR(__xludf.DUMMYFUNCTION("IMPORTRANGE(""https://docs.google.com/spreadsheets/d/1q9nWasZJ-K8bFGvbE9n0qSRuKGA4Toe3Y89cKCiVtCU/edit?usp=sharing"",""สตูล!J660"")"),0)</f>
        <v>0</v>
      </c>
      <c r="AL87" s="177">
        <f ca="1">IFERROR(__xludf.DUMMYFUNCTION("IMPORTRANGE(""https://docs.google.com/spreadsheets/d/1q9nWasZJ-K8bFGvbE9n0qSRuKGA4Toe3Y89cKCiVtCU/edit?usp=sharing"",""สตูล!I661"")"),0)</f>
        <v>0</v>
      </c>
      <c r="AM87" s="177">
        <f ca="1">IFERROR(__xludf.DUMMYFUNCTION("IMPORTRANGE(""https://docs.google.com/spreadsheets/d/1q9nWasZJ-K8bFGvbE9n0qSRuKGA4Toe3Y89cKCiVtCU/edit?usp=sharing"",""สตูล!J661"")"),0)</f>
        <v>0</v>
      </c>
      <c r="AN87" s="354">
        <f t="shared" ca="1" si="56"/>
        <v>0</v>
      </c>
      <c r="AO87" s="177">
        <f ca="1">IFERROR(__xludf.DUMMYFUNCTION("IMPORTRANGE(""https://docs.google.com/spreadsheets/d/1q9nWasZJ-K8bFGvbE9n0qSRuKGA4Toe3Y89cKCiVtCU/edit?usp=sharing"",""สตูล!J662"")"),0)</f>
        <v>0</v>
      </c>
      <c r="AP87" s="177">
        <f ca="1">IFERROR(__xludf.DUMMYFUNCTION("IMPORTRANGE(""https://docs.google.com/spreadsheets/d/1q9nWasZJ-K8bFGvbE9n0qSRuKGA4Toe3Y89cKCiVtCU/edit?usp=sharing"",""สตูล!J663"")"),0)</f>
        <v>0</v>
      </c>
      <c r="AQ87" s="177">
        <f ca="1">IFERROR(__xludf.DUMMYFUNCTION("IMPORTRANGE(""https://docs.google.com/spreadsheets/d/1q9nWasZJ-K8bFGvbE9n0qSRuKGA4Toe3Y89cKCiVtCU/edit?usp=sharing"",""สตูล!J665"")"),0)</f>
        <v>0</v>
      </c>
      <c r="AR87" s="177">
        <f ca="1">IFERROR(__xludf.DUMMYFUNCTION("IMPORTRANGE(""https://docs.google.com/spreadsheets/d/1q9nWasZJ-K8bFGvbE9n0qSRuKGA4Toe3Y89cKCiVtCU/edit?usp=sharing"",""สตูล!J666"")"),0)</f>
        <v>0</v>
      </c>
      <c r="AS87" s="177">
        <f ca="1">IFERROR(__xludf.DUMMYFUNCTION("IMPORTRANGE(""https://docs.google.com/spreadsheets/d/1q9nWasZJ-K8bFGvbE9n0qSRuKGA4Toe3Y89cKCiVtCU/edit?usp=sharing"",""สตูล!J667"")"),0)</f>
        <v>0</v>
      </c>
      <c r="AT87" s="177">
        <f ca="1">IFERROR(__xludf.DUMMYFUNCTION("IMPORTRANGE(""https://docs.google.com/spreadsheets/d/1q9nWasZJ-K8bFGvbE9n0qSRuKGA4Toe3Y89cKCiVtCU/edit?usp=sharing"",""สตูล!J668"")"),0)</f>
        <v>0</v>
      </c>
      <c r="AU87" s="177">
        <f ca="1">IFERROR(__xludf.DUMMYFUNCTION("IMPORTRANGE(""https://docs.google.com/spreadsheets/d/1q9nWasZJ-K8bFGvbE9n0qSRuKGA4Toe3Y89cKCiVtCU/edit?usp=sharing"",""สตูล!J669"")"),0)</f>
        <v>0</v>
      </c>
      <c r="AV87" s="177">
        <f ca="1">IFERROR(__xludf.DUMMYFUNCTION("IMPORTRANGE(""https://docs.google.com/spreadsheets/d/1q9nWasZJ-K8bFGvbE9n0qSRuKGA4Toe3Y89cKCiVtCU/edit?usp=sharing"",""สตูล!J670"")"),0)</f>
        <v>0</v>
      </c>
      <c r="AW87" s="177">
        <v>0</v>
      </c>
      <c r="AX87" s="177">
        <f ca="1">IFERROR(__xludf.DUMMYFUNCTION("IMPORTRANGE(""https://docs.google.com/spreadsheets/d/1q9nWasZJ-K8bFGvbE9n0qSRuKGA4Toe3Y89cKCiVtCU/edit?usp=sharing"",""สตูล!J671"")"),0)</f>
        <v>0</v>
      </c>
      <c r="AY87" s="177">
        <f ca="1">IFERROR(__xludf.DUMMYFUNCTION("IMPORTRANGE(""https://docs.google.com/spreadsheets/d/1q9nWasZJ-K8bFGvbE9n0qSRuKGA4Toe3Y89cKCiVtCU/edit?usp=sharing"",""สตูล!J672"")"),0)</f>
        <v>0</v>
      </c>
      <c r="AZ87" s="177">
        <f ca="1">IFERROR(__xludf.DUMMYFUNCTION("IMPORTRANGE(""https://docs.google.com/spreadsheets/d/1q9nWasZJ-K8bFGvbE9n0qSRuKGA4Toe3Y89cKCiVtCU/edit?usp=sharing"",""สตูล!J673"")"),0)</f>
        <v>0</v>
      </c>
      <c r="BA87" s="354">
        <f t="shared" si="58"/>
        <v>0</v>
      </c>
      <c r="BB87" s="177">
        <f ca="1">IFERROR(__xludf.DUMMYFUNCTION("IMPORTRANGE(""https://docs.google.com/spreadsheets/d/1q9nWasZJ-K8bFGvbE9n0qSRuKGA4Toe3Y89cKCiVtCU/edit?usp=sharing"",""สตูล!I674"")"),0)</f>
        <v>0</v>
      </c>
      <c r="BC87" s="177">
        <f ca="1">IFERROR(__xludf.DUMMYFUNCTION("IMPORTRANGE(""https://docs.google.com/spreadsheets/d/1q9nWasZJ-K8bFGvbE9n0qSRuKGA4Toe3Y89cKCiVtCU/edit?usp=sharing"",""สตูล!I675"")"),0)</f>
        <v>0</v>
      </c>
      <c r="BD87" s="177">
        <f ca="1">IFERROR(__xludf.DUMMYFUNCTION("IMPORTRANGE(""https://docs.google.com/spreadsheets/d/1q9nWasZJ-K8bFGvbE9n0qSRuKGA4Toe3Y89cKCiVtCU/edit?usp=sharing"",""สตูล!J674"")"),0)</f>
        <v>0</v>
      </c>
      <c r="BE87" s="354">
        <f t="shared" ca="1" si="60"/>
        <v>0</v>
      </c>
      <c r="BF87" s="177">
        <f ca="1">IFERROR(__xludf.DUMMYFUNCTION("IMPORTRANGE(""https://docs.google.com/spreadsheets/d/1q9nWasZJ-K8bFGvbE9n0qSRuKGA4Toe3Y89cKCiVtCU/edit?usp=sharing"",""สตูล!J675"")"),0)</f>
        <v>0</v>
      </c>
      <c r="BG87" s="354">
        <f t="shared" ca="1" si="61"/>
        <v>0</v>
      </c>
      <c r="BH87" s="177">
        <f ca="1">IFERROR(__xludf.DUMMYFUNCTION("IMPORTRANGE(""https://docs.google.com/spreadsheets/d/1q9nWasZJ-K8bFGvbE9n0qSRuKGA4Toe3Y89cKCiVtCU/edit?usp=sharing"",""สตูล!I676"")"),0)</f>
        <v>0</v>
      </c>
      <c r="BI87" s="177">
        <f ca="1">IFERROR(__xludf.DUMMYFUNCTION("IMPORTRANGE(""https://docs.google.com/spreadsheets/d/1q9nWasZJ-K8bFGvbE9n0qSRuKGA4Toe3Y89cKCiVtCU/edit?usp=sharing"",""สตูล!I678"")"),0)</f>
        <v>0</v>
      </c>
      <c r="BJ87" s="177">
        <f ca="1">IFERROR(__xludf.DUMMYFUNCTION("IMPORTRANGE(""https://docs.google.com/spreadsheets/d/1q9nWasZJ-K8bFGvbE9n0qSRuKGA4Toe3Y89cKCiVtCU/edit?usp=sharing"",""สตูล!J676"")"),0)</f>
        <v>0</v>
      </c>
      <c r="BK87" s="177">
        <f ca="1">IFERROR(__xludf.DUMMYFUNCTION("IMPORTRANGE(""https://docs.google.com/spreadsheets/d/1q9nWasZJ-K8bFGvbE9n0qSRuKGA4Toe3Y89cKCiVtCU/edit?usp=sharing"",""สตูล!J677"")"),0)</f>
        <v>0</v>
      </c>
      <c r="BL87" s="177">
        <f ca="1">IFERROR(__xludf.DUMMYFUNCTION("IMPORTRANGE(""https://docs.google.com/spreadsheets/d/1q9nWasZJ-K8bFGvbE9n0qSRuKGA4Toe3Y89cKCiVtCU/edit?usp=sharing"",""สตูล!J678"")"),0)</f>
        <v>0</v>
      </c>
      <c r="BM87" s="177">
        <f ca="1">IFERROR(__xludf.DUMMYFUNCTION("IMPORTRANGE(""https://docs.google.com/spreadsheets/d/1q9nWasZJ-K8bFGvbE9n0qSRuKGA4Toe3Y89cKCiVtCU/edit?usp=sharing"",""สตูล!I679"")"),0)</f>
        <v>0</v>
      </c>
      <c r="BN87" s="177">
        <f ca="1">IFERROR(__xludf.DUMMYFUNCTION("IMPORTRANGE(""https://docs.google.com/spreadsheets/d/1q9nWasZJ-K8bFGvbE9n0qSRuKGA4Toe3Y89cKCiVtCU/edit?usp=sharing"",""สตูล!I681"")"),0)</f>
        <v>0</v>
      </c>
      <c r="BO87" s="177">
        <f ca="1">IFERROR(__xludf.DUMMYFUNCTION("IMPORTRANGE(""https://docs.google.com/spreadsheets/d/1q9nWasZJ-K8bFGvbE9n0qSRuKGA4Toe3Y89cKCiVtCU/edit?usp=sharing"",""สตูล!J679"")"),0)</f>
        <v>0</v>
      </c>
      <c r="BP87" s="177">
        <f ca="1">IFERROR(__xludf.DUMMYFUNCTION("IMPORTRANGE(""https://docs.google.com/spreadsheets/d/1q9nWasZJ-K8bFGvbE9n0qSRuKGA4Toe3Y89cKCiVtCU/edit?usp=sharing"",""สตูล!J680"")"),0)</f>
        <v>0</v>
      </c>
      <c r="BQ87" s="177">
        <f ca="1">IFERROR(__xludf.DUMMYFUNCTION("IMPORTRANGE(""https://docs.google.com/spreadsheets/d/1q9nWasZJ-K8bFGvbE9n0qSRuKGA4Toe3Y89cKCiVtCU/edit?usp=sharing"",""สตูล!J681"")"),0)</f>
        <v>0</v>
      </c>
      <c r="BR87" s="177">
        <f ca="1">IFERROR(__xludf.DUMMYFUNCTION("IMPORTRANGE(""https://docs.google.com/spreadsheets/d/1q9nWasZJ-K8bFGvbE9n0qSRuKGA4Toe3Y89cKCiVtCU/edit?usp=sharing"",""สตูล!I682"")"),0)</f>
        <v>0</v>
      </c>
      <c r="BS87" s="177">
        <f ca="1">IFERROR(__xludf.DUMMYFUNCTION("IMPORTRANGE(""https://docs.google.com/spreadsheets/d/1q9nWasZJ-K8bFGvbE9n0qSRuKGA4Toe3Y89cKCiVtCU/edit?usp=sharing"",""สตูล!J682"")"),0)</f>
        <v>0</v>
      </c>
      <c r="BT87" s="354">
        <f t="shared" ca="1" si="63"/>
        <v>0</v>
      </c>
      <c r="BU87" s="177">
        <f ca="1">IFERROR(__xludf.DUMMYFUNCTION("IMPORTRANGE(""https://docs.google.com/spreadsheets/d/1q9nWasZJ-K8bFGvbE9n0qSRuKGA4Toe3Y89cKCiVtCU/edit?usp=sharing"",""สตูล!J683"")"),0)</f>
        <v>0</v>
      </c>
      <c r="BV87" s="177">
        <f ca="1">IFERROR(__xludf.DUMMYFUNCTION("IMPORTRANGE(""https://docs.google.com/spreadsheets/d/1q9nWasZJ-K8bFGvbE9n0qSRuKGA4Toe3Y89cKCiVtCU/edit?usp=sharing"",""สตูล!J684"")"),0)</f>
        <v>0</v>
      </c>
      <c r="BW87" s="177">
        <f ca="1">IFERROR(__xludf.DUMMYFUNCTION("IMPORTRANGE(""https://docs.google.com/spreadsheets/d/1q9nWasZJ-K8bFGvbE9n0qSRuKGA4Toe3Y89cKCiVtCU/edit?usp=sharing"",""สตูล!J685"")"),0)</f>
        <v>0</v>
      </c>
      <c r="BX87" s="177">
        <f ca="1">IFERROR(__xludf.DUMMYFUNCTION("IMPORTRANGE(""https://docs.google.com/spreadsheets/d/1q9nWasZJ-K8bFGvbE9n0qSRuKGA4Toe3Y89cKCiVtCU/edit?usp=sharing"",""สตูล!J686"")"),0)</f>
        <v>0</v>
      </c>
      <c r="BY87" s="177">
        <f ca="1">IFERROR(__xludf.DUMMYFUNCTION("IMPORTRANGE(""https://docs.google.com/spreadsheets/d/1q9nWasZJ-K8bFGvbE9n0qSRuKGA4Toe3Y89cKCiVtCU/edit?usp=sharing"",""สตูล!J687"")"),0)</f>
        <v>0</v>
      </c>
      <c r="BZ87" s="177">
        <f ca="1">IFERROR(__xludf.DUMMYFUNCTION("IMPORTRANGE(""https://docs.google.com/spreadsheets/d/1q9nWasZJ-K8bFGvbE9n0qSRuKGA4Toe3Y89cKCiVtCU/edit?usp=sharing"",""สตูล!J688"")"),0)</f>
        <v>0</v>
      </c>
    </row>
    <row r="88" spans="1:78" ht="21.75" customHeight="1" x14ac:dyDescent="0.3">
      <c r="A88" s="100">
        <v>14</v>
      </c>
      <c r="B88" s="101" t="s">
        <v>114</v>
      </c>
      <c r="C88" s="182">
        <f t="shared" si="38"/>
        <v>0</v>
      </c>
      <c r="D88" s="183">
        <f t="shared" si="98"/>
        <v>0</v>
      </c>
      <c r="E88" s="409">
        <v>0</v>
      </c>
      <c r="F88" s="409">
        <v>0</v>
      </c>
      <c r="G88" s="409">
        <v>0</v>
      </c>
      <c r="H88" s="409">
        <v>0</v>
      </c>
      <c r="I88" s="409">
        <v>0</v>
      </c>
      <c r="J88" s="184">
        <f t="shared" si="40"/>
        <v>0</v>
      </c>
      <c r="K88" s="185">
        <f t="shared" si="41"/>
        <v>0</v>
      </c>
      <c r="L88" s="409">
        <v>0</v>
      </c>
      <c r="M88" s="109">
        <f t="shared" si="42"/>
        <v>0</v>
      </c>
      <c r="N88" s="109">
        <f t="shared" si="43"/>
        <v>0</v>
      </c>
      <c r="O88" s="409">
        <v>0</v>
      </c>
      <c r="P88" s="108">
        <f t="shared" si="44"/>
        <v>0</v>
      </c>
      <c r="Q88" s="109">
        <f t="shared" si="45"/>
        <v>0</v>
      </c>
      <c r="R88" s="109">
        <f ca="1">IFERROR(__xludf.DUMMYFUNCTION("IMPORTRANGE(""https://docs.google.com/spreadsheets/d/18T20gbkS_WBjdscyTOV05cvq_JqvqQ17C81mpxf7Ncs/edit?usp=sharing"",""สุราษฎร์ธานี!Q642"")"),0)</f>
        <v>0</v>
      </c>
      <c r="S88" s="109">
        <f ca="1">IFERROR(__xludf.DUMMYFUNCTION("IMPORTRANGE(""https://docs.google.com/spreadsheets/d/18T20gbkS_WBjdscyTOV05cvq_JqvqQ17C81mpxf7Ncs/edit?usp=sharing"",""สุราษฎร์ธานี!R642"")"),0)</f>
        <v>0</v>
      </c>
      <c r="T88" s="109">
        <f ca="1">IFERROR(__xludf.DUMMYFUNCTION("IMPORTRANGE(""https://docs.google.com/spreadsheets/d/18T20gbkS_WBjdscyTOV05cvq_JqvqQ17C81mpxf7Ncs/edit?usp=sharing"",""สุราษฎร์ธานี!S642"")"),0)</f>
        <v>0</v>
      </c>
      <c r="U88" s="109">
        <f t="shared" ca="1" si="47"/>
        <v>0</v>
      </c>
      <c r="V88" s="109">
        <f t="shared" ca="1" si="48"/>
        <v>0</v>
      </c>
      <c r="W88" s="356">
        <f ca="1">IFERROR(__xludf.DUMMYFUNCTION("IMPORTRANGE(""https://docs.google.com/spreadsheets/d/18T20gbkS_WBjdscyTOV05cvq_JqvqQ17C81mpxf7Ncs/edit?usp=sharing"",""สุราษฎร์ธานี!I652"")"),0)</f>
        <v>0</v>
      </c>
      <c r="X88" s="186">
        <f ca="1">IFERROR(__xludf.DUMMYFUNCTION("IMPORTRANGE(""https://docs.google.com/spreadsheets/d/18T20gbkS_WBjdscyTOV05cvq_JqvqQ17C81mpxf7Ncs/edit?usp=sharing"",""สุราษฎร์ธานี!J652"")"),0)</f>
        <v>0</v>
      </c>
      <c r="Y88" s="357">
        <f t="shared" ca="1" si="50"/>
        <v>0</v>
      </c>
      <c r="Z88" s="186">
        <f ca="1">IFERROR(__xludf.DUMMYFUNCTION("IMPORTRANGE(""https://docs.google.com/spreadsheets/d/18T20gbkS_WBjdscyTOV05cvq_JqvqQ17C81mpxf7Ncs/edit?usp=sharing"",""สุราษฎร์ธานี!I653"")"),0)</f>
        <v>0</v>
      </c>
      <c r="AA88" s="186">
        <f ca="1">IFERROR(__xludf.DUMMYFUNCTION("IMPORTRANGE(""https://docs.google.com/spreadsheets/d/18T20gbkS_WBjdscyTOV05cvq_JqvqQ17C81mpxf7Ncs/edit?usp=sharing"",""สุราษฎร์ธานี!J653"")"),0)</f>
        <v>0</v>
      </c>
      <c r="AB88" s="357">
        <f t="shared" ca="1" si="52"/>
        <v>0</v>
      </c>
      <c r="AC88" s="186">
        <f ca="1">IFERROR(__xludf.DUMMYFUNCTION("IMPORTRANGE(""https://docs.google.com/spreadsheets/d/18T20gbkS_WBjdscyTOV05cvq_JqvqQ17C81mpxf7Ncs/edit?usp=sharing"",""สุราษฎร์ธานี!I654"")"),0)</f>
        <v>0</v>
      </c>
      <c r="AD88" s="186">
        <f ca="1">IFERROR(__xludf.DUMMYFUNCTION("IMPORTRANGE(""https://docs.google.com/spreadsheets/d/18T20gbkS_WBjdscyTOV05cvq_JqvqQ17C81mpxf7Ncs/edit?usp=sharing"",""สุราษฎร์ธานี!J654"")"),0)</f>
        <v>0</v>
      </c>
      <c r="AE88" s="357">
        <f t="shared" ca="1" si="54"/>
        <v>0</v>
      </c>
      <c r="AF88" s="357">
        <f ca="1">IFERROR(__xludf.DUMMYFUNCTION("IMPORTRANGE(""https://docs.google.com/spreadsheets/d/18T20gbkS_WBjdscyTOV05cvq_JqvqQ17C81mpxf7Ncs/edit?usp=sharing"",""สุราษฎร์ธานี!J655"")"),0)</f>
        <v>0</v>
      </c>
      <c r="AG88" s="357">
        <f ca="1">IFERROR(__xludf.DUMMYFUNCTION("IMPORTRANGE(""https://docs.google.com/spreadsheets/d/18T20gbkS_WBjdscyTOV05cvq_JqvqQ17C81mpxf7Ncs/edit?usp=sharing"",""สุราษฎร์ธานี!J656"")"),0)</f>
        <v>0</v>
      </c>
      <c r="AH88" s="357">
        <f ca="1">IFERROR(__xludf.DUMMYFUNCTION("IMPORTRANGE(""https://docs.google.com/spreadsheets/d/18T20gbkS_WBjdscyTOV05cvq_JqvqQ17C81mpxf7Ncs/edit?usp=sharing"",""สุราษฎร์ธานี!J657"")"),0)</f>
        <v>0</v>
      </c>
      <c r="AI88" s="357">
        <f ca="1">IFERROR(__xludf.DUMMYFUNCTION("IMPORTRANGE(""https://docs.google.com/spreadsheets/d/18T20gbkS_WBjdscyTOV05cvq_JqvqQ17C81mpxf7Ncs/edit?usp=sharing"",""สุราษฎร์ธานี!J658"")"),0)</f>
        <v>0</v>
      </c>
      <c r="AJ88" s="357">
        <f ca="1">IFERROR(__xludf.DUMMYFUNCTION("IMPORTRANGE(""https://docs.google.com/spreadsheets/d/18T20gbkS_WBjdscyTOV05cvq_JqvqQ17C81mpxf7Ncs/edit?usp=sharing"",""สุราษฎร์ธานี!J659"")"),0)</f>
        <v>0</v>
      </c>
      <c r="AK88" s="357">
        <f ca="1">IFERROR(__xludf.DUMMYFUNCTION("IMPORTRANGE(""https://docs.google.com/spreadsheets/d/18T20gbkS_WBjdscyTOV05cvq_JqvqQ17C81mpxf7Ncs/edit?usp=sharing"",""สุราษฎร์ธานี!J660"")"),0)</f>
        <v>0</v>
      </c>
      <c r="AL88" s="186">
        <f ca="1">IFERROR(__xludf.DUMMYFUNCTION("IMPORTRANGE(""https://docs.google.com/spreadsheets/d/18T20gbkS_WBjdscyTOV05cvq_JqvqQ17C81mpxf7Ncs/edit?usp=sharing"",""สุราษฎร์ธานี!I661"")"),0)</f>
        <v>0</v>
      </c>
      <c r="AM88" s="186">
        <f ca="1">IFERROR(__xludf.DUMMYFUNCTION("IMPORTRANGE(""https://docs.google.com/spreadsheets/d/18T20gbkS_WBjdscyTOV05cvq_JqvqQ17C81mpxf7Ncs/edit?usp=sharing"",""สุราษฎร์ธานี!J661"")"),0)</f>
        <v>0</v>
      </c>
      <c r="AN88" s="357">
        <f t="shared" ca="1" si="56"/>
        <v>0</v>
      </c>
      <c r="AO88" s="186">
        <f ca="1">IFERROR(__xludf.DUMMYFUNCTION("IMPORTRANGE(""https://docs.google.com/spreadsheets/d/18T20gbkS_WBjdscyTOV05cvq_JqvqQ17C81mpxf7Ncs/edit?usp=sharing"",""สุราษฎร์ธานี!J662"")"),0)</f>
        <v>0</v>
      </c>
      <c r="AP88" s="186">
        <f ca="1">IFERROR(__xludf.DUMMYFUNCTION("IMPORTRANGE(""https://docs.google.com/spreadsheets/d/18T20gbkS_WBjdscyTOV05cvq_JqvqQ17C81mpxf7Ncs/edit?usp=sharing"",""สุราษฎร์ธานี!J663"")"),0)</f>
        <v>0</v>
      </c>
      <c r="AQ88" s="186">
        <f ca="1">IFERROR(__xludf.DUMMYFUNCTION("IMPORTRANGE(""https://docs.google.com/spreadsheets/d/18T20gbkS_WBjdscyTOV05cvq_JqvqQ17C81mpxf7Ncs/edit?usp=sharing"",""สุราษฎร์ธานี!J665"")"),0)</f>
        <v>0</v>
      </c>
      <c r="AR88" s="186">
        <f ca="1">IFERROR(__xludf.DUMMYFUNCTION("IMPORTRANGE(""https://docs.google.com/spreadsheets/d/18T20gbkS_WBjdscyTOV05cvq_JqvqQ17C81mpxf7Ncs/edit?usp=sharing"",""สุราษฎร์ธานี!J666"")"),0)</f>
        <v>0</v>
      </c>
      <c r="AS88" s="186">
        <f ca="1">IFERROR(__xludf.DUMMYFUNCTION("IMPORTRANGE(""https://docs.google.com/spreadsheets/d/18T20gbkS_WBjdscyTOV05cvq_JqvqQ17C81mpxf7Ncs/edit?usp=sharing"",""สุราษฎร์ธานี!J667"")"),0)</f>
        <v>0</v>
      </c>
      <c r="AT88" s="186">
        <f ca="1">IFERROR(__xludf.DUMMYFUNCTION("IMPORTRANGE(""https://docs.google.com/spreadsheets/d/18T20gbkS_WBjdscyTOV05cvq_JqvqQ17C81mpxf7Ncs/edit?usp=sharing"",""สุราษฎร์ธานี!J668"")"),0)</f>
        <v>0</v>
      </c>
      <c r="AU88" s="186">
        <f ca="1">IFERROR(__xludf.DUMMYFUNCTION("IMPORTRANGE(""https://docs.google.com/spreadsheets/d/18T20gbkS_WBjdscyTOV05cvq_JqvqQ17C81mpxf7Ncs/edit?usp=sharing"",""สุราษฎร์ธานี!J669"")"),0)</f>
        <v>0</v>
      </c>
      <c r="AV88" s="186">
        <f ca="1">IFERROR(__xludf.DUMMYFUNCTION("IMPORTRANGE(""https://docs.google.com/spreadsheets/d/18T20gbkS_WBjdscyTOV05cvq_JqvqQ17C81mpxf7Ncs/edit?usp=sharing"",""สุราษฎร์ธานี!J670"")"),0)</f>
        <v>0</v>
      </c>
      <c r="AW88" s="186">
        <v>0</v>
      </c>
      <c r="AX88" s="186">
        <f ca="1">IFERROR(__xludf.DUMMYFUNCTION("IMPORTRANGE(""https://docs.google.com/spreadsheets/d/18T20gbkS_WBjdscyTOV05cvq_JqvqQ17C81mpxf7Ncs/edit?usp=sharing"",""สุราษฎร์ธานี!J671"")"),0)</f>
        <v>0</v>
      </c>
      <c r="AY88" s="186">
        <f ca="1">IFERROR(__xludf.DUMMYFUNCTION("IMPORTRANGE(""https://docs.google.com/spreadsheets/d/18T20gbkS_WBjdscyTOV05cvq_JqvqQ17C81mpxf7Ncs/edit?usp=sharing"",""สุราษฎร์ธานี!J672"")"),0)</f>
        <v>0</v>
      </c>
      <c r="AZ88" s="186">
        <f ca="1">IFERROR(__xludf.DUMMYFUNCTION("IMPORTRANGE(""https://docs.google.com/spreadsheets/d/18T20gbkS_WBjdscyTOV05cvq_JqvqQ17C81mpxf7Ncs/edit?usp=sharing"",""สุราษฎร์ธานี!J673"")"),0)</f>
        <v>0</v>
      </c>
      <c r="BA88" s="357">
        <f t="shared" si="58"/>
        <v>0</v>
      </c>
      <c r="BB88" s="186">
        <f ca="1">IFERROR(__xludf.DUMMYFUNCTION("IMPORTRANGE(""https://docs.google.com/spreadsheets/d/18T20gbkS_WBjdscyTOV05cvq_JqvqQ17C81mpxf7Ncs/edit?usp=sharing"",""สุราษฎร์ธานี!I674"")"),0)</f>
        <v>0</v>
      </c>
      <c r="BC88" s="186">
        <f ca="1">IFERROR(__xludf.DUMMYFUNCTION("IMPORTRANGE(""https://docs.google.com/spreadsheets/d/18T20gbkS_WBjdscyTOV05cvq_JqvqQ17C81mpxf7Ncs/edit?usp=sharing"",""สุราษฎร์ธานี!I675"")"),0)</f>
        <v>0</v>
      </c>
      <c r="BD88" s="186">
        <f ca="1">IFERROR(__xludf.DUMMYFUNCTION("IMPORTRANGE(""https://docs.google.com/spreadsheets/d/18T20gbkS_WBjdscyTOV05cvq_JqvqQ17C81mpxf7Ncs/edit?usp=sharing"",""สุราษฎร์ธานี!J674"")"),0)</f>
        <v>0</v>
      </c>
      <c r="BE88" s="357">
        <f t="shared" ca="1" si="60"/>
        <v>0</v>
      </c>
      <c r="BF88" s="186">
        <f ca="1">IFERROR(__xludf.DUMMYFUNCTION("IMPORTRANGE(""https://docs.google.com/spreadsheets/d/18T20gbkS_WBjdscyTOV05cvq_JqvqQ17C81mpxf7Ncs/edit?usp=sharing"",""สุราษฎร์ธานี!J675"")"),0)</f>
        <v>0</v>
      </c>
      <c r="BG88" s="357">
        <f t="shared" ca="1" si="61"/>
        <v>0</v>
      </c>
      <c r="BH88" s="186">
        <f ca="1">IFERROR(__xludf.DUMMYFUNCTION("IMPORTRANGE(""https://docs.google.com/spreadsheets/d/18T20gbkS_WBjdscyTOV05cvq_JqvqQ17C81mpxf7Ncs/edit?usp=sharing"",""สุราษฎร์ธานี!I676"")"),0)</f>
        <v>0</v>
      </c>
      <c r="BI88" s="186">
        <f ca="1">IFERROR(__xludf.DUMMYFUNCTION("IMPORTRANGE(""https://docs.google.com/spreadsheets/d/18T20gbkS_WBjdscyTOV05cvq_JqvqQ17C81mpxf7Ncs/edit?usp=sharing"",""สุราษฎร์ธานี!I678"")"),0)</f>
        <v>0</v>
      </c>
      <c r="BJ88" s="186">
        <f ca="1">IFERROR(__xludf.DUMMYFUNCTION("IMPORTRANGE(""https://docs.google.com/spreadsheets/d/18T20gbkS_WBjdscyTOV05cvq_JqvqQ17C81mpxf7Ncs/edit?usp=sharing"",""สุราษฎร์ธานี!J676"")"),0)</f>
        <v>0</v>
      </c>
      <c r="BK88" s="186">
        <f ca="1">IFERROR(__xludf.DUMMYFUNCTION("IMPORTRANGE(""https://docs.google.com/spreadsheets/d/18T20gbkS_WBjdscyTOV05cvq_JqvqQ17C81mpxf7Ncs/edit?usp=sharing"",""สุราษฎร์ธานี!J677"")"),0)</f>
        <v>0</v>
      </c>
      <c r="BL88" s="186">
        <f ca="1">IFERROR(__xludf.DUMMYFUNCTION("IMPORTRANGE(""https://docs.google.com/spreadsheets/d/18T20gbkS_WBjdscyTOV05cvq_JqvqQ17C81mpxf7Ncs/edit?usp=sharing"",""สุราษฎร์ธานี!J678"")"),0)</f>
        <v>0</v>
      </c>
      <c r="BM88" s="186">
        <f ca="1">IFERROR(__xludf.DUMMYFUNCTION("IMPORTRANGE(""https://docs.google.com/spreadsheets/d/18T20gbkS_WBjdscyTOV05cvq_JqvqQ17C81mpxf7Ncs/edit?usp=sharing"",""สุราษฎร์ธานี!I679"")"),0)</f>
        <v>0</v>
      </c>
      <c r="BN88" s="186">
        <f ca="1">IFERROR(__xludf.DUMMYFUNCTION("IMPORTRANGE(""https://docs.google.com/spreadsheets/d/18T20gbkS_WBjdscyTOV05cvq_JqvqQ17C81mpxf7Ncs/edit?usp=sharing"",""สุราษฎร์ธานี!I681"")"),0)</f>
        <v>0</v>
      </c>
      <c r="BO88" s="186">
        <f ca="1">IFERROR(__xludf.DUMMYFUNCTION("IMPORTRANGE(""https://docs.google.com/spreadsheets/d/18T20gbkS_WBjdscyTOV05cvq_JqvqQ17C81mpxf7Ncs/edit?usp=sharing"",""สุราษฎร์ธานี!J679"")"),0)</f>
        <v>0</v>
      </c>
      <c r="BP88" s="186">
        <f ca="1">IFERROR(__xludf.DUMMYFUNCTION("IMPORTRANGE(""https://docs.google.com/spreadsheets/d/18T20gbkS_WBjdscyTOV05cvq_JqvqQ17C81mpxf7Ncs/edit?usp=sharing"",""สุราษฎร์ธานี!J680"")"),0)</f>
        <v>0</v>
      </c>
      <c r="BQ88" s="186">
        <f ca="1">IFERROR(__xludf.DUMMYFUNCTION("IMPORTRANGE(""https://docs.google.com/spreadsheets/d/18T20gbkS_WBjdscyTOV05cvq_JqvqQ17C81mpxf7Ncs/edit?usp=sharing"",""สุราษฎร์ธานี!J681"")"),0)</f>
        <v>0</v>
      </c>
      <c r="BR88" s="186">
        <f ca="1">IFERROR(__xludf.DUMMYFUNCTION("IMPORTRANGE(""https://docs.google.com/spreadsheets/d/18T20gbkS_WBjdscyTOV05cvq_JqvqQ17C81mpxf7Ncs/edit?usp=sharing"",""สุราษฎร์ธานี!I682"")"),0)</f>
        <v>0</v>
      </c>
      <c r="BS88" s="186">
        <f ca="1">IFERROR(__xludf.DUMMYFUNCTION("IMPORTRANGE(""https://docs.google.com/spreadsheets/d/18T20gbkS_WBjdscyTOV05cvq_JqvqQ17C81mpxf7Ncs/edit?usp=sharing"",""สุราษฎร์ธานี!J682"")"),0)</f>
        <v>0</v>
      </c>
      <c r="BT88" s="357">
        <f t="shared" ca="1" si="63"/>
        <v>0</v>
      </c>
      <c r="BU88" s="186">
        <f ca="1">IFERROR(__xludf.DUMMYFUNCTION("IMPORTRANGE(""https://docs.google.com/spreadsheets/d/18T20gbkS_WBjdscyTOV05cvq_JqvqQ17C81mpxf7Ncs/edit?usp=sharing"",""สุราษฎร์ธานี!J683"")"),0)</f>
        <v>0</v>
      </c>
      <c r="BV88" s="186">
        <f ca="1">IFERROR(__xludf.DUMMYFUNCTION("IMPORTRANGE(""https://docs.google.com/spreadsheets/d/18T20gbkS_WBjdscyTOV05cvq_JqvqQ17C81mpxf7Ncs/edit?usp=sharing"",""สุราษฎร์ธานี!J684"")"),0)</f>
        <v>0</v>
      </c>
      <c r="BW88" s="186">
        <f ca="1">IFERROR(__xludf.DUMMYFUNCTION("IMPORTRANGE(""https://docs.google.com/spreadsheets/d/18T20gbkS_WBjdscyTOV05cvq_JqvqQ17C81mpxf7Ncs/edit?usp=sharing"",""สุราษฎร์ธานี!J685"")"),0)</f>
        <v>0</v>
      </c>
      <c r="BX88" s="186">
        <f ca="1">IFERROR(__xludf.DUMMYFUNCTION("IMPORTRANGE(""https://docs.google.com/spreadsheets/d/18T20gbkS_WBjdscyTOV05cvq_JqvqQ17C81mpxf7Ncs/edit?usp=sharing"",""สุราษฎร์ธานี!J686"")"),0)</f>
        <v>0</v>
      </c>
      <c r="BY88" s="186">
        <f ca="1">IFERROR(__xludf.DUMMYFUNCTION("IMPORTRANGE(""https://docs.google.com/spreadsheets/d/18T20gbkS_WBjdscyTOV05cvq_JqvqQ17C81mpxf7Ncs/edit?usp=sharing"",""สุราษฎร์ธานี!J687"")"),0)</f>
        <v>0</v>
      </c>
      <c r="BZ88" s="186">
        <f ca="1">IFERROR(__xludf.DUMMYFUNCTION("IMPORTRANGE(""https://docs.google.com/spreadsheets/d/18T20gbkS_WBjdscyTOV05cvq_JqvqQ17C81mpxf7Ncs/edit?usp=sharing"",""สุราษฎร์ธานี!J688"")"),0)</f>
        <v>0</v>
      </c>
    </row>
    <row r="89" spans="1:78" ht="19.5" hidden="1" x14ac:dyDescent="0.3">
      <c r="A89" s="632" t="s">
        <v>115</v>
      </c>
      <c r="B89" s="633"/>
      <c r="C89" s="46">
        <f t="shared" ref="C89:T89" si="99">SUM(C90:C106)</f>
        <v>0</v>
      </c>
      <c r="D89" s="45">
        <f t="shared" si="99"/>
        <v>0</v>
      </c>
      <c r="E89" s="45">
        <f t="shared" si="99"/>
        <v>0</v>
      </c>
      <c r="F89" s="45">
        <f t="shared" si="99"/>
        <v>0</v>
      </c>
      <c r="G89" s="45">
        <f t="shared" si="99"/>
        <v>0</v>
      </c>
      <c r="H89" s="45">
        <f t="shared" si="99"/>
        <v>0</v>
      </c>
      <c r="I89" s="45">
        <f t="shared" si="99"/>
        <v>0</v>
      </c>
      <c r="J89" s="45">
        <f t="shared" si="99"/>
        <v>0</v>
      </c>
      <c r="K89" s="47">
        <f t="shared" si="99"/>
        <v>0</v>
      </c>
      <c r="L89" s="45">
        <f t="shared" si="99"/>
        <v>0</v>
      </c>
      <c r="M89" s="47">
        <f t="shared" si="99"/>
        <v>0</v>
      </c>
      <c r="N89" s="47">
        <f t="shared" si="99"/>
        <v>0</v>
      </c>
      <c r="O89" s="45">
        <f t="shared" si="99"/>
        <v>0</v>
      </c>
      <c r="P89" s="45">
        <f t="shared" si="99"/>
        <v>0</v>
      </c>
      <c r="Q89" s="45">
        <f t="shared" si="99"/>
        <v>0</v>
      </c>
      <c r="R89" s="45">
        <f t="shared" si="99"/>
        <v>0</v>
      </c>
      <c r="S89" s="45">
        <f t="shared" si="99"/>
        <v>0</v>
      </c>
      <c r="T89" s="45">
        <f t="shared" si="99"/>
        <v>0</v>
      </c>
      <c r="U89" s="45">
        <f t="shared" si="47"/>
        <v>0</v>
      </c>
      <c r="V89" s="45">
        <f t="shared" si="48"/>
        <v>0</v>
      </c>
      <c r="W89" s="45"/>
      <c r="X89" s="45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</row>
    <row r="90" spans="1:78" ht="19.5" hidden="1" x14ac:dyDescent="0.3">
      <c r="A90" s="197"/>
      <c r="B90" s="125" t="s">
        <v>116</v>
      </c>
      <c r="C90" s="198">
        <f t="shared" ref="C90:C106" si="100">D90+G90</f>
        <v>0</v>
      </c>
      <c r="D90" s="199">
        <f t="shared" ref="D90:D106" si="101">+E90+F90</f>
        <v>0</v>
      </c>
      <c r="E90" s="215">
        <v>0</v>
      </c>
      <c r="F90" s="215">
        <v>0</v>
      </c>
      <c r="G90" s="215">
        <v>0</v>
      </c>
      <c r="H90" s="215">
        <v>0</v>
      </c>
      <c r="I90" s="215">
        <v>0</v>
      </c>
      <c r="J90" s="81">
        <f t="shared" ref="J90:J106" si="102">L90+O90</f>
        <v>0</v>
      </c>
      <c r="K90" s="126">
        <f t="shared" ref="K90:K106" si="103">IF(C90&gt;0,J90*100/C90,0)</f>
        <v>0</v>
      </c>
      <c r="L90" s="215">
        <v>0</v>
      </c>
      <c r="M90" s="84">
        <f t="shared" ref="M90:M106" si="104">IF(D90&gt;0,L90*100/D90,0)</f>
        <v>0</v>
      </c>
      <c r="N90" s="84">
        <f t="shared" ref="N90:N106" si="105">IF(H90&gt;0,L90*100/H90,0)</f>
        <v>0</v>
      </c>
      <c r="O90" s="418">
        <v>0</v>
      </c>
      <c r="P90" s="85">
        <f t="shared" ref="P90:P106" si="106">IF(G90&gt;0,O90*100/G90,0)</f>
        <v>0</v>
      </c>
      <c r="Q90" s="84">
        <f t="shared" ref="Q90:Q106" si="107">IF(I90&gt;0,O90*100/I90,0)</f>
        <v>0</v>
      </c>
      <c r="R90" s="127">
        <v>0</v>
      </c>
      <c r="S90" s="127">
        <v>0</v>
      </c>
      <c r="T90" s="127">
        <v>0</v>
      </c>
      <c r="U90" s="84">
        <f t="shared" si="47"/>
        <v>0</v>
      </c>
      <c r="V90" s="84">
        <f t="shared" si="48"/>
        <v>0</v>
      </c>
      <c r="W90" s="81"/>
      <c r="X90" s="81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</row>
    <row r="91" spans="1:78" ht="19.5" hidden="1" x14ac:dyDescent="0.3">
      <c r="A91" s="201"/>
      <c r="B91" s="129" t="s">
        <v>117</v>
      </c>
      <c r="C91" s="202">
        <f t="shared" si="100"/>
        <v>0</v>
      </c>
      <c r="D91" s="203">
        <f t="shared" si="101"/>
        <v>0</v>
      </c>
      <c r="E91" s="216">
        <v>0</v>
      </c>
      <c r="F91" s="216">
        <v>0</v>
      </c>
      <c r="G91" s="216">
        <v>0</v>
      </c>
      <c r="H91" s="216">
        <v>0</v>
      </c>
      <c r="I91" s="216">
        <v>0</v>
      </c>
      <c r="J91" s="93">
        <f t="shared" si="102"/>
        <v>0</v>
      </c>
      <c r="K91" s="94">
        <f t="shared" si="103"/>
        <v>0</v>
      </c>
      <c r="L91" s="216">
        <v>0</v>
      </c>
      <c r="M91" s="95">
        <f t="shared" si="104"/>
        <v>0</v>
      </c>
      <c r="N91" s="95">
        <f t="shared" si="105"/>
        <v>0</v>
      </c>
      <c r="O91" s="419">
        <v>0</v>
      </c>
      <c r="P91" s="96">
        <f t="shared" si="106"/>
        <v>0</v>
      </c>
      <c r="Q91" s="95">
        <f t="shared" si="107"/>
        <v>0</v>
      </c>
      <c r="R91" s="130">
        <v>0</v>
      </c>
      <c r="S91" s="130">
        <v>0</v>
      </c>
      <c r="T91" s="130">
        <v>0</v>
      </c>
      <c r="U91" s="95">
        <f t="shared" si="47"/>
        <v>0</v>
      </c>
      <c r="V91" s="95">
        <f t="shared" si="48"/>
        <v>0</v>
      </c>
      <c r="W91" s="93"/>
      <c r="X91" s="93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</row>
    <row r="92" spans="1:78" ht="19.5" hidden="1" x14ac:dyDescent="0.3">
      <c r="A92" s="201"/>
      <c r="B92" s="129" t="s">
        <v>118</v>
      </c>
      <c r="C92" s="202">
        <f t="shared" si="100"/>
        <v>0</v>
      </c>
      <c r="D92" s="203">
        <f t="shared" si="101"/>
        <v>0</v>
      </c>
      <c r="E92" s="216">
        <v>0</v>
      </c>
      <c r="F92" s="216">
        <v>0</v>
      </c>
      <c r="G92" s="216">
        <v>0</v>
      </c>
      <c r="H92" s="216">
        <v>0</v>
      </c>
      <c r="I92" s="216">
        <v>0</v>
      </c>
      <c r="J92" s="93">
        <f t="shared" si="102"/>
        <v>0</v>
      </c>
      <c r="K92" s="94">
        <f t="shared" si="103"/>
        <v>0</v>
      </c>
      <c r="L92" s="216">
        <v>0</v>
      </c>
      <c r="M92" s="95">
        <f t="shared" si="104"/>
        <v>0</v>
      </c>
      <c r="N92" s="95">
        <f t="shared" si="105"/>
        <v>0</v>
      </c>
      <c r="O92" s="419">
        <v>0</v>
      </c>
      <c r="P92" s="96">
        <f t="shared" si="106"/>
        <v>0</v>
      </c>
      <c r="Q92" s="95">
        <f t="shared" si="107"/>
        <v>0</v>
      </c>
      <c r="R92" s="130">
        <v>0</v>
      </c>
      <c r="S92" s="130">
        <v>0</v>
      </c>
      <c r="T92" s="130">
        <v>0</v>
      </c>
      <c r="U92" s="95">
        <f t="shared" si="47"/>
        <v>0</v>
      </c>
      <c r="V92" s="95">
        <f t="shared" si="48"/>
        <v>0</v>
      </c>
      <c r="W92" s="93"/>
      <c r="X92" s="93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  <c r="BZ92" s="95"/>
    </row>
    <row r="93" spans="1:78" ht="19.5" hidden="1" x14ac:dyDescent="0.3">
      <c r="A93" s="201"/>
      <c r="B93" s="129" t="s">
        <v>119</v>
      </c>
      <c r="C93" s="202">
        <f t="shared" si="100"/>
        <v>0</v>
      </c>
      <c r="D93" s="203">
        <f t="shared" si="101"/>
        <v>0</v>
      </c>
      <c r="E93" s="216">
        <v>0</v>
      </c>
      <c r="F93" s="216">
        <v>0</v>
      </c>
      <c r="G93" s="216">
        <v>0</v>
      </c>
      <c r="H93" s="216">
        <v>0</v>
      </c>
      <c r="I93" s="216">
        <v>0</v>
      </c>
      <c r="J93" s="93">
        <f t="shared" si="102"/>
        <v>0</v>
      </c>
      <c r="K93" s="94">
        <f t="shared" si="103"/>
        <v>0</v>
      </c>
      <c r="L93" s="216">
        <v>0</v>
      </c>
      <c r="M93" s="95">
        <f t="shared" si="104"/>
        <v>0</v>
      </c>
      <c r="N93" s="95">
        <f t="shared" si="105"/>
        <v>0</v>
      </c>
      <c r="O93" s="419">
        <v>0</v>
      </c>
      <c r="P93" s="96">
        <f t="shared" si="106"/>
        <v>0</v>
      </c>
      <c r="Q93" s="95">
        <f t="shared" si="107"/>
        <v>0</v>
      </c>
      <c r="R93" s="130">
        <v>0</v>
      </c>
      <c r="S93" s="130">
        <v>0</v>
      </c>
      <c r="T93" s="130">
        <v>0</v>
      </c>
      <c r="U93" s="95">
        <f t="shared" si="47"/>
        <v>0</v>
      </c>
      <c r="V93" s="95">
        <f t="shared" si="48"/>
        <v>0</v>
      </c>
      <c r="W93" s="93"/>
      <c r="X93" s="93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  <c r="BZ93" s="95"/>
    </row>
    <row r="94" spans="1:78" ht="19.5" hidden="1" x14ac:dyDescent="0.3">
      <c r="A94" s="201"/>
      <c r="B94" s="129" t="s">
        <v>120</v>
      </c>
      <c r="C94" s="202">
        <f t="shared" si="100"/>
        <v>0</v>
      </c>
      <c r="D94" s="203">
        <f t="shared" si="101"/>
        <v>0</v>
      </c>
      <c r="E94" s="216">
        <v>0</v>
      </c>
      <c r="F94" s="216">
        <v>0</v>
      </c>
      <c r="G94" s="216">
        <v>0</v>
      </c>
      <c r="H94" s="216">
        <v>0</v>
      </c>
      <c r="I94" s="216">
        <v>0</v>
      </c>
      <c r="J94" s="93">
        <f t="shared" si="102"/>
        <v>0</v>
      </c>
      <c r="K94" s="94">
        <f t="shared" si="103"/>
        <v>0</v>
      </c>
      <c r="L94" s="216">
        <v>0</v>
      </c>
      <c r="M94" s="95">
        <f t="shared" si="104"/>
        <v>0</v>
      </c>
      <c r="N94" s="95">
        <f t="shared" si="105"/>
        <v>0</v>
      </c>
      <c r="O94" s="419">
        <v>0</v>
      </c>
      <c r="P94" s="96">
        <f t="shared" si="106"/>
        <v>0</v>
      </c>
      <c r="Q94" s="95">
        <f t="shared" si="107"/>
        <v>0</v>
      </c>
      <c r="R94" s="130">
        <v>0</v>
      </c>
      <c r="S94" s="130">
        <v>0</v>
      </c>
      <c r="T94" s="130">
        <v>0</v>
      </c>
      <c r="U94" s="95">
        <f t="shared" si="47"/>
        <v>0</v>
      </c>
      <c r="V94" s="95">
        <f t="shared" si="48"/>
        <v>0</v>
      </c>
      <c r="W94" s="93"/>
      <c r="X94" s="93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95"/>
      <c r="BZ94" s="95"/>
    </row>
    <row r="95" spans="1:78" ht="19.5" hidden="1" x14ac:dyDescent="0.3">
      <c r="A95" s="201"/>
      <c r="B95" s="129" t="s">
        <v>121</v>
      </c>
      <c r="C95" s="202">
        <f t="shared" si="100"/>
        <v>0</v>
      </c>
      <c r="D95" s="203">
        <f t="shared" si="101"/>
        <v>0</v>
      </c>
      <c r="E95" s="216">
        <v>0</v>
      </c>
      <c r="F95" s="216">
        <v>0</v>
      </c>
      <c r="G95" s="216">
        <v>0</v>
      </c>
      <c r="H95" s="216">
        <v>0</v>
      </c>
      <c r="I95" s="216">
        <v>0</v>
      </c>
      <c r="J95" s="93">
        <f t="shared" si="102"/>
        <v>0</v>
      </c>
      <c r="K95" s="94">
        <f t="shared" si="103"/>
        <v>0</v>
      </c>
      <c r="L95" s="216">
        <v>0</v>
      </c>
      <c r="M95" s="95">
        <f t="shared" si="104"/>
        <v>0</v>
      </c>
      <c r="N95" s="95">
        <f t="shared" si="105"/>
        <v>0</v>
      </c>
      <c r="O95" s="419">
        <v>0</v>
      </c>
      <c r="P95" s="96">
        <f t="shared" si="106"/>
        <v>0</v>
      </c>
      <c r="Q95" s="95">
        <f t="shared" si="107"/>
        <v>0</v>
      </c>
      <c r="R95" s="130">
        <v>0</v>
      </c>
      <c r="S95" s="130">
        <v>0</v>
      </c>
      <c r="T95" s="130">
        <v>0</v>
      </c>
      <c r="U95" s="95">
        <f t="shared" si="47"/>
        <v>0</v>
      </c>
      <c r="V95" s="95">
        <f t="shared" si="48"/>
        <v>0</v>
      </c>
      <c r="W95" s="93"/>
      <c r="X95" s="93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</row>
    <row r="96" spans="1:78" ht="19.5" hidden="1" x14ac:dyDescent="0.3">
      <c r="A96" s="201"/>
      <c r="B96" s="129" t="s">
        <v>122</v>
      </c>
      <c r="C96" s="202">
        <f t="shared" si="100"/>
        <v>0</v>
      </c>
      <c r="D96" s="203">
        <f t="shared" si="101"/>
        <v>0</v>
      </c>
      <c r="E96" s="216">
        <v>0</v>
      </c>
      <c r="F96" s="216">
        <v>0</v>
      </c>
      <c r="G96" s="216">
        <v>0</v>
      </c>
      <c r="H96" s="216">
        <v>0</v>
      </c>
      <c r="I96" s="216">
        <v>0</v>
      </c>
      <c r="J96" s="93">
        <f t="shared" si="102"/>
        <v>0</v>
      </c>
      <c r="K96" s="94">
        <f t="shared" si="103"/>
        <v>0</v>
      </c>
      <c r="L96" s="216">
        <v>0</v>
      </c>
      <c r="M96" s="95">
        <f t="shared" si="104"/>
        <v>0</v>
      </c>
      <c r="N96" s="95">
        <f t="shared" si="105"/>
        <v>0</v>
      </c>
      <c r="O96" s="419">
        <v>0</v>
      </c>
      <c r="P96" s="96">
        <f t="shared" si="106"/>
        <v>0</v>
      </c>
      <c r="Q96" s="95">
        <f t="shared" si="107"/>
        <v>0</v>
      </c>
      <c r="R96" s="130">
        <v>0</v>
      </c>
      <c r="S96" s="130">
        <v>0</v>
      </c>
      <c r="T96" s="130">
        <v>0</v>
      </c>
      <c r="U96" s="95">
        <f t="shared" si="47"/>
        <v>0</v>
      </c>
      <c r="V96" s="95">
        <f t="shared" si="48"/>
        <v>0</v>
      </c>
      <c r="W96" s="93"/>
      <c r="X96" s="93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  <c r="BZ96" s="95"/>
    </row>
    <row r="97" spans="1:78" ht="19.5" hidden="1" x14ac:dyDescent="0.3">
      <c r="A97" s="201"/>
      <c r="B97" s="129" t="s">
        <v>123</v>
      </c>
      <c r="C97" s="202">
        <f t="shared" si="100"/>
        <v>0</v>
      </c>
      <c r="D97" s="203">
        <f t="shared" si="101"/>
        <v>0</v>
      </c>
      <c r="E97" s="216">
        <v>0</v>
      </c>
      <c r="F97" s="216">
        <v>0</v>
      </c>
      <c r="G97" s="216">
        <v>0</v>
      </c>
      <c r="H97" s="216">
        <v>0</v>
      </c>
      <c r="I97" s="216">
        <v>0</v>
      </c>
      <c r="J97" s="93">
        <f t="shared" si="102"/>
        <v>0</v>
      </c>
      <c r="K97" s="94">
        <f t="shared" si="103"/>
        <v>0</v>
      </c>
      <c r="L97" s="216">
        <v>0</v>
      </c>
      <c r="M97" s="95">
        <f t="shared" si="104"/>
        <v>0</v>
      </c>
      <c r="N97" s="95">
        <f t="shared" si="105"/>
        <v>0</v>
      </c>
      <c r="O97" s="419">
        <v>0</v>
      </c>
      <c r="P97" s="96">
        <f t="shared" si="106"/>
        <v>0</v>
      </c>
      <c r="Q97" s="95">
        <f t="shared" si="107"/>
        <v>0</v>
      </c>
      <c r="R97" s="130">
        <v>0</v>
      </c>
      <c r="S97" s="130">
        <v>0</v>
      </c>
      <c r="T97" s="130">
        <v>0</v>
      </c>
      <c r="U97" s="95">
        <f t="shared" si="47"/>
        <v>0</v>
      </c>
      <c r="V97" s="95">
        <f t="shared" si="48"/>
        <v>0</v>
      </c>
      <c r="W97" s="93"/>
      <c r="X97" s="93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  <c r="BY97" s="95"/>
      <c r="BZ97" s="95"/>
    </row>
    <row r="98" spans="1:78" ht="19.5" hidden="1" x14ac:dyDescent="0.3">
      <c r="A98" s="201"/>
      <c r="B98" s="129" t="s">
        <v>124</v>
      </c>
      <c r="C98" s="202">
        <f t="shared" si="100"/>
        <v>0</v>
      </c>
      <c r="D98" s="203">
        <f t="shared" si="101"/>
        <v>0</v>
      </c>
      <c r="E98" s="216">
        <v>0</v>
      </c>
      <c r="F98" s="216">
        <v>0</v>
      </c>
      <c r="G98" s="216">
        <v>0</v>
      </c>
      <c r="H98" s="216">
        <v>0</v>
      </c>
      <c r="I98" s="216">
        <v>0</v>
      </c>
      <c r="J98" s="93">
        <f t="shared" si="102"/>
        <v>0</v>
      </c>
      <c r="K98" s="94">
        <f t="shared" si="103"/>
        <v>0</v>
      </c>
      <c r="L98" s="216">
        <v>0</v>
      </c>
      <c r="M98" s="95">
        <f t="shared" si="104"/>
        <v>0</v>
      </c>
      <c r="N98" s="95">
        <f t="shared" si="105"/>
        <v>0</v>
      </c>
      <c r="O98" s="419">
        <v>0</v>
      </c>
      <c r="P98" s="96">
        <f t="shared" si="106"/>
        <v>0</v>
      </c>
      <c r="Q98" s="95">
        <f t="shared" si="107"/>
        <v>0</v>
      </c>
      <c r="R98" s="130">
        <v>0</v>
      </c>
      <c r="S98" s="130">
        <v>0</v>
      </c>
      <c r="T98" s="130">
        <v>0</v>
      </c>
      <c r="U98" s="95">
        <f t="shared" si="47"/>
        <v>0</v>
      </c>
      <c r="V98" s="95">
        <f t="shared" si="48"/>
        <v>0</v>
      </c>
      <c r="W98" s="93"/>
      <c r="X98" s="93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5"/>
      <c r="BY98" s="95"/>
      <c r="BZ98" s="95"/>
    </row>
    <row r="99" spans="1:78" ht="19.5" hidden="1" x14ac:dyDescent="0.3">
      <c r="A99" s="201"/>
      <c r="B99" s="129" t="s">
        <v>125</v>
      </c>
      <c r="C99" s="202">
        <f t="shared" si="100"/>
        <v>0</v>
      </c>
      <c r="D99" s="203">
        <f t="shared" si="101"/>
        <v>0</v>
      </c>
      <c r="E99" s="216">
        <v>0</v>
      </c>
      <c r="F99" s="216">
        <v>0</v>
      </c>
      <c r="G99" s="216">
        <v>0</v>
      </c>
      <c r="H99" s="216">
        <v>0</v>
      </c>
      <c r="I99" s="216">
        <v>0</v>
      </c>
      <c r="J99" s="93">
        <f t="shared" si="102"/>
        <v>0</v>
      </c>
      <c r="K99" s="94">
        <f t="shared" si="103"/>
        <v>0</v>
      </c>
      <c r="L99" s="216">
        <v>0</v>
      </c>
      <c r="M99" s="95">
        <f t="shared" si="104"/>
        <v>0</v>
      </c>
      <c r="N99" s="95">
        <f t="shared" si="105"/>
        <v>0</v>
      </c>
      <c r="O99" s="419">
        <v>0</v>
      </c>
      <c r="P99" s="96">
        <f t="shared" si="106"/>
        <v>0</v>
      </c>
      <c r="Q99" s="95">
        <f t="shared" si="107"/>
        <v>0</v>
      </c>
      <c r="R99" s="130">
        <v>0</v>
      </c>
      <c r="S99" s="130">
        <v>0</v>
      </c>
      <c r="T99" s="130">
        <v>0</v>
      </c>
      <c r="U99" s="95">
        <f t="shared" si="47"/>
        <v>0</v>
      </c>
      <c r="V99" s="95">
        <f t="shared" si="48"/>
        <v>0</v>
      </c>
      <c r="W99" s="93"/>
      <c r="X99" s="93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  <c r="BZ99" s="95"/>
    </row>
    <row r="100" spans="1:78" ht="19.5" hidden="1" x14ac:dyDescent="0.3">
      <c r="A100" s="201"/>
      <c r="B100" s="129" t="s">
        <v>126</v>
      </c>
      <c r="C100" s="202">
        <f t="shared" si="100"/>
        <v>0</v>
      </c>
      <c r="D100" s="203">
        <f t="shared" si="101"/>
        <v>0</v>
      </c>
      <c r="E100" s="216">
        <v>0</v>
      </c>
      <c r="F100" s="216">
        <v>0</v>
      </c>
      <c r="G100" s="216">
        <v>0</v>
      </c>
      <c r="H100" s="216">
        <v>0</v>
      </c>
      <c r="I100" s="216">
        <v>0</v>
      </c>
      <c r="J100" s="93">
        <f t="shared" si="102"/>
        <v>0</v>
      </c>
      <c r="K100" s="94">
        <f t="shared" si="103"/>
        <v>0</v>
      </c>
      <c r="L100" s="216">
        <v>0</v>
      </c>
      <c r="M100" s="95">
        <f t="shared" si="104"/>
        <v>0</v>
      </c>
      <c r="N100" s="95">
        <f t="shared" si="105"/>
        <v>0</v>
      </c>
      <c r="O100" s="419">
        <v>0</v>
      </c>
      <c r="P100" s="96">
        <f t="shared" si="106"/>
        <v>0</v>
      </c>
      <c r="Q100" s="95">
        <f t="shared" si="107"/>
        <v>0</v>
      </c>
      <c r="R100" s="130">
        <v>0</v>
      </c>
      <c r="S100" s="130">
        <v>0</v>
      </c>
      <c r="T100" s="130">
        <v>0</v>
      </c>
      <c r="U100" s="95">
        <f t="shared" si="47"/>
        <v>0</v>
      </c>
      <c r="V100" s="95">
        <f t="shared" si="48"/>
        <v>0</v>
      </c>
      <c r="W100" s="93"/>
      <c r="X100" s="93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  <c r="BZ100" s="95"/>
    </row>
    <row r="101" spans="1:78" ht="19.5" hidden="1" x14ac:dyDescent="0.3">
      <c r="A101" s="201"/>
      <c r="B101" s="129" t="s">
        <v>127</v>
      </c>
      <c r="C101" s="202">
        <f t="shared" si="100"/>
        <v>0</v>
      </c>
      <c r="D101" s="203">
        <f t="shared" si="101"/>
        <v>0</v>
      </c>
      <c r="E101" s="216">
        <v>0</v>
      </c>
      <c r="F101" s="216">
        <v>0</v>
      </c>
      <c r="G101" s="216">
        <v>0</v>
      </c>
      <c r="H101" s="216">
        <v>0</v>
      </c>
      <c r="I101" s="216">
        <v>0</v>
      </c>
      <c r="J101" s="93">
        <f t="shared" si="102"/>
        <v>0</v>
      </c>
      <c r="K101" s="94">
        <f t="shared" si="103"/>
        <v>0</v>
      </c>
      <c r="L101" s="216">
        <v>0</v>
      </c>
      <c r="M101" s="95">
        <f t="shared" si="104"/>
        <v>0</v>
      </c>
      <c r="N101" s="95">
        <f t="shared" si="105"/>
        <v>0</v>
      </c>
      <c r="O101" s="419">
        <v>0</v>
      </c>
      <c r="P101" s="96">
        <f t="shared" si="106"/>
        <v>0</v>
      </c>
      <c r="Q101" s="95">
        <f t="shared" si="107"/>
        <v>0</v>
      </c>
      <c r="R101" s="130">
        <v>0</v>
      </c>
      <c r="S101" s="130">
        <v>0</v>
      </c>
      <c r="T101" s="130">
        <v>0</v>
      </c>
      <c r="U101" s="95">
        <f t="shared" si="47"/>
        <v>0</v>
      </c>
      <c r="V101" s="95">
        <f t="shared" si="48"/>
        <v>0</v>
      </c>
      <c r="W101" s="93"/>
      <c r="X101" s="93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  <c r="BZ101" s="95"/>
    </row>
    <row r="102" spans="1:78" ht="19.5" hidden="1" x14ac:dyDescent="0.3">
      <c r="A102" s="201"/>
      <c r="B102" s="129" t="s">
        <v>128</v>
      </c>
      <c r="C102" s="202">
        <f t="shared" si="100"/>
        <v>0</v>
      </c>
      <c r="D102" s="203">
        <f t="shared" si="101"/>
        <v>0</v>
      </c>
      <c r="E102" s="216">
        <v>0</v>
      </c>
      <c r="F102" s="216">
        <v>0</v>
      </c>
      <c r="G102" s="216">
        <v>0</v>
      </c>
      <c r="H102" s="216">
        <v>0</v>
      </c>
      <c r="I102" s="216">
        <v>0</v>
      </c>
      <c r="J102" s="93">
        <f t="shared" si="102"/>
        <v>0</v>
      </c>
      <c r="K102" s="94">
        <f t="shared" si="103"/>
        <v>0</v>
      </c>
      <c r="L102" s="216">
        <v>0</v>
      </c>
      <c r="M102" s="95">
        <f t="shared" si="104"/>
        <v>0</v>
      </c>
      <c r="N102" s="95">
        <f t="shared" si="105"/>
        <v>0</v>
      </c>
      <c r="O102" s="419">
        <v>0</v>
      </c>
      <c r="P102" s="96">
        <f t="shared" si="106"/>
        <v>0</v>
      </c>
      <c r="Q102" s="95">
        <f t="shared" si="107"/>
        <v>0</v>
      </c>
      <c r="R102" s="130">
        <v>0</v>
      </c>
      <c r="S102" s="130">
        <v>0</v>
      </c>
      <c r="T102" s="130">
        <v>0</v>
      </c>
      <c r="U102" s="95">
        <f t="shared" si="47"/>
        <v>0</v>
      </c>
      <c r="V102" s="95">
        <f t="shared" si="48"/>
        <v>0</v>
      </c>
      <c r="W102" s="93"/>
      <c r="X102" s="93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5"/>
    </row>
    <row r="103" spans="1:78" ht="19.5" hidden="1" x14ac:dyDescent="0.3">
      <c r="A103" s="201"/>
      <c r="B103" s="129" t="s">
        <v>129</v>
      </c>
      <c r="C103" s="202">
        <f t="shared" si="100"/>
        <v>0</v>
      </c>
      <c r="D103" s="203">
        <f t="shared" si="101"/>
        <v>0</v>
      </c>
      <c r="E103" s="216">
        <v>0</v>
      </c>
      <c r="F103" s="216">
        <v>0</v>
      </c>
      <c r="G103" s="216">
        <v>0</v>
      </c>
      <c r="H103" s="216">
        <v>0</v>
      </c>
      <c r="I103" s="216">
        <v>0</v>
      </c>
      <c r="J103" s="93">
        <f t="shared" si="102"/>
        <v>0</v>
      </c>
      <c r="K103" s="94">
        <f t="shared" si="103"/>
        <v>0</v>
      </c>
      <c r="L103" s="216">
        <v>0</v>
      </c>
      <c r="M103" s="95">
        <f t="shared" si="104"/>
        <v>0</v>
      </c>
      <c r="N103" s="95">
        <f t="shared" si="105"/>
        <v>0</v>
      </c>
      <c r="O103" s="419">
        <v>0</v>
      </c>
      <c r="P103" s="96">
        <f t="shared" si="106"/>
        <v>0</v>
      </c>
      <c r="Q103" s="95">
        <f t="shared" si="107"/>
        <v>0</v>
      </c>
      <c r="R103" s="131">
        <v>0</v>
      </c>
      <c r="S103" s="131">
        <v>0</v>
      </c>
      <c r="T103" s="131">
        <v>0</v>
      </c>
      <c r="U103" s="132">
        <f t="shared" si="47"/>
        <v>0</v>
      </c>
      <c r="V103" s="132">
        <f t="shared" si="48"/>
        <v>0</v>
      </c>
      <c r="W103" s="249"/>
      <c r="X103" s="249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  <c r="BZ103" s="132"/>
    </row>
    <row r="104" spans="1:78" ht="19.5" hidden="1" x14ac:dyDescent="0.3">
      <c r="A104" s="201"/>
      <c r="B104" s="129" t="s">
        <v>130</v>
      </c>
      <c r="C104" s="202">
        <f t="shared" si="100"/>
        <v>0</v>
      </c>
      <c r="D104" s="203">
        <f t="shared" si="101"/>
        <v>0</v>
      </c>
      <c r="E104" s="216">
        <v>0</v>
      </c>
      <c r="F104" s="216">
        <v>0</v>
      </c>
      <c r="G104" s="216">
        <v>0</v>
      </c>
      <c r="H104" s="216">
        <v>0</v>
      </c>
      <c r="I104" s="216">
        <v>0</v>
      </c>
      <c r="J104" s="93">
        <f t="shared" si="102"/>
        <v>0</v>
      </c>
      <c r="K104" s="94">
        <f t="shared" si="103"/>
        <v>0</v>
      </c>
      <c r="L104" s="216">
        <v>0</v>
      </c>
      <c r="M104" s="95">
        <f t="shared" si="104"/>
        <v>0</v>
      </c>
      <c r="N104" s="95">
        <f t="shared" si="105"/>
        <v>0</v>
      </c>
      <c r="O104" s="419">
        <v>0</v>
      </c>
      <c r="P104" s="96">
        <f t="shared" si="106"/>
        <v>0</v>
      </c>
      <c r="Q104" s="95">
        <f t="shared" si="107"/>
        <v>0</v>
      </c>
      <c r="R104" s="130">
        <v>0</v>
      </c>
      <c r="S104" s="130">
        <v>0</v>
      </c>
      <c r="T104" s="130">
        <v>0</v>
      </c>
      <c r="U104" s="95">
        <f t="shared" si="47"/>
        <v>0</v>
      </c>
      <c r="V104" s="95">
        <f t="shared" si="48"/>
        <v>0</v>
      </c>
      <c r="W104" s="364"/>
      <c r="X104" s="364"/>
      <c r="Y104" s="364"/>
      <c r="Z104" s="364"/>
      <c r="AA104" s="364"/>
      <c r="AB104" s="364"/>
      <c r="AC104" s="364"/>
      <c r="AD104" s="364"/>
      <c r="AE104" s="364"/>
      <c r="AF104" s="364"/>
      <c r="AG104" s="364"/>
      <c r="AH104" s="364"/>
      <c r="AI104" s="364"/>
      <c r="AJ104" s="364"/>
      <c r="AK104" s="364"/>
      <c r="AL104" s="364"/>
      <c r="AM104" s="364"/>
      <c r="AN104" s="364"/>
      <c r="AO104" s="364"/>
      <c r="AP104" s="364"/>
      <c r="AQ104" s="364"/>
      <c r="AR104" s="364"/>
      <c r="AS104" s="364"/>
      <c r="AT104" s="364"/>
      <c r="AU104" s="364"/>
      <c r="AV104" s="364"/>
      <c r="AW104" s="364"/>
      <c r="AX104" s="364"/>
      <c r="AY104" s="364"/>
      <c r="AZ104" s="364"/>
      <c r="BA104" s="364"/>
      <c r="BB104" s="364"/>
      <c r="BC104" s="364"/>
      <c r="BD104" s="364"/>
      <c r="BE104" s="364"/>
      <c r="BF104" s="364"/>
      <c r="BG104" s="364"/>
      <c r="BH104" s="364"/>
      <c r="BI104" s="364"/>
      <c r="BJ104" s="364"/>
      <c r="BK104" s="364"/>
      <c r="BL104" s="364"/>
      <c r="BM104" s="364"/>
      <c r="BN104" s="364"/>
      <c r="BO104" s="364"/>
      <c r="BP104" s="364"/>
      <c r="BQ104" s="364"/>
      <c r="BR104" s="364"/>
      <c r="BS104" s="364"/>
      <c r="BT104" s="364"/>
      <c r="BU104" s="364"/>
      <c r="BV104" s="364"/>
      <c r="BW104" s="364"/>
      <c r="BX104" s="364"/>
      <c r="BY104" s="364"/>
      <c r="BZ104" s="364"/>
    </row>
    <row r="105" spans="1:78" ht="19.5" hidden="1" x14ac:dyDescent="0.3">
      <c r="A105" s="201"/>
      <c r="B105" s="133" t="s">
        <v>131</v>
      </c>
      <c r="C105" s="202">
        <f t="shared" si="100"/>
        <v>0</v>
      </c>
      <c r="D105" s="203">
        <f t="shared" si="101"/>
        <v>0</v>
      </c>
      <c r="E105" s="216">
        <v>0</v>
      </c>
      <c r="F105" s="216">
        <v>0</v>
      </c>
      <c r="G105" s="216">
        <v>0</v>
      </c>
      <c r="H105" s="216">
        <v>0</v>
      </c>
      <c r="I105" s="216">
        <v>0</v>
      </c>
      <c r="J105" s="93">
        <f t="shared" si="102"/>
        <v>0</v>
      </c>
      <c r="K105" s="94">
        <f t="shared" si="103"/>
        <v>0</v>
      </c>
      <c r="L105" s="216">
        <v>0</v>
      </c>
      <c r="M105" s="95">
        <f t="shared" si="104"/>
        <v>0</v>
      </c>
      <c r="N105" s="95">
        <f t="shared" si="105"/>
        <v>0</v>
      </c>
      <c r="O105" s="419">
        <v>0</v>
      </c>
      <c r="P105" s="96">
        <f t="shared" si="106"/>
        <v>0</v>
      </c>
      <c r="Q105" s="95">
        <f t="shared" si="107"/>
        <v>0</v>
      </c>
      <c r="R105" s="134">
        <v>0</v>
      </c>
      <c r="S105" s="134">
        <v>0</v>
      </c>
      <c r="T105" s="134">
        <v>0</v>
      </c>
      <c r="U105" s="135">
        <f t="shared" si="47"/>
        <v>0</v>
      </c>
      <c r="V105" s="135">
        <f t="shared" si="48"/>
        <v>0</v>
      </c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</row>
    <row r="106" spans="1:78" ht="19.5" hidden="1" x14ac:dyDescent="0.3">
      <c r="A106" s="205"/>
      <c r="B106" s="137" t="s">
        <v>132</v>
      </c>
      <c r="C106" s="206">
        <f t="shared" si="100"/>
        <v>0</v>
      </c>
      <c r="D106" s="207">
        <f t="shared" si="101"/>
        <v>0</v>
      </c>
      <c r="E106" s="217">
        <v>0</v>
      </c>
      <c r="F106" s="217">
        <v>0</v>
      </c>
      <c r="G106" s="217">
        <v>0</v>
      </c>
      <c r="H106" s="217">
        <v>0</v>
      </c>
      <c r="I106" s="217">
        <v>0</v>
      </c>
      <c r="J106" s="104">
        <f t="shared" si="102"/>
        <v>0</v>
      </c>
      <c r="K106" s="105">
        <f t="shared" si="103"/>
        <v>0</v>
      </c>
      <c r="L106" s="217">
        <v>0</v>
      </c>
      <c r="M106" s="106">
        <f t="shared" si="104"/>
        <v>0</v>
      </c>
      <c r="N106" s="106">
        <f t="shared" si="105"/>
        <v>0</v>
      </c>
      <c r="O106" s="420">
        <v>0</v>
      </c>
      <c r="P106" s="107">
        <f t="shared" si="106"/>
        <v>0</v>
      </c>
      <c r="Q106" s="106">
        <f t="shared" si="107"/>
        <v>0</v>
      </c>
      <c r="R106" s="138">
        <v>0</v>
      </c>
      <c r="S106" s="138">
        <v>0</v>
      </c>
      <c r="T106" s="138">
        <v>0</v>
      </c>
      <c r="U106" s="106">
        <f t="shared" si="47"/>
        <v>0</v>
      </c>
      <c r="V106" s="106">
        <f t="shared" si="48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  <c r="BI106" s="104"/>
      <c r="BJ106" s="104"/>
      <c r="BK106" s="104"/>
      <c r="BL106" s="104"/>
      <c r="BM106" s="104"/>
      <c r="BN106" s="104"/>
      <c r="BO106" s="104"/>
      <c r="BP106" s="104"/>
      <c r="BQ106" s="104"/>
      <c r="BR106" s="104"/>
      <c r="BS106" s="104"/>
      <c r="BT106" s="104"/>
      <c r="BU106" s="104"/>
      <c r="BV106" s="104"/>
      <c r="BW106" s="104"/>
      <c r="BX106" s="104"/>
      <c r="BY106" s="104"/>
      <c r="BZ106" s="104"/>
    </row>
  </sheetData>
  <mergeCells count="65">
    <mergeCell ref="AI5:AK5"/>
    <mergeCell ref="AM5:AN5"/>
    <mergeCell ref="A2:B6"/>
    <mergeCell ref="A7:B7"/>
    <mergeCell ref="C5:C6"/>
    <mergeCell ref="D5:D6"/>
    <mergeCell ref="E5:E6"/>
    <mergeCell ref="F5:F6"/>
    <mergeCell ref="G5:G6"/>
    <mergeCell ref="J5:K5"/>
    <mergeCell ref="L5:N5"/>
    <mergeCell ref="AC4:AE4"/>
    <mergeCell ref="AF4:AH4"/>
    <mergeCell ref="AA5:AB5"/>
    <mergeCell ref="AD5:AE5"/>
    <mergeCell ref="AF5:AH5"/>
    <mergeCell ref="BX5:BZ5"/>
    <mergeCell ref="AL3:AV3"/>
    <mergeCell ref="AW3:BA4"/>
    <mergeCell ref="BB3:BQ3"/>
    <mergeCell ref="BR3:BZ3"/>
    <mergeCell ref="AL4:AN4"/>
    <mergeCell ref="AO4:AP4"/>
    <mergeCell ref="AQ4:AS4"/>
    <mergeCell ref="BX4:BZ4"/>
    <mergeCell ref="BM4:BQ4"/>
    <mergeCell ref="BO5:BQ5"/>
    <mergeCell ref="BR4:BT4"/>
    <mergeCell ref="BU4:BW4"/>
    <mergeCell ref="BS5:BT5"/>
    <mergeCell ref="BU5:BW5"/>
    <mergeCell ref="BM5:BN5"/>
    <mergeCell ref="AO5:AP5"/>
    <mergeCell ref="AQ5:AS5"/>
    <mergeCell ref="AT5:AV5"/>
    <mergeCell ref="AX5:BA5"/>
    <mergeCell ref="BB5:BC5"/>
    <mergeCell ref="BJ5:BL5"/>
    <mergeCell ref="R3:V3"/>
    <mergeCell ref="R4:R6"/>
    <mergeCell ref="S4:S6"/>
    <mergeCell ref="T4:T6"/>
    <mergeCell ref="U4:U6"/>
    <mergeCell ref="V4:V6"/>
    <mergeCell ref="X5:Y5"/>
    <mergeCell ref="AT4:AV4"/>
    <mergeCell ref="BB4:BG4"/>
    <mergeCell ref="BH4:BL4"/>
    <mergeCell ref="BD5:BG5"/>
    <mergeCell ref="BH5:BI5"/>
    <mergeCell ref="Z3:AB4"/>
    <mergeCell ref="AC3:AK3"/>
    <mergeCell ref="AI4:AK4"/>
    <mergeCell ref="A74:B74"/>
    <mergeCell ref="A89:B89"/>
    <mergeCell ref="C2:Y2"/>
    <mergeCell ref="C3:Q3"/>
    <mergeCell ref="W3:Y4"/>
    <mergeCell ref="C4:G4"/>
    <mergeCell ref="H4:I4"/>
    <mergeCell ref="A13:B13"/>
    <mergeCell ref="A31:B31"/>
    <mergeCell ref="A52:B52"/>
    <mergeCell ref="J4:Q4"/>
    <mergeCell ref="O5:Q5"/>
  </mergeCells>
  <printOptions horizontalCentered="1"/>
  <pageMargins left="0.23622047244094491" right="0.23622047244094491" top="0.55118110236220474" bottom="0.55118110236220474" header="0" footer="0"/>
  <pageSetup paperSize="9" scale="45" fitToWidth="0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3" manualBreakCount="3">
    <brk id="22" max="1048575" man="1"/>
    <brk id="37" max="1048575" man="1"/>
    <brk id="5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FF00"/>
    <outlinePr summaryBelow="0" summaryRight="0"/>
  </sheetPr>
  <dimension ref="A1:AS1000"/>
  <sheetViews>
    <sheetView view="pageBreakPreview" zoomScale="60" zoomScaleNormal="100" workbookViewId="0">
      <selection activeCell="A2" sqref="A2:B6"/>
    </sheetView>
  </sheetViews>
  <sheetFormatPr defaultColWidth="12.5703125" defaultRowHeight="15.75" customHeight="1" x14ac:dyDescent="0.2"/>
  <cols>
    <col min="18" max="18" width="22" bestFit="1" customWidth="1"/>
    <col min="19" max="19" width="11" bestFit="1" customWidth="1"/>
    <col min="20" max="20" width="18.7109375" bestFit="1" customWidth="1"/>
    <col min="21" max="21" width="10.85546875" bestFit="1" customWidth="1"/>
    <col min="22" max="22" width="12" bestFit="1" customWidth="1"/>
    <col min="25" max="25" width="11.5703125" customWidth="1"/>
    <col min="28" max="28" width="13.140625" customWidth="1"/>
    <col min="29" max="29" width="14.85546875" customWidth="1"/>
    <col min="32" max="32" width="12.42578125" customWidth="1"/>
    <col min="33" max="33" width="11" bestFit="1" customWidth="1"/>
    <col min="34" max="34" width="14.85546875" customWidth="1"/>
    <col min="35" max="35" width="8.85546875" customWidth="1"/>
    <col min="36" max="36" width="8.7109375" customWidth="1"/>
    <col min="37" max="37" width="11" bestFit="1" customWidth="1"/>
    <col min="40" max="42" width="14.85546875" customWidth="1"/>
    <col min="43" max="43" width="11.7109375" customWidth="1"/>
    <col min="44" max="44" width="14.28515625" customWidth="1"/>
    <col min="45" max="45" width="16" customWidth="1"/>
  </cols>
  <sheetData>
    <row r="1" spans="1:45" ht="15.75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4"/>
      <c r="Z1" s="2"/>
      <c r="AA1" s="2"/>
      <c r="AB1" s="4"/>
      <c r="AC1" s="4"/>
      <c r="AD1" s="2"/>
      <c r="AE1" s="2"/>
      <c r="AF1" s="4"/>
      <c r="AG1" s="4"/>
      <c r="AH1" s="455"/>
      <c r="AI1" s="455"/>
      <c r="AJ1" s="456"/>
      <c r="AK1" s="456"/>
      <c r="AL1" s="2"/>
      <c r="AM1" s="2"/>
      <c r="AN1" s="4"/>
      <c r="AO1" s="4"/>
      <c r="AP1" s="455"/>
      <c r="AQ1" s="455"/>
      <c r="AR1" s="456"/>
      <c r="AS1" s="456"/>
    </row>
    <row r="2" spans="1:45" ht="19.5" x14ac:dyDescent="0.2">
      <c r="A2" s="616" t="s">
        <v>1</v>
      </c>
      <c r="B2" s="617"/>
      <c r="C2" s="689" t="s">
        <v>243</v>
      </c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707" t="s">
        <v>28</v>
      </c>
      <c r="X2" s="598"/>
      <c r="Y2" s="598"/>
      <c r="Z2" s="598"/>
      <c r="AA2" s="598"/>
      <c r="AB2" s="598"/>
      <c r="AC2" s="598"/>
      <c r="AD2" s="598"/>
      <c r="AE2" s="598"/>
      <c r="AF2" s="598"/>
      <c r="AG2" s="598"/>
      <c r="AH2" s="598"/>
      <c r="AI2" s="598"/>
      <c r="AJ2" s="598"/>
      <c r="AK2" s="598"/>
      <c r="AL2" s="598"/>
      <c r="AM2" s="598"/>
      <c r="AN2" s="598"/>
      <c r="AO2" s="598"/>
      <c r="AP2" s="598"/>
      <c r="AQ2" s="598"/>
      <c r="AR2" s="598"/>
      <c r="AS2" s="598"/>
    </row>
    <row r="3" spans="1:45" ht="19.5" x14ac:dyDescent="0.2">
      <c r="A3" s="618"/>
      <c r="B3" s="619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584" t="s">
        <v>4</v>
      </c>
      <c r="S3" s="585"/>
      <c r="T3" s="585"/>
      <c r="U3" s="585"/>
      <c r="V3" s="585"/>
      <c r="W3" s="696" t="s">
        <v>260</v>
      </c>
      <c r="X3" s="585"/>
      <c r="Y3" s="607"/>
      <c r="Z3" s="708" t="s">
        <v>261</v>
      </c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607"/>
      <c r="AL3" s="709" t="s">
        <v>262</v>
      </c>
      <c r="AM3" s="585"/>
      <c r="AN3" s="585"/>
      <c r="AO3" s="607"/>
      <c r="AP3" s="710" t="s">
        <v>263</v>
      </c>
      <c r="AQ3" s="657"/>
      <c r="AR3" s="657"/>
      <c r="AS3" s="590"/>
    </row>
    <row r="4" spans="1:45" ht="19.5" x14ac:dyDescent="0.2">
      <c r="A4" s="618"/>
      <c r="B4" s="619"/>
      <c r="C4" s="609" t="s">
        <v>7</v>
      </c>
      <c r="D4" s="598"/>
      <c r="E4" s="598"/>
      <c r="F4" s="598"/>
      <c r="G4" s="583"/>
      <c r="H4" s="612" t="s">
        <v>8</v>
      </c>
      <c r="I4" s="583"/>
      <c r="J4" s="613" t="s">
        <v>9</v>
      </c>
      <c r="K4" s="598"/>
      <c r="L4" s="598"/>
      <c r="M4" s="598"/>
      <c r="N4" s="598"/>
      <c r="O4" s="598"/>
      <c r="P4" s="598"/>
      <c r="Q4" s="583"/>
      <c r="R4" s="614" t="s">
        <v>10</v>
      </c>
      <c r="S4" s="615" t="s">
        <v>11</v>
      </c>
      <c r="T4" s="594" t="s">
        <v>12</v>
      </c>
      <c r="U4" s="752" t="s">
        <v>13</v>
      </c>
      <c r="V4" s="752" t="s">
        <v>14</v>
      </c>
      <c r="W4" s="641"/>
      <c r="X4" s="592"/>
      <c r="Y4" s="593"/>
      <c r="Z4" s="703" t="s">
        <v>179</v>
      </c>
      <c r="AA4" s="598"/>
      <c r="AB4" s="598"/>
      <c r="AC4" s="583"/>
      <c r="AD4" s="704" t="s">
        <v>264</v>
      </c>
      <c r="AE4" s="598"/>
      <c r="AF4" s="598"/>
      <c r="AG4" s="583"/>
      <c r="AH4" s="704" t="s">
        <v>265</v>
      </c>
      <c r="AI4" s="598"/>
      <c r="AJ4" s="598"/>
      <c r="AK4" s="583"/>
      <c r="AL4" s="641"/>
      <c r="AM4" s="592"/>
      <c r="AN4" s="592"/>
      <c r="AO4" s="593"/>
      <c r="AP4" s="641"/>
      <c r="AQ4" s="592"/>
      <c r="AR4" s="592"/>
      <c r="AS4" s="593"/>
    </row>
    <row r="5" spans="1:45" ht="15.75" customHeight="1" x14ac:dyDescent="0.3">
      <c r="A5" s="618"/>
      <c r="B5" s="619"/>
      <c r="C5" s="726" t="s">
        <v>19</v>
      </c>
      <c r="D5" s="727" t="s">
        <v>20</v>
      </c>
      <c r="E5" s="728" t="s">
        <v>21</v>
      </c>
      <c r="F5" s="729" t="s">
        <v>22</v>
      </c>
      <c r="G5" s="730" t="s">
        <v>23</v>
      </c>
      <c r="H5" s="6" t="s">
        <v>24</v>
      </c>
      <c r="I5" s="6" t="s">
        <v>25</v>
      </c>
      <c r="J5" s="589" t="s">
        <v>26</v>
      </c>
      <c r="K5" s="590"/>
      <c r="L5" s="591" t="s">
        <v>24</v>
      </c>
      <c r="M5" s="592"/>
      <c r="N5" s="593"/>
      <c r="O5" s="611" t="s">
        <v>25</v>
      </c>
      <c r="P5" s="592"/>
      <c r="Q5" s="593"/>
      <c r="R5" s="595"/>
      <c r="S5" s="595"/>
      <c r="T5" s="595"/>
      <c r="U5" s="753"/>
      <c r="V5" s="753"/>
      <c r="W5" s="439" t="s">
        <v>27</v>
      </c>
      <c r="X5" s="654" t="s">
        <v>28</v>
      </c>
      <c r="Y5" s="593"/>
      <c r="Z5" s="457" t="s">
        <v>27</v>
      </c>
      <c r="AA5" s="705" t="s">
        <v>28</v>
      </c>
      <c r="AB5" s="592"/>
      <c r="AC5" s="592"/>
      <c r="AD5" s="458" t="s">
        <v>27</v>
      </c>
      <c r="AE5" s="705" t="s">
        <v>28</v>
      </c>
      <c r="AF5" s="592"/>
      <c r="AG5" s="592"/>
      <c r="AH5" s="459" t="s">
        <v>27</v>
      </c>
      <c r="AI5" s="705" t="s">
        <v>28</v>
      </c>
      <c r="AJ5" s="592"/>
      <c r="AK5" s="592"/>
      <c r="AL5" s="460" t="s">
        <v>27</v>
      </c>
      <c r="AM5" s="706" t="s">
        <v>28</v>
      </c>
      <c r="AN5" s="592"/>
      <c r="AO5" s="592"/>
      <c r="AP5" s="461" t="s">
        <v>27</v>
      </c>
      <c r="AQ5" s="706" t="s">
        <v>28</v>
      </c>
      <c r="AR5" s="592"/>
      <c r="AS5" s="592"/>
    </row>
    <row r="6" spans="1:45" ht="46.5" customHeight="1" x14ac:dyDescent="0.3">
      <c r="A6" s="620"/>
      <c r="B6" s="621"/>
      <c r="C6" s="731"/>
      <c r="D6" s="732"/>
      <c r="E6" s="732"/>
      <c r="F6" s="732"/>
      <c r="G6" s="732"/>
      <c r="H6" s="6"/>
      <c r="I6" s="6"/>
      <c r="J6" s="739" t="s">
        <v>29</v>
      </c>
      <c r="K6" s="740" t="s">
        <v>30</v>
      </c>
      <c r="L6" s="739" t="s">
        <v>29</v>
      </c>
      <c r="M6" s="741" t="s">
        <v>31</v>
      </c>
      <c r="N6" s="742" t="s">
        <v>32</v>
      </c>
      <c r="O6" s="743" t="s">
        <v>29</v>
      </c>
      <c r="P6" s="741" t="s">
        <v>31</v>
      </c>
      <c r="Q6" s="742" t="s">
        <v>32</v>
      </c>
      <c r="R6" s="596"/>
      <c r="S6" s="596"/>
      <c r="T6" s="596"/>
      <c r="U6" s="732"/>
      <c r="V6" s="732"/>
      <c r="W6" s="462" t="s">
        <v>266</v>
      </c>
      <c r="X6" s="462" t="s">
        <v>266</v>
      </c>
      <c r="Y6" s="341" t="s">
        <v>30</v>
      </c>
      <c r="Z6" s="463" t="s">
        <v>34</v>
      </c>
      <c r="AA6" s="464" t="s">
        <v>34</v>
      </c>
      <c r="AB6" s="464" t="s">
        <v>136</v>
      </c>
      <c r="AC6" s="465" t="s">
        <v>217</v>
      </c>
      <c r="AD6" s="466" t="s">
        <v>34</v>
      </c>
      <c r="AE6" s="464" t="s">
        <v>34</v>
      </c>
      <c r="AF6" s="464" t="s">
        <v>136</v>
      </c>
      <c r="AG6" s="465" t="s">
        <v>217</v>
      </c>
      <c r="AH6" s="467" t="s">
        <v>34</v>
      </c>
      <c r="AI6" s="468" t="s">
        <v>34</v>
      </c>
      <c r="AJ6" s="468" t="s">
        <v>136</v>
      </c>
      <c r="AK6" s="469" t="s">
        <v>217</v>
      </c>
      <c r="AL6" s="470" t="s">
        <v>34</v>
      </c>
      <c r="AM6" s="471" t="s">
        <v>34</v>
      </c>
      <c r="AN6" s="471" t="s">
        <v>136</v>
      </c>
      <c r="AO6" s="472" t="s">
        <v>217</v>
      </c>
      <c r="AP6" s="473" t="s">
        <v>34</v>
      </c>
      <c r="AQ6" s="474" t="s">
        <v>34</v>
      </c>
      <c r="AR6" s="474" t="s">
        <v>136</v>
      </c>
      <c r="AS6" s="475" t="s">
        <v>217</v>
      </c>
    </row>
    <row r="7" spans="1:45" ht="24.75" customHeight="1" x14ac:dyDescent="0.3">
      <c r="A7" s="651" t="s">
        <v>289</v>
      </c>
      <c r="B7" s="629"/>
      <c r="C7" s="150">
        <f t="shared" ref="C7:C9" si="0">D7+G7</f>
        <v>0</v>
      </c>
      <c r="D7" s="151">
        <f t="shared" ref="D7:I7" si="1">D8+D9</f>
        <v>0</v>
      </c>
      <c r="E7" s="152">
        <f t="shared" si="1"/>
        <v>0</v>
      </c>
      <c r="F7" s="153">
        <f t="shared" si="1"/>
        <v>0</v>
      </c>
      <c r="G7" s="154">
        <f t="shared" si="1"/>
        <v>0</v>
      </c>
      <c r="H7" s="228">
        <f t="shared" si="1"/>
        <v>0</v>
      </c>
      <c r="I7" s="228">
        <f t="shared" si="1"/>
        <v>0</v>
      </c>
      <c r="J7" s="156">
        <f t="shared" ref="J7:J9" si="2">L7+O7</f>
        <v>0</v>
      </c>
      <c r="K7" s="157">
        <f t="shared" ref="K7:K9" si="3">IF(C7&gt;0,J7*100/C7,0)</f>
        <v>0</v>
      </c>
      <c r="L7" s="156">
        <f>L8+L9</f>
        <v>0</v>
      </c>
      <c r="M7" s="27">
        <f t="shared" ref="M7:M9" si="4">IF(D7&gt;0,L7*100/D7,0)</f>
        <v>0</v>
      </c>
      <c r="N7" s="27">
        <f t="shared" ref="N7:N9" si="5">IF(H7&gt;0,L7*100/H7,0)</f>
        <v>0</v>
      </c>
      <c r="O7" s="26">
        <f>O8+O9</f>
        <v>0</v>
      </c>
      <c r="P7" s="26">
        <f t="shared" ref="P7:P9" si="6">IF(G7&gt;0,O7*100/G7,0)</f>
        <v>0</v>
      </c>
      <c r="Q7" s="27">
        <f t="shared" ref="Q7:Q9" si="7">IF(I7&gt;0,O7*100/I7,0)</f>
        <v>0</v>
      </c>
      <c r="R7" s="27">
        <f t="shared" ref="R7:T7" ca="1" si="8">R8+R9</f>
        <v>15416500</v>
      </c>
      <c r="S7" s="27">
        <f t="shared" ca="1" si="8"/>
        <v>0</v>
      </c>
      <c r="T7" s="27">
        <f t="shared" ca="1" si="8"/>
        <v>472508</v>
      </c>
      <c r="U7" s="27">
        <f t="shared" ref="U7:U9" ca="1" si="9">IF(R7&gt;0,T7*100/R7,0)</f>
        <v>3.0649498913501767</v>
      </c>
      <c r="V7" s="27">
        <f t="shared" ref="V7:V9" ca="1" si="10">IF(S7&gt;0,T7*100/S7,0)</f>
        <v>0</v>
      </c>
      <c r="W7" s="445">
        <f t="shared" ref="W7:X7" ca="1" si="11">W8</f>
        <v>21</v>
      </c>
      <c r="X7" s="158">
        <f t="shared" ca="1" si="11"/>
        <v>0</v>
      </c>
      <c r="Y7" s="346">
        <f t="shared" ref="Y7:Y8" ca="1" si="12">IF(W7&gt;0,X7*100/W7,0)</f>
        <v>0</v>
      </c>
      <c r="Z7" s="476">
        <f t="shared" ref="Z7:AB7" ca="1" si="13">Z8</f>
        <v>7550</v>
      </c>
      <c r="AA7" s="477">
        <f t="shared" ca="1" si="13"/>
        <v>1164</v>
      </c>
      <c r="AB7" s="477">
        <f t="shared" ca="1" si="13"/>
        <v>820.43000000000006</v>
      </c>
      <c r="AC7" s="478">
        <f t="shared" ref="AC7:AC8" ca="1" si="14">IF(Z7&gt;0,AA7*100/Z7,0)</f>
        <v>15.417218543046358</v>
      </c>
      <c r="AD7" s="479">
        <f t="shared" ref="AD7:AF7" ca="1" si="15">AD8</f>
        <v>7300</v>
      </c>
      <c r="AE7" s="477">
        <f t="shared" ca="1" si="15"/>
        <v>1164</v>
      </c>
      <c r="AF7" s="477">
        <f t="shared" ca="1" si="15"/>
        <v>820.43000000000006</v>
      </c>
      <c r="AG7" s="478">
        <f t="shared" ref="AG7:AG8" ca="1" si="16">IF(AD7&gt;0,AE7*100/AD7,0)</f>
        <v>15.945205479452055</v>
      </c>
      <c r="AH7" s="480">
        <f t="shared" ref="AH7:AJ7" ca="1" si="17">AH8</f>
        <v>250</v>
      </c>
      <c r="AI7" s="481">
        <f t="shared" ca="1" si="17"/>
        <v>0</v>
      </c>
      <c r="AJ7" s="481">
        <f t="shared" ca="1" si="17"/>
        <v>0</v>
      </c>
      <c r="AK7" s="482">
        <f t="shared" ref="AK7:AK8" ca="1" si="18">IF(AH7&gt;0,AI7*100/AH7,0)</f>
        <v>0</v>
      </c>
      <c r="AL7" s="483">
        <f t="shared" ref="AL7:AN7" ca="1" si="19">AL8</f>
        <v>7300</v>
      </c>
      <c r="AM7" s="484">
        <f t="shared" ca="1" si="19"/>
        <v>208</v>
      </c>
      <c r="AN7" s="484">
        <f t="shared" ca="1" si="19"/>
        <v>114.22999999999999</v>
      </c>
      <c r="AO7" s="485">
        <f t="shared" ref="AO7:AO8" ca="1" si="20">IF(AL7&gt;0,AM7*100/AL7,0)</f>
        <v>2.8493150684931505</v>
      </c>
      <c r="AP7" s="486">
        <f t="shared" ref="AP7:AR7" ca="1" si="21">AP8</f>
        <v>250</v>
      </c>
      <c r="AQ7" s="487">
        <f t="shared" ca="1" si="21"/>
        <v>0</v>
      </c>
      <c r="AR7" s="487">
        <f t="shared" ca="1" si="21"/>
        <v>0</v>
      </c>
      <c r="AS7" s="488">
        <f t="shared" ref="AS7:AS8" ca="1" si="22">IF(AP7&gt;0,AQ7*100/AP7,0)</f>
        <v>0</v>
      </c>
    </row>
    <row r="8" spans="1:45" ht="24.75" customHeight="1" x14ac:dyDescent="0.3">
      <c r="A8" s="31" t="s">
        <v>37</v>
      </c>
      <c r="B8" s="32"/>
      <c r="C8" s="161">
        <f t="shared" si="0"/>
        <v>0</v>
      </c>
      <c r="D8" s="161">
        <f t="shared" ref="D8:I8" si="23">+D13+D31+D52+D74</f>
        <v>0</v>
      </c>
      <c r="E8" s="161">
        <f t="shared" si="23"/>
        <v>0</v>
      </c>
      <c r="F8" s="161">
        <f t="shared" si="23"/>
        <v>0</v>
      </c>
      <c r="G8" s="161">
        <f t="shared" si="23"/>
        <v>0</v>
      </c>
      <c r="H8" s="161">
        <f t="shared" si="23"/>
        <v>0</v>
      </c>
      <c r="I8" s="161">
        <f t="shared" si="23"/>
        <v>0</v>
      </c>
      <c r="J8" s="161">
        <f t="shared" si="2"/>
        <v>0</v>
      </c>
      <c r="K8" s="162">
        <f t="shared" si="3"/>
        <v>0</v>
      </c>
      <c r="L8" s="161">
        <f>+L13+L31+L52+L74</f>
        <v>0</v>
      </c>
      <c r="M8" s="40">
        <f t="shared" si="4"/>
        <v>0</v>
      </c>
      <c r="N8" s="40">
        <f t="shared" si="5"/>
        <v>0</v>
      </c>
      <c r="O8" s="39">
        <f>+O13+O31+O52+O74</f>
        <v>0</v>
      </c>
      <c r="P8" s="39">
        <f t="shared" si="6"/>
        <v>0</v>
      </c>
      <c r="Q8" s="40">
        <f t="shared" si="7"/>
        <v>0</v>
      </c>
      <c r="R8" s="40">
        <f t="shared" ref="R8:T8" ca="1" si="24">+R13+R31+R52+R74</f>
        <v>13846390</v>
      </c>
      <c r="S8" s="40">
        <f t="shared" ca="1" si="24"/>
        <v>0</v>
      </c>
      <c r="T8" s="40">
        <f t="shared" ca="1" si="24"/>
        <v>472508</v>
      </c>
      <c r="U8" s="40">
        <f t="shared" ca="1" si="9"/>
        <v>3.4124995757016809</v>
      </c>
      <c r="V8" s="40">
        <f t="shared" ca="1" si="10"/>
        <v>0</v>
      </c>
      <c r="W8" s="347">
        <f t="shared" ref="W8:X8" ca="1" si="25">+W13+W31+W52+W74</f>
        <v>21</v>
      </c>
      <c r="X8" s="451">
        <f t="shared" ca="1" si="25"/>
        <v>0</v>
      </c>
      <c r="Y8" s="40">
        <f t="shared" ca="1" si="12"/>
        <v>0</v>
      </c>
      <c r="Z8" s="347">
        <f t="shared" ref="Z8:AB8" ca="1" si="26">+Z13+Z31+Z52+Z74</f>
        <v>7550</v>
      </c>
      <c r="AA8" s="451">
        <f t="shared" ca="1" si="26"/>
        <v>1164</v>
      </c>
      <c r="AB8" s="451">
        <f t="shared" ca="1" si="26"/>
        <v>820.43000000000006</v>
      </c>
      <c r="AC8" s="40">
        <f t="shared" ca="1" si="14"/>
        <v>15.417218543046358</v>
      </c>
      <c r="AD8" s="347">
        <f t="shared" ref="AD8:AF8" ca="1" si="27">+AD13+AD31+AD52+AD74</f>
        <v>7300</v>
      </c>
      <c r="AE8" s="451">
        <f t="shared" ca="1" si="27"/>
        <v>1164</v>
      </c>
      <c r="AF8" s="451">
        <f t="shared" ca="1" si="27"/>
        <v>820.43000000000006</v>
      </c>
      <c r="AG8" s="40">
        <f t="shared" ca="1" si="16"/>
        <v>15.945205479452055</v>
      </c>
      <c r="AH8" s="489">
        <f t="shared" ref="AH8:AJ8" ca="1" si="28">+AH13+AH31+AH52+AH74</f>
        <v>250</v>
      </c>
      <c r="AI8" s="490">
        <f t="shared" ca="1" si="28"/>
        <v>0</v>
      </c>
      <c r="AJ8" s="490">
        <f t="shared" ca="1" si="28"/>
        <v>0</v>
      </c>
      <c r="AK8" s="491">
        <f t="shared" ca="1" si="18"/>
        <v>0</v>
      </c>
      <c r="AL8" s="347">
        <f t="shared" ref="AL8:AN8" ca="1" si="29">+AL13+AL31+AL52+AL74</f>
        <v>7300</v>
      </c>
      <c r="AM8" s="451">
        <f t="shared" ca="1" si="29"/>
        <v>208</v>
      </c>
      <c r="AN8" s="451">
        <f t="shared" ca="1" si="29"/>
        <v>114.22999999999999</v>
      </c>
      <c r="AO8" s="40">
        <f t="shared" ca="1" si="20"/>
        <v>2.8493150684931505</v>
      </c>
      <c r="AP8" s="489">
        <f t="shared" ref="AP8:AR8" ca="1" si="30">+AP13+AP31+AP52+AP74</f>
        <v>250</v>
      </c>
      <c r="AQ8" s="490">
        <f t="shared" ca="1" si="30"/>
        <v>0</v>
      </c>
      <c r="AR8" s="490">
        <f t="shared" ca="1" si="30"/>
        <v>0</v>
      </c>
      <c r="AS8" s="491">
        <f t="shared" ca="1" si="22"/>
        <v>0</v>
      </c>
    </row>
    <row r="9" spans="1:45" ht="24.75" customHeight="1" x14ac:dyDescent="0.3">
      <c r="A9" s="43" t="s">
        <v>38</v>
      </c>
      <c r="B9" s="44"/>
      <c r="C9" s="164">
        <f t="shared" si="0"/>
        <v>0</v>
      </c>
      <c r="D9" s="164">
        <f t="shared" ref="D9:I9" si="31">+D10+D11</f>
        <v>0</v>
      </c>
      <c r="E9" s="164">
        <f t="shared" si="31"/>
        <v>0</v>
      </c>
      <c r="F9" s="164">
        <f t="shared" si="31"/>
        <v>0</v>
      </c>
      <c r="G9" s="164">
        <f t="shared" si="31"/>
        <v>0</v>
      </c>
      <c r="H9" s="164">
        <f t="shared" si="31"/>
        <v>0</v>
      </c>
      <c r="I9" s="164">
        <f t="shared" si="31"/>
        <v>0</v>
      </c>
      <c r="J9" s="164">
        <f t="shared" si="2"/>
        <v>0</v>
      </c>
      <c r="K9" s="165">
        <f t="shared" si="3"/>
        <v>0</v>
      </c>
      <c r="L9" s="164">
        <f>+L10+L11</f>
        <v>0</v>
      </c>
      <c r="M9" s="51">
        <f t="shared" si="4"/>
        <v>0</v>
      </c>
      <c r="N9" s="51">
        <f t="shared" si="5"/>
        <v>0</v>
      </c>
      <c r="O9" s="50">
        <f>+O10+O11</f>
        <v>0</v>
      </c>
      <c r="P9" s="50">
        <f t="shared" si="6"/>
        <v>0</v>
      </c>
      <c r="Q9" s="51">
        <f t="shared" si="7"/>
        <v>0</v>
      </c>
      <c r="R9" s="51">
        <f ca="1">IFERROR(__xludf.DUMMYFUNCTION("IMPORTRANGE(""https://docs.google.com/spreadsheets/d/1ItG2mGa2ceCfYo0BwxsXqNm01IGEUdYcSSLTEv9YCik/edit?usp=sharing"",""เบิกจ่ายกองทุน!L11"")"),1570110)</f>
        <v>1570110</v>
      </c>
      <c r="S9" s="51">
        <f ca="1">IFERROR(__xludf.DUMMYFUNCTION("IMPORTRANGE(""https://docs.google.com/spreadsheets/d/1ItG2mGa2ceCfYo0BwxsXqNm01IGEUdYcSSLTEv9YCik/edit?usp=sharing"",""เบิกจ่ายกองทุน!M11"")"),0)</f>
        <v>0</v>
      </c>
      <c r="T9" s="51">
        <f ca="1">IFERROR(__xludf.DUMMYFUNCTION("IMPORTRANGE(""https://docs.google.com/spreadsheets/d/1ItG2mGa2ceCfYo0BwxsXqNm01IGEUdYcSSLTEv9YCik/edit?usp=sharing"",""เบิกจ่ายกองทุน!N11"")"),0)</f>
        <v>0</v>
      </c>
      <c r="U9" s="51">
        <f t="shared" ca="1" si="9"/>
        <v>0</v>
      </c>
      <c r="V9" s="51">
        <f t="shared" ca="1" si="10"/>
        <v>0</v>
      </c>
      <c r="W9" s="293"/>
      <c r="X9" s="196"/>
      <c r="Y9" s="349"/>
      <c r="Z9" s="293"/>
      <c r="AA9" s="196"/>
      <c r="AB9" s="196"/>
      <c r="AC9" s="349"/>
      <c r="AD9" s="293"/>
      <c r="AE9" s="196"/>
      <c r="AF9" s="196"/>
      <c r="AG9" s="349"/>
      <c r="AH9" s="492"/>
      <c r="AI9" s="273"/>
      <c r="AJ9" s="273"/>
      <c r="AK9" s="493"/>
      <c r="AL9" s="293"/>
      <c r="AM9" s="196"/>
      <c r="AN9" s="196"/>
      <c r="AO9" s="349"/>
      <c r="AP9" s="492"/>
      <c r="AQ9" s="273"/>
      <c r="AR9" s="273"/>
      <c r="AS9" s="493"/>
    </row>
    <row r="10" spans="1:45" ht="24.75" customHeight="1" x14ac:dyDescent="0.3">
      <c r="A10" s="54"/>
      <c r="B10" s="55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62"/>
      <c r="S10" s="62"/>
      <c r="T10" s="62"/>
      <c r="U10" s="62"/>
      <c r="V10" s="62"/>
      <c r="W10" s="350"/>
      <c r="X10" s="351"/>
      <c r="Y10" s="352"/>
      <c r="Z10" s="350"/>
      <c r="AA10" s="351"/>
      <c r="AB10" s="351"/>
      <c r="AC10" s="352"/>
      <c r="AD10" s="350"/>
      <c r="AE10" s="351"/>
      <c r="AF10" s="351"/>
      <c r="AG10" s="352"/>
      <c r="AH10" s="494"/>
      <c r="AI10" s="264"/>
      <c r="AJ10" s="264"/>
      <c r="AK10" s="240"/>
      <c r="AL10" s="350"/>
      <c r="AM10" s="351"/>
      <c r="AN10" s="351"/>
      <c r="AO10" s="352"/>
      <c r="AP10" s="494"/>
      <c r="AQ10" s="264"/>
      <c r="AR10" s="264"/>
      <c r="AS10" s="240"/>
    </row>
    <row r="11" spans="1:45" ht="24.75" customHeight="1" x14ac:dyDescent="0.3">
      <c r="A11" s="65"/>
      <c r="B11" s="55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62"/>
      <c r="S11" s="62"/>
      <c r="T11" s="62"/>
      <c r="U11" s="62"/>
      <c r="V11" s="62"/>
      <c r="W11" s="350"/>
      <c r="X11" s="351"/>
      <c r="Y11" s="352"/>
      <c r="Z11" s="350"/>
      <c r="AA11" s="351"/>
      <c r="AB11" s="351"/>
      <c r="AC11" s="352"/>
      <c r="AD11" s="350"/>
      <c r="AE11" s="351"/>
      <c r="AF11" s="351"/>
      <c r="AG11" s="352"/>
      <c r="AH11" s="494"/>
      <c r="AI11" s="264"/>
      <c r="AJ11" s="264"/>
      <c r="AK11" s="240"/>
      <c r="AL11" s="350"/>
      <c r="AM11" s="351"/>
      <c r="AN11" s="351"/>
      <c r="AO11" s="352"/>
      <c r="AP11" s="494"/>
      <c r="AQ11" s="264"/>
      <c r="AR11" s="264"/>
      <c r="AS11" s="240"/>
    </row>
    <row r="12" spans="1:45" ht="24.75" customHeight="1" x14ac:dyDescent="0.3">
      <c r="A12" s="54"/>
      <c r="B12" s="55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62"/>
      <c r="S12" s="62"/>
      <c r="T12" s="62"/>
      <c r="U12" s="62"/>
      <c r="V12" s="62"/>
      <c r="W12" s="436"/>
      <c r="X12" s="168"/>
      <c r="Y12" s="62"/>
      <c r="Z12" s="436"/>
      <c r="AA12" s="168"/>
      <c r="AB12" s="168"/>
      <c r="AC12" s="62"/>
      <c r="AD12" s="436"/>
      <c r="AE12" s="168"/>
      <c r="AF12" s="168"/>
      <c r="AG12" s="62"/>
      <c r="AH12" s="494"/>
      <c r="AI12" s="264"/>
      <c r="AJ12" s="264"/>
      <c r="AK12" s="240"/>
      <c r="AL12" s="436"/>
      <c r="AM12" s="168"/>
      <c r="AN12" s="168"/>
      <c r="AO12" s="62"/>
      <c r="AP12" s="494"/>
      <c r="AQ12" s="264"/>
      <c r="AR12" s="264"/>
      <c r="AS12" s="240"/>
    </row>
    <row r="13" spans="1:45" ht="24.75" customHeight="1" x14ac:dyDescent="0.3">
      <c r="A13" s="624" t="s">
        <v>39</v>
      </c>
      <c r="B13" s="583"/>
      <c r="C13" s="161">
        <f t="shared" ref="C13:C88" si="32">D13+G13</f>
        <v>0</v>
      </c>
      <c r="D13" s="161">
        <f t="shared" ref="D13:I13" si="33">SUM(D14:D30)</f>
        <v>0</v>
      </c>
      <c r="E13" s="161">
        <f t="shared" si="33"/>
        <v>0</v>
      </c>
      <c r="F13" s="161">
        <f t="shared" si="33"/>
        <v>0</v>
      </c>
      <c r="G13" s="161">
        <f t="shared" si="33"/>
        <v>0</v>
      </c>
      <c r="H13" s="161">
        <f t="shared" si="33"/>
        <v>0</v>
      </c>
      <c r="I13" s="161">
        <f t="shared" si="33"/>
        <v>0</v>
      </c>
      <c r="J13" s="161">
        <f t="shared" ref="J13:J88" si="34">L13+O13</f>
        <v>0</v>
      </c>
      <c r="K13" s="162">
        <f t="shared" ref="K13:K88" si="35">IF(C13&gt;0,J13*100/C13,0)</f>
        <v>0</v>
      </c>
      <c r="L13" s="161">
        <f>SUM(L14:L30)</f>
        <v>0</v>
      </c>
      <c r="M13" s="40">
        <f t="shared" ref="M13:M88" si="36">IF(D13&gt;0,L13*100/D13,0)</f>
        <v>0</v>
      </c>
      <c r="N13" s="40">
        <f t="shared" ref="N13:N88" si="37">IF(H13&gt;0,L13*100/H13,0)</f>
        <v>0</v>
      </c>
      <c r="O13" s="39">
        <f>SUM(O14:O30)</f>
        <v>0</v>
      </c>
      <c r="P13" s="39">
        <f t="shared" ref="P13:P88" si="38">IF(G13&gt;0,O13*100/G13,0)</f>
        <v>0</v>
      </c>
      <c r="Q13" s="40">
        <f t="shared" ref="Q13:Q88" si="39">IF(I13&gt;0,O13*100/I13,0)</f>
        <v>0</v>
      </c>
      <c r="R13" s="40">
        <f t="shared" ref="R13:T13" ca="1" si="40">SUM(R14:R30)</f>
        <v>3406990</v>
      </c>
      <c r="S13" s="40">
        <f t="shared" ca="1" si="40"/>
        <v>0</v>
      </c>
      <c r="T13" s="40">
        <f t="shared" ca="1" si="40"/>
        <v>128648</v>
      </c>
      <c r="U13" s="40">
        <f t="shared" ref="U13:U106" ca="1" si="41">IF(R13&gt;0,T13*100/R13,0)</f>
        <v>3.7760016906418863</v>
      </c>
      <c r="V13" s="40">
        <f t="shared" ref="V13:V106" ca="1" si="42">IF(S13&gt;0,T13*100/S13,0)</f>
        <v>0</v>
      </c>
      <c r="W13" s="347">
        <f t="shared" ref="W13:X13" ca="1" si="43">SUM(W14:W30)</f>
        <v>13</v>
      </c>
      <c r="X13" s="451">
        <f t="shared" ca="1" si="43"/>
        <v>0</v>
      </c>
      <c r="Y13" s="40">
        <f t="shared" ref="Y13:Y88" ca="1" si="44">IF(W13&gt;0,X13*100/W13,0)</f>
        <v>0</v>
      </c>
      <c r="Z13" s="347">
        <f t="shared" ref="Z13:AB13" ca="1" si="45">SUM(Z14:Z30)</f>
        <v>1517</v>
      </c>
      <c r="AA13" s="451">
        <f t="shared" ca="1" si="45"/>
        <v>243</v>
      </c>
      <c r="AB13" s="451">
        <f t="shared" ca="1" si="45"/>
        <v>222.74</v>
      </c>
      <c r="AC13" s="40">
        <f t="shared" ref="AC13:AC88" ca="1" si="46">IF(Z13&gt;0,AA13*100/Z13,0)</f>
        <v>16.018457481872115</v>
      </c>
      <c r="AD13" s="347">
        <f t="shared" ref="AD13:AF13" ca="1" si="47">SUM(AD14:AD30)</f>
        <v>1455</v>
      </c>
      <c r="AE13" s="451">
        <f t="shared" ca="1" si="47"/>
        <v>243</v>
      </c>
      <c r="AF13" s="451">
        <f t="shared" ca="1" si="47"/>
        <v>222.74</v>
      </c>
      <c r="AG13" s="40">
        <f t="shared" ref="AG13:AG88" ca="1" si="48">IF(AD13&gt;0,AE13*100/AD13,0)</f>
        <v>16.701030927835053</v>
      </c>
      <c r="AH13" s="489">
        <f t="shared" ref="AH13:AJ13" ca="1" si="49">SUM(AH14:AH30)</f>
        <v>62</v>
      </c>
      <c r="AI13" s="490">
        <f t="shared" ca="1" si="49"/>
        <v>0</v>
      </c>
      <c r="AJ13" s="490">
        <f t="shared" ca="1" si="49"/>
        <v>0</v>
      </c>
      <c r="AK13" s="491">
        <f t="shared" ref="AK13:AK88" ca="1" si="50">IF(AH13&gt;0,AI13*100/AH13,0)</f>
        <v>0</v>
      </c>
      <c r="AL13" s="347">
        <f t="shared" ref="AL13:AN13" ca="1" si="51">SUM(AL14:AL30)</f>
        <v>1455</v>
      </c>
      <c r="AM13" s="451">
        <f t="shared" ca="1" si="51"/>
        <v>105</v>
      </c>
      <c r="AN13" s="451">
        <f t="shared" ca="1" si="51"/>
        <v>81.94</v>
      </c>
      <c r="AO13" s="40">
        <f t="shared" ref="AO13:AO88" ca="1" si="52">IF(AL13&gt;0,AM13*100/AL13,0)</f>
        <v>7.2164948453608249</v>
      </c>
      <c r="AP13" s="489">
        <f t="shared" ref="AP13:AR13" ca="1" si="53">SUM(AP14:AP30)</f>
        <v>62</v>
      </c>
      <c r="AQ13" s="490">
        <f t="shared" ca="1" si="53"/>
        <v>0</v>
      </c>
      <c r="AR13" s="490">
        <f t="shared" ca="1" si="53"/>
        <v>0</v>
      </c>
      <c r="AS13" s="491">
        <f t="shared" ref="AS13:AS88" ca="1" si="54">IF(AP13&gt;0,AQ13*100/AP13,0)</f>
        <v>0</v>
      </c>
    </row>
    <row r="14" spans="1:45" ht="24.75" customHeight="1" x14ac:dyDescent="0.3">
      <c r="A14" s="77">
        <v>1</v>
      </c>
      <c r="B14" s="78" t="s">
        <v>40</v>
      </c>
      <c r="C14" s="174">
        <f t="shared" si="32"/>
        <v>0</v>
      </c>
      <c r="D14" s="175">
        <f t="shared" ref="D14:D30" si="55">+E14+F14</f>
        <v>0</v>
      </c>
      <c r="E14" s="403">
        <v>0</v>
      </c>
      <c r="F14" s="403">
        <v>0</v>
      </c>
      <c r="G14" s="219">
        <v>0</v>
      </c>
      <c r="H14" s="219">
        <v>0</v>
      </c>
      <c r="I14" s="219">
        <v>0</v>
      </c>
      <c r="J14" s="177">
        <f t="shared" si="34"/>
        <v>0</v>
      </c>
      <c r="K14" s="178">
        <f t="shared" si="35"/>
        <v>0</v>
      </c>
      <c r="L14" s="219">
        <v>0</v>
      </c>
      <c r="M14" s="87">
        <f t="shared" si="36"/>
        <v>0</v>
      </c>
      <c r="N14" s="87">
        <f t="shared" si="37"/>
        <v>0</v>
      </c>
      <c r="O14" s="403">
        <v>0</v>
      </c>
      <c r="P14" s="86">
        <f t="shared" si="38"/>
        <v>0</v>
      </c>
      <c r="Q14" s="87">
        <f t="shared" si="39"/>
        <v>0</v>
      </c>
      <c r="R14" s="87">
        <f ca="1">IFERROR(__xludf.DUMMYFUNCTION("IMPORTRANGE(""https://docs.google.com/spreadsheets/d/1jTcq05yEiRwXcBMLjiodW9e4biSGYWAHcDj22rKWQ3s/edit?usp=sharing"",""กำแพงเพชร!Q690"")"),224500)</f>
        <v>224500</v>
      </c>
      <c r="S14" s="87">
        <f ca="1">IFERROR(__xludf.DUMMYFUNCTION("IMPORTRANGE(""https://docs.google.com/spreadsheets/d/1jTcq05yEiRwXcBMLjiodW9e4biSGYWAHcDj22rKWQ3s/edit?usp=sharing"",""กำแพงเพชร!R690"")"),0)</f>
        <v>0</v>
      </c>
      <c r="T14" s="87">
        <f ca="1">IFERROR(__xludf.DUMMYFUNCTION("IMPORTRANGE(""https://docs.google.com/spreadsheets/d/1jTcq05yEiRwXcBMLjiodW9e4biSGYWAHcDj22rKWQ3s/edit?usp=sharing"",""กำแพงเพชร!S690"")"),41900)</f>
        <v>41900</v>
      </c>
      <c r="U14" s="87">
        <f t="shared" ca="1" si="41"/>
        <v>18.663697104677059</v>
      </c>
      <c r="V14" s="87">
        <f t="shared" ca="1" si="42"/>
        <v>0</v>
      </c>
      <c r="W14" s="353">
        <f ca="1">IFERROR(__xludf.DUMMYFUNCTION("IMPORTRANGE(""https://docs.google.com/spreadsheets/d/1jTcq05yEiRwXcBMLjiodW9e4biSGYWAHcDj22rKWQ3s/edit?usp=sharing"",""กำแพงเพชร!I700"")"),0)</f>
        <v>0</v>
      </c>
      <c r="X14" s="177">
        <f ca="1">IFERROR(__xludf.DUMMYFUNCTION("IMPORTRANGE(""https://docs.google.com/spreadsheets/d/1jTcq05yEiRwXcBMLjiodW9e4biSGYWAHcDj22rKWQ3s/edit?usp=sharing"",""กำแพงเพชร!J700"")"),0)</f>
        <v>0</v>
      </c>
      <c r="Y14" s="354">
        <f t="shared" ca="1" si="44"/>
        <v>0</v>
      </c>
      <c r="Z14" s="353">
        <f ca="1">IFERROR(__xludf.DUMMYFUNCTION("IMPORTRANGE(""https://docs.google.com/spreadsheets/d/1jTcq05yEiRwXcBMLjiodW9e4biSGYWAHcDj22rKWQ3s/edit?usp=sharing"",""กำแพงเพชร!I701"")"),105)</f>
        <v>105</v>
      </c>
      <c r="AA14" s="177">
        <f ca="1">IFERROR(__xludf.DUMMYFUNCTION("IMPORTRANGE(""https://docs.google.com/spreadsheets/d/1jTcq05yEiRwXcBMLjiodW9e4biSGYWAHcDj22rKWQ3s/edit?usp=sharing"",""กำแพงเพชร!J701"")"),0)</f>
        <v>0</v>
      </c>
      <c r="AB14" s="177">
        <f ca="1">IFERROR(__xludf.DUMMYFUNCTION("IMPORTRANGE(""https://docs.google.com/spreadsheets/d/1jTcq05yEiRwXcBMLjiodW9e4biSGYWAHcDj22rKWQ3s/edit?usp=sharing"",""กำแพงเพชร!J702"")"),0)</f>
        <v>0</v>
      </c>
      <c r="AC14" s="354">
        <f t="shared" ca="1" si="46"/>
        <v>0</v>
      </c>
      <c r="AD14" s="353">
        <f ca="1">IFERROR(__xludf.DUMMYFUNCTION("IMPORTRANGE(""https://docs.google.com/spreadsheets/d/1jTcq05yEiRwXcBMLjiodW9e4biSGYWAHcDj22rKWQ3s/edit?usp=sharing"",""กำแพงเพชร!I703"")"),100)</f>
        <v>100</v>
      </c>
      <c r="AE14" s="177">
        <f ca="1">IFERROR(__xludf.DUMMYFUNCTION("IMPORTRANGE(""https://docs.google.com/spreadsheets/d/1jTcq05yEiRwXcBMLjiodW9e4biSGYWAHcDj22rKWQ3s/edit?usp=sharing"",""กำแพงเพชร!J703"")"),0)</f>
        <v>0</v>
      </c>
      <c r="AF14" s="177">
        <f ca="1">IFERROR(__xludf.DUMMYFUNCTION("IMPORTRANGE(""https://docs.google.com/spreadsheets/d/1jTcq05yEiRwXcBMLjiodW9e4biSGYWAHcDj22rKWQ3s/edit?usp=sharing"",""กำแพงเพชร!J704"")"),0)</f>
        <v>0</v>
      </c>
      <c r="AG14" s="354">
        <f t="shared" ca="1" si="48"/>
        <v>0</v>
      </c>
      <c r="AH14" s="495">
        <f ca="1">IFERROR(__xludf.DUMMYFUNCTION("IMPORTRANGE(""https://docs.google.com/spreadsheets/d/1jTcq05yEiRwXcBMLjiodW9e4biSGYWAHcDj22rKWQ3s/edit?usp=sharing"",""กำแพงเพชร!I705"")"),5)</f>
        <v>5</v>
      </c>
      <c r="AI14" s="496">
        <f ca="1">IFERROR(__xludf.DUMMYFUNCTION("IMPORTRANGE(""https://docs.google.com/spreadsheets/d/1jTcq05yEiRwXcBMLjiodW9e4biSGYWAHcDj22rKWQ3s/edit?usp=sharing"",""กำแพงเพชร!J705"")"),0)</f>
        <v>0</v>
      </c>
      <c r="AJ14" s="496">
        <f ca="1">IFERROR(__xludf.DUMMYFUNCTION("IMPORTRANGE(""https://docs.google.com/spreadsheets/d/1jTcq05yEiRwXcBMLjiodW9e4biSGYWAHcDj22rKWQ3s/edit?usp=sharing"",""กำแพงเพชร!J706"")"),0)</f>
        <v>0</v>
      </c>
      <c r="AK14" s="497">
        <f t="shared" ca="1" si="50"/>
        <v>0</v>
      </c>
      <c r="AL14" s="353">
        <f ca="1">IFERROR(__xludf.DUMMYFUNCTION("IMPORTRANGE(""https://docs.google.com/spreadsheets/d/1jTcq05yEiRwXcBMLjiodW9e4biSGYWAHcDj22rKWQ3s/edit?usp=sharing"",""กำแพงเพชร!I707"")"),100)</f>
        <v>100</v>
      </c>
      <c r="AM14" s="177">
        <f ca="1">IFERROR(__xludf.DUMMYFUNCTION("IMPORTRANGE(""https://docs.google.com/spreadsheets/d/1jTcq05yEiRwXcBMLjiodW9e4biSGYWAHcDj22rKWQ3s/edit?usp=sharing"",""กำแพงเพชร!J707"")"),0)</f>
        <v>0</v>
      </c>
      <c r="AN14" s="177">
        <f ca="1">IFERROR(__xludf.DUMMYFUNCTION("IMPORTRANGE(""https://docs.google.com/spreadsheets/d/1jTcq05yEiRwXcBMLjiodW9e4biSGYWAHcDj22rKWQ3s/edit?usp=sharing"",""กำแพงเพชร!J708"")"),0)</f>
        <v>0</v>
      </c>
      <c r="AO14" s="354">
        <f t="shared" ca="1" si="52"/>
        <v>0</v>
      </c>
      <c r="AP14" s="495">
        <f ca="1">IFERROR(__xludf.DUMMYFUNCTION("IMPORTRANGE(""https://docs.google.com/spreadsheets/d/1jTcq05yEiRwXcBMLjiodW9e4biSGYWAHcDj22rKWQ3s/edit?usp=sharing"",""กำแพงเพชร!I709"")"),5)</f>
        <v>5</v>
      </c>
      <c r="AQ14" s="496">
        <f ca="1">IFERROR(__xludf.DUMMYFUNCTION("IMPORTRANGE(""https://docs.google.com/spreadsheets/d/1jTcq05yEiRwXcBMLjiodW9e4biSGYWAHcDj22rKWQ3s/edit?usp=sharing"",""กำแพงเพชร!J709"")"),0)</f>
        <v>0</v>
      </c>
      <c r="AR14" s="496">
        <f ca="1">IFERROR(__xludf.DUMMYFUNCTION("IMPORTRANGE(""https://docs.google.com/spreadsheets/d/1jTcq05yEiRwXcBMLjiodW9e4biSGYWAHcDj22rKWQ3s/edit?usp=sharing"",""กำแพงเพชร!J710"")"),0)</f>
        <v>0</v>
      </c>
      <c r="AS14" s="497">
        <f t="shared" ca="1" si="54"/>
        <v>0</v>
      </c>
    </row>
    <row r="15" spans="1:45" ht="24.75" customHeight="1" x14ac:dyDescent="0.3">
      <c r="A15" s="89">
        <v>2</v>
      </c>
      <c r="B15" s="90" t="s">
        <v>41</v>
      </c>
      <c r="C15" s="174">
        <f t="shared" si="32"/>
        <v>0</v>
      </c>
      <c r="D15" s="175">
        <f t="shared" si="55"/>
        <v>0</v>
      </c>
      <c r="E15" s="403">
        <v>0</v>
      </c>
      <c r="F15" s="403">
        <v>0</v>
      </c>
      <c r="G15" s="403">
        <v>0</v>
      </c>
      <c r="H15" s="403">
        <v>0</v>
      </c>
      <c r="I15" s="403">
        <v>0</v>
      </c>
      <c r="J15" s="176">
        <f t="shared" si="34"/>
        <v>0</v>
      </c>
      <c r="K15" s="179">
        <f t="shared" si="35"/>
        <v>0</v>
      </c>
      <c r="L15" s="403">
        <v>0</v>
      </c>
      <c r="M15" s="87">
        <f t="shared" si="36"/>
        <v>0</v>
      </c>
      <c r="N15" s="87">
        <f t="shared" si="37"/>
        <v>0</v>
      </c>
      <c r="O15" s="403">
        <v>0</v>
      </c>
      <c r="P15" s="86">
        <f t="shared" si="38"/>
        <v>0</v>
      </c>
      <c r="Q15" s="87">
        <f t="shared" si="39"/>
        <v>0</v>
      </c>
      <c r="R15" s="87">
        <f ca="1">IFERROR(__xludf.DUMMYFUNCTION("IMPORTRANGE(""https://docs.google.com/spreadsheets/d/1KS0zmDSZPk8KnTAbGN-Xk6MtX1YRZD0ldgdt20K4CRk/edit?usp=sharing"",""เชียงราย!Q690"")"),169140)</f>
        <v>169140</v>
      </c>
      <c r="S15" s="87">
        <f ca="1">IFERROR(__xludf.DUMMYFUNCTION("IMPORTRANGE(""https://docs.google.com/spreadsheets/d/1KS0zmDSZPk8KnTAbGN-Xk6MtX1YRZD0ldgdt20K4CRk/edit?usp=sharing"",""เชียงราย!R690"")"),0)</f>
        <v>0</v>
      </c>
      <c r="T15" s="87">
        <f ca="1">IFERROR(__xludf.DUMMYFUNCTION("IMPORTRANGE(""https://docs.google.com/spreadsheets/d/1KS0zmDSZPk8KnTAbGN-Xk6MtX1YRZD0ldgdt20K4CRk/edit?usp=sharing"",""เชียงราย!S690"")"),0)</f>
        <v>0</v>
      </c>
      <c r="U15" s="87">
        <f t="shared" ca="1" si="41"/>
        <v>0</v>
      </c>
      <c r="V15" s="87">
        <f t="shared" ca="1" si="42"/>
        <v>0</v>
      </c>
      <c r="W15" s="353">
        <f ca="1">IFERROR(__xludf.DUMMYFUNCTION("IMPORTRANGE(""https://docs.google.com/spreadsheets/d/1KS0zmDSZPk8KnTAbGN-Xk6MtX1YRZD0ldgdt20K4CRk/edit?usp=sharing"",""เชียงราย!I700"")"),0)</f>
        <v>0</v>
      </c>
      <c r="X15" s="177">
        <f ca="1">IFERROR(__xludf.DUMMYFUNCTION("IMPORTRANGE(""https://docs.google.com/spreadsheets/d/1KS0zmDSZPk8KnTAbGN-Xk6MtX1YRZD0ldgdt20K4CRk/edit?usp=sharing"",""เชียงราย!J700"")"),0)</f>
        <v>0</v>
      </c>
      <c r="Y15" s="354">
        <f t="shared" ca="1" si="44"/>
        <v>0</v>
      </c>
      <c r="Z15" s="353">
        <f ca="1">IFERROR(__xludf.DUMMYFUNCTION("IMPORTRANGE(""https://docs.google.com/spreadsheets/d/1KS0zmDSZPk8KnTAbGN-Xk6MtX1YRZD0ldgdt20K4CRk/edit?usp=sharing"",""เชียงราย!I701"")"),100)</f>
        <v>100</v>
      </c>
      <c r="AA15" s="177">
        <f ca="1">IFERROR(__xludf.DUMMYFUNCTION("IMPORTRANGE(""https://docs.google.com/spreadsheets/d/1KS0zmDSZPk8KnTAbGN-Xk6MtX1YRZD0ldgdt20K4CRk/edit?usp=sharing"",""เชียงราย!J701"")"),57)</f>
        <v>57</v>
      </c>
      <c r="AB15" s="177">
        <f ca="1">IFERROR(__xludf.DUMMYFUNCTION("IMPORTRANGE(""https://docs.google.com/spreadsheets/d/1KS0zmDSZPk8KnTAbGN-Xk6MtX1YRZD0ldgdt20K4CRk/edit?usp=sharing"",""เชียงราย!J702"")"),38.8)</f>
        <v>38.799999999999997</v>
      </c>
      <c r="AC15" s="354">
        <f t="shared" ca="1" si="46"/>
        <v>57</v>
      </c>
      <c r="AD15" s="353">
        <f ca="1">IFERROR(__xludf.DUMMYFUNCTION("IMPORTRANGE(""https://docs.google.com/spreadsheets/d/1KS0zmDSZPk8KnTAbGN-Xk6MtX1YRZD0ldgdt20K4CRk/edit?usp=sharing"",""เชียงราย!I703"")"),100)</f>
        <v>100</v>
      </c>
      <c r="AE15" s="177">
        <f ca="1">IFERROR(__xludf.DUMMYFUNCTION("IMPORTRANGE(""https://docs.google.com/spreadsheets/d/1KS0zmDSZPk8KnTAbGN-Xk6MtX1YRZD0ldgdt20K4CRk/edit?usp=sharing"",""เชียงราย!J703"")"),57)</f>
        <v>57</v>
      </c>
      <c r="AF15" s="177">
        <f ca="1">IFERROR(__xludf.DUMMYFUNCTION("IMPORTRANGE(""https://docs.google.com/spreadsheets/d/1KS0zmDSZPk8KnTAbGN-Xk6MtX1YRZD0ldgdt20K4CRk/edit?usp=sharing"",""เชียงราย!J704"")"),38.8)</f>
        <v>38.799999999999997</v>
      </c>
      <c r="AG15" s="354">
        <f t="shared" ca="1" si="48"/>
        <v>57</v>
      </c>
      <c r="AH15" s="495">
        <f ca="1">IFERROR(__xludf.DUMMYFUNCTION("IMPORTRANGE(""https://docs.google.com/spreadsheets/d/1KS0zmDSZPk8KnTAbGN-Xk6MtX1YRZD0ldgdt20K4CRk/edit?usp=sharing"",""เชียงราย!I705"")"),0)</f>
        <v>0</v>
      </c>
      <c r="AI15" s="496">
        <f ca="1">IFERROR(__xludf.DUMMYFUNCTION("IMPORTRANGE(""https://docs.google.com/spreadsheets/d/1KS0zmDSZPk8KnTAbGN-Xk6MtX1YRZD0ldgdt20K4CRk/edit?usp=sharing"",""เชียงราย!J705"")"),0)</f>
        <v>0</v>
      </c>
      <c r="AJ15" s="496">
        <f ca="1">IFERROR(__xludf.DUMMYFUNCTION("IMPORTRANGE(""https://docs.google.com/spreadsheets/d/1KS0zmDSZPk8KnTAbGN-Xk6MtX1YRZD0ldgdt20K4CRk/edit?usp=sharing"",""เชียงราย!J706"")"),0)</f>
        <v>0</v>
      </c>
      <c r="AK15" s="497">
        <f t="shared" ca="1" si="50"/>
        <v>0</v>
      </c>
      <c r="AL15" s="353">
        <f ca="1">IFERROR(__xludf.DUMMYFUNCTION("IMPORTRANGE(""https://docs.google.com/spreadsheets/d/1KS0zmDSZPk8KnTAbGN-Xk6MtX1YRZD0ldgdt20K4CRk/edit?usp=sharing"",""เชียงราย!I707"")"),100)</f>
        <v>100</v>
      </c>
      <c r="AM15" s="177">
        <f ca="1">IFERROR(__xludf.DUMMYFUNCTION("IMPORTRANGE(""https://docs.google.com/spreadsheets/d/1KS0zmDSZPk8KnTAbGN-Xk6MtX1YRZD0ldgdt20K4CRk/edit?usp=sharing"",""เชียงราย!J707"")"),26)</f>
        <v>26</v>
      </c>
      <c r="AN15" s="177">
        <f ca="1">IFERROR(__xludf.DUMMYFUNCTION("IMPORTRANGE(""https://docs.google.com/spreadsheets/d/1KS0zmDSZPk8KnTAbGN-Xk6MtX1YRZD0ldgdt20K4CRk/edit?usp=sharing"",""เชียงราย!J708"")"),16.49)</f>
        <v>16.489999999999998</v>
      </c>
      <c r="AO15" s="354">
        <f t="shared" ca="1" si="52"/>
        <v>26</v>
      </c>
      <c r="AP15" s="495">
        <f ca="1">IFERROR(__xludf.DUMMYFUNCTION("IMPORTRANGE(""https://docs.google.com/spreadsheets/d/1KS0zmDSZPk8KnTAbGN-Xk6MtX1YRZD0ldgdt20K4CRk/edit?usp=sharing"",""เชียงราย!I709"")"),0)</f>
        <v>0</v>
      </c>
      <c r="AQ15" s="496">
        <f ca="1">IFERROR(__xludf.DUMMYFUNCTION("IMPORTRANGE(""https://docs.google.com/spreadsheets/d/1KS0zmDSZPk8KnTAbGN-Xk6MtX1YRZD0ldgdt20K4CRk/edit?usp=sharing"",""เชียงราย!J709"")"),0)</f>
        <v>0</v>
      </c>
      <c r="AR15" s="496">
        <f ca="1">IFERROR(__xludf.DUMMYFUNCTION("IMPORTRANGE(""https://docs.google.com/spreadsheets/d/1KS0zmDSZPk8KnTAbGN-Xk6MtX1YRZD0ldgdt20K4CRk/edit?usp=sharing"",""เชียงราย!J710"")"),0)</f>
        <v>0</v>
      </c>
      <c r="AS15" s="497">
        <f t="shared" ca="1" si="54"/>
        <v>0</v>
      </c>
    </row>
    <row r="16" spans="1:45" ht="24.75" customHeight="1" x14ac:dyDescent="0.3">
      <c r="A16" s="89">
        <v>3</v>
      </c>
      <c r="B16" s="90" t="s">
        <v>42</v>
      </c>
      <c r="C16" s="174">
        <f t="shared" si="32"/>
        <v>0</v>
      </c>
      <c r="D16" s="175">
        <f t="shared" si="55"/>
        <v>0</v>
      </c>
      <c r="E16" s="403">
        <v>0</v>
      </c>
      <c r="F16" s="403">
        <v>0</v>
      </c>
      <c r="G16" s="403">
        <v>0</v>
      </c>
      <c r="H16" s="403">
        <v>0</v>
      </c>
      <c r="I16" s="403">
        <v>0</v>
      </c>
      <c r="J16" s="176">
        <f t="shared" si="34"/>
        <v>0</v>
      </c>
      <c r="K16" s="179">
        <f t="shared" si="35"/>
        <v>0</v>
      </c>
      <c r="L16" s="403">
        <v>0</v>
      </c>
      <c r="M16" s="87">
        <f t="shared" si="36"/>
        <v>0</v>
      </c>
      <c r="N16" s="87">
        <f t="shared" si="37"/>
        <v>0</v>
      </c>
      <c r="O16" s="403">
        <v>0</v>
      </c>
      <c r="P16" s="86">
        <f t="shared" si="38"/>
        <v>0</v>
      </c>
      <c r="Q16" s="87">
        <f t="shared" si="39"/>
        <v>0</v>
      </c>
      <c r="R16" s="87">
        <f ca="1">IFERROR(__xludf.DUMMYFUNCTION("IMPORTRANGE(""https://docs.google.com/spreadsheets/d/1rEDxBtusbi64tE0zunoIbsTVV16HeL0oJ6trHQeQ7K8/edit?usp=sharing"",""เชียงใหม่!Q690"")"),194110)</f>
        <v>194110</v>
      </c>
      <c r="S16" s="87">
        <f ca="1">IFERROR(__xludf.DUMMYFUNCTION("IMPORTRANGE(""https://docs.google.com/spreadsheets/d/1rEDxBtusbi64tE0zunoIbsTVV16HeL0oJ6trHQeQ7K8/edit?usp=sharing"",""เชียงใหม่!R690"")"),0)</f>
        <v>0</v>
      </c>
      <c r="T16" s="87">
        <f ca="1">IFERROR(__xludf.DUMMYFUNCTION("IMPORTRANGE(""https://docs.google.com/spreadsheets/d/1rEDxBtusbi64tE0zunoIbsTVV16HeL0oJ6trHQeQ7K8/edit?usp=sharing"",""เชียงใหม่!S690"")"),0)</f>
        <v>0</v>
      </c>
      <c r="U16" s="87">
        <f t="shared" ca="1" si="41"/>
        <v>0</v>
      </c>
      <c r="V16" s="87">
        <f t="shared" ca="1" si="42"/>
        <v>0</v>
      </c>
      <c r="W16" s="353">
        <f ca="1">IFERROR(__xludf.DUMMYFUNCTION("IMPORTRANGE(""https://docs.google.com/spreadsheets/d/1rEDxBtusbi64tE0zunoIbsTVV16HeL0oJ6trHQeQ7K8/edit?usp=sharing"",""เชียงใหม่!I700"")"),1)</f>
        <v>1</v>
      </c>
      <c r="X16" s="177">
        <f ca="1">IFERROR(__xludf.DUMMYFUNCTION("IMPORTRANGE(""https://docs.google.com/spreadsheets/d/1rEDxBtusbi64tE0zunoIbsTVV16HeL0oJ6trHQeQ7K8/edit?usp=sharing"",""เชียงใหม่!J700"")"),0)</f>
        <v>0</v>
      </c>
      <c r="Y16" s="354">
        <f t="shared" ca="1" si="44"/>
        <v>0</v>
      </c>
      <c r="Z16" s="353">
        <f ca="1">IFERROR(__xludf.DUMMYFUNCTION("IMPORTRANGE(""https://docs.google.com/spreadsheets/d/1rEDxBtusbi64tE0zunoIbsTVV16HeL0oJ6trHQeQ7K8/edit?usp=sharing"",""เชียงใหม่!I701"")"),44)</f>
        <v>44</v>
      </c>
      <c r="AA16" s="177">
        <f ca="1">IFERROR(__xludf.DUMMYFUNCTION("IMPORTRANGE(""https://docs.google.com/spreadsheets/d/1rEDxBtusbi64tE0zunoIbsTVV16HeL0oJ6trHQeQ7K8/edit?usp=sharing"",""เชียงใหม่!J701"")"),0)</f>
        <v>0</v>
      </c>
      <c r="AB16" s="177">
        <f ca="1">IFERROR(__xludf.DUMMYFUNCTION("IMPORTRANGE(""https://docs.google.com/spreadsheets/d/1rEDxBtusbi64tE0zunoIbsTVV16HeL0oJ6trHQeQ7K8/edit?usp=sharing"",""เชียงใหม่!J702"")"),0)</f>
        <v>0</v>
      </c>
      <c r="AC16" s="354">
        <f t="shared" ca="1" si="46"/>
        <v>0</v>
      </c>
      <c r="AD16" s="353">
        <f ca="1">IFERROR(__xludf.DUMMYFUNCTION("IMPORTRANGE(""https://docs.google.com/spreadsheets/d/1rEDxBtusbi64tE0zunoIbsTVV16HeL0oJ6trHQeQ7K8/edit?usp=sharing"",""เชียงใหม่!I703"")"),40)</f>
        <v>40</v>
      </c>
      <c r="AE16" s="177">
        <f ca="1">IFERROR(__xludf.DUMMYFUNCTION("IMPORTRANGE(""https://docs.google.com/spreadsheets/d/1rEDxBtusbi64tE0zunoIbsTVV16HeL0oJ6trHQeQ7K8/edit?usp=sharing"",""เชียงใหม่!J703"")"),0)</f>
        <v>0</v>
      </c>
      <c r="AF16" s="177">
        <f ca="1">IFERROR(__xludf.DUMMYFUNCTION("IMPORTRANGE(""https://docs.google.com/spreadsheets/d/1rEDxBtusbi64tE0zunoIbsTVV16HeL0oJ6trHQeQ7K8/edit?usp=sharing"",""เชียงใหม่!J704"")"),0)</f>
        <v>0</v>
      </c>
      <c r="AG16" s="354">
        <f t="shared" ca="1" si="48"/>
        <v>0</v>
      </c>
      <c r="AH16" s="495">
        <f ca="1">IFERROR(__xludf.DUMMYFUNCTION("IMPORTRANGE(""https://docs.google.com/spreadsheets/d/1rEDxBtusbi64tE0zunoIbsTVV16HeL0oJ6trHQeQ7K8/edit?usp=sharing"",""เชียงใหม่!I705"")"),4)</f>
        <v>4</v>
      </c>
      <c r="AI16" s="496">
        <f ca="1">IFERROR(__xludf.DUMMYFUNCTION("IMPORTRANGE(""https://docs.google.com/spreadsheets/d/1rEDxBtusbi64tE0zunoIbsTVV16HeL0oJ6trHQeQ7K8/edit?usp=sharing"",""เชียงใหม่!J705"")"),0)</f>
        <v>0</v>
      </c>
      <c r="AJ16" s="496">
        <f ca="1">IFERROR(__xludf.DUMMYFUNCTION("IMPORTRANGE(""https://docs.google.com/spreadsheets/d/1rEDxBtusbi64tE0zunoIbsTVV16HeL0oJ6trHQeQ7K8/edit?usp=sharing"",""เชียงใหม่!J706"")"),0)</f>
        <v>0</v>
      </c>
      <c r="AK16" s="497">
        <f t="shared" ca="1" si="50"/>
        <v>0</v>
      </c>
      <c r="AL16" s="353">
        <f ca="1">IFERROR(__xludf.DUMMYFUNCTION("IMPORTRANGE(""https://docs.google.com/spreadsheets/d/1rEDxBtusbi64tE0zunoIbsTVV16HeL0oJ6trHQeQ7K8/edit?usp=sharing"",""เชียงใหม่!I707"")"),40)</f>
        <v>40</v>
      </c>
      <c r="AM16" s="177">
        <f ca="1">IFERROR(__xludf.DUMMYFUNCTION("IMPORTRANGE(""https://docs.google.com/spreadsheets/d/1rEDxBtusbi64tE0zunoIbsTVV16HeL0oJ6trHQeQ7K8/edit?usp=sharing"",""เชียงใหม่!J707"")"),0)</f>
        <v>0</v>
      </c>
      <c r="AN16" s="177">
        <f ca="1">IFERROR(__xludf.DUMMYFUNCTION("IMPORTRANGE(""https://docs.google.com/spreadsheets/d/1rEDxBtusbi64tE0zunoIbsTVV16HeL0oJ6trHQeQ7K8/edit?usp=sharing"",""เชียงใหม่!J708"")"),0)</f>
        <v>0</v>
      </c>
      <c r="AO16" s="354">
        <f t="shared" ca="1" si="52"/>
        <v>0</v>
      </c>
      <c r="AP16" s="495">
        <f ca="1">IFERROR(__xludf.DUMMYFUNCTION("IMPORTRANGE(""https://docs.google.com/spreadsheets/d/1rEDxBtusbi64tE0zunoIbsTVV16HeL0oJ6trHQeQ7K8/edit?usp=sharing"",""เชียงใหม่!I709"")"),4)</f>
        <v>4</v>
      </c>
      <c r="AQ16" s="496">
        <f ca="1">IFERROR(__xludf.DUMMYFUNCTION("IMPORTRANGE(""https://docs.google.com/spreadsheets/d/1rEDxBtusbi64tE0zunoIbsTVV16HeL0oJ6trHQeQ7K8/edit?usp=sharing"",""เชียงใหม่!J709"")"),0)</f>
        <v>0</v>
      </c>
      <c r="AR16" s="496">
        <f ca="1">IFERROR(__xludf.DUMMYFUNCTION("IMPORTRANGE(""https://docs.google.com/spreadsheets/d/1rEDxBtusbi64tE0zunoIbsTVV16HeL0oJ6trHQeQ7K8/edit?usp=sharing"",""เชียงใหม่!J710"")"),0)</f>
        <v>0</v>
      </c>
      <c r="AS16" s="497">
        <f t="shared" ca="1" si="54"/>
        <v>0</v>
      </c>
    </row>
    <row r="17" spans="1:45" ht="24.75" customHeight="1" x14ac:dyDescent="0.3">
      <c r="A17" s="89">
        <v>4</v>
      </c>
      <c r="B17" s="90" t="s">
        <v>43</v>
      </c>
      <c r="C17" s="174">
        <f t="shared" si="32"/>
        <v>0</v>
      </c>
      <c r="D17" s="175">
        <f t="shared" si="55"/>
        <v>0</v>
      </c>
      <c r="E17" s="403">
        <v>0</v>
      </c>
      <c r="F17" s="403">
        <v>0</v>
      </c>
      <c r="G17" s="403">
        <v>0</v>
      </c>
      <c r="H17" s="403">
        <v>0</v>
      </c>
      <c r="I17" s="403">
        <v>0</v>
      </c>
      <c r="J17" s="176">
        <f t="shared" si="34"/>
        <v>0</v>
      </c>
      <c r="K17" s="179">
        <f t="shared" si="35"/>
        <v>0</v>
      </c>
      <c r="L17" s="403">
        <v>0</v>
      </c>
      <c r="M17" s="87">
        <f t="shared" si="36"/>
        <v>0</v>
      </c>
      <c r="N17" s="87">
        <f t="shared" si="37"/>
        <v>0</v>
      </c>
      <c r="O17" s="403">
        <v>0</v>
      </c>
      <c r="P17" s="86">
        <f t="shared" si="38"/>
        <v>0</v>
      </c>
      <c r="Q17" s="87">
        <f t="shared" si="39"/>
        <v>0</v>
      </c>
      <c r="R17" s="87">
        <f ca="1">IFERROR(__xludf.DUMMYFUNCTION("IMPORTRANGE(""https://docs.google.com/spreadsheets/d/1W6MnUbDkMi6xHnHko_XkFDO9kkuL6Wqyc-6OCDFjW9I/edit?usp=sharing"",""ตาก!Q690"")"),82240)</f>
        <v>82240</v>
      </c>
      <c r="S17" s="87">
        <f ca="1">IFERROR(__xludf.DUMMYFUNCTION("IMPORTRANGE(""https://docs.google.com/spreadsheets/d/1W6MnUbDkMi6xHnHko_XkFDO9kkuL6Wqyc-6OCDFjW9I/edit?usp=sharing"",""ตาก!R690"")"),0)</f>
        <v>0</v>
      </c>
      <c r="T17" s="87">
        <f ca="1">IFERROR(__xludf.DUMMYFUNCTION("IMPORTRANGE(""https://docs.google.com/spreadsheets/d/1W6MnUbDkMi6xHnHko_XkFDO9kkuL6Wqyc-6OCDFjW9I/edit?usp=sharing"",""ตาก!S690"")"),0)</f>
        <v>0</v>
      </c>
      <c r="U17" s="87">
        <f t="shared" ca="1" si="41"/>
        <v>0</v>
      </c>
      <c r="V17" s="87">
        <f t="shared" ca="1" si="42"/>
        <v>0</v>
      </c>
      <c r="W17" s="353">
        <f ca="1">IFERROR(__xludf.DUMMYFUNCTION("IMPORTRANGE(""https://docs.google.com/spreadsheets/d/1W6MnUbDkMi6xHnHko_XkFDO9kkuL6Wqyc-6OCDFjW9I/edit?usp=sharing"",""ตาก!I700"")"),0)</f>
        <v>0</v>
      </c>
      <c r="X17" s="177">
        <f ca="1">IFERROR(__xludf.DUMMYFUNCTION("IMPORTRANGE(""https://docs.google.com/spreadsheets/d/1W6MnUbDkMi6xHnHko_XkFDO9kkuL6Wqyc-6OCDFjW9I/edit?usp=sharing"",""ตาก!J700"")"),0)</f>
        <v>0</v>
      </c>
      <c r="Y17" s="354">
        <f t="shared" ca="1" si="44"/>
        <v>0</v>
      </c>
      <c r="Z17" s="353">
        <f ca="1">IFERROR(__xludf.DUMMYFUNCTION("IMPORTRANGE(""https://docs.google.com/spreadsheets/d/1W6MnUbDkMi6xHnHko_XkFDO9kkuL6Wqyc-6OCDFjW9I/edit?usp=sharing"",""ตาก!I701"")"),20)</f>
        <v>20</v>
      </c>
      <c r="AA17" s="177">
        <f ca="1">IFERROR(__xludf.DUMMYFUNCTION("IMPORTRANGE(""https://docs.google.com/spreadsheets/d/1W6MnUbDkMi6xHnHko_XkFDO9kkuL6Wqyc-6OCDFjW9I/edit?usp=sharing"",""ตาก!J701"")"),0)</f>
        <v>0</v>
      </c>
      <c r="AB17" s="177">
        <f ca="1">IFERROR(__xludf.DUMMYFUNCTION("IMPORTRANGE(""https://docs.google.com/spreadsheets/d/1W6MnUbDkMi6xHnHko_XkFDO9kkuL6Wqyc-6OCDFjW9I/edit?usp=sharing"",""ตาก!J702"")"),0)</f>
        <v>0</v>
      </c>
      <c r="AC17" s="354">
        <f t="shared" ca="1" si="46"/>
        <v>0</v>
      </c>
      <c r="AD17" s="353">
        <f ca="1">IFERROR(__xludf.DUMMYFUNCTION("IMPORTRANGE(""https://docs.google.com/spreadsheets/d/1W6MnUbDkMi6xHnHko_XkFDO9kkuL6Wqyc-6OCDFjW9I/edit?usp=sharing"",""ตาก!I703"")"),15)</f>
        <v>15</v>
      </c>
      <c r="AE17" s="177">
        <f ca="1">IFERROR(__xludf.DUMMYFUNCTION("IMPORTRANGE(""https://docs.google.com/spreadsheets/d/1W6MnUbDkMi6xHnHko_XkFDO9kkuL6Wqyc-6OCDFjW9I/edit?usp=sharing"",""ตาก!J703"")"),0)</f>
        <v>0</v>
      </c>
      <c r="AF17" s="177">
        <f ca="1">IFERROR(__xludf.DUMMYFUNCTION("IMPORTRANGE(""https://docs.google.com/spreadsheets/d/1W6MnUbDkMi6xHnHko_XkFDO9kkuL6Wqyc-6OCDFjW9I/edit?usp=sharing"",""ตาก!J704"")"),0)</f>
        <v>0</v>
      </c>
      <c r="AG17" s="354">
        <f t="shared" ca="1" si="48"/>
        <v>0</v>
      </c>
      <c r="AH17" s="495">
        <f ca="1">IFERROR(__xludf.DUMMYFUNCTION("IMPORTRANGE(""https://docs.google.com/spreadsheets/d/1W6MnUbDkMi6xHnHko_XkFDO9kkuL6Wqyc-6OCDFjW9I/edit?usp=sharing"",""ตาก!I705"")"),5)</f>
        <v>5</v>
      </c>
      <c r="AI17" s="496">
        <f ca="1">IFERROR(__xludf.DUMMYFUNCTION("IMPORTRANGE(""https://docs.google.com/spreadsheets/d/1W6MnUbDkMi6xHnHko_XkFDO9kkuL6Wqyc-6OCDFjW9I/edit?usp=sharing"",""ตาก!J705"")"),0)</f>
        <v>0</v>
      </c>
      <c r="AJ17" s="496">
        <f ca="1">IFERROR(__xludf.DUMMYFUNCTION("IMPORTRANGE(""https://docs.google.com/spreadsheets/d/1W6MnUbDkMi6xHnHko_XkFDO9kkuL6Wqyc-6OCDFjW9I/edit?usp=sharing"",""ตาก!J706"")"),0)</f>
        <v>0</v>
      </c>
      <c r="AK17" s="497">
        <f t="shared" ca="1" si="50"/>
        <v>0</v>
      </c>
      <c r="AL17" s="353">
        <f ca="1">IFERROR(__xludf.DUMMYFUNCTION("IMPORTRANGE(""https://docs.google.com/spreadsheets/d/1W6MnUbDkMi6xHnHko_XkFDO9kkuL6Wqyc-6OCDFjW9I/edit?usp=sharing"",""ตาก!I707"")"),15)</f>
        <v>15</v>
      </c>
      <c r="AM17" s="177">
        <f ca="1">IFERROR(__xludf.DUMMYFUNCTION("IMPORTRANGE(""https://docs.google.com/spreadsheets/d/1W6MnUbDkMi6xHnHko_XkFDO9kkuL6Wqyc-6OCDFjW9I/edit?usp=sharing"",""ตาก!J707"")"),0)</f>
        <v>0</v>
      </c>
      <c r="AN17" s="177">
        <f ca="1">IFERROR(__xludf.DUMMYFUNCTION("IMPORTRANGE(""https://docs.google.com/spreadsheets/d/1W6MnUbDkMi6xHnHko_XkFDO9kkuL6Wqyc-6OCDFjW9I/edit?usp=sharing"",""ตาก!J708"")"),0)</f>
        <v>0</v>
      </c>
      <c r="AO17" s="354">
        <f t="shared" ca="1" si="52"/>
        <v>0</v>
      </c>
      <c r="AP17" s="495">
        <f ca="1">IFERROR(__xludf.DUMMYFUNCTION("IMPORTRANGE(""https://docs.google.com/spreadsheets/d/1W6MnUbDkMi6xHnHko_XkFDO9kkuL6Wqyc-6OCDFjW9I/edit?usp=sharing"",""ตาก!I709"")"),5)</f>
        <v>5</v>
      </c>
      <c r="AQ17" s="496">
        <f ca="1">IFERROR(__xludf.DUMMYFUNCTION("IMPORTRANGE(""https://docs.google.com/spreadsheets/d/1W6MnUbDkMi6xHnHko_XkFDO9kkuL6Wqyc-6OCDFjW9I/edit?usp=sharing"",""ตาก!J709"")"),0)</f>
        <v>0</v>
      </c>
      <c r="AR17" s="496">
        <f ca="1">IFERROR(__xludf.DUMMYFUNCTION("IMPORTRANGE(""https://docs.google.com/spreadsheets/d/1W6MnUbDkMi6xHnHko_XkFDO9kkuL6Wqyc-6OCDFjW9I/edit?usp=sharing"",""ตาก!J710"")"),0)</f>
        <v>0</v>
      </c>
      <c r="AS17" s="497">
        <f t="shared" ca="1" si="54"/>
        <v>0</v>
      </c>
    </row>
    <row r="18" spans="1:45" ht="24.75" customHeight="1" x14ac:dyDescent="0.3">
      <c r="A18" s="89">
        <v>5</v>
      </c>
      <c r="B18" s="90" t="s">
        <v>44</v>
      </c>
      <c r="C18" s="174">
        <f t="shared" si="32"/>
        <v>0</v>
      </c>
      <c r="D18" s="175">
        <f t="shared" si="55"/>
        <v>0</v>
      </c>
      <c r="E18" s="403">
        <v>0</v>
      </c>
      <c r="F18" s="403">
        <v>0</v>
      </c>
      <c r="G18" s="403">
        <v>0</v>
      </c>
      <c r="H18" s="403">
        <v>0</v>
      </c>
      <c r="I18" s="403">
        <v>0</v>
      </c>
      <c r="J18" s="176">
        <f t="shared" si="34"/>
        <v>0</v>
      </c>
      <c r="K18" s="179">
        <f t="shared" si="35"/>
        <v>0</v>
      </c>
      <c r="L18" s="403">
        <v>0</v>
      </c>
      <c r="M18" s="87">
        <f t="shared" si="36"/>
        <v>0</v>
      </c>
      <c r="N18" s="87">
        <f t="shared" si="37"/>
        <v>0</v>
      </c>
      <c r="O18" s="403">
        <v>0</v>
      </c>
      <c r="P18" s="86">
        <f t="shared" si="38"/>
        <v>0</v>
      </c>
      <c r="Q18" s="87">
        <f t="shared" si="39"/>
        <v>0</v>
      </c>
      <c r="R18" s="87">
        <f ca="1">IFERROR(__xludf.DUMMYFUNCTION("IMPORTRANGE(""https://docs.google.com/spreadsheets/d/1IQAWArduLkta9LpYo4a_ULsyqdta6-6aDDiwpUnQT6c/edit?usp=sharing"",""นครสวรรค์!Q690"")"),463010)</f>
        <v>463010</v>
      </c>
      <c r="S18" s="87">
        <f ca="1">IFERROR(__xludf.DUMMYFUNCTION("IMPORTRANGE(""https://docs.google.com/spreadsheets/d/1IQAWArduLkta9LpYo4a_ULsyqdta6-6aDDiwpUnQT6c/edit?usp=sharing"",""นครสวรรค์!R690"")"),0)</f>
        <v>0</v>
      </c>
      <c r="T18" s="87">
        <f ca="1">IFERROR(__xludf.DUMMYFUNCTION("IMPORTRANGE(""https://docs.google.com/spreadsheets/d/1IQAWArduLkta9LpYo4a_ULsyqdta6-6aDDiwpUnQT6c/edit?usp=sharing"",""นครสวรรค์!S690"")"),43540)</f>
        <v>43540</v>
      </c>
      <c r="U18" s="87">
        <f t="shared" ca="1" si="41"/>
        <v>9.4036845856460989</v>
      </c>
      <c r="V18" s="87">
        <f t="shared" ca="1" si="42"/>
        <v>0</v>
      </c>
      <c r="W18" s="353">
        <f ca="1">IFERROR(__xludf.DUMMYFUNCTION("IMPORTRANGE(""https://docs.google.com/spreadsheets/d/1IQAWArduLkta9LpYo4a_ULsyqdta6-6aDDiwpUnQT6c/edit?usp=sharing"",""นครสวรรค์!I700"")"),3)</f>
        <v>3</v>
      </c>
      <c r="X18" s="177">
        <f ca="1">IFERROR(__xludf.DUMMYFUNCTION("IMPORTRANGE(""https://docs.google.com/spreadsheets/d/1IQAWArduLkta9LpYo4a_ULsyqdta6-6aDDiwpUnQT6c/edit?usp=sharing"",""นครสวรรค์!J700"")"),0)</f>
        <v>0</v>
      </c>
      <c r="Y18" s="354">
        <f t="shared" ca="1" si="44"/>
        <v>0</v>
      </c>
      <c r="Z18" s="353">
        <f ca="1">IFERROR(__xludf.DUMMYFUNCTION("IMPORTRANGE(""https://docs.google.com/spreadsheets/d/1IQAWArduLkta9LpYo4a_ULsyqdta6-6aDDiwpUnQT6c/edit?usp=sharing"",""นครสวรรค์!I701"")"),305)</f>
        <v>305</v>
      </c>
      <c r="AA18" s="177">
        <f ca="1">IFERROR(__xludf.DUMMYFUNCTION("IMPORTRANGE(""https://docs.google.com/spreadsheets/d/1IQAWArduLkta9LpYo4a_ULsyqdta6-6aDDiwpUnQT6c/edit?usp=sharing"",""นครสวรรค์!J701"")"),0)</f>
        <v>0</v>
      </c>
      <c r="AB18" s="177">
        <f ca="1">IFERROR(__xludf.DUMMYFUNCTION("IMPORTRANGE(""https://docs.google.com/spreadsheets/d/1IQAWArduLkta9LpYo4a_ULsyqdta6-6aDDiwpUnQT6c/edit?usp=sharing"",""นครสวรรค์!J702"")"),0)</f>
        <v>0</v>
      </c>
      <c r="AC18" s="354">
        <f t="shared" ca="1" si="46"/>
        <v>0</v>
      </c>
      <c r="AD18" s="353">
        <f ca="1">IFERROR(__xludf.DUMMYFUNCTION("IMPORTRANGE(""https://docs.google.com/spreadsheets/d/1IQAWArduLkta9LpYo4a_ULsyqdta6-6aDDiwpUnQT6c/edit?usp=sharing"",""นครสวรรค์!I703"")"),300)</f>
        <v>300</v>
      </c>
      <c r="AE18" s="177">
        <f ca="1">IFERROR(__xludf.DUMMYFUNCTION("IMPORTRANGE(""https://docs.google.com/spreadsheets/d/1IQAWArduLkta9LpYo4a_ULsyqdta6-6aDDiwpUnQT6c/edit?usp=sharing"",""นครสวรรค์!J703"")"),0)</f>
        <v>0</v>
      </c>
      <c r="AF18" s="177">
        <f ca="1">IFERROR(__xludf.DUMMYFUNCTION("IMPORTRANGE(""https://docs.google.com/spreadsheets/d/1IQAWArduLkta9LpYo4a_ULsyqdta6-6aDDiwpUnQT6c/edit?usp=sharing"",""นครสวรรค์!J704"")"),0)</f>
        <v>0</v>
      </c>
      <c r="AG18" s="354">
        <f t="shared" ca="1" si="48"/>
        <v>0</v>
      </c>
      <c r="AH18" s="495">
        <f ca="1">IFERROR(__xludf.DUMMYFUNCTION("IMPORTRANGE(""https://docs.google.com/spreadsheets/d/1IQAWArduLkta9LpYo4a_ULsyqdta6-6aDDiwpUnQT6c/edit?usp=sharing"",""นครสวรรค์!I705"")"),5)</f>
        <v>5</v>
      </c>
      <c r="AI18" s="496">
        <f ca="1">IFERROR(__xludf.DUMMYFUNCTION("IMPORTRANGE(""https://docs.google.com/spreadsheets/d/1IQAWArduLkta9LpYo4a_ULsyqdta6-6aDDiwpUnQT6c/edit?usp=sharing"",""นครสวรรค์!J705"")"),0)</f>
        <v>0</v>
      </c>
      <c r="AJ18" s="496">
        <f ca="1">IFERROR(__xludf.DUMMYFUNCTION("IMPORTRANGE(""https://docs.google.com/spreadsheets/d/1IQAWArduLkta9LpYo4a_ULsyqdta6-6aDDiwpUnQT6c/edit?usp=sharing"",""นครสวรรค์!J706"")"),0)</f>
        <v>0</v>
      </c>
      <c r="AK18" s="497">
        <f t="shared" ca="1" si="50"/>
        <v>0</v>
      </c>
      <c r="AL18" s="353">
        <f ca="1">IFERROR(__xludf.DUMMYFUNCTION("IMPORTRANGE(""https://docs.google.com/spreadsheets/d/1IQAWArduLkta9LpYo4a_ULsyqdta6-6aDDiwpUnQT6c/edit?usp=sharing"",""นครสวรรค์!I707"")"),300)</f>
        <v>300</v>
      </c>
      <c r="AM18" s="177">
        <f ca="1">IFERROR(__xludf.DUMMYFUNCTION("IMPORTRANGE(""https://docs.google.com/spreadsheets/d/1IQAWArduLkta9LpYo4a_ULsyqdta6-6aDDiwpUnQT6c/edit?usp=sharing"",""นครสวรรค์!J707"")"),0)</f>
        <v>0</v>
      </c>
      <c r="AN18" s="177">
        <f ca="1">IFERROR(__xludf.DUMMYFUNCTION("IMPORTRANGE(""https://docs.google.com/spreadsheets/d/1IQAWArduLkta9LpYo4a_ULsyqdta6-6aDDiwpUnQT6c/edit?usp=sharing"",""นครสวรรค์!J708"")"),0)</f>
        <v>0</v>
      </c>
      <c r="AO18" s="354">
        <f t="shared" ca="1" si="52"/>
        <v>0</v>
      </c>
      <c r="AP18" s="495">
        <f ca="1">IFERROR(__xludf.DUMMYFUNCTION("IMPORTRANGE(""https://docs.google.com/spreadsheets/d/1IQAWArduLkta9LpYo4a_ULsyqdta6-6aDDiwpUnQT6c/edit?usp=sharing"",""นครสวรรค์!I709"")"),5)</f>
        <v>5</v>
      </c>
      <c r="AQ18" s="496">
        <f ca="1">IFERROR(__xludf.DUMMYFUNCTION("IMPORTRANGE(""https://docs.google.com/spreadsheets/d/1IQAWArduLkta9LpYo4a_ULsyqdta6-6aDDiwpUnQT6c/edit?usp=sharing"",""นครสวรรค์!J709"")"),0)</f>
        <v>0</v>
      </c>
      <c r="AR18" s="496">
        <f ca="1">IFERROR(__xludf.DUMMYFUNCTION("IMPORTRANGE(""https://docs.google.com/spreadsheets/d/1IQAWArduLkta9LpYo4a_ULsyqdta6-6aDDiwpUnQT6c/edit?usp=sharing"",""นครสวรรค์!J710"")"),0)</f>
        <v>0</v>
      </c>
      <c r="AS18" s="497">
        <f t="shared" ca="1" si="54"/>
        <v>0</v>
      </c>
    </row>
    <row r="19" spans="1:45" ht="24.75" customHeight="1" x14ac:dyDescent="0.3">
      <c r="A19" s="89">
        <v>6</v>
      </c>
      <c r="B19" s="90" t="s">
        <v>45</v>
      </c>
      <c r="C19" s="174">
        <f t="shared" si="32"/>
        <v>0</v>
      </c>
      <c r="D19" s="175">
        <f t="shared" si="55"/>
        <v>0</v>
      </c>
      <c r="E19" s="403">
        <v>0</v>
      </c>
      <c r="F19" s="403">
        <v>0</v>
      </c>
      <c r="G19" s="403">
        <v>0</v>
      </c>
      <c r="H19" s="403">
        <v>0</v>
      </c>
      <c r="I19" s="403">
        <v>0</v>
      </c>
      <c r="J19" s="176">
        <f t="shared" si="34"/>
        <v>0</v>
      </c>
      <c r="K19" s="179">
        <f t="shared" si="35"/>
        <v>0</v>
      </c>
      <c r="L19" s="403">
        <v>0</v>
      </c>
      <c r="M19" s="87">
        <f t="shared" si="36"/>
        <v>0</v>
      </c>
      <c r="N19" s="87">
        <f t="shared" si="37"/>
        <v>0</v>
      </c>
      <c r="O19" s="403">
        <v>0</v>
      </c>
      <c r="P19" s="86">
        <f t="shared" si="38"/>
        <v>0</v>
      </c>
      <c r="Q19" s="87">
        <f t="shared" si="39"/>
        <v>0</v>
      </c>
      <c r="R19" s="87">
        <f ca="1">IFERROR(__xludf.DUMMYFUNCTION("IMPORTRANGE(""https://docs.google.com/spreadsheets/d/10s13Sk5xrltsiR-Zkbmk5DwIaDIKO8XlbJAfqyT7Gvg/edit?usp=sharing"",""น่าน!Q690"")"),205820)</f>
        <v>205820</v>
      </c>
      <c r="S19" s="87">
        <f ca="1">IFERROR(__xludf.DUMMYFUNCTION("IMPORTRANGE(""https://docs.google.com/spreadsheets/d/10s13Sk5xrltsiR-Zkbmk5DwIaDIKO8XlbJAfqyT7Gvg/edit?usp=sharing"",""น่าน!R690"")"),0)</f>
        <v>0</v>
      </c>
      <c r="T19" s="87">
        <f ca="1">IFERROR(__xludf.DUMMYFUNCTION("IMPORTRANGE(""https://docs.google.com/spreadsheets/d/10s13Sk5xrltsiR-Zkbmk5DwIaDIKO8XlbJAfqyT7Gvg/edit?usp=sharing"",""น่าน!S690"")"),0)</f>
        <v>0</v>
      </c>
      <c r="U19" s="87">
        <f t="shared" ca="1" si="41"/>
        <v>0</v>
      </c>
      <c r="V19" s="87">
        <f t="shared" ca="1" si="42"/>
        <v>0</v>
      </c>
      <c r="W19" s="353">
        <f ca="1">IFERROR(__xludf.DUMMYFUNCTION("IMPORTRANGE(""https://docs.google.com/spreadsheets/d/10s13Sk5xrltsiR-Zkbmk5DwIaDIKO8XlbJAfqyT7Gvg/edit?usp=sharing"",""น่าน!I700"")"),1)</f>
        <v>1</v>
      </c>
      <c r="X19" s="177">
        <f ca="1">IFERROR(__xludf.DUMMYFUNCTION("IMPORTRANGE(""https://docs.google.com/spreadsheets/d/10s13Sk5xrltsiR-Zkbmk5DwIaDIKO8XlbJAfqyT7Gvg/edit?usp=sharing"",""น่าน!J700"")"),0)</f>
        <v>0</v>
      </c>
      <c r="Y19" s="354">
        <f t="shared" ca="1" si="44"/>
        <v>0</v>
      </c>
      <c r="Z19" s="353">
        <f ca="1">IFERROR(__xludf.DUMMYFUNCTION("IMPORTRANGE(""https://docs.google.com/spreadsheets/d/10s13Sk5xrltsiR-Zkbmk5DwIaDIKO8XlbJAfqyT7Gvg/edit?usp=sharing"",""น่าน!I701"")"),74)</f>
        <v>74</v>
      </c>
      <c r="AA19" s="177">
        <f ca="1">IFERROR(__xludf.DUMMYFUNCTION("IMPORTRANGE(""https://docs.google.com/spreadsheets/d/10s13Sk5xrltsiR-Zkbmk5DwIaDIKO8XlbJAfqyT7Gvg/edit?usp=sharing"",""น่าน!J701"")"),0)</f>
        <v>0</v>
      </c>
      <c r="AB19" s="177">
        <f ca="1">IFERROR(__xludf.DUMMYFUNCTION("IMPORTRANGE(""https://docs.google.com/spreadsheets/d/10s13Sk5xrltsiR-Zkbmk5DwIaDIKO8XlbJAfqyT7Gvg/edit?usp=sharing"",""น่าน!J702"")"),0)</f>
        <v>0</v>
      </c>
      <c r="AC19" s="354">
        <f t="shared" ca="1" si="46"/>
        <v>0</v>
      </c>
      <c r="AD19" s="353">
        <f ca="1">IFERROR(__xludf.DUMMYFUNCTION("IMPORTRANGE(""https://docs.google.com/spreadsheets/d/10s13Sk5xrltsiR-Zkbmk5DwIaDIKO8XlbJAfqyT7Gvg/edit?usp=sharing"",""น่าน!I703"")"),70)</f>
        <v>70</v>
      </c>
      <c r="AE19" s="177">
        <f ca="1">IFERROR(__xludf.DUMMYFUNCTION("IMPORTRANGE(""https://docs.google.com/spreadsheets/d/10s13Sk5xrltsiR-Zkbmk5DwIaDIKO8XlbJAfqyT7Gvg/edit?usp=sharing"",""น่าน!J703"")"),0)</f>
        <v>0</v>
      </c>
      <c r="AF19" s="177">
        <f ca="1">IFERROR(__xludf.DUMMYFUNCTION("IMPORTRANGE(""https://docs.google.com/spreadsheets/d/10s13Sk5xrltsiR-Zkbmk5DwIaDIKO8XlbJAfqyT7Gvg/edit?usp=sharing"",""น่าน!J704"")"),0)</f>
        <v>0</v>
      </c>
      <c r="AG19" s="354">
        <f t="shared" ca="1" si="48"/>
        <v>0</v>
      </c>
      <c r="AH19" s="495">
        <f ca="1">IFERROR(__xludf.DUMMYFUNCTION("IMPORTRANGE(""https://docs.google.com/spreadsheets/d/10s13Sk5xrltsiR-Zkbmk5DwIaDIKO8XlbJAfqyT7Gvg/edit?usp=sharing"",""น่าน!I705"")"),4)</f>
        <v>4</v>
      </c>
      <c r="AI19" s="496">
        <f ca="1">IFERROR(__xludf.DUMMYFUNCTION("IMPORTRANGE(""https://docs.google.com/spreadsheets/d/10s13Sk5xrltsiR-Zkbmk5DwIaDIKO8XlbJAfqyT7Gvg/edit?usp=sharing"",""น่าน!J705"")"),0)</f>
        <v>0</v>
      </c>
      <c r="AJ19" s="496">
        <f ca="1">IFERROR(__xludf.DUMMYFUNCTION("IMPORTRANGE(""https://docs.google.com/spreadsheets/d/10s13Sk5xrltsiR-Zkbmk5DwIaDIKO8XlbJAfqyT7Gvg/edit?usp=sharing"",""น่าน!J706"")"),0)</f>
        <v>0</v>
      </c>
      <c r="AK19" s="497">
        <f t="shared" ca="1" si="50"/>
        <v>0</v>
      </c>
      <c r="AL19" s="353">
        <f ca="1">IFERROR(__xludf.DUMMYFUNCTION("IMPORTRANGE(""https://docs.google.com/spreadsheets/d/10s13Sk5xrltsiR-Zkbmk5DwIaDIKO8XlbJAfqyT7Gvg/edit?usp=sharing"",""น่าน!I707"")"),70)</f>
        <v>70</v>
      </c>
      <c r="AM19" s="177">
        <f ca="1">IFERROR(__xludf.DUMMYFUNCTION("IMPORTRANGE(""https://docs.google.com/spreadsheets/d/10s13Sk5xrltsiR-Zkbmk5DwIaDIKO8XlbJAfqyT7Gvg/edit?usp=sharing"",""น่าน!J707"")"),0)</f>
        <v>0</v>
      </c>
      <c r="AN19" s="177">
        <f ca="1">IFERROR(__xludf.DUMMYFUNCTION("IMPORTRANGE(""https://docs.google.com/spreadsheets/d/10s13Sk5xrltsiR-Zkbmk5DwIaDIKO8XlbJAfqyT7Gvg/edit?usp=sharing"",""น่าน!J708"")"),0)</f>
        <v>0</v>
      </c>
      <c r="AO19" s="354">
        <f t="shared" ca="1" si="52"/>
        <v>0</v>
      </c>
      <c r="AP19" s="495">
        <f ca="1">IFERROR(__xludf.DUMMYFUNCTION("IMPORTRANGE(""https://docs.google.com/spreadsheets/d/10s13Sk5xrltsiR-Zkbmk5DwIaDIKO8XlbJAfqyT7Gvg/edit?usp=sharing"",""น่าน!I709"")"),4)</f>
        <v>4</v>
      </c>
      <c r="AQ19" s="496">
        <f ca="1">IFERROR(__xludf.DUMMYFUNCTION("IMPORTRANGE(""https://docs.google.com/spreadsheets/d/10s13Sk5xrltsiR-Zkbmk5DwIaDIKO8XlbJAfqyT7Gvg/edit?usp=sharing"",""น่าน!J709"")"),0)</f>
        <v>0</v>
      </c>
      <c r="AR19" s="496">
        <f ca="1">IFERROR(__xludf.DUMMYFUNCTION("IMPORTRANGE(""https://docs.google.com/spreadsheets/d/10s13Sk5xrltsiR-Zkbmk5DwIaDIKO8XlbJAfqyT7Gvg/edit?usp=sharing"",""น่าน!J710"")"),0)</f>
        <v>0</v>
      </c>
      <c r="AS19" s="497">
        <f t="shared" ca="1" si="54"/>
        <v>0</v>
      </c>
    </row>
    <row r="20" spans="1:45" ht="24.75" customHeight="1" x14ac:dyDescent="0.3">
      <c r="A20" s="89">
        <v>7</v>
      </c>
      <c r="B20" s="90" t="s">
        <v>46</v>
      </c>
      <c r="C20" s="174">
        <f t="shared" si="32"/>
        <v>0</v>
      </c>
      <c r="D20" s="175">
        <f t="shared" si="55"/>
        <v>0</v>
      </c>
      <c r="E20" s="403">
        <v>0</v>
      </c>
      <c r="F20" s="403">
        <v>0</v>
      </c>
      <c r="G20" s="403">
        <v>0</v>
      </c>
      <c r="H20" s="403">
        <v>0</v>
      </c>
      <c r="I20" s="403">
        <v>0</v>
      </c>
      <c r="J20" s="176">
        <f t="shared" si="34"/>
        <v>0</v>
      </c>
      <c r="K20" s="179">
        <f t="shared" si="35"/>
        <v>0</v>
      </c>
      <c r="L20" s="403">
        <v>0</v>
      </c>
      <c r="M20" s="87">
        <f t="shared" si="36"/>
        <v>0</v>
      </c>
      <c r="N20" s="87">
        <f t="shared" si="37"/>
        <v>0</v>
      </c>
      <c r="O20" s="403">
        <v>0</v>
      </c>
      <c r="P20" s="86">
        <f t="shared" si="38"/>
        <v>0</v>
      </c>
      <c r="Q20" s="87">
        <f t="shared" si="39"/>
        <v>0</v>
      </c>
      <c r="R20" s="87">
        <f ca="1">IFERROR(__xludf.DUMMYFUNCTION("IMPORTRANGE(""https://docs.google.com/spreadsheets/d/1uu4nAn4Dbi1XREnLKKotUANlKXa7yCgRcgq8HEzQYW8/edit?usp=sharing"",""พะเยา!Q690"")"),237780)</f>
        <v>237780</v>
      </c>
      <c r="S20" s="87">
        <f ca="1">IFERROR(__xludf.DUMMYFUNCTION("IMPORTRANGE(""https://docs.google.com/spreadsheets/d/1uu4nAn4Dbi1XREnLKKotUANlKXa7yCgRcgq8HEzQYW8/edit?usp=sharing"",""พะเยา!R690"")"),0)</f>
        <v>0</v>
      </c>
      <c r="T20" s="87">
        <f ca="1">IFERROR(__xludf.DUMMYFUNCTION("IMPORTRANGE(""https://docs.google.com/spreadsheets/d/1uu4nAn4Dbi1XREnLKKotUANlKXa7yCgRcgq8HEzQYW8/edit?usp=sharing"",""พะเยา!S690"")"),0)</f>
        <v>0</v>
      </c>
      <c r="U20" s="87">
        <f t="shared" ca="1" si="41"/>
        <v>0</v>
      </c>
      <c r="V20" s="87">
        <f t="shared" ca="1" si="42"/>
        <v>0</v>
      </c>
      <c r="W20" s="353">
        <f ca="1">IFERROR(__xludf.DUMMYFUNCTION("IMPORTRANGE(""https://docs.google.com/spreadsheets/d/1uu4nAn4Dbi1XREnLKKotUANlKXa7yCgRcgq8HEzQYW8/edit?usp=sharing"",""พะเยา!I700"")"),3)</f>
        <v>3</v>
      </c>
      <c r="X20" s="177">
        <f ca="1">IFERROR(__xludf.DUMMYFUNCTION("IMPORTRANGE(""https://docs.google.com/spreadsheets/d/1uu4nAn4Dbi1XREnLKKotUANlKXa7yCgRcgq8HEzQYW8/edit?usp=sharing"",""พะเยา!J700"")"),0)</f>
        <v>0</v>
      </c>
      <c r="Y20" s="354">
        <f t="shared" ca="1" si="44"/>
        <v>0</v>
      </c>
      <c r="Z20" s="353">
        <f ca="1">IFERROR(__xludf.DUMMYFUNCTION("IMPORTRANGE(""https://docs.google.com/spreadsheets/d/1uu4nAn4Dbi1XREnLKKotUANlKXa7yCgRcgq8HEzQYW8/edit?usp=sharing"",""พะเยา!I701"")"),74)</f>
        <v>74</v>
      </c>
      <c r="AA20" s="177">
        <f ca="1">IFERROR(__xludf.DUMMYFUNCTION("IMPORTRANGE(""https://docs.google.com/spreadsheets/d/1uu4nAn4Dbi1XREnLKKotUANlKXa7yCgRcgq8HEzQYW8/edit?usp=sharing"",""พะเยา!J701"")"),58)</f>
        <v>58</v>
      </c>
      <c r="AB20" s="177">
        <f ca="1">IFERROR(__xludf.DUMMYFUNCTION("IMPORTRANGE(""https://docs.google.com/spreadsheets/d/1uu4nAn4Dbi1XREnLKKotUANlKXa7yCgRcgq8HEzQYW8/edit?usp=sharing"",""พะเยา!J702"")"),70.64)</f>
        <v>70.64</v>
      </c>
      <c r="AC20" s="354">
        <f t="shared" ca="1" si="46"/>
        <v>78.378378378378372</v>
      </c>
      <c r="AD20" s="353">
        <f ca="1">IFERROR(__xludf.DUMMYFUNCTION("IMPORTRANGE(""https://docs.google.com/spreadsheets/d/1uu4nAn4Dbi1XREnLKKotUANlKXa7yCgRcgq8HEzQYW8/edit?usp=sharing"",""พะเยา!I703"")"),70)</f>
        <v>70</v>
      </c>
      <c r="AE20" s="177">
        <f ca="1">IFERROR(__xludf.DUMMYFUNCTION("IMPORTRANGE(""https://docs.google.com/spreadsheets/d/1uu4nAn4Dbi1XREnLKKotUANlKXa7yCgRcgq8HEzQYW8/edit?usp=sharing"",""พะเยา!J703"")"),58)</f>
        <v>58</v>
      </c>
      <c r="AF20" s="177">
        <f ca="1">IFERROR(__xludf.DUMMYFUNCTION("IMPORTRANGE(""https://docs.google.com/spreadsheets/d/1uu4nAn4Dbi1XREnLKKotUANlKXa7yCgRcgq8HEzQYW8/edit?usp=sharing"",""พะเยา!J704"")"),70.64)</f>
        <v>70.64</v>
      </c>
      <c r="AG20" s="354">
        <f t="shared" ca="1" si="48"/>
        <v>82.857142857142861</v>
      </c>
      <c r="AH20" s="495">
        <f ca="1">IFERROR(__xludf.DUMMYFUNCTION("IMPORTRANGE(""https://docs.google.com/spreadsheets/d/1uu4nAn4Dbi1XREnLKKotUANlKXa7yCgRcgq8HEzQYW8/edit?usp=sharing"",""พะเยา!I705"")"),4)</f>
        <v>4</v>
      </c>
      <c r="AI20" s="496">
        <f ca="1">IFERROR(__xludf.DUMMYFUNCTION("IMPORTRANGE(""https://docs.google.com/spreadsheets/d/1uu4nAn4Dbi1XREnLKKotUANlKXa7yCgRcgq8HEzQYW8/edit?usp=sharing"",""พะเยา!J705"")"),0)</f>
        <v>0</v>
      </c>
      <c r="AJ20" s="496">
        <f ca="1">IFERROR(__xludf.DUMMYFUNCTION("IMPORTRANGE(""https://docs.google.com/spreadsheets/d/1uu4nAn4Dbi1XREnLKKotUANlKXa7yCgRcgq8HEzQYW8/edit?usp=sharing"",""พะเยา!J706"")"),0)</f>
        <v>0</v>
      </c>
      <c r="AK20" s="497">
        <f t="shared" ca="1" si="50"/>
        <v>0</v>
      </c>
      <c r="AL20" s="353">
        <f ca="1">IFERROR(__xludf.DUMMYFUNCTION("IMPORTRANGE(""https://docs.google.com/spreadsheets/d/1uu4nAn4Dbi1XREnLKKotUANlKXa7yCgRcgq8HEzQYW8/edit?usp=sharing"",""พะเยา!I707"")"),70)</f>
        <v>70</v>
      </c>
      <c r="AM20" s="177">
        <f ca="1">IFERROR(__xludf.DUMMYFUNCTION("IMPORTRANGE(""https://docs.google.com/spreadsheets/d/1uu4nAn4Dbi1XREnLKKotUANlKXa7yCgRcgq8HEzQYW8/edit?usp=sharing"",""พะเยา!J707"")"),49)</f>
        <v>49</v>
      </c>
      <c r="AN20" s="177">
        <f ca="1">IFERROR(__xludf.DUMMYFUNCTION("IMPORTRANGE(""https://docs.google.com/spreadsheets/d/1uu4nAn4Dbi1XREnLKKotUANlKXa7yCgRcgq8HEzQYW8/edit?usp=sharing"",""พะเยา!J708"")"),48.45)</f>
        <v>48.45</v>
      </c>
      <c r="AO20" s="354">
        <f t="shared" ca="1" si="52"/>
        <v>70</v>
      </c>
      <c r="AP20" s="495">
        <f ca="1">IFERROR(__xludf.DUMMYFUNCTION("IMPORTRANGE(""https://docs.google.com/spreadsheets/d/1uu4nAn4Dbi1XREnLKKotUANlKXa7yCgRcgq8HEzQYW8/edit?usp=sharing"",""พะเยา!I709"")"),4)</f>
        <v>4</v>
      </c>
      <c r="AQ20" s="496">
        <f ca="1">IFERROR(__xludf.DUMMYFUNCTION("IMPORTRANGE(""https://docs.google.com/spreadsheets/d/1uu4nAn4Dbi1XREnLKKotUANlKXa7yCgRcgq8HEzQYW8/edit?usp=sharing"",""พะเยา!J709"")"),0)</f>
        <v>0</v>
      </c>
      <c r="AR20" s="496">
        <f ca="1">IFERROR(__xludf.DUMMYFUNCTION("IMPORTRANGE(""https://docs.google.com/spreadsheets/d/1uu4nAn4Dbi1XREnLKKotUANlKXa7yCgRcgq8HEzQYW8/edit?usp=sharing"",""พะเยา!J710"")"),0)</f>
        <v>0</v>
      </c>
      <c r="AS20" s="497">
        <f t="shared" ca="1" si="54"/>
        <v>0</v>
      </c>
    </row>
    <row r="21" spans="1:45" ht="24.75" customHeight="1" x14ac:dyDescent="0.3">
      <c r="A21" s="89">
        <v>8</v>
      </c>
      <c r="B21" s="90" t="s">
        <v>47</v>
      </c>
      <c r="C21" s="174">
        <f t="shared" si="32"/>
        <v>0</v>
      </c>
      <c r="D21" s="175">
        <f t="shared" si="55"/>
        <v>0</v>
      </c>
      <c r="E21" s="403">
        <v>0</v>
      </c>
      <c r="F21" s="403">
        <v>0</v>
      </c>
      <c r="G21" s="403">
        <v>0</v>
      </c>
      <c r="H21" s="403">
        <v>0</v>
      </c>
      <c r="I21" s="403">
        <v>0</v>
      </c>
      <c r="J21" s="176">
        <f t="shared" si="34"/>
        <v>0</v>
      </c>
      <c r="K21" s="179">
        <f t="shared" si="35"/>
        <v>0</v>
      </c>
      <c r="L21" s="403">
        <v>0</v>
      </c>
      <c r="M21" s="87">
        <f t="shared" si="36"/>
        <v>0</v>
      </c>
      <c r="N21" s="87">
        <f t="shared" si="37"/>
        <v>0</v>
      </c>
      <c r="O21" s="403">
        <v>0</v>
      </c>
      <c r="P21" s="86">
        <f t="shared" si="38"/>
        <v>0</v>
      </c>
      <c r="Q21" s="87">
        <f t="shared" si="39"/>
        <v>0</v>
      </c>
      <c r="R21" s="87">
        <f ca="1">IFERROR(__xludf.DUMMYFUNCTION("IMPORTRANGE(""https://docs.google.com/spreadsheets/d/1xfJKIQxVOaPDIICqsflNlLu3JacTDk1FP9RH4phX7mI/edit?usp=sharing"",""พิจิตร!Q690"")"),198670)</f>
        <v>198670</v>
      </c>
      <c r="S21" s="87">
        <f ca="1">IFERROR(__xludf.DUMMYFUNCTION("IMPORTRANGE(""https://docs.google.com/spreadsheets/d/1xfJKIQxVOaPDIICqsflNlLu3JacTDk1FP9RH4phX7mI/edit?usp=sharing"",""พิจิตร!R690"")"),0)</f>
        <v>0</v>
      </c>
      <c r="T21" s="87">
        <f ca="1">IFERROR(__xludf.DUMMYFUNCTION("IMPORTRANGE(""https://docs.google.com/spreadsheets/d/1xfJKIQxVOaPDIICqsflNlLu3JacTDk1FP9RH4phX7mI/edit?usp=sharing"",""พิจิตร!S690"")"),8960)</f>
        <v>8960</v>
      </c>
      <c r="U21" s="87">
        <f t="shared" ca="1" si="41"/>
        <v>4.5099914430965926</v>
      </c>
      <c r="V21" s="87">
        <f t="shared" ca="1" si="42"/>
        <v>0</v>
      </c>
      <c r="W21" s="353">
        <f ca="1">IFERROR(__xludf.DUMMYFUNCTION("IMPORTRANGE(""https://docs.google.com/spreadsheets/d/1xfJKIQxVOaPDIICqsflNlLu3JacTDk1FP9RH4phX7mI/edit?usp=sharing"",""พิจิตร!I700"")"),0)</f>
        <v>0</v>
      </c>
      <c r="X21" s="177">
        <f ca="1">IFERROR(__xludf.DUMMYFUNCTION("IMPORTRANGE(""https://docs.google.com/spreadsheets/d/1xfJKIQxVOaPDIICqsflNlLu3JacTDk1FP9RH4phX7mI/edit?usp=sharing"",""พิจิตร!J700"")"),0)</f>
        <v>0</v>
      </c>
      <c r="Y21" s="354">
        <f t="shared" ca="1" si="44"/>
        <v>0</v>
      </c>
      <c r="Z21" s="353">
        <f ca="1">IFERROR(__xludf.DUMMYFUNCTION("IMPORTRANGE(""https://docs.google.com/spreadsheets/d/1xfJKIQxVOaPDIICqsflNlLu3JacTDk1FP9RH4phX7mI/edit?usp=sharing"",""พิจิตร!I701"")"),94)</f>
        <v>94</v>
      </c>
      <c r="AA21" s="177">
        <f ca="1">IFERROR(__xludf.DUMMYFUNCTION("IMPORTRANGE(""https://docs.google.com/spreadsheets/d/1xfJKIQxVOaPDIICqsflNlLu3JacTDk1FP9RH4phX7mI/edit?usp=sharing"",""พิจิตร!J701"")"),57)</f>
        <v>57</v>
      </c>
      <c r="AB21" s="177">
        <f ca="1">IFERROR(__xludf.DUMMYFUNCTION("IMPORTRANGE(""https://docs.google.com/spreadsheets/d/1xfJKIQxVOaPDIICqsflNlLu3JacTDk1FP9RH4phX7mI/edit?usp=sharing"",""พิจิตร!J702"")"),40.3)</f>
        <v>40.299999999999997</v>
      </c>
      <c r="AC21" s="354">
        <f t="shared" ca="1" si="46"/>
        <v>60.638297872340424</v>
      </c>
      <c r="AD21" s="353">
        <f ca="1">IFERROR(__xludf.DUMMYFUNCTION("IMPORTRANGE(""https://docs.google.com/spreadsheets/d/1xfJKIQxVOaPDIICqsflNlLu3JacTDk1FP9RH4phX7mI/edit?usp=sharing"",""พิจิตร!I703"")"),90)</f>
        <v>90</v>
      </c>
      <c r="AE21" s="177">
        <f ca="1">IFERROR(__xludf.DUMMYFUNCTION("IMPORTRANGE(""https://docs.google.com/spreadsheets/d/1xfJKIQxVOaPDIICqsflNlLu3JacTDk1FP9RH4phX7mI/edit?usp=sharing"",""พิจิตร!J703"")"),57)</f>
        <v>57</v>
      </c>
      <c r="AF21" s="177">
        <f ca="1">IFERROR(__xludf.DUMMYFUNCTION("IMPORTRANGE(""https://docs.google.com/spreadsheets/d/1xfJKIQxVOaPDIICqsflNlLu3JacTDk1FP9RH4phX7mI/edit?usp=sharing"",""พิจิตร!J704"")"),40.3)</f>
        <v>40.299999999999997</v>
      </c>
      <c r="AG21" s="354">
        <f t="shared" ca="1" si="48"/>
        <v>63.333333333333336</v>
      </c>
      <c r="AH21" s="495">
        <f ca="1">IFERROR(__xludf.DUMMYFUNCTION("IMPORTRANGE(""https://docs.google.com/spreadsheets/d/1xfJKIQxVOaPDIICqsflNlLu3JacTDk1FP9RH4phX7mI/edit?usp=sharing"",""พิจิตร!I705"")"),4)</f>
        <v>4</v>
      </c>
      <c r="AI21" s="496">
        <f ca="1">IFERROR(__xludf.DUMMYFUNCTION("IMPORTRANGE(""https://docs.google.com/spreadsheets/d/1xfJKIQxVOaPDIICqsflNlLu3JacTDk1FP9RH4phX7mI/edit?usp=sharing"",""พิจิตร!J705"")"),0)</f>
        <v>0</v>
      </c>
      <c r="AJ21" s="496">
        <f ca="1">IFERROR(__xludf.DUMMYFUNCTION("IMPORTRANGE(""https://docs.google.com/spreadsheets/d/1xfJKIQxVOaPDIICqsflNlLu3JacTDk1FP9RH4phX7mI/edit?usp=sharing"",""พิจิตร!J706"")"),0)</f>
        <v>0</v>
      </c>
      <c r="AK21" s="497">
        <f t="shared" ca="1" si="50"/>
        <v>0</v>
      </c>
      <c r="AL21" s="353">
        <f ca="1">IFERROR(__xludf.DUMMYFUNCTION("IMPORTRANGE(""https://docs.google.com/spreadsheets/d/1xfJKIQxVOaPDIICqsflNlLu3JacTDk1FP9RH4phX7mI/edit?usp=sharing"",""พิจิตร!I707"")"),90)</f>
        <v>90</v>
      </c>
      <c r="AM21" s="177">
        <f ca="1">IFERROR(__xludf.DUMMYFUNCTION("IMPORTRANGE(""https://docs.google.com/spreadsheets/d/1xfJKIQxVOaPDIICqsflNlLu3JacTDk1FP9RH4phX7mI/edit?usp=sharing"",""พิจิตร!J707"")"),30)</f>
        <v>30</v>
      </c>
      <c r="AN21" s="177">
        <f ca="1">IFERROR(__xludf.DUMMYFUNCTION("IMPORTRANGE(""https://docs.google.com/spreadsheets/d/1xfJKIQxVOaPDIICqsflNlLu3JacTDk1FP9RH4phX7mI/edit?usp=sharing"",""พิจิตร!J708"")"),17)</f>
        <v>17</v>
      </c>
      <c r="AO21" s="354">
        <f t="shared" ca="1" si="52"/>
        <v>33.333333333333336</v>
      </c>
      <c r="AP21" s="495">
        <f ca="1">IFERROR(__xludf.DUMMYFUNCTION("IMPORTRANGE(""https://docs.google.com/spreadsheets/d/1xfJKIQxVOaPDIICqsflNlLu3JacTDk1FP9RH4phX7mI/edit?usp=sharing"",""พิจิตร!I709"")"),4)</f>
        <v>4</v>
      </c>
      <c r="AQ21" s="496">
        <f ca="1">IFERROR(__xludf.DUMMYFUNCTION("IMPORTRANGE(""https://docs.google.com/spreadsheets/d/1xfJKIQxVOaPDIICqsflNlLu3JacTDk1FP9RH4phX7mI/edit?usp=sharing"",""พิจิตร!J709"")"),0)</f>
        <v>0</v>
      </c>
      <c r="AR21" s="496">
        <f ca="1">IFERROR(__xludf.DUMMYFUNCTION("IMPORTRANGE(""https://docs.google.com/spreadsheets/d/1xfJKIQxVOaPDIICqsflNlLu3JacTDk1FP9RH4phX7mI/edit?usp=sharing"",""พิจิตร!J710"")"),0)</f>
        <v>0</v>
      </c>
      <c r="AS21" s="497">
        <f t="shared" ca="1" si="54"/>
        <v>0</v>
      </c>
    </row>
    <row r="22" spans="1:45" ht="24.75" customHeight="1" x14ac:dyDescent="0.3">
      <c r="A22" s="89">
        <v>9</v>
      </c>
      <c r="B22" s="90" t="s">
        <v>48</v>
      </c>
      <c r="C22" s="174">
        <f t="shared" si="32"/>
        <v>0</v>
      </c>
      <c r="D22" s="175">
        <f t="shared" si="55"/>
        <v>0</v>
      </c>
      <c r="E22" s="403">
        <v>0</v>
      </c>
      <c r="F22" s="403">
        <v>0</v>
      </c>
      <c r="G22" s="403">
        <v>0</v>
      </c>
      <c r="H22" s="403">
        <v>0</v>
      </c>
      <c r="I22" s="403">
        <v>0</v>
      </c>
      <c r="J22" s="176">
        <f t="shared" si="34"/>
        <v>0</v>
      </c>
      <c r="K22" s="179">
        <f t="shared" si="35"/>
        <v>0</v>
      </c>
      <c r="L22" s="403">
        <v>0</v>
      </c>
      <c r="M22" s="87">
        <f t="shared" si="36"/>
        <v>0</v>
      </c>
      <c r="N22" s="87">
        <f t="shared" si="37"/>
        <v>0</v>
      </c>
      <c r="O22" s="403">
        <v>0</v>
      </c>
      <c r="P22" s="86">
        <f t="shared" si="38"/>
        <v>0</v>
      </c>
      <c r="Q22" s="87">
        <f t="shared" si="39"/>
        <v>0</v>
      </c>
      <c r="R22" s="87">
        <f ca="1">IFERROR(__xludf.DUMMYFUNCTION("IMPORTRANGE(""https://docs.google.com/spreadsheets/d/1JtRfZkJMHtEhI5RdRHxYUG4FIZHqKDpNyIuN7A1Q0_k/edit?usp=sharing"",""พิษณุโลก!Q690"")"),206850)</f>
        <v>206850</v>
      </c>
      <c r="S22" s="87">
        <f ca="1">IFERROR(__xludf.DUMMYFUNCTION("IMPORTRANGE(""https://docs.google.com/spreadsheets/d/1JtRfZkJMHtEhI5RdRHxYUG4FIZHqKDpNyIuN7A1Q0_k/edit?usp=sharing"",""พิษณุโลก!R690"")"),0)</f>
        <v>0</v>
      </c>
      <c r="T22" s="87">
        <f ca="1">IFERROR(__xludf.DUMMYFUNCTION("IMPORTRANGE(""https://docs.google.com/spreadsheets/d/1JtRfZkJMHtEhI5RdRHxYUG4FIZHqKDpNyIuN7A1Q0_k/edit?usp=sharing"",""พิษณุโลก!S690"")"),0)</f>
        <v>0</v>
      </c>
      <c r="U22" s="87">
        <f t="shared" ca="1" si="41"/>
        <v>0</v>
      </c>
      <c r="V22" s="87">
        <f t="shared" ca="1" si="42"/>
        <v>0</v>
      </c>
      <c r="W22" s="353">
        <f ca="1">IFERROR(__xludf.DUMMYFUNCTION("IMPORTRANGE(""https://docs.google.com/spreadsheets/d/1JtRfZkJMHtEhI5RdRHxYUG4FIZHqKDpNyIuN7A1Q0_k/edit?usp=sharing"",""พิษณุโลก!I700"")"),0)</f>
        <v>0</v>
      </c>
      <c r="X22" s="177">
        <f ca="1">IFERROR(__xludf.DUMMYFUNCTION("IMPORTRANGE(""https://docs.google.com/spreadsheets/d/1JtRfZkJMHtEhI5RdRHxYUG4FIZHqKDpNyIuN7A1Q0_k/edit?usp=sharing"",""พิษณุโลก!J700"")"),0)</f>
        <v>0</v>
      </c>
      <c r="Y22" s="354">
        <f t="shared" ca="1" si="44"/>
        <v>0</v>
      </c>
      <c r="Z22" s="353">
        <f ca="1">IFERROR(__xludf.DUMMYFUNCTION("IMPORTRANGE(""https://docs.google.com/spreadsheets/d/1JtRfZkJMHtEhI5RdRHxYUG4FIZHqKDpNyIuN7A1Q0_k/edit?usp=sharing"",""พิษณุโลก!I701"")"),98)</f>
        <v>98</v>
      </c>
      <c r="AA22" s="177">
        <f ca="1">IFERROR(__xludf.DUMMYFUNCTION("IMPORTRANGE(""https://docs.google.com/spreadsheets/d/1JtRfZkJMHtEhI5RdRHxYUG4FIZHqKDpNyIuN7A1Q0_k/edit?usp=sharing"",""พิษณุโลก!J701"")"),0)</f>
        <v>0</v>
      </c>
      <c r="AB22" s="177">
        <f ca="1">IFERROR(__xludf.DUMMYFUNCTION("IMPORTRANGE(""https://docs.google.com/spreadsheets/d/1JtRfZkJMHtEhI5RdRHxYUG4FIZHqKDpNyIuN7A1Q0_k/edit?usp=sharing"",""พิษณุโลก!J702"")"),0)</f>
        <v>0</v>
      </c>
      <c r="AC22" s="354">
        <f t="shared" ca="1" si="46"/>
        <v>0</v>
      </c>
      <c r="AD22" s="353">
        <f ca="1">IFERROR(__xludf.DUMMYFUNCTION("IMPORTRANGE(""https://docs.google.com/spreadsheets/d/1JtRfZkJMHtEhI5RdRHxYUG4FIZHqKDpNyIuN7A1Q0_k/edit?usp=sharing"",""พิษณุโลก!I703"")"),93)</f>
        <v>93</v>
      </c>
      <c r="AE22" s="177">
        <f ca="1">IFERROR(__xludf.DUMMYFUNCTION("IMPORTRANGE(""https://docs.google.com/spreadsheets/d/1JtRfZkJMHtEhI5RdRHxYUG4FIZHqKDpNyIuN7A1Q0_k/edit?usp=sharing"",""พิษณุโลก!J703"")"),0)</f>
        <v>0</v>
      </c>
      <c r="AF22" s="177">
        <f ca="1">IFERROR(__xludf.DUMMYFUNCTION("IMPORTRANGE(""https://docs.google.com/spreadsheets/d/1JtRfZkJMHtEhI5RdRHxYUG4FIZHqKDpNyIuN7A1Q0_k/edit?usp=sharing"",""พิษณุโลก!J704"")"),0)</f>
        <v>0</v>
      </c>
      <c r="AG22" s="354">
        <f t="shared" ca="1" si="48"/>
        <v>0</v>
      </c>
      <c r="AH22" s="495">
        <f ca="1">IFERROR(__xludf.DUMMYFUNCTION("IMPORTRANGE(""https://docs.google.com/spreadsheets/d/1JtRfZkJMHtEhI5RdRHxYUG4FIZHqKDpNyIuN7A1Q0_k/edit?usp=sharing"",""พิษณุโลก!I705"")"),5)</f>
        <v>5</v>
      </c>
      <c r="AI22" s="496">
        <f ca="1">IFERROR(__xludf.DUMMYFUNCTION("IMPORTRANGE(""https://docs.google.com/spreadsheets/d/1JtRfZkJMHtEhI5RdRHxYUG4FIZHqKDpNyIuN7A1Q0_k/edit?usp=sharing"",""พิษณุโลก!J705"")"),0)</f>
        <v>0</v>
      </c>
      <c r="AJ22" s="496">
        <f ca="1">IFERROR(__xludf.DUMMYFUNCTION("IMPORTRANGE(""https://docs.google.com/spreadsheets/d/1JtRfZkJMHtEhI5RdRHxYUG4FIZHqKDpNyIuN7A1Q0_k/edit?usp=sharing"",""พิษณุโลก!J706"")"),0)</f>
        <v>0</v>
      </c>
      <c r="AK22" s="497">
        <f t="shared" ca="1" si="50"/>
        <v>0</v>
      </c>
      <c r="AL22" s="353">
        <f ca="1">IFERROR(__xludf.DUMMYFUNCTION("IMPORTRANGE(""https://docs.google.com/spreadsheets/d/1JtRfZkJMHtEhI5RdRHxYUG4FIZHqKDpNyIuN7A1Q0_k/edit?usp=sharing"",""พิษณุโลก!I707"")"),93)</f>
        <v>93</v>
      </c>
      <c r="AM22" s="177">
        <f ca="1">IFERROR(__xludf.DUMMYFUNCTION("IMPORTRANGE(""https://docs.google.com/spreadsheets/d/1JtRfZkJMHtEhI5RdRHxYUG4FIZHqKDpNyIuN7A1Q0_k/edit?usp=sharing"",""พิษณุโลก!J707"")"),0)</f>
        <v>0</v>
      </c>
      <c r="AN22" s="177">
        <f ca="1">IFERROR(__xludf.DUMMYFUNCTION("IMPORTRANGE(""https://docs.google.com/spreadsheets/d/1JtRfZkJMHtEhI5RdRHxYUG4FIZHqKDpNyIuN7A1Q0_k/edit?usp=sharing"",""พิษณุโลก!J708"")"),0)</f>
        <v>0</v>
      </c>
      <c r="AO22" s="354">
        <f t="shared" ca="1" si="52"/>
        <v>0</v>
      </c>
      <c r="AP22" s="495">
        <f ca="1">IFERROR(__xludf.DUMMYFUNCTION("IMPORTRANGE(""https://docs.google.com/spreadsheets/d/1JtRfZkJMHtEhI5RdRHxYUG4FIZHqKDpNyIuN7A1Q0_k/edit?usp=sharing"",""พิษณุโลก!I709"")"),5)</f>
        <v>5</v>
      </c>
      <c r="AQ22" s="496">
        <f ca="1">IFERROR(__xludf.DUMMYFUNCTION("IMPORTRANGE(""https://docs.google.com/spreadsheets/d/1JtRfZkJMHtEhI5RdRHxYUG4FIZHqKDpNyIuN7A1Q0_k/edit?usp=sharing"",""พิษณุโลก!J709"")"),0)</f>
        <v>0</v>
      </c>
      <c r="AR22" s="496">
        <f ca="1">IFERROR(__xludf.DUMMYFUNCTION("IMPORTRANGE(""https://docs.google.com/spreadsheets/d/1JtRfZkJMHtEhI5RdRHxYUG4FIZHqKDpNyIuN7A1Q0_k/edit?usp=sharing"",""พิษณุโลก!J710"")"),0)</f>
        <v>0</v>
      </c>
      <c r="AS22" s="497">
        <f t="shared" ca="1" si="54"/>
        <v>0</v>
      </c>
    </row>
    <row r="23" spans="1:45" ht="24.75" customHeight="1" x14ac:dyDescent="0.3">
      <c r="A23" s="89">
        <v>10</v>
      </c>
      <c r="B23" s="90" t="s">
        <v>49</v>
      </c>
      <c r="C23" s="174">
        <f t="shared" si="32"/>
        <v>0</v>
      </c>
      <c r="D23" s="175">
        <f t="shared" si="55"/>
        <v>0</v>
      </c>
      <c r="E23" s="403">
        <v>0</v>
      </c>
      <c r="F23" s="403">
        <v>0</v>
      </c>
      <c r="G23" s="403">
        <v>0</v>
      </c>
      <c r="H23" s="403">
        <v>0</v>
      </c>
      <c r="I23" s="403">
        <v>0</v>
      </c>
      <c r="J23" s="176">
        <f t="shared" si="34"/>
        <v>0</v>
      </c>
      <c r="K23" s="179">
        <f t="shared" si="35"/>
        <v>0</v>
      </c>
      <c r="L23" s="403">
        <v>0</v>
      </c>
      <c r="M23" s="87">
        <f t="shared" si="36"/>
        <v>0</v>
      </c>
      <c r="N23" s="87">
        <f t="shared" si="37"/>
        <v>0</v>
      </c>
      <c r="O23" s="403">
        <v>0</v>
      </c>
      <c r="P23" s="86">
        <f t="shared" si="38"/>
        <v>0</v>
      </c>
      <c r="Q23" s="87">
        <f t="shared" si="39"/>
        <v>0</v>
      </c>
      <c r="R23" s="87">
        <f ca="1">IFERROR(__xludf.DUMMYFUNCTION("IMPORTRANGE(""https://docs.google.com/spreadsheets/d/1xlcVZWUNn6SuWm0c307h32SiGkd9BaeQWlAktfD3KO8/edit?usp=sharing"",""เพชรบูรณ์!Q690"")"),324340)</f>
        <v>324340</v>
      </c>
      <c r="S23" s="87">
        <f ca="1">IFERROR(__xludf.DUMMYFUNCTION("IMPORTRANGE(""https://docs.google.com/spreadsheets/d/1xlcVZWUNn6SuWm0c307h32SiGkd9BaeQWlAktfD3KO8/edit?usp=sharing"",""เพชรบูรณ์!R690"")"),0)</f>
        <v>0</v>
      </c>
      <c r="T23" s="87">
        <f ca="1">IFERROR(__xludf.DUMMYFUNCTION("IMPORTRANGE(""https://docs.google.com/spreadsheets/d/1xlcVZWUNn6SuWm0c307h32SiGkd9BaeQWlAktfD3KO8/edit?usp=sharing"",""เพชรบูรณ์!S690"")"),17440)</f>
        <v>17440</v>
      </c>
      <c r="U23" s="87">
        <f t="shared" ca="1" si="41"/>
        <v>5.3770734414503298</v>
      </c>
      <c r="V23" s="87">
        <f t="shared" ca="1" si="42"/>
        <v>0</v>
      </c>
      <c r="W23" s="353">
        <f ca="1">IFERROR(__xludf.DUMMYFUNCTION("IMPORTRANGE(""https://docs.google.com/spreadsheets/d/1xlcVZWUNn6SuWm0c307h32SiGkd9BaeQWlAktfD3KO8/edit?usp=sharing"",""เพชรบูรณ์!I700"")"),0)</f>
        <v>0</v>
      </c>
      <c r="X23" s="452">
        <f ca="1">IFERROR(__xludf.DUMMYFUNCTION("IMPORTRANGE(""https://docs.google.com/spreadsheets/d/1xlcVZWUNn6SuWm0c307h32SiGkd9BaeQWlAktfD3KO8/edit?usp=sharing"",""เพชรบูรณ์!J700"")"),0)</f>
        <v>0</v>
      </c>
      <c r="Y23" s="354">
        <f t="shared" ca="1" si="44"/>
        <v>0</v>
      </c>
      <c r="Z23" s="353">
        <f ca="1">IFERROR(__xludf.DUMMYFUNCTION("IMPORTRANGE(""https://docs.google.com/spreadsheets/d/1xlcVZWUNn6SuWm0c307h32SiGkd9BaeQWlAktfD3KO8/edit?usp=sharing"",""เพชรบูรณ์!I701"")"),204)</f>
        <v>204</v>
      </c>
      <c r="AA23" s="452">
        <f ca="1">IFERROR(__xludf.DUMMYFUNCTION("IMPORTRANGE(""https://docs.google.com/spreadsheets/d/1xlcVZWUNn6SuWm0c307h32SiGkd9BaeQWlAktfD3KO8/edit?usp=sharing"",""เพชรบูรณ์!J701"")"),0)</f>
        <v>0</v>
      </c>
      <c r="AB23" s="452">
        <f ca="1">IFERROR(__xludf.DUMMYFUNCTION("IMPORTRANGE(""https://docs.google.com/spreadsheets/d/1xlcVZWUNn6SuWm0c307h32SiGkd9BaeQWlAktfD3KO8/edit?usp=sharing"",""เพชรบูรณ์!J702"")"),0)</f>
        <v>0</v>
      </c>
      <c r="AC23" s="354">
        <f t="shared" ca="1" si="46"/>
        <v>0</v>
      </c>
      <c r="AD23" s="353">
        <f ca="1">IFERROR(__xludf.DUMMYFUNCTION("IMPORTRANGE(""https://docs.google.com/spreadsheets/d/1xlcVZWUNn6SuWm0c307h32SiGkd9BaeQWlAktfD3KO8/edit?usp=sharing"",""เพชรบูรณ์!I703"")"),200)</f>
        <v>200</v>
      </c>
      <c r="AE23" s="452">
        <f ca="1">IFERROR(__xludf.DUMMYFUNCTION("IMPORTRANGE(""https://docs.google.com/spreadsheets/d/1xlcVZWUNn6SuWm0c307h32SiGkd9BaeQWlAktfD3KO8/edit?usp=sharing"",""เพชรบูรณ์!J703"")"),0)</f>
        <v>0</v>
      </c>
      <c r="AF23" s="452">
        <f ca="1">IFERROR(__xludf.DUMMYFUNCTION("IMPORTRANGE(""https://docs.google.com/spreadsheets/d/1xlcVZWUNn6SuWm0c307h32SiGkd9BaeQWlAktfD3KO8/edit?usp=sharing"",""เพชรบูรณ์!J704"")"),0)</f>
        <v>0</v>
      </c>
      <c r="AG23" s="354">
        <f t="shared" ca="1" si="48"/>
        <v>0</v>
      </c>
      <c r="AH23" s="495">
        <f ca="1">IFERROR(__xludf.DUMMYFUNCTION("IMPORTRANGE(""https://docs.google.com/spreadsheets/d/1xlcVZWUNn6SuWm0c307h32SiGkd9BaeQWlAktfD3KO8/edit?usp=sharing"",""เพชรบูรณ์!I705"")"),4)</f>
        <v>4</v>
      </c>
      <c r="AI23" s="496">
        <f ca="1">IFERROR(__xludf.DUMMYFUNCTION("IMPORTRANGE(""https://docs.google.com/spreadsheets/d/1xlcVZWUNn6SuWm0c307h32SiGkd9BaeQWlAktfD3KO8/edit?usp=sharing"",""เพชรบูรณ์!J705"")"),0)</f>
        <v>0</v>
      </c>
      <c r="AJ23" s="496">
        <f ca="1">IFERROR(__xludf.DUMMYFUNCTION("IMPORTRANGE(""https://docs.google.com/spreadsheets/d/1xlcVZWUNn6SuWm0c307h32SiGkd9BaeQWlAktfD3KO8/edit?usp=sharing"",""เพชรบูรณ์!J706"")"),0)</f>
        <v>0</v>
      </c>
      <c r="AK23" s="497">
        <f t="shared" ca="1" si="50"/>
        <v>0</v>
      </c>
      <c r="AL23" s="353">
        <f ca="1">IFERROR(__xludf.DUMMYFUNCTION("IMPORTRANGE(""https://docs.google.com/spreadsheets/d/1xlcVZWUNn6SuWm0c307h32SiGkd9BaeQWlAktfD3KO8/edit?usp=sharing"",""เพชรบูรณ์!I707"")"),200)</f>
        <v>200</v>
      </c>
      <c r="AM23" s="452">
        <f ca="1">IFERROR(__xludf.DUMMYFUNCTION("IMPORTRANGE(""https://docs.google.com/spreadsheets/d/1xlcVZWUNn6SuWm0c307h32SiGkd9BaeQWlAktfD3KO8/edit?usp=sharing"",""เพชรบูรณ์!J707"")"),0)</f>
        <v>0</v>
      </c>
      <c r="AN23" s="452">
        <f ca="1">IFERROR(__xludf.DUMMYFUNCTION("IMPORTRANGE(""https://docs.google.com/spreadsheets/d/1xlcVZWUNn6SuWm0c307h32SiGkd9BaeQWlAktfD3KO8/edit?usp=sharing"",""เพชรบูรณ์!J708"")"),0)</f>
        <v>0</v>
      </c>
      <c r="AO23" s="354">
        <f t="shared" ca="1" si="52"/>
        <v>0</v>
      </c>
      <c r="AP23" s="495">
        <f ca="1">IFERROR(__xludf.DUMMYFUNCTION("IMPORTRANGE(""https://docs.google.com/spreadsheets/d/1xlcVZWUNn6SuWm0c307h32SiGkd9BaeQWlAktfD3KO8/edit?usp=sharing"",""เพชรบูรณ์!I709"")"),4)</f>
        <v>4</v>
      </c>
      <c r="AQ23" s="496">
        <f ca="1">IFERROR(__xludf.DUMMYFUNCTION("IMPORTRANGE(""https://docs.google.com/spreadsheets/d/1xlcVZWUNn6SuWm0c307h32SiGkd9BaeQWlAktfD3KO8/edit?usp=sharing"",""เพชรบูรณ์!J709"")"),0)</f>
        <v>0</v>
      </c>
      <c r="AR23" s="496">
        <f ca="1">IFERROR(__xludf.DUMMYFUNCTION("IMPORTRANGE(""https://docs.google.com/spreadsheets/d/1xlcVZWUNn6SuWm0c307h32SiGkd9BaeQWlAktfD3KO8/edit?usp=sharing"",""เพชรบูรณ์!J710"")"),0)</f>
        <v>0</v>
      </c>
      <c r="AS23" s="497">
        <f t="shared" ca="1" si="54"/>
        <v>0</v>
      </c>
    </row>
    <row r="24" spans="1:45" ht="24.75" customHeight="1" x14ac:dyDescent="0.3">
      <c r="A24" s="89">
        <v>11</v>
      </c>
      <c r="B24" s="90" t="s">
        <v>50</v>
      </c>
      <c r="C24" s="174">
        <f t="shared" si="32"/>
        <v>0</v>
      </c>
      <c r="D24" s="175">
        <f t="shared" si="55"/>
        <v>0</v>
      </c>
      <c r="E24" s="403">
        <v>0</v>
      </c>
      <c r="F24" s="403">
        <v>0</v>
      </c>
      <c r="G24" s="403">
        <v>0</v>
      </c>
      <c r="H24" s="403">
        <v>0</v>
      </c>
      <c r="I24" s="403">
        <v>0</v>
      </c>
      <c r="J24" s="176">
        <f t="shared" si="34"/>
        <v>0</v>
      </c>
      <c r="K24" s="179">
        <f t="shared" si="35"/>
        <v>0</v>
      </c>
      <c r="L24" s="403">
        <v>0</v>
      </c>
      <c r="M24" s="87">
        <f t="shared" si="36"/>
        <v>0</v>
      </c>
      <c r="N24" s="87">
        <f t="shared" si="37"/>
        <v>0</v>
      </c>
      <c r="O24" s="403">
        <v>0</v>
      </c>
      <c r="P24" s="86">
        <f t="shared" si="38"/>
        <v>0</v>
      </c>
      <c r="Q24" s="87">
        <f t="shared" si="39"/>
        <v>0</v>
      </c>
      <c r="R24" s="87">
        <f ca="1">IFERROR(__xludf.DUMMYFUNCTION("IMPORTRANGE(""https://docs.google.com/spreadsheets/d/1lOVebEIsI9qjGXl6EX66luk7wiuP2tBaryw-wKvv4e0/edit?usp=sharing"",""แพร่!Q690"")"),144340)</f>
        <v>144340</v>
      </c>
      <c r="S24" s="87">
        <f ca="1">IFERROR(__xludf.DUMMYFUNCTION("IMPORTRANGE(""https://docs.google.com/spreadsheets/d/1lOVebEIsI9qjGXl6EX66luk7wiuP2tBaryw-wKvv4e0/edit?usp=sharing"",""แพร่!R690"")"),0)</f>
        <v>0</v>
      </c>
      <c r="T24" s="87">
        <f ca="1">IFERROR(__xludf.DUMMYFUNCTION("IMPORTRANGE(""https://docs.google.com/spreadsheets/d/1lOVebEIsI9qjGXl6EX66luk7wiuP2tBaryw-wKvv4e0/edit?usp=sharing"",""แพร่!S690"")"),0)</f>
        <v>0</v>
      </c>
      <c r="U24" s="87">
        <f t="shared" ca="1" si="41"/>
        <v>0</v>
      </c>
      <c r="V24" s="87">
        <f t="shared" ca="1" si="42"/>
        <v>0</v>
      </c>
      <c r="W24" s="353">
        <f ca="1">IFERROR(__xludf.DUMMYFUNCTION("IMPORTRANGE(""https://docs.google.com/spreadsheets/d/1lOVebEIsI9qjGXl6EX66luk7wiuP2tBaryw-wKvv4e0/edit?usp=sharing"",""แพร่!I700"")"),0)</f>
        <v>0</v>
      </c>
      <c r="X24" s="177">
        <f ca="1">IFERROR(__xludf.DUMMYFUNCTION("IMPORTRANGE(""https://docs.google.com/spreadsheets/d/1lOVebEIsI9qjGXl6EX66luk7wiuP2tBaryw-wKvv4e0/edit?usp=sharing"",""แพร่!J700"")"),0)</f>
        <v>0</v>
      </c>
      <c r="Y24" s="354">
        <f t="shared" ca="1" si="44"/>
        <v>0</v>
      </c>
      <c r="Z24" s="353">
        <f ca="1">IFERROR(__xludf.DUMMYFUNCTION("IMPORTRANGE(""https://docs.google.com/spreadsheets/d/1lOVebEIsI9qjGXl6EX66luk7wiuP2tBaryw-wKvv4e0/edit?usp=sharing"",""แพร่!I701"")"),55)</f>
        <v>55</v>
      </c>
      <c r="AA24" s="177">
        <f ca="1">IFERROR(__xludf.DUMMYFUNCTION("IMPORTRANGE(""https://docs.google.com/spreadsheets/d/1lOVebEIsI9qjGXl6EX66luk7wiuP2tBaryw-wKvv4e0/edit?usp=sharing"",""แพร่!J701"")"),0)</f>
        <v>0</v>
      </c>
      <c r="AB24" s="177">
        <f ca="1">IFERROR(__xludf.DUMMYFUNCTION("IMPORTRANGE(""https://docs.google.com/spreadsheets/d/1lOVebEIsI9qjGXl6EX66luk7wiuP2tBaryw-wKvv4e0/edit?usp=sharing"",""แพร่!J702"")"),0)</f>
        <v>0</v>
      </c>
      <c r="AC24" s="354">
        <f t="shared" ca="1" si="46"/>
        <v>0</v>
      </c>
      <c r="AD24" s="353">
        <f ca="1">IFERROR(__xludf.DUMMYFUNCTION("IMPORTRANGE(""https://docs.google.com/spreadsheets/d/1lOVebEIsI9qjGXl6EX66luk7wiuP2tBaryw-wKvv4e0/edit?usp=sharing"",""แพร่!I703"")"),52)</f>
        <v>52</v>
      </c>
      <c r="AE24" s="177">
        <f ca="1">IFERROR(__xludf.DUMMYFUNCTION("IMPORTRANGE(""https://docs.google.com/spreadsheets/d/1lOVebEIsI9qjGXl6EX66luk7wiuP2tBaryw-wKvv4e0/edit?usp=sharing"",""แพร่!J703"")"),0)</f>
        <v>0</v>
      </c>
      <c r="AF24" s="177">
        <f ca="1">IFERROR(__xludf.DUMMYFUNCTION("IMPORTRANGE(""https://docs.google.com/spreadsheets/d/1lOVebEIsI9qjGXl6EX66luk7wiuP2tBaryw-wKvv4e0/edit?usp=sharing"",""แพร่!J704"")"),0)</f>
        <v>0</v>
      </c>
      <c r="AG24" s="354">
        <f t="shared" ca="1" si="48"/>
        <v>0</v>
      </c>
      <c r="AH24" s="495">
        <f ca="1">IFERROR(__xludf.DUMMYFUNCTION("IMPORTRANGE(""https://docs.google.com/spreadsheets/d/1lOVebEIsI9qjGXl6EX66luk7wiuP2tBaryw-wKvv4e0/edit?usp=sharing"",""แพร่!I705"")"),3)</f>
        <v>3</v>
      </c>
      <c r="AI24" s="496">
        <f ca="1">IFERROR(__xludf.DUMMYFUNCTION("IMPORTRANGE(""https://docs.google.com/spreadsheets/d/1lOVebEIsI9qjGXl6EX66luk7wiuP2tBaryw-wKvv4e0/edit?usp=sharing"",""แพร่!J705"")"),0)</f>
        <v>0</v>
      </c>
      <c r="AJ24" s="496">
        <f ca="1">IFERROR(__xludf.DUMMYFUNCTION("IMPORTRANGE(""https://docs.google.com/spreadsheets/d/1lOVebEIsI9qjGXl6EX66luk7wiuP2tBaryw-wKvv4e0/edit?usp=sharing"",""แพร่!J706"")"),0)</f>
        <v>0</v>
      </c>
      <c r="AK24" s="497">
        <f t="shared" ca="1" si="50"/>
        <v>0</v>
      </c>
      <c r="AL24" s="353">
        <f ca="1">IFERROR(__xludf.DUMMYFUNCTION("IMPORTRANGE(""https://docs.google.com/spreadsheets/d/1lOVebEIsI9qjGXl6EX66luk7wiuP2tBaryw-wKvv4e0/edit?usp=sharing"",""แพร่!I707"")"),52)</f>
        <v>52</v>
      </c>
      <c r="AM24" s="177">
        <f ca="1">IFERROR(__xludf.DUMMYFUNCTION("IMPORTRANGE(""https://docs.google.com/spreadsheets/d/1lOVebEIsI9qjGXl6EX66luk7wiuP2tBaryw-wKvv4e0/edit?usp=sharing"",""แพร่!J707"")"),0)</f>
        <v>0</v>
      </c>
      <c r="AN24" s="177">
        <f ca="1">IFERROR(__xludf.DUMMYFUNCTION("IMPORTRANGE(""https://docs.google.com/spreadsheets/d/1lOVebEIsI9qjGXl6EX66luk7wiuP2tBaryw-wKvv4e0/edit?usp=sharing"",""แพร่!J708"")"),0)</f>
        <v>0</v>
      </c>
      <c r="AO24" s="354">
        <f t="shared" ca="1" si="52"/>
        <v>0</v>
      </c>
      <c r="AP24" s="495">
        <f ca="1">IFERROR(__xludf.DUMMYFUNCTION("IMPORTRANGE(""https://docs.google.com/spreadsheets/d/1lOVebEIsI9qjGXl6EX66luk7wiuP2tBaryw-wKvv4e0/edit?usp=sharing"",""แพร่!I709"")"),3)</f>
        <v>3</v>
      </c>
      <c r="AQ24" s="496">
        <f ca="1">IFERROR(__xludf.DUMMYFUNCTION("IMPORTRANGE(""https://docs.google.com/spreadsheets/d/1lOVebEIsI9qjGXl6EX66luk7wiuP2tBaryw-wKvv4e0/edit?usp=sharing"",""แพร่!J709"")"),0)</f>
        <v>0</v>
      </c>
      <c r="AR24" s="496">
        <f ca="1">IFERROR(__xludf.DUMMYFUNCTION("IMPORTRANGE(""https://docs.google.com/spreadsheets/d/1lOVebEIsI9qjGXl6EX66luk7wiuP2tBaryw-wKvv4e0/edit?usp=sharing"",""แพร่!J710"")"),0)</f>
        <v>0</v>
      </c>
      <c r="AS24" s="497">
        <f t="shared" ca="1" si="54"/>
        <v>0</v>
      </c>
    </row>
    <row r="25" spans="1:45" ht="24.75" customHeight="1" x14ac:dyDescent="0.3">
      <c r="A25" s="89">
        <v>12</v>
      </c>
      <c r="B25" s="90" t="s">
        <v>51</v>
      </c>
      <c r="C25" s="174">
        <f t="shared" si="32"/>
        <v>0</v>
      </c>
      <c r="D25" s="175">
        <f t="shared" si="55"/>
        <v>0</v>
      </c>
      <c r="E25" s="403">
        <v>0</v>
      </c>
      <c r="F25" s="403">
        <v>0</v>
      </c>
      <c r="G25" s="403">
        <v>0</v>
      </c>
      <c r="H25" s="403">
        <v>0</v>
      </c>
      <c r="I25" s="403">
        <v>0</v>
      </c>
      <c r="J25" s="176">
        <f t="shared" si="34"/>
        <v>0</v>
      </c>
      <c r="K25" s="179">
        <f t="shared" si="35"/>
        <v>0</v>
      </c>
      <c r="L25" s="403">
        <v>0</v>
      </c>
      <c r="M25" s="87">
        <f t="shared" si="36"/>
        <v>0</v>
      </c>
      <c r="N25" s="87">
        <f t="shared" si="37"/>
        <v>0</v>
      </c>
      <c r="O25" s="403">
        <v>0</v>
      </c>
      <c r="P25" s="86">
        <f t="shared" si="38"/>
        <v>0</v>
      </c>
      <c r="Q25" s="87">
        <f t="shared" si="39"/>
        <v>0</v>
      </c>
      <c r="R25" s="87">
        <f ca="1">IFERROR(__xludf.DUMMYFUNCTION("IMPORTRANGE(""https://docs.google.com/spreadsheets/d/1dQrvX0vEcN7Gu0fnZ0B5S90AeR19zth4XlExFBeExMY/edit?usp=sharing"",""แม่ฮ่องสอน!Q690"")"),97970)</f>
        <v>97970</v>
      </c>
      <c r="S25" s="87">
        <f ca="1">IFERROR(__xludf.DUMMYFUNCTION("IMPORTRANGE(""https://docs.google.com/spreadsheets/d/1dQrvX0vEcN7Gu0fnZ0B5S90AeR19zth4XlExFBeExMY/edit?usp=sharing"",""แม่ฮ่องสอน!R690"")"),0)</f>
        <v>0</v>
      </c>
      <c r="T25" s="87">
        <f ca="1">IFERROR(__xludf.DUMMYFUNCTION("IMPORTRANGE(""https://docs.google.com/spreadsheets/d/1dQrvX0vEcN7Gu0fnZ0B5S90AeR19zth4XlExFBeExMY/edit?usp=sharing"",""แม่ฮ่องสอน!S690"")"),0)</f>
        <v>0</v>
      </c>
      <c r="U25" s="87">
        <f t="shared" ca="1" si="41"/>
        <v>0</v>
      </c>
      <c r="V25" s="87">
        <f t="shared" ca="1" si="42"/>
        <v>0</v>
      </c>
      <c r="W25" s="353">
        <f ca="1">IFERROR(__xludf.DUMMYFUNCTION("IMPORTRANGE(""https://docs.google.com/spreadsheets/d/1dQrvX0vEcN7Gu0fnZ0B5S90AeR19zth4XlExFBeExMY/edit?usp=sharing"",""แม่ฮ่องสอน!I700"")"),1)</f>
        <v>1</v>
      </c>
      <c r="X25" s="177">
        <f ca="1">IFERROR(__xludf.DUMMYFUNCTION("IMPORTRANGE(""https://docs.google.com/spreadsheets/d/1dQrvX0vEcN7Gu0fnZ0B5S90AeR19zth4XlExFBeExMY/edit?usp=sharing"",""แม่ฮ่องสอน!J700"")"),0)</f>
        <v>0</v>
      </c>
      <c r="Y25" s="354">
        <f t="shared" ca="1" si="44"/>
        <v>0</v>
      </c>
      <c r="Z25" s="353">
        <f ca="1">IFERROR(__xludf.DUMMYFUNCTION("IMPORTRANGE(""https://docs.google.com/spreadsheets/d/1dQrvX0vEcN7Gu0fnZ0B5S90AeR19zth4XlExFBeExMY/edit?usp=sharing"",""แม่ฮ่องสอน!I701"")"),2)</f>
        <v>2</v>
      </c>
      <c r="AA25" s="177">
        <f ca="1">IFERROR(__xludf.DUMMYFUNCTION("IMPORTRANGE(""https://docs.google.com/spreadsheets/d/1dQrvX0vEcN7Gu0fnZ0B5S90AeR19zth4XlExFBeExMY/edit?usp=sharing"",""แม่ฮ่องสอน!J701"")"),0)</f>
        <v>0</v>
      </c>
      <c r="AB25" s="177">
        <f ca="1">IFERROR(__xludf.DUMMYFUNCTION("IMPORTRANGE(""https://docs.google.com/spreadsheets/d/1dQrvX0vEcN7Gu0fnZ0B5S90AeR19zth4XlExFBeExMY/edit?usp=sharing"",""แม่ฮ่องสอน!J702"")"),0)</f>
        <v>0</v>
      </c>
      <c r="AC25" s="354">
        <f t="shared" ca="1" si="46"/>
        <v>0</v>
      </c>
      <c r="AD25" s="353">
        <f ca="1">IFERROR(__xludf.DUMMYFUNCTION("IMPORTRANGE(""https://docs.google.com/spreadsheets/d/1dQrvX0vEcN7Gu0fnZ0B5S90AeR19zth4XlExFBeExMY/edit?usp=sharing"",""แม่ฮ่องสอน!I703"")"),0)</f>
        <v>0</v>
      </c>
      <c r="AE25" s="177">
        <f ca="1">IFERROR(__xludf.DUMMYFUNCTION("IMPORTRANGE(""https://docs.google.com/spreadsheets/d/1dQrvX0vEcN7Gu0fnZ0B5S90AeR19zth4XlExFBeExMY/edit?usp=sharing"",""แม่ฮ่องสอน!J703"")"),0)</f>
        <v>0</v>
      </c>
      <c r="AF25" s="177">
        <f ca="1">IFERROR(__xludf.DUMMYFUNCTION("IMPORTRANGE(""https://docs.google.com/spreadsheets/d/1dQrvX0vEcN7Gu0fnZ0B5S90AeR19zth4XlExFBeExMY/edit?usp=sharing"",""แม่ฮ่องสอน!J704"")"),0)</f>
        <v>0</v>
      </c>
      <c r="AG25" s="354">
        <f t="shared" ca="1" si="48"/>
        <v>0</v>
      </c>
      <c r="AH25" s="495">
        <f ca="1">IFERROR(__xludf.DUMMYFUNCTION("IMPORTRANGE(""https://docs.google.com/spreadsheets/d/1dQrvX0vEcN7Gu0fnZ0B5S90AeR19zth4XlExFBeExMY/edit?usp=sharing"",""แม่ฮ่องสอน!I705"")"),2)</f>
        <v>2</v>
      </c>
      <c r="AI25" s="496">
        <f ca="1">IFERROR(__xludf.DUMMYFUNCTION("IMPORTRANGE(""https://docs.google.com/spreadsheets/d/1dQrvX0vEcN7Gu0fnZ0B5S90AeR19zth4XlExFBeExMY/edit?usp=sharing"",""แม่ฮ่องสอน!J705"")"),0)</f>
        <v>0</v>
      </c>
      <c r="AJ25" s="496">
        <f ca="1">IFERROR(__xludf.DUMMYFUNCTION("IMPORTRANGE(""https://docs.google.com/spreadsheets/d/1dQrvX0vEcN7Gu0fnZ0B5S90AeR19zth4XlExFBeExMY/edit?usp=sharing"",""แม่ฮ่องสอน!J706"")"),0)</f>
        <v>0</v>
      </c>
      <c r="AK25" s="497">
        <f t="shared" ca="1" si="50"/>
        <v>0</v>
      </c>
      <c r="AL25" s="353">
        <f ca="1">IFERROR(__xludf.DUMMYFUNCTION("IMPORTRANGE(""https://docs.google.com/spreadsheets/d/1dQrvX0vEcN7Gu0fnZ0B5S90AeR19zth4XlExFBeExMY/edit?usp=sharing"",""แม่ฮ่องสอน!I707"")"),0)</f>
        <v>0</v>
      </c>
      <c r="AM25" s="177">
        <f ca="1">IFERROR(__xludf.DUMMYFUNCTION("IMPORTRANGE(""https://docs.google.com/spreadsheets/d/1dQrvX0vEcN7Gu0fnZ0B5S90AeR19zth4XlExFBeExMY/edit?usp=sharing"",""แม่ฮ่องสอน!J707"")"),0)</f>
        <v>0</v>
      </c>
      <c r="AN25" s="177">
        <f ca="1">IFERROR(__xludf.DUMMYFUNCTION("IMPORTRANGE(""https://docs.google.com/spreadsheets/d/1dQrvX0vEcN7Gu0fnZ0B5S90AeR19zth4XlExFBeExMY/edit?usp=sharing"",""แม่ฮ่องสอน!J708"")"),0)</f>
        <v>0</v>
      </c>
      <c r="AO25" s="354">
        <f t="shared" ca="1" si="52"/>
        <v>0</v>
      </c>
      <c r="AP25" s="495">
        <f ca="1">IFERROR(__xludf.DUMMYFUNCTION("IMPORTRANGE(""https://docs.google.com/spreadsheets/d/1dQrvX0vEcN7Gu0fnZ0B5S90AeR19zth4XlExFBeExMY/edit?usp=sharing"",""แม่ฮ่องสอน!I709"")"),2)</f>
        <v>2</v>
      </c>
      <c r="AQ25" s="496">
        <f ca="1">IFERROR(__xludf.DUMMYFUNCTION("IMPORTRANGE(""https://docs.google.com/spreadsheets/d/1dQrvX0vEcN7Gu0fnZ0B5S90AeR19zth4XlExFBeExMY/edit?usp=sharing"",""แม่ฮ่องสอน!J709"")"),0)</f>
        <v>0</v>
      </c>
      <c r="AR25" s="496">
        <f ca="1">IFERROR(__xludf.DUMMYFUNCTION("IMPORTRANGE(""https://docs.google.com/spreadsheets/d/1dQrvX0vEcN7Gu0fnZ0B5S90AeR19zth4XlExFBeExMY/edit?usp=sharing"",""แม่ฮ่องสอน!J710"")"),0)</f>
        <v>0</v>
      </c>
      <c r="AS25" s="497">
        <f t="shared" ca="1" si="54"/>
        <v>0</v>
      </c>
    </row>
    <row r="26" spans="1:45" ht="24.75" customHeight="1" x14ac:dyDescent="0.3">
      <c r="A26" s="89">
        <v>13</v>
      </c>
      <c r="B26" s="90" t="s">
        <v>52</v>
      </c>
      <c r="C26" s="174">
        <f t="shared" si="32"/>
        <v>0</v>
      </c>
      <c r="D26" s="175">
        <f t="shared" si="55"/>
        <v>0</v>
      </c>
      <c r="E26" s="403">
        <v>0</v>
      </c>
      <c r="F26" s="403">
        <v>0</v>
      </c>
      <c r="G26" s="403">
        <v>0</v>
      </c>
      <c r="H26" s="403">
        <v>0</v>
      </c>
      <c r="I26" s="403">
        <v>0</v>
      </c>
      <c r="J26" s="176">
        <f t="shared" si="34"/>
        <v>0</v>
      </c>
      <c r="K26" s="179">
        <f t="shared" si="35"/>
        <v>0</v>
      </c>
      <c r="L26" s="403">
        <v>0</v>
      </c>
      <c r="M26" s="87">
        <f t="shared" si="36"/>
        <v>0</v>
      </c>
      <c r="N26" s="87">
        <f t="shared" si="37"/>
        <v>0</v>
      </c>
      <c r="O26" s="403">
        <v>0</v>
      </c>
      <c r="P26" s="86">
        <f t="shared" si="38"/>
        <v>0</v>
      </c>
      <c r="Q26" s="87">
        <f t="shared" si="39"/>
        <v>0</v>
      </c>
      <c r="R26" s="87">
        <f ca="1">IFERROR(__xludf.DUMMYFUNCTION("IMPORTRANGE(""https://docs.google.com/spreadsheets/d/1DY4XTNNwjluuxqdfdn6qvOSlMRrZqUtmYcZR0ttFiG4/edit?usp=sharing"",""ลำปาง!Q690"")"),298240)</f>
        <v>298240</v>
      </c>
      <c r="S26" s="87">
        <f ca="1">IFERROR(__xludf.DUMMYFUNCTION("IMPORTRANGE(""https://docs.google.com/spreadsheets/d/1DY4XTNNwjluuxqdfdn6qvOSlMRrZqUtmYcZR0ttFiG4/edit?usp=sharing"",""ลำปาง!R690"")"),0)</f>
        <v>0</v>
      </c>
      <c r="T26" s="87">
        <f ca="1">IFERROR(__xludf.DUMMYFUNCTION("IMPORTRANGE(""https://docs.google.com/spreadsheets/d/1DY4XTNNwjluuxqdfdn6qvOSlMRrZqUtmYcZR0ttFiG4/edit?usp=sharing"",""ลำปาง!S690"")"),0)</f>
        <v>0</v>
      </c>
      <c r="U26" s="87">
        <f t="shared" ca="1" si="41"/>
        <v>0</v>
      </c>
      <c r="V26" s="87">
        <f t="shared" ca="1" si="42"/>
        <v>0</v>
      </c>
      <c r="W26" s="353">
        <f ca="1">IFERROR(__xludf.DUMMYFUNCTION("IMPORTRANGE(""https://docs.google.com/spreadsheets/d/1DY4XTNNwjluuxqdfdn6qvOSlMRrZqUtmYcZR0ttFiG4/edit?usp=sharing"",""ลำปาง!I700"")"),4)</f>
        <v>4</v>
      </c>
      <c r="X26" s="177">
        <f ca="1">IFERROR(__xludf.DUMMYFUNCTION("IMPORTRANGE(""https://docs.google.com/spreadsheets/d/1DY4XTNNwjluuxqdfdn6qvOSlMRrZqUtmYcZR0ttFiG4/edit?usp=sharing"",""ลำปาง!J700"")"),0)</f>
        <v>0</v>
      </c>
      <c r="Y26" s="354">
        <f t="shared" ca="1" si="44"/>
        <v>0</v>
      </c>
      <c r="Z26" s="353">
        <f ca="1">IFERROR(__xludf.DUMMYFUNCTION("IMPORTRANGE(""https://docs.google.com/spreadsheets/d/1DY4XTNNwjluuxqdfdn6qvOSlMRrZqUtmYcZR0ttFiG4/edit?usp=sharing"",""ลำปาง!I701"")"),113)</f>
        <v>113</v>
      </c>
      <c r="AA26" s="177">
        <f ca="1">IFERROR(__xludf.DUMMYFUNCTION("IMPORTRANGE(""https://docs.google.com/spreadsheets/d/1DY4XTNNwjluuxqdfdn6qvOSlMRrZqUtmYcZR0ttFiG4/edit?usp=sharing"",""ลำปาง!J701"")"),21)</f>
        <v>21</v>
      </c>
      <c r="AB26" s="177">
        <f ca="1">IFERROR(__xludf.DUMMYFUNCTION("IMPORTRANGE(""https://docs.google.com/spreadsheets/d/1DY4XTNNwjluuxqdfdn6qvOSlMRrZqUtmYcZR0ttFiG4/edit?usp=sharing"",""ลำปาง!J702"")"),18.69)</f>
        <v>18.690000000000001</v>
      </c>
      <c r="AC26" s="354">
        <f t="shared" ca="1" si="46"/>
        <v>18.584070796460178</v>
      </c>
      <c r="AD26" s="353">
        <f ca="1">IFERROR(__xludf.DUMMYFUNCTION("IMPORTRANGE(""https://docs.google.com/spreadsheets/d/1DY4XTNNwjluuxqdfdn6qvOSlMRrZqUtmYcZR0ttFiG4/edit?usp=sharing"",""ลำปาง!I703"")"),110)</f>
        <v>110</v>
      </c>
      <c r="AE26" s="177">
        <f ca="1">IFERROR(__xludf.DUMMYFUNCTION("IMPORTRANGE(""https://docs.google.com/spreadsheets/d/1DY4XTNNwjluuxqdfdn6qvOSlMRrZqUtmYcZR0ttFiG4/edit?usp=sharing"",""ลำปาง!J703"")"),21)</f>
        <v>21</v>
      </c>
      <c r="AF26" s="177">
        <f ca="1">IFERROR(__xludf.DUMMYFUNCTION("IMPORTRANGE(""https://docs.google.com/spreadsheets/d/1DY4XTNNwjluuxqdfdn6qvOSlMRrZqUtmYcZR0ttFiG4/edit?usp=sharing"",""ลำปาง!J704"")"),18.69)</f>
        <v>18.690000000000001</v>
      </c>
      <c r="AG26" s="354">
        <f t="shared" ca="1" si="48"/>
        <v>19.09090909090909</v>
      </c>
      <c r="AH26" s="495">
        <f ca="1">IFERROR(__xludf.DUMMYFUNCTION("IMPORTRANGE(""https://docs.google.com/spreadsheets/d/1DY4XTNNwjluuxqdfdn6qvOSlMRrZqUtmYcZR0ttFiG4/edit?usp=sharing"",""ลำปาง!I705"")"),3)</f>
        <v>3</v>
      </c>
      <c r="AI26" s="496">
        <f ca="1">IFERROR(__xludf.DUMMYFUNCTION("IMPORTRANGE(""https://docs.google.com/spreadsheets/d/1DY4XTNNwjluuxqdfdn6qvOSlMRrZqUtmYcZR0ttFiG4/edit?usp=sharing"",""ลำปาง!J705"")"),0)</f>
        <v>0</v>
      </c>
      <c r="AJ26" s="496">
        <f ca="1">IFERROR(__xludf.DUMMYFUNCTION("IMPORTRANGE(""https://docs.google.com/spreadsheets/d/1DY4XTNNwjluuxqdfdn6qvOSlMRrZqUtmYcZR0ttFiG4/edit?usp=sharing"",""ลำปาง!J706"")"),0)</f>
        <v>0</v>
      </c>
      <c r="AK26" s="497">
        <f t="shared" ca="1" si="50"/>
        <v>0</v>
      </c>
      <c r="AL26" s="353">
        <f ca="1">IFERROR(__xludf.DUMMYFUNCTION("IMPORTRANGE(""https://docs.google.com/spreadsheets/d/1DY4XTNNwjluuxqdfdn6qvOSlMRrZqUtmYcZR0ttFiG4/edit?usp=sharing"",""ลำปาง!I707"")"),110)</f>
        <v>110</v>
      </c>
      <c r="AM26" s="177">
        <f ca="1">IFERROR(__xludf.DUMMYFUNCTION("IMPORTRANGE(""https://docs.google.com/spreadsheets/d/1DY4XTNNwjluuxqdfdn6qvOSlMRrZqUtmYcZR0ttFiG4/edit?usp=sharing"",""ลำปาง!J707"")"),0)</f>
        <v>0</v>
      </c>
      <c r="AN26" s="177">
        <f ca="1">IFERROR(__xludf.DUMMYFUNCTION("IMPORTRANGE(""https://docs.google.com/spreadsheets/d/1DY4XTNNwjluuxqdfdn6qvOSlMRrZqUtmYcZR0ttFiG4/edit?usp=sharing"",""ลำปาง!J708"")"),0)</f>
        <v>0</v>
      </c>
      <c r="AO26" s="354">
        <f t="shared" ca="1" si="52"/>
        <v>0</v>
      </c>
      <c r="AP26" s="495">
        <f ca="1">IFERROR(__xludf.DUMMYFUNCTION("IMPORTRANGE(""https://docs.google.com/spreadsheets/d/1DY4XTNNwjluuxqdfdn6qvOSlMRrZqUtmYcZR0ttFiG4/edit?usp=sharing"",""ลำปาง!I709"")"),3)</f>
        <v>3</v>
      </c>
      <c r="AQ26" s="496">
        <f ca="1">IFERROR(__xludf.DUMMYFUNCTION("IMPORTRANGE(""https://docs.google.com/spreadsheets/d/1DY4XTNNwjluuxqdfdn6qvOSlMRrZqUtmYcZR0ttFiG4/edit?usp=sharing"",""ลำปาง!J709"")"),0)</f>
        <v>0</v>
      </c>
      <c r="AR26" s="496">
        <f ca="1">IFERROR(__xludf.DUMMYFUNCTION("IMPORTRANGE(""https://docs.google.com/spreadsheets/d/1DY4XTNNwjluuxqdfdn6qvOSlMRrZqUtmYcZR0ttFiG4/edit?usp=sharing"",""ลำปาง!J710"")"),0)</f>
        <v>0</v>
      </c>
      <c r="AS26" s="497">
        <f t="shared" ca="1" si="54"/>
        <v>0</v>
      </c>
    </row>
    <row r="27" spans="1:45" ht="24.75" customHeight="1" x14ac:dyDescent="0.3">
      <c r="A27" s="89">
        <v>14</v>
      </c>
      <c r="B27" s="90" t="s">
        <v>53</v>
      </c>
      <c r="C27" s="174">
        <f t="shared" si="32"/>
        <v>0</v>
      </c>
      <c r="D27" s="175">
        <f t="shared" si="55"/>
        <v>0</v>
      </c>
      <c r="E27" s="403">
        <v>0</v>
      </c>
      <c r="F27" s="403">
        <v>0</v>
      </c>
      <c r="G27" s="403">
        <v>0</v>
      </c>
      <c r="H27" s="403">
        <v>0</v>
      </c>
      <c r="I27" s="403">
        <v>0</v>
      </c>
      <c r="J27" s="176">
        <f t="shared" si="34"/>
        <v>0</v>
      </c>
      <c r="K27" s="179">
        <f t="shared" si="35"/>
        <v>0</v>
      </c>
      <c r="L27" s="403">
        <v>0</v>
      </c>
      <c r="M27" s="87">
        <f t="shared" si="36"/>
        <v>0</v>
      </c>
      <c r="N27" s="87">
        <f t="shared" si="37"/>
        <v>0</v>
      </c>
      <c r="O27" s="403">
        <v>0</v>
      </c>
      <c r="P27" s="86">
        <f t="shared" si="38"/>
        <v>0</v>
      </c>
      <c r="Q27" s="87">
        <f t="shared" si="39"/>
        <v>0</v>
      </c>
      <c r="R27" s="87">
        <f ca="1">IFERROR(__xludf.DUMMYFUNCTION("IMPORTRANGE(""https://docs.google.com/spreadsheets/d/1ICwG78r0OFT8biBlxnBF8r7she7gNSzOvJ958PWT09c/edit?usp=sharing"",""ลำพูน!Q690"")"),66060)</f>
        <v>66060</v>
      </c>
      <c r="S27" s="87">
        <f ca="1">IFERROR(__xludf.DUMMYFUNCTION("IMPORTRANGE(""https://docs.google.com/spreadsheets/d/1ICwG78r0OFT8biBlxnBF8r7she7gNSzOvJ958PWT09c/edit?usp=sharing"",""ลำพูน!R690"")"),0)</f>
        <v>0</v>
      </c>
      <c r="T27" s="87">
        <f ca="1">IFERROR(__xludf.DUMMYFUNCTION("IMPORTRANGE(""https://docs.google.com/spreadsheets/d/1ICwG78r0OFT8biBlxnBF8r7she7gNSzOvJ958PWT09c/edit?usp=sharing"",""ลำพูน!S690"")"),0)</f>
        <v>0</v>
      </c>
      <c r="U27" s="87">
        <f t="shared" ca="1" si="41"/>
        <v>0</v>
      </c>
      <c r="V27" s="87">
        <f t="shared" ca="1" si="42"/>
        <v>0</v>
      </c>
      <c r="W27" s="353">
        <f ca="1">IFERROR(__xludf.DUMMYFUNCTION("IMPORTRANGE(""https://docs.google.com/spreadsheets/d/1ICwG78r0OFT8biBlxnBF8r7she7gNSzOvJ958PWT09c/edit?usp=sharing"",""ลำพูน!I700"")"),0)</f>
        <v>0</v>
      </c>
      <c r="X27" s="177">
        <f ca="1">IFERROR(__xludf.DUMMYFUNCTION("IMPORTRANGE(""https://docs.google.com/spreadsheets/d/1ICwG78r0OFT8biBlxnBF8r7she7gNSzOvJ958PWT09c/edit?usp=sharing"",""ลำพูน!J700"")"),0)</f>
        <v>0</v>
      </c>
      <c r="Y27" s="354">
        <f t="shared" ca="1" si="44"/>
        <v>0</v>
      </c>
      <c r="Z27" s="353">
        <f ca="1">IFERROR(__xludf.DUMMYFUNCTION("IMPORTRANGE(""https://docs.google.com/spreadsheets/d/1ICwG78r0OFT8biBlxnBF8r7she7gNSzOvJ958PWT09c/edit?usp=sharing"",""ลำพูน!I701"")"),4)</f>
        <v>4</v>
      </c>
      <c r="AA27" s="177">
        <f ca="1">IFERROR(__xludf.DUMMYFUNCTION("IMPORTRANGE(""https://docs.google.com/spreadsheets/d/1ICwG78r0OFT8biBlxnBF8r7she7gNSzOvJ958PWT09c/edit?usp=sharing"",""ลำพูน!J701"")"),0)</f>
        <v>0</v>
      </c>
      <c r="AB27" s="177">
        <f ca="1">IFERROR(__xludf.DUMMYFUNCTION("IMPORTRANGE(""https://docs.google.com/spreadsheets/d/1ICwG78r0OFT8biBlxnBF8r7she7gNSzOvJ958PWT09c/edit?usp=sharing"",""ลำพูน!J702"")"),0)</f>
        <v>0</v>
      </c>
      <c r="AC27" s="354">
        <f t="shared" ca="1" si="46"/>
        <v>0</v>
      </c>
      <c r="AD27" s="353">
        <f ca="1">IFERROR(__xludf.DUMMYFUNCTION("IMPORTRANGE(""https://docs.google.com/spreadsheets/d/1ICwG78r0OFT8biBlxnBF8r7she7gNSzOvJ958PWT09c/edit?usp=sharing"",""ลำพูน!I703"")"),0)</f>
        <v>0</v>
      </c>
      <c r="AE27" s="177">
        <f ca="1">IFERROR(__xludf.DUMMYFUNCTION("IMPORTRANGE(""https://docs.google.com/spreadsheets/d/1ICwG78r0OFT8biBlxnBF8r7she7gNSzOvJ958PWT09c/edit?usp=sharing"",""ลำพูน!J703"")"),0)</f>
        <v>0</v>
      </c>
      <c r="AF27" s="177">
        <f ca="1">IFERROR(__xludf.DUMMYFUNCTION("IMPORTRANGE(""https://docs.google.com/spreadsheets/d/1ICwG78r0OFT8biBlxnBF8r7she7gNSzOvJ958PWT09c/edit?usp=sharing"",""ลำพูน!J704"")"),0)</f>
        <v>0</v>
      </c>
      <c r="AG27" s="354">
        <f t="shared" ca="1" si="48"/>
        <v>0</v>
      </c>
      <c r="AH27" s="495">
        <f ca="1">IFERROR(__xludf.DUMMYFUNCTION("IMPORTRANGE(""https://docs.google.com/spreadsheets/d/1ICwG78r0OFT8biBlxnBF8r7she7gNSzOvJ958PWT09c/edit?usp=sharing"",""ลำพูน!I705"")"),4)</f>
        <v>4</v>
      </c>
      <c r="AI27" s="496">
        <f ca="1">IFERROR(__xludf.DUMMYFUNCTION("IMPORTRANGE(""https://docs.google.com/spreadsheets/d/1ICwG78r0OFT8biBlxnBF8r7she7gNSzOvJ958PWT09c/edit?usp=sharing"",""ลำพูน!J705"")"),0)</f>
        <v>0</v>
      </c>
      <c r="AJ27" s="496">
        <f ca="1">IFERROR(__xludf.DUMMYFUNCTION("IMPORTRANGE(""https://docs.google.com/spreadsheets/d/1ICwG78r0OFT8biBlxnBF8r7she7gNSzOvJ958PWT09c/edit?usp=sharing"",""ลำพูน!J706"")"),0)</f>
        <v>0</v>
      </c>
      <c r="AK27" s="497">
        <f t="shared" ca="1" si="50"/>
        <v>0</v>
      </c>
      <c r="AL27" s="353">
        <f ca="1">IFERROR(__xludf.DUMMYFUNCTION("IMPORTRANGE(""https://docs.google.com/spreadsheets/d/1ICwG78r0OFT8biBlxnBF8r7she7gNSzOvJ958PWT09c/edit?usp=sharing"",""ลำพูน!I707"")"),0)</f>
        <v>0</v>
      </c>
      <c r="AM27" s="177">
        <f ca="1">IFERROR(__xludf.DUMMYFUNCTION("IMPORTRANGE(""https://docs.google.com/spreadsheets/d/1ICwG78r0OFT8biBlxnBF8r7she7gNSzOvJ958PWT09c/edit?usp=sharing"",""ลำพูน!J707"")"),0)</f>
        <v>0</v>
      </c>
      <c r="AN27" s="177">
        <f ca="1">IFERROR(__xludf.DUMMYFUNCTION("IMPORTRANGE(""https://docs.google.com/spreadsheets/d/1ICwG78r0OFT8biBlxnBF8r7she7gNSzOvJ958PWT09c/edit?usp=sharing"",""ลำพูน!J708"")"),0)</f>
        <v>0</v>
      </c>
      <c r="AO27" s="354">
        <f t="shared" ca="1" si="52"/>
        <v>0</v>
      </c>
      <c r="AP27" s="495">
        <f ca="1">IFERROR(__xludf.DUMMYFUNCTION("IMPORTRANGE(""https://docs.google.com/spreadsheets/d/1ICwG78r0OFT8biBlxnBF8r7she7gNSzOvJ958PWT09c/edit?usp=sharing"",""ลำพูน!I709"")"),4)</f>
        <v>4</v>
      </c>
      <c r="AQ27" s="496">
        <f ca="1">IFERROR(__xludf.DUMMYFUNCTION("IMPORTRANGE(""https://docs.google.com/spreadsheets/d/1ICwG78r0OFT8biBlxnBF8r7she7gNSzOvJ958PWT09c/edit?usp=sharing"",""ลำพูน!J709"")"),0)</f>
        <v>0</v>
      </c>
      <c r="AR27" s="496">
        <f ca="1">IFERROR(__xludf.DUMMYFUNCTION("IMPORTRANGE(""https://docs.google.com/spreadsheets/d/1ICwG78r0OFT8biBlxnBF8r7she7gNSzOvJ958PWT09c/edit?usp=sharing"",""ลำพูน!J710"")"),0)</f>
        <v>0</v>
      </c>
      <c r="AS27" s="497">
        <f t="shared" ca="1" si="54"/>
        <v>0</v>
      </c>
    </row>
    <row r="28" spans="1:45" ht="24.75" customHeight="1" x14ac:dyDescent="0.3">
      <c r="A28" s="89">
        <v>15</v>
      </c>
      <c r="B28" s="90" t="s">
        <v>54</v>
      </c>
      <c r="C28" s="174">
        <f t="shared" si="32"/>
        <v>0</v>
      </c>
      <c r="D28" s="175">
        <f t="shared" si="55"/>
        <v>0</v>
      </c>
      <c r="E28" s="403">
        <v>0</v>
      </c>
      <c r="F28" s="403">
        <v>0</v>
      </c>
      <c r="G28" s="403">
        <v>0</v>
      </c>
      <c r="H28" s="403">
        <v>0</v>
      </c>
      <c r="I28" s="403">
        <v>0</v>
      </c>
      <c r="J28" s="176">
        <f t="shared" si="34"/>
        <v>0</v>
      </c>
      <c r="K28" s="179">
        <f t="shared" si="35"/>
        <v>0</v>
      </c>
      <c r="L28" s="403">
        <v>0</v>
      </c>
      <c r="M28" s="87">
        <f t="shared" si="36"/>
        <v>0</v>
      </c>
      <c r="N28" s="87">
        <f t="shared" si="37"/>
        <v>0</v>
      </c>
      <c r="O28" s="403">
        <v>0</v>
      </c>
      <c r="P28" s="86">
        <f t="shared" si="38"/>
        <v>0</v>
      </c>
      <c r="Q28" s="87">
        <f t="shared" si="39"/>
        <v>0</v>
      </c>
      <c r="R28" s="87">
        <f ca="1">IFERROR(__xludf.DUMMYFUNCTION("IMPORTRANGE(""https://docs.google.com/spreadsheets/d/1B0f2xJpZUC6Z0xXnqKlZtEPzsf6L84eP1r1Q15seqRM/edit?usp=sharing"",""สุโขทัย!Q690"")"),268050)</f>
        <v>268050</v>
      </c>
      <c r="S28" s="87">
        <f ca="1">IFERROR(__xludf.DUMMYFUNCTION("IMPORTRANGE(""https://docs.google.com/spreadsheets/d/1B0f2xJpZUC6Z0xXnqKlZtEPzsf6L84eP1r1Q15seqRM/edit?usp=sharing"",""สุโขทัย!R690"")"),0)</f>
        <v>0</v>
      </c>
      <c r="T28" s="87">
        <f ca="1">IFERROR(__xludf.DUMMYFUNCTION("IMPORTRANGE(""https://docs.google.com/spreadsheets/d/1B0f2xJpZUC6Z0xXnqKlZtEPzsf6L84eP1r1Q15seqRM/edit?usp=sharing"",""สุโขทัย!S690"")"),0)</f>
        <v>0</v>
      </c>
      <c r="U28" s="87">
        <f t="shared" ca="1" si="41"/>
        <v>0</v>
      </c>
      <c r="V28" s="87">
        <f t="shared" ca="1" si="42"/>
        <v>0</v>
      </c>
      <c r="W28" s="353">
        <f ca="1">IFERROR(__xludf.DUMMYFUNCTION("IMPORTRANGE(""https://docs.google.com/spreadsheets/d/1B0f2xJpZUC6Z0xXnqKlZtEPzsf6L84eP1r1Q15seqRM/edit?usp=sharing"",""สุโขทัย!I700"")"),0)</f>
        <v>0</v>
      </c>
      <c r="X28" s="177">
        <f ca="1">IFERROR(__xludf.DUMMYFUNCTION("IMPORTRANGE(""https://docs.google.com/spreadsheets/d/1B0f2xJpZUC6Z0xXnqKlZtEPzsf6L84eP1r1Q15seqRM/edit?usp=sharing"",""สุโขทัย!J700"")"),0)</f>
        <v>0</v>
      </c>
      <c r="Y28" s="354">
        <f t="shared" ca="1" si="44"/>
        <v>0</v>
      </c>
      <c r="Z28" s="353">
        <f ca="1">IFERROR(__xludf.DUMMYFUNCTION("IMPORTRANGE(""https://docs.google.com/spreadsheets/d/1B0f2xJpZUC6Z0xXnqKlZtEPzsf6L84eP1r1Q15seqRM/edit?usp=sharing"",""สุโขทัย!I701"")"),163)</f>
        <v>163</v>
      </c>
      <c r="AA28" s="177">
        <f ca="1">IFERROR(__xludf.DUMMYFUNCTION("IMPORTRANGE(""https://docs.google.com/spreadsheets/d/1B0f2xJpZUC6Z0xXnqKlZtEPzsf6L84eP1r1Q15seqRM/edit?usp=sharing"",""สุโขทัย!J701"")"),48)</f>
        <v>48</v>
      </c>
      <c r="AB28" s="177">
        <f ca="1">IFERROR(__xludf.DUMMYFUNCTION("IMPORTRANGE(""https://docs.google.com/spreadsheets/d/1B0f2xJpZUC6Z0xXnqKlZtEPzsf6L84eP1r1Q15seqRM/edit?usp=sharing"",""สุโขทัย!J702"")"),47.8)</f>
        <v>47.8</v>
      </c>
      <c r="AC28" s="354">
        <f t="shared" ca="1" si="46"/>
        <v>29.447852760736197</v>
      </c>
      <c r="AD28" s="353">
        <f ca="1">IFERROR(__xludf.DUMMYFUNCTION("IMPORTRANGE(""https://docs.google.com/spreadsheets/d/1B0f2xJpZUC6Z0xXnqKlZtEPzsf6L84eP1r1Q15seqRM/edit?usp=sharing"",""สุโขทัย!I703"")"),160)</f>
        <v>160</v>
      </c>
      <c r="AE28" s="177">
        <f ca="1">IFERROR(__xludf.DUMMYFUNCTION("IMPORTRANGE(""https://docs.google.com/spreadsheets/d/1B0f2xJpZUC6Z0xXnqKlZtEPzsf6L84eP1r1Q15seqRM/edit?usp=sharing"",""สุโขทัย!J703"")"),48)</f>
        <v>48</v>
      </c>
      <c r="AF28" s="177">
        <f ca="1">IFERROR(__xludf.DUMMYFUNCTION("IMPORTRANGE(""https://docs.google.com/spreadsheets/d/1B0f2xJpZUC6Z0xXnqKlZtEPzsf6L84eP1r1Q15seqRM/edit?usp=sharing"",""สุโขทัย!J704"")"),47.8)</f>
        <v>47.8</v>
      </c>
      <c r="AG28" s="354">
        <f t="shared" ca="1" si="48"/>
        <v>30</v>
      </c>
      <c r="AH28" s="495">
        <f ca="1">IFERROR(__xludf.DUMMYFUNCTION("IMPORTRANGE(""https://docs.google.com/spreadsheets/d/1B0f2xJpZUC6Z0xXnqKlZtEPzsf6L84eP1r1Q15seqRM/edit?usp=sharing"",""สุโขทัย!I705"")"),3)</f>
        <v>3</v>
      </c>
      <c r="AI28" s="496">
        <f ca="1">IFERROR(__xludf.DUMMYFUNCTION("IMPORTRANGE(""https://docs.google.com/spreadsheets/d/1B0f2xJpZUC6Z0xXnqKlZtEPzsf6L84eP1r1Q15seqRM/edit?usp=sharing"",""สุโขทัย!J705"")"),0)</f>
        <v>0</v>
      </c>
      <c r="AJ28" s="496">
        <f ca="1">IFERROR(__xludf.DUMMYFUNCTION("IMPORTRANGE(""https://docs.google.com/spreadsheets/d/1B0f2xJpZUC6Z0xXnqKlZtEPzsf6L84eP1r1Q15seqRM/edit?usp=sharing"",""สุโขทัย!J706"")"),0)</f>
        <v>0</v>
      </c>
      <c r="AK28" s="497">
        <f t="shared" ca="1" si="50"/>
        <v>0</v>
      </c>
      <c r="AL28" s="353">
        <f ca="1">IFERROR(__xludf.DUMMYFUNCTION("IMPORTRANGE(""https://docs.google.com/spreadsheets/d/1B0f2xJpZUC6Z0xXnqKlZtEPzsf6L84eP1r1Q15seqRM/edit?usp=sharing"",""สุโขทัย!I707"")"),160)</f>
        <v>160</v>
      </c>
      <c r="AM28" s="177">
        <f ca="1">IFERROR(__xludf.DUMMYFUNCTION("IMPORTRANGE(""https://docs.google.com/spreadsheets/d/1B0f2xJpZUC6Z0xXnqKlZtEPzsf6L84eP1r1Q15seqRM/edit?usp=sharing"",""สุโขทัย!J707"")"),0)</f>
        <v>0</v>
      </c>
      <c r="AN28" s="177">
        <f ca="1">IFERROR(__xludf.DUMMYFUNCTION("IMPORTRANGE(""https://docs.google.com/spreadsheets/d/1B0f2xJpZUC6Z0xXnqKlZtEPzsf6L84eP1r1Q15seqRM/edit?usp=sharing"",""สุโขทัย!J708"")"),0)</f>
        <v>0</v>
      </c>
      <c r="AO28" s="354">
        <f t="shared" ca="1" si="52"/>
        <v>0</v>
      </c>
      <c r="AP28" s="495">
        <f ca="1">IFERROR(__xludf.DUMMYFUNCTION("IMPORTRANGE(""https://docs.google.com/spreadsheets/d/1B0f2xJpZUC6Z0xXnqKlZtEPzsf6L84eP1r1Q15seqRM/edit?usp=sharing"",""สุโขทัย!I709"")"),3)</f>
        <v>3</v>
      </c>
      <c r="AQ28" s="496">
        <f ca="1">IFERROR(__xludf.DUMMYFUNCTION("IMPORTRANGE(""https://docs.google.com/spreadsheets/d/1B0f2xJpZUC6Z0xXnqKlZtEPzsf6L84eP1r1Q15seqRM/edit?usp=sharing"",""สุโขทัย!J709"")"),0)</f>
        <v>0</v>
      </c>
      <c r="AR28" s="496">
        <f ca="1">IFERROR(__xludf.DUMMYFUNCTION("IMPORTRANGE(""https://docs.google.com/spreadsheets/d/1B0f2xJpZUC6Z0xXnqKlZtEPzsf6L84eP1r1Q15seqRM/edit?usp=sharing"",""สุโขทัย!J710"")"),0)</f>
        <v>0</v>
      </c>
      <c r="AS28" s="497">
        <f t="shared" ca="1" si="54"/>
        <v>0</v>
      </c>
    </row>
    <row r="29" spans="1:45" ht="24.75" customHeight="1" x14ac:dyDescent="0.3">
      <c r="A29" s="89">
        <v>16</v>
      </c>
      <c r="B29" s="90" t="s">
        <v>55</v>
      </c>
      <c r="C29" s="174">
        <f t="shared" si="32"/>
        <v>0</v>
      </c>
      <c r="D29" s="175">
        <f t="shared" si="55"/>
        <v>0</v>
      </c>
      <c r="E29" s="403">
        <v>0</v>
      </c>
      <c r="F29" s="403">
        <v>0</v>
      </c>
      <c r="G29" s="403">
        <v>0</v>
      </c>
      <c r="H29" s="403">
        <v>0</v>
      </c>
      <c r="I29" s="403">
        <v>0</v>
      </c>
      <c r="J29" s="176">
        <f t="shared" si="34"/>
        <v>0</v>
      </c>
      <c r="K29" s="179">
        <f t="shared" si="35"/>
        <v>0</v>
      </c>
      <c r="L29" s="403">
        <v>0</v>
      </c>
      <c r="M29" s="87">
        <f t="shared" si="36"/>
        <v>0</v>
      </c>
      <c r="N29" s="87">
        <f t="shared" si="37"/>
        <v>0</v>
      </c>
      <c r="O29" s="403">
        <v>0</v>
      </c>
      <c r="P29" s="86">
        <f t="shared" si="38"/>
        <v>0</v>
      </c>
      <c r="Q29" s="87">
        <f t="shared" si="39"/>
        <v>0</v>
      </c>
      <c r="R29" s="87">
        <f ca="1">IFERROR(__xludf.DUMMYFUNCTION("IMPORTRANGE(""https://docs.google.com/spreadsheets/d/1v0b9pFQCsKUVExMei7AgY2yQkdeNQvtOssygGsXbiKo/edit?usp=sharing"",""อุตรดิตถ์!Q690"")"),66220)</f>
        <v>66220</v>
      </c>
      <c r="S29" s="87">
        <f ca="1">IFERROR(__xludf.DUMMYFUNCTION("IMPORTRANGE(""https://docs.google.com/spreadsheets/d/1v0b9pFQCsKUVExMei7AgY2yQkdeNQvtOssygGsXbiKo/edit?usp=sharing"",""อุตรดิตถ์!R690"")"),0)</f>
        <v>0</v>
      </c>
      <c r="T29" s="87">
        <f ca="1">IFERROR(__xludf.DUMMYFUNCTION("IMPORTRANGE(""https://docs.google.com/spreadsheets/d/1v0b9pFQCsKUVExMei7AgY2yQkdeNQvtOssygGsXbiKo/edit?usp=sharing"",""อุตรดิตถ์!S690"")"),0)</f>
        <v>0</v>
      </c>
      <c r="U29" s="87">
        <f t="shared" ca="1" si="41"/>
        <v>0</v>
      </c>
      <c r="V29" s="87">
        <f t="shared" ca="1" si="42"/>
        <v>0</v>
      </c>
      <c r="W29" s="353">
        <f ca="1">IFERROR(__xludf.DUMMYFUNCTION("IMPORTRANGE(""https://docs.google.com/spreadsheets/d/1v0b9pFQCsKUVExMei7AgY2yQkdeNQvtOssygGsXbiKo/edit?usp=sharing"",""อุตรดิตถ์!I700"")"),0)</f>
        <v>0</v>
      </c>
      <c r="X29" s="177">
        <f ca="1">IFERROR(__xludf.DUMMYFUNCTION("IMPORTRANGE(""https://docs.google.com/spreadsheets/d/1v0b9pFQCsKUVExMei7AgY2yQkdeNQvtOssygGsXbiKo/edit?usp=sharing"",""อุตรดิตถ์!J700"")"),0)</f>
        <v>0</v>
      </c>
      <c r="Y29" s="354">
        <f t="shared" ca="1" si="44"/>
        <v>0</v>
      </c>
      <c r="Z29" s="353">
        <f ca="1">IFERROR(__xludf.DUMMYFUNCTION("IMPORTRANGE(""https://docs.google.com/spreadsheets/d/1v0b9pFQCsKUVExMei7AgY2yQkdeNQvtOssygGsXbiKo/edit?usp=sharing"",""อุตรดิตถ์!I701"")"),3)</f>
        <v>3</v>
      </c>
      <c r="AA29" s="177">
        <f ca="1">IFERROR(__xludf.DUMMYFUNCTION("IMPORTRANGE(""https://docs.google.com/spreadsheets/d/1v0b9pFQCsKUVExMei7AgY2yQkdeNQvtOssygGsXbiKo/edit?usp=sharing"",""อุตรดิตถ์!J701"")"),0)</f>
        <v>0</v>
      </c>
      <c r="AB29" s="177">
        <f ca="1">IFERROR(__xludf.DUMMYFUNCTION("IMPORTRANGE(""https://docs.google.com/spreadsheets/d/1v0b9pFQCsKUVExMei7AgY2yQkdeNQvtOssygGsXbiKo/edit?usp=sharing"",""อุตรดิตถ์!J702"")"),0)</f>
        <v>0</v>
      </c>
      <c r="AC29" s="354">
        <f t="shared" ca="1" si="46"/>
        <v>0</v>
      </c>
      <c r="AD29" s="353">
        <f ca="1">IFERROR(__xludf.DUMMYFUNCTION("IMPORTRANGE(""https://docs.google.com/spreadsheets/d/1v0b9pFQCsKUVExMei7AgY2yQkdeNQvtOssygGsXbiKo/edit?usp=sharing"",""อุตรดิตถ์!I703"")"),0)</f>
        <v>0</v>
      </c>
      <c r="AE29" s="177">
        <f ca="1">IFERROR(__xludf.DUMMYFUNCTION("IMPORTRANGE(""https://docs.google.com/spreadsheets/d/1v0b9pFQCsKUVExMei7AgY2yQkdeNQvtOssygGsXbiKo/edit?usp=sharing"",""อุตรดิตถ์!J703"")"),0)</f>
        <v>0</v>
      </c>
      <c r="AF29" s="177">
        <f ca="1">IFERROR(__xludf.DUMMYFUNCTION("IMPORTRANGE(""https://docs.google.com/spreadsheets/d/1v0b9pFQCsKUVExMei7AgY2yQkdeNQvtOssygGsXbiKo/edit?usp=sharing"",""อุตรดิตถ์!J704"")"),0)</f>
        <v>0</v>
      </c>
      <c r="AG29" s="354">
        <f t="shared" ca="1" si="48"/>
        <v>0</v>
      </c>
      <c r="AH29" s="495">
        <f ca="1">IFERROR(__xludf.DUMMYFUNCTION("IMPORTRANGE(""https://docs.google.com/spreadsheets/d/1v0b9pFQCsKUVExMei7AgY2yQkdeNQvtOssygGsXbiKo/edit?usp=sharing"",""อุตรดิตถ์!I705"")"),3)</f>
        <v>3</v>
      </c>
      <c r="AI29" s="496">
        <f ca="1">IFERROR(__xludf.DUMMYFUNCTION("IMPORTRANGE(""https://docs.google.com/spreadsheets/d/1v0b9pFQCsKUVExMei7AgY2yQkdeNQvtOssygGsXbiKo/edit?usp=sharing"",""อุตรดิตถ์!J705"")"),0)</f>
        <v>0</v>
      </c>
      <c r="AJ29" s="496">
        <f ca="1">IFERROR(__xludf.DUMMYFUNCTION("IMPORTRANGE(""https://docs.google.com/spreadsheets/d/1v0b9pFQCsKUVExMei7AgY2yQkdeNQvtOssygGsXbiKo/edit?usp=sharing"",""อุตรดิตถ์!J706"")"),0)</f>
        <v>0</v>
      </c>
      <c r="AK29" s="497">
        <f t="shared" ca="1" si="50"/>
        <v>0</v>
      </c>
      <c r="AL29" s="353">
        <f ca="1">IFERROR(__xludf.DUMMYFUNCTION("IMPORTRANGE(""https://docs.google.com/spreadsheets/d/1v0b9pFQCsKUVExMei7AgY2yQkdeNQvtOssygGsXbiKo/edit?usp=sharing"",""อุตรดิตถ์!I707"")"),0)</f>
        <v>0</v>
      </c>
      <c r="AM29" s="177">
        <f ca="1">IFERROR(__xludf.DUMMYFUNCTION("IMPORTRANGE(""https://docs.google.com/spreadsheets/d/1v0b9pFQCsKUVExMei7AgY2yQkdeNQvtOssygGsXbiKo/edit?usp=sharing"",""อุตรดิตถ์!J707"")"),0)</f>
        <v>0</v>
      </c>
      <c r="AN29" s="177">
        <f ca="1">IFERROR(__xludf.DUMMYFUNCTION("IMPORTRANGE(""https://docs.google.com/spreadsheets/d/1v0b9pFQCsKUVExMei7AgY2yQkdeNQvtOssygGsXbiKo/edit?usp=sharing"",""อุตรดิตถ์!J708"")"),0)</f>
        <v>0</v>
      </c>
      <c r="AO29" s="354">
        <f t="shared" ca="1" si="52"/>
        <v>0</v>
      </c>
      <c r="AP29" s="495">
        <f ca="1">IFERROR(__xludf.DUMMYFUNCTION("IMPORTRANGE(""https://docs.google.com/spreadsheets/d/1v0b9pFQCsKUVExMei7AgY2yQkdeNQvtOssygGsXbiKo/edit?usp=sharing"",""อุตรดิตถ์!I709"")"),3)</f>
        <v>3</v>
      </c>
      <c r="AQ29" s="496">
        <f ca="1">IFERROR(__xludf.DUMMYFUNCTION("IMPORTRANGE(""https://docs.google.com/spreadsheets/d/1v0b9pFQCsKUVExMei7AgY2yQkdeNQvtOssygGsXbiKo/edit?usp=sharing"",""อุตรดิตถ์!J709"")"),0)</f>
        <v>0</v>
      </c>
      <c r="AR29" s="496">
        <f ca="1">IFERROR(__xludf.DUMMYFUNCTION("IMPORTRANGE(""https://docs.google.com/spreadsheets/d/1v0b9pFQCsKUVExMei7AgY2yQkdeNQvtOssygGsXbiKo/edit?usp=sharing"",""อุตรดิตถ์!J710"")"),0)</f>
        <v>0</v>
      </c>
      <c r="AS29" s="497">
        <f t="shared" ca="1" si="54"/>
        <v>0</v>
      </c>
    </row>
    <row r="30" spans="1:45" ht="24.75" customHeight="1" x14ac:dyDescent="0.3">
      <c r="A30" s="100">
        <v>17</v>
      </c>
      <c r="B30" s="101" t="s">
        <v>56</v>
      </c>
      <c r="C30" s="182">
        <f t="shared" si="32"/>
        <v>0</v>
      </c>
      <c r="D30" s="183">
        <f t="shared" si="55"/>
        <v>0</v>
      </c>
      <c r="E30" s="409">
        <v>0</v>
      </c>
      <c r="F30" s="409">
        <v>0</v>
      </c>
      <c r="G30" s="409">
        <v>0</v>
      </c>
      <c r="H30" s="409">
        <v>0</v>
      </c>
      <c r="I30" s="409">
        <v>0</v>
      </c>
      <c r="J30" s="184">
        <f t="shared" si="34"/>
        <v>0</v>
      </c>
      <c r="K30" s="185">
        <f t="shared" si="35"/>
        <v>0</v>
      </c>
      <c r="L30" s="409">
        <v>0</v>
      </c>
      <c r="M30" s="109">
        <f t="shared" si="36"/>
        <v>0</v>
      </c>
      <c r="N30" s="109">
        <f t="shared" si="37"/>
        <v>0</v>
      </c>
      <c r="O30" s="409">
        <v>0</v>
      </c>
      <c r="P30" s="108">
        <f t="shared" si="38"/>
        <v>0</v>
      </c>
      <c r="Q30" s="109">
        <f t="shared" si="39"/>
        <v>0</v>
      </c>
      <c r="R30" s="109">
        <f ca="1">IFERROR(__xludf.DUMMYFUNCTION("IMPORTRANGE(""https://docs.google.com/spreadsheets/d/1UsNK1e-WWiCo2PvGqdNfdme4m17_Ezd3J69EeeiQPD0/edit?usp=sharing"",""อุทัยธานี!Q690"")"),159650)</f>
        <v>159650</v>
      </c>
      <c r="S30" s="109">
        <f ca="1">IFERROR(__xludf.DUMMYFUNCTION("IMPORTRANGE(""https://docs.google.com/spreadsheets/d/1UsNK1e-WWiCo2PvGqdNfdme4m17_Ezd3J69EeeiQPD0/edit?usp=sharing"",""อุทัยธานี!R690"")"),0)</f>
        <v>0</v>
      </c>
      <c r="T30" s="109">
        <f ca="1">IFERROR(__xludf.DUMMYFUNCTION("IMPORTRANGE(""https://docs.google.com/spreadsheets/d/1UsNK1e-WWiCo2PvGqdNfdme4m17_Ezd3J69EeeiQPD0/edit?usp=sharing"",""อุทัยธานี!S690"")"),16808)</f>
        <v>16808</v>
      </c>
      <c r="U30" s="109">
        <f t="shared" ca="1" si="41"/>
        <v>10.528030065768869</v>
      </c>
      <c r="V30" s="109">
        <f t="shared" ca="1" si="42"/>
        <v>0</v>
      </c>
      <c r="W30" s="356">
        <f ca="1">IFERROR(__xludf.DUMMYFUNCTION("IMPORTRANGE(""https://docs.google.com/spreadsheets/d/1UsNK1e-WWiCo2PvGqdNfdme4m17_Ezd3J69EeeiQPD0/edit?usp=sharing"",""อุทัยธานี!I700"")"),0)</f>
        <v>0</v>
      </c>
      <c r="X30" s="186">
        <f ca="1">IFERROR(__xludf.DUMMYFUNCTION("IMPORTRANGE(""https://docs.google.com/spreadsheets/d/1UsNK1e-WWiCo2PvGqdNfdme4m17_Ezd3J69EeeiQPD0/edit?usp=sharing"",""อุทัยธานี!J700"")"),0)</f>
        <v>0</v>
      </c>
      <c r="Y30" s="357">
        <f t="shared" ca="1" si="44"/>
        <v>0</v>
      </c>
      <c r="Z30" s="356">
        <f ca="1">IFERROR(__xludf.DUMMYFUNCTION("IMPORTRANGE(""https://docs.google.com/spreadsheets/d/1UsNK1e-WWiCo2PvGqdNfdme4m17_Ezd3J69EeeiQPD0/edit?usp=sharing"",""อุทัยธานี!I701"")"),59)</f>
        <v>59</v>
      </c>
      <c r="AA30" s="186">
        <f ca="1">IFERROR(__xludf.DUMMYFUNCTION("IMPORTRANGE(""https://docs.google.com/spreadsheets/d/1UsNK1e-WWiCo2PvGqdNfdme4m17_Ezd3J69EeeiQPD0/edit?usp=sharing"",""อุทัยธานี!J701"")"),2)</f>
        <v>2</v>
      </c>
      <c r="AB30" s="186">
        <f ca="1">IFERROR(__xludf.DUMMYFUNCTION("IMPORTRANGE(""https://docs.google.com/spreadsheets/d/1UsNK1e-WWiCo2PvGqdNfdme4m17_Ezd3J69EeeiQPD0/edit?usp=sharing"",""อุทัยธานี!J702"")"),6.51)</f>
        <v>6.51</v>
      </c>
      <c r="AC30" s="357">
        <f t="shared" ca="1" si="46"/>
        <v>3.3898305084745761</v>
      </c>
      <c r="AD30" s="356">
        <f ca="1">IFERROR(__xludf.DUMMYFUNCTION("IMPORTRANGE(""https://docs.google.com/spreadsheets/d/1UsNK1e-WWiCo2PvGqdNfdme4m17_Ezd3J69EeeiQPD0/edit?usp=sharing"",""อุทัยธานี!I703"")"),55)</f>
        <v>55</v>
      </c>
      <c r="AE30" s="186">
        <f ca="1">IFERROR(__xludf.DUMMYFUNCTION("IMPORTRANGE(""https://docs.google.com/spreadsheets/d/1UsNK1e-WWiCo2PvGqdNfdme4m17_Ezd3J69EeeiQPD0/edit?usp=sharing"",""อุทัยธานี!J703"")"),2)</f>
        <v>2</v>
      </c>
      <c r="AF30" s="186">
        <f ca="1">IFERROR(__xludf.DUMMYFUNCTION("IMPORTRANGE(""https://docs.google.com/spreadsheets/d/1UsNK1e-WWiCo2PvGqdNfdme4m17_Ezd3J69EeeiQPD0/edit?usp=sharing"",""อุทัยธานี!J704"")"),6.51)</f>
        <v>6.51</v>
      </c>
      <c r="AG30" s="357">
        <f t="shared" ca="1" si="48"/>
        <v>3.6363636363636362</v>
      </c>
      <c r="AH30" s="498">
        <f ca="1">IFERROR(__xludf.DUMMYFUNCTION("IMPORTRANGE(""https://docs.google.com/spreadsheets/d/1UsNK1e-WWiCo2PvGqdNfdme4m17_Ezd3J69EeeiQPD0/edit?usp=sharing"",""อุทัยธานี!I705"")"),4)</f>
        <v>4</v>
      </c>
      <c r="AI30" s="499">
        <f ca="1">IFERROR(__xludf.DUMMYFUNCTION("IMPORTRANGE(""https://docs.google.com/spreadsheets/d/1UsNK1e-WWiCo2PvGqdNfdme4m17_Ezd3J69EeeiQPD0/edit?usp=sharing"",""อุทัยธานี!J705"")"),0)</f>
        <v>0</v>
      </c>
      <c r="AJ30" s="499">
        <f ca="1">IFERROR(__xludf.DUMMYFUNCTION("IMPORTRANGE(""https://docs.google.com/spreadsheets/d/1UsNK1e-WWiCo2PvGqdNfdme4m17_Ezd3J69EeeiQPD0/edit?usp=sharing"",""อุทัยธานี!J706"")"),0)</f>
        <v>0</v>
      </c>
      <c r="AK30" s="500">
        <f t="shared" ca="1" si="50"/>
        <v>0</v>
      </c>
      <c r="AL30" s="356">
        <f ca="1">IFERROR(__xludf.DUMMYFUNCTION("IMPORTRANGE(""https://docs.google.com/spreadsheets/d/1UsNK1e-WWiCo2PvGqdNfdme4m17_Ezd3J69EeeiQPD0/edit?usp=sharing"",""อุทัยธานี!I707"")"),55)</f>
        <v>55</v>
      </c>
      <c r="AM30" s="186">
        <f ca="1">IFERROR(__xludf.DUMMYFUNCTION("IMPORTRANGE(""https://docs.google.com/spreadsheets/d/1UsNK1e-WWiCo2PvGqdNfdme4m17_Ezd3J69EeeiQPD0/edit?usp=sharing"",""อุทัยธานี!J707"")"),0)</f>
        <v>0</v>
      </c>
      <c r="AN30" s="186">
        <f ca="1">IFERROR(__xludf.DUMMYFUNCTION("IMPORTRANGE(""https://docs.google.com/spreadsheets/d/1UsNK1e-WWiCo2PvGqdNfdme4m17_Ezd3J69EeeiQPD0/edit?usp=sharing"",""อุทัยธานี!J708"")"),0)</f>
        <v>0</v>
      </c>
      <c r="AO30" s="357">
        <f t="shared" ca="1" si="52"/>
        <v>0</v>
      </c>
      <c r="AP30" s="498">
        <f ca="1">IFERROR(__xludf.DUMMYFUNCTION("IMPORTRANGE(""https://docs.google.com/spreadsheets/d/1UsNK1e-WWiCo2PvGqdNfdme4m17_Ezd3J69EeeiQPD0/edit?usp=sharing"",""อุทัยธานี!I709"")"),4)</f>
        <v>4</v>
      </c>
      <c r="AQ30" s="499">
        <f ca="1">IFERROR(__xludf.DUMMYFUNCTION("IMPORTRANGE(""https://docs.google.com/spreadsheets/d/1UsNK1e-WWiCo2PvGqdNfdme4m17_Ezd3J69EeeiQPD0/edit?usp=sharing"",""อุทัยธานี!J709"")"),0)</f>
        <v>0</v>
      </c>
      <c r="AR30" s="499">
        <f ca="1">IFERROR(__xludf.DUMMYFUNCTION("IMPORTRANGE(""https://docs.google.com/spreadsheets/d/1UsNK1e-WWiCo2PvGqdNfdme4m17_Ezd3J69EeeiQPD0/edit?usp=sharing"",""อุทัยธานี!J710"")"),0)</f>
        <v>0</v>
      </c>
      <c r="AS30" s="500">
        <f t="shared" ca="1" si="54"/>
        <v>0</v>
      </c>
    </row>
    <row r="31" spans="1:45" ht="24.75" customHeight="1" x14ac:dyDescent="0.3">
      <c r="A31" s="625" t="s">
        <v>57</v>
      </c>
      <c r="B31" s="626"/>
      <c r="C31" s="161">
        <f t="shared" si="32"/>
        <v>0</v>
      </c>
      <c r="D31" s="161">
        <f t="shared" ref="D31:I31" si="56">SUM(D32:D51)</f>
        <v>0</v>
      </c>
      <c r="E31" s="161">
        <f t="shared" si="56"/>
        <v>0</v>
      </c>
      <c r="F31" s="161">
        <f t="shared" si="56"/>
        <v>0</v>
      </c>
      <c r="G31" s="161">
        <f t="shared" si="56"/>
        <v>0</v>
      </c>
      <c r="H31" s="161">
        <f t="shared" si="56"/>
        <v>0</v>
      </c>
      <c r="I31" s="161">
        <f t="shared" si="56"/>
        <v>0</v>
      </c>
      <c r="J31" s="161">
        <f t="shared" si="34"/>
        <v>0</v>
      </c>
      <c r="K31" s="162">
        <f t="shared" si="35"/>
        <v>0</v>
      </c>
      <c r="L31" s="161">
        <f>SUM(L32:L51)</f>
        <v>0</v>
      </c>
      <c r="M31" s="40">
        <f t="shared" si="36"/>
        <v>0</v>
      </c>
      <c r="N31" s="40">
        <f t="shared" si="37"/>
        <v>0</v>
      </c>
      <c r="O31" s="39">
        <f>SUM(O32:O51)</f>
        <v>0</v>
      </c>
      <c r="P31" s="39">
        <f t="shared" si="38"/>
        <v>0</v>
      </c>
      <c r="Q31" s="40">
        <f t="shared" si="39"/>
        <v>0</v>
      </c>
      <c r="R31" s="40">
        <f t="shared" ref="R31:T31" ca="1" si="57">SUM(R32:R51)</f>
        <v>7251790</v>
      </c>
      <c r="S31" s="40">
        <f t="shared" ca="1" si="57"/>
        <v>0</v>
      </c>
      <c r="T31" s="40">
        <f t="shared" ca="1" si="57"/>
        <v>316740</v>
      </c>
      <c r="U31" s="40">
        <f t="shared" ca="1" si="41"/>
        <v>4.3677492039896357</v>
      </c>
      <c r="V31" s="40">
        <f t="shared" ca="1" si="42"/>
        <v>0</v>
      </c>
      <c r="W31" s="347">
        <f t="shared" ref="W31:X31" ca="1" si="58">SUM(W32:W51)</f>
        <v>4</v>
      </c>
      <c r="X31" s="451">
        <f t="shared" ca="1" si="58"/>
        <v>0</v>
      </c>
      <c r="Y31" s="40">
        <f t="shared" ca="1" si="44"/>
        <v>0</v>
      </c>
      <c r="Z31" s="347">
        <f t="shared" ref="Z31:AB31" ca="1" si="59">SUM(Z32:Z51)</f>
        <v>5203</v>
      </c>
      <c r="AA31" s="451">
        <f t="shared" ca="1" si="59"/>
        <v>867</v>
      </c>
      <c r="AB31" s="451">
        <f t="shared" ca="1" si="59"/>
        <v>581.61</v>
      </c>
      <c r="AC31" s="40">
        <f t="shared" ca="1" si="46"/>
        <v>16.663463386507782</v>
      </c>
      <c r="AD31" s="347">
        <f t="shared" ref="AD31:AF31" ca="1" si="60">SUM(AD32:AD51)</f>
        <v>5101</v>
      </c>
      <c r="AE31" s="451">
        <f t="shared" ca="1" si="60"/>
        <v>867</v>
      </c>
      <c r="AF31" s="451">
        <f t="shared" ca="1" si="60"/>
        <v>581.61</v>
      </c>
      <c r="AG31" s="40">
        <f t="shared" ca="1" si="48"/>
        <v>16.996667320133309</v>
      </c>
      <c r="AH31" s="489">
        <f t="shared" ref="AH31:AJ31" ca="1" si="61">SUM(AH32:AH51)</f>
        <v>102</v>
      </c>
      <c r="AI31" s="490">
        <f t="shared" ca="1" si="61"/>
        <v>0</v>
      </c>
      <c r="AJ31" s="490">
        <f t="shared" ca="1" si="61"/>
        <v>0</v>
      </c>
      <c r="AK31" s="491">
        <f t="shared" ca="1" si="50"/>
        <v>0</v>
      </c>
      <c r="AL31" s="347">
        <f t="shared" ref="AL31:AN31" ca="1" si="62">SUM(AL32:AL51)</f>
        <v>5101</v>
      </c>
      <c r="AM31" s="451">
        <f t="shared" ca="1" si="62"/>
        <v>50</v>
      </c>
      <c r="AN31" s="451">
        <f t="shared" ca="1" si="62"/>
        <v>17.29</v>
      </c>
      <c r="AO31" s="40">
        <f t="shared" ca="1" si="52"/>
        <v>0.98019996079200156</v>
      </c>
      <c r="AP31" s="489">
        <f t="shared" ref="AP31:AR31" ca="1" si="63">SUM(AP32:AP51)</f>
        <v>102</v>
      </c>
      <c r="AQ31" s="490">
        <f t="shared" ca="1" si="63"/>
        <v>0</v>
      </c>
      <c r="AR31" s="490">
        <f t="shared" ca="1" si="63"/>
        <v>0</v>
      </c>
      <c r="AS31" s="491">
        <f t="shared" ca="1" si="54"/>
        <v>0</v>
      </c>
    </row>
    <row r="32" spans="1:45" ht="24.75" customHeight="1" x14ac:dyDescent="0.3">
      <c r="A32" s="77">
        <v>1</v>
      </c>
      <c r="B32" s="78" t="s">
        <v>58</v>
      </c>
      <c r="C32" s="174">
        <f t="shared" si="32"/>
        <v>0</v>
      </c>
      <c r="D32" s="175">
        <f t="shared" ref="D32:D51" si="64">+E32+F32</f>
        <v>0</v>
      </c>
      <c r="E32" s="403">
        <v>0</v>
      </c>
      <c r="F32" s="403">
        <v>0</v>
      </c>
      <c r="G32" s="219">
        <v>0</v>
      </c>
      <c r="H32" s="219">
        <v>0</v>
      </c>
      <c r="I32" s="219">
        <v>0</v>
      </c>
      <c r="J32" s="177">
        <f t="shared" si="34"/>
        <v>0</v>
      </c>
      <c r="K32" s="178">
        <f t="shared" si="35"/>
        <v>0</v>
      </c>
      <c r="L32" s="219">
        <v>0</v>
      </c>
      <c r="M32" s="87">
        <f t="shared" si="36"/>
        <v>0</v>
      </c>
      <c r="N32" s="87">
        <f t="shared" si="37"/>
        <v>0</v>
      </c>
      <c r="O32" s="403">
        <v>0</v>
      </c>
      <c r="P32" s="86">
        <f t="shared" si="38"/>
        <v>0</v>
      </c>
      <c r="Q32" s="87">
        <f t="shared" si="39"/>
        <v>0</v>
      </c>
      <c r="R32" s="87">
        <f ca="1">IFERROR(__xludf.DUMMYFUNCTION("IMPORTRANGE(""https://docs.google.com/spreadsheets/d/1yhBcrRPreicbMKl9Bu_Snb2-OcQAF62RKfhTLhJ2eAA/edit?usp=sharing"",""กาฬสินธุ์!Q690"")"),151660)</f>
        <v>151660</v>
      </c>
      <c r="S32" s="87">
        <f ca="1">IFERROR(__xludf.DUMMYFUNCTION("IMPORTRANGE(""https://docs.google.com/spreadsheets/d/1yhBcrRPreicbMKl9Bu_Snb2-OcQAF62RKfhTLhJ2eAA/edit?usp=sharing"",""กาฬสินธุ์!R690"")"),0)</f>
        <v>0</v>
      </c>
      <c r="T32" s="87">
        <f ca="1">IFERROR(__xludf.DUMMYFUNCTION("IMPORTRANGE(""https://docs.google.com/spreadsheets/d/1yhBcrRPreicbMKl9Bu_Snb2-OcQAF62RKfhTLhJ2eAA/edit?usp=sharing"",""กาฬสินธุ์!S690"")"),0)</f>
        <v>0</v>
      </c>
      <c r="U32" s="87">
        <f t="shared" ca="1" si="41"/>
        <v>0</v>
      </c>
      <c r="V32" s="87">
        <f t="shared" ca="1" si="42"/>
        <v>0</v>
      </c>
      <c r="W32" s="353">
        <f ca="1">IFERROR(__xludf.DUMMYFUNCTION("IMPORTRANGE(""https://docs.google.com/spreadsheets/d/1yhBcrRPreicbMKl9Bu_Snb2-OcQAF62RKfhTLhJ2eAA/edit?usp=sharing"",""กาฬสินธุ์!I700"")"),0)</f>
        <v>0</v>
      </c>
      <c r="X32" s="177">
        <f ca="1">IFERROR(__xludf.DUMMYFUNCTION("IMPORTRANGE(""https://docs.google.com/spreadsheets/d/1yhBcrRPreicbMKl9Bu_Snb2-OcQAF62RKfhTLhJ2eAA/edit?usp=sharing"",""กาฬสินธุ์!J700"")"),0)</f>
        <v>0</v>
      </c>
      <c r="Y32" s="354">
        <f t="shared" ca="1" si="44"/>
        <v>0</v>
      </c>
      <c r="Z32" s="353">
        <f ca="1">IFERROR(__xludf.DUMMYFUNCTION("IMPORTRANGE(""https://docs.google.com/spreadsheets/d/1yhBcrRPreicbMKl9Bu_Snb2-OcQAF62RKfhTLhJ2eAA/edit?usp=sharing"",""กาฬสินธุ์!I701"")"),44)</f>
        <v>44</v>
      </c>
      <c r="AA32" s="177">
        <f ca="1">IFERROR(__xludf.DUMMYFUNCTION("IMPORTRANGE(""https://docs.google.com/spreadsheets/d/1yhBcrRPreicbMKl9Bu_Snb2-OcQAF62RKfhTLhJ2eAA/edit?usp=sharing"",""กาฬสินธุ์!J701"")"),0)</f>
        <v>0</v>
      </c>
      <c r="AB32" s="177">
        <f ca="1">IFERROR(__xludf.DUMMYFUNCTION("IMPORTRANGE(""https://docs.google.com/spreadsheets/d/1yhBcrRPreicbMKl9Bu_Snb2-OcQAF62RKfhTLhJ2eAA/edit?usp=sharing"",""กาฬสินธุ์!J702"")"),0)</f>
        <v>0</v>
      </c>
      <c r="AC32" s="354">
        <f t="shared" ca="1" si="46"/>
        <v>0</v>
      </c>
      <c r="AD32" s="353">
        <f ca="1">IFERROR(__xludf.DUMMYFUNCTION("IMPORTRANGE(""https://docs.google.com/spreadsheets/d/1yhBcrRPreicbMKl9Bu_Snb2-OcQAF62RKfhTLhJ2eAA/edit?usp=sharing"",""กาฬสินธุ์!I703"")"),40)</f>
        <v>40</v>
      </c>
      <c r="AE32" s="177">
        <f ca="1">IFERROR(__xludf.DUMMYFUNCTION("IMPORTRANGE(""https://docs.google.com/spreadsheets/d/1yhBcrRPreicbMKl9Bu_Snb2-OcQAF62RKfhTLhJ2eAA/edit?usp=sharing"",""กาฬสินธุ์!J703"")"),0)</f>
        <v>0</v>
      </c>
      <c r="AF32" s="177">
        <f ca="1">IFERROR(__xludf.DUMMYFUNCTION("IMPORTRANGE(""https://docs.google.com/spreadsheets/d/1yhBcrRPreicbMKl9Bu_Snb2-OcQAF62RKfhTLhJ2eAA/edit?usp=sharing"",""กาฬสินธุ์!J704"")"),0)</f>
        <v>0</v>
      </c>
      <c r="AG32" s="354">
        <f t="shared" ca="1" si="48"/>
        <v>0</v>
      </c>
      <c r="AH32" s="495">
        <f ca="1">IFERROR(__xludf.DUMMYFUNCTION("IMPORTRANGE(""https://docs.google.com/spreadsheets/d/1yhBcrRPreicbMKl9Bu_Snb2-OcQAF62RKfhTLhJ2eAA/edit?usp=sharing"",""กาฬสินธุ์!I705"")"),4)</f>
        <v>4</v>
      </c>
      <c r="AI32" s="496">
        <f ca="1">IFERROR(__xludf.DUMMYFUNCTION("IMPORTRANGE(""https://docs.google.com/spreadsheets/d/1yhBcrRPreicbMKl9Bu_Snb2-OcQAF62RKfhTLhJ2eAA/edit?usp=sharing"",""กาฬสินธุ์!J705"")"),0)</f>
        <v>0</v>
      </c>
      <c r="AJ32" s="496">
        <f ca="1">IFERROR(__xludf.DUMMYFUNCTION("IMPORTRANGE(""https://docs.google.com/spreadsheets/d/1yhBcrRPreicbMKl9Bu_Snb2-OcQAF62RKfhTLhJ2eAA/edit?usp=sharing"",""กาฬสินธุ์!J706"")"),0)</f>
        <v>0</v>
      </c>
      <c r="AK32" s="497">
        <f t="shared" ca="1" si="50"/>
        <v>0</v>
      </c>
      <c r="AL32" s="353">
        <f ca="1">IFERROR(__xludf.DUMMYFUNCTION("IMPORTRANGE(""https://docs.google.com/spreadsheets/d/1yhBcrRPreicbMKl9Bu_Snb2-OcQAF62RKfhTLhJ2eAA/edit?usp=sharing"",""กาฬสินธุ์!I707"")"),40)</f>
        <v>40</v>
      </c>
      <c r="AM32" s="177">
        <f ca="1">IFERROR(__xludf.DUMMYFUNCTION("IMPORTRANGE(""https://docs.google.com/spreadsheets/d/1yhBcrRPreicbMKl9Bu_Snb2-OcQAF62RKfhTLhJ2eAA/edit?usp=sharing"",""กาฬสินธุ์!J707"")"),0)</f>
        <v>0</v>
      </c>
      <c r="AN32" s="177">
        <f ca="1">IFERROR(__xludf.DUMMYFUNCTION("IMPORTRANGE(""https://docs.google.com/spreadsheets/d/1yhBcrRPreicbMKl9Bu_Snb2-OcQAF62RKfhTLhJ2eAA/edit?usp=sharing"",""กาฬสินธุ์!J708"")"),0)</f>
        <v>0</v>
      </c>
      <c r="AO32" s="354">
        <f t="shared" ca="1" si="52"/>
        <v>0</v>
      </c>
      <c r="AP32" s="495">
        <f ca="1">IFERROR(__xludf.DUMMYFUNCTION("IMPORTRANGE(""https://docs.google.com/spreadsheets/d/1yhBcrRPreicbMKl9Bu_Snb2-OcQAF62RKfhTLhJ2eAA/edit?usp=sharing"",""กาฬสินธุ์!I709"")"),4)</f>
        <v>4</v>
      </c>
      <c r="AQ32" s="496">
        <f ca="1">IFERROR(__xludf.DUMMYFUNCTION("IMPORTRANGE(""https://docs.google.com/spreadsheets/d/1yhBcrRPreicbMKl9Bu_Snb2-OcQAF62RKfhTLhJ2eAA/edit?usp=sharing"",""กาฬสินธุ์!J709"")"),0)</f>
        <v>0</v>
      </c>
      <c r="AR32" s="496">
        <f ca="1">IFERROR(__xludf.DUMMYFUNCTION("IMPORTRANGE(""https://docs.google.com/spreadsheets/d/1yhBcrRPreicbMKl9Bu_Snb2-OcQAF62RKfhTLhJ2eAA/edit?usp=sharing"",""กาฬสินธุ์!J710"")"),0)</f>
        <v>0</v>
      </c>
      <c r="AS32" s="497">
        <f t="shared" ca="1" si="54"/>
        <v>0</v>
      </c>
    </row>
    <row r="33" spans="1:45" ht="24.75" customHeight="1" x14ac:dyDescent="0.3">
      <c r="A33" s="89">
        <v>2</v>
      </c>
      <c r="B33" s="90" t="s">
        <v>59</v>
      </c>
      <c r="C33" s="174">
        <f t="shared" si="32"/>
        <v>0</v>
      </c>
      <c r="D33" s="175">
        <f t="shared" si="64"/>
        <v>0</v>
      </c>
      <c r="E33" s="403">
        <v>0</v>
      </c>
      <c r="F33" s="403">
        <v>0</v>
      </c>
      <c r="G33" s="403">
        <v>0</v>
      </c>
      <c r="H33" s="403">
        <v>0</v>
      </c>
      <c r="I33" s="403">
        <v>0</v>
      </c>
      <c r="J33" s="176">
        <f t="shared" si="34"/>
        <v>0</v>
      </c>
      <c r="K33" s="179">
        <f t="shared" si="35"/>
        <v>0</v>
      </c>
      <c r="L33" s="403">
        <v>0</v>
      </c>
      <c r="M33" s="87">
        <f t="shared" si="36"/>
        <v>0</v>
      </c>
      <c r="N33" s="87">
        <f t="shared" si="37"/>
        <v>0</v>
      </c>
      <c r="O33" s="403">
        <v>0</v>
      </c>
      <c r="P33" s="86">
        <f t="shared" si="38"/>
        <v>0</v>
      </c>
      <c r="Q33" s="87">
        <f t="shared" si="39"/>
        <v>0</v>
      </c>
      <c r="R33" s="87">
        <f ca="1">IFERROR(__xludf.DUMMYFUNCTION("IMPORTRANGE(""https://docs.google.com/spreadsheets/d/1aHkj4IaQMThhwWwevcOymEh837vdxeC_PycurhTbGFA/edit?usp=sharing"",""ขอนแก่น!Q690"")"),201730)</f>
        <v>201730</v>
      </c>
      <c r="S33" s="87">
        <f ca="1">IFERROR(__xludf.DUMMYFUNCTION("IMPORTRANGE(""https://docs.google.com/spreadsheets/d/1aHkj4IaQMThhwWwevcOymEh837vdxeC_PycurhTbGFA/edit?usp=sharing"",""ขอนแก่น!R690"")"),0)</f>
        <v>0</v>
      </c>
      <c r="T33" s="87">
        <f ca="1">IFERROR(__xludf.DUMMYFUNCTION("IMPORTRANGE(""https://docs.google.com/spreadsheets/d/1aHkj4IaQMThhwWwevcOymEh837vdxeC_PycurhTbGFA/edit?usp=sharing"",""ขอนแก่น!S690"")"),0)</f>
        <v>0</v>
      </c>
      <c r="U33" s="87">
        <f t="shared" ca="1" si="41"/>
        <v>0</v>
      </c>
      <c r="V33" s="87">
        <f t="shared" ca="1" si="42"/>
        <v>0</v>
      </c>
      <c r="W33" s="353">
        <f ca="1">IFERROR(__xludf.DUMMYFUNCTION("IMPORTRANGE(""https://docs.google.com/spreadsheets/d/1aHkj4IaQMThhwWwevcOymEh837vdxeC_PycurhTbGFA/edit?usp=sharing"",""ขอนแก่น!I700"")"),0)</f>
        <v>0</v>
      </c>
      <c r="X33" s="177">
        <f ca="1">IFERROR(__xludf.DUMMYFUNCTION("IMPORTRANGE(""https://docs.google.com/spreadsheets/d/1aHkj4IaQMThhwWwevcOymEh837vdxeC_PycurhTbGFA/edit?usp=sharing"",""ขอนแก่น!J700"")"),0)</f>
        <v>0</v>
      </c>
      <c r="Y33" s="354">
        <f t="shared" ca="1" si="44"/>
        <v>0</v>
      </c>
      <c r="Z33" s="353">
        <f ca="1">IFERROR(__xludf.DUMMYFUNCTION("IMPORTRANGE(""https://docs.google.com/spreadsheets/d/1aHkj4IaQMThhwWwevcOymEh837vdxeC_PycurhTbGFA/edit?usp=sharing"",""ขอนแก่น!I701"")"),55)</f>
        <v>55</v>
      </c>
      <c r="AA33" s="177">
        <f ca="1">IFERROR(__xludf.DUMMYFUNCTION("IMPORTRANGE(""https://docs.google.com/spreadsheets/d/1aHkj4IaQMThhwWwevcOymEh837vdxeC_PycurhTbGFA/edit?usp=sharing"",""ขอนแก่น!J701"")"),0)</f>
        <v>0</v>
      </c>
      <c r="AB33" s="177">
        <f ca="1">IFERROR(__xludf.DUMMYFUNCTION("IMPORTRANGE(""https://docs.google.com/spreadsheets/d/1aHkj4IaQMThhwWwevcOymEh837vdxeC_PycurhTbGFA/edit?usp=sharing"",""ขอนแก่น!J702"")"),0)</f>
        <v>0</v>
      </c>
      <c r="AC33" s="354">
        <f t="shared" ca="1" si="46"/>
        <v>0</v>
      </c>
      <c r="AD33" s="353">
        <f ca="1">IFERROR(__xludf.DUMMYFUNCTION("IMPORTRANGE(""https://docs.google.com/spreadsheets/d/1aHkj4IaQMThhwWwevcOymEh837vdxeC_PycurhTbGFA/edit?usp=sharing"",""ขอนแก่น!I703"")"),50)</f>
        <v>50</v>
      </c>
      <c r="AE33" s="177">
        <f ca="1">IFERROR(__xludf.DUMMYFUNCTION("IMPORTRANGE(""https://docs.google.com/spreadsheets/d/1aHkj4IaQMThhwWwevcOymEh837vdxeC_PycurhTbGFA/edit?usp=sharing"",""ขอนแก่น!J703"")"),0)</f>
        <v>0</v>
      </c>
      <c r="AF33" s="177">
        <f ca="1">IFERROR(__xludf.DUMMYFUNCTION("IMPORTRANGE(""https://docs.google.com/spreadsheets/d/1aHkj4IaQMThhwWwevcOymEh837vdxeC_PycurhTbGFA/edit?usp=sharing"",""ขอนแก่น!J704"")"),0)</f>
        <v>0</v>
      </c>
      <c r="AG33" s="354">
        <f t="shared" ca="1" si="48"/>
        <v>0</v>
      </c>
      <c r="AH33" s="495">
        <f ca="1">IFERROR(__xludf.DUMMYFUNCTION("IMPORTRANGE(""https://docs.google.com/spreadsheets/d/1aHkj4IaQMThhwWwevcOymEh837vdxeC_PycurhTbGFA/edit?usp=sharing"",""ขอนแก่น!I705"")"),5)</f>
        <v>5</v>
      </c>
      <c r="AI33" s="496">
        <f ca="1">IFERROR(__xludf.DUMMYFUNCTION("IMPORTRANGE(""https://docs.google.com/spreadsheets/d/1aHkj4IaQMThhwWwevcOymEh837vdxeC_PycurhTbGFA/edit?usp=sharing"",""ขอนแก่น!J705"")"),0)</f>
        <v>0</v>
      </c>
      <c r="AJ33" s="496">
        <f ca="1">IFERROR(__xludf.DUMMYFUNCTION("IMPORTRANGE(""https://docs.google.com/spreadsheets/d/1aHkj4IaQMThhwWwevcOymEh837vdxeC_PycurhTbGFA/edit?usp=sharing"",""ขอนแก่น!J706"")"),0)</f>
        <v>0</v>
      </c>
      <c r="AK33" s="497">
        <f t="shared" ca="1" si="50"/>
        <v>0</v>
      </c>
      <c r="AL33" s="353">
        <f ca="1">IFERROR(__xludf.DUMMYFUNCTION("IMPORTRANGE(""https://docs.google.com/spreadsheets/d/1aHkj4IaQMThhwWwevcOymEh837vdxeC_PycurhTbGFA/edit?usp=sharing"",""ขอนแก่น!I707"")"),50)</f>
        <v>50</v>
      </c>
      <c r="AM33" s="177">
        <f ca="1">IFERROR(__xludf.DUMMYFUNCTION("IMPORTRANGE(""https://docs.google.com/spreadsheets/d/1aHkj4IaQMThhwWwevcOymEh837vdxeC_PycurhTbGFA/edit?usp=sharing"",""ขอนแก่น!J707"")"),0)</f>
        <v>0</v>
      </c>
      <c r="AN33" s="177">
        <f ca="1">IFERROR(__xludf.DUMMYFUNCTION("IMPORTRANGE(""https://docs.google.com/spreadsheets/d/1aHkj4IaQMThhwWwevcOymEh837vdxeC_PycurhTbGFA/edit?usp=sharing"",""ขอนแก่น!J708"")"),0)</f>
        <v>0</v>
      </c>
      <c r="AO33" s="354">
        <f t="shared" ca="1" si="52"/>
        <v>0</v>
      </c>
      <c r="AP33" s="495">
        <f ca="1">IFERROR(__xludf.DUMMYFUNCTION("IMPORTRANGE(""https://docs.google.com/spreadsheets/d/1aHkj4IaQMThhwWwevcOymEh837vdxeC_PycurhTbGFA/edit?usp=sharing"",""ขอนแก่น!I709"")"),5)</f>
        <v>5</v>
      </c>
      <c r="AQ33" s="496">
        <f ca="1">IFERROR(__xludf.DUMMYFUNCTION("IMPORTRANGE(""https://docs.google.com/spreadsheets/d/1aHkj4IaQMThhwWwevcOymEh837vdxeC_PycurhTbGFA/edit?usp=sharing"",""ขอนแก่น!J709"")"),0)</f>
        <v>0</v>
      </c>
      <c r="AR33" s="496">
        <f ca="1">IFERROR(__xludf.DUMMYFUNCTION("IMPORTRANGE(""https://docs.google.com/spreadsheets/d/1aHkj4IaQMThhwWwevcOymEh837vdxeC_PycurhTbGFA/edit?usp=sharing"",""ขอนแก่น!J710"")"),0)</f>
        <v>0</v>
      </c>
      <c r="AS33" s="497">
        <f t="shared" ca="1" si="54"/>
        <v>0</v>
      </c>
    </row>
    <row r="34" spans="1:45" ht="24.75" customHeight="1" x14ac:dyDescent="0.3">
      <c r="A34" s="89">
        <v>3</v>
      </c>
      <c r="B34" s="90" t="s">
        <v>60</v>
      </c>
      <c r="C34" s="174">
        <f t="shared" si="32"/>
        <v>0</v>
      </c>
      <c r="D34" s="175">
        <f t="shared" si="64"/>
        <v>0</v>
      </c>
      <c r="E34" s="403">
        <v>0</v>
      </c>
      <c r="F34" s="403">
        <v>0</v>
      </c>
      <c r="G34" s="403">
        <v>0</v>
      </c>
      <c r="H34" s="403">
        <v>0</v>
      </c>
      <c r="I34" s="403">
        <v>0</v>
      </c>
      <c r="J34" s="176">
        <f t="shared" si="34"/>
        <v>0</v>
      </c>
      <c r="K34" s="179">
        <f t="shared" si="35"/>
        <v>0</v>
      </c>
      <c r="L34" s="403">
        <v>0</v>
      </c>
      <c r="M34" s="87">
        <f t="shared" si="36"/>
        <v>0</v>
      </c>
      <c r="N34" s="87">
        <f t="shared" si="37"/>
        <v>0</v>
      </c>
      <c r="O34" s="403">
        <v>0</v>
      </c>
      <c r="P34" s="86">
        <f t="shared" si="38"/>
        <v>0</v>
      </c>
      <c r="Q34" s="87">
        <f t="shared" si="39"/>
        <v>0</v>
      </c>
      <c r="R34" s="87">
        <f ca="1">IFERROR(__xludf.DUMMYFUNCTION("IMPORTRANGE(""https://docs.google.com/spreadsheets/d/1FvTu2DsIWUjP6WCWra38Bkj_oOl_sOMf14r5Fg5srxU/edit?usp=sharing"",""ชัยภูมิ!Q690"")"),369200)</f>
        <v>369200</v>
      </c>
      <c r="S34" s="87">
        <f ca="1">IFERROR(__xludf.DUMMYFUNCTION("IMPORTRANGE(""https://docs.google.com/spreadsheets/d/1FvTu2DsIWUjP6WCWra38Bkj_oOl_sOMf14r5Fg5srxU/edit?usp=sharing"",""ชัยภูมิ!R690"")"),0)</f>
        <v>0</v>
      </c>
      <c r="T34" s="87">
        <f ca="1">IFERROR(__xludf.DUMMYFUNCTION("IMPORTRANGE(""https://docs.google.com/spreadsheets/d/1FvTu2DsIWUjP6WCWra38Bkj_oOl_sOMf14r5Fg5srxU/edit?usp=sharing"",""ชัยภูมิ!S690"")"),0)</f>
        <v>0</v>
      </c>
      <c r="U34" s="87">
        <f t="shared" ca="1" si="41"/>
        <v>0</v>
      </c>
      <c r="V34" s="87">
        <f t="shared" ca="1" si="42"/>
        <v>0</v>
      </c>
      <c r="W34" s="353">
        <f ca="1">IFERROR(__xludf.DUMMYFUNCTION("IMPORTRANGE(""https://docs.google.com/spreadsheets/d/1FvTu2DsIWUjP6WCWra38Bkj_oOl_sOMf14r5Fg5srxU/edit?usp=sharing"",""ชัยภูมิ!I700"")"),0)</f>
        <v>0</v>
      </c>
      <c r="X34" s="177">
        <f ca="1">IFERROR(__xludf.DUMMYFUNCTION("IMPORTRANGE(""https://docs.google.com/spreadsheets/d/1FvTu2DsIWUjP6WCWra38Bkj_oOl_sOMf14r5Fg5srxU/edit?usp=sharing"",""ชัยภูมิ!J700"")"),0)</f>
        <v>0</v>
      </c>
      <c r="Y34" s="354">
        <f t="shared" ca="1" si="44"/>
        <v>0</v>
      </c>
      <c r="Z34" s="353">
        <f ca="1">IFERROR(__xludf.DUMMYFUNCTION("IMPORTRANGE(""https://docs.google.com/spreadsheets/d/1FvTu2DsIWUjP6WCWra38Bkj_oOl_sOMf14r5Fg5srxU/edit?usp=sharing"",""ชัยภูมิ!I701"")"),254)</f>
        <v>254</v>
      </c>
      <c r="AA34" s="177">
        <f ca="1">IFERROR(__xludf.DUMMYFUNCTION("IMPORTRANGE(""https://docs.google.com/spreadsheets/d/1FvTu2DsIWUjP6WCWra38Bkj_oOl_sOMf14r5Fg5srxU/edit?usp=sharing"",""ชัยภูมิ!J701"")"),0)</f>
        <v>0</v>
      </c>
      <c r="AB34" s="177">
        <f ca="1">IFERROR(__xludf.DUMMYFUNCTION("IMPORTRANGE(""https://docs.google.com/spreadsheets/d/1FvTu2DsIWUjP6WCWra38Bkj_oOl_sOMf14r5Fg5srxU/edit?usp=sharing"",""ชัยภูมิ!J702"")"),0)</f>
        <v>0</v>
      </c>
      <c r="AC34" s="354">
        <f t="shared" ca="1" si="46"/>
        <v>0</v>
      </c>
      <c r="AD34" s="353">
        <f ca="1">IFERROR(__xludf.DUMMYFUNCTION("IMPORTRANGE(""https://docs.google.com/spreadsheets/d/1FvTu2DsIWUjP6WCWra38Bkj_oOl_sOMf14r5Fg5srxU/edit?usp=sharing"",""ชัยภูมิ!I703"")"),250)</f>
        <v>250</v>
      </c>
      <c r="AE34" s="177">
        <f ca="1">IFERROR(__xludf.DUMMYFUNCTION("IMPORTRANGE(""https://docs.google.com/spreadsheets/d/1FvTu2DsIWUjP6WCWra38Bkj_oOl_sOMf14r5Fg5srxU/edit?usp=sharing"",""ชัยภูมิ!J703"")"),0)</f>
        <v>0</v>
      </c>
      <c r="AF34" s="177">
        <f ca="1">IFERROR(__xludf.DUMMYFUNCTION("IMPORTRANGE(""https://docs.google.com/spreadsheets/d/1FvTu2DsIWUjP6WCWra38Bkj_oOl_sOMf14r5Fg5srxU/edit?usp=sharing"",""ชัยภูมิ!J704"")"),0)</f>
        <v>0</v>
      </c>
      <c r="AG34" s="354">
        <f t="shared" ca="1" si="48"/>
        <v>0</v>
      </c>
      <c r="AH34" s="495">
        <f ca="1">IFERROR(__xludf.DUMMYFUNCTION("IMPORTRANGE(""https://docs.google.com/spreadsheets/d/1FvTu2DsIWUjP6WCWra38Bkj_oOl_sOMf14r5Fg5srxU/edit?usp=sharing"",""ชัยภูมิ!I705"")"),4)</f>
        <v>4</v>
      </c>
      <c r="AI34" s="496">
        <f ca="1">IFERROR(__xludf.DUMMYFUNCTION("IMPORTRANGE(""https://docs.google.com/spreadsheets/d/1FvTu2DsIWUjP6WCWra38Bkj_oOl_sOMf14r5Fg5srxU/edit?usp=sharing"",""ชัยภูมิ!J705"")"),0)</f>
        <v>0</v>
      </c>
      <c r="AJ34" s="496">
        <f ca="1">IFERROR(__xludf.DUMMYFUNCTION("IMPORTRANGE(""https://docs.google.com/spreadsheets/d/1FvTu2DsIWUjP6WCWra38Bkj_oOl_sOMf14r5Fg5srxU/edit?usp=sharing"",""ชัยภูมิ!J706"")"),0)</f>
        <v>0</v>
      </c>
      <c r="AK34" s="497">
        <f t="shared" ca="1" si="50"/>
        <v>0</v>
      </c>
      <c r="AL34" s="353">
        <f ca="1">IFERROR(__xludf.DUMMYFUNCTION("IMPORTRANGE(""https://docs.google.com/spreadsheets/d/1FvTu2DsIWUjP6WCWra38Bkj_oOl_sOMf14r5Fg5srxU/edit?usp=sharing"",""ชัยภูมิ!I707"")"),250)</f>
        <v>250</v>
      </c>
      <c r="AM34" s="177">
        <f ca="1">IFERROR(__xludf.DUMMYFUNCTION("IMPORTRANGE(""https://docs.google.com/spreadsheets/d/1FvTu2DsIWUjP6WCWra38Bkj_oOl_sOMf14r5Fg5srxU/edit?usp=sharing"",""ชัยภูมิ!J707"")"),0)</f>
        <v>0</v>
      </c>
      <c r="AN34" s="177">
        <f ca="1">IFERROR(__xludf.DUMMYFUNCTION("IMPORTRANGE(""https://docs.google.com/spreadsheets/d/1FvTu2DsIWUjP6WCWra38Bkj_oOl_sOMf14r5Fg5srxU/edit?usp=sharing"",""ชัยภูมิ!J708"")"),0)</f>
        <v>0</v>
      </c>
      <c r="AO34" s="354">
        <f t="shared" ca="1" si="52"/>
        <v>0</v>
      </c>
      <c r="AP34" s="495">
        <f ca="1">IFERROR(__xludf.DUMMYFUNCTION("IMPORTRANGE(""https://docs.google.com/spreadsheets/d/1FvTu2DsIWUjP6WCWra38Bkj_oOl_sOMf14r5Fg5srxU/edit?usp=sharing"",""ชัยภูมิ!I709"")"),4)</f>
        <v>4</v>
      </c>
      <c r="AQ34" s="496">
        <f ca="1">IFERROR(__xludf.DUMMYFUNCTION("IMPORTRANGE(""https://docs.google.com/spreadsheets/d/1FvTu2DsIWUjP6WCWra38Bkj_oOl_sOMf14r5Fg5srxU/edit?usp=sharing"",""ชัยภูมิ!J709"")"),0)</f>
        <v>0</v>
      </c>
      <c r="AR34" s="496">
        <f ca="1">IFERROR(__xludf.DUMMYFUNCTION("IMPORTRANGE(""https://docs.google.com/spreadsheets/d/1FvTu2DsIWUjP6WCWra38Bkj_oOl_sOMf14r5Fg5srxU/edit?usp=sharing"",""ชัยภูมิ!J710"")"),0)</f>
        <v>0</v>
      </c>
      <c r="AS34" s="497">
        <f t="shared" ca="1" si="54"/>
        <v>0</v>
      </c>
    </row>
    <row r="35" spans="1:45" ht="24.75" customHeight="1" x14ac:dyDescent="0.3">
      <c r="A35" s="89">
        <v>4</v>
      </c>
      <c r="B35" s="90" t="s">
        <v>61</v>
      </c>
      <c r="C35" s="174">
        <f t="shared" si="32"/>
        <v>0</v>
      </c>
      <c r="D35" s="175">
        <f t="shared" si="64"/>
        <v>0</v>
      </c>
      <c r="E35" s="403">
        <v>0</v>
      </c>
      <c r="F35" s="403">
        <v>0</v>
      </c>
      <c r="G35" s="403">
        <v>0</v>
      </c>
      <c r="H35" s="403">
        <v>0</v>
      </c>
      <c r="I35" s="403">
        <v>0</v>
      </c>
      <c r="J35" s="176">
        <f t="shared" si="34"/>
        <v>0</v>
      </c>
      <c r="K35" s="179">
        <f t="shared" si="35"/>
        <v>0</v>
      </c>
      <c r="L35" s="403">
        <v>0</v>
      </c>
      <c r="M35" s="87">
        <f t="shared" si="36"/>
        <v>0</v>
      </c>
      <c r="N35" s="87">
        <f t="shared" si="37"/>
        <v>0</v>
      </c>
      <c r="O35" s="403">
        <v>0</v>
      </c>
      <c r="P35" s="86">
        <f t="shared" si="38"/>
        <v>0</v>
      </c>
      <c r="Q35" s="87">
        <f t="shared" si="39"/>
        <v>0</v>
      </c>
      <c r="R35" s="87">
        <f ca="1">IFERROR(__xludf.DUMMYFUNCTION("IMPORTRANGE(""https://docs.google.com/spreadsheets/d/1XVB7oCJ3pr-vBUdflwPQ8Z2LlzhnCvZaaYjAfP-647E/edit?usp=sharing"",""นครพนม!Q690"")"),67330)</f>
        <v>67330</v>
      </c>
      <c r="S35" s="87">
        <f ca="1">IFERROR(__xludf.DUMMYFUNCTION("IMPORTRANGE(""https://docs.google.com/spreadsheets/d/1XVB7oCJ3pr-vBUdflwPQ8Z2LlzhnCvZaaYjAfP-647E/edit?usp=sharing"",""นครพนม!R690"")"),0)</f>
        <v>0</v>
      </c>
      <c r="T35" s="87">
        <f ca="1">IFERROR(__xludf.DUMMYFUNCTION("IMPORTRANGE(""https://docs.google.com/spreadsheets/d/1XVB7oCJ3pr-vBUdflwPQ8Z2LlzhnCvZaaYjAfP-647E/edit?usp=sharing"",""นครพนม!S690"")"),0)</f>
        <v>0</v>
      </c>
      <c r="U35" s="87">
        <f t="shared" ca="1" si="41"/>
        <v>0</v>
      </c>
      <c r="V35" s="87">
        <f t="shared" ca="1" si="42"/>
        <v>0</v>
      </c>
      <c r="W35" s="353">
        <f ca="1">IFERROR(__xludf.DUMMYFUNCTION("IMPORTRANGE(""https://docs.google.com/spreadsheets/d/1XVB7oCJ3pr-vBUdflwPQ8Z2LlzhnCvZaaYjAfP-647E/edit?usp=sharing"",""นครพนม!I700"")"),0)</f>
        <v>0</v>
      </c>
      <c r="X35" s="177">
        <f ca="1">IFERROR(__xludf.DUMMYFUNCTION("IMPORTRANGE(""https://docs.google.com/spreadsheets/d/1XVB7oCJ3pr-vBUdflwPQ8Z2LlzhnCvZaaYjAfP-647E/edit?usp=sharing"",""นครพนม!J700"")"),0)</f>
        <v>0</v>
      </c>
      <c r="Y35" s="354">
        <f t="shared" ca="1" si="44"/>
        <v>0</v>
      </c>
      <c r="Z35" s="353">
        <f ca="1">IFERROR(__xludf.DUMMYFUNCTION("IMPORTRANGE(""https://docs.google.com/spreadsheets/d/1XVB7oCJ3pr-vBUdflwPQ8Z2LlzhnCvZaaYjAfP-647E/edit?usp=sharing"",""นครพนม!I701"")"),3)</f>
        <v>3</v>
      </c>
      <c r="AA35" s="177">
        <f ca="1">IFERROR(__xludf.DUMMYFUNCTION("IMPORTRANGE(""https://docs.google.com/spreadsheets/d/1XVB7oCJ3pr-vBUdflwPQ8Z2LlzhnCvZaaYjAfP-647E/edit?usp=sharing"",""นครพนม!J701"")"),0)</f>
        <v>0</v>
      </c>
      <c r="AB35" s="177">
        <f ca="1">IFERROR(__xludf.DUMMYFUNCTION("IMPORTRANGE(""https://docs.google.com/spreadsheets/d/1XVB7oCJ3pr-vBUdflwPQ8Z2LlzhnCvZaaYjAfP-647E/edit?usp=sharing"",""นครพนม!J702"")"),0)</f>
        <v>0</v>
      </c>
      <c r="AC35" s="354">
        <f t="shared" ca="1" si="46"/>
        <v>0</v>
      </c>
      <c r="AD35" s="353">
        <f ca="1">IFERROR(__xludf.DUMMYFUNCTION("IMPORTRANGE(""https://docs.google.com/spreadsheets/d/1XVB7oCJ3pr-vBUdflwPQ8Z2LlzhnCvZaaYjAfP-647E/edit?usp=sharing"",""นครพนม!I703"")"),0)</f>
        <v>0</v>
      </c>
      <c r="AE35" s="177">
        <f ca="1">IFERROR(__xludf.DUMMYFUNCTION("IMPORTRANGE(""https://docs.google.com/spreadsheets/d/1XVB7oCJ3pr-vBUdflwPQ8Z2LlzhnCvZaaYjAfP-647E/edit?usp=sharing"",""นครพนม!J703"")"),0)</f>
        <v>0</v>
      </c>
      <c r="AF35" s="177">
        <f ca="1">IFERROR(__xludf.DUMMYFUNCTION("IMPORTRANGE(""https://docs.google.com/spreadsheets/d/1XVB7oCJ3pr-vBUdflwPQ8Z2LlzhnCvZaaYjAfP-647E/edit?usp=sharing"",""นครพนม!J704"")"),0)</f>
        <v>0</v>
      </c>
      <c r="AG35" s="354">
        <f t="shared" ca="1" si="48"/>
        <v>0</v>
      </c>
      <c r="AH35" s="495">
        <f ca="1">IFERROR(__xludf.DUMMYFUNCTION("IMPORTRANGE(""https://docs.google.com/spreadsheets/d/1XVB7oCJ3pr-vBUdflwPQ8Z2LlzhnCvZaaYjAfP-647E/edit?usp=sharing"",""นครพนม!I705"")"),3)</f>
        <v>3</v>
      </c>
      <c r="AI35" s="496">
        <f ca="1">IFERROR(__xludf.DUMMYFUNCTION("IMPORTRANGE(""https://docs.google.com/spreadsheets/d/1XVB7oCJ3pr-vBUdflwPQ8Z2LlzhnCvZaaYjAfP-647E/edit?usp=sharing"",""นครพนม!J705"")"),0)</f>
        <v>0</v>
      </c>
      <c r="AJ35" s="496">
        <f ca="1">IFERROR(__xludf.DUMMYFUNCTION("IMPORTRANGE(""https://docs.google.com/spreadsheets/d/1XVB7oCJ3pr-vBUdflwPQ8Z2LlzhnCvZaaYjAfP-647E/edit?usp=sharing"",""นครพนม!J706"")"),0)</f>
        <v>0</v>
      </c>
      <c r="AK35" s="497">
        <f t="shared" ca="1" si="50"/>
        <v>0</v>
      </c>
      <c r="AL35" s="353">
        <f ca="1">IFERROR(__xludf.DUMMYFUNCTION("IMPORTRANGE(""https://docs.google.com/spreadsheets/d/1XVB7oCJ3pr-vBUdflwPQ8Z2LlzhnCvZaaYjAfP-647E/edit?usp=sharing"",""นครพนม!I707"")"),0)</f>
        <v>0</v>
      </c>
      <c r="AM35" s="177">
        <f ca="1">IFERROR(__xludf.DUMMYFUNCTION("IMPORTRANGE(""https://docs.google.com/spreadsheets/d/1XVB7oCJ3pr-vBUdflwPQ8Z2LlzhnCvZaaYjAfP-647E/edit?usp=sharing"",""นครพนม!J707"")"),0)</f>
        <v>0</v>
      </c>
      <c r="AN35" s="177">
        <f ca="1">IFERROR(__xludf.DUMMYFUNCTION("IMPORTRANGE(""https://docs.google.com/spreadsheets/d/1XVB7oCJ3pr-vBUdflwPQ8Z2LlzhnCvZaaYjAfP-647E/edit?usp=sharing"",""นครพนม!J708"")"),0)</f>
        <v>0</v>
      </c>
      <c r="AO35" s="354">
        <f t="shared" ca="1" si="52"/>
        <v>0</v>
      </c>
      <c r="AP35" s="495">
        <f ca="1">IFERROR(__xludf.DUMMYFUNCTION("IMPORTRANGE(""https://docs.google.com/spreadsheets/d/1XVB7oCJ3pr-vBUdflwPQ8Z2LlzhnCvZaaYjAfP-647E/edit?usp=sharing"",""นครพนม!I709"")"),3)</f>
        <v>3</v>
      </c>
      <c r="AQ35" s="496">
        <f ca="1">IFERROR(__xludf.DUMMYFUNCTION("IMPORTRANGE(""https://docs.google.com/spreadsheets/d/1XVB7oCJ3pr-vBUdflwPQ8Z2LlzhnCvZaaYjAfP-647E/edit?usp=sharing"",""นครพนม!J709"")"),0)</f>
        <v>0</v>
      </c>
      <c r="AR35" s="496">
        <f ca="1">IFERROR(__xludf.DUMMYFUNCTION("IMPORTRANGE(""https://docs.google.com/spreadsheets/d/1XVB7oCJ3pr-vBUdflwPQ8Z2LlzhnCvZaaYjAfP-647E/edit?usp=sharing"",""นครพนม!J710"")"),0)</f>
        <v>0</v>
      </c>
      <c r="AS35" s="497">
        <f t="shared" ca="1" si="54"/>
        <v>0</v>
      </c>
    </row>
    <row r="36" spans="1:45" ht="24.75" customHeight="1" x14ac:dyDescent="0.3">
      <c r="A36" s="89">
        <v>5</v>
      </c>
      <c r="B36" s="90" t="s">
        <v>62</v>
      </c>
      <c r="C36" s="174">
        <f t="shared" si="32"/>
        <v>0</v>
      </c>
      <c r="D36" s="175">
        <f t="shared" si="64"/>
        <v>0</v>
      </c>
      <c r="E36" s="403">
        <v>0</v>
      </c>
      <c r="F36" s="403">
        <v>0</v>
      </c>
      <c r="G36" s="403">
        <v>0</v>
      </c>
      <c r="H36" s="403">
        <v>0</v>
      </c>
      <c r="I36" s="403">
        <v>0</v>
      </c>
      <c r="J36" s="176">
        <f t="shared" si="34"/>
        <v>0</v>
      </c>
      <c r="K36" s="179">
        <f t="shared" si="35"/>
        <v>0</v>
      </c>
      <c r="L36" s="403">
        <v>0</v>
      </c>
      <c r="M36" s="87">
        <f t="shared" si="36"/>
        <v>0</v>
      </c>
      <c r="N36" s="87">
        <f t="shared" si="37"/>
        <v>0</v>
      </c>
      <c r="O36" s="403">
        <v>0</v>
      </c>
      <c r="P36" s="86">
        <f t="shared" si="38"/>
        <v>0</v>
      </c>
      <c r="Q36" s="87">
        <f t="shared" si="39"/>
        <v>0</v>
      </c>
      <c r="R36" s="87">
        <f ca="1">IFERROR(__xludf.DUMMYFUNCTION("IMPORTRANGE(""https://docs.google.com/spreadsheets/d/1Mnpb-8PYAgn85W6KOTD40hc_Xc55CaLfHoGAbrZ8tls/edit?usp=sharing"",""นครราชสีมา!Q690"")"),1142900)</f>
        <v>1142900</v>
      </c>
      <c r="S36" s="87">
        <f ca="1">IFERROR(__xludf.DUMMYFUNCTION("IMPORTRANGE(""https://docs.google.com/spreadsheets/d/1Mnpb-8PYAgn85W6KOTD40hc_Xc55CaLfHoGAbrZ8tls/edit?usp=sharing"",""นครราชสีมา!R690"")"),0)</f>
        <v>0</v>
      </c>
      <c r="T36" s="87">
        <f ca="1">IFERROR(__xludf.DUMMYFUNCTION("IMPORTRANGE(""https://docs.google.com/spreadsheets/d/1Mnpb-8PYAgn85W6KOTD40hc_Xc55CaLfHoGAbrZ8tls/edit?usp=sharing"",""นครราชสีมา!S690"")"),0)</f>
        <v>0</v>
      </c>
      <c r="U36" s="87">
        <f t="shared" ca="1" si="41"/>
        <v>0</v>
      </c>
      <c r="V36" s="87">
        <f t="shared" ca="1" si="42"/>
        <v>0</v>
      </c>
      <c r="W36" s="353">
        <f ca="1">IFERROR(__xludf.DUMMYFUNCTION("IMPORTRANGE(""https://docs.google.com/spreadsheets/d/1Mnpb-8PYAgn85W6KOTD40hc_Xc55CaLfHoGAbrZ8tls/edit?usp=sharing"",""นครราชสีมา!I700"")"),0)</f>
        <v>0</v>
      </c>
      <c r="X36" s="177">
        <f ca="1">IFERROR(__xludf.DUMMYFUNCTION("IMPORTRANGE(""https://docs.google.com/spreadsheets/d/1Mnpb-8PYAgn85W6KOTD40hc_Xc55CaLfHoGAbrZ8tls/edit?usp=sharing"",""นครราชสีมา!J700"")"),0)</f>
        <v>0</v>
      </c>
      <c r="Y36" s="354">
        <f t="shared" ca="1" si="44"/>
        <v>0</v>
      </c>
      <c r="Z36" s="353">
        <f ca="1">IFERROR(__xludf.DUMMYFUNCTION("IMPORTRANGE(""https://docs.google.com/spreadsheets/d/1Mnpb-8PYAgn85W6KOTD40hc_Xc55CaLfHoGAbrZ8tls/edit?usp=sharing"",""นครราชสีมา!I701"")"),1004)</f>
        <v>1004</v>
      </c>
      <c r="AA36" s="177">
        <f ca="1">IFERROR(__xludf.DUMMYFUNCTION("IMPORTRANGE(""https://docs.google.com/spreadsheets/d/1Mnpb-8PYAgn85W6KOTD40hc_Xc55CaLfHoGAbrZ8tls/edit?usp=sharing"",""นครราชสีมา!J701"")"),747)</f>
        <v>747</v>
      </c>
      <c r="AB36" s="177">
        <f ca="1">IFERROR(__xludf.DUMMYFUNCTION("IMPORTRANGE(""https://docs.google.com/spreadsheets/d/1Mnpb-8PYAgn85W6KOTD40hc_Xc55CaLfHoGAbrZ8tls/edit?usp=sharing"",""นครราชสีมา!J702"")"),530.66)</f>
        <v>530.66</v>
      </c>
      <c r="AC36" s="354">
        <f t="shared" ca="1" si="46"/>
        <v>74.402390438247011</v>
      </c>
      <c r="AD36" s="353">
        <f ca="1">IFERROR(__xludf.DUMMYFUNCTION("IMPORTRANGE(""https://docs.google.com/spreadsheets/d/1Mnpb-8PYAgn85W6KOTD40hc_Xc55CaLfHoGAbrZ8tls/edit?usp=sharing"",""นครราชสีมา!I703"")"),1000)</f>
        <v>1000</v>
      </c>
      <c r="AE36" s="177">
        <f ca="1">IFERROR(__xludf.DUMMYFUNCTION("IMPORTRANGE(""https://docs.google.com/spreadsheets/d/1Mnpb-8PYAgn85W6KOTD40hc_Xc55CaLfHoGAbrZ8tls/edit?usp=sharing"",""นครราชสีมา!J703"")"),747)</f>
        <v>747</v>
      </c>
      <c r="AF36" s="177">
        <f ca="1">IFERROR(__xludf.DUMMYFUNCTION("IMPORTRANGE(""https://docs.google.com/spreadsheets/d/1Mnpb-8PYAgn85W6KOTD40hc_Xc55CaLfHoGAbrZ8tls/edit?usp=sharing"",""นครราชสีมา!J704"")"),530.66)</f>
        <v>530.66</v>
      </c>
      <c r="AG36" s="354">
        <f t="shared" ca="1" si="48"/>
        <v>74.7</v>
      </c>
      <c r="AH36" s="495">
        <f ca="1">IFERROR(__xludf.DUMMYFUNCTION("IMPORTRANGE(""https://docs.google.com/spreadsheets/d/1Mnpb-8PYAgn85W6KOTD40hc_Xc55CaLfHoGAbrZ8tls/edit?usp=sharing"",""นครราชสีมา!I705"")"),4)</f>
        <v>4</v>
      </c>
      <c r="AI36" s="496">
        <f ca="1">IFERROR(__xludf.DUMMYFUNCTION("IMPORTRANGE(""https://docs.google.com/spreadsheets/d/1Mnpb-8PYAgn85W6KOTD40hc_Xc55CaLfHoGAbrZ8tls/edit?usp=sharing"",""นครราชสีมา!J705"")"),0)</f>
        <v>0</v>
      </c>
      <c r="AJ36" s="496">
        <f ca="1">IFERROR(__xludf.DUMMYFUNCTION("IMPORTRANGE(""https://docs.google.com/spreadsheets/d/1Mnpb-8PYAgn85W6KOTD40hc_Xc55CaLfHoGAbrZ8tls/edit?usp=sharing"",""นครราชสีมา!J706"")"),0)</f>
        <v>0</v>
      </c>
      <c r="AK36" s="497">
        <f t="shared" ca="1" si="50"/>
        <v>0</v>
      </c>
      <c r="AL36" s="353">
        <f ca="1">IFERROR(__xludf.DUMMYFUNCTION("IMPORTRANGE(""https://docs.google.com/spreadsheets/d/1Mnpb-8PYAgn85W6KOTD40hc_Xc55CaLfHoGAbrZ8tls/edit?usp=sharing"",""นครราชสีมา!I707"")"),1000)</f>
        <v>1000</v>
      </c>
      <c r="AM36" s="177">
        <f ca="1">IFERROR(__xludf.DUMMYFUNCTION("IMPORTRANGE(""https://docs.google.com/spreadsheets/d/1Mnpb-8PYAgn85W6KOTD40hc_Xc55CaLfHoGAbrZ8tls/edit?usp=sharing"",""นครราชสีมา!J707"")"),0)</f>
        <v>0</v>
      </c>
      <c r="AN36" s="177">
        <f ca="1">IFERROR(__xludf.DUMMYFUNCTION("IMPORTRANGE(""https://docs.google.com/spreadsheets/d/1Mnpb-8PYAgn85W6KOTD40hc_Xc55CaLfHoGAbrZ8tls/edit?usp=sharing"",""นครราชสีมา!J708"")"),0)</f>
        <v>0</v>
      </c>
      <c r="AO36" s="354">
        <f t="shared" ca="1" si="52"/>
        <v>0</v>
      </c>
      <c r="AP36" s="495">
        <f ca="1">IFERROR(__xludf.DUMMYFUNCTION("IMPORTRANGE(""https://docs.google.com/spreadsheets/d/1Mnpb-8PYAgn85W6KOTD40hc_Xc55CaLfHoGAbrZ8tls/edit?usp=sharing"",""นครราชสีมา!I709"")"),4)</f>
        <v>4</v>
      </c>
      <c r="AQ36" s="496">
        <f ca="1">IFERROR(__xludf.DUMMYFUNCTION("IMPORTRANGE(""https://docs.google.com/spreadsheets/d/1Mnpb-8PYAgn85W6KOTD40hc_Xc55CaLfHoGAbrZ8tls/edit?usp=sharing"",""นครราชสีมา!J709"")"),0)</f>
        <v>0</v>
      </c>
      <c r="AR36" s="496">
        <f ca="1">IFERROR(__xludf.DUMMYFUNCTION("IMPORTRANGE(""https://docs.google.com/spreadsheets/d/1Mnpb-8PYAgn85W6KOTD40hc_Xc55CaLfHoGAbrZ8tls/edit?usp=sharing"",""นครราชสีมา!J710"")"),0)</f>
        <v>0</v>
      </c>
      <c r="AS36" s="497">
        <f t="shared" ca="1" si="54"/>
        <v>0</v>
      </c>
    </row>
    <row r="37" spans="1:45" ht="24.75" customHeight="1" x14ac:dyDescent="0.3">
      <c r="A37" s="89">
        <v>6</v>
      </c>
      <c r="B37" s="90" t="s">
        <v>63</v>
      </c>
      <c r="C37" s="174">
        <f t="shared" si="32"/>
        <v>0</v>
      </c>
      <c r="D37" s="175">
        <f t="shared" si="64"/>
        <v>0</v>
      </c>
      <c r="E37" s="403">
        <v>0</v>
      </c>
      <c r="F37" s="403">
        <v>0</v>
      </c>
      <c r="G37" s="403">
        <v>0</v>
      </c>
      <c r="H37" s="403">
        <v>0</v>
      </c>
      <c r="I37" s="403">
        <v>0</v>
      </c>
      <c r="J37" s="176">
        <f t="shared" si="34"/>
        <v>0</v>
      </c>
      <c r="K37" s="179">
        <f t="shared" si="35"/>
        <v>0</v>
      </c>
      <c r="L37" s="403">
        <v>0</v>
      </c>
      <c r="M37" s="87">
        <f t="shared" si="36"/>
        <v>0</v>
      </c>
      <c r="N37" s="87">
        <f t="shared" si="37"/>
        <v>0</v>
      </c>
      <c r="O37" s="403">
        <v>0</v>
      </c>
      <c r="P37" s="86">
        <f t="shared" si="38"/>
        <v>0</v>
      </c>
      <c r="Q37" s="87">
        <f t="shared" si="39"/>
        <v>0</v>
      </c>
      <c r="R37" s="87">
        <f ca="1">IFERROR(__xludf.DUMMYFUNCTION("IMPORTRANGE(""https://docs.google.com/spreadsheets/d/1xoDLGBv9CYbyosIhki0kTq6IpYNj-gpjxfobnaDiut0/edit?usp=sharing"",""บึงกาฬ!Q690"")"),248600)</f>
        <v>248600</v>
      </c>
      <c r="S37" s="87">
        <f ca="1">IFERROR(__xludf.DUMMYFUNCTION("IMPORTRANGE(""https://docs.google.com/spreadsheets/d/1xoDLGBv9CYbyosIhki0kTq6IpYNj-gpjxfobnaDiut0/edit?usp=sharing"",""บึงกาฬ!R690"")"),0)</f>
        <v>0</v>
      </c>
      <c r="T37" s="87">
        <f ca="1">IFERROR(__xludf.DUMMYFUNCTION("IMPORTRANGE(""https://docs.google.com/spreadsheets/d/1xoDLGBv9CYbyosIhki0kTq6IpYNj-gpjxfobnaDiut0/edit?usp=sharing"",""บึงกาฬ!S690"")"),28500)</f>
        <v>28500</v>
      </c>
      <c r="U37" s="87">
        <f t="shared" ca="1" si="41"/>
        <v>11.464199517296862</v>
      </c>
      <c r="V37" s="87">
        <f t="shared" ca="1" si="42"/>
        <v>0</v>
      </c>
      <c r="W37" s="353">
        <f ca="1">IFERROR(__xludf.DUMMYFUNCTION("IMPORTRANGE(""https://docs.google.com/spreadsheets/d/1xoDLGBv9CYbyosIhki0kTq6IpYNj-gpjxfobnaDiut0/edit?usp=sharing"",""บึงกาฬ!I700"")"),2)</f>
        <v>2</v>
      </c>
      <c r="X37" s="177">
        <f ca="1">IFERROR(__xludf.DUMMYFUNCTION("IMPORTRANGE(""https://docs.google.com/spreadsheets/d/1xoDLGBv9CYbyosIhki0kTq6IpYNj-gpjxfobnaDiut0/edit?usp=sharing"",""บึงกาฬ!J700"")"),0)</f>
        <v>0</v>
      </c>
      <c r="Y37" s="354">
        <f t="shared" ca="1" si="44"/>
        <v>0</v>
      </c>
      <c r="Z37" s="353">
        <f ca="1">IFERROR(__xludf.DUMMYFUNCTION("IMPORTRANGE(""https://docs.google.com/spreadsheets/d/1xoDLGBv9CYbyosIhki0kTq6IpYNj-gpjxfobnaDiut0/edit?usp=sharing"",""บึงกาฬ!I701"")"),106)</f>
        <v>106</v>
      </c>
      <c r="AA37" s="177">
        <f ca="1">IFERROR(__xludf.DUMMYFUNCTION("IMPORTRANGE(""https://docs.google.com/spreadsheets/d/1xoDLGBv9CYbyosIhki0kTq6IpYNj-gpjxfobnaDiut0/edit?usp=sharing"",""บึงกาฬ!J701"")"),0)</f>
        <v>0</v>
      </c>
      <c r="AB37" s="177">
        <f ca="1">IFERROR(__xludf.DUMMYFUNCTION("IMPORTRANGE(""https://docs.google.com/spreadsheets/d/1xoDLGBv9CYbyosIhki0kTq6IpYNj-gpjxfobnaDiut0/edit?usp=sharing"",""บึงกาฬ!J702"")"),0)</f>
        <v>0</v>
      </c>
      <c r="AC37" s="354">
        <f t="shared" ca="1" si="46"/>
        <v>0</v>
      </c>
      <c r="AD37" s="353">
        <f ca="1">IFERROR(__xludf.DUMMYFUNCTION("IMPORTRANGE(""https://docs.google.com/spreadsheets/d/1xoDLGBv9CYbyosIhki0kTq6IpYNj-gpjxfobnaDiut0/edit?usp=sharing"",""บึงกาฬ!I703"")"),100)</f>
        <v>100</v>
      </c>
      <c r="AE37" s="177">
        <f ca="1">IFERROR(__xludf.DUMMYFUNCTION("IMPORTRANGE(""https://docs.google.com/spreadsheets/d/1xoDLGBv9CYbyosIhki0kTq6IpYNj-gpjxfobnaDiut0/edit?usp=sharing"",""บึงกาฬ!J703"")"),0)</f>
        <v>0</v>
      </c>
      <c r="AF37" s="177">
        <f ca="1">IFERROR(__xludf.DUMMYFUNCTION("IMPORTRANGE(""https://docs.google.com/spreadsheets/d/1xoDLGBv9CYbyosIhki0kTq6IpYNj-gpjxfobnaDiut0/edit?usp=sharing"",""บึงกาฬ!J704"")"),0)</f>
        <v>0</v>
      </c>
      <c r="AG37" s="354">
        <f t="shared" ca="1" si="48"/>
        <v>0</v>
      </c>
      <c r="AH37" s="495">
        <f ca="1">IFERROR(__xludf.DUMMYFUNCTION("IMPORTRANGE(""https://docs.google.com/spreadsheets/d/1xoDLGBv9CYbyosIhki0kTq6IpYNj-gpjxfobnaDiut0/edit?usp=sharing"",""บึงกาฬ!I705"")"),6)</f>
        <v>6</v>
      </c>
      <c r="AI37" s="496">
        <f ca="1">IFERROR(__xludf.DUMMYFUNCTION("IMPORTRANGE(""https://docs.google.com/spreadsheets/d/1xoDLGBv9CYbyosIhki0kTq6IpYNj-gpjxfobnaDiut0/edit?usp=sharing"",""บึงกาฬ!J705"")"),0)</f>
        <v>0</v>
      </c>
      <c r="AJ37" s="496">
        <f ca="1">IFERROR(__xludf.DUMMYFUNCTION("IMPORTRANGE(""https://docs.google.com/spreadsheets/d/1xoDLGBv9CYbyosIhki0kTq6IpYNj-gpjxfobnaDiut0/edit?usp=sharing"",""บึงกาฬ!J706"")"),0)</f>
        <v>0</v>
      </c>
      <c r="AK37" s="497">
        <f t="shared" ca="1" si="50"/>
        <v>0</v>
      </c>
      <c r="AL37" s="353">
        <f ca="1">IFERROR(__xludf.DUMMYFUNCTION("IMPORTRANGE(""https://docs.google.com/spreadsheets/d/1xoDLGBv9CYbyosIhki0kTq6IpYNj-gpjxfobnaDiut0/edit?usp=sharing"",""บึงกาฬ!I707"")"),100)</f>
        <v>100</v>
      </c>
      <c r="AM37" s="177">
        <f ca="1">IFERROR(__xludf.DUMMYFUNCTION("IMPORTRANGE(""https://docs.google.com/spreadsheets/d/1xoDLGBv9CYbyosIhki0kTq6IpYNj-gpjxfobnaDiut0/edit?usp=sharing"",""บึงกาฬ!J707"")"),0)</f>
        <v>0</v>
      </c>
      <c r="AN37" s="177">
        <f ca="1">IFERROR(__xludf.DUMMYFUNCTION("IMPORTRANGE(""https://docs.google.com/spreadsheets/d/1xoDLGBv9CYbyosIhki0kTq6IpYNj-gpjxfobnaDiut0/edit?usp=sharing"",""บึงกาฬ!J708"")"),0)</f>
        <v>0</v>
      </c>
      <c r="AO37" s="354">
        <f t="shared" ca="1" si="52"/>
        <v>0</v>
      </c>
      <c r="AP37" s="495">
        <f ca="1">IFERROR(__xludf.DUMMYFUNCTION("IMPORTRANGE(""https://docs.google.com/spreadsheets/d/1xoDLGBv9CYbyosIhki0kTq6IpYNj-gpjxfobnaDiut0/edit?usp=sharing"",""บึงกาฬ!I709"")"),6)</f>
        <v>6</v>
      </c>
      <c r="AQ37" s="496">
        <f ca="1">IFERROR(__xludf.DUMMYFUNCTION("IMPORTRANGE(""https://docs.google.com/spreadsheets/d/1xoDLGBv9CYbyosIhki0kTq6IpYNj-gpjxfobnaDiut0/edit?usp=sharing"",""บึงกาฬ!J709"")"),0)</f>
        <v>0</v>
      </c>
      <c r="AR37" s="496">
        <f ca="1">IFERROR(__xludf.DUMMYFUNCTION("IMPORTRANGE(""https://docs.google.com/spreadsheets/d/1xoDLGBv9CYbyosIhki0kTq6IpYNj-gpjxfobnaDiut0/edit?usp=sharing"",""บึงกาฬ!J710"")"),0)</f>
        <v>0</v>
      </c>
      <c r="AS37" s="497">
        <f t="shared" ca="1" si="54"/>
        <v>0</v>
      </c>
    </row>
    <row r="38" spans="1:45" ht="24.75" customHeight="1" x14ac:dyDescent="0.3">
      <c r="A38" s="89">
        <v>7</v>
      </c>
      <c r="B38" s="90" t="s">
        <v>64</v>
      </c>
      <c r="C38" s="174">
        <f t="shared" si="32"/>
        <v>0</v>
      </c>
      <c r="D38" s="175">
        <f t="shared" si="64"/>
        <v>0</v>
      </c>
      <c r="E38" s="403">
        <v>0</v>
      </c>
      <c r="F38" s="403">
        <v>0</v>
      </c>
      <c r="G38" s="403">
        <v>0</v>
      </c>
      <c r="H38" s="403">
        <v>0</v>
      </c>
      <c r="I38" s="403">
        <v>0</v>
      </c>
      <c r="J38" s="176">
        <f t="shared" si="34"/>
        <v>0</v>
      </c>
      <c r="K38" s="179">
        <f t="shared" si="35"/>
        <v>0</v>
      </c>
      <c r="L38" s="403">
        <v>0</v>
      </c>
      <c r="M38" s="87">
        <f t="shared" si="36"/>
        <v>0</v>
      </c>
      <c r="N38" s="87">
        <f t="shared" si="37"/>
        <v>0</v>
      </c>
      <c r="O38" s="403">
        <v>0</v>
      </c>
      <c r="P38" s="86">
        <f t="shared" si="38"/>
        <v>0</v>
      </c>
      <c r="Q38" s="87">
        <f t="shared" si="39"/>
        <v>0</v>
      </c>
      <c r="R38" s="87">
        <f ca="1">IFERROR(__xludf.DUMMYFUNCTION("IMPORTRANGE(""https://docs.google.com/spreadsheets/d/1MMPq-JyI6DSgQETxuSiXkesP-P7JHuemnE6QJIa-Nlw/edit?usp=sharing"",""บุรีรัมย์!Q690"")"),358020)</f>
        <v>358020</v>
      </c>
      <c r="S38" s="87">
        <f ca="1">IFERROR(__xludf.DUMMYFUNCTION("IMPORTRANGE(""https://docs.google.com/spreadsheets/d/1MMPq-JyI6DSgQETxuSiXkesP-P7JHuemnE6QJIa-Nlw/edit?usp=sharing"",""บุรีรัมย์!R690"")"),0)</f>
        <v>0</v>
      </c>
      <c r="T38" s="87">
        <f ca="1">IFERROR(__xludf.DUMMYFUNCTION("IMPORTRANGE(""https://docs.google.com/spreadsheets/d/1MMPq-JyI6DSgQETxuSiXkesP-P7JHuemnE6QJIa-Nlw/edit?usp=sharing"",""บุรีรัมย์!S690"")"),0)</f>
        <v>0</v>
      </c>
      <c r="U38" s="87">
        <f t="shared" ca="1" si="41"/>
        <v>0</v>
      </c>
      <c r="V38" s="87">
        <f t="shared" ca="1" si="42"/>
        <v>0</v>
      </c>
      <c r="W38" s="353">
        <f ca="1">IFERROR(__xludf.DUMMYFUNCTION("IMPORTRANGE(""https://docs.google.com/spreadsheets/d/1MMPq-JyI6DSgQETxuSiXkesP-P7JHuemnE6QJIa-Nlw/edit?usp=sharing"",""บุรีรัมย์!I700"")"),1)</f>
        <v>1</v>
      </c>
      <c r="X38" s="177">
        <f ca="1">IFERROR(__xludf.DUMMYFUNCTION("IMPORTRANGE(""https://docs.google.com/spreadsheets/d/1MMPq-JyI6DSgQETxuSiXkesP-P7JHuemnE6QJIa-Nlw/edit?usp=sharing"",""บุรีรัมย์!J700"")"),0)</f>
        <v>0</v>
      </c>
      <c r="Y38" s="354">
        <f t="shared" ca="1" si="44"/>
        <v>0</v>
      </c>
      <c r="Z38" s="353">
        <f ca="1">IFERROR(__xludf.DUMMYFUNCTION("IMPORTRANGE(""https://docs.google.com/spreadsheets/d/1MMPq-JyI6DSgQETxuSiXkesP-P7JHuemnE6QJIa-Nlw/edit?usp=sharing"",""บุรีรัมย์!I701"")"),204)</f>
        <v>204</v>
      </c>
      <c r="AA38" s="177">
        <f ca="1">IFERROR(__xludf.DUMMYFUNCTION("IMPORTRANGE(""https://docs.google.com/spreadsheets/d/1MMPq-JyI6DSgQETxuSiXkesP-P7JHuemnE6QJIa-Nlw/edit?usp=sharing"",""บุรีรัมย์!J701"")"),74)</f>
        <v>74</v>
      </c>
      <c r="AB38" s="177">
        <f ca="1">IFERROR(__xludf.DUMMYFUNCTION("IMPORTRANGE(""https://docs.google.com/spreadsheets/d/1MMPq-JyI6DSgQETxuSiXkesP-P7JHuemnE6QJIa-Nlw/edit?usp=sharing"",""บุรีรัมย์!J702"")"),33.95)</f>
        <v>33.950000000000003</v>
      </c>
      <c r="AC38" s="354">
        <f t="shared" ca="1" si="46"/>
        <v>36.274509803921568</v>
      </c>
      <c r="AD38" s="353">
        <f ca="1">IFERROR(__xludf.DUMMYFUNCTION("IMPORTRANGE(""https://docs.google.com/spreadsheets/d/1MMPq-JyI6DSgQETxuSiXkesP-P7JHuemnE6QJIa-Nlw/edit?usp=sharing"",""บุรีรัมย์!I703"")"),200)</f>
        <v>200</v>
      </c>
      <c r="AE38" s="177">
        <f ca="1">IFERROR(__xludf.DUMMYFUNCTION("IMPORTRANGE(""https://docs.google.com/spreadsheets/d/1MMPq-JyI6DSgQETxuSiXkesP-P7JHuemnE6QJIa-Nlw/edit?usp=sharing"",""บุรีรัมย์!J703"")"),74)</f>
        <v>74</v>
      </c>
      <c r="AF38" s="177">
        <f ca="1">IFERROR(__xludf.DUMMYFUNCTION("IMPORTRANGE(""https://docs.google.com/spreadsheets/d/1MMPq-JyI6DSgQETxuSiXkesP-P7JHuemnE6QJIa-Nlw/edit?usp=sharing"",""บุรีรัมย์!J704"")"),33.95)</f>
        <v>33.950000000000003</v>
      </c>
      <c r="AG38" s="354">
        <f t="shared" ca="1" si="48"/>
        <v>37</v>
      </c>
      <c r="AH38" s="495">
        <f ca="1">IFERROR(__xludf.DUMMYFUNCTION("IMPORTRANGE(""https://docs.google.com/spreadsheets/d/1MMPq-JyI6DSgQETxuSiXkesP-P7JHuemnE6QJIa-Nlw/edit?usp=sharing"",""บุรีรัมย์!I705"")"),4)</f>
        <v>4</v>
      </c>
      <c r="AI38" s="496">
        <f ca="1">IFERROR(__xludf.DUMMYFUNCTION("IMPORTRANGE(""https://docs.google.com/spreadsheets/d/1MMPq-JyI6DSgQETxuSiXkesP-P7JHuemnE6QJIa-Nlw/edit?usp=sharing"",""บุรีรัมย์!J705"")"),0)</f>
        <v>0</v>
      </c>
      <c r="AJ38" s="496">
        <f ca="1">IFERROR(__xludf.DUMMYFUNCTION("IMPORTRANGE(""https://docs.google.com/spreadsheets/d/1MMPq-JyI6DSgQETxuSiXkesP-P7JHuemnE6QJIa-Nlw/edit?usp=sharing"",""บุรีรัมย์!J706"")"),0)</f>
        <v>0</v>
      </c>
      <c r="AK38" s="497">
        <f t="shared" ca="1" si="50"/>
        <v>0</v>
      </c>
      <c r="AL38" s="353">
        <f ca="1">IFERROR(__xludf.DUMMYFUNCTION("IMPORTRANGE(""https://docs.google.com/spreadsheets/d/1MMPq-JyI6DSgQETxuSiXkesP-P7JHuemnE6QJIa-Nlw/edit?usp=sharing"",""บุรีรัมย์!I707"")"),200)</f>
        <v>200</v>
      </c>
      <c r="AM38" s="177">
        <f ca="1">IFERROR(__xludf.DUMMYFUNCTION("IMPORTRANGE(""https://docs.google.com/spreadsheets/d/1MMPq-JyI6DSgQETxuSiXkesP-P7JHuemnE6QJIa-Nlw/edit?usp=sharing"",""บุรีรัมย์!J707"")"),0)</f>
        <v>0</v>
      </c>
      <c r="AN38" s="177">
        <f ca="1">IFERROR(__xludf.DUMMYFUNCTION("IMPORTRANGE(""https://docs.google.com/spreadsheets/d/1MMPq-JyI6DSgQETxuSiXkesP-P7JHuemnE6QJIa-Nlw/edit?usp=sharing"",""บุรีรัมย์!J708"")"),0)</f>
        <v>0</v>
      </c>
      <c r="AO38" s="354">
        <f t="shared" ca="1" si="52"/>
        <v>0</v>
      </c>
      <c r="AP38" s="495">
        <f ca="1">IFERROR(__xludf.DUMMYFUNCTION("IMPORTRANGE(""https://docs.google.com/spreadsheets/d/1MMPq-JyI6DSgQETxuSiXkesP-P7JHuemnE6QJIa-Nlw/edit?usp=sharing"",""บุรีรัมย์!I709"")"),4)</f>
        <v>4</v>
      </c>
      <c r="AQ38" s="496">
        <f ca="1">IFERROR(__xludf.DUMMYFUNCTION("IMPORTRANGE(""https://docs.google.com/spreadsheets/d/1MMPq-JyI6DSgQETxuSiXkesP-P7JHuemnE6QJIa-Nlw/edit?usp=sharing"",""บุรีรัมย์!J709"")"),0)</f>
        <v>0</v>
      </c>
      <c r="AR38" s="496">
        <f ca="1">IFERROR(__xludf.DUMMYFUNCTION("IMPORTRANGE(""https://docs.google.com/spreadsheets/d/1MMPq-JyI6DSgQETxuSiXkesP-P7JHuemnE6QJIa-Nlw/edit?usp=sharing"",""บุรีรัมย์!J710"")"),0)</f>
        <v>0</v>
      </c>
      <c r="AS38" s="497">
        <f t="shared" ca="1" si="54"/>
        <v>0</v>
      </c>
    </row>
    <row r="39" spans="1:45" ht="24.75" customHeight="1" x14ac:dyDescent="0.3">
      <c r="A39" s="89">
        <v>8</v>
      </c>
      <c r="B39" s="90" t="s">
        <v>65</v>
      </c>
      <c r="C39" s="174">
        <f t="shared" si="32"/>
        <v>0</v>
      </c>
      <c r="D39" s="175">
        <f t="shared" si="64"/>
        <v>0</v>
      </c>
      <c r="E39" s="403">
        <v>0</v>
      </c>
      <c r="F39" s="403">
        <v>0</v>
      </c>
      <c r="G39" s="403">
        <v>0</v>
      </c>
      <c r="H39" s="403">
        <v>0</v>
      </c>
      <c r="I39" s="403">
        <v>0</v>
      </c>
      <c r="J39" s="176">
        <f t="shared" si="34"/>
        <v>0</v>
      </c>
      <c r="K39" s="179">
        <f t="shared" si="35"/>
        <v>0</v>
      </c>
      <c r="L39" s="403">
        <v>0</v>
      </c>
      <c r="M39" s="87">
        <f t="shared" si="36"/>
        <v>0</v>
      </c>
      <c r="N39" s="87">
        <f t="shared" si="37"/>
        <v>0</v>
      </c>
      <c r="O39" s="403">
        <v>0</v>
      </c>
      <c r="P39" s="86">
        <f t="shared" si="38"/>
        <v>0</v>
      </c>
      <c r="Q39" s="87">
        <f t="shared" si="39"/>
        <v>0</v>
      </c>
      <c r="R39" s="87">
        <f ca="1">IFERROR(__xludf.DUMMYFUNCTION("IMPORTRANGE(""https://docs.google.com/spreadsheets/d/1l6IZ8xUPgMrESzcTYwhA1k_tPjeQjJPTqlm8Gd9eU5g/edit?usp=sharing"",""มหาสารคาม!Q690"")"),0)</f>
        <v>0</v>
      </c>
      <c r="S39" s="87">
        <f ca="1">IFERROR(__xludf.DUMMYFUNCTION("IMPORTRANGE(""https://docs.google.com/spreadsheets/d/1l6IZ8xUPgMrESzcTYwhA1k_tPjeQjJPTqlm8Gd9eU5g/edit?usp=sharing"",""มหาสารคาม!R690"")"),0)</f>
        <v>0</v>
      </c>
      <c r="T39" s="87">
        <f ca="1">IFERROR(__xludf.DUMMYFUNCTION("IMPORTRANGE(""https://docs.google.com/spreadsheets/d/1l6IZ8xUPgMrESzcTYwhA1k_tPjeQjJPTqlm8Gd9eU5g/edit?usp=sharing"",""มหาสารคาม!S690"")"),0)</f>
        <v>0</v>
      </c>
      <c r="U39" s="87">
        <f t="shared" ca="1" si="41"/>
        <v>0</v>
      </c>
      <c r="V39" s="87">
        <f t="shared" ca="1" si="42"/>
        <v>0</v>
      </c>
      <c r="W39" s="353">
        <f ca="1">IFERROR(__xludf.DUMMYFUNCTION("IMPORTRANGE(""https://docs.google.com/spreadsheets/d/1l6IZ8xUPgMrESzcTYwhA1k_tPjeQjJPTqlm8Gd9eU5g/edit?usp=sharing"",""มหาสารคาม!I700"")"),0)</f>
        <v>0</v>
      </c>
      <c r="X39" s="452">
        <f ca="1">IFERROR(__xludf.DUMMYFUNCTION("IMPORTRANGE(""https://docs.google.com/spreadsheets/d/1l6IZ8xUPgMrESzcTYwhA1k_tPjeQjJPTqlm8Gd9eU5g/edit?usp=sharing"",""มหาสารคาม!J700"")"),0)</f>
        <v>0</v>
      </c>
      <c r="Y39" s="354">
        <f t="shared" ca="1" si="44"/>
        <v>0</v>
      </c>
      <c r="Z39" s="353">
        <f ca="1">IFERROR(__xludf.DUMMYFUNCTION("IMPORTRANGE(""https://docs.google.com/spreadsheets/d/1l6IZ8xUPgMrESzcTYwhA1k_tPjeQjJPTqlm8Gd9eU5g/edit?usp=sharing"",""มหาสารคาม!I701"")"),0)</f>
        <v>0</v>
      </c>
      <c r="AA39" s="452">
        <f ca="1">IFERROR(__xludf.DUMMYFUNCTION("IMPORTRANGE(""https://docs.google.com/spreadsheets/d/1l6IZ8xUPgMrESzcTYwhA1k_tPjeQjJPTqlm8Gd9eU5g/edit?usp=sharing"",""มหาสารคาม!J701"")"),0)</f>
        <v>0</v>
      </c>
      <c r="AB39" s="452">
        <f ca="1">IFERROR(__xludf.DUMMYFUNCTION("IMPORTRANGE(""https://docs.google.com/spreadsheets/d/1l6IZ8xUPgMrESzcTYwhA1k_tPjeQjJPTqlm8Gd9eU5g/edit?usp=sharing"",""มหาสารคาม!J702"")"),0)</f>
        <v>0</v>
      </c>
      <c r="AC39" s="354">
        <f t="shared" ca="1" si="46"/>
        <v>0</v>
      </c>
      <c r="AD39" s="353">
        <f ca="1">IFERROR(__xludf.DUMMYFUNCTION("IMPORTRANGE(""https://docs.google.com/spreadsheets/d/1l6IZ8xUPgMrESzcTYwhA1k_tPjeQjJPTqlm8Gd9eU5g/edit?usp=sharing"",""มหาสารคาม!I703"")"),0)</f>
        <v>0</v>
      </c>
      <c r="AE39" s="452">
        <f ca="1">IFERROR(__xludf.DUMMYFUNCTION("IMPORTRANGE(""https://docs.google.com/spreadsheets/d/1l6IZ8xUPgMrESzcTYwhA1k_tPjeQjJPTqlm8Gd9eU5g/edit?usp=sharing"",""มหาสารคาม!J703"")"),0)</f>
        <v>0</v>
      </c>
      <c r="AF39" s="452">
        <f ca="1">IFERROR(__xludf.DUMMYFUNCTION("IMPORTRANGE(""https://docs.google.com/spreadsheets/d/1l6IZ8xUPgMrESzcTYwhA1k_tPjeQjJPTqlm8Gd9eU5g/edit?usp=sharing"",""มหาสารคาม!J704"")"),0)</f>
        <v>0</v>
      </c>
      <c r="AG39" s="354">
        <f t="shared" ca="1" si="48"/>
        <v>0</v>
      </c>
      <c r="AH39" s="495">
        <f ca="1">IFERROR(__xludf.DUMMYFUNCTION("IMPORTRANGE(""https://docs.google.com/spreadsheets/d/1l6IZ8xUPgMrESzcTYwhA1k_tPjeQjJPTqlm8Gd9eU5g/edit?usp=sharing"",""มหาสารคาม!I705"")"),0)</f>
        <v>0</v>
      </c>
      <c r="AI39" s="496">
        <f ca="1">IFERROR(__xludf.DUMMYFUNCTION("IMPORTRANGE(""https://docs.google.com/spreadsheets/d/1l6IZ8xUPgMrESzcTYwhA1k_tPjeQjJPTqlm8Gd9eU5g/edit?usp=sharing"",""มหาสารคาม!J705"")"),0)</f>
        <v>0</v>
      </c>
      <c r="AJ39" s="496">
        <f ca="1">IFERROR(__xludf.DUMMYFUNCTION("IMPORTRANGE(""https://docs.google.com/spreadsheets/d/1l6IZ8xUPgMrESzcTYwhA1k_tPjeQjJPTqlm8Gd9eU5g/edit?usp=sharing"",""มหาสารคาม!J706"")"),0)</f>
        <v>0</v>
      </c>
      <c r="AK39" s="497">
        <f t="shared" ca="1" si="50"/>
        <v>0</v>
      </c>
      <c r="AL39" s="353">
        <f ca="1">IFERROR(__xludf.DUMMYFUNCTION("IMPORTRANGE(""https://docs.google.com/spreadsheets/d/1l6IZ8xUPgMrESzcTYwhA1k_tPjeQjJPTqlm8Gd9eU5g/edit?usp=sharing"",""มหาสารคาม!I707"")"),0)</f>
        <v>0</v>
      </c>
      <c r="AM39" s="452">
        <f ca="1">IFERROR(__xludf.DUMMYFUNCTION("IMPORTRANGE(""https://docs.google.com/spreadsheets/d/1l6IZ8xUPgMrESzcTYwhA1k_tPjeQjJPTqlm8Gd9eU5g/edit?usp=sharing"",""มหาสารคาม!J707"")"),0)</f>
        <v>0</v>
      </c>
      <c r="AN39" s="452">
        <f ca="1">IFERROR(__xludf.DUMMYFUNCTION("IMPORTRANGE(""https://docs.google.com/spreadsheets/d/1l6IZ8xUPgMrESzcTYwhA1k_tPjeQjJPTqlm8Gd9eU5g/edit?usp=sharing"",""มหาสารคาม!J708"")"),0)</f>
        <v>0</v>
      </c>
      <c r="AO39" s="354">
        <f t="shared" ca="1" si="52"/>
        <v>0</v>
      </c>
      <c r="AP39" s="495">
        <f ca="1">IFERROR(__xludf.DUMMYFUNCTION("IMPORTRANGE(""https://docs.google.com/spreadsheets/d/1l6IZ8xUPgMrESzcTYwhA1k_tPjeQjJPTqlm8Gd9eU5g/edit?usp=sharing"",""มหาสารคาม!I709"")"),0)</f>
        <v>0</v>
      </c>
      <c r="AQ39" s="496">
        <f ca="1">IFERROR(__xludf.DUMMYFUNCTION("IMPORTRANGE(""https://docs.google.com/spreadsheets/d/1l6IZ8xUPgMrESzcTYwhA1k_tPjeQjJPTqlm8Gd9eU5g/edit?usp=sharing"",""มหาสารคาม!J709"")"),0)</f>
        <v>0</v>
      </c>
      <c r="AR39" s="496">
        <f ca="1">IFERROR(__xludf.DUMMYFUNCTION("IMPORTRANGE(""https://docs.google.com/spreadsheets/d/1l6IZ8xUPgMrESzcTYwhA1k_tPjeQjJPTqlm8Gd9eU5g/edit?usp=sharing"",""มหาสารคาม!J710"")"),0)</f>
        <v>0</v>
      </c>
      <c r="AS39" s="497">
        <f t="shared" ca="1" si="54"/>
        <v>0</v>
      </c>
    </row>
    <row r="40" spans="1:45" ht="24.75" customHeight="1" x14ac:dyDescent="0.3">
      <c r="A40" s="89">
        <v>9</v>
      </c>
      <c r="B40" s="90" t="s">
        <v>66</v>
      </c>
      <c r="C40" s="174">
        <f t="shared" si="32"/>
        <v>0</v>
      </c>
      <c r="D40" s="175">
        <f t="shared" si="64"/>
        <v>0</v>
      </c>
      <c r="E40" s="403">
        <v>0</v>
      </c>
      <c r="F40" s="403">
        <v>0</v>
      </c>
      <c r="G40" s="403">
        <v>0</v>
      </c>
      <c r="H40" s="403">
        <v>0</v>
      </c>
      <c r="I40" s="403">
        <v>0</v>
      </c>
      <c r="J40" s="176">
        <f t="shared" si="34"/>
        <v>0</v>
      </c>
      <c r="K40" s="179">
        <f t="shared" si="35"/>
        <v>0</v>
      </c>
      <c r="L40" s="403">
        <v>0</v>
      </c>
      <c r="M40" s="87">
        <f t="shared" si="36"/>
        <v>0</v>
      </c>
      <c r="N40" s="87">
        <f t="shared" si="37"/>
        <v>0</v>
      </c>
      <c r="O40" s="403">
        <v>0</v>
      </c>
      <c r="P40" s="86">
        <f t="shared" si="38"/>
        <v>0</v>
      </c>
      <c r="Q40" s="87">
        <f t="shared" si="39"/>
        <v>0</v>
      </c>
      <c r="R40" s="87">
        <f ca="1">IFERROR(__xludf.DUMMYFUNCTION("IMPORTRANGE(""https://docs.google.com/spreadsheets/d/1uB74YLqNjWX6FObjekfB2NtSYigTQyR2rq9u4Ub2Sq4/edit?usp=sharing"",""มุกดาหาร!Q690"")"),212180)</f>
        <v>212180</v>
      </c>
      <c r="S40" s="87">
        <f ca="1">IFERROR(__xludf.DUMMYFUNCTION("IMPORTRANGE(""https://docs.google.com/spreadsheets/d/1uB74YLqNjWX6FObjekfB2NtSYigTQyR2rq9u4Ub2Sq4/edit?usp=sharing"",""มุกดาหาร!R690"")"),0)</f>
        <v>0</v>
      </c>
      <c r="T40" s="87">
        <f ca="1">IFERROR(__xludf.DUMMYFUNCTION("IMPORTRANGE(""https://docs.google.com/spreadsheets/d/1uB74YLqNjWX6FObjekfB2NtSYigTQyR2rq9u4Ub2Sq4/edit?usp=sharing"",""มุกดาหาร!S690"")"),0)</f>
        <v>0</v>
      </c>
      <c r="U40" s="87">
        <f t="shared" ca="1" si="41"/>
        <v>0</v>
      </c>
      <c r="V40" s="87">
        <f t="shared" ca="1" si="42"/>
        <v>0</v>
      </c>
      <c r="W40" s="353">
        <f ca="1">IFERROR(__xludf.DUMMYFUNCTION("IMPORTRANGE(""https://docs.google.com/spreadsheets/d/1uB74YLqNjWX6FObjekfB2NtSYigTQyR2rq9u4Ub2Sq4/edit?usp=sharing"",""มุกดาหาร!I700"")"),0)</f>
        <v>0</v>
      </c>
      <c r="X40" s="177">
        <f ca="1">IFERROR(__xludf.DUMMYFUNCTION("IMPORTRANGE(""https://docs.google.com/spreadsheets/d/1uB74YLqNjWX6FObjekfB2NtSYigTQyR2rq9u4Ub2Sq4/edit?usp=sharing"",""มุกดาหาร!J700"")"),0)</f>
        <v>0</v>
      </c>
      <c r="Y40" s="354">
        <f t="shared" ca="1" si="44"/>
        <v>0</v>
      </c>
      <c r="Z40" s="353">
        <f ca="1">IFERROR(__xludf.DUMMYFUNCTION("IMPORTRANGE(""https://docs.google.com/spreadsheets/d/1uB74YLqNjWX6FObjekfB2NtSYigTQyR2rq9u4Ub2Sq4/edit?usp=sharing"",""มุกดาหาร!I701"")"),106)</f>
        <v>106</v>
      </c>
      <c r="AA40" s="177">
        <f ca="1">IFERROR(__xludf.DUMMYFUNCTION("IMPORTRANGE(""https://docs.google.com/spreadsheets/d/1uB74YLqNjWX6FObjekfB2NtSYigTQyR2rq9u4Ub2Sq4/edit?usp=sharing"",""มุกดาหาร!J701"")"),2)</f>
        <v>2</v>
      </c>
      <c r="AB40" s="177">
        <f ca="1">IFERROR(__xludf.DUMMYFUNCTION("IMPORTRANGE(""https://docs.google.com/spreadsheets/d/1uB74YLqNjWX6FObjekfB2NtSYigTQyR2rq9u4Ub2Sq4/edit?usp=sharing"",""มุกดาหาร!J702"")"),0.38)</f>
        <v>0.38</v>
      </c>
      <c r="AC40" s="354">
        <f t="shared" ca="1" si="46"/>
        <v>1.8867924528301887</v>
      </c>
      <c r="AD40" s="353">
        <f ca="1">IFERROR(__xludf.DUMMYFUNCTION("IMPORTRANGE(""https://docs.google.com/spreadsheets/d/1uB74YLqNjWX6FObjekfB2NtSYigTQyR2rq9u4Ub2Sq4/edit?usp=sharing"",""มุกดาหาร!I703"")"),102)</f>
        <v>102</v>
      </c>
      <c r="AE40" s="177">
        <f ca="1">IFERROR(__xludf.DUMMYFUNCTION("IMPORTRANGE(""https://docs.google.com/spreadsheets/d/1uB74YLqNjWX6FObjekfB2NtSYigTQyR2rq9u4Ub2Sq4/edit?usp=sharing"",""มุกดาหาร!J703"")"),2)</f>
        <v>2</v>
      </c>
      <c r="AF40" s="177">
        <f ca="1">IFERROR(__xludf.DUMMYFUNCTION("IMPORTRANGE(""https://docs.google.com/spreadsheets/d/1uB74YLqNjWX6FObjekfB2NtSYigTQyR2rq9u4Ub2Sq4/edit?usp=sharing"",""มุกดาหาร!J704"")"),0.38)</f>
        <v>0.38</v>
      </c>
      <c r="AG40" s="354">
        <f t="shared" ca="1" si="48"/>
        <v>1.9607843137254901</v>
      </c>
      <c r="AH40" s="495">
        <f ca="1">IFERROR(__xludf.DUMMYFUNCTION("IMPORTRANGE(""https://docs.google.com/spreadsheets/d/1uB74YLqNjWX6FObjekfB2NtSYigTQyR2rq9u4Ub2Sq4/edit?usp=sharing"",""มุกดาหาร!I705"")"),4)</f>
        <v>4</v>
      </c>
      <c r="AI40" s="496">
        <f ca="1">IFERROR(__xludf.DUMMYFUNCTION("IMPORTRANGE(""https://docs.google.com/spreadsheets/d/1uB74YLqNjWX6FObjekfB2NtSYigTQyR2rq9u4Ub2Sq4/edit?usp=sharing"",""มุกดาหาร!J705"")"),0)</f>
        <v>0</v>
      </c>
      <c r="AJ40" s="496">
        <f ca="1">IFERROR(__xludf.DUMMYFUNCTION("IMPORTRANGE(""https://docs.google.com/spreadsheets/d/1uB74YLqNjWX6FObjekfB2NtSYigTQyR2rq9u4Ub2Sq4/edit?usp=sharing"",""มุกดาหาร!J706"")"),0)</f>
        <v>0</v>
      </c>
      <c r="AK40" s="497">
        <f t="shared" ca="1" si="50"/>
        <v>0</v>
      </c>
      <c r="AL40" s="353">
        <f ca="1">IFERROR(__xludf.DUMMYFUNCTION("IMPORTRANGE(""https://docs.google.com/spreadsheets/d/1uB74YLqNjWX6FObjekfB2NtSYigTQyR2rq9u4Ub2Sq4/edit?usp=sharing"",""มุกดาหาร!I707"")"),102)</f>
        <v>102</v>
      </c>
      <c r="AM40" s="177">
        <f ca="1">IFERROR(__xludf.DUMMYFUNCTION("IMPORTRANGE(""https://docs.google.com/spreadsheets/d/1uB74YLqNjWX6FObjekfB2NtSYigTQyR2rq9u4Ub2Sq4/edit?usp=sharing"",""มุกดาหาร!J707"")"),0)</f>
        <v>0</v>
      </c>
      <c r="AN40" s="177">
        <f ca="1">IFERROR(__xludf.DUMMYFUNCTION("IMPORTRANGE(""https://docs.google.com/spreadsheets/d/1uB74YLqNjWX6FObjekfB2NtSYigTQyR2rq9u4Ub2Sq4/edit?usp=sharing"",""มุกดาหาร!J708"")"),0)</f>
        <v>0</v>
      </c>
      <c r="AO40" s="354">
        <f t="shared" ca="1" si="52"/>
        <v>0</v>
      </c>
      <c r="AP40" s="495">
        <f ca="1">IFERROR(__xludf.DUMMYFUNCTION("IMPORTRANGE(""https://docs.google.com/spreadsheets/d/1uB74YLqNjWX6FObjekfB2NtSYigTQyR2rq9u4Ub2Sq4/edit?usp=sharing"",""มุกดาหาร!I709"")"),4)</f>
        <v>4</v>
      </c>
      <c r="AQ40" s="496">
        <f ca="1">IFERROR(__xludf.DUMMYFUNCTION("IMPORTRANGE(""https://docs.google.com/spreadsheets/d/1uB74YLqNjWX6FObjekfB2NtSYigTQyR2rq9u4Ub2Sq4/edit?usp=sharing"",""มุกดาหาร!J709"")"),0)</f>
        <v>0</v>
      </c>
      <c r="AR40" s="496">
        <f ca="1">IFERROR(__xludf.DUMMYFUNCTION("IMPORTRANGE(""https://docs.google.com/spreadsheets/d/1uB74YLqNjWX6FObjekfB2NtSYigTQyR2rq9u4Ub2Sq4/edit?usp=sharing"",""มุกดาหาร!J710"")"),0)</f>
        <v>0</v>
      </c>
      <c r="AS40" s="497">
        <f t="shared" ca="1" si="54"/>
        <v>0</v>
      </c>
    </row>
    <row r="41" spans="1:45" ht="24.75" customHeight="1" x14ac:dyDescent="0.3">
      <c r="A41" s="89">
        <v>10</v>
      </c>
      <c r="B41" s="90" t="s">
        <v>67</v>
      </c>
      <c r="C41" s="174">
        <f t="shared" si="32"/>
        <v>0</v>
      </c>
      <c r="D41" s="175">
        <f t="shared" si="64"/>
        <v>0</v>
      </c>
      <c r="E41" s="403">
        <v>0</v>
      </c>
      <c r="F41" s="403">
        <v>0</v>
      </c>
      <c r="G41" s="403">
        <v>0</v>
      </c>
      <c r="H41" s="403">
        <v>0</v>
      </c>
      <c r="I41" s="403">
        <v>0</v>
      </c>
      <c r="J41" s="176">
        <f t="shared" si="34"/>
        <v>0</v>
      </c>
      <c r="K41" s="179">
        <f t="shared" si="35"/>
        <v>0</v>
      </c>
      <c r="L41" s="403">
        <v>0</v>
      </c>
      <c r="M41" s="87">
        <f t="shared" si="36"/>
        <v>0</v>
      </c>
      <c r="N41" s="87">
        <f t="shared" si="37"/>
        <v>0</v>
      </c>
      <c r="O41" s="403">
        <v>0</v>
      </c>
      <c r="P41" s="86">
        <f t="shared" si="38"/>
        <v>0</v>
      </c>
      <c r="Q41" s="87">
        <f t="shared" si="39"/>
        <v>0</v>
      </c>
      <c r="R41" s="87">
        <f ca="1">IFERROR(__xludf.DUMMYFUNCTION("IMPORTRANGE(""https://docs.google.com/spreadsheets/d/1NexK3geCPxCTO1fzNF8dPec7yZyUx3OaWkFBC9HsQOo/edit?usp=sharing"",""ยโสธร!Q690"")"),224460)</f>
        <v>224460</v>
      </c>
      <c r="S41" s="87">
        <f ca="1">IFERROR(__xludf.DUMMYFUNCTION("IMPORTRANGE(""https://docs.google.com/spreadsheets/d/1NexK3geCPxCTO1fzNF8dPec7yZyUx3OaWkFBC9HsQOo/edit?usp=sharing"",""ยโสธร!R690"")"),0)</f>
        <v>0</v>
      </c>
      <c r="T41" s="87">
        <f ca="1">IFERROR(__xludf.DUMMYFUNCTION("IMPORTRANGE(""https://docs.google.com/spreadsheets/d/1NexK3geCPxCTO1fzNF8dPec7yZyUx3OaWkFBC9HsQOo/edit?usp=sharing"",""ยโสธร!S690"")"),9040)</f>
        <v>9040</v>
      </c>
      <c r="U41" s="87">
        <f t="shared" ca="1" si="41"/>
        <v>4.0274436425198257</v>
      </c>
      <c r="V41" s="87">
        <f t="shared" ca="1" si="42"/>
        <v>0</v>
      </c>
      <c r="W41" s="353">
        <f ca="1">IFERROR(__xludf.DUMMYFUNCTION("IMPORTRANGE(""https://docs.google.com/spreadsheets/d/1NexK3geCPxCTO1fzNF8dPec7yZyUx3OaWkFBC9HsQOo/edit?usp=sharing"",""ยโสธร!I700"")"),0)</f>
        <v>0</v>
      </c>
      <c r="X41" s="177">
        <f ca="1">IFERROR(__xludf.DUMMYFUNCTION("IMPORTRANGE(""https://docs.google.com/spreadsheets/d/1NexK3geCPxCTO1fzNF8dPec7yZyUx3OaWkFBC9HsQOo/edit?usp=sharing"",""ยโสธร!J700"")"),0)</f>
        <v>0</v>
      </c>
      <c r="Y41" s="354">
        <f t="shared" ca="1" si="44"/>
        <v>0</v>
      </c>
      <c r="Z41" s="353">
        <f ca="1">IFERROR(__xludf.DUMMYFUNCTION("IMPORTRANGE(""https://docs.google.com/spreadsheets/d/1NexK3geCPxCTO1fzNF8dPec7yZyUx3OaWkFBC9HsQOo/edit?usp=sharing"",""ยโสธร!I701"")"),112)</f>
        <v>112</v>
      </c>
      <c r="AA41" s="177">
        <f ca="1">IFERROR(__xludf.DUMMYFUNCTION("IMPORTRANGE(""https://docs.google.com/spreadsheets/d/1NexK3geCPxCTO1fzNF8dPec7yZyUx3OaWkFBC9HsQOo/edit?usp=sharing"",""ยโสธร!J701"")"),0)</f>
        <v>0</v>
      </c>
      <c r="AB41" s="177">
        <f ca="1">IFERROR(__xludf.DUMMYFUNCTION("IMPORTRANGE(""https://docs.google.com/spreadsheets/d/1NexK3geCPxCTO1fzNF8dPec7yZyUx3OaWkFBC9HsQOo/edit?usp=sharing"",""ยโสธร!J702"")"),0)</f>
        <v>0</v>
      </c>
      <c r="AC41" s="354">
        <f t="shared" ca="1" si="46"/>
        <v>0</v>
      </c>
      <c r="AD41" s="353">
        <f ca="1">IFERROR(__xludf.DUMMYFUNCTION("IMPORTRANGE(""https://docs.google.com/spreadsheets/d/1NexK3geCPxCTO1fzNF8dPec7yZyUx3OaWkFBC9HsQOo/edit?usp=sharing"",""ยโสธร!I703"")"),105)</f>
        <v>105</v>
      </c>
      <c r="AE41" s="177">
        <f ca="1">IFERROR(__xludf.DUMMYFUNCTION("IMPORTRANGE(""https://docs.google.com/spreadsheets/d/1NexK3geCPxCTO1fzNF8dPec7yZyUx3OaWkFBC9HsQOo/edit?usp=sharing"",""ยโสธร!J703"")"),0)</f>
        <v>0</v>
      </c>
      <c r="AF41" s="177">
        <f ca="1">IFERROR(__xludf.DUMMYFUNCTION("IMPORTRANGE(""https://docs.google.com/spreadsheets/d/1NexK3geCPxCTO1fzNF8dPec7yZyUx3OaWkFBC9HsQOo/edit?usp=sharing"",""ยโสธร!J704"")"),0)</f>
        <v>0</v>
      </c>
      <c r="AG41" s="354">
        <f t="shared" ca="1" si="48"/>
        <v>0</v>
      </c>
      <c r="AH41" s="495">
        <f ca="1">IFERROR(__xludf.DUMMYFUNCTION("IMPORTRANGE(""https://docs.google.com/spreadsheets/d/1NexK3geCPxCTO1fzNF8dPec7yZyUx3OaWkFBC9HsQOo/edit?usp=sharing"",""ยโสธร!I705"")"),7)</f>
        <v>7</v>
      </c>
      <c r="AI41" s="496">
        <f ca="1">IFERROR(__xludf.DUMMYFUNCTION("IMPORTRANGE(""https://docs.google.com/spreadsheets/d/1NexK3geCPxCTO1fzNF8dPec7yZyUx3OaWkFBC9HsQOo/edit?usp=sharing"",""ยโสธร!J705"")"),0)</f>
        <v>0</v>
      </c>
      <c r="AJ41" s="496">
        <f ca="1">IFERROR(__xludf.DUMMYFUNCTION("IMPORTRANGE(""https://docs.google.com/spreadsheets/d/1NexK3geCPxCTO1fzNF8dPec7yZyUx3OaWkFBC9HsQOo/edit?usp=sharing"",""ยโสธร!J706"")"),0)</f>
        <v>0</v>
      </c>
      <c r="AK41" s="497">
        <f t="shared" ca="1" si="50"/>
        <v>0</v>
      </c>
      <c r="AL41" s="353">
        <f ca="1">IFERROR(__xludf.DUMMYFUNCTION("IMPORTRANGE(""https://docs.google.com/spreadsheets/d/1NexK3geCPxCTO1fzNF8dPec7yZyUx3OaWkFBC9HsQOo/edit?usp=sharing"",""ยโสธร!I707"")"),105)</f>
        <v>105</v>
      </c>
      <c r="AM41" s="177">
        <f ca="1">IFERROR(__xludf.DUMMYFUNCTION("IMPORTRANGE(""https://docs.google.com/spreadsheets/d/1NexK3geCPxCTO1fzNF8dPec7yZyUx3OaWkFBC9HsQOo/edit?usp=sharing"",""ยโสธร!J707"")"),0)</f>
        <v>0</v>
      </c>
      <c r="AN41" s="177">
        <f ca="1">IFERROR(__xludf.DUMMYFUNCTION("IMPORTRANGE(""https://docs.google.com/spreadsheets/d/1NexK3geCPxCTO1fzNF8dPec7yZyUx3OaWkFBC9HsQOo/edit?usp=sharing"",""ยโสธร!J708"")"),0)</f>
        <v>0</v>
      </c>
      <c r="AO41" s="354">
        <f t="shared" ca="1" si="52"/>
        <v>0</v>
      </c>
      <c r="AP41" s="495">
        <f ca="1">IFERROR(__xludf.DUMMYFUNCTION("IMPORTRANGE(""https://docs.google.com/spreadsheets/d/1NexK3geCPxCTO1fzNF8dPec7yZyUx3OaWkFBC9HsQOo/edit?usp=sharing"",""ยโสธร!I709"")"),7)</f>
        <v>7</v>
      </c>
      <c r="AQ41" s="496">
        <f ca="1">IFERROR(__xludf.DUMMYFUNCTION("IMPORTRANGE(""https://docs.google.com/spreadsheets/d/1NexK3geCPxCTO1fzNF8dPec7yZyUx3OaWkFBC9HsQOo/edit?usp=sharing"",""ยโสธร!J709"")"),0)</f>
        <v>0</v>
      </c>
      <c r="AR41" s="496">
        <f ca="1">IFERROR(__xludf.DUMMYFUNCTION("IMPORTRANGE(""https://docs.google.com/spreadsheets/d/1NexK3geCPxCTO1fzNF8dPec7yZyUx3OaWkFBC9HsQOo/edit?usp=sharing"",""ยโสธร!J710"")"),0)</f>
        <v>0</v>
      </c>
      <c r="AS41" s="497">
        <f t="shared" ca="1" si="54"/>
        <v>0</v>
      </c>
    </row>
    <row r="42" spans="1:45" ht="24.75" customHeight="1" x14ac:dyDescent="0.3">
      <c r="A42" s="89">
        <v>11</v>
      </c>
      <c r="B42" s="90" t="s">
        <v>68</v>
      </c>
      <c r="C42" s="174">
        <f t="shared" si="32"/>
        <v>0</v>
      </c>
      <c r="D42" s="175">
        <f t="shared" si="64"/>
        <v>0</v>
      </c>
      <c r="E42" s="403">
        <v>0</v>
      </c>
      <c r="F42" s="403">
        <v>0</v>
      </c>
      <c r="G42" s="403">
        <v>0</v>
      </c>
      <c r="H42" s="403">
        <v>0</v>
      </c>
      <c r="I42" s="403">
        <v>0</v>
      </c>
      <c r="J42" s="176">
        <f t="shared" si="34"/>
        <v>0</v>
      </c>
      <c r="K42" s="179">
        <f t="shared" si="35"/>
        <v>0</v>
      </c>
      <c r="L42" s="403">
        <v>0</v>
      </c>
      <c r="M42" s="87">
        <f t="shared" si="36"/>
        <v>0</v>
      </c>
      <c r="N42" s="87">
        <f t="shared" si="37"/>
        <v>0</v>
      </c>
      <c r="O42" s="403">
        <v>0</v>
      </c>
      <c r="P42" s="86">
        <f t="shared" si="38"/>
        <v>0</v>
      </c>
      <c r="Q42" s="87">
        <f t="shared" si="39"/>
        <v>0</v>
      </c>
      <c r="R42" s="87">
        <f ca="1">IFERROR(__xludf.DUMMYFUNCTION("IMPORTRANGE(""https://docs.google.com/spreadsheets/d/1v_cJrbBlyqmnHPReHk44g9NrMRdENNlSy_E_c5M9fIg/edit?usp=sharing"",""ร้อยเอ็ด!Q690"")"),332810)</f>
        <v>332810</v>
      </c>
      <c r="S42" s="87">
        <f ca="1">IFERROR(__xludf.DUMMYFUNCTION("IMPORTRANGE(""https://docs.google.com/spreadsheets/d/1v_cJrbBlyqmnHPReHk44g9NrMRdENNlSy_E_c5M9fIg/edit?usp=sharing"",""ร้อยเอ็ด!R690"")"),0)</f>
        <v>0</v>
      </c>
      <c r="T42" s="87">
        <f ca="1">IFERROR(__xludf.DUMMYFUNCTION("IMPORTRANGE(""https://docs.google.com/spreadsheets/d/1v_cJrbBlyqmnHPReHk44g9NrMRdENNlSy_E_c5M9fIg/edit?usp=sharing"",""ร้อยเอ็ด!S690"")"),2250)</f>
        <v>2250</v>
      </c>
      <c r="U42" s="87">
        <f t="shared" ca="1" si="41"/>
        <v>0.67606141642378537</v>
      </c>
      <c r="V42" s="87">
        <f t="shared" ca="1" si="42"/>
        <v>0</v>
      </c>
      <c r="W42" s="353">
        <f ca="1">IFERROR(__xludf.DUMMYFUNCTION("IMPORTRANGE(""https://docs.google.com/spreadsheets/d/1v_cJrbBlyqmnHPReHk44g9NrMRdENNlSy_E_c5M9fIg/edit?usp=sharing"",""ร้อยเอ็ด!I700"")"),0)</f>
        <v>0</v>
      </c>
      <c r="X42" s="177">
        <f ca="1">IFERROR(__xludf.DUMMYFUNCTION("IMPORTRANGE(""https://docs.google.com/spreadsheets/d/1v_cJrbBlyqmnHPReHk44g9NrMRdENNlSy_E_c5M9fIg/edit?usp=sharing"",""ร้อยเอ็ด!J700"")"),0)</f>
        <v>0</v>
      </c>
      <c r="Y42" s="354">
        <f t="shared" ca="1" si="44"/>
        <v>0</v>
      </c>
      <c r="Z42" s="353">
        <f ca="1">IFERROR(__xludf.DUMMYFUNCTION("IMPORTRANGE(""https://docs.google.com/spreadsheets/d/1v_cJrbBlyqmnHPReHk44g9NrMRdENNlSy_E_c5M9fIg/edit?usp=sharing"",""ร้อยเอ็ด!I701"")"),213)</f>
        <v>213</v>
      </c>
      <c r="AA42" s="177">
        <f ca="1">IFERROR(__xludf.DUMMYFUNCTION("IMPORTRANGE(""https://docs.google.com/spreadsheets/d/1v_cJrbBlyqmnHPReHk44g9NrMRdENNlSy_E_c5M9fIg/edit?usp=sharing"",""ร้อยเอ็ด!J701"")"),0)</f>
        <v>0</v>
      </c>
      <c r="AB42" s="177">
        <f ca="1">IFERROR(__xludf.DUMMYFUNCTION("IMPORTRANGE(""https://docs.google.com/spreadsheets/d/1v_cJrbBlyqmnHPReHk44g9NrMRdENNlSy_E_c5M9fIg/edit?usp=sharing"",""ร้อยเอ็ด!J702"")"),0)</f>
        <v>0</v>
      </c>
      <c r="AC42" s="354">
        <f t="shared" ca="1" si="46"/>
        <v>0</v>
      </c>
      <c r="AD42" s="353">
        <f ca="1">IFERROR(__xludf.DUMMYFUNCTION("IMPORTRANGE(""https://docs.google.com/spreadsheets/d/1v_cJrbBlyqmnHPReHk44g9NrMRdENNlSy_E_c5M9fIg/edit?usp=sharing"",""ร้อยเอ็ด!I703"")"),207)</f>
        <v>207</v>
      </c>
      <c r="AE42" s="177">
        <f ca="1">IFERROR(__xludf.DUMMYFUNCTION("IMPORTRANGE(""https://docs.google.com/spreadsheets/d/1v_cJrbBlyqmnHPReHk44g9NrMRdENNlSy_E_c5M9fIg/edit?usp=sharing"",""ร้อยเอ็ด!J703"")"),0)</f>
        <v>0</v>
      </c>
      <c r="AF42" s="177">
        <f ca="1">IFERROR(__xludf.DUMMYFUNCTION("IMPORTRANGE(""https://docs.google.com/spreadsheets/d/1v_cJrbBlyqmnHPReHk44g9NrMRdENNlSy_E_c5M9fIg/edit?usp=sharing"",""ร้อยเอ็ด!J704"")"),0)</f>
        <v>0</v>
      </c>
      <c r="AG42" s="354">
        <f t="shared" ca="1" si="48"/>
        <v>0</v>
      </c>
      <c r="AH42" s="495">
        <f ca="1">IFERROR(__xludf.DUMMYFUNCTION("IMPORTRANGE(""https://docs.google.com/spreadsheets/d/1v_cJrbBlyqmnHPReHk44g9NrMRdENNlSy_E_c5M9fIg/edit?usp=sharing"",""ร้อยเอ็ด!I705"")"),6)</f>
        <v>6</v>
      </c>
      <c r="AI42" s="496">
        <f ca="1">IFERROR(__xludf.DUMMYFUNCTION("IMPORTRANGE(""https://docs.google.com/spreadsheets/d/1v_cJrbBlyqmnHPReHk44g9NrMRdENNlSy_E_c5M9fIg/edit?usp=sharing"",""ร้อยเอ็ด!J705"")"),0)</f>
        <v>0</v>
      </c>
      <c r="AJ42" s="496">
        <f ca="1">IFERROR(__xludf.DUMMYFUNCTION("IMPORTRANGE(""https://docs.google.com/spreadsheets/d/1v_cJrbBlyqmnHPReHk44g9NrMRdENNlSy_E_c5M9fIg/edit?usp=sharing"",""ร้อยเอ็ด!J706"")"),0)</f>
        <v>0</v>
      </c>
      <c r="AK42" s="497">
        <f t="shared" ca="1" si="50"/>
        <v>0</v>
      </c>
      <c r="AL42" s="353">
        <f ca="1">IFERROR(__xludf.DUMMYFUNCTION("IMPORTRANGE(""https://docs.google.com/spreadsheets/d/1v_cJrbBlyqmnHPReHk44g9NrMRdENNlSy_E_c5M9fIg/edit?usp=sharing"",""ร้อยเอ็ด!I707"")"),207)</f>
        <v>207</v>
      </c>
      <c r="AM42" s="177">
        <f ca="1">IFERROR(__xludf.DUMMYFUNCTION("IMPORTRANGE(""https://docs.google.com/spreadsheets/d/1v_cJrbBlyqmnHPReHk44g9NrMRdENNlSy_E_c5M9fIg/edit?usp=sharing"",""ร้อยเอ็ด!J707"")"),0)</f>
        <v>0</v>
      </c>
      <c r="AN42" s="177">
        <f ca="1">IFERROR(__xludf.DUMMYFUNCTION("IMPORTRANGE(""https://docs.google.com/spreadsheets/d/1v_cJrbBlyqmnHPReHk44g9NrMRdENNlSy_E_c5M9fIg/edit?usp=sharing"",""ร้อยเอ็ด!J708"")"),0)</f>
        <v>0</v>
      </c>
      <c r="AO42" s="354">
        <f t="shared" ca="1" si="52"/>
        <v>0</v>
      </c>
      <c r="AP42" s="495">
        <f ca="1">IFERROR(__xludf.DUMMYFUNCTION("IMPORTRANGE(""https://docs.google.com/spreadsheets/d/1v_cJrbBlyqmnHPReHk44g9NrMRdENNlSy_E_c5M9fIg/edit?usp=sharing"",""ร้อยเอ็ด!I709"")"),6)</f>
        <v>6</v>
      </c>
      <c r="AQ42" s="496">
        <f ca="1">IFERROR(__xludf.DUMMYFUNCTION("IMPORTRANGE(""https://docs.google.com/spreadsheets/d/1v_cJrbBlyqmnHPReHk44g9NrMRdENNlSy_E_c5M9fIg/edit?usp=sharing"",""ร้อยเอ็ด!J709"")"),0)</f>
        <v>0</v>
      </c>
      <c r="AR42" s="496">
        <f ca="1">IFERROR(__xludf.DUMMYFUNCTION("IMPORTRANGE(""https://docs.google.com/spreadsheets/d/1v_cJrbBlyqmnHPReHk44g9NrMRdENNlSy_E_c5M9fIg/edit?usp=sharing"",""ร้อยเอ็ด!J710"")"),0)</f>
        <v>0</v>
      </c>
      <c r="AS42" s="497">
        <f t="shared" ca="1" si="54"/>
        <v>0</v>
      </c>
    </row>
    <row r="43" spans="1:45" ht="24.75" customHeight="1" x14ac:dyDescent="0.3">
      <c r="A43" s="89">
        <v>12</v>
      </c>
      <c r="B43" s="90" t="s">
        <v>69</v>
      </c>
      <c r="C43" s="174">
        <f t="shared" si="32"/>
        <v>0</v>
      </c>
      <c r="D43" s="175">
        <f t="shared" si="64"/>
        <v>0</v>
      </c>
      <c r="E43" s="403">
        <v>0</v>
      </c>
      <c r="F43" s="403">
        <v>0</v>
      </c>
      <c r="G43" s="403">
        <v>0</v>
      </c>
      <c r="H43" s="403">
        <v>0</v>
      </c>
      <c r="I43" s="403">
        <v>0</v>
      </c>
      <c r="J43" s="176">
        <f t="shared" si="34"/>
        <v>0</v>
      </c>
      <c r="K43" s="179">
        <f t="shared" si="35"/>
        <v>0</v>
      </c>
      <c r="L43" s="403">
        <v>0</v>
      </c>
      <c r="M43" s="87">
        <f t="shared" si="36"/>
        <v>0</v>
      </c>
      <c r="N43" s="87">
        <f t="shared" si="37"/>
        <v>0</v>
      </c>
      <c r="O43" s="403">
        <v>0</v>
      </c>
      <c r="P43" s="86">
        <f t="shared" si="38"/>
        <v>0</v>
      </c>
      <c r="Q43" s="87">
        <f t="shared" si="39"/>
        <v>0</v>
      </c>
      <c r="R43" s="87">
        <f ca="1">IFERROR(__xludf.DUMMYFUNCTION("IMPORTRANGE(""https://docs.google.com/spreadsheets/d/1Ul4RCpCX66NxYADU1QpwAPjOmBzW64SsT11s1wzXw_c/edit?usp=sharing"",""เลย!Q690"")"),367610)</f>
        <v>367610</v>
      </c>
      <c r="S43" s="87">
        <f ca="1">IFERROR(__xludf.DUMMYFUNCTION("IMPORTRANGE(""https://docs.google.com/spreadsheets/d/1Ul4RCpCX66NxYADU1QpwAPjOmBzW64SsT11s1wzXw_c/edit?usp=sharing"",""เลย!R690"")"),0)</f>
        <v>0</v>
      </c>
      <c r="T43" s="87">
        <f ca="1">IFERROR(__xludf.DUMMYFUNCTION("IMPORTRANGE(""https://docs.google.com/spreadsheets/d/1Ul4RCpCX66NxYADU1QpwAPjOmBzW64SsT11s1wzXw_c/edit?usp=sharing"",""เลย!S690"")"),0)</f>
        <v>0</v>
      </c>
      <c r="U43" s="87">
        <f t="shared" ca="1" si="41"/>
        <v>0</v>
      </c>
      <c r="V43" s="87">
        <f t="shared" ca="1" si="42"/>
        <v>0</v>
      </c>
      <c r="W43" s="353">
        <f ca="1">IFERROR(__xludf.DUMMYFUNCTION("IMPORTRANGE(""https://docs.google.com/spreadsheets/d/1Ul4RCpCX66NxYADU1QpwAPjOmBzW64SsT11s1wzXw_c/edit?usp=sharing"",""เลย!I700"")"),0)</f>
        <v>0</v>
      </c>
      <c r="X43" s="177">
        <f ca="1">IFERROR(__xludf.DUMMYFUNCTION("IMPORTRANGE(""https://docs.google.com/spreadsheets/d/1Ul4RCpCX66NxYADU1QpwAPjOmBzW64SsT11s1wzXw_c/edit?usp=sharing"",""เลย!J700"")"),0)</f>
        <v>0</v>
      </c>
      <c r="Y43" s="354">
        <f t="shared" ca="1" si="44"/>
        <v>0</v>
      </c>
      <c r="Z43" s="353">
        <f ca="1">IFERROR(__xludf.DUMMYFUNCTION("IMPORTRANGE(""https://docs.google.com/spreadsheets/d/1Ul4RCpCX66NxYADU1QpwAPjOmBzW64SsT11s1wzXw_c/edit?usp=sharing"",""เลย!I701"")"),257)</f>
        <v>257</v>
      </c>
      <c r="AA43" s="177">
        <f ca="1">IFERROR(__xludf.DUMMYFUNCTION("IMPORTRANGE(""https://docs.google.com/spreadsheets/d/1Ul4RCpCX66NxYADU1QpwAPjOmBzW64SsT11s1wzXw_c/edit?usp=sharing"",""เลย!J701"")"),7)</f>
        <v>7</v>
      </c>
      <c r="AB43" s="177">
        <f ca="1">IFERROR(__xludf.DUMMYFUNCTION("IMPORTRANGE(""https://docs.google.com/spreadsheets/d/1Ul4RCpCX66NxYADU1QpwAPjOmBzW64SsT11s1wzXw_c/edit?usp=sharing"",""เลย!J702"")"),4.19)</f>
        <v>4.1900000000000004</v>
      </c>
      <c r="AC43" s="354">
        <f t="shared" ca="1" si="46"/>
        <v>2.7237354085603114</v>
      </c>
      <c r="AD43" s="353">
        <f ca="1">IFERROR(__xludf.DUMMYFUNCTION("IMPORTRANGE(""https://docs.google.com/spreadsheets/d/1Ul4RCpCX66NxYADU1QpwAPjOmBzW64SsT11s1wzXw_c/edit?usp=sharing"",""เลย!I703"")"),250)</f>
        <v>250</v>
      </c>
      <c r="AE43" s="177">
        <f ca="1">IFERROR(__xludf.DUMMYFUNCTION("IMPORTRANGE(""https://docs.google.com/spreadsheets/d/1Ul4RCpCX66NxYADU1QpwAPjOmBzW64SsT11s1wzXw_c/edit?usp=sharing"",""เลย!J703"")"),7)</f>
        <v>7</v>
      </c>
      <c r="AF43" s="177">
        <f ca="1">IFERROR(__xludf.DUMMYFUNCTION("IMPORTRANGE(""https://docs.google.com/spreadsheets/d/1Ul4RCpCX66NxYADU1QpwAPjOmBzW64SsT11s1wzXw_c/edit?usp=sharing"",""เลย!J704"")"),4.19)</f>
        <v>4.1900000000000004</v>
      </c>
      <c r="AG43" s="354">
        <f t="shared" ca="1" si="48"/>
        <v>2.8</v>
      </c>
      <c r="AH43" s="495">
        <f ca="1">IFERROR(__xludf.DUMMYFUNCTION("IMPORTRANGE(""https://docs.google.com/spreadsheets/d/1Ul4RCpCX66NxYADU1QpwAPjOmBzW64SsT11s1wzXw_c/edit?usp=sharing"",""เลย!I705"")"),7)</f>
        <v>7</v>
      </c>
      <c r="AI43" s="496">
        <f ca="1">IFERROR(__xludf.DUMMYFUNCTION("IMPORTRANGE(""https://docs.google.com/spreadsheets/d/1Ul4RCpCX66NxYADU1QpwAPjOmBzW64SsT11s1wzXw_c/edit?usp=sharing"",""เลย!J705"")"),0)</f>
        <v>0</v>
      </c>
      <c r="AJ43" s="496">
        <f ca="1">IFERROR(__xludf.DUMMYFUNCTION("IMPORTRANGE(""https://docs.google.com/spreadsheets/d/1Ul4RCpCX66NxYADU1QpwAPjOmBzW64SsT11s1wzXw_c/edit?usp=sharing"",""เลย!J706"")"),0)</f>
        <v>0</v>
      </c>
      <c r="AK43" s="497">
        <f t="shared" ca="1" si="50"/>
        <v>0</v>
      </c>
      <c r="AL43" s="353">
        <f ca="1">IFERROR(__xludf.DUMMYFUNCTION("IMPORTRANGE(""https://docs.google.com/spreadsheets/d/1Ul4RCpCX66NxYADU1QpwAPjOmBzW64SsT11s1wzXw_c/edit?usp=sharing"",""เลย!I707"")"),250)</f>
        <v>250</v>
      </c>
      <c r="AM43" s="177">
        <f ca="1">IFERROR(__xludf.DUMMYFUNCTION("IMPORTRANGE(""https://docs.google.com/spreadsheets/d/1Ul4RCpCX66NxYADU1QpwAPjOmBzW64SsT11s1wzXw_c/edit?usp=sharing"",""เลย!J707"")"),16)</f>
        <v>16</v>
      </c>
      <c r="AN43" s="177">
        <f ca="1">IFERROR(__xludf.DUMMYFUNCTION("IMPORTRANGE(""https://docs.google.com/spreadsheets/d/1Ul4RCpCX66NxYADU1QpwAPjOmBzW64SsT11s1wzXw_c/edit?usp=sharing"",""เลย!J708"")"),5)</f>
        <v>5</v>
      </c>
      <c r="AO43" s="354">
        <f t="shared" ca="1" si="52"/>
        <v>6.4</v>
      </c>
      <c r="AP43" s="495">
        <f ca="1">IFERROR(__xludf.DUMMYFUNCTION("IMPORTRANGE(""https://docs.google.com/spreadsheets/d/1Ul4RCpCX66NxYADU1QpwAPjOmBzW64SsT11s1wzXw_c/edit?usp=sharing"",""เลย!I709"")"),7)</f>
        <v>7</v>
      </c>
      <c r="AQ43" s="496">
        <f ca="1">IFERROR(__xludf.DUMMYFUNCTION("IMPORTRANGE(""https://docs.google.com/spreadsheets/d/1Ul4RCpCX66NxYADU1QpwAPjOmBzW64SsT11s1wzXw_c/edit?usp=sharing"",""เลย!J709"")"),0)</f>
        <v>0</v>
      </c>
      <c r="AR43" s="496">
        <f ca="1">IFERROR(__xludf.DUMMYFUNCTION("IMPORTRANGE(""https://docs.google.com/spreadsheets/d/1Ul4RCpCX66NxYADU1QpwAPjOmBzW64SsT11s1wzXw_c/edit?usp=sharing"",""เลย!J710"")"),0)</f>
        <v>0</v>
      </c>
      <c r="AS43" s="497">
        <f t="shared" ca="1" si="54"/>
        <v>0</v>
      </c>
    </row>
    <row r="44" spans="1:45" ht="24.75" customHeight="1" x14ac:dyDescent="0.3">
      <c r="A44" s="89">
        <v>13</v>
      </c>
      <c r="B44" s="90" t="s">
        <v>70</v>
      </c>
      <c r="C44" s="174">
        <f t="shared" si="32"/>
        <v>0</v>
      </c>
      <c r="D44" s="175">
        <f t="shared" si="64"/>
        <v>0</v>
      </c>
      <c r="E44" s="403">
        <v>0</v>
      </c>
      <c r="F44" s="403">
        <v>0</v>
      </c>
      <c r="G44" s="403">
        <v>0</v>
      </c>
      <c r="H44" s="403">
        <v>0</v>
      </c>
      <c r="I44" s="403">
        <v>0</v>
      </c>
      <c r="J44" s="176">
        <f t="shared" si="34"/>
        <v>0</v>
      </c>
      <c r="K44" s="179">
        <f t="shared" si="35"/>
        <v>0</v>
      </c>
      <c r="L44" s="403">
        <v>0</v>
      </c>
      <c r="M44" s="87">
        <f t="shared" si="36"/>
        <v>0</v>
      </c>
      <c r="N44" s="87">
        <f t="shared" si="37"/>
        <v>0</v>
      </c>
      <c r="O44" s="403">
        <v>0</v>
      </c>
      <c r="P44" s="86">
        <f t="shared" si="38"/>
        <v>0</v>
      </c>
      <c r="Q44" s="87">
        <f t="shared" si="39"/>
        <v>0</v>
      </c>
      <c r="R44" s="87">
        <f ca="1">IFERROR(__xludf.DUMMYFUNCTION("IMPORTRANGE(""https://docs.google.com/spreadsheets/d/1bRrNKwbHDVktQG10isr5vbWRtt5spIZPpkOSWgbT5ug/edit?usp=sharing"",""ศรีสะเกษ!Q690"")"),390610)</f>
        <v>390610</v>
      </c>
      <c r="S44" s="87">
        <f ca="1">IFERROR(__xludf.DUMMYFUNCTION("IMPORTRANGE(""https://docs.google.com/spreadsheets/d/1bRrNKwbHDVktQG10isr5vbWRtt5spIZPpkOSWgbT5ug/edit?usp=sharing"",""ศรีสะเกษ!R690"")"),0)</f>
        <v>0</v>
      </c>
      <c r="T44" s="87">
        <f ca="1">IFERROR(__xludf.DUMMYFUNCTION("IMPORTRANGE(""https://docs.google.com/spreadsheets/d/1bRrNKwbHDVktQG10isr5vbWRtt5spIZPpkOSWgbT5ug/edit?usp=sharing"",""ศรีสะเกษ!S690"")"),10040)</f>
        <v>10040</v>
      </c>
      <c r="U44" s="87">
        <f t="shared" ca="1" si="41"/>
        <v>2.5703387010061185</v>
      </c>
      <c r="V44" s="87">
        <f t="shared" ca="1" si="42"/>
        <v>0</v>
      </c>
      <c r="W44" s="353">
        <f ca="1">IFERROR(__xludf.DUMMYFUNCTION("IMPORTRANGE(""https://docs.google.com/spreadsheets/d/1bRrNKwbHDVktQG10isr5vbWRtt5spIZPpkOSWgbT5ug/edit?usp=sharing"",""ศรีสะเกษ!I700"")"),0)</f>
        <v>0</v>
      </c>
      <c r="X44" s="452">
        <f ca="1">IFERROR(__xludf.DUMMYFUNCTION("IMPORTRANGE(""https://docs.google.com/spreadsheets/d/1bRrNKwbHDVktQG10isr5vbWRtt5spIZPpkOSWgbT5ug/edit?usp=sharing"",""ศรีสะเกษ!J700"")"),0)</f>
        <v>0</v>
      </c>
      <c r="Y44" s="354">
        <f t="shared" ca="1" si="44"/>
        <v>0</v>
      </c>
      <c r="Z44" s="353">
        <f ca="1">IFERROR(__xludf.DUMMYFUNCTION("IMPORTRANGE(""https://docs.google.com/spreadsheets/d/1bRrNKwbHDVktQG10isr5vbWRtt5spIZPpkOSWgbT5ug/edit?usp=sharing"",""ศรีสะเกษ!I701"")"),265)</f>
        <v>265</v>
      </c>
      <c r="AA44" s="452">
        <f ca="1">IFERROR(__xludf.DUMMYFUNCTION("IMPORTRANGE(""https://docs.google.com/spreadsheets/d/1bRrNKwbHDVktQG10isr5vbWRtt5spIZPpkOSWgbT5ug/edit?usp=sharing"",""ศรีสะเกษ!J701"")"),0)</f>
        <v>0</v>
      </c>
      <c r="AB44" s="452">
        <f ca="1">IFERROR(__xludf.DUMMYFUNCTION("IMPORTRANGE(""https://docs.google.com/spreadsheets/d/1bRrNKwbHDVktQG10isr5vbWRtt5spIZPpkOSWgbT5ug/edit?usp=sharing"",""ศรีสะเกษ!J702"")"),0)</f>
        <v>0</v>
      </c>
      <c r="AC44" s="354">
        <f t="shared" ca="1" si="46"/>
        <v>0</v>
      </c>
      <c r="AD44" s="353">
        <f ca="1">IFERROR(__xludf.DUMMYFUNCTION("IMPORTRANGE(""https://docs.google.com/spreadsheets/d/1bRrNKwbHDVktQG10isr5vbWRtt5spIZPpkOSWgbT5ug/edit?usp=sharing"",""ศรีสะเกษ!I703"")"),260)</f>
        <v>260</v>
      </c>
      <c r="AE44" s="452">
        <f ca="1">IFERROR(__xludf.DUMMYFUNCTION("IMPORTRANGE(""https://docs.google.com/spreadsheets/d/1bRrNKwbHDVktQG10isr5vbWRtt5spIZPpkOSWgbT5ug/edit?usp=sharing"",""ศรีสะเกษ!J703"")"),0)</f>
        <v>0</v>
      </c>
      <c r="AF44" s="452">
        <f ca="1">IFERROR(__xludf.DUMMYFUNCTION("IMPORTRANGE(""https://docs.google.com/spreadsheets/d/1bRrNKwbHDVktQG10isr5vbWRtt5spIZPpkOSWgbT5ug/edit?usp=sharing"",""ศรีสะเกษ!J704"")"),0)</f>
        <v>0</v>
      </c>
      <c r="AG44" s="354">
        <f t="shared" ca="1" si="48"/>
        <v>0</v>
      </c>
      <c r="AH44" s="495">
        <f ca="1">IFERROR(__xludf.DUMMYFUNCTION("IMPORTRANGE(""https://docs.google.com/spreadsheets/d/1bRrNKwbHDVktQG10isr5vbWRtt5spIZPpkOSWgbT5ug/edit?usp=sharing"",""ศรีสะเกษ!I705"")"),5)</f>
        <v>5</v>
      </c>
      <c r="AI44" s="496">
        <f ca="1">IFERROR(__xludf.DUMMYFUNCTION("IMPORTRANGE(""https://docs.google.com/spreadsheets/d/1bRrNKwbHDVktQG10isr5vbWRtt5spIZPpkOSWgbT5ug/edit?usp=sharing"",""ศรีสะเกษ!J705"")"),0)</f>
        <v>0</v>
      </c>
      <c r="AJ44" s="496">
        <f ca="1">IFERROR(__xludf.DUMMYFUNCTION("IMPORTRANGE(""https://docs.google.com/spreadsheets/d/1bRrNKwbHDVktQG10isr5vbWRtt5spIZPpkOSWgbT5ug/edit?usp=sharing"",""ศรีสะเกษ!J706"")"),0)</f>
        <v>0</v>
      </c>
      <c r="AK44" s="497">
        <f t="shared" ca="1" si="50"/>
        <v>0</v>
      </c>
      <c r="AL44" s="353">
        <f ca="1">IFERROR(__xludf.DUMMYFUNCTION("IMPORTRANGE(""https://docs.google.com/spreadsheets/d/1bRrNKwbHDVktQG10isr5vbWRtt5spIZPpkOSWgbT5ug/edit?usp=sharing"",""ศรีสะเกษ!I707"")"),260)</f>
        <v>260</v>
      </c>
      <c r="AM44" s="452">
        <f ca="1">IFERROR(__xludf.DUMMYFUNCTION("IMPORTRANGE(""https://docs.google.com/spreadsheets/d/1bRrNKwbHDVktQG10isr5vbWRtt5spIZPpkOSWgbT5ug/edit?usp=sharing"",""ศรีสะเกษ!J707"")"),0)</f>
        <v>0</v>
      </c>
      <c r="AN44" s="452">
        <f ca="1">IFERROR(__xludf.DUMMYFUNCTION("IMPORTRANGE(""https://docs.google.com/spreadsheets/d/1bRrNKwbHDVktQG10isr5vbWRtt5spIZPpkOSWgbT5ug/edit?usp=sharing"",""ศรีสะเกษ!J708"")"),0)</f>
        <v>0</v>
      </c>
      <c r="AO44" s="354">
        <f t="shared" ca="1" si="52"/>
        <v>0</v>
      </c>
      <c r="AP44" s="495">
        <f ca="1">IFERROR(__xludf.DUMMYFUNCTION("IMPORTRANGE(""https://docs.google.com/spreadsheets/d/1bRrNKwbHDVktQG10isr5vbWRtt5spIZPpkOSWgbT5ug/edit?usp=sharing"",""ศรีสะเกษ!I709"")"),5)</f>
        <v>5</v>
      </c>
      <c r="AQ44" s="496">
        <f ca="1">IFERROR(__xludf.DUMMYFUNCTION("IMPORTRANGE(""https://docs.google.com/spreadsheets/d/1bRrNKwbHDVktQG10isr5vbWRtt5spIZPpkOSWgbT5ug/edit?usp=sharing"",""ศรีสะเกษ!J709"")"),0)</f>
        <v>0</v>
      </c>
      <c r="AR44" s="496">
        <f ca="1">IFERROR(__xludf.DUMMYFUNCTION("IMPORTRANGE(""https://docs.google.com/spreadsheets/d/1bRrNKwbHDVktQG10isr5vbWRtt5spIZPpkOSWgbT5ug/edit?usp=sharing"",""ศรีสะเกษ!J710"")"),0)</f>
        <v>0</v>
      </c>
      <c r="AS44" s="497">
        <f t="shared" ca="1" si="54"/>
        <v>0</v>
      </c>
    </row>
    <row r="45" spans="1:45" ht="24.75" customHeight="1" x14ac:dyDescent="0.3">
      <c r="A45" s="89">
        <v>14</v>
      </c>
      <c r="B45" s="90" t="s">
        <v>71</v>
      </c>
      <c r="C45" s="174">
        <f t="shared" si="32"/>
        <v>0</v>
      </c>
      <c r="D45" s="175">
        <f t="shared" si="64"/>
        <v>0</v>
      </c>
      <c r="E45" s="403">
        <v>0</v>
      </c>
      <c r="F45" s="403">
        <v>0</v>
      </c>
      <c r="G45" s="403">
        <v>0</v>
      </c>
      <c r="H45" s="403">
        <v>0</v>
      </c>
      <c r="I45" s="403">
        <v>0</v>
      </c>
      <c r="J45" s="176">
        <f t="shared" si="34"/>
        <v>0</v>
      </c>
      <c r="K45" s="179">
        <f t="shared" si="35"/>
        <v>0</v>
      </c>
      <c r="L45" s="403">
        <v>0</v>
      </c>
      <c r="M45" s="87">
        <f t="shared" si="36"/>
        <v>0</v>
      </c>
      <c r="N45" s="87">
        <f t="shared" si="37"/>
        <v>0</v>
      </c>
      <c r="O45" s="403">
        <v>0</v>
      </c>
      <c r="P45" s="86">
        <f t="shared" si="38"/>
        <v>0</v>
      </c>
      <c r="Q45" s="87">
        <f t="shared" si="39"/>
        <v>0</v>
      </c>
      <c r="R45" s="87">
        <f ca="1">IFERROR(__xludf.DUMMYFUNCTION("IMPORTRANGE(""https://docs.google.com/spreadsheets/d/17P34_Ow5kFBfdQD0qspb2UuPX5zpi6WMrQzslghyvrI/edit?usp=sharing"",""สกลนคร!Q690"")"),1359910)</f>
        <v>1359910</v>
      </c>
      <c r="S45" s="87">
        <f ca="1">IFERROR(__xludf.DUMMYFUNCTION("IMPORTRANGE(""https://docs.google.com/spreadsheets/d/17P34_Ow5kFBfdQD0qspb2UuPX5zpi6WMrQzslghyvrI/edit?usp=sharing"",""สกลนคร!R690"")"),0)</f>
        <v>0</v>
      </c>
      <c r="T45" s="87">
        <f ca="1">IFERROR(__xludf.DUMMYFUNCTION("IMPORTRANGE(""https://docs.google.com/spreadsheets/d/17P34_Ow5kFBfdQD0qspb2UuPX5zpi6WMrQzslghyvrI/edit?usp=sharing"",""สกลนคร!S690"")"),164210)</f>
        <v>164210</v>
      </c>
      <c r="U45" s="87">
        <f t="shared" ca="1" si="41"/>
        <v>12.075063790986167</v>
      </c>
      <c r="V45" s="87">
        <f t="shared" ca="1" si="42"/>
        <v>0</v>
      </c>
      <c r="W45" s="353">
        <f ca="1">IFERROR(__xludf.DUMMYFUNCTION("IMPORTRANGE(""https://docs.google.com/spreadsheets/d/17P34_Ow5kFBfdQD0qspb2UuPX5zpi6WMrQzslghyvrI/edit?usp=sharing"",""สกลนคร!I700"")"),0)</f>
        <v>0</v>
      </c>
      <c r="X45" s="177">
        <f ca="1">IFERROR(__xludf.DUMMYFUNCTION("IMPORTRANGE(""https://docs.google.com/spreadsheets/d/17P34_Ow5kFBfdQD0qspb2UuPX5zpi6WMrQzslghyvrI/edit?usp=sharing"",""สกลนคร!J700"")"),0)</f>
        <v>0</v>
      </c>
      <c r="Y45" s="354">
        <f t="shared" ca="1" si="44"/>
        <v>0</v>
      </c>
      <c r="Z45" s="353">
        <f ca="1">IFERROR(__xludf.DUMMYFUNCTION("IMPORTRANGE(""https://docs.google.com/spreadsheets/d/17P34_Ow5kFBfdQD0qspb2UuPX5zpi6WMrQzslghyvrI/edit?usp=sharing"",""สกลนคร!I701"")"),1265)</f>
        <v>1265</v>
      </c>
      <c r="AA45" s="177">
        <f ca="1">IFERROR(__xludf.DUMMYFUNCTION("IMPORTRANGE(""https://docs.google.com/spreadsheets/d/17P34_Ow5kFBfdQD0qspb2UuPX5zpi6WMrQzslghyvrI/edit?usp=sharing"",""สกลนคร!J701"")"),1)</f>
        <v>1</v>
      </c>
      <c r="AB45" s="177">
        <f ca="1">IFERROR(__xludf.DUMMYFUNCTION("IMPORTRANGE(""https://docs.google.com/spreadsheets/d/17P34_Ow5kFBfdQD0qspb2UuPX5zpi6WMrQzslghyvrI/edit?usp=sharing"",""สกลนคร!J702"")"),0)</f>
        <v>0</v>
      </c>
      <c r="AC45" s="354">
        <f t="shared" ca="1" si="46"/>
        <v>7.9051383399209488E-2</v>
      </c>
      <c r="AD45" s="353">
        <f ca="1">IFERROR(__xludf.DUMMYFUNCTION("IMPORTRANGE(""https://docs.google.com/spreadsheets/d/17P34_Ow5kFBfdQD0qspb2UuPX5zpi6WMrQzslghyvrI/edit?usp=sharing"",""สกลนคร!I703"")"),1246)</f>
        <v>1246</v>
      </c>
      <c r="AE45" s="177">
        <f ca="1">IFERROR(__xludf.DUMMYFUNCTION("IMPORTRANGE(""https://docs.google.com/spreadsheets/d/17P34_Ow5kFBfdQD0qspb2UuPX5zpi6WMrQzslghyvrI/edit?usp=sharing"",""สกลนคร!J703"")"),1)</f>
        <v>1</v>
      </c>
      <c r="AF45" s="177">
        <f ca="1">IFERROR(__xludf.DUMMYFUNCTION("IMPORTRANGE(""https://docs.google.com/spreadsheets/d/17P34_Ow5kFBfdQD0qspb2UuPX5zpi6WMrQzslghyvrI/edit?usp=sharing"",""สกลนคร!J704"")"),0)</f>
        <v>0</v>
      </c>
      <c r="AG45" s="354">
        <f t="shared" ca="1" si="48"/>
        <v>8.0256821829855537E-2</v>
      </c>
      <c r="AH45" s="495">
        <f ca="1">IFERROR(__xludf.DUMMYFUNCTION("IMPORTRANGE(""https://docs.google.com/spreadsheets/d/17P34_Ow5kFBfdQD0qspb2UuPX5zpi6WMrQzslghyvrI/edit?usp=sharing"",""สกลนคร!I705"")"),19)</f>
        <v>19</v>
      </c>
      <c r="AI45" s="496">
        <f ca="1">IFERROR(__xludf.DUMMYFUNCTION("IMPORTRANGE(""https://docs.google.com/spreadsheets/d/17P34_Ow5kFBfdQD0qspb2UuPX5zpi6WMrQzslghyvrI/edit?usp=sharing"",""สกลนคร!J705"")"),0)</f>
        <v>0</v>
      </c>
      <c r="AJ45" s="496">
        <f ca="1">IFERROR(__xludf.DUMMYFUNCTION("IMPORTRANGE(""https://docs.google.com/spreadsheets/d/17P34_Ow5kFBfdQD0qspb2UuPX5zpi6WMrQzslghyvrI/edit?usp=sharing"",""สกลนคร!J706"")"),0)</f>
        <v>0</v>
      </c>
      <c r="AK45" s="497">
        <f t="shared" ca="1" si="50"/>
        <v>0</v>
      </c>
      <c r="AL45" s="353">
        <f ca="1">IFERROR(__xludf.DUMMYFUNCTION("IMPORTRANGE(""https://docs.google.com/spreadsheets/d/17P34_Ow5kFBfdQD0qspb2UuPX5zpi6WMrQzslghyvrI/edit?usp=sharing"",""สกลนคร!I707"")"),1246)</f>
        <v>1246</v>
      </c>
      <c r="AM45" s="177">
        <f ca="1">IFERROR(__xludf.DUMMYFUNCTION("IMPORTRANGE(""https://docs.google.com/spreadsheets/d/17P34_Ow5kFBfdQD0qspb2UuPX5zpi6WMrQzslghyvrI/edit?usp=sharing"",""สกลนคร!J707"")"),0)</f>
        <v>0</v>
      </c>
      <c r="AN45" s="177">
        <f ca="1">IFERROR(__xludf.DUMMYFUNCTION("IMPORTRANGE(""https://docs.google.com/spreadsheets/d/17P34_Ow5kFBfdQD0qspb2UuPX5zpi6WMrQzslghyvrI/edit?usp=sharing"",""สกลนคร!J708"")"),0)</f>
        <v>0</v>
      </c>
      <c r="AO45" s="354">
        <f t="shared" ca="1" si="52"/>
        <v>0</v>
      </c>
      <c r="AP45" s="495">
        <f ca="1">IFERROR(__xludf.DUMMYFUNCTION("IMPORTRANGE(""https://docs.google.com/spreadsheets/d/17P34_Ow5kFBfdQD0qspb2UuPX5zpi6WMrQzslghyvrI/edit?usp=sharing"",""สกลนคร!I709"")"),19)</f>
        <v>19</v>
      </c>
      <c r="AQ45" s="496">
        <f ca="1">IFERROR(__xludf.DUMMYFUNCTION("IMPORTRANGE(""https://docs.google.com/spreadsheets/d/17P34_Ow5kFBfdQD0qspb2UuPX5zpi6WMrQzslghyvrI/edit?usp=sharing"",""สกลนคร!J709"")"),0)</f>
        <v>0</v>
      </c>
      <c r="AR45" s="496">
        <f ca="1">IFERROR(__xludf.DUMMYFUNCTION("IMPORTRANGE(""https://docs.google.com/spreadsheets/d/17P34_Ow5kFBfdQD0qspb2UuPX5zpi6WMrQzslghyvrI/edit?usp=sharing"",""สกลนคร!J710"")"),0)</f>
        <v>0</v>
      </c>
      <c r="AS45" s="497">
        <f t="shared" ca="1" si="54"/>
        <v>0</v>
      </c>
    </row>
    <row r="46" spans="1:45" ht="24.75" customHeight="1" x14ac:dyDescent="0.3">
      <c r="A46" s="89">
        <v>15</v>
      </c>
      <c r="B46" s="90" t="s">
        <v>72</v>
      </c>
      <c r="C46" s="174">
        <f t="shared" si="32"/>
        <v>0</v>
      </c>
      <c r="D46" s="175">
        <f t="shared" si="64"/>
        <v>0</v>
      </c>
      <c r="E46" s="403">
        <v>0</v>
      </c>
      <c r="F46" s="403">
        <v>0</v>
      </c>
      <c r="G46" s="403">
        <v>0</v>
      </c>
      <c r="H46" s="403">
        <v>0</v>
      </c>
      <c r="I46" s="403">
        <v>0</v>
      </c>
      <c r="J46" s="176">
        <f t="shared" si="34"/>
        <v>0</v>
      </c>
      <c r="K46" s="179">
        <f t="shared" si="35"/>
        <v>0</v>
      </c>
      <c r="L46" s="403">
        <v>0</v>
      </c>
      <c r="M46" s="87">
        <f t="shared" si="36"/>
        <v>0</v>
      </c>
      <c r="N46" s="87">
        <f t="shared" si="37"/>
        <v>0</v>
      </c>
      <c r="O46" s="403">
        <v>0</v>
      </c>
      <c r="P46" s="86">
        <f t="shared" si="38"/>
        <v>0</v>
      </c>
      <c r="Q46" s="87">
        <f t="shared" si="39"/>
        <v>0</v>
      </c>
      <c r="R46" s="87">
        <f ca="1">IFERROR(__xludf.DUMMYFUNCTION("IMPORTRANGE(""https://docs.google.com/spreadsheets/d/1yswqbM3-AEpThF3ZSUa1AcmHnmRTF1vlJ1CZGcJ8YuU/edit?usp=sharing"",""สุรินทร์!Q690"")"),322780)</f>
        <v>322780</v>
      </c>
      <c r="S46" s="87">
        <f ca="1">IFERROR(__xludf.DUMMYFUNCTION("IMPORTRANGE(""https://docs.google.com/spreadsheets/d/1yswqbM3-AEpThF3ZSUa1AcmHnmRTF1vlJ1CZGcJ8YuU/edit?usp=sharing"",""สุรินทร์!R690"")"),0)</f>
        <v>0</v>
      </c>
      <c r="T46" s="87">
        <f ca="1">IFERROR(__xludf.DUMMYFUNCTION("IMPORTRANGE(""https://docs.google.com/spreadsheets/d/1yswqbM3-AEpThF3ZSUa1AcmHnmRTF1vlJ1CZGcJ8YuU/edit?usp=sharing"",""สุรินทร์!S690"")"),7500)</f>
        <v>7500</v>
      </c>
      <c r="U46" s="87">
        <f t="shared" ca="1" si="41"/>
        <v>2.3235640374248714</v>
      </c>
      <c r="V46" s="87">
        <f t="shared" ca="1" si="42"/>
        <v>0</v>
      </c>
      <c r="W46" s="353">
        <f ca="1">IFERROR(__xludf.DUMMYFUNCTION("IMPORTRANGE(""https://docs.google.com/spreadsheets/d/1yswqbM3-AEpThF3ZSUa1AcmHnmRTF1vlJ1CZGcJ8YuU/edit?usp=sharing"",""สุรินทร์!I700"")"),0)</f>
        <v>0</v>
      </c>
      <c r="X46" s="177">
        <f ca="1">IFERROR(__xludf.DUMMYFUNCTION("IMPORTRANGE(""https://docs.google.com/spreadsheets/d/1yswqbM3-AEpThF3ZSUa1AcmHnmRTF1vlJ1CZGcJ8YuU/edit?usp=sharing"",""สุรินทร์!J700"")"),0)</f>
        <v>0</v>
      </c>
      <c r="Y46" s="354">
        <f t="shared" ca="1" si="44"/>
        <v>0</v>
      </c>
      <c r="Z46" s="353">
        <f ca="1">IFERROR(__xludf.DUMMYFUNCTION("IMPORTRANGE(""https://docs.google.com/spreadsheets/d/1yswqbM3-AEpThF3ZSUa1AcmHnmRTF1vlJ1CZGcJ8YuU/edit?usp=sharing"",""สุรินทร์!I701"")"),200)</f>
        <v>200</v>
      </c>
      <c r="AA46" s="177">
        <f ca="1">IFERROR(__xludf.DUMMYFUNCTION("IMPORTRANGE(""https://docs.google.com/spreadsheets/d/1yswqbM3-AEpThF3ZSUa1AcmHnmRTF1vlJ1CZGcJ8YuU/edit?usp=sharing"",""สุรินทร์!J701"")"),1)</f>
        <v>1</v>
      </c>
      <c r="AB46" s="177">
        <f ca="1">IFERROR(__xludf.DUMMYFUNCTION("IMPORTRANGE(""https://docs.google.com/spreadsheets/d/1yswqbM3-AEpThF3ZSUa1AcmHnmRTF1vlJ1CZGcJ8YuU/edit?usp=sharing"",""สุรินทร์!J702"")"),0.34)</f>
        <v>0.34</v>
      </c>
      <c r="AC46" s="354">
        <f t="shared" ca="1" si="46"/>
        <v>0.5</v>
      </c>
      <c r="AD46" s="353">
        <f ca="1">IFERROR(__xludf.DUMMYFUNCTION("IMPORTRANGE(""https://docs.google.com/spreadsheets/d/1yswqbM3-AEpThF3ZSUa1AcmHnmRTF1vlJ1CZGcJ8YuU/edit?usp=sharing"",""สุรินทร์!I703"")"),200)</f>
        <v>200</v>
      </c>
      <c r="AE46" s="177">
        <f ca="1">IFERROR(__xludf.DUMMYFUNCTION("IMPORTRANGE(""https://docs.google.com/spreadsheets/d/1yswqbM3-AEpThF3ZSUa1AcmHnmRTF1vlJ1CZGcJ8YuU/edit?usp=sharing"",""สุรินทร์!J703"")"),1)</f>
        <v>1</v>
      </c>
      <c r="AF46" s="177">
        <f ca="1">IFERROR(__xludf.DUMMYFUNCTION("IMPORTRANGE(""https://docs.google.com/spreadsheets/d/1yswqbM3-AEpThF3ZSUa1AcmHnmRTF1vlJ1CZGcJ8YuU/edit?usp=sharing"",""สุรินทร์!J704"")"),0.34)</f>
        <v>0.34</v>
      </c>
      <c r="AG46" s="354">
        <f t="shared" ca="1" si="48"/>
        <v>0.5</v>
      </c>
      <c r="AH46" s="495">
        <f ca="1">IFERROR(__xludf.DUMMYFUNCTION("IMPORTRANGE(""https://docs.google.com/spreadsheets/d/1yswqbM3-AEpThF3ZSUa1AcmHnmRTF1vlJ1CZGcJ8YuU/edit?usp=sharing"",""สุรินทร์!I705"")"),0)</f>
        <v>0</v>
      </c>
      <c r="AI46" s="496">
        <f ca="1">IFERROR(__xludf.DUMMYFUNCTION("IMPORTRANGE(""https://docs.google.com/spreadsheets/d/1yswqbM3-AEpThF3ZSUa1AcmHnmRTF1vlJ1CZGcJ8YuU/edit?usp=sharing"",""สุรินทร์!J705"")"),0)</f>
        <v>0</v>
      </c>
      <c r="AJ46" s="496">
        <f ca="1">IFERROR(__xludf.DUMMYFUNCTION("IMPORTRANGE(""https://docs.google.com/spreadsheets/d/1yswqbM3-AEpThF3ZSUa1AcmHnmRTF1vlJ1CZGcJ8YuU/edit?usp=sharing"",""สุรินทร์!J706"")"),0)</f>
        <v>0</v>
      </c>
      <c r="AK46" s="497">
        <f t="shared" ca="1" si="50"/>
        <v>0</v>
      </c>
      <c r="AL46" s="353">
        <f ca="1">IFERROR(__xludf.DUMMYFUNCTION("IMPORTRANGE(""https://docs.google.com/spreadsheets/d/1yswqbM3-AEpThF3ZSUa1AcmHnmRTF1vlJ1CZGcJ8YuU/edit?usp=sharing"",""สุรินทร์!I707"")"),200)</f>
        <v>200</v>
      </c>
      <c r="AM46" s="177">
        <f ca="1">IFERROR(__xludf.DUMMYFUNCTION("IMPORTRANGE(""https://docs.google.com/spreadsheets/d/1yswqbM3-AEpThF3ZSUa1AcmHnmRTF1vlJ1CZGcJ8YuU/edit?usp=sharing"",""สุรินทร์!J707"")"),0)</f>
        <v>0</v>
      </c>
      <c r="AN46" s="177">
        <f ca="1">IFERROR(__xludf.DUMMYFUNCTION("IMPORTRANGE(""https://docs.google.com/spreadsheets/d/1yswqbM3-AEpThF3ZSUa1AcmHnmRTF1vlJ1CZGcJ8YuU/edit?usp=sharing"",""สุรินทร์!J708"")"),0)</f>
        <v>0</v>
      </c>
      <c r="AO46" s="354">
        <f t="shared" ca="1" si="52"/>
        <v>0</v>
      </c>
      <c r="AP46" s="495">
        <f ca="1">IFERROR(__xludf.DUMMYFUNCTION("IMPORTRANGE(""https://docs.google.com/spreadsheets/d/1yswqbM3-AEpThF3ZSUa1AcmHnmRTF1vlJ1CZGcJ8YuU/edit?usp=sharing"",""สุรินทร์!I709"")"),0)</f>
        <v>0</v>
      </c>
      <c r="AQ46" s="496">
        <f ca="1">IFERROR(__xludf.DUMMYFUNCTION("IMPORTRANGE(""https://docs.google.com/spreadsheets/d/1yswqbM3-AEpThF3ZSUa1AcmHnmRTF1vlJ1CZGcJ8YuU/edit?usp=sharing"",""สุรินทร์!J709"")"),0)</f>
        <v>0</v>
      </c>
      <c r="AR46" s="496">
        <f ca="1">IFERROR(__xludf.DUMMYFUNCTION("IMPORTRANGE(""https://docs.google.com/spreadsheets/d/1yswqbM3-AEpThF3ZSUa1AcmHnmRTF1vlJ1CZGcJ8YuU/edit?usp=sharing"",""สุรินทร์!J710"")"),0)</f>
        <v>0</v>
      </c>
      <c r="AS46" s="497">
        <f t="shared" ca="1" si="54"/>
        <v>0</v>
      </c>
    </row>
    <row r="47" spans="1:45" ht="24.75" customHeight="1" x14ac:dyDescent="0.3">
      <c r="A47" s="89">
        <v>16</v>
      </c>
      <c r="B47" s="90" t="s">
        <v>73</v>
      </c>
      <c r="C47" s="174">
        <f t="shared" si="32"/>
        <v>0</v>
      </c>
      <c r="D47" s="175">
        <f t="shared" si="64"/>
        <v>0</v>
      </c>
      <c r="E47" s="403">
        <v>0</v>
      </c>
      <c r="F47" s="403">
        <v>0</v>
      </c>
      <c r="G47" s="403">
        <v>0</v>
      </c>
      <c r="H47" s="403">
        <v>0</v>
      </c>
      <c r="I47" s="403">
        <v>0</v>
      </c>
      <c r="J47" s="176">
        <f t="shared" si="34"/>
        <v>0</v>
      </c>
      <c r="K47" s="179">
        <f t="shared" si="35"/>
        <v>0</v>
      </c>
      <c r="L47" s="403">
        <v>0</v>
      </c>
      <c r="M47" s="87">
        <f t="shared" si="36"/>
        <v>0</v>
      </c>
      <c r="N47" s="87">
        <f t="shared" si="37"/>
        <v>0</v>
      </c>
      <c r="O47" s="403">
        <v>0</v>
      </c>
      <c r="P47" s="86">
        <f t="shared" si="38"/>
        <v>0</v>
      </c>
      <c r="Q47" s="87">
        <f t="shared" si="39"/>
        <v>0</v>
      </c>
      <c r="R47" s="87">
        <f ca="1">IFERROR(__xludf.DUMMYFUNCTION("IMPORTRANGE(""https://docs.google.com/spreadsheets/d/13JHU_EFbsQOUQ0JSQ3dWy1VTRosIWcDq6Nc99z2qzdc/edit?usp=sharing"",""หนองคาย!Q690"")"),231010)</f>
        <v>231010</v>
      </c>
      <c r="S47" s="87">
        <f ca="1">IFERROR(__xludf.DUMMYFUNCTION("IMPORTRANGE(""https://docs.google.com/spreadsheets/d/13JHU_EFbsQOUQ0JSQ3dWy1VTRosIWcDq6Nc99z2qzdc/edit?usp=sharing"",""หนองคาย!R690"")"),0)</f>
        <v>0</v>
      </c>
      <c r="T47" s="87">
        <f ca="1">IFERROR(__xludf.DUMMYFUNCTION("IMPORTRANGE(""https://docs.google.com/spreadsheets/d/13JHU_EFbsQOUQ0JSQ3dWy1VTRosIWcDq6Nc99z2qzdc/edit?usp=sharing"",""หนองคาย!S690"")"),13760)</f>
        <v>13760</v>
      </c>
      <c r="U47" s="87">
        <f t="shared" ca="1" si="41"/>
        <v>5.9564521016406218</v>
      </c>
      <c r="V47" s="87">
        <f t="shared" ca="1" si="42"/>
        <v>0</v>
      </c>
      <c r="W47" s="353">
        <f ca="1">IFERROR(__xludf.DUMMYFUNCTION("IMPORTRANGE(""https://docs.google.com/spreadsheets/d/13JHU_EFbsQOUQ0JSQ3dWy1VTRosIWcDq6Nc99z2qzdc/edit?usp=sharing"",""หนองคาย!I700"")"),0)</f>
        <v>0</v>
      </c>
      <c r="X47" s="177">
        <f ca="1">IFERROR(__xludf.DUMMYFUNCTION("IMPORTRANGE(""https://docs.google.com/spreadsheets/d/13JHU_EFbsQOUQ0JSQ3dWy1VTRosIWcDq6Nc99z2qzdc/edit?usp=sharing"",""หนองคาย!J700"")"),0)</f>
        <v>0</v>
      </c>
      <c r="Y47" s="354">
        <f t="shared" ca="1" si="44"/>
        <v>0</v>
      </c>
      <c r="Z47" s="353">
        <f ca="1">IFERROR(__xludf.DUMMYFUNCTION("IMPORTRANGE(""https://docs.google.com/spreadsheets/d/13JHU_EFbsQOUQ0JSQ3dWy1VTRosIWcDq6Nc99z2qzdc/edit?usp=sharing"",""หนองคาย!I701"")"),126)</f>
        <v>126</v>
      </c>
      <c r="AA47" s="177">
        <f ca="1">IFERROR(__xludf.DUMMYFUNCTION("IMPORTRANGE(""https://docs.google.com/spreadsheets/d/13JHU_EFbsQOUQ0JSQ3dWy1VTRosIWcDq6Nc99z2qzdc/edit?usp=sharing"",""หนองคาย!J701"")"),0)</f>
        <v>0</v>
      </c>
      <c r="AB47" s="177">
        <f ca="1">IFERROR(__xludf.DUMMYFUNCTION("IMPORTRANGE(""https://docs.google.com/spreadsheets/d/13JHU_EFbsQOUQ0JSQ3dWy1VTRosIWcDq6Nc99z2qzdc/edit?usp=sharing"",""หนองคาย!J702"")"),0)</f>
        <v>0</v>
      </c>
      <c r="AC47" s="354">
        <f t="shared" ca="1" si="46"/>
        <v>0</v>
      </c>
      <c r="AD47" s="353">
        <f ca="1">IFERROR(__xludf.DUMMYFUNCTION("IMPORTRANGE(""https://docs.google.com/spreadsheets/d/13JHU_EFbsQOUQ0JSQ3dWy1VTRosIWcDq6Nc99z2qzdc/edit?usp=sharing"",""หนองคาย!I703"")"),120)</f>
        <v>120</v>
      </c>
      <c r="AE47" s="177">
        <f ca="1">IFERROR(__xludf.DUMMYFUNCTION("IMPORTRANGE(""https://docs.google.com/spreadsheets/d/13JHU_EFbsQOUQ0JSQ3dWy1VTRosIWcDq6Nc99z2qzdc/edit?usp=sharing"",""หนองคาย!J703"")"),0)</f>
        <v>0</v>
      </c>
      <c r="AF47" s="177">
        <f ca="1">IFERROR(__xludf.DUMMYFUNCTION("IMPORTRANGE(""https://docs.google.com/spreadsheets/d/13JHU_EFbsQOUQ0JSQ3dWy1VTRosIWcDq6Nc99z2qzdc/edit?usp=sharing"",""หนองคาย!J704"")"),0)</f>
        <v>0</v>
      </c>
      <c r="AG47" s="354">
        <f t="shared" ca="1" si="48"/>
        <v>0</v>
      </c>
      <c r="AH47" s="495">
        <f ca="1">IFERROR(__xludf.DUMMYFUNCTION("IMPORTRANGE(""https://docs.google.com/spreadsheets/d/13JHU_EFbsQOUQ0JSQ3dWy1VTRosIWcDq6Nc99z2qzdc/edit?usp=sharing"",""หนองคาย!I705"")"),6)</f>
        <v>6</v>
      </c>
      <c r="AI47" s="496">
        <f ca="1">IFERROR(__xludf.DUMMYFUNCTION("IMPORTRANGE(""https://docs.google.com/spreadsheets/d/13JHU_EFbsQOUQ0JSQ3dWy1VTRosIWcDq6Nc99z2qzdc/edit?usp=sharing"",""หนองคาย!J705"")"),0)</f>
        <v>0</v>
      </c>
      <c r="AJ47" s="496">
        <f ca="1">IFERROR(__xludf.DUMMYFUNCTION("IMPORTRANGE(""https://docs.google.com/spreadsheets/d/13JHU_EFbsQOUQ0JSQ3dWy1VTRosIWcDq6Nc99z2qzdc/edit?usp=sharing"",""หนองคาย!J706"")"),0)</f>
        <v>0</v>
      </c>
      <c r="AK47" s="497">
        <f t="shared" ca="1" si="50"/>
        <v>0</v>
      </c>
      <c r="AL47" s="353">
        <f ca="1">IFERROR(__xludf.DUMMYFUNCTION("IMPORTRANGE(""https://docs.google.com/spreadsheets/d/13JHU_EFbsQOUQ0JSQ3dWy1VTRosIWcDq6Nc99z2qzdc/edit?usp=sharing"",""หนองคาย!I707"")"),120)</f>
        <v>120</v>
      </c>
      <c r="AM47" s="177">
        <f ca="1">IFERROR(__xludf.DUMMYFUNCTION("IMPORTRANGE(""https://docs.google.com/spreadsheets/d/13JHU_EFbsQOUQ0JSQ3dWy1VTRosIWcDq6Nc99z2qzdc/edit?usp=sharing"",""หนองคาย!J707"")"),0)</f>
        <v>0</v>
      </c>
      <c r="AN47" s="177">
        <f ca="1">IFERROR(__xludf.DUMMYFUNCTION("IMPORTRANGE(""https://docs.google.com/spreadsheets/d/13JHU_EFbsQOUQ0JSQ3dWy1VTRosIWcDq6Nc99z2qzdc/edit?usp=sharing"",""หนองคาย!J708"")"),0)</f>
        <v>0</v>
      </c>
      <c r="AO47" s="354">
        <f t="shared" ca="1" si="52"/>
        <v>0</v>
      </c>
      <c r="AP47" s="495">
        <f ca="1">IFERROR(__xludf.DUMMYFUNCTION("IMPORTRANGE(""https://docs.google.com/spreadsheets/d/13JHU_EFbsQOUQ0JSQ3dWy1VTRosIWcDq6Nc99z2qzdc/edit?usp=sharing"",""หนองคาย!I709"")"),6)</f>
        <v>6</v>
      </c>
      <c r="AQ47" s="496">
        <f ca="1">IFERROR(__xludf.DUMMYFUNCTION("IMPORTRANGE(""https://docs.google.com/spreadsheets/d/13JHU_EFbsQOUQ0JSQ3dWy1VTRosIWcDq6Nc99z2qzdc/edit?usp=sharing"",""หนองคาย!J709"")"),0)</f>
        <v>0</v>
      </c>
      <c r="AR47" s="496">
        <f ca="1">IFERROR(__xludf.DUMMYFUNCTION("IMPORTRANGE(""https://docs.google.com/spreadsheets/d/13JHU_EFbsQOUQ0JSQ3dWy1VTRosIWcDq6Nc99z2qzdc/edit?usp=sharing"",""หนองคาย!J710"")"),0)</f>
        <v>0</v>
      </c>
      <c r="AS47" s="497">
        <f t="shared" ca="1" si="54"/>
        <v>0</v>
      </c>
    </row>
    <row r="48" spans="1:45" ht="24.75" customHeight="1" x14ac:dyDescent="0.3">
      <c r="A48" s="89">
        <v>17</v>
      </c>
      <c r="B48" s="90" t="s">
        <v>74</v>
      </c>
      <c r="C48" s="174">
        <f t="shared" si="32"/>
        <v>0</v>
      </c>
      <c r="D48" s="175">
        <f t="shared" si="64"/>
        <v>0</v>
      </c>
      <c r="E48" s="403">
        <v>0</v>
      </c>
      <c r="F48" s="403">
        <v>0</v>
      </c>
      <c r="G48" s="403">
        <v>0</v>
      </c>
      <c r="H48" s="403">
        <v>0</v>
      </c>
      <c r="I48" s="403">
        <v>0</v>
      </c>
      <c r="J48" s="176">
        <f t="shared" si="34"/>
        <v>0</v>
      </c>
      <c r="K48" s="179">
        <f t="shared" si="35"/>
        <v>0</v>
      </c>
      <c r="L48" s="403">
        <v>0</v>
      </c>
      <c r="M48" s="87">
        <f t="shared" si="36"/>
        <v>0</v>
      </c>
      <c r="N48" s="87">
        <f t="shared" si="37"/>
        <v>0</v>
      </c>
      <c r="O48" s="403">
        <v>0</v>
      </c>
      <c r="P48" s="86">
        <f t="shared" si="38"/>
        <v>0</v>
      </c>
      <c r="Q48" s="87">
        <f t="shared" si="39"/>
        <v>0</v>
      </c>
      <c r="R48" s="87">
        <f ca="1">IFERROR(__xludf.DUMMYFUNCTION("IMPORTRANGE(""https://docs.google.com/spreadsheets/d/1Hx73zIEgVdDZZaYSTc46Dqv64atFhpr3GelxLbaIN8A/edit?usp=sharing"",""หนองบัวลำภู!Q690"")"),188640)</f>
        <v>188640</v>
      </c>
      <c r="S48" s="87">
        <f ca="1">IFERROR(__xludf.DUMMYFUNCTION("IMPORTRANGE(""https://docs.google.com/spreadsheets/d/1Hx73zIEgVdDZZaYSTc46Dqv64atFhpr3GelxLbaIN8A/edit?usp=sharing"",""หนองบัวลำภู!R690"")"),0)</f>
        <v>0</v>
      </c>
      <c r="T48" s="87">
        <f ca="1">IFERROR(__xludf.DUMMYFUNCTION("IMPORTRANGE(""https://docs.google.com/spreadsheets/d/1Hx73zIEgVdDZZaYSTc46Dqv64atFhpr3GelxLbaIN8A/edit?usp=sharing"",""หนองบัวลำภู!S690"")"),23400)</f>
        <v>23400</v>
      </c>
      <c r="U48" s="87">
        <f t="shared" ca="1" si="41"/>
        <v>12.404580152671755</v>
      </c>
      <c r="V48" s="87">
        <f t="shared" ca="1" si="42"/>
        <v>0</v>
      </c>
      <c r="W48" s="353">
        <f ca="1">IFERROR(__xludf.DUMMYFUNCTION("IMPORTRANGE(""https://docs.google.com/spreadsheets/d/1Hx73zIEgVdDZZaYSTc46Dqv64atFhpr3GelxLbaIN8A/edit?usp=sharing"",""หนองบัวลำภู!I700"")"),0)</f>
        <v>0</v>
      </c>
      <c r="X48" s="177">
        <f ca="1">IFERROR(__xludf.DUMMYFUNCTION("IMPORTRANGE(""https://docs.google.com/spreadsheets/d/1Hx73zIEgVdDZZaYSTc46Dqv64atFhpr3GelxLbaIN8A/edit?usp=sharing"",""หนองบัวลำภู!J700"")"),0)</f>
        <v>0</v>
      </c>
      <c r="Y48" s="354">
        <f t="shared" ca="1" si="44"/>
        <v>0</v>
      </c>
      <c r="Z48" s="353">
        <f ca="1">IFERROR(__xludf.DUMMYFUNCTION("IMPORTRANGE(""https://docs.google.com/spreadsheets/d/1Hx73zIEgVdDZZaYSTc46Dqv64atFhpr3GelxLbaIN8A/edit?usp=sharing"",""หนองบัวลำภู!I701"")"),81)</f>
        <v>81</v>
      </c>
      <c r="AA48" s="177">
        <f ca="1">IFERROR(__xludf.DUMMYFUNCTION("IMPORTRANGE(""https://docs.google.com/spreadsheets/d/1Hx73zIEgVdDZZaYSTc46Dqv64atFhpr3GelxLbaIN8A/edit?usp=sharing"",""หนองบัวลำภู!J701"")"),0)</f>
        <v>0</v>
      </c>
      <c r="AB48" s="177">
        <f ca="1">IFERROR(__xludf.DUMMYFUNCTION("IMPORTRANGE(""https://docs.google.com/spreadsheets/d/1Hx73zIEgVdDZZaYSTc46Dqv64atFhpr3GelxLbaIN8A/edit?usp=sharing"",""หนองบัวลำภู!J702"")"),0)</f>
        <v>0</v>
      </c>
      <c r="AC48" s="354">
        <f t="shared" ca="1" si="46"/>
        <v>0</v>
      </c>
      <c r="AD48" s="353">
        <f ca="1">IFERROR(__xludf.DUMMYFUNCTION("IMPORTRANGE(""https://docs.google.com/spreadsheets/d/1Hx73zIEgVdDZZaYSTc46Dqv64atFhpr3GelxLbaIN8A/edit?usp=sharing"",""หนองบัวลำภู!I703"")"),76)</f>
        <v>76</v>
      </c>
      <c r="AE48" s="177">
        <f ca="1">IFERROR(__xludf.DUMMYFUNCTION("IMPORTRANGE(""https://docs.google.com/spreadsheets/d/1Hx73zIEgVdDZZaYSTc46Dqv64atFhpr3GelxLbaIN8A/edit?usp=sharing"",""หนองบัวลำภู!J703"")"),0)</f>
        <v>0</v>
      </c>
      <c r="AF48" s="177">
        <f ca="1">IFERROR(__xludf.DUMMYFUNCTION("IMPORTRANGE(""https://docs.google.com/spreadsheets/d/1Hx73zIEgVdDZZaYSTc46Dqv64atFhpr3GelxLbaIN8A/edit?usp=sharing"",""หนองบัวลำภู!J704"")"),0)</f>
        <v>0</v>
      </c>
      <c r="AG48" s="354">
        <f t="shared" ca="1" si="48"/>
        <v>0</v>
      </c>
      <c r="AH48" s="495">
        <f ca="1">IFERROR(__xludf.DUMMYFUNCTION("IMPORTRANGE(""https://docs.google.com/spreadsheets/d/1Hx73zIEgVdDZZaYSTc46Dqv64atFhpr3GelxLbaIN8A/edit?usp=sharing"",""หนองบัวลำภู!I705"")"),5)</f>
        <v>5</v>
      </c>
      <c r="AI48" s="496">
        <f ca="1">IFERROR(__xludf.DUMMYFUNCTION("IMPORTRANGE(""https://docs.google.com/spreadsheets/d/1Hx73zIEgVdDZZaYSTc46Dqv64atFhpr3GelxLbaIN8A/edit?usp=sharing"",""หนองบัวลำภู!J705"")"),0)</f>
        <v>0</v>
      </c>
      <c r="AJ48" s="496">
        <f ca="1">IFERROR(__xludf.DUMMYFUNCTION("IMPORTRANGE(""https://docs.google.com/spreadsheets/d/1Hx73zIEgVdDZZaYSTc46Dqv64atFhpr3GelxLbaIN8A/edit?usp=sharing"",""หนองบัวลำภู!J706"")"),0)</f>
        <v>0</v>
      </c>
      <c r="AK48" s="497">
        <f t="shared" ca="1" si="50"/>
        <v>0</v>
      </c>
      <c r="AL48" s="353">
        <f ca="1">IFERROR(__xludf.DUMMYFUNCTION("IMPORTRANGE(""https://docs.google.com/spreadsheets/d/1Hx73zIEgVdDZZaYSTc46Dqv64atFhpr3GelxLbaIN8A/edit?usp=sharing"",""หนองบัวลำภู!I707"")"),76)</f>
        <v>76</v>
      </c>
      <c r="AM48" s="177">
        <f ca="1">IFERROR(__xludf.DUMMYFUNCTION("IMPORTRANGE(""https://docs.google.com/spreadsheets/d/1Hx73zIEgVdDZZaYSTc46Dqv64atFhpr3GelxLbaIN8A/edit?usp=sharing"",""หนองบัวลำภู!J707"")"),3)</f>
        <v>3</v>
      </c>
      <c r="AN48" s="177">
        <f ca="1">IFERROR(__xludf.DUMMYFUNCTION("IMPORTRANGE(""https://docs.google.com/spreadsheets/d/1Hx73zIEgVdDZZaYSTc46Dqv64atFhpr3GelxLbaIN8A/edit?usp=sharing"",""หนองบัวลำภู!J708"")"),1)</f>
        <v>1</v>
      </c>
      <c r="AO48" s="354">
        <f t="shared" ca="1" si="52"/>
        <v>3.9473684210526314</v>
      </c>
      <c r="AP48" s="495">
        <f ca="1">IFERROR(__xludf.DUMMYFUNCTION("IMPORTRANGE(""https://docs.google.com/spreadsheets/d/1Hx73zIEgVdDZZaYSTc46Dqv64atFhpr3GelxLbaIN8A/edit?usp=sharing"",""หนองบัวลำภู!I709"")"),5)</f>
        <v>5</v>
      </c>
      <c r="AQ48" s="496">
        <f ca="1">IFERROR(__xludf.DUMMYFUNCTION("IMPORTRANGE(""https://docs.google.com/spreadsheets/d/1Hx73zIEgVdDZZaYSTc46Dqv64atFhpr3GelxLbaIN8A/edit?usp=sharing"",""หนองบัวลำภู!J709"")"),0)</f>
        <v>0</v>
      </c>
      <c r="AR48" s="496">
        <f ca="1">IFERROR(__xludf.DUMMYFUNCTION("IMPORTRANGE(""https://docs.google.com/spreadsheets/d/1Hx73zIEgVdDZZaYSTc46Dqv64atFhpr3GelxLbaIN8A/edit?usp=sharing"",""หนองบัวลำภู!J710"")"),0)</f>
        <v>0</v>
      </c>
      <c r="AS48" s="497">
        <f t="shared" ca="1" si="54"/>
        <v>0</v>
      </c>
    </row>
    <row r="49" spans="1:45" ht="24.75" customHeight="1" x14ac:dyDescent="0.3">
      <c r="A49" s="89">
        <v>18</v>
      </c>
      <c r="B49" s="90" t="s">
        <v>75</v>
      </c>
      <c r="C49" s="174">
        <f t="shared" si="32"/>
        <v>0</v>
      </c>
      <c r="D49" s="175">
        <f t="shared" si="64"/>
        <v>0</v>
      </c>
      <c r="E49" s="403">
        <v>0</v>
      </c>
      <c r="F49" s="403">
        <v>0</v>
      </c>
      <c r="G49" s="403">
        <v>0</v>
      </c>
      <c r="H49" s="403">
        <v>0</v>
      </c>
      <c r="I49" s="403">
        <v>0</v>
      </c>
      <c r="J49" s="176">
        <f t="shared" si="34"/>
        <v>0</v>
      </c>
      <c r="K49" s="179">
        <f t="shared" si="35"/>
        <v>0</v>
      </c>
      <c r="L49" s="403">
        <v>0</v>
      </c>
      <c r="M49" s="87">
        <f t="shared" si="36"/>
        <v>0</v>
      </c>
      <c r="N49" s="87">
        <f t="shared" si="37"/>
        <v>0</v>
      </c>
      <c r="O49" s="403">
        <v>0</v>
      </c>
      <c r="P49" s="86">
        <f t="shared" si="38"/>
        <v>0</v>
      </c>
      <c r="Q49" s="87">
        <f t="shared" si="39"/>
        <v>0</v>
      </c>
      <c r="R49" s="87">
        <f ca="1">IFERROR(__xludf.DUMMYFUNCTION("IMPORTRANGE(""https://docs.google.com/spreadsheets/d/1lFxr3ctmjFN90yc-xV6jrQ9Ty8BKYVBWnAZ15wcNIJc/edit?usp=sharing"",""อำนาจเจริญ!Q690"")"),272770)</f>
        <v>272770</v>
      </c>
      <c r="S49" s="87">
        <f ca="1">IFERROR(__xludf.DUMMYFUNCTION("IMPORTRANGE(""https://docs.google.com/spreadsheets/d/1lFxr3ctmjFN90yc-xV6jrQ9Ty8BKYVBWnAZ15wcNIJc/edit?usp=sharing"",""อำนาจเจริญ!R690"")"),0)</f>
        <v>0</v>
      </c>
      <c r="T49" s="87">
        <f ca="1">IFERROR(__xludf.DUMMYFUNCTION("IMPORTRANGE(""https://docs.google.com/spreadsheets/d/1lFxr3ctmjFN90yc-xV6jrQ9Ty8BKYVBWnAZ15wcNIJc/edit?usp=sharing"",""อำนาจเจริญ!S690"")"),0)</f>
        <v>0</v>
      </c>
      <c r="U49" s="87">
        <f t="shared" ca="1" si="41"/>
        <v>0</v>
      </c>
      <c r="V49" s="87">
        <f t="shared" ca="1" si="42"/>
        <v>0</v>
      </c>
      <c r="W49" s="353">
        <f ca="1">IFERROR(__xludf.DUMMYFUNCTION("IMPORTRANGE(""https://docs.google.com/spreadsheets/d/1lFxr3ctmjFN90yc-xV6jrQ9Ty8BKYVBWnAZ15wcNIJc/edit?usp=sharing"",""อำนาจเจริญ!I700"")"),0)</f>
        <v>0</v>
      </c>
      <c r="X49" s="177">
        <f ca="1">IFERROR(__xludf.DUMMYFUNCTION("IMPORTRANGE(""https://docs.google.com/spreadsheets/d/1lFxr3ctmjFN90yc-xV6jrQ9Ty8BKYVBWnAZ15wcNIJc/edit?usp=sharing"",""อำนาจเจริญ!J700"")"),0)</f>
        <v>0</v>
      </c>
      <c r="Y49" s="354">
        <f t="shared" ca="1" si="44"/>
        <v>0</v>
      </c>
      <c r="Z49" s="353">
        <f ca="1">IFERROR(__xludf.DUMMYFUNCTION("IMPORTRANGE(""https://docs.google.com/spreadsheets/d/1lFxr3ctmjFN90yc-xV6jrQ9Ty8BKYVBWnAZ15wcNIJc/edit?usp=sharing"",""อำนาจเจริญ!I701"")"),168)</f>
        <v>168</v>
      </c>
      <c r="AA49" s="177">
        <f ca="1">IFERROR(__xludf.DUMMYFUNCTION("IMPORTRANGE(""https://docs.google.com/spreadsheets/d/1lFxr3ctmjFN90yc-xV6jrQ9Ty8BKYVBWnAZ15wcNIJc/edit?usp=sharing"",""อำนาจเจริญ!J701"")"),33)</f>
        <v>33</v>
      </c>
      <c r="AB49" s="177">
        <f ca="1">IFERROR(__xludf.DUMMYFUNCTION("IMPORTRANGE(""https://docs.google.com/spreadsheets/d/1lFxr3ctmjFN90yc-xV6jrQ9Ty8BKYVBWnAZ15wcNIJc/edit?usp=sharing"",""อำนาจเจริญ!J702"")"),11.78)</f>
        <v>11.78</v>
      </c>
      <c r="AC49" s="354">
        <f t="shared" ca="1" si="46"/>
        <v>19.642857142857142</v>
      </c>
      <c r="AD49" s="353">
        <f ca="1">IFERROR(__xludf.DUMMYFUNCTION("IMPORTRANGE(""https://docs.google.com/spreadsheets/d/1lFxr3ctmjFN90yc-xV6jrQ9Ty8BKYVBWnAZ15wcNIJc/edit?usp=sharing"",""อำนาจเจริญ!I703"")"),165)</f>
        <v>165</v>
      </c>
      <c r="AE49" s="177">
        <f ca="1">IFERROR(__xludf.DUMMYFUNCTION("IMPORTRANGE(""https://docs.google.com/spreadsheets/d/1lFxr3ctmjFN90yc-xV6jrQ9Ty8BKYVBWnAZ15wcNIJc/edit?usp=sharing"",""อำนาจเจริญ!J703"")"),33)</f>
        <v>33</v>
      </c>
      <c r="AF49" s="177">
        <f ca="1">IFERROR(__xludf.DUMMYFUNCTION("IMPORTRANGE(""https://docs.google.com/spreadsheets/d/1lFxr3ctmjFN90yc-xV6jrQ9Ty8BKYVBWnAZ15wcNIJc/edit?usp=sharing"",""อำนาจเจริญ!J704"")"),11.78)</f>
        <v>11.78</v>
      </c>
      <c r="AG49" s="354">
        <f t="shared" ca="1" si="48"/>
        <v>20</v>
      </c>
      <c r="AH49" s="495">
        <f ca="1">IFERROR(__xludf.DUMMYFUNCTION("IMPORTRANGE(""https://docs.google.com/spreadsheets/d/1lFxr3ctmjFN90yc-xV6jrQ9Ty8BKYVBWnAZ15wcNIJc/edit?usp=sharing"",""อำนาจเจริญ!I705"")"),3)</f>
        <v>3</v>
      </c>
      <c r="AI49" s="496">
        <f ca="1">IFERROR(__xludf.DUMMYFUNCTION("IMPORTRANGE(""https://docs.google.com/spreadsheets/d/1lFxr3ctmjFN90yc-xV6jrQ9Ty8BKYVBWnAZ15wcNIJc/edit?usp=sharing"",""อำนาจเจริญ!J705"")"),0)</f>
        <v>0</v>
      </c>
      <c r="AJ49" s="496">
        <f ca="1">IFERROR(__xludf.DUMMYFUNCTION("IMPORTRANGE(""https://docs.google.com/spreadsheets/d/1lFxr3ctmjFN90yc-xV6jrQ9Ty8BKYVBWnAZ15wcNIJc/edit?usp=sharing"",""อำนาจเจริญ!J706"")"),0)</f>
        <v>0</v>
      </c>
      <c r="AK49" s="497">
        <f t="shared" ca="1" si="50"/>
        <v>0</v>
      </c>
      <c r="AL49" s="353">
        <f ca="1">IFERROR(__xludf.DUMMYFUNCTION("IMPORTRANGE(""https://docs.google.com/spreadsheets/d/1lFxr3ctmjFN90yc-xV6jrQ9Ty8BKYVBWnAZ15wcNIJc/edit?usp=sharing"",""อำนาจเจริญ!I707"")"),165)</f>
        <v>165</v>
      </c>
      <c r="AM49" s="177">
        <f ca="1">IFERROR(__xludf.DUMMYFUNCTION("IMPORTRANGE(""https://docs.google.com/spreadsheets/d/1lFxr3ctmjFN90yc-xV6jrQ9Ty8BKYVBWnAZ15wcNIJc/edit?usp=sharing"",""อำนาจเจริญ!J707"")"),31)</f>
        <v>31</v>
      </c>
      <c r="AN49" s="177">
        <f ca="1">IFERROR(__xludf.DUMMYFUNCTION("IMPORTRANGE(""https://docs.google.com/spreadsheets/d/1lFxr3ctmjFN90yc-xV6jrQ9Ty8BKYVBWnAZ15wcNIJc/edit?usp=sharing"",""อำนาจเจริญ!J708"")"),11.29)</f>
        <v>11.29</v>
      </c>
      <c r="AO49" s="354">
        <f t="shared" ca="1" si="52"/>
        <v>18.787878787878789</v>
      </c>
      <c r="AP49" s="495">
        <f ca="1">IFERROR(__xludf.DUMMYFUNCTION("IMPORTRANGE(""https://docs.google.com/spreadsheets/d/1lFxr3ctmjFN90yc-xV6jrQ9Ty8BKYVBWnAZ15wcNIJc/edit?usp=sharing"",""อำนาจเจริญ!I709"")"),3)</f>
        <v>3</v>
      </c>
      <c r="AQ49" s="496">
        <f ca="1">IFERROR(__xludf.DUMMYFUNCTION("IMPORTRANGE(""https://docs.google.com/spreadsheets/d/1lFxr3ctmjFN90yc-xV6jrQ9Ty8BKYVBWnAZ15wcNIJc/edit?usp=sharing"",""อำนาจเจริญ!J709"")"),0)</f>
        <v>0</v>
      </c>
      <c r="AR49" s="496">
        <f ca="1">IFERROR(__xludf.DUMMYFUNCTION("IMPORTRANGE(""https://docs.google.com/spreadsheets/d/1lFxr3ctmjFN90yc-xV6jrQ9Ty8BKYVBWnAZ15wcNIJc/edit?usp=sharing"",""อำนาจเจริญ!J710"")"),0)</f>
        <v>0</v>
      </c>
      <c r="AS49" s="497">
        <f t="shared" ca="1" si="54"/>
        <v>0</v>
      </c>
    </row>
    <row r="50" spans="1:45" ht="24.75" customHeight="1" x14ac:dyDescent="0.3">
      <c r="A50" s="89">
        <v>19</v>
      </c>
      <c r="B50" s="90" t="s">
        <v>76</v>
      </c>
      <c r="C50" s="174">
        <f t="shared" si="32"/>
        <v>0</v>
      </c>
      <c r="D50" s="175">
        <f t="shared" si="64"/>
        <v>0</v>
      </c>
      <c r="E50" s="403">
        <v>0</v>
      </c>
      <c r="F50" s="403">
        <v>0</v>
      </c>
      <c r="G50" s="403">
        <v>0</v>
      </c>
      <c r="H50" s="403">
        <v>0</v>
      </c>
      <c r="I50" s="403">
        <v>0</v>
      </c>
      <c r="J50" s="176">
        <f t="shared" si="34"/>
        <v>0</v>
      </c>
      <c r="K50" s="179">
        <f t="shared" si="35"/>
        <v>0</v>
      </c>
      <c r="L50" s="403">
        <v>0</v>
      </c>
      <c r="M50" s="87">
        <f t="shared" si="36"/>
        <v>0</v>
      </c>
      <c r="N50" s="87">
        <f t="shared" si="37"/>
        <v>0</v>
      </c>
      <c r="O50" s="403">
        <v>0</v>
      </c>
      <c r="P50" s="86">
        <f t="shared" si="38"/>
        <v>0</v>
      </c>
      <c r="Q50" s="87">
        <f t="shared" si="39"/>
        <v>0</v>
      </c>
      <c r="R50" s="87">
        <f ca="1">IFERROR(__xludf.DUMMYFUNCTION("IMPORTRANGE(""https://docs.google.com/spreadsheets/d/1gF7RJpRnL-1oyjyeWxs5SFWEH7y8ahOZsQlyp2A2e-A/edit?usp=sharing"",""อุดรธานี!Q690"")"),523350)</f>
        <v>523350</v>
      </c>
      <c r="S50" s="87">
        <f ca="1">IFERROR(__xludf.DUMMYFUNCTION("IMPORTRANGE(""https://docs.google.com/spreadsheets/d/1gF7RJpRnL-1oyjyeWxs5SFWEH7y8ahOZsQlyp2A2e-A/edit?usp=sharing"",""อุดรธานี!R690"")"),0)</f>
        <v>0</v>
      </c>
      <c r="T50" s="87">
        <f ca="1">IFERROR(__xludf.DUMMYFUNCTION("IMPORTRANGE(""https://docs.google.com/spreadsheets/d/1gF7RJpRnL-1oyjyeWxs5SFWEH7y8ahOZsQlyp2A2e-A/edit?usp=sharing"",""อุดรธานี!S690"")"),58040)</f>
        <v>58040</v>
      </c>
      <c r="U50" s="87">
        <f t="shared" ca="1" si="41"/>
        <v>11.090092672207891</v>
      </c>
      <c r="V50" s="87">
        <f t="shared" ca="1" si="42"/>
        <v>0</v>
      </c>
      <c r="W50" s="353">
        <f ca="1">IFERROR(__xludf.DUMMYFUNCTION("IMPORTRANGE(""https://docs.google.com/spreadsheets/d/1gF7RJpRnL-1oyjyeWxs5SFWEH7y8ahOZsQlyp2A2e-A/edit?usp=sharing"",""อุดรธานี!I700"")"),0)</f>
        <v>0</v>
      </c>
      <c r="X50" s="177">
        <f ca="1">IFERROR(__xludf.DUMMYFUNCTION("IMPORTRANGE(""https://docs.google.com/spreadsheets/d/1gF7RJpRnL-1oyjyeWxs5SFWEH7y8ahOZsQlyp2A2e-A/edit?usp=sharing"",""อุดรธานี!J700"")"),0)</f>
        <v>0</v>
      </c>
      <c r="Y50" s="354">
        <f t="shared" ca="1" si="44"/>
        <v>0</v>
      </c>
      <c r="Z50" s="353">
        <f ca="1">IFERROR(__xludf.DUMMYFUNCTION("IMPORTRANGE(""https://docs.google.com/spreadsheets/d/1gF7RJpRnL-1oyjyeWxs5SFWEH7y8ahOZsQlyp2A2e-A/edit?usp=sharing"",""อุดรธานี!I701"")"),624)</f>
        <v>624</v>
      </c>
      <c r="AA50" s="177">
        <f ca="1">IFERROR(__xludf.DUMMYFUNCTION("IMPORTRANGE(""https://docs.google.com/spreadsheets/d/1gF7RJpRnL-1oyjyeWxs5SFWEH7y8ahOZsQlyp2A2e-A/edit?usp=sharing"",""อุดรธานี!J701"")"),0)</f>
        <v>0</v>
      </c>
      <c r="AB50" s="177">
        <f ca="1">IFERROR(__xludf.DUMMYFUNCTION("IMPORTRANGE(""https://docs.google.com/spreadsheets/d/1gF7RJpRnL-1oyjyeWxs5SFWEH7y8ahOZsQlyp2A2e-A/edit?usp=sharing"",""อุดรธานี!J702"")"),0)</f>
        <v>0</v>
      </c>
      <c r="AC50" s="354">
        <f t="shared" ca="1" si="46"/>
        <v>0</v>
      </c>
      <c r="AD50" s="353">
        <f ca="1">IFERROR(__xludf.DUMMYFUNCTION("IMPORTRANGE(""https://docs.google.com/spreadsheets/d/1gF7RJpRnL-1oyjyeWxs5SFWEH7y8ahOZsQlyp2A2e-A/edit?usp=sharing"",""อุดรธานี!I703"")"),620)</f>
        <v>620</v>
      </c>
      <c r="AE50" s="177">
        <f ca="1">IFERROR(__xludf.DUMMYFUNCTION("IMPORTRANGE(""https://docs.google.com/spreadsheets/d/1gF7RJpRnL-1oyjyeWxs5SFWEH7y8ahOZsQlyp2A2e-A/edit?usp=sharing"",""อุดรธานี!J703"")"),0)</f>
        <v>0</v>
      </c>
      <c r="AF50" s="177">
        <f ca="1">IFERROR(__xludf.DUMMYFUNCTION("IMPORTRANGE(""https://docs.google.com/spreadsheets/d/1gF7RJpRnL-1oyjyeWxs5SFWEH7y8ahOZsQlyp2A2e-A/edit?usp=sharing"",""อุดรธานี!J704"")"),0)</f>
        <v>0</v>
      </c>
      <c r="AG50" s="354">
        <f t="shared" ca="1" si="48"/>
        <v>0</v>
      </c>
      <c r="AH50" s="495">
        <f ca="1">IFERROR(__xludf.DUMMYFUNCTION("IMPORTRANGE(""https://docs.google.com/spreadsheets/d/1gF7RJpRnL-1oyjyeWxs5SFWEH7y8ahOZsQlyp2A2e-A/edit?usp=sharing"",""อุดรธานี!I705"")"),4)</f>
        <v>4</v>
      </c>
      <c r="AI50" s="496">
        <f ca="1">IFERROR(__xludf.DUMMYFUNCTION("IMPORTRANGE(""https://docs.google.com/spreadsheets/d/1gF7RJpRnL-1oyjyeWxs5SFWEH7y8ahOZsQlyp2A2e-A/edit?usp=sharing"",""อุดรธานี!J705"")"),0)</f>
        <v>0</v>
      </c>
      <c r="AJ50" s="496">
        <f ca="1">IFERROR(__xludf.DUMMYFUNCTION("IMPORTRANGE(""https://docs.google.com/spreadsheets/d/1gF7RJpRnL-1oyjyeWxs5SFWEH7y8ahOZsQlyp2A2e-A/edit?usp=sharing"",""อุดรธานี!J706"")"),0)</f>
        <v>0</v>
      </c>
      <c r="AK50" s="497">
        <f t="shared" ca="1" si="50"/>
        <v>0</v>
      </c>
      <c r="AL50" s="353">
        <f ca="1">IFERROR(__xludf.DUMMYFUNCTION("IMPORTRANGE(""https://docs.google.com/spreadsheets/d/1gF7RJpRnL-1oyjyeWxs5SFWEH7y8ahOZsQlyp2A2e-A/edit?usp=sharing"",""อุดรธานี!I707"")"),620)</f>
        <v>620</v>
      </c>
      <c r="AM50" s="177">
        <f ca="1">IFERROR(__xludf.DUMMYFUNCTION("IMPORTRANGE(""https://docs.google.com/spreadsheets/d/1gF7RJpRnL-1oyjyeWxs5SFWEH7y8ahOZsQlyp2A2e-A/edit?usp=sharing"",""อุดรธานี!J707"")"),0)</f>
        <v>0</v>
      </c>
      <c r="AN50" s="177">
        <f ca="1">IFERROR(__xludf.DUMMYFUNCTION("IMPORTRANGE(""https://docs.google.com/spreadsheets/d/1gF7RJpRnL-1oyjyeWxs5SFWEH7y8ahOZsQlyp2A2e-A/edit?usp=sharing"",""อุดรธานี!J708"")"),0)</f>
        <v>0</v>
      </c>
      <c r="AO50" s="354">
        <f t="shared" ca="1" si="52"/>
        <v>0</v>
      </c>
      <c r="AP50" s="495">
        <f ca="1">IFERROR(__xludf.DUMMYFUNCTION("IMPORTRANGE(""https://docs.google.com/spreadsheets/d/1gF7RJpRnL-1oyjyeWxs5SFWEH7y8ahOZsQlyp2A2e-A/edit?usp=sharing"",""อุดรธานี!I709"")"),4)</f>
        <v>4</v>
      </c>
      <c r="AQ50" s="496">
        <f ca="1">IFERROR(__xludf.DUMMYFUNCTION("IMPORTRANGE(""https://docs.google.com/spreadsheets/d/1gF7RJpRnL-1oyjyeWxs5SFWEH7y8ahOZsQlyp2A2e-A/edit?usp=sharing"",""อุดรธานี!J709"")"),0)</f>
        <v>0</v>
      </c>
      <c r="AR50" s="496">
        <f ca="1">IFERROR(__xludf.DUMMYFUNCTION("IMPORTRANGE(""https://docs.google.com/spreadsheets/d/1gF7RJpRnL-1oyjyeWxs5SFWEH7y8ahOZsQlyp2A2e-A/edit?usp=sharing"",""อุดรธานี!J710"")"),0)</f>
        <v>0</v>
      </c>
      <c r="AS50" s="497">
        <f t="shared" ca="1" si="54"/>
        <v>0</v>
      </c>
    </row>
    <row r="51" spans="1:45" ht="24.75" customHeight="1" x14ac:dyDescent="0.3">
      <c r="A51" s="100">
        <v>20</v>
      </c>
      <c r="B51" s="101" t="s">
        <v>77</v>
      </c>
      <c r="C51" s="189">
        <f t="shared" si="32"/>
        <v>0</v>
      </c>
      <c r="D51" s="190">
        <f t="shared" si="64"/>
        <v>0</v>
      </c>
      <c r="E51" s="415">
        <v>0</v>
      </c>
      <c r="F51" s="415">
        <v>0</v>
      </c>
      <c r="G51" s="415">
        <v>0</v>
      </c>
      <c r="H51" s="415">
        <v>0</v>
      </c>
      <c r="I51" s="415">
        <v>0</v>
      </c>
      <c r="J51" s="191">
        <f t="shared" si="34"/>
        <v>0</v>
      </c>
      <c r="K51" s="192">
        <f t="shared" si="35"/>
        <v>0</v>
      </c>
      <c r="L51" s="415">
        <v>0</v>
      </c>
      <c r="M51" s="118">
        <f t="shared" si="36"/>
        <v>0</v>
      </c>
      <c r="N51" s="118">
        <f t="shared" si="37"/>
        <v>0</v>
      </c>
      <c r="O51" s="415">
        <v>0</v>
      </c>
      <c r="P51" s="117">
        <f t="shared" si="38"/>
        <v>0</v>
      </c>
      <c r="Q51" s="118">
        <f t="shared" si="39"/>
        <v>0</v>
      </c>
      <c r="R51" s="118">
        <f ca="1">IFERROR(__xludf.DUMMYFUNCTION("IMPORTRANGE(""https://docs.google.com/spreadsheets/d/1kfLP0j3INXRa8bTDpcEmoWewMBV61jlFlfzczfjWIgc/edit?usp=sharing"",""อุบลราชธานี!Q690"")"),286220)</f>
        <v>286220</v>
      </c>
      <c r="S51" s="118">
        <f ca="1">IFERROR(__xludf.DUMMYFUNCTION("IMPORTRANGE(""https://docs.google.com/spreadsheets/d/1kfLP0j3INXRa8bTDpcEmoWewMBV61jlFlfzczfjWIgc/edit?usp=sharing"",""อุบลราชธานี!R690"")"),0)</f>
        <v>0</v>
      </c>
      <c r="T51" s="118">
        <f ca="1">IFERROR(__xludf.DUMMYFUNCTION("IMPORTRANGE(""https://docs.google.com/spreadsheets/d/1kfLP0j3INXRa8bTDpcEmoWewMBV61jlFlfzczfjWIgc/edit?usp=sharing"",""อุบลราชธานี!S690"")"),0)</f>
        <v>0</v>
      </c>
      <c r="U51" s="118">
        <f t="shared" ca="1" si="41"/>
        <v>0</v>
      </c>
      <c r="V51" s="118">
        <f t="shared" ca="1" si="42"/>
        <v>0</v>
      </c>
      <c r="W51" s="356">
        <f ca="1">IFERROR(__xludf.DUMMYFUNCTION("IMPORTRANGE(""https://docs.google.com/spreadsheets/d/1kfLP0j3INXRa8bTDpcEmoWewMBV61jlFlfzczfjWIgc/edit?usp=sharing"",""อุบลราชธานี!I700"")"),1)</f>
        <v>1</v>
      </c>
      <c r="X51" s="186">
        <f ca="1">IFERROR(__xludf.DUMMYFUNCTION("IMPORTRANGE(""https://docs.google.com/spreadsheets/d/1kfLP0j3INXRa8bTDpcEmoWewMBV61jlFlfzczfjWIgc/edit?usp=sharing"",""อุบลราชธานี!J700"")"),0)</f>
        <v>0</v>
      </c>
      <c r="Y51" s="357">
        <f t="shared" ca="1" si="44"/>
        <v>0</v>
      </c>
      <c r="Z51" s="356">
        <f ca="1">IFERROR(__xludf.DUMMYFUNCTION("IMPORTRANGE(""https://docs.google.com/spreadsheets/d/1kfLP0j3INXRa8bTDpcEmoWewMBV61jlFlfzczfjWIgc/edit?usp=sharing"",""อุบลราชธานี!I701"")"),116)</f>
        <v>116</v>
      </c>
      <c r="AA51" s="186">
        <f ca="1">IFERROR(__xludf.DUMMYFUNCTION("IMPORTRANGE(""https://docs.google.com/spreadsheets/d/1kfLP0j3INXRa8bTDpcEmoWewMBV61jlFlfzczfjWIgc/edit?usp=sharing"",""อุบลราชธานี!J701"")"),2)</f>
        <v>2</v>
      </c>
      <c r="AB51" s="186">
        <f ca="1">IFERROR(__xludf.DUMMYFUNCTION("IMPORTRANGE(""https://docs.google.com/spreadsheets/d/1kfLP0j3INXRa8bTDpcEmoWewMBV61jlFlfzczfjWIgc/edit?usp=sharing"",""อุบลราชธานี!J702"")"),0.31)</f>
        <v>0.31</v>
      </c>
      <c r="AC51" s="357">
        <f t="shared" ca="1" si="46"/>
        <v>1.7241379310344827</v>
      </c>
      <c r="AD51" s="356">
        <f ca="1">IFERROR(__xludf.DUMMYFUNCTION("IMPORTRANGE(""https://docs.google.com/spreadsheets/d/1kfLP0j3INXRa8bTDpcEmoWewMBV61jlFlfzczfjWIgc/edit?usp=sharing"",""อุบลราชธานี!I703"")"),110)</f>
        <v>110</v>
      </c>
      <c r="AE51" s="186">
        <f ca="1">IFERROR(__xludf.DUMMYFUNCTION("IMPORTRANGE(""https://docs.google.com/spreadsheets/d/1kfLP0j3INXRa8bTDpcEmoWewMBV61jlFlfzczfjWIgc/edit?usp=sharing"",""อุบลราชธานี!J703"")"),2)</f>
        <v>2</v>
      </c>
      <c r="AF51" s="186">
        <f ca="1">IFERROR(__xludf.DUMMYFUNCTION("IMPORTRANGE(""https://docs.google.com/spreadsheets/d/1kfLP0j3INXRa8bTDpcEmoWewMBV61jlFlfzczfjWIgc/edit?usp=sharing"",""อุบลราชธานี!J704"")"),0.31)</f>
        <v>0.31</v>
      </c>
      <c r="AG51" s="357">
        <f t="shared" ca="1" si="48"/>
        <v>1.8181818181818181</v>
      </c>
      <c r="AH51" s="498">
        <f ca="1">IFERROR(__xludf.DUMMYFUNCTION("IMPORTRANGE(""https://docs.google.com/spreadsheets/d/1kfLP0j3INXRa8bTDpcEmoWewMBV61jlFlfzczfjWIgc/edit?usp=sharing"",""อุบลราชธานี!I705"")"),6)</f>
        <v>6</v>
      </c>
      <c r="AI51" s="499">
        <f ca="1">IFERROR(__xludf.DUMMYFUNCTION("IMPORTRANGE(""https://docs.google.com/spreadsheets/d/1kfLP0j3INXRa8bTDpcEmoWewMBV61jlFlfzczfjWIgc/edit?usp=sharing"",""อุบลราชธานี!J705"")"),0)</f>
        <v>0</v>
      </c>
      <c r="AJ51" s="499">
        <f ca="1">IFERROR(__xludf.DUMMYFUNCTION("IMPORTRANGE(""https://docs.google.com/spreadsheets/d/1kfLP0j3INXRa8bTDpcEmoWewMBV61jlFlfzczfjWIgc/edit?usp=sharing"",""อุบลราชธานี!J706"")"),0)</f>
        <v>0</v>
      </c>
      <c r="AK51" s="500">
        <f t="shared" ca="1" si="50"/>
        <v>0</v>
      </c>
      <c r="AL51" s="356">
        <f ca="1">IFERROR(__xludf.DUMMYFUNCTION("IMPORTRANGE(""https://docs.google.com/spreadsheets/d/1kfLP0j3INXRa8bTDpcEmoWewMBV61jlFlfzczfjWIgc/edit?usp=sharing"",""อุบลราชธานี!I707"")"),110)</f>
        <v>110</v>
      </c>
      <c r="AM51" s="186">
        <f ca="1">IFERROR(__xludf.DUMMYFUNCTION("IMPORTRANGE(""https://docs.google.com/spreadsheets/d/1kfLP0j3INXRa8bTDpcEmoWewMBV61jlFlfzczfjWIgc/edit?usp=sharing"",""อุบลราชธานี!J707"")"),0)</f>
        <v>0</v>
      </c>
      <c r="AN51" s="186">
        <f ca="1">IFERROR(__xludf.DUMMYFUNCTION("IMPORTRANGE(""https://docs.google.com/spreadsheets/d/1kfLP0j3INXRa8bTDpcEmoWewMBV61jlFlfzczfjWIgc/edit?usp=sharing"",""อุบลราชธานี!J708"")"),0)</f>
        <v>0</v>
      </c>
      <c r="AO51" s="357">
        <f t="shared" ca="1" si="52"/>
        <v>0</v>
      </c>
      <c r="AP51" s="498">
        <f ca="1">IFERROR(__xludf.DUMMYFUNCTION("IMPORTRANGE(""https://docs.google.com/spreadsheets/d/1kfLP0j3INXRa8bTDpcEmoWewMBV61jlFlfzczfjWIgc/edit?usp=sharing"",""อุบลราชธานี!I709"")"),6)</f>
        <v>6</v>
      </c>
      <c r="AQ51" s="499">
        <f ca="1">IFERROR(__xludf.DUMMYFUNCTION("IMPORTRANGE(""https://docs.google.com/spreadsheets/d/1kfLP0j3INXRa8bTDpcEmoWewMBV61jlFlfzczfjWIgc/edit?usp=sharing"",""อุบลราชธานี!J709"")"),0)</f>
        <v>0</v>
      </c>
      <c r="AR51" s="499">
        <f ca="1">IFERROR(__xludf.DUMMYFUNCTION("IMPORTRANGE(""https://docs.google.com/spreadsheets/d/1kfLP0j3INXRa8bTDpcEmoWewMBV61jlFlfzczfjWIgc/edit?usp=sharing"",""อุบลราชธานี!J710"")"),0)</f>
        <v>0</v>
      </c>
      <c r="AS51" s="500">
        <f t="shared" ca="1" si="54"/>
        <v>0</v>
      </c>
    </row>
    <row r="52" spans="1:45" ht="24.75" customHeight="1" x14ac:dyDescent="0.3">
      <c r="A52" s="650" t="s">
        <v>78</v>
      </c>
      <c r="B52" s="583"/>
      <c r="C52" s="194">
        <f t="shared" si="32"/>
        <v>0</v>
      </c>
      <c r="D52" s="194">
        <f t="shared" ref="D52:I52" si="65">SUM(D53:D73)</f>
        <v>0</v>
      </c>
      <c r="E52" s="194">
        <f t="shared" si="65"/>
        <v>0</v>
      </c>
      <c r="F52" s="194">
        <f t="shared" si="65"/>
        <v>0</v>
      </c>
      <c r="G52" s="194">
        <f t="shared" si="65"/>
        <v>0</v>
      </c>
      <c r="H52" s="194">
        <f t="shared" si="65"/>
        <v>0</v>
      </c>
      <c r="I52" s="194">
        <f t="shared" si="65"/>
        <v>0</v>
      </c>
      <c r="J52" s="194">
        <f t="shared" si="34"/>
        <v>0</v>
      </c>
      <c r="K52" s="195">
        <f t="shared" si="35"/>
        <v>0</v>
      </c>
      <c r="L52" s="194">
        <f>SUM(L53:L73)</f>
        <v>0</v>
      </c>
      <c r="M52" s="120">
        <f t="shared" si="36"/>
        <v>0</v>
      </c>
      <c r="N52" s="120">
        <f t="shared" si="37"/>
        <v>0</v>
      </c>
      <c r="O52" s="119">
        <f>SUM(O53:O73)</f>
        <v>0</v>
      </c>
      <c r="P52" s="119">
        <f t="shared" si="38"/>
        <v>0</v>
      </c>
      <c r="Q52" s="120">
        <f t="shared" si="39"/>
        <v>0</v>
      </c>
      <c r="R52" s="120">
        <f t="shared" ref="R52:T52" ca="1" si="66">SUM(R53:R73)</f>
        <v>2322060</v>
      </c>
      <c r="S52" s="120">
        <f t="shared" ca="1" si="66"/>
        <v>0</v>
      </c>
      <c r="T52" s="120">
        <f t="shared" ca="1" si="66"/>
        <v>27120</v>
      </c>
      <c r="U52" s="120">
        <f t="shared" ca="1" si="41"/>
        <v>1.1679284773003282</v>
      </c>
      <c r="V52" s="120">
        <f t="shared" ca="1" si="42"/>
        <v>0</v>
      </c>
      <c r="W52" s="347">
        <f t="shared" ref="W52:X52" ca="1" si="67">SUM(W53:W73)</f>
        <v>4</v>
      </c>
      <c r="X52" s="451">
        <f t="shared" ca="1" si="67"/>
        <v>0</v>
      </c>
      <c r="Y52" s="40">
        <f t="shared" ca="1" si="44"/>
        <v>0</v>
      </c>
      <c r="Z52" s="347">
        <f t="shared" ref="Z52:AB52" ca="1" si="68">SUM(Z53:Z73)</f>
        <v>717</v>
      </c>
      <c r="AA52" s="451">
        <f t="shared" ca="1" si="68"/>
        <v>54</v>
      </c>
      <c r="AB52" s="451">
        <f t="shared" ca="1" si="68"/>
        <v>16.079999999999998</v>
      </c>
      <c r="AC52" s="40">
        <f t="shared" ca="1" si="46"/>
        <v>7.531380753138075</v>
      </c>
      <c r="AD52" s="347">
        <f t="shared" ref="AD52:AF52" ca="1" si="69">SUM(AD53:AD73)</f>
        <v>668</v>
      </c>
      <c r="AE52" s="451">
        <f t="shared" ca="1" si="69"/>
        <v>54</v>
      </c>
      <c r="AF52" s="451">
        <f t="shared" ca="1" si="69"/>
        <v>16.079999999999998</v>
      </c>
      <c r="AG52" s="40">
        <f t="shared" ca="1" si="48"/>
        <v>8.0838323353293422</v>
      </c>
      <c r="AH52" s="489">
        <f t="shared" ref="AH52:AJ52" ca="1" si="70">SUM(AH53:AH73)</f>
        <v>49</v>
      </c>
      <c r="AI52" s="490">
        <f t="shared" ca="1" si="70"/>
        <v>0</v>
      </c>
      <c r="AJ52" s="490">
        <f t="shared" ca="1" si="70"/>
        <v>0</v>
      </c>
      <c r="AK52" s="491">
        <f t="shared" ca="1" si="50"/>
        <v>0</v>
      </c>
      <c r="AL52" s="347">
        <f t="shared" ref="AL52:AN52" ca="1" si="71">SUM(AL53:AL73)</f>
        <v>668</v>
      </c>
      <c r="AM52" s="451">
        <f t="shared" ca="1" si="71"/>
        <v>53</v>
      </c>
      <c r="AN52" s="451">
        <f t="shared" ca="1" si="71"/>
        <v>15</v>
      </c>
      <c r="AO52" s="40">
        <f t="shared" ca="1" si="52"/>
        <v>7.9341317365269459</v>
      </c>
      <c r="AP52" s="489">
        <f t="shared" ref="AP52:AR52" ca="1" si="72">SUM(AP53:AP73)</f>
        <v>49</v>
      </c>
      <c r="AQ52" s="490">
        <f t="shared" ca="1" si="72"/>
        <v>0</v>
      </c>
      <c r="AR52" s="490">
        <f t="shared" ca="1" si="72"/>
        <v>0</v>
      </c>
      <c r="AS52" s="491">
        <f t="shared" ca="1" si="54"/>
        <v>0</v>
      </c>
    </row>
    <row r="53" spans="1:45" ht="24.75" customHeight="1" x14ac:dyDescent="0.3">
      <c r="A53" s="77">
        <v>1</v>
      </c>
      <c r="B53" s="78" t="s">
        <v>79</v>
      </c>
      <c r="C53" s="174">
        <f t="shared" si="32"/>
        <v>0</v>
      </c>
      <c r="D53" s="175">
        <f t="shared" ref="D53:D73" si="73">+E53+F53</f>
        <v>0</v>
      </c>
      <c r="E53" s="403">
        <v>0</v>
      </c>
      <c r="F53" s="403">
        <v>0</v>
      </c>
      <c r="G53" s="219">
        <v>0</v>
      </c>
      <c r="H53" s="219">
        <v>0</v>
      </c>
      <c r="I53" s="219">
        <v>0</v>
      </c>
      <c r="J53" s="177">
        <f t="shared" si="34"/>
        <v>0</v>
      </c>
      <c r="K53" s="178">
        <f t="shared" si="35"/>
        <v>0</v>
      </c>
      <c r="L53" s="219">
        <v>0</v>
      </c>
      <c r="M53" s="87">
        <f t="shared" si="36"/>
        <v>0</v>
      </c>
      <c r="N53" s="87">
        <f t="shared" si="37"/>
        <v>0</v>
      </c>
      <c r="O53" s="403">
        <v>0</v>
      </c>
      <c r="P53" s="86">
        <f t="shared" si="38"/>
        <v>0</v>
      </c>
      <c r="Q53" s="87">
        <f t="shared" si="39"/>
        <v>0</v>
      </c>
      <c r="R53" s="87">
        <f ca="1">IFERROR(__xludf.DUMMYFUNCTION("IMPORTRANGE(""https://docs.google.com/spreadsheets/d/13wPX838HrBrQMCywv1BsuMkt4PEKTChp52zj44s2izQ/edit?usp=sharing"",""กาญจนบุรี!Q690"")"),173940)</f>
        <v>173940</v>
      </c>
      <c r="S53" s="87">
        <f ca="1">IFERROR(__xludf.DUMMYFUNCTION("IMPORTRANGE(""https://docs.google.com/spreadsheets/d/13wPX838HrBrQMCywv1BsuMkt4PEKTChp52zj44s2izQ/edit?usp=sharing"",""กาญจนบุรี!R690"")"),0)</f>
        <v>0</v>
      </c>
      <c r="T53" s="87">
        <f ca="1">IFERROR(__xludf.DUMMYFUNCTION("IMPORTRANGE(""https://docs.google.com/spreadsheets/d/13wPX838HrBrQMCywv1BsuMkt4PEKTChp52zj44s2izQ/edit?usp=sharing"",""กาญจนบุรี!S690"")"),17000)</f>
        <v>17000</v>
      </c>
      <c r="U53" s="87">
        <f t="shared" ca="1" si="41"/>
        <v>9.7734851098079805</v>
      </c>
      <c r="V53" s="87">
        <f t="shared" ca="1" si="42"/>
        <v>0</v>
      </c>
      <c r="W53" s="353">
        <f ca="1">IFERROR(__xludf.DUMMYFUNCTION("IMPORTRANGE(""https://docs.google.com/spreadsheets/d/13wPX838HrBrQMCywv1BsuMkt4PEKTChp52zj44s2izQ/edit?usp=sharing"",""กาญจนบุรี!I700"")"),0)</f>
        <v>0</v>
      </c>
      <c r="X53" s="177">
        <f ca="1">IFERROR(__xludf.DUMMYFUNCTION("IMPORTRANGE(""https://docs.google.com/spreadsheets/d/13wPX838HrBrQMCywv1BsuMkt4PEKTChp52zj44s2izQ/edit?usp=sharing"",""กาญจนบุรี!J700"")"),0)</f>
        <v>0</v>
      </c>
      <c r="Y53" s="354">
        <f t="shared" ca="1" si="44"/>
        <v>0</v>
      </c>
      <c r="Z53" s="353">
        <f ca="1">IFERROR(__xludf.DUMMYFUNCTION("IMPORTRANGE(""https://docs.google.com/spreadsheets/d/13wPX838HrBrQMCywv1BsuMkt4PEKTChp52zj44s2izQ/edit?usp=sharing"",""กาญจนบุรี!I701"")"),56)</f>
        <v>56</v>
      </c>
      <c r="AA53" s="177">
        <f ca="1">IFERROR(__xludf.DUMMYFUNCTION("IMPORTRANGE(""https://docs.google.com/spreadsheets/d/13wPX838HrBrQMCywv1BsuMkt4PEKTChp52zj44s2izQ/edit?usp=sharing"",""กาญจนบุรี!J701"")"),1)</f>
        <v>1</v>
      </c>
      <c r="AB53" s="177">
        <f ca="1">IFERROR(__xludf.DUMMYFUNCTION("IMPORTRANGE(""https://docs.google.com/spreadsheets/d/13wPX838HrBrQMCywv1BsuMkt4PEKTChp52zj44s2izQ/edit?usp=sharing"",""กาญจนบุรี!J702"")"),0.8)</f>
        <v>0.8</v>
      </c>
      <c r="AC53" s="354">
        <f t="shared" ca="1" si="46"/>
        <v>1.7857142857142858</v>
      </c>
      <c r="AD53" s="353">
        <f ca="1">IFERROR(__xludf.DUMMYFUNCTION("IMPORTRANGE(""https://docs.google.com/spreadsheets/d/13wPX838HrBrQMCywv1BsuMkt4PEKTChp52zj44s2izQ/edit?usp=sharing"",""กาญจนบุรี!I703"")"),50)</f>
        <v>50</v>
      </c>
      <c r="AE53" s="177">
        <f ca="1">IFERROR(__xludf.DUMMYFUNCTION("IMPORTRANGE(""https://docs.google.com/spreadsheets/d/13wPX838HrBrQMCywv1BsuMkt4PEKTChp52zj44s2izQ/edit?usp=sharing"",""กาญจนบุรี!J703"")"),1)</f>
        <v>1</v>
      </c>
      <c r="AF53" s="177">
        <f ca="1">IFERROR(__xludf.DUMMYFUNCTION("IMPORTRANGE(""https://docs.google.com/spreadsheets/d/13wPX838HrBrQMCywv1BsuMkt4PEKTChp52zj44s2izQ/edit?usp=sharing"",""กาญจนบุรี!J704"")"),0.8)</f>
        <v>0.8</v>
      </c>
      <c r="AG53" s="354">
        <f t="shared" ca="1" si="48"/>
        <v>2</v>
      </c>
      <c r="AH53" s="495">
        <f ca="1">IFERROR(__xludf.DUMMYFUNCTION("IMPORTRANGE(""https://docs.google.com/spreadsheets/d/13wPX838HrBrQMCywv1BsuMkt4PEKTChp52zj44s2izQ/edit?usp=sharing"",""กาญจนบุรี!I705"")"),6)</f>
        <v>6</v>
      </c>
      <c r="AI53" s="496">
        <f ca="1">IFERROR(__xludf.DUMMYFUNCTION("IMPORTRANGE(""https://docs.google.com/spreadsheets/d/13wPX838HrBrQMCywv1BsuMkt4PEKTChp52zj44s2izQ/edit?usp=sharing"",""กาญจนบุรี!J705"")"),0)</f>
        <v>0</v>
      </c>
      <c r="AJ53" s="496">
        <f ca="1">IFERROR(__xludf.DUMMYFUNCTION("IMPORTRANGE(""https://docs.google.com/spreadsheets/d/13wPX838HrBrQMCywv1BsuMkt4PEKTChp52zj44s2izQ/edit?usp=sharing"",""กาญจนบุรี!J706"")"),0)</f>
        <v>0</v>
      </c>
      <c r="AK53" s="497">
        <f t="shared" ca="1" si="50"/>
        <v>0</v>
      </c>
      <c r="AL53" s="353">
        <f ca="1">IFERROR(__xludf.DUMMYFUNCTION("IMPORTRANGE(""https://docs.google.com/spreadsheets/d/13wPX838HrBrQMCywv1BsuMkt4PEKTChp52zj44s2izQ/edit?usp=sharing"",""กาญจนบุรี!I707"")"),50)</f>
        <v>50</v>
      </c>
      <c r="AM53" s="177">
        <f ca="1">IFERROR(__xludf.DUMMYFUNCTION("IMPORTRANGE(""https://docs.google.com/spreadsheets/d/13wPX838HrBrQMCywv1BsuMkt4PEKTChp52zj44s2izQ/edit?usp=sharing"",""กาญจนบุรี!J707"")"),0)</f>
        <v>0</v>
      </c>
      <c r="AN53" s="177">
        <f ca="1">IFERROR(__xludf.DUMMYFUNCTION("IMPORTRANGE(""https://docs.google.com/spreadsheets/d/13wPX838HrBrQMCywv1BsuMkt4PEKTChp52zj44s2izQ/edit?usp=sharing"",""กาญจนบุรี!J708"")"),0)</f>
        <v>0</v>
      </c>
      <c r="AO53" s="354">
        <f t="shared" ca="1" si="52"/>
        <v>0</v>
      </c>
      <c r="AP53" s="495">
        <f ca="1">IFERROR(__xludf.DUMMYFUNCTION("IMPORTRANGE(""https://docs.google.com/spreadsheets/d/13wPX838HrBrQMCywv1BsuMkt4PEKTChp52zj44s2izQ/edit?usp=sharing"",""กาญจนบุรี!I709"")"),6)</f>
        <v>6</v>
      </c>
      <c r="AQ53" s="496">
        <f ca="1">IFERROR(__xludf.DUMMYFUNCTION("IMPORTRANGE(""https://docs.google.com/spreadsheets/d/13wPX838HrBrQMCywv1BsuMkt4PEKTChp52zj44s2izQ/edit?usp=sharing"",""กาญจนบุรี!J709"")"),0)</f>
        <v>0</v>
      </c>
      <c r="AR53" s="496">
        <f ca="1">IFERROR(__xludf.DUMMYFUNCTION("IMPORTRANGE(""https://docs.google.com/spreadsheets/d/13wPX838HrBrQMCywv1BsuMkt4PEKTChp52zj44s2izQ/edit?usp=sharing"",""กาญจนบุรี!J710"")"),0)</f>
        <v>0</v>
      </c>
      <c r="AS53" s="497">
        <f t="shared" ca="1" si="54"/>
        <v>0</v>
      </c>
    </row>
    <row r="54" spans="1:45" ht="24.75" customHeight="1" x14ac:dyDescent="0.3">
      <c r="A54" s="89">
        <v>2</v>
      </c>
      <c r="B54" s="90" t="s">
        <v>80</v>
      </c>
      <c r="C54" s="174">
        <f t="shared" si="32"/>
        <v>0</v>
      </c>
      <c r="D54" s="175">
        <f t="shared" si="73"/>
        <v>0</v>
      </c>
      <c r="E54" s="403">
        <v>0</v>
      </c>
      <c r="F54" s="403">
        <v>0</v>
      </c>
      <c r="G54" s="403">
        <v>0</v>
      </c>
      <c r="H54" s="403">
        <v>0</v>
      </c>
      <c r="I54" s="403">
        <v>0</v>
      </c>
      <c r="J54" s="176">
        <f t="shared" si="34"/>
        <v>0</v>
      </c>
      <c r="K54" s="179">
        <f t="shared" si="35"/>
        <v>0</v>
      </c>
      <c r="L54" s="403">
        <v>0</v>
      </c>
      <c r="M54" s="87">
        <f t="shared" si="36"/>
        <v>0</v>
      </c>
      <c r="N54" s="87">
        <f t="shared" si="37"/>
        <v>0</v>
      </c>
      <c r="O54" s="403">
        <v>0</v>
      </c>
      <c r="P54" s="86">
        <f t="shared" si="38"/>
        <v>0</v>
      </c>
      <c r="Q54" s="87">
        <f t="shared" si="39"/>
        <v>0</v>
      </c>
      <c r="R54" s="87">
        <f ca="1">IFERROR(__xludf.DUMMYFUNCTION("IMPORTRANGE(""https://docs.google.com/spreadsheets/d/1ddFKvqj1W1NEiWytbGlB1zMx_ykJDVtmfEQ-6-lIUBA/edit?usp=sharing"",""จันทบุรี!Q690"")"),70120)</f>
        <v>70120</v>
      </c>
      <c r="S54" s="87">
        <f ca="1">IFERROR(__xludf.DUMMYFUNCTION("IMPORTRANGE(""https://docs.google.com/spreadsheets/d/1ddFKvqj1W1NEiWytbGlB1zMx_ykJDVtmfEQ-6-lIUBA/edit?usp=sharing"",""จันทบุรี!R690"")"),0)</f>
        <v>0</v>
      </c>
      <c r="T54" s="87">
        <f ca="1">IFERROR(__xludf.DUMMYFUNCTION("IMPORTRANGE(""https://docs.google.com/spreadsheets/d/1ddFKvqj1W1NEiWytbGlB1zMx_ykJDVtmfEQ-6-lIUBA/edit?usp=sharing"",""จันทบุรี!S690"")"),0)</f>
        <v>0</v>
      </c>
      <c r="U54" s="87">
        <f t="shared" ca="1" si="41"/>
        <v>0</v>
      </c>
      <c r="V54" s="87">
        <f t="shared" ca="1" si="42"/>
        <v>0</v>
      </c>
      <c r="W54" s="353">
        <f ca="1">IFERROR(__xludf.DUMMYFUNCTION("IMPORTRANGE(""https://docs.google.com/spreadsheets/d/1ddFKvqj1W1NEiWytbGlB1zMx_ykJDVtmfEQ-6-lIUBA/edit?usp=sharing"",""จันทบุรี!I700"")"),0)</f>
        <v>0</v>
      </c>
      <c r="X54" s="177">
        <f ca="1">IFERROR(__xludf.DUMMYFUNCTION("IMPORTRANGE(""https://docs.google.com/spreadsheets/d/1ddFKvqj1W1NEiWytbGlB1zMx_ykJDVtmfEQ-6-lIUBA/edit?usp=sharing"",""จันทบุรี!J700"")"),0)</f>
        <v>0</v>
      </c>
      <c r="Y54" s="354">
        <f t="shared" ca="1" si="44"/>
        <v>0</v>
      </c>
      <c r="Z54" s="353">
        <f ca="1">IFERROR(__xludf.DUMMYFUNCTION("IMPORTRANGE(""https://docs.google.com/spreadsheets/d/1ddFKvqj1W1NEiWytbGlB1zMx_ykJDVtmfEQ-6-lIUBA/edit?usp=sharing"",""จันทบุรี!I701"")"),13)</f>
        <v>13</v>
      </c>
      <c r="AA54" s="177">
        <f ca="1">IFERROR(__xludf.DUMMYFUNCTION("IMPORTRANGE(""https://docs.google.com/spreadsheets/d/1ddFKvqj1W1NEiWytbGlB1zMx_ykJDVtmfEQ-6-lIUBA/edit?usp=sharing"",""จันทบุรี!J701"")"),0)</f>
        <v>0</v>
      </c>
      <c r="AB54" s="177">
        <f ca="1">IFERROR(__xludf.DUMMYFUNCTION("IMPORTRANGE(""https://docs.google.com/spreadsheets/d/1ddFKvqj1W1NEiWytbGlB1zMx_ykJDVtmfEQ-6-lIUBA/edit?usp=sharing"",""จันทบุรี!J702"")"),0)</f>
        <v>0</v>
      </c>
      <c r="AC54" s="354">
        <f t="shared" ca="1" si="46"/>
        <v>0</v>
      </c>
      <c r="AD54" s="353">
        <f ca="1">IFERROR(__xludf.DUMMYFUNCTION("IMPORTRANGE(""https://docs.google.com/spreadsheets/d/1ddFKvqj1W1NEiWytbGlB1zMx_ykJDVtmfEQ-6-lIUBA/edit?usp=sharing"",""จันทบุรี!I703"")"),10)</f>
        <v>10</v>
      </c>
      <c r="AE54" s="177">
        <f ca="1">IFERROR(__xludf.DUMMYFUNCTION("IMPORTRANGE(""https://docs.google.com/spreadsheets/d/1ddFKvqj1W1NEiWytbGlB1zMx_ykJDVtmfEQ-6-lIUBA/edit?usp=sharing"",""จันทบุรี!J703"")"),0)</f>
        <v>0</v>
      </c>
      <c r="AF54" s="177">
        <f ca="1">IFERROR(__xludf.DUMMYFUNCTION("IMPORTRANGE(""https://docs.google.com/spreadsheets/d/1ddFKvqj1W1NEiWytbGlB1zMx_ykJDVtmfEQ-6-lIUBA/edit?usp=sharing"",""จันทบุรี!J704"")"),0)</f>
        <v>0</v>
      </c>
      <c r="AG54" s="354">
        <f t="shared" ca="1" si="48"/>
        <v>0</v>
      </c>
      <c r="AH54" s="495">
        <f ca="1">IFERROR(__xludf.DUMMYFUNCTION("IMPORTRANGE(""https://docs.google.com/spreadsheets/d/1ddFKvqj1W1NEiWytbGlB1zMx_ykJDVtmfEQ-6-lIUBA/edit?usp=sharing"",""จันทบุรี!I705"")"),3)</f>
        <v>3</v>
      </c>
      <c r="AI54" s="496">
        <f ca="1">IFERROR(__xludf.DUMMYFUNCTION("IMPORTRANGE(""https://docs.google.com/spreadsheets/d/1ddFKvqj1W1NEiWytbGlB1zMx_ykJDVtmfEQ-6-lIUBA/edit?usp=sharing"",""จันทบุรี!J705"")"),0)</f>
        <v>0</v>
      </c>
      <c r="AJ54" s="496">
        <f ca="1">IFERROR(__xludf.DUMMYFUNCTION("IMPORTRANGE(""https://docs.google.com/spreadsheets/d/1ddFKvqj1W1NEiWytbGlB1zMx_ykJDVtmfEQ-6-lIUBA/edit?usp=sharing"",""จันทบุรี!J706"")"),0)</f>
        <v>0</v>
      </c>
      <c r="AK54" s="497">
        <f t="shared" ca="1" si="50"/>
        <v>0</v>
      </c>
      <c r="AL54" s="353">
        <f ca="1">IFERROR(__xludf.DUMMYFUNCTION("IMPORTRANGE(""https://docs.google.com/spreadsheets/d/1ddFKvqj1W1NEiWytbGlB1zMx_ykJDVtmfEQ-6-lIUBA/edit?usp=sharing"",""จันทบุรี!I707"")"),10)</f>
        <v>10</v>
      </c>
      <c r="AM54" s="177">
        <f ca="1">IFERROR(__xludf.DUMMYFUNCTION("IMPORTRANGE(""https://docs.google.com/spreadsheets/d/1ddFKvqj1W1NEiWytbGlB1zMx_ykJDVtmfEQ-6-lIUBA/edit?usp=sharing"",""จันทบุรี!J707"")"),0)</f>
        <v>0</v>
      </c>
      <c r="AN54" s="177">
        <f ca="1">IFERROR(__xludf.DUMMYFUNCTION("IMPORTRANGE(""https://docs.google.com/spreadsheets/d/1ddFKvqj1W1NEiWytbGlB1zMx_ykJDVtmfEQ-6-lIUBA/edit?usp=sharing"",""จันทบุรี!J708"")"),0)</f>
        <v>0</v>
      </c>
      <c r="AO54" s="354">
        <f t="shared" ca="1" si="52"/>
        <v>0</v>
      </c>
      <c r="AP54" s="495">
        <f ca="1">IFERROR(__xludf.DUMMYFUNCTION("IMPORTRANGE(""https://docs.google.com/spreadsheets/d/1ddFKvqj1W1NEiWytbGlB1zMx_ykJDVtmfEQ-6-lIUBA/edit?usp=sharing"",""จันทบุรี!I709"")"),3)</f>
        <v>3</v>
      </c>
      <c r="AQ54" s="496">
        <f ca="1">IFERROR(__xludf.DUMMYFUNCTION("IMPORTRANGE(""https://docs.google.com/spreadsheets/d/1ddFKvqj1W1NEiWytbGlB1zMx_ykJDVtmfEQ-6-lIUBA/edit?usp=sharing"",""จันทบุรี!J709"")"),0)</f>
        <v>0</v>
      </c>
      <c r="AR54" s="496">
        <f ca="1">IFERROR(__xludf.DUMMYFUNCTION("IMPORTRANGE(""https://docs.google.com/spreadsheets/d/1ddFKvqj1W1NEiWytbGlB1zMx_ykJDVtmfEQ-6-lIUBA/edit?usp=sharing"",""จันทบุรี!J710"")"),0)</f>
        <v>0</v>
      </c>
      <c r="AS54" s="497">
        <f t="shared" ca="1" si="54"/>
        <v>0</v>
      </c>
    </row>
    <row r="55" spans="1:45" ht="24.75" customHeight="1" x14ac:dyDescent="0.3">
      <c r="A55" s="89">
        <v>3</v>
      </c>
      <c r="B55" s="90" t="s">
        <v>81</v>
      </c>
      <c r="C55" s="174">
        <f t="shared" si="32"/>
        <v>0</v>
      </c>
      <c r="D55" s="175">
        <f t="shared" si="73"/>
        <v>0</v>
      </c>
      <c r="E55" s="403">
        <v>0</v>
      </c>
      <c r="F55" s="403">
        <v>0</v>
      </c>
      <c r="G55" s="403">
        <v>0</v>
      </c>
      <c r="H55" s="403">
        <v>0</v>
      </c>
      <c r="I55" s="403">
        <v>0</v>
      </c>
      <c r="J55" s="176">
        <f t="shared" si="34"/>
        <v>0</v>
      </c>
      <c r="K55" s="179">
        <f t="shared" si="35"/>
        <v>0</v>
      </c>
      <c r="L55" s="403">
        <v>0</v>
      </c>
      <c r="M55" s="87">
        <f t="shared" si="36"/>
        <v>0</v>
      </c>
      <c r="N55" s="87">
        <f t="shared" si="37"/>
        <v>0</v>
      </c>
      <c r="O55" s="403">
        <v>0</v>
      </c>
      <c r="P55" s="86">
        <f t="shared" si="38"/>
        <v>0</v>
      </c>
      <c r="Q55" s="87">
        <f t="shared" si="39"/>
        <v>0</v>
      </c>
      <c r="R55" s="87">
        <f ca="1">IFERROR(__xludf.DUMMYFUNCTION("IMPORTRANGE(""https://docs.google.com/spreadsheets/d/1T1PQvRODqOBZk8BRht_U031fIS1beLA0Ub2CEytj2q0/edit?usp=sharing"",""ฉะเชิงเทรา!Q690"")"),296950)</f>
        <v>296950</v>
      </c>
      <c r="S55" s="87">
        <f ca="1">IFERROR(__xludf.DUMMYFUNCTION("IMPORTRANGE(""https://docs.google.com/spreadsheets/d/1T1PQvRODqOBZk8BRht_U031fIS1beLA0Ub2CEytj2q0/edit?usp=sharing"",""ฉะเชิงเทรา!R690"")"),0)</f>
        <v>0</v>
      </c>
      <c r="T55" s="87">
        <f ca="1">IFERROR(__xludf.DUMMYFUNCTION("IMPORTRANGE(""https://docs.google.com/spreadsheets/d/1T1PQvRODqOBZk8BRht_U031fIS1beLA0Ub2CEytj2q0/edit?usp=sharing"",""ฉะเชิงเทรา!S690"")"),9120)</f>
        <v>9120</v>
      </c>
      <c r="U55" s="87">
        <f t="shared" ca="1" si="41"/>
        <v>3.0712241118033341</v>
      </c>
      <c r="V55" s="87">
        <f t="shared" ca="1" si="42"/>
        <v>0</v>
      </c>
      <c r="W55" s="353">
        <f ca="1">IFERROR(__xludf.DUMMYFUNCTION("IMPORTRANGE(""https://docs.google.com/spreadsheets/d/1T1PQvRODqOBZk8BRht_U031fIS1beLA0Ub2CEytj2q0/edit?usp=sharing"",""ฉะเชิงเทรา!I700"")"),2)</f>
        <v>2</v>
      </c>
      <c r="X55" s="177">
        <f ca="1">IFERROR(__xludf.DUMMYFUNCTION("IMPORTRANGE(""https://docs.google.com/spreadsheets/d/1T1PQvRODqOBZk8BRht_U031fIS1beLA0Ub2CEytj2q0/edit?usp=sharing"",""ฉะเชิงเทรา!J700"")"),0)</f>
        <v>0</v>
      </c>
      <c r="Y55" s="354">
        <f t="shared" ca="1" si="44"/>
        <v>0</v>
      </c>
      <c r="Z55" s="353">
        <f ca="1">IFERROR(__xludf.DUMMYFUNCTION("IMPORTRANGE(""https://docs.google.com/spreadsheets/d/1T1PQvRODqOBZk8BRht_U031fIS1beLA0Ub2CEytj2q0/edit?usp=sharing"",""ฉะเชิงเทรา!I701"")"),155)</f>
        <v>155</v>
      </c>
      <c r="AA55" s="177">
        <f ca="1">IFERROR(__xludf.DUMMYFUNCTION("IMPORTRANGE(""https://docs.google.com/spreadsheets/d/1T1PQvRODqOBZk8BRht_U031fIS1beLA0Ub2CEytj2q0/edit?usp=sharing"",""ฉะเชิงเทรา!J701"")"),0)</f>
        <v>0</v>
      </c>
      <c r="AB55" s="177">
        <f ca="1">IFERROR(__xludf.DUMMYFUNCTION("IMPORTRANGE(""https://docs.google.com/spreadsheets/d/1T1PQvRODqOBZk8BRht_U031fIS1beLA0Ub2CEytj2q0/edit?usp=sharing"",""ฉะเชิงเทรา!J702"")"),0)</f>
        <v>0</v>
      </c>
      <c r="AC55" s="354">
        <f t="shared" ca="1" si="46"/>
        <v>0</v>
      </c>
      <c r="AD55" s="353">
        <f ca="1">IFERROR(__xludf.DUMMYFUNCTION("IMPORTRANGE(""https://docs.google.com/spreadsheets/d/1T1PQvRODqOBZk8BRht_U031fIS1beLA0Ub2CEytj2q0/edit?usp=sharing"",""ฉะเชิงเทรา!I703"")"),150)</f>
        <v>150</v>
      </c>
      <c r="AE55" s="177">
        <f ca="1">IFERROR(__xludf.DUMMYFUNCTION("IMPORTRANGE(""https://docs.google.com/spreadsheets/d/1T1PQvRODqOBZk8BRht_U031fIS1beLA0Ub2CEytj2q0/edit?usp=sharing"",""ฉะเชิงเทรา!J703"")"),0)</f>
        <v>0</v>
      </c>
      <c r="AF55" s="177">
        <f ca="1">IFERROR(__xludf.DUMMYFUNCTION("IMPORTRANGE(""https://docs.google.com/spreadsheets/d/1T1PQvRODqOBZk8BRht_U031fIS1beLA0Ub2CEytj2q0/edit?usp=sharing"",""ฉะเชิงเทรา!J704"")"),0)</f>
        <v>0</v>
      </c>
      <c r="AG55" s="354">
        <f t="shared" ca="1" si="48"/>
        <v>0</v>
      </c>
      <c r="AH55" s="495">
        <f ca="1">IFERROR(__xludf.DUMMYFUNCTION("IMPORTRANGE(""https://docs.google.com/spreadsheets/d/1T1PQvRODqOBZk8BRht_U031fIS1beLA0Ub2CEytj2q0/edit?usp=sharing"",""ฉะเชิงเทรา!I705"")"),5)</f>
        <v>5</v>
      </c>
      <c r="AI55" s="496">
        <f ca="1">IFERROR(__xludf.DUMMYFUNCTION("IMPORTRANGE(""https://docs.google.com/spreadsheets/d/1T1PQvRODqOBZk8BRht_U031fIS1beLA0Ub2CEytj2q0/edit?usp=sharing"",""ฉะเชิงเทรา!J705"")"),0)</f>
        <v>0</v>
      </c>
      <c r="AJ55" s="496">
        <f ca="1">IFERROR(__xludf.DUMMYFUNCTION("IMPORTRANGE(""https://docs.google.com/spreadsheets/d/1T1PQvRODqOBZk8BRht_U031fIS1beLA0Ub2CEytj2q0/edit?usp=sharing"",""ฉะเชิงเทรา!J706"")"),0)</f>
        <v>0</v>
      </c>
      <c r="AK55" s="497">
        <f t="shared" ca="1" si="50"/>
        <v>0</v>
      </c>
      <c r="AL55" s="353">
        <f ca="1">IFERROR(__xludf.DUMMYFUNCTION("IMPORTRANGE(""https://docs.google.com/spreadsheets/d/1T1PQvRODqOBZk8BRht_U031fIS1beLA0Ub2CEytj2q0/edit?usp=sharing"",""ฉะเชิงเทรา!I707"")"),150)</f>
        <v>150</v>
      </c>
      <c r="AM55" s="177">
        <f ca="1">IFERROR(__xludf.DUMMYFUNCTION("IMPORTRANGE(""https://docs.google.com/spreadsheets/d/1T1PQvRODqOBZk8BRht_U031fIS1beLA0Ub2CEytj2q0/edit?usp=sharing"",""ฉะเชิงเทรา!J707"")"),0)</f>
        <v>0</v>
      </c>
      <c r="AN55" s="177">
        <f ca="1">IFERROR(__xludf.DUMMYFUNCTION("IMPORTRANGE(""https://docs.google.com/spreadsheets/d/1T1PQvRODqOBZk8BRht_U031fIS1beLA0Ub2CEytj2q0/edit?usp=sharing"",""ฉะเชิงเทรา!J708"")"),0)</f>
        <v>0</v>
      </c>
      <c r="AO55" s="354">
        <f t="shared" ca="1" si="52"/>
        <v>0</v>
      </c>
      <c r="AP55" s="495">
        <f ca="1">IFERROR(__xludf.DUMMYFUNCTION("IMPORTRANGE(""https://docs.google.com/spreadsheets/d/1T1PQvRODqOBZk8BRht_U031fIS1beLA0Ub2CEytj2q0/edit?usp=sharing"",""ฉะเชิงเทรา!I709"")"),5)</f>
        <v>5</v>
      </c>
      <c r="AQ55" s="496">
        <f ca="1">IFERROR(__xludf.DUMMYFUNCTION("IMPORTRANGE(""https://docs.google.com/spreadsheets/d/1T1PQvRODqOBZk8BRht_U031fIS1beLA0Ub2CEytj2q0/edit?usp=sharing"",""ฉะเชิงเทรา!J709"")"),0)</f>
        <v>0</v>
      </c>
      <c r="AR55" s="496">
        <f ca="1">IFERROR(__xludf.DUMMYFUNCTION("IMPORTRANGE(""https://docs.google.com/spreadsheets/d/1T1PQvRODqOBZk8BRht_U031fIS1beLA0Ub2CEytj2q0/edit?usp=sharing"",""ฉะเชิงเทรา!J710"")"),0)</f>
        <v>0</v>
      </c>
      <c r="AS55" s="497">
        <f t="shared" ca="1" si="54"/>
        <v>0</v>
      </c>
    </row>
    <row r="56" spans="1:45" ht="24.75" customHeight="1" x14ac:dyDescent="0.3">
      <c r="A56" s="89">
        <v>4</v>
      </c>
      <c r="B56" s="90" t="s">
        <v>82</v>
      </c>
      <c r="C56" s="174">
        <f t="shared" si="32"/>
        <v>0</v>
      </c>
      <c r="D56" s="175">
        <f t="shared" si="73"/>
        <v>0</v>
      </c>
      <c r="E56" s="403">
        <v>0</v>
      </c>
      <c r="F56" s="403">
        <v>0</v>
      </c>
      <c r="G56" s="403">
        <v>0</v>
      </c>
      <c r="H56" s="403">
        <v>0</v>
      </c>
      <c r="I56" s="403">
        <v>0</v>
      </c>
      <c r="J56" s="176">
        <f t="shared" si="34"/>
        <v>0</v>
      </c>
      <c r="K56" s="179">
        <f t="shared" si="35"/>
        <v>0</v>
      </c>
      <c r="L56" s="403">
        <v>0</v>
      </c>
      <c r="M56" s="87">
        <f t="shared" si="36"/>
        <v>0</v>
      </c>
      <c r="N56" s="87">
        <f t="shared" si="37"/>
        <v>0</v>
      </c>
      <c r="O56" s="403">
        <v>0</v>
      </c>
      <c r="P56" s="86">
        <f t="shared" si="38"/>
        <v>0</v>
      </c>
      <c r="Q56" s="87">
        <f t="shared" si="39"/>
        <v>0</v>
      </c>
      <c r="R56" s="87">
        <f ca="1">IFERROR(__xludf.DUMMYFUNCTION("IMPORTRANGE(""https://docs.google.com/spreadsheets/d/11tr1B-Bhyr79v2bkwVh5h_fR-PStkgjlZtkrZpYurG0/edit?usp=sharing"",""ชลบุรี!Q690"")"),169770)</f>
        <v>169770</v>
      </c>
      <c r="S56" s="87">
        <f ca="1">IFERROR(__xludf.DUMMYFUNCTION("IMPORTRANGE(""https://docs.google.com/spreadsheets/d/11tr1B-Bhyr79v2bkwVh5h_fR-PStkgjlZtkrZpYurG0/edit?usp=sharing"",""ชลบุรี!R690"")"),0)</f>
        <v>0</v>
      </c>
      <c r="T56" s="87">
        <f ca="1">IFERROR(__xludf.DUMMYFUNCTION("IMPORTRANGE(""https://docs.google.com/spreadsheets/d/11tr1B-Bhyr79v2bkwVh5h_fR-PStkgjlZtkrZpYurG0/edit?usp=sharing"",""ชลบุรี!S690"")"),1000)</f>
        <v>1000</v>
      </c>
      <c r="U56" s="87">
        <f t="shared" ca="1" si="41"/>
        <v>0.58903222006243738</v>
      </c>
      <c r="V56" s="87">
        <f t="shared" ca="1" si="42"/>
        <v>0</v>
      </c>
      <c r="W56" s="353">
        <f ca="1">IFERROR(__xludf.DUMMYFUNCTION("IMPORTRANGE(""https://docs.google.com/spreadsheets/d/11tr1B-Bhyr79v2bkwVh5h_fR-PStkgjlZtkrZpYurG0/edit?usp=sharing"",""ชลบุรี!I700"")"),0)</f>
        <v>0</v>
      </c>
      <c r="X56" s="452">
        <f ca="1">IFERROR(__xludf.DUMMYFUNCTION("IMPORTRANGE(""https://docs.google.com/spreadsheets/d/11tr1B-Bhyr79v2bkwVh5h_fR-PStkgjlZtkrZpYurG0/edit?usp=sharing"",""ชลบุรี!J700"")"),0)</f>
        <v>0</v>
      </c>
      <c r="Y56" s="354">
        <f t="shared" ca="1" si="44"/>
        <v>0</v>
      </c>
      <c r="Z56" s="353">
        <f ca="1">IFERROR(__xludf.DUMMYFUNCTION("IMPORTRANGE(""https://docs.google.com/spreadsheets/d/11tr1B-Bhyr79v2bkwVh5h_fR-PStkgjlZtkrZpYurG0/edit?usp=sharing"",""ชลบุรี!I701"")"),68)</f>
        <v>68</v>
      </c>
      <c r="AA56" s="452">
        <f ca="1">IFERROR(__xludf.DUMMYFUNCTION("IMPORTRANGE(""https://docs.google.com/spreadsheets/d/11tr1B-Bhyr79v2bkwVh5h_fR-PStkgjlZtkrZpYurG0/edit?usp=sharing"",""ชลบุรี!J701"")"),0)</f>
        <v>0</v>
      </c>
      <c r="AB56" s="452">
        <f ca="1">IFERROR(__xludf.DUMMYFUNCTION("IMPORTRANGE(""https://docs.google.com/spreadsheets/d/11tr1B-Bhyr79v2bkwVh5h_fR-PStkgjlZtkrZpYurG0/edit?usp=sharing"",""ชลบุรี!J702"")"),0)</f>
        <v>0</v>
      </c>
      <c r="AC56" s="354">
        <f t="shared" ca="1" si="46"/>
        <v>0</v>
      </c>
      <c r="AD56" s="353">
        <f ca="1">IFERROR(__xludf.DUMMYFUNCTION("IMPORTRANGE(""https://docs.google.com/spreadsheets/d/11tr1B-Bhyr79v2bkwVh5h_fR-PStkgjlZtkrZpYurG0/edit?usp=sharing"",""ชลบุรี!I703"")"),65)</f>
        <v>65</v>
      </c>
      <c r="AE56" s="452">
        <f ca="1">IFERROR(__xludf.DUMMYFUNCTION("IMPORTRANGE(""https://docs.google.com/spreadsheets/d/11tr1B-Bhyr79v2bkwVh5h_fR-PStkgjlZtkrZpYurG0/edit?usp=sharing"",""ชลบุรี!J703"")"),0)</f>
        <v>0</v>
      </c>
      <c r="AF56" s="452">
        <f ca="1">IFERROR(__xludf.DUMMYFUNCTION("IMPORTRANGE(""https://docs.google.com/spreadsheets/d/11tr1B-Bhyr79v2bkwVh5h_fR-PStkgjlZtkrZpYurG0/edit?usp=sharing"",""ชลบุรี!J704"")"),0)</f>
        <v>0</v>
      </c>
      <c r="AG56" s="354">
        <f t="shared" ca="1" si="48"/>
        <v>0</v>
      </c>
      <c r="AH56" s="495">
        <f ca="1">IFERROR(__xludf.DUMMYFUNCTION("IMPORTRANGE(""https://docs.google.com/spreadsheets/d/11tr1B-Bhyr79v2bkwVh5h_fR-PStkgjlZtkrZpYurG0/edit?usp=sharing"",""ชลบุรี!I705"")"),3)</f>
        <v>3</v>
      </c>
      <c r="AI56" s="496">
        <f ca="1">IFERROR(__xludf.DUMMYFUNCTION("IMPORTRANGE(""https://docs.google.com/spreadsheets/d/11tr1B-Bhyr79v2bkwVh5h_fR-PStkgjlZtkrZpYurG0/edit?usp=sharing"",""ชลบุรี!J705"")"),0)</f>
        <v>0</v>
      </c>
      <c r="AJ56" s="496">
        <f ca="1">IFERROR(__xludf.DUMMYFUNCTION("IMPORTRANGE(""https://docs.google.com/spreadsheets/d/11tr1B-Bhyr79v2bkwVh5h_fR-PStkgjlZtkrZpYurG0/edit?usp=sharing"",""ชลบุรี!J706"")"),0)</f>
        <v>0</v>
      </c>
      <c r="AK56" s="497">
        <f t="shared" ca="1" si="50"/>
        <v>0</v>
      </c>
      <c r="AL56" s="353">
        <f ca="1">IFERROR(__xludf.DUMMYFUNCTION("IMPORTRANGE(""https://docs.google.com/spreadsheets/d/11tr1B-Bhyr79v2bkwVh5h_fR-PStkgjlZtkrZpYurG0/edit?usp=sharing"",""ชลบุรี!I707"")"),65)</f>
        <v>65</v>
      </c>
      <c r="AM56" s="452">
        <f ca="1">IFERROR(__xludf.DUMMYFUNCTION("IMPORTRANGE(""https://docs.google.com/spreadsheets/d/11tr1B-Bhyr79v2bkwVh5h_fR-PStkgjlZtkrZpYurG0/edit?usp=sharing"",""ชลบุรี!J707"")"),0)</f>
        <v>0</v>
      </c>
      <c r="AN56" s="452">
        <f ca="1">IFERROR(__xludf.DUMMYFUNCTION("IMPORTRANGE(""https://docs.google.com/spreadsheets/d/11tr1B-Bhyr79v2bkwVh5h_fR-PStkgjlZtkrZpYurG0/edit?usp=sharing"",""ชลบุรี!J708"")"),0)</f>
        <v>0</v>
      </c>
      <c r="AO56" s="354">
        <f t="shared" ca="1" si="52"/>
        <v>0</v>
      </c>
      <c r="AP56" s="495">
        <f ca="1">IFERROR(__xludf.DUMMYFUNCTION("IMPORTRANGE(""https://docs.google.com/spreadsheets/d/11tr1B-Bhyr79v2bkwVh5h_fR-PStkgjlZtkrZpYurG0/edit?usp=sharing"",""ชลบุรี!I709"")"),3)</f>
        <v>3</v>
      </c>
      <c r="AQ56" s="496">
        <f ca="1">IFERROR(__xludf.DUMMYFUNCTION("IMPORTRANGE(""https://docs.google.com/spreadsheets/d/11tr1B-Bhyr79v2bkwVh5h_fR-PStkgjlZtkrZpYurG0/edit?usp=sharing"",""ชลบุรี!J709"")"),0)</f>
        <v>0</v>
      </c>
      <c r="AR56" s="496">
        <f ca="1">IFERROR(__xludf.DUMMYFUNCTION("IMPORTRANGE(""https://docs.google.com/spreadsheets/d/11tr1B-Bhyr79v2bkwVh5h_fR-PStkgjlZtkrZpYurG0/edit?usp=sharing"",""ชลบุรี!J710"")"),0)</f>
        <v>0</v>
      </c>
      <c r="AS56" s="497">
        <f t="shared" ca="1" si="54"/>
        <v>0</v>
      </c>
    </row>
    <row r="57" spans="1:45" ht="24.75" customHeight="1" x14ac:dyDescent="0.3">
      <c r="A57" s="89">
        <v>5</v>
      </c>
      <c r="B57" s="90" t="s">
        <v>83</v>
      </c>
      <c r="C57" s="174">
        <f t="shared" si="32"/>
        <v>0</v>
      </c>
      <c r="D57" s="175">
        <f t="shared" si="73"/>
        <v>0</v>
      </c>
      <c r="E57" s="403">
        <v>0</v>
      </c>
      <c r="F57" s="403">
        <v>0</v>
      </c>
      <c r="G57" s="403">
        <v>0</v>
      </c>
      <c r="H57" s="403">
        <v>0</v>
      </c>
      <c r="I57" s="403">
        <v>0</v>
      </c>
      <c r="J57" s="176">
        <f t="shared" si="34"/>
        <v>0</v>
      </c>
      <c r="K57" s="179">
        <f t="shared" si="35"/>
        <v>0</v>
      </c>
      <c r="L57" s="403">
        <v>0</v>
      </c>
      <c r="M57" s="87">
        <f t="shared" si="36"/>
        <v>0</v>
      </c>
      <c r="N57" s="87">
        <f t="shared" si="37"/>
        <v>0</v>
      </c>
      <c r="O57" s="403">
        <v>0</v>
      </c>
      <c r="P57" s="86">
        <f t="shared" si="38"/>
        <v>0</v>
      </c>
      <c r="Q57" s="87">
        <f t="shared" si="39"/>
        <v>0</v>
      </c>
      <c r="R57" s="87">
        <f ca="1">IFERROR(__xludf.DUMMYFUNCTION("IMPORTRANGE(""https://docs.google.com/spreadsheets/d/1hh-FVnSX0vozXhGluamEcS54Dw9_zqW0N7qJUWgJ0Sw/edit?usp=sharing"",""ชัยนาท!Q690"")"),126470)</f>
        <v>126470</v>
      </c>
      <c r="S57" s="87">
        <f ca="1">IFERROR(__xludf.DUMMYFUNCTION("IMPORTRANGE(""https://docs.google.com/spreadsheets/d/1hh-FVnSX0vozXhGluamEcS54Dw9_zqW0N7qJUWgJ0Sw/edit?usp=sharing"",""ชัยนาท!R690"")"),0)</f>
        <v>0</v>
      </c>
      <c r="T57" s="87">
        <f ca="1">IFERROR(__xludf.DUMMYFUNCTION("IMPORTRANGE(""https://docs.google.com/spreadsheets/d/1hh-FVnSX0vozXhGluamEcS54Dw9_zqW0N7qJUWgJ0Sw/edit?usp=sharing"",""ชัยนาท!S690"")"),0)</f>
        <v>0</v>
      </c>
      <c r="U57" s="87">
        <f t="shared" ca="1" si="41"/>
        <v>0</v>
      </c>
      <c r="V57" s="87">
        <f t="shared" ca="1" si="42"/>
        <v>0</v>
      </c>
      <c r="W57" s="353">
        <f ca="1">IFERROR(__xludf.DUMMYFUNCTION("IMPORTRANGE(""https://docs.google.com/spreadsheets/d/1hh-FVnSX0vozXhGluamEcS54Dw9_zqW0N7qJUWgJ0Sw/edit?usp=sharing"",""ชัยนาท!I700"")"),0)</f>
        <v>0</v>
      </c>
      <c r="X57" s="177">
        <f ca="1">IFERROR(__xludf.DUMMYFUNCTION("IMPORTRANGE(""https://docs.google.com/spreadsheets/d/1hh-FVnSX0vozXhGluamEcS54Dw9_zqW0N7qJUWgJ0Sw/edit?usp=sharing"",""ชัยนาท!J700"")"),0)</f>
        <v>0</v>
      </c>
      <c r="Y57" s="354">
        <f t="shared" ca="1" si="44"/>
        <v>0</v>
      </c>
      <c r="Z57" s="353">
        <f ca="1">IFERROR(__xludf.DUMMYFUNCTION("IMPORTRANGE(""https://docs.google.com/spreadsheets/d/1hh-FVnSX0vozXhGluamEcS54Dw9_zqW0N7qJUWgJ0Sw/edit?usp=sharing"",""ชัยนาท!I701"")"),22)</f>
        <v>22</v>
      </c>
      <c r="AA57" s="177">
        <f ca="1">IFERROR(__xludf.DUMMYFUNCTION("IMPORTRANGE(""https://docs.google.com/spreadsheets/d/1hh-FVnSX0vozXhGluamEcS54Dw9_zqW0N7qJUWgJ0Sw/edit?usp=sharing"",""ชัยนาท!J701"")"),0)</f>
        <v>0</v>
      </c>
      <c r="AB57" s="177">
        <f ca="1">IFERROR(__xludf.DUMMYFUNCTION("IMPORTRANGE(""https://docs.google.com/spreadsheets/d/1hh-FVnSX0vozXhGluamEcS54Dw9_zqW0N7qJUWgJ0Sw/edit?usp=sharing"",""ชัยนาท!J702"")"),0)</f>
        <v>0</v>
      </c>
      <c r="AC57" s="354">
        <f t="shared" ca="1" si="46"/>
        <v>0</v>
      </c>
      <c r="AD57" s="353">
        <f ca="1">IFERROR(__xludf.DUMMYFUNCTION("IMPORTRANGE(""https://docs.google.com/spreadsheets/d/1hh-FVnSX0vozXhGluamEcS54Dw9_zqW0N7qJUWgJ0Sw/edit?usp=sharing"",""ชัยนาท!I703"")"),21)</f>
        <v>21</v>
      </c>
      <c r="AE57" s="177">
        <f ca="1">IFERROR(__xludf.DUMMYFUNCTION("IMPORTRANGE(""https://docs.google.com/spreadsheets/d/1hh-FVnSX0vozXhGluamEcS54Dw9_zqW0N7qJUWgJ0Sw/edit?usp=sharing"",""ชัยนาท!J703"")"),0)</f>
        <v>0</v>
      </c>
      <c r="AF57" s="177">
        <f ca="1">IFERROR(__xludf.DUMMYFUNCTION("IMPORTRANGE(""https://docs.google.com/spreadsheets/d/1hh-FVnSX0vozXhGluamEcS54Dw9_zqW0N7qJUWgJ0Sw/edit?usp=sharing"",""ชัยนาท!J704"")"),0)</f>
        <v>0</v>
      </c>
      <c r="AG57" s="354">
        <f t="shared" ca="1" si="48"/>
        <v>0</v>
      </c>
      <c r="AH57" s="495">
        <f ca="1">IFERROR(__xludf.DUMMYFUNCTION("IMPORTRANGE(""https://docs.google.com/spreadsheets/d/1hh-FVnSX0vozXhGluamEcS54Dw9_zqW0N7qJUWgJ0Sw/edit?usp=sharing"",""ชัยนาท!I705"")"),1)</f>
        <v>1</v>
      </c>
      <c r="AI57" s="496">
        <f ca="1">IFERROR(__xludf.DUMMYFUNCTION("IMPORTRANGE(""https://docs.google.com/spreadsheets/d/1hh-FVnSX0vozXhGluamEcS54Dw9_zqW0N7qJUWgJ0Sw/edit?usp=sharing"",""ชัยนาท!J705"")"),0)</f>
        <v>0</v>
      </c>
      <c r="AJ57" s="496">
        <f ca="1">IFERROR(__xludf.DUMMYFUNCTION("IMPORTRANGE(""https://docs.google.com/spreadsheets/d/1hh-FVnSX0vozXhGluamEcS54Dw9_zqW0N7qJUWgJ0Sw/edit?usp=sharing"",""ชัยนาท!J706"")"),0)</f>
        <v>0</v>
      </c>
      <c r="AK57" s="497">
        <f t="shared" ca="1" si="50"/>
        <v>0</v>
      </c>
      <c r="AL57" s="353">
        <f ca="1">IFERROR(__xludf.DUMMYFUNCTION("IMPORTRANGE(""https://docs.google.com/spreadsheets/d/1hh-FVnSX0vozXhGluamEcS54Dw9_zqW0N7qJUWgJ0Sw/edit?usp=sharing"",""ชัยนาท!I707"")"),21)</f>
        <v>21</v>
      </c>
      <c r="AM57" s="177">
        <f ca="1">IFERROR(__xludf.DUMMYFUNCTION("IMPORTRANGE(""https://docs.google.com/spreadsheets/d/1hh-FVnSX0vozXhGluamEcS54Dw9_zqW0N7qJUWgJ0Sw/edit?usp=sharing"",""ชัยนาท!J707"")"),0)</f>
        <v>0</v>
      </c>
      <c r="AN57" s="177">
        <f ca="1">IFERROR(__xludf.DUMMYFUNCTION("IMPORTRANGE(""https://docs.google.com/spreadsheets/d/1hh-FVnSX0vozXhGluamEcS54Dw9_zqW0N7qJUWgJ0Sw/edit?usp=sharing"",""ชัยนาท!J708"")"),0)</f>
        <v>0</v>
      </c>
      <c r="AO57" s="354">
        <f t="shared" ca="1" si="52"/>
        <v>0</v>
      </c>
      <c r="AP57" s="495">
        <f ca="1">IFERROR(__xludf.DUMMYFUNCTION("IMPORTRANGE(""https://docs.google.com/spreadsheets/d/1hh-FVnSX0vozXhGluamEcS54Dw9_zqW0N7qJUWgJ0Sw/edit?usp=sharing"",""ชัยนาท!I709"")"),1)</f>
        <v>1</v>
      </c>
      <c r="AQ57" s="496">
        <f ca="1">IFERROR(__xludf.DUMMYFUNCTION("IMPORTRANGE(""https://docs.google.com/spreadsheets/d/1hh-FVnSX0vozXhGluamEcS54Dw9_zqW0N7qJUWgJ0Sw/edit?usp=sharing"",""ชัยนาท!J709"")"),0)</f>
        <v>0</v>
      </c>
      <c r="AR57" s="496">
        <f ca="1">IFERROR(__xludf.DUMMYFUNCTION("IMPORTRANGE(""https://docs.google.com/spreadsheets/d/1hh-FVnSX0vozXhGluamEcS54Dw9_zqW0N7qJUWgJ0Sw/edit?usp=sharing"",""ชัยนาท!J710"")"),0)</f>
        <v>0</v>
      </c>
      <c r="AS57" s="497">
        <f t="shared" ca="1" si="54"/>
        <v>0</v>
      </c>
    </row>
    <row r="58" spans="1:45" ht="24.75" customHeight="1" x14ac:dyDescent="0.3">
      <c r="A58" s="89">
        <v>6</v>
      </c>
      <c r="B58" s="90" t="s">
        <v>84</v>
      </c>
      <c r="C58" s="174">
        <f t="shared" si="32"/>
        <v>0</v>
      </c>
      <c r="D58" s="175">
        <f t="shared" si="73"/>
        <v>0</v>
      </c>
      <c r="E58" s="403">
        <v>0</v>
      </c>
      <c r="F58" s="403">
        <v>0</v>
      </c>
      <c r="G58" s="403">
        <v>0</v>
      </c>
      <c r="H58" s="403">
        <v>0</v>
      </c>
      <c r="I58" s="403">
        <v>0</v>
      </c>
      <c r="J58" s="176">
        <f t="shared" si="34"/>
        <v>0</v>
      </c>
      <c r="K58" s="179">
        <f t="shared" si="35"/>
        <v>0</v>
      </c>
      <c r="L58" s="403">
        <v>0</v>
      </c>
      <c r="M58" s="87">
        <f t="shared" si="36"/>
        <v>0</v>
      </c>
      <c r="N58" s="87">
        <f t="shared" si="37"/>
        <v>0</v>
      </c>
      <c r="O58" s="403">
        <v>0</v>
      </c>
      <c r="P58" s="86">
        <f t="shared" si="38"/>
        <v>0</v>
      </c>
      <c r="Q58" s="87">
        <f t="shared" si="39"/>
        <v>0</v>
      </c>
      <c r="R58" s="87">
        <f ca="1">IFERROR(__xludf.DUMMYFUNCTION("IMPORTRANGE(""https://docs.google.com/spreadsheets/d/1jkqa6GXxSacMcY1eN8AHjMNJ_7dDXMJVRLDlaFSOdPM/edit?usp=sharing"",""ตราด!Q690"")"),60530)</f>
        <v>60530</v>
      </c>
      <c r="S58" s="87">
        <f ca="1">IFERROR(__xludf.DUMMYFUNCTION("IMPORTRANGE(""https://docs.google.com/spreadsheets/d/1jkqa6GXxSacMcY1eN8AHjMNJ_7dDXMJVRLDlaFSOdPM/edit?usp=sharing"",""ตราด!R690"")"),0)</f>
        <v>0</v>
      </c>
      <c r="T58" s="87">
        <f ca="1">IFERROR(__xludf.DUMMYFUNCTION("IMPORTRANGE(""https://docs.google.com/spreadsheets/d/1jkqa6GXxSacMcY1eN8AHjMNJ_7dDXMJVRLDlaFSOdPM/edit?usp=sharing"",""ตราด!S690"")"),0)</f>
        <v>0</v>
      </c>
      <c r="U58" s="87">
        <f t="shared" ca="1" si="41"/>
        <v>0</v>
      </c>
      <c r="V58" s="87">
        <f t="shared" ca="1" si="42"/>
        <v>0</v>
      </c>
      <c r="W58" s="353">
        <f ca="1">IFERROR(__xludf.DUMMYFUNCTION("IMPORTRANGE(""https://docs.google.com/spreadsheets/d/1jkqa6GXxSacMcY1eN8AHjMNJ_7dDXMJVRLDlaFSOdPM/edit?usp=sharing"",""ตราด!I700"")"),0)</f>
        <v>0</v>
      </c>
      <c r="X58" s="177">
        <f ca="1">IFERROR(__xludf.DUMMYFUNCTION("IMPORTRANGE(""https://docs.google.com/spreadsheets/d/1jkqa6GXxSacMcY1eN8AHjMNJ_7dDXMJVRLDlaFSOdPM/edit?usp=sharing"",""ตราด!J700"")"),0)</f>
        <v>0</v>
      </c>
      <c r="Y58" s="354">
        <f t="shared" ca="1" si="44"/>
        <v>0</v>
      </c>
      <c r="Z58" s="353">
        <f ca="1">IFERROR(__xludf.DUMMYFUNCTION("IMPORTRANGE(""https://docs.google.com/spreadsheets/d/1jkqa6GXxSacMcY1eN8AHjMNJ_7dDXMJVRLDlaFSOdPM/edit?usp=sharing"",""ตราด!I701"")"),4)</f>
        <v>4</v>
      </c>
      <c r="AA58" s="177">
        <f ca="1">IFERROR(__xludf.DUMMYFUNCTION("IMPORTRANGE(""https://docs.google.com/spreadsheets/d/1jkqa6GXxSacMcY1eN8AHjMNJ_7dDXMJVRLDlaFSOdPM/edit?usp=sharing"",""ตราด!J701"")"),0)</f>
        <v>0</v>
      </c>
      <c r="AB58" s="177">
        <f ca="1">IFERROR(__xludf.DUMMYFUNCTION("IMPORTRANGE(""https://docs.google.com/spreadsheets/d/1jkqa6GXxSacMcY1eN8AHjMNJ_7dDXMJVRLDlaFSOdPM/edit?usp=sharing"",""ตราด!J702"")"),0)</f>
        <v>0</v>
      </c>
      <c r="AC58" s="354">
        <f t="shared" ca="1" si="46"/>
        <v>0</v>
      </c>
      <c r="AD58" s="353">
        <f ca="1">IFERROR(__xludf.DUMMYFUNCTION("IMPORTRANGE(""https://docs.google.com/spreadsheets/d/1jkqa6GXxSacMcY1eN8AHjMNJ_7dDXMJVRLDlaFSOdPM/edit?usp=sharing"",""ตราด!I703"")"),0)</f>
        <v>0</v>
      </c>
      <c r="AE58" s="177">
        <f ca="1">IFERROR(__xludf.DUMMYFUNCTION("IMPORTRANGE(""https://docs.google.com/spreadsheets/d/1jkqa6GXxSacMcY1eN8AHjMNJ_7dDXMJVRLDlaFSOdPM/edit?usp=sharing"",""ตราด!J703"")"),0)</f>
        <v>0</v>
      </c>
      <c r="AF58" s="177">
        <f ca="1">IFERROR(__xludf.DUMMYFUNCTION("IMPORTRANGE(""https://docs.google.com/spreadsheets/d/1jkqa6GXxSacMcY1eN8AHjMNJ_7dDXMJVRLDlaFSOdPM/edit?usp=sharing"",""ตราด!J704"")"),0)</f>
        <v>0</v>
      </c>
      <c r="AG58" s="354">
        <f t="shared" ca="1" si="48"/>
        <v>0</v>
      </c>
      <c r="AH58" s="495">
        <f ca="1">IFERROR(__xludf.DUMMYFUNCTION("IMPORTRANGE(""https://docs.google.com/spreadsheets/d/1jkqa6GXxSacMcY1eN8AHjMNJ_7dDXMJVRLDlaFSOdPM/edit?usp=sharing"",""ตราด!I705"")"),4)</f>
        <v>4</v>
      </c>
      <c r="AI58" s="496">
        <f ca="1">IFERROR(__xludf.DUMMYFUNCTION("IMPORTRANGE(""https://docs.google.com/spreadsheets/d/1jkqa6GXxSacMcY1eN8AHjMNJ_7dDXMJVRLDlaFSOdPM/edit?usp=sharing"",""ตราด!J705"")"),0)</f>
        <v>0</v>
      </c>
      <c r="AJ58" s="496">
        <f ca="1">IFERROR(__xludf.DUMMYFUNCTION("IMPORTRANGE(""https://docs.google.com/spreadsheets/d/1jkqa6GXxSacMcY1eN8AHjMNJ_7dDXMJVRLDlaFSOdPM/edit?usp=sharing"",""ตราด!J706"")"),0)</f>
        <v>0</v>
      </c>
      <c r="AK58" s="497">
        <f t="shared" ca="1" si="50"/>
        <v>0</v>
      </c>
      <c r="AL58" s="353">
        <f ca="1">IFERROR(__xludf.DUMMYFUNCTION("IMPORTRANGE(""https://docs.google.com/spreadsheets/d/1jkqa6GXxSacMcY1eN8AHjMNJ_7dDXMJVRLDlaFSOdPM/edit?usp=sharing"",""ตราด!I707"")"),0)</f>
        <v>0</v>
      </c>
      <c r="AM58" s="177">
        <f ca="1">IFERROR(__xludf.DUMMYFUNCTION("IMPORTRANGE(""https://docs.google.com/spreadsheets/d/1jkqa6GXxSacMcY1eN8AHjMNJ_7dDXMJVRLDlaFSOdPM/edit?usp=sharing"",""ตราด!J707"")"),0)</f>
        <v>0</v>
      </c>
      <c r="AN58" s="177">
        <f ca="1">IFERROR(__xludf.DUMMYFUNCTION("IMPORTRANGE(""https://docs.google.com/spreadsheets/d/1jkqa6GXxSacMcY1eN8AHjMNJ_7dDXMJVRLDlaFSOdPM/edit?usp=sharing"",""ตราด!J708"")"),0)</f>
        <v>0</v>
      </c>
      <c r="AO58" s="354">
        <f t="shared" ca="1" si="52"/>
        <v>0</v>
      </c>
      <c r="AP58" s="495">
        <f ca="1">IFERROR(__xludf.DUMMYFUNCTION("IMPORTRANGE(""https://docs.google.com/spreadsheets/d/1jkqa6GXxSacMcY1eN8AHjMNJ_7dDXMJVRLDlaFSOdPM/edit?usp=sharing"",""ตราด!I709"")"),4)</f>
        <v>4</v>
      </c>
      <c r="AQ58" s="496">
        <f ca="1">IFERROR(__xludf.DUMMYFUNCTION("IMPORTRANGE(""https://docs.google.com/spreadsheets/d/1jkqa6GXxSacMcY1eN8AHjMNJ_7dDXMJVRLDlaFSOdPM/edit?usp=sharing"",""ตราด!J709"")"),0)</f>
        <v>0</v>
      </c>
      <c r="AR58" s="496">
        <f ca="1">IFERROR(__xludf.DUMMYFUNCTION("IMPORTRANGE(""https://docs.google.com/spreadsheets/d/1jkqa6GXxSacMcY1eN8AHjMNJ_7dDXMJVRLDlaFSOdPM/edit?usp=sharing"",""ตราด!J710"")"),0)</f>
        <v>0</v>
      </c>
      <c r="AS58" s="497">
        <f t="shared" ca="1" si="54"/>
        <v>0</v>
      </c>
    </row>
    <row r="59" spans="1:45" ht="24.75" customHeight="1" x14ac:dyDescent="0.3">
      <c r="A59" s="89">
        <v>7</v>
      </c>
      <c r="B59" s="90" t="s">
        <v>85</v>
      </c>
      <c r="C59" s="174">
        <f t="shared" si="32"/>
        <v>0</v>
      </c>
      <c r="D59" s="175">
        <f t="shared" si="73"/>
        <v>0</v>
      </c>
      <c r="E59" s="403">
        <v>0</v>
      </c>
      <c r="F59" s="403">
        <v>0</v>
      </c>
      <c r="G59" s="403">
        <v>0</v>
      </c>
      <c r="H59" s="403">
        <v>0</v>
      </c>
      <c r="I59" s="403">
        <v>0</v>
      </c>
      <c r="J59" s="176">
        <f t="shared" si="34"/>
        <v>0</v>
      </c>
      <c r="K59" s="179">
        <f t="shared" si="35"/>
        <v>0</v>
      </c>
      <c r="L59" s="403">
        <v>0</v>
      </c>
      <c r="M59" s="87">
        <f t="shared" si="36"/>
        <v>0</v>
      </c>
      <c r="N59" s="87">
        <f t="shared" si="37"/>
        <v>0</v>
      </c>
      <c r="O59" s="403">
        <v>0</v>
      </c>
      <c r="P59" s="86">
        <f t="shared" si="38"/>
        <v>0</v>
      </c>
      <c r="Q59" s="87">
        <f t="shared" si="39"/>
        <v>0</v>
      </c>
      <c r="R59" s="87">
        <f ca="1">IFERROR(__xludf.DUMMYFUNCTION("IMPORTRANGE(""https://docs.google.com/spreadsheets/d/18hSgUJ3VwClqi_qtULmmW3cLr0oe3OKaSYoKzdpTsYQ/edit?usp=sharing"",""นครนายก!Q690"")"),58650)</f>
        <v>58650</v>
      </c>
      <c r="S59" s="87">
        <f ca="1">IFERROR(__xludf.DUMMYFUNCTION("IMPORTRANGE(""https://docs.google.com/spreadsheets/d/18hSgUJ3VwClqi_qtULmmW3cLr0oe3OKaSYoKzdpTsYQ/edit?usp=sharing"",""นครนายก!R690"")"),0)</f>
        <v>0</v>
      </c>
      <c r="T59" s="87">
        <f ca="1">IFERROR(__xludf.DUMMYFUNCTION("IMPORTRANGE(""https://docs.google.com/spreadsheets/d/18hSgUJ3VwClqi_qtULmmW3cLr0oe3OKaSYoKzdpTsYQ/edit?usp=sharing"",""นครนายก!S690"")"),0)</f>
        <v>0</v>
      </c>
      <c r="U59" s="87">
        <f t="shared" ca="1" si="41"/>
        <v>0</v>
      </c>
      <c r="V59" s="87">
        <f t="shared" ca="1" si="42"/>
        <v>0</v>
      </c>
      <c r="W59" s="353">
        <f ca="1">IFERROR(__xludf.DUMMYFUNCTION("IMPORTRANGE(""https://docs.google.com/spreadsheets/d/18hSgUJ3VwClqi_qtULmmW3cLr0oe3OKaSYoKzdpTsYQ/edit?usp=sharing"",""นครนายก!I700"")"),0)</f>
        <v>0</v>
      </c>
      <c r="X59" s="177">
        <f ca="1">IFERROR(__xludf.DUMMYFUNCTION("IMPORTRANGE(""https://docs.google.com/spreadsheets/d/18hSgUJ3VwClqi_qtULmmW3cLr0oe3OKaSYoKzdpTsYQ/edit?usp=sharing"",""นครนายก!J700"")"),0)</f>
        <v>0</v>
      </c>
      <c r="Y59" s="354">
        <f t="shared" ca="1" si="44"/>
        <v>0</v>
      </c>
      <c r="Z59" s="353">
        <f ca="1">IFERROR(__xludf.DUMMYFUNCTION("IMPORTRANGE(""https://docs.google.com/spreadsheets/d/18hSgUJ3VwClqi_qtULmmW3cLr0oe3OKaSYoKzdpTsYQ/edit?usp=sharing"",""นครนายก!I701"")"),2)</f>
        <v>2</v>
      </c>
      <c r="AA59" s="177">
        <f ca="1">IFERROR(__xludf.DUMMYFUNCTION("IMPORTRANGE(""https://docs.google.com/spreadsheets/d/18hSgUJ3VwClqi_qtULmmW3cLr0oe3OKaSYoKzdpTsYQ/edit?usp=sharing"",""นครนายก!J701"")"),0)</f>
        <v>0</v>
      </c>
      <c r="AB59" s="177">
        <f ca="1">IFERROR(__xludf.DUMMYFUNCTION("IMPORTRANGE(""https://docs.google.com/spreadsheets/d/18hSgUJ3VwClqi_qtULmmW3cLr0oe3OKaSYoKzdpTsYQ/edit?usp=sharing"",""นครนายก!J702"")"),0)</f>
        <v>0</v>
      </c>
      <c r="AC59" s="354">
        <f t="shared" ca="1" si="46"/>
        <v>0</v>
      </c>
      <c r="AD59" s="353">
        <f ca="1">IFERROR(__xludf.DUMMYFUNCTION("IMPORTRANGE(""https://docs.google.com/spreadsheets/d/18hSgUJ3VwClqi_qtULmmW3cLr0oe3OKaSYoKzdpTsYQ/edit?usp=sharing"",""นครนายก!I703"")"),0)</f>
        <v>0</v>
      </c>
      <c r="AE59" s="177">
        <f ca="1">IFERROR(__xludf.DUMMYFUNCTION("IMPORTRANGE(""https://docs.google.com/spreadsheets/d/18hSgUJ3VwClqi_qtULmmW3cLr0oe3OKaSYoKzdpTsYQ/edit?usp=sharing"",""นครนายก!J703"")"),0)</f>
        <v>0</v>
      </c>
      <c r="AF59" s="177">
        <f ca="1">IFERROR(__xludf.DUMMYFUNCTION("IMPORTRANGE(""https://docs.google.com/spreadsheets/d/18hSgUJ3VwClqi_qtULmmW3cLr0oe3OKaSYoKzdpTsYQ/edit?usp=sharing"",""นครนายก!J704"")"),0)</f>
        <v>0</v>
      </c>
      <c r="AG59" s="354">
        <f t="shared" ca="1" si="48"/>
        <v>0</v>
      </c>
      <c r="AH59" s="495">
        <f ca="1">IFERROR(__xludf.DUMMYFUNCTION("IMPORTRANGE(""https://docs.google.com/spreadsheets/d/18hSgUJ3VwClqi_qtULmmW3cLr0oe3OKaSYoKzdpTsYQ/edit?usp=sharing"",""นครนายก!I705"")"),2)</f>
        <v>2</v>
      </c>
      <c r="AI59" s="496">
        <f ca="1">IFERROR(__xludf.DUMMYFUNCTION("IMPORTRANGE(""https://docs.google.com/spreadsheets/d/18hSgUJ3VwClqi_qtULmmW3cLr0oe3OKaSYoKzdpTsYQ/edit?usp=sharing"",""นครนายก!J705"")"),0)</f>
        <v>0</v>
      </c>
      <c r="AJ59" s="496">
        <f ca="1">IFERROR(__xludf.DUMMYFUNCTION("IMPORTRANGE(""https://docs.google.com/spreadsheets/d/18hSgUJ3VwClqi_qtULmmW3cLr0oe3OKaSYoKzdpTsYQ/edit?usp=sharing"",""นครนายก!J706"")"),0)</f>
        <v>0</v>
      </c>
      <c r="AK59" s="497">
        <f t="shared" ca="1" si="50"/>
        <v>0</v>
      </c>
      <c r="AL59" s="353">
        <f ca="1">IFERROR(__xludf.DUMMYFUNCTION("IMPORTRANGE(""https://docs.google.com/spreadsheets/d/18hSgUJ3VwClqi_qtULmmW3cLr0oe3OKaSYoKzdpTsYQ/edit?usp=sharing"",""นครนายก!I707"")"),0)</f>
        <v>0</v>
      </c>
      <c r="AM59" s="177">
        <f ca="1">IFERROR(__xludf.DUMMYFUNCTION("IMPORTRANGE(""https://docs.google.com/spreadsheets/d/18hSgUJ3VwClqi_qtULmmW3cLr0oe3OKaSYoKzdpTsYQ/edit?usp=sharing"",""นครนายก!J707"")"),0)</f>
        <v>0</v>
      </c>
      <c r="AN59" s="177">
        <f ca="1">IFERROR(__xludf.DUMMYFUNCTION("IMPORTRANGE(""https://docs.google.com/spreadsheets/d/18hSgUJ3VwClqi_qtULmmW3cLr0oe3OKaSYoKzdpTsYQ/edit?usp=sharing"",""นครนายก!J708"")"),0)</f>
        <v>0</v>
      </c>
      <c r="AO59" s="354">
        <f t="shared" ca="1" si="52"/>
        <v>0</v>
      </c>
      <c r="AP59" s="495">
        <f ca="1">IFERROR(__xludf.DUMMYFUNCTION("IMPORTRANGE(""https://docs.google.com/spreadsheets/d/18hSgUJ3VwClqi_qtULmmW3cLr0oe3OKaSYoKzdpTsYQ/edit?usp=sharing"",""นครนายก!I709"")"),2)</f>
        <v>2</v>
      </c>
      <c r="AQ59" s="496">
        <f ca="1">IFERROR(__xludf.DUMMYFUNCTION("IMPORTRANGE(""https://docs.google.com/spreadsheets/d/18hSgUJ3VwClqi_qtULmmW3cLr0oe3OKaSYoKzdpTsYQ/edit?usp=sharing"",""นครนายก!J709"")"),0)</f>
        <v>0</v>
      </c>
      <c r="AR59" s="496">
        <f ca="1">IFERROR(__xludf.DUMMYFUNCTION("IMPORTRANGE(""https://docs.google.com/spreadsheets/d/18hSgUJ3VwClqi_qtULmmW3cLr0oe3OKaSYoKzdpTsYQ/edit?usp=sharing"",""นครนายก!J710"")"),0)</f>
        <v>0</v>
      </c>
      <c r="AS59" s="497">
        <f t="shared" ca="1" si="54"/>
        <v>0</v>
      </c>
    </row>
    <row r="60" spans="1:45" ht="24.75" customHeight="1" x14ac:dyDescent="0.3">
      <c r="A60" s="89">
        <v>8</v>
      </c>
      <c r="B60" s="90" t="s">
        <v>86</v>
      </c>
      <c r="C60" s="174">
        <f t="shared" si="32"/>
        <v>0</v>
      </c>
      <c r="D60" s="175">
        <f t="shared" si="73"/>
        <v>0</v>
      </c>
      <c r="E60" s="403">
        <v>0</v>
      </c>
      <c r="F60" s="403">
        <v>0</v>
      </c>
      <c r="G60" s="403">
        <v>0</v>
      </c>
      <c r="H60" s="403">
        <v>0</v>
      </c>
      <c r="I60" s="403">
        <v>0</v>
      </c>
      <c r="J60" s="176">
        <f t="shared" si="34"/>
        <v>0</v>
      </c>
      <c r="K60" s="179">
        <f t="shared" si="35"/>
        <v>0</v>
      </c>
      <c r="L60" s="403">
        <v>0</v>
      </c>
      <c r="M60" s="87">
        <f t="shared" si="36"/>
        <v>0</v>
      </c>
      <c r="N60" s="87">
        <f t="shared" si="37"/>
        <v>0</v>
      </c>
      <c r="O60" s="403">
        <v>0</v>
      </c>
      <c r="P60" s="86">
        <f t="shared" si="38"/>
        <v>0</v>
      </c>
      <c r="Q60" s="87">
        <f t="shared" si="39"/>
        <v>0</v>
      </c>
      <c r="R60" s="87">
        <f ca="1">IFERROR(__xludf.DUMMYFUNCTION("IMPORTRANGE(""https://docs.google.com/spreadsheets/d/1YTZo6WM2dQ6Ix6FSdnL5P7uVnVKu40sxZu975tgG10E/edit?usp=sharing"",""นครปฐม!Q690"")"),0)</f>
        <v>0</v>
      </c>
      <c r="S60" s="87">
        <f ca="1">IFERROR(__xludf.DUMMYFUNCTION("IMPORTRANGE(""https://docs.google.com/spreadsheets/d/1YTZo6WM2dQ6Ix6FSdnL5P7uVnVKu40sxZu975tgG10E/edit?usp=sharing"",""นครปฐม!R690"")"),0)</f>
        <v>0</v>
      </c>
      <c r="T60" s="87">
        <f ca="1">IFERROR(__xludf.DUMMYFUNCTION("IMPORTRANGE(""https://docs.google.com/spreadsheets/d/1YTZo6WM2dQ6Ix6FSdnL5P7uVnVKu40sxZu975tgG10E/edit?usp=sharing"",""นครปฐม!S690"")"),0)</f>
        <v>0</v>
      </c>
      <c r="U60" s="87">
        <f t="shared" ca="1" si="41"/>
        <v>0</v>
      </c>
      <c r="V60" s="87">
        <f t="shared" ca="1" si="42"/>
        <v>0</v>
      </c>
      <c r="W60" s="353">
        <f ca="1">IFERROR(__xludf.DUMMYFUNCTION("IMPORTRANGE(""https://docs.google.com/spreadsheets/d/1YTZo6WM2dQ6Ix6FSdnL5P7uVnVKu40sxZu975tgG10E/edit?usp=sharing"",""นครปฐม!I700"")"),0)</f>
        <v>0</v>
      </c>
      <c r="X60" s="177">
        <f ca="1">IFERROR(__xludf.DUMMYFUNCTION("IMPORTRANGE(""https://docs.google.com/spreadsheets/d/1YTZo6WM2dQ6Ix6FSdnL5P7uVnVKu40sxZu975tgG10E/edit?usp=sharing"",""นครปฐม!J700"")"),0)</f>
        <v>0</v>
      </c>
      <c r="Y60" s="354">
        <f t="shared" ca="1" si="44"/>
        <v>0</v>
      </c>
      <c r="Z60" s="353">
        <f ca="1">IFERROR(__xludf.DUMMYFUNCTION("IMPORTRANGE(""https://docs.google.com/spreadsheets/d/1YTZo6WM2dQ6Ix6FSdnL5P7uVnVKu40sxZu975tgG10E/edit?usp=sharing"",""นครปฐม!I701"")"),0)</f>
        <v>0</v>
      </c>
      <c r="AA60" s="177">
        <f ca="1">IFERROR(__xludf.DUMMYFUNCTION("IMPORTRANGE(""https://docs.google.com/spreadsheets/d/1YTZo6WM2dQ6Ix6FSdnL5P7uVnVKu40sxZu975tgG10E/edit?usp=sharing"",""นครปฐม!J701"")"),0)</f>
        <v>0</v>
      </c>
      <c r="AB60" s="177">
        <f ca="1">IFERROR(__xludf.DUMMYFUNCTION("IMPORTRANGE(""https://docs.google.com/spreadsheets/d/1YTZo6WM2dQ6Ix6FSdnL5P7uVnVKu40sxZu975tgG10E/edit?usp=sharing"",""นครปฐม!J702"")"),0)</f>
        <v>0</v>
      </c>
      <c r="AC60" s="354">
        <f t="shared" ca="1" si="46"/>
        <v>0</v>
      </c>
      <c r="AD60" s="353">
        <f ca="1">IFERROR(__xludf.DUMMYFUNCTION("IMPORTRANGE(""https://docs.google.com/spreadsheets/d/1YTZo6WM2dQ6Ix6FSdnL5P7uVnVKu40sxZu975tgG10E/edit?usp=sharing"",""นครปฐม!I703"")"),0)</f>
        <v>0</v>
      </c>
      <c r="AE60" s="177">
        <f ca="1">IFERROR(__xludf.DUMMYFUNCTION("IMPORTRANGE(""https://docs.google.com/spreadsheets/d/1YTZo6WM2dQ6Ix6FSdnL5P7uVnVKu40sxZu975tgG10E/edit?usp=sharing"",""นครปฐม!J703"")"),0)</f>
        <v>0</v>
      </c>
      <c r="AF60" s="177">
        <f ca="1">IFERROR(__xludf.DUMMYFUNCTION("IMPORTRANGE(""https://docs.google.com/spreadsheets/d/1YTZo6WM2dQ6Ix6FSdnL5P7uVnVKu40sxZu975tgG10E/edit?usp=sharing"",""นครปฐม!J704"")"),0)</f>
        <v>0</v>
      </c>
      <c r="AG60" s="354">
        <f t="shared" ca="1" si="48"/>
        <v>0</v>
      </c>
      <c r="AH60" s="495">
        <f ca="1">IFERROR(__xludf.DUMMYFUNCTION("IMPORTRANGE(""https://docs.google.com/spreadsheets/d/1YTZo6WM2dQ6Ix6FSdnL5P7uVnVKu40sxZu975tgG10E/edit?usp=sharing"",""นครปฐม!I705"")"),0)</f>
        <v>0</v>
      </c>
      <c r="AI60" s="496">
        <f ca="1">IFERROR(__xludf.DUMMYFUNCTION("IMPORTRANGE(""https://docs.google.com/spreadsheets/d/1YTZo6WM2dQ6Ix6FSdnL5P7uVnVKu40sxZu975tgG10E/edit?usp=sharing"",""นครปฐม!J705"")"),0)</f>
        <v>0</v>
      </c>
      <c r="AJ60" s="496">
        <f ca="1">IFERROR(__xludf.DUMMYFUNCTION("IMPORTRANGE(""https://docs.google.com/spreadsheets/d/1YTZo6WM2dQ6Ix6FSdnL5P7uVnVKu40sxZu975tgG10E/edit?usp=sharing"",""นครปฐม!J706"")"),0)</f>
        <v>0</v>
      </c>
      <c r="AK60" s="497">
        <f t="shared" ca="1" si="50"/>
        <v>0</v>
      </c>
      <c r="AL60" s="353">
        <f ca="1">IFERROR(__xludf.DUMMYFUNCTION("IMPORTRANGE(""https://docs.google.com/spreadsheets/d/1YTZo6WM2dQ6Ix6FSdnL5P7uVnVKu40sxZu975tgG10E/edit?usp=sharing"",""นครปฐม!I707"")"),0)</f>
        <v>0</v>
      </c>
      <c r="AM60" s="177">
        <f ca="1">IFERROR(__xludf.DUMMYFUNCTION("IMPORTRANGE(""https://docs.google.com/spreadsheets/d/1YTZo6WM2dQ6Ix6FSdnL5P7uVnVKu40sxZu975tgG10E/edit?usp=sharing"",""นครปฐม!J707"")"),0)</f>
        <v>0</v>
      </c>
      <c r="AN60" s="177">
        <f ca="1">IFERROR(__xludf.DUMMYFUNCTION("IMPORTRANGE(""https://docs.google.com/spreadsheets/d/1YTZo6WM2dQ6Ix6FSdnL5P7uVnVKu40sxZu975tgG10E/edit?usp=sharing"",""นครปฐม!J708"")"),0)</f>
        <v>0</v>
      </c>
      <c r="AO60" s="354">
        <f t="shared" ca="1" si="52"/>
        <v>0</v>
      </c>
      <c r="AP60" s="495">
        <f ca="1">IFERROR(__xludf.DUMMYFUNCTION("IMPORTRANGE(""https://docs.google.com/spreadsheets/d/1YTZo6WM2dQ6Ix6FSdnL5P7uVnVKu40sxZu975tgG10E/edit?usp=sharing"",""นครปฐม!I709"")"),0)</f>
        <v>0</v>
      </c>
      <c r="AQ60" s="496">
        <f ca="1">IFERROR(__xludf.DUMMYFUNCTION("IMPORTRANGE(""https://docs.google.com/spreadsheets/d/1YTZo6WM2dQ6Ix6FSdnL5P7uVnVKu40sxZu975tgG10E/edit?usp=sharing"",""นครปฐม!J709"")"),0)</f>
        <v>0</v>
      </c>
      <c r="AR60" s="496">
        <f ca="1">IFERROR(__xludf.DUMMYFUNCTION("IMPORTRANGE(""https://docs.google.com/spreadsheets/d/1YTZo6WM2dQ6Ix6FSdnL5P7uVnVKu40sxZu975tgG10E/edit?usp=sharing"",""นครปฐม!J710"")"),0)</f>
        <v>0</v>
      </c>
      <c r="AS60" s="497">
        <f t="shared" ca="1" si="54"/>
        <v>0</v>
      </c>
    </row>
    <row r="61" spans="1:45" ht="24.75" customHeight="1" x14ac:dyDescent="0.3">
      <c r="A61" s="89">
        <v>9</v>
      </c>
      <c r="B61" s="90" t="s">
        <v>87</v>
      </c>
      <c r="C61" s="174">
        <f t="shared" si="32"/>
        <v>0</v>
      </c>
      <c r="D61" s="175">
        <f t="shared" si="73"/>
        <v>0</v>
      </c>
      <c r="E61" s="403">
        <v>0</v>
      </c>
      <c r="F61" s="403">
        <v>0</v>
      </c>
      <c r="G61" s="403">
        <v>0</v>
      </c>
      <c r="H61" s="403">
        <v>0</v>
      </c>
      <c r="I61" s="403">
        <v>0</v>
      </c>
      <c r="J61" s="176">
        <f t="shared" si="34"/>
        <v>0</v>
      </c>
      <c r="K61" s="179">
        <f t="shared" si="35"/>
        <v>0</v>
      </c>
      <c r="L61" s="403">
        <v>0</v>
      </c>
      <c r="M61" s="87">
        <f t="shared" si="36"/>
        <v>0</v>
      </c>
      <c r="N61" s="87">
        <f t="shared" si="37"/>
        <v>0</v>
      </c>
      <c r="O61" s="403">
        <v>0</v>
      </c>
      <c r="P61" s="86">
        <f t="shared" si="38"/>
        <v>0</v>
      </c>
      <c r="Q61" s="87">
        <f t="shared" si="39"/>
        <v>0</v>
      </c>
      <c r="R61" s="87">
        <f ca="1">IFERROR(__xludf.DUMMYFUNCTION("IMPORTRANGE(""https://docs.google.com/spreadsheets/d/1OYoGg4WDg5RIzwGeB10padOxJF9E_Vljuvvct_M7RDo/edit?usp=sharing"",""ปทุมธานี!Q690"")"),59590)</f>
        <v>59590</v>
      </c>
      <c r="S61" s="87">
        <f ca="1">IFERROR(__xludf.DUMMYFUNCTION("IMPORTRANGE(""https://docs.google.com/spreadsheets/d/1OYoGg4WDg5RIzwGeB10padOxJF9E_Vljuvvct_M7RDo/edit?usp=sharing"",""ปทุมธานี!R690"")"),0)</f>
        <v>0</v>
      </c>
      <c r="T61" s="87">
        <f ca="1">IFERROR(__xludf.DUMMYFUNCTION("IMPORTRANGE(""https://docs.google.com/spreadsheets/d/1OYoGg4WDg5RIzwGeB10padOxJF9E_Vljuvvct_M7RDo/edit?usp=sharing"",""ปทุมธานี!S690"")"),0)</f>
        <v>0</v>
      </c>
      <c r="U61" s="87">
        <f t="shared" ca="1" si="41"/>
        <v>0</v>
      </c>
      <c r="V61" s="87">
        <f t="shared" ca="1" si="42"/>
        <v>0</v>
      </c>
      <c r="W61" s="353">
        <f ca="1">IFERROR(__xludf.DUMMYFUNCTION("IMPORTRANGE(""https://docs.google.com/spreadsheets/d/1OYoGg4WDg5RIzwGeB10padOxJF9E_Vljuvvct_M7RDo/edit?usp=sharing"",""ปทุมธานี!I700"")"),0)</f>
        <v>0</v>
      </c>
      <c r="X61" s="177">
        <f ca="1">IFERROR(__xludf.DUMMYFUNCTION("IMPORTRANGE(""https://docs.google.com/spreadsheets/d/1OYoGg4WDg5RIzwGeB10padOxJF9E_Vljuvvct_M7RDo/edit?usp=sharing"",""ปทุมธานี!J700"")"),0)</f>
        <v>0</v>
      </c>
      <c r="Y61" s="354">
        <f t="shared" ca="1" si="44"/>
        <v>0</v>
      </c>
      <c r="Z61" s="353">
        <f ca="1">IFERROR(__xludf.DUMMYFUNCTION("IMPORTRANGE(""https://docs.google.com/spreadsheets/d/1OYoGg4WDg5RIzwGeB10padOxJF9E_Vljuvvct_M7RDo/edit?usp=sharing"",""ปทุมธานี!I701"")"),3)</f>
        <v>3</v>
      </c>
      <c r="AA61" s="177">
        <f ca="1">IFERROR(__xludf.DUMMYFUNCTION("IMPORTRANGE(""https://docs.google.com/spreadsheets/d/1OYoGg4WDg5RIzwGeB10padOxJF9E_Vljuvvct_M7RDo/edit?usp=sharing"",""ปทุมธานี!J701"")"),0)</f>
        <v>0</v>
      </c>
      <c r="AB61" s="177">
        <f ca="1">IFERROR(__xludf.DUMMYFUNCTION("IMPORTRANGE(""https://docs.google.com/spreadsheets/d/1OYoGg4WDg5RIzwGeB10padOxJF9E_Vljuvvct_M7RDo/edit?usp=sharing"",""ปทุมธานี!J702"")"),0)</f>
        <v>0</v>
      </c>
      <c r="AC61" s="354">
        <f t="shared" ca="1" si="46"/>
        <v>0</v>
      </c>
      <c r="AD61" s="353">
        <f ca="1">IFERROR(__xludf.DUMMYFUNCTION("IMPORTRANGE(""https://docs.google.com/spreadsheets/d/1OYoGg4WDg5RIzwGeB10padOxJF9E_Vljuvvct_M7RDo/edit?usp=sharing"",""ปทุมธานี!I703"")"),0)</f>
        <v>0</v>
      </c>
      <c r="AE61" s="177">
        <f ca="1">IFERROR(__xludf.DUMMYFUNCTION("IMPORTRANGE(""https://docs.google.com/spreadsheets/d/1OYoGg4WDg5RIzwGeB10padOxJF9E_Vljuvvct_M7RDo/edit?usp=sharing"",""ปทุมธานี!J703"")"),0)</f>
        <v>0</v>
      </c>
      <c r="AF61" s="177">
        <f ca="1">IFERROR(__xludf.DUMMYFUNCTION("IMPORTRANGE(""https://docs.google.com/spreadsheets/d/1OYoGg4WDg5RIzwGeB10padOxJF9E_Vljuvvct_M7RDo/edit?usp=sharing"",""ปทุมธานี!J704"")"),0)</f>
        <v>0</v>
      </c>
      <c r="AG61" s="354">
        <f t="shared" ca="1" si="48"/>
        <v>0</v>
      </c>
      <c r="AH61" s="495">
        <f ca="1">IFERROR(__xludf.DUMMYFUNCTION("IMPORTRANGE(""https://docs.google.com/spreadsheets/d/1OYoGg4WDg5RIzwGeB10padOxJF9E_Vljuvvct_M7RDo/edit?usp=sharing"",""ปทุมธานี!I705"")"),3)</f>
        <v>3</v>
      </c>
      <c r="AI61" s="496">
        <f ca="1">IFERROR(__xludf.DUMMYFUNCTION("IMPORTRANGE(""https://docs.google.com/spreadsheets/d/1OYoGg4WDg5RIzwGeB10padOxJF9E_Vljuvvct_M7RDo/edit?usp=sharing"",""ปทุมธานี!J705"")"),0)</f>
        <v>0</v>
      </c>
      <c r="AJ61" s="496">
        <f ca="1">IFERROR(__xludf.DUMMYFUNCTION("IMPORTRANGE(""https://docs.google.com/spreadsheets/d/1OYoGg4WDg5RIzwGeB10padOxJF9E_Vljuvvct_M7RDo/edit?usp=sharing"",""ปทุมธานี!J706"")"),0)</f>
        <v>0</v>
      </c>
      <c r="AK61" s="497">
        <f t="shared" ca="1" si="50"/>
        <v>0</v>
      </c>
      <c r="AL61" s="353">
        <f ca="1">IFERROR(__xludf.DUMMYFUNCTION("IMPORTRANGE(""https://docs.google.com/spreadsheets/d/1OYoGg4WDg5RIzwGeB10padOxJF9E_Vljuvvct_M7RDo/edit?usp=sharing"",""ปทุมธานี!I707"")"),0)</f>
        <v>0</v>
      </c>
      <c r="AM61" s="177">
        <f ca="1">IFERROR(__xludf.DUMMYFUNCTION("IMPORTRANGE(""https://docs.google.com/spreadsheets/d/1OYoGg4WDg5RIzwGeB10padOxJF9E_Vljuvvct_M7RDo/edit?usp=sharing"",""ปทุมธานี!J707"")"),0)</f>
        <v>0</v>
      </c>
      <c r="AN61" s="177">
        <f ca="1">IFERROR(__xludf.DUMMYFUNCTION("IMPORTRANGE(""https://docs.google.com/spreadsheets/d/1OYoGg4WDg5RIzwGeB10padOxJF9E_Vljuvvct_M7RDo/edit?usp=sharing"",""ปทุมธานี!J708"")"),0)</f>
        <v>0</v>
      </c>
      <c r="AO61" s="354">
        <f t="shared" ca="1" si="52"/>
        <v>0</v>
      </c>
      <c r="AP61" s="495">
        <f ca="1">IFERROR(__xludf.DUMMYFUNCTION("IMPORTRANGE(""https://docs.google.com/spreadsheets/d/1OYoGg4WDg5RIzwGeB10padOxJF9E_Vljuvvct_M7RDo/edit?usp=sharing"",""ปทุมธานี!I709"")"),3)</f>
        <v>3</v>
      </c>
      <c r="AQ61" s="496">
        <f ca="1">IFERROR(__xludf.DUMMYFUNCTION("IMPORTRANGE(""https://docs.google.com/spreadsheets/d/1OYoGg4WDg5RIzwGeB10padOxJF9E_Vljuvvct_M7RDo/edit?usp=sharing"",""ปทุมธานี!J709"")"),0)</f>
        <v>0</v>
      </c>
      <c r="AR61" s="496">
        <f ca="1">IFERROR(__xludf.DUMMYFUNCTION("IMPORTRANGE(""https://docs.google.com/spreadsheets/d/1OYoGg4WDg5RIzwGeB10padOxJF9E_Vljuvvct_M7RDo/edit?usp=sharing"",""ปทุมธานี!J710"")"),0)</f>
        <v>0</v>
      </c>
      <c r="AS61" s="497">
        <f t="shared" ca="1" si="54"/>
        <v>0</v>
      </c>
    </row>
    <row r="62" spans="1:45" ht="24.75" customHeight="1" x14ac:dyDescent="0.3">
      <c r="A62" s="89">
        <v>10</v>
      </c>
      <c r="B62" s="90" t="s">
        <v>88</v>
      </c>
      <c r="C62" s="174">
        <f t="shared" si="32"/>
        <v>0</v>
      </c>
      <c r="D62" s="175">
        <f t="shared" si="73"/>
        <v>0</v>
      </c>
      <c r="E62" s="403">
        <v>0</v>
      </c>
      <c r="F62" s="403">
        <v>0</v>
      </c>
      <c r="G62" s="403">
        <v>0</v>
      </c>
      <c r="H62" s="403">
        <v>0</v>
      </c>
      <c r="I62" s="403">
        <v>0</v>
      </c>
      <c r="J62" s="176">
        <f t="shared" si="34"/>
        <v>0</v>
      </c>
      <c r="K62" s="179">
        <f t="shared" si="35"/>
        <v>0</v>
      </c>
      <c r="L62" s="403">
        <v>0</v>
      </c>
      <c r="M62" s="87">
        <f t="shared" si="36"/>
        <v>0</v>
      </c>
      <c r="N62" s="87">
        <f t="shared" si="37"/>
        <v>0</v>
      </c>
      <c r="O62" s="403">
        <v>0</v>
      </c>
      <c r="P62" s="86">
        <f t="shared" si="38"/>
        <v>0</v>
      </c>
      <c r="Q62" s="87">
        <f t="shared" si="39"/>
        <v>0</v>
      </c>
      <c r="R62" s="87">
        <f ca="1">IFERROR(__xludf.DUMMYFUNCTION("IMPORTRANGE(""https://docs.google.com/spreadsheets/d/1GbCIE4D4wk9FUozzqk7SxfDMxDVBwVmI5zcaVUSzKAc/edit?usp=sharing"",""ประจวบคีรีขันธ์!Q690"")"),132160)</f>
        <v>132160</v>
      </c>
      <c r="S62" s="87">
        <f ca="1">IFERROR(__xludf.DUMMYFUNCTION("IMPORTRANGE(""https://docs.google.com/spreadsheets/d/1GbCIE4D4wk9FUozzqk7SxfDMxDVBwVmI5zcaVUSzKAc/edit?usp=sharing"",""ประจวบคีรีขันธ์!R690"")"),0)</f>
        <v>0</v>
      </c>
      <c r="T62" s="87">
        <f ca="1">IFERROR(__xludf.DUMMYFUNCTION("IMPORTRANGE(""https://docs.google.com/spreadsheets/d/1GbCIE4D4wk9FUozzqk7SxfDMxDVBwVmI5zcaVUSzKAc/edit?usp=sharing"",""ประจวบคีรีขันธ์!S690"")"),0)</f>
        <v>0</v>
      </c>
      <c r="U62" s="87">
        <f t="shared" ca="1" si="41"/>
        <v>0</v>
      </c>
      <c r="V62" s="87">
        <f t="shared" ca="1" si="42"/>
        <v>0</v>
      </c>
      <c r="W62" s="353">
        <f ca="1">IFERROR(__xludf.DUMMYFUNCTION("IMPORTRANGE(""https://docs.google.com/spreadsheets/d/1GbCIE4D4wk9FUozzqk7SxfDMxDVBwVmI5zcaVUSzKAc/edit?usp=sharing"",""ประจวบคีรีขันธ์!I700"")"),0)</f>
        <v>0</v>
      </c>
      <c r="X62" s="177">
        <f ca="1">IFERROR(__xludf.DUMMYFUNCTION("IMPORTRANGE(""https://docs.google.com/spreadsheets/d/1GbCIE4D4wk9FUozzqk7SxfDMxDVBwVmI5zcaVUSzKAc/edit?usp=sharing"",""ประจวบคีรีขันธ์!J700"")"),0)</f>
        <v>0</v>
      </c>
      <c r="Y62" s="354">
        <f t="shared" ca="1" si="44"/>
        <v>0</v>
      </c>
      <c r="Z62" s="353">
        <f ca="1">IFERROR(__xludf.DUMMYFUNCTION("IMPORTRANGE(""https://docs.google.com/spreadsheets/d/1GbCIE4D4wk9FUozzqk7SxfDMxDVBwVmI5zcaVUSzKAc/edit?usp=sharing"",""ประจวบคีรีขันธ์!I701"")"),21)</f>
        <v>21</v>
      </c>
      <c r="AA62" s="177">
        <f ca="1">IFERROR(__xludf.DUMMYFUNCTION("IMPORTRANGE(""https://docs.google.com/spreadsheets/d/1GbCIE4D4wk9FUozzqk7SxfDMxDVBwVmI5zcaVUSzKAc/edit?usp=sharing"",""ประจวบคีรีขันธ์!J701"")"),0)</f>
        <v>0</v>
      </c>
      <c r="AB62" s="177">
        <f ca="1">IFERROR(__xludf.DUMMYFUNCTION("IMPORTRANGE(""https://docs.google.com/spreadsheets/d/1GbCIE4D4wk9FUozzqk7SxfDMxDVBwVmI5zcaVUSzKAc/edit?usp=sharing"",""ประจวบคีรีขันธ์!J702"")"),0)</f>
        <v>0</v>
      </c>
      <c r="AC62" s="354">
        <f t="shared" ca="1" si="46"/>
        <v>0</v>
      </c>
      <c r="AD62" s="353">
        <f ca="1">IFERROR(__xludf.DUMMYFUNCTION("IMPORTRANGE(""https://docs.google.com/spreadsheets/d/1GbCIE4D4wk9FUozzqk7SxfDMxDVBwVmI5zcaVUSzKAc/edit?usp=sharing"",""ประจวบคีรีขันธ์!I703"")"),20)</f>
        <v>20</v>
      </c>
      <c r="AE62" s="177">
        <f ca="1">IFERROR(__xludf.DUMMYFUNCTION("IMPORTRANGE(""https://docs.google.com/spreadsheets/d/1GbCIE4D4wk9FUozzqk7SxfDMxDVBwVmI5zcaVUSzKAc/edit?usp=sharing"",""ประจวบคีรีขันธ์!J703"")"),0)</f>
        <v>0</v>
      </c>
      <c r="AF62" s="177">
        <f ca="1">IFERROR(__xludf.DUMMYFUNCTION("IMPORTRANGE(""https://docs.google.com/spreadsheets/d/1GbCIE4D4wk9FUozzqk7SxfDMxDVBwVmI5zcaVUSzKAc/edit?usp=sharing"",""ประจวบคีรีขันธ์!J704"")"),0)</f>
        <v>0</v>
      </c>
      <c r="AG62" s="354">
        <f t="shared" ca="1" si="48"/>
        <v>0</v>
      </c>
      <c r="AH62" s="495">
        <f ca="1">IFERROR(__xludf.DUMMYFUNCTION("IMPORTRANGE(""https://docs.google.com/spreadsheets/d/1GbCIE4D4wk9FUozzqk7SxfDMxDVBwVmI5zcaVUSzKAc/edit?usp=sharing"",""ประจวบคีรีขันธ์!I705"")"),1)</f>
        <v>1</v>
      </c>
      <c r="AI62" s="496">
        <f ca="1">IFERROR(__xludf.DUMMYFUNCTION("IMPORTRANGE(""https://docs.google.com/spreadsheets/d/1GbCIE4D4wk9FUozzqk7SxfDMxDVBwVmI5zcaVUSzKAc/edit?usp=sharing"",""ประจวบคีรีขันธ์!J705"")"),0)</f>
        <v>0</v>
      </c>
      <c r="AJ62" s="496">
        <f ca="1">IFERROR(__xludf.DUMMYFUNCTION("IMPORTRANGE(""https://docs.google.com/spreadsheets/d/1GbCIE4D4wk9FUozzqk7SxfDMxDVBwVmI5zcaVUSzKAc/edit?usp=sharing"",""ประจวบคีรีขันธ์!J706"")"),0)</f>
        <v>0</v>
      </c>
      <c r="AK62" s="497">
        <f t="shared" ca="1" si="50"/>
        <v>0</v>
      </c>
      <c r="AL62" s="353">
        <f ca="1">IFERROR(__xludf.DUMMYFUNCTION("IMPORTRANGE(""https://docs.google.com/spreadsheets/d/1GbCIE4D4wk9FUozzqk7SxfDMxDVBwVmI5zcaVUSzKAc/edit?usp=sharing"",""ประจวบคีรีขันธ์!I707"")"),20)</f>
        <v>20</v>
      </c>
      <c r="AM62" s="177">
        <f ca="1">IFERROR(__xludf.DUMMYFUNCTION("IMPORTRANGE(""https://docs.google.com/spreadsheets/d/1GbCIE4D4wk9FUozzqk7SxfDMxDVBwVmI5zcaVUSzKAc/edit?usp=sharing"",""ประจวบคีรีขันธ์!J707"")"),0)</f>
        <v>0</v>
      </c>
      <c r="AN62" s="177">
        <f ca="1">IFERROR(__xludf.DUMMYFUNCTION("IMPORTRANGE(""https://docs.google.com/spreadsheets/d/1GbCIE4D4wk9FUozzqk7SxfDMxDVBwVmI5zcaVUSzKAc/edit?usp=sharing"",""ประจวบคีรีขันธ์!J708"")"),0)</f>
        <v>0</v>
      </c>
      <c r="AO62" s="354">
        <f t="shared" ca="1" si="52"/>
        <v>0</v>
      </c>
      <c r="AP62" s="495">
        <f ca="1">IFERROR(__xludf.DUMMYFUNCTION("IMPORTRANGE(""https://docs.google.com/spreadsheets/d/1GbCIE4D4wk9FUozzqk7SxfDMxDVBwVmI5zcaVUSzKAc/edit?usp=sharing"",""ประจวบคีรีขันธ์!I709"")"),1)</f>
        <v>1</v>
      </c>
      <c r="AQ62" s="496">
        <f ca="1">IFERROR(__xludf.DUMMYFUNCTION("IMPORTRANGE(""https://docs.google.com/spreadsheets/d/1GbCIE4D4wk9FUozzqk7SxfDMxDVBwVmI5zcaVUSzKAc/edit?usp=sharing"",""ประจวบคีรีขันธ์!J709"")"),0)</f>
        <v>0</v>
      </c>
      <c r="AR62" s="496">
        <f ca="1">IFERROR(__xludf.DUMMYFUNCTION("IMPORTRANGE(""https://docs.google.com/spreadsheets/d/1GbCIE4D4wk9FUozzqk7SxfDMxDVBwVmI5zcaVUSzKAc/edit?usp=sharing"",""ประจวบคีรีขันธ์!J710"")"),0)</f>
        <v>0</v>
      </c>
      <c r="AS62" s="497">
        <f t="shared" ca="1" si="54"/>
        <v>0</v>
      </c>
    </row>
    <row r="63" spans="1:45" ht="24.75" customHeight="1" x14ac:dyDescent="0.3">
      <c r="A63" s="89">
        <v>11</v>
      </c>
      <c r="B63" s="90" t="s">
        <v>89</v>
      </c>
      <c r="C63" s="174">
        <f t="shared" si="32"/>
        <v>0</v>
      </c>
      <c r="D63" s="175">
        <f t="shared" si="73"/>
        <v>0</v>
      </c>
      <c r="E63" s="403">
        <v>0</v>
      </c>
      <c r="F63" s="403">
        <v>0</v>
      </c>
      <c r="G63" s="403">
        <v>0</v>
      </c>
      <c r="H63" s="403">
        <v>0</v>
      </c>
      <c r="I63" s="403">
        <v>0</v>
      </c>
      <c r="J63" s="176">
        <f t="shared" si="34"/>
        <v>0</v>
      </c>
      <c r="K63" s="179">
        <f t="shared" si="35"/>
        <v>0</v>
      </c>
      <c r="L63" s="403">
        <v>0</v>
      </c>
      <c r="M63" s="87">
        <f t="shared" si="36"/>
        <v>0</v>
      </c>
      <c r="N63" s="87">
        <f t="shared" si="37"/>
        <v>0</v>
      </c>
      <c r="O63" s="403">
        <v>0</v>
      </c>
      <c r="P63" s="86">
        <f t="shared" si="38"/>
        <v>0</v>
      </c>
      <c r="Q63" s="87">
        <f t="shared" si="39"/>
        <v>0</v>
      </c>
      <c r="R63" s="87">
        <f ca="1">IFERROR(__xludf.DUMMYFUNCTION("IMPORTRANGE(""https://docs.google.com/spreadsheets/d/1vVf6wykvW_lAyu7Yo9L4hUTqHqIeP_qcVuxCtosJEbg/edit?usp=sharing"",""ปราจีนบุรี!Q690"")"),61640)</f>
        <v>61640</v>
      </c>
      <c r="S63" s="87">
        <f ca="1">IFERROR(__xludf.DUMMYFUNCTION("IMPORTRANGE(""https://docs.google.com/spreadsheets/d/1vVf6wykvW_lAyu7Yo9L4hUTqHqIeP_qcVuxCtosJEbg/edit?usp=sharing"",""ปราจีนบุรี!R690"")"),0)</f>
        <v>0</v>
      </c>
      <c r="T63" s="87">
        <f ca="1">IFERROR(__xludf.DUMMYFUNCTION("IMPORTRANGE(""https://docs.google.com/spreadsheets/d/1vVf6wykvW_lAyu7Yo9L4hUTqHqIeP_qcVuxCtosJEbg/edit?usp=sharing"",""ปราจีนบุรี!S690"")"),0)</f>
        <v>0</v>
      </c>
      <c r="U63" s="87">
        <f t="shared" ca="1" si="41"/>
        <v>0</v>
      </c>
      <c r="V63" s="87">
        <f t="shared" ca="1" si="42"/>
        <v>0</v>
      </c>
      <c r="W63" s="353">
        <f ca="1">IFERROR(__xludf.DUMMYFUNCTION("IMPORTRANGE(""https://docs.google.com/spreadsheets/d/1vVf6wykvW_lAyu7Yo9L4hUTqHqIeP_qcVuxCtosJEbg/edit?usp=sharing"",""ปราจีนบุรี!I700"")"),0)</f>
        <v>0</v>
      </c>
      <c r="X63" s="177">
        <f ca="1">IFERROR(__xludf.DUMMYFUNCTION("IMPORTRANGE(""https://docs.google.com/spreadsheets/d/1vVf6wykvW_lAyu7Yo9L4hUTqHqIeP_qcVuxCtosJEbg/edit?usp=sharing"",""ปราจีนบุรี!J700"")"),0)</f>
        <v>0</v>
      </c>
      <c r="Y63" s="354">
        <f t="shared" ca="1" si="44"/>
        <v>0</v>
      </c>
      <c r="Z63" s="353">
        <f ca="1">IFERROR(__xludf.DUMMYFUNCTION("IMPORTRANGE(""https://docs.google.com/spreadsheets/d/1vVf6wykvW_lAyu7Yo9L4hUTqHqIeP_qcVuxCtosJEbg/edit?usp=sharing"",""ปราจีนบุรี!I701"")"),4)</f>
        <v>4</v>
      </c>
      <c r="AA63" s="177">
        <f ca="1">IFERROR(__xludf.DUMMYFUNCTION("IMPORTRANGE(""https://docs.google.com/spreadsheets/d/1vVf6wykvW_lAyu7Yo9L4hUTqHqIeP_qcVuxCtosJEbg/edit?usp=sharing"",""ปราจีนบุรี!J701"")"),0)</f>
        <v>0</v>
      </c>
      <c r="AB63" s="177">
        <f ca="1">IFERROR(__xludf.DUMMYFUNCTION("IMPORTRANGE(""https://docs.google.com/spreadsheets/d/1vVf6wykvW_lAyu7Yo9L4hUTqHqIeP_qcVuxCtosJEbg/edit?usp=sharing"",""ปราจีนบุรี!J702"")"),0)</f>
        <v>0</v>
      </c>
      <c r="AC63" s="354">
        <f t="shared" ca="1" si="46"/>
        <v>0</v>
      </c>
      <c r="AD63" s="353">
        <f ca="1">IFERROR(__xludf.DUMMYFUNCTION("IMPORTRANGE(""https://docs.google.com/spreadsheets/d/1vVf6wykvW_lAyu7Yo9L4hUTqHqIeP_qcVuxCtosJEbg/edit?usp=sharing"",""ปราจีนบุรี!I703"")"),2)</f>
        <v>2</v>
      </c>
      <c r="AE63" s="177">
        <f ca="1">IFERROR(__xludf.DUMMYFUNCTION("IMPORTRANGE(""https://docs.google.com/spreadsheets/d/1vVf6wykvW_lAyu7Yo9L4hUTqHqIeP_qcVuxCtosJEbg/edit?usp=sharing"",""ปราจีนบุรี!J703"")"),0)</f>
        <v>0</v>
      </c>
      <c r="AF63" s="177">
        <f ca="1">IFERROR(__xludf.DUMMYFUNCTION("IMPORTRANGE(""https://docs.google.com/spreadsheets/d/1vVf6wykvW_lAyu7Yo9L4hUTqHqIeP_qcVuxCtosJEbg/edit?usp=sharing"",""ปราจีนบุรี!J704"")"),0)</f>
        <v>0</v>
      </c>
      <c r="AG63" s="354">
        <f t="shared" ca="1" si="48"/>
        <v>0</v>
      </c>
      <c r="AH63" s="495">
        <f ca="1">IFERROR(__xludf.DUMMYFUNCTION("IMPORTRANGE(""https://docs.google.com/spreadsheets/d/1vVf6wykvW_lAyu7Yo9L4hUTqHqIeP_qcVuxCtosJEbg/edit?usp=sharing"",""ปราจีนบุรี!I705"")"),2)</f>
        <v>2</v>
      </c>
      <c r="AI63" s="496">
        <f ca="1">IFERROR(__xludf.DUMMYFUNCTION("IMPORTRANGE(""https://docs.google.com/spreadsheets/d/1vVf6wykvW_lAyu7Yo9L4hUTqHqIeP_qcVuxCtosJEbg/edit?usp=sharing"",""ปราจีนบุรี!J705"")"),0)</f>
        <v>0</v>
      </c>
      <c r="AJ63" s="496">
        <f ca="1">IFERROR(__xludf.DUMMYFUNCTION("IMPORTRANGE(""https://docs.google.com/spreadsheets/d/1vVf6wykvW_lAyu7Yo9L4hUTqHqIeP_qcVuxCtosJEbg/edit?usp=sharing"",""ปราจีนบุรี!J706"")"),0)</f>
        <v>0</v>
      </c>
      <c r="AK63" s="497">
        <f t="shared" ca="1" si="50"/>
        <v>0</v>
      </c>
      <c r="AL63" s="353">
        <f ca="1">IFERROR(__xludf.DUMMYFUNCTION("IMPORTRANGE(""https://docs.google.com/spreadsheets/d/1vVf6wykvW_lAyu7Yo9L4hUTqHqIeP_qcVuxCtosJEbg/edit?usp=sharing"",""ปราจีนบุรี!I707"")"),2)</f>
        <v>2</v>
      </c>
      <c r="AM63" s="177">
        <f ca="1">IFERROR(__xludf.DUMMYFUNCTION("IMPORTRANGE(""https://docs.google.com/spreadsheets/d/1vVf6wykvW_lAyu7Yo9L4hUTqHqIeP_qcVuxCtosJEbg/edit?usp=sharing"",""ปราจีนบุรี!J707"")"),0)</f>
        <v>0</v>
      </c>
      <c r="AN63" s="177">
        <f ca="1">IFERROR(__xludf.DUMMYFUNCTION("IMPORTRANGE(""https://docs.google.com/spreadsheets/d/1vVf6wykvW_lAyu7Yo9L4hUTqHqIeP_qcVuxCtosJEbg/edit?usp=sharing"",""ปราจีนบุรี!J708"")"),0)</f>
        <v>0</v>
      </c>
      <c r="AO63" s="354">
        <f t="shared" ca="1" si="52"/>
        <v>0</v>
      </c>
      <c r="AP63" s="495">
        <f ca="1">IFERROR(__xludf.DUMMYFUNCTION("IMPORTRANGE(""https://docs.google.com/spreadsheets/d/1vVf6wykvW_lAyu7Yo9L4hUTqHqIeP_qcVuxCtosJEbg/edit?usp=sharing"",""ปราจีนบุรี!I709"")"),2)</f>
        <v>2</v>
      </c>
      <c r="AQ63" s="496">
        <f ca="1">IFERROR(__xludf.DUMMYFUNCTION("IMPORTRANGE(""https://docs.google.com/spreadsheets/d/1vVf6wykvW_lAyu7Yo9L4hUTqHqIeP_qcVuxCtosJEbg/edit?usp=sharing"",""ปราจีนบุรี!J709"")"),0)</f>
        <v>0</v>
      </c>
      <c r="AR63" s="496">
        <f ca="1">IFERROR(__xludf.DUMMYFUNCTION("IMPORTRANGE(""https://docs.google.com/spreadsheets/d/1vVf6wykvW_lAyu7Yo9L4hUTqHqIeP_qcVuxCtosJEbg/edit?usp=sharing"",""ปราจีนบุรี!J710"")"),0)</f>
        <v>0</v>
      </c>
      <c r="AS63" s="497">
        <f t="shared" ca="1" si="54"/>
        <v>0</v>
      </c>
    </row>
    <row r="64" spans="1:45" ht="24.75" customHeight="1" x14ac:dyDescent="0.3">
      <c r="A64" s="89">
        <v>12</v>
      </c>
      <c r="B64" s="90" t="s">
        <v>90</v>
      </c>
      <c r="C64" s="174">
        <f t="shared" si="32"/>
        <v>0</v>
      </c>
      <c r="D64" s="175">
        <f t="shared" si="73"/>
        <v>0</v>
      </c>
      <c r="E64" s="403">
        <v>0</v>
      </c>
      <c r="F64" s="403">
        <v>0</v>
      </c>
      <c r="G64" s="403">
        <v>0</v>
      </c>
      <c r="H64" s="403">
        <v>0</v>
      </c>
      <c r="I64" s="403">
        <v>0</v>
      </c>
      <c r="J64" s="176">
        <f t="shared" si="34"/>
        <v>0</v>
      </c>
      <c r="K64" s="179">
        <f t="shared" si="35"/>
        <v>0</v>
      </c>
      <c r="L64" s="403">
        <v>0</v>
      </c>
      <c r="M64" s="87">
        <f t="shared" si="36"/>
        <v>0</v>
      </c>
      <c r="N64" s="87">
        <f t="shared" si="37"/>
        <v>0</v>
      </c>
      <c r="O64" s="403">
        <v>0</v>
      </c>
      <c r="P64" s="86">
        <f t="shared" si="38"/>
        <v>0</v>
      </c>
      <c r="Q64" s="87">
        <f t="shared" si="39"/>
        <v>0</v>
      </c>
      <c r="R64" s="87">
        <f ca="1">IFERROR(__xludf.DUMMYFUNCTION("IMPORTRANGE(""https://docs.google.com/spreadsheets/d/1BIDqLLg5jk3v59G8NlR8rk5xfQDKne0sAvZHSj7TI6I/edit?usp=sharing"",""พระนครศรีอยุธยา!Q690"")"),59430)</f>
        <v>59430</v>
      </c>
      <c r="S64" s="87">
        <f ca="1">IFERROR(__xludf.DUMMYFUNCTION("IMPORTRANGE(""https://docs.google.com/spreadsheets/d/1BIDqLLg5jk3v59G8NlR8rk5xfQDKne0sAvZHSj7TI6I/edit?usp=sharing"",""พระนครศรีอยุธยา!R690"")"),0)</f>
        <v>0</v>
      </c>
      <c r="T64" s="87">
        <f ca="1">IFERROR(__xludf.DUMMYFUNCTION("IMPORTRANGE(""https://docs.google.com/spreadsheets/d/1BIDqLLg5jk3v59G8NlR8rk5xfQDKne0sAvZHSj7TI6I/edit?usp=sharing"",""พระนครศรีอยุธยา!S690"")"),0)</f>
        <v>0</v>
      </c>
      <c r="U64" s="87">
        <f t="shared" ca="1" si="41"/>
        <v>0</v>
      </c>
      <c r="V64" s="87">
        <f t="shared" ca="1" si="42"/>
        <v>0</v>
      </c>
      <c r="W64" s="353">
        <f ca="1">IFERROR(__xludf.DUMMYFUNCTION("IMPORTRANGE(""https://docs.google.com/spreadsheets/d/1BIDqLLg5jk3v59G8NlR8rk5xfQDKne0sAvZHSj7TI6I/edit?usp=sharing"",""พระนครศรีอยุธยา!I700"")"),0)</f>
        <v>0</v>
      </c>
      <c r="X64" s="177">
        <f ca="1">IFERROR(__xludf.DUMMYFUNCTION("IMPORTRANGE(""https://docs.google.com/spreadsheets/d/1BIDqLLg5jk3v59G8NlR8rk5xfQDKne0sAvZHSj7TI6I/edit?usp=sharing"",""พระนครศรีอยุธยา!J700"")"),0)</f>
        <v>0</v>
      </c>
      <c r="Y64" s="354">
        <f t="shared" ca="1" si="44"/>
        <v>0</v>
      </c>
      <c r="Z64" s="353">
        <f ca="1">IFERROR(__xludf.DUMMYFUNCTION("IMPORTRANGE(""https://docs.google.com/spreadsheets/d/1BIDqLLg5jk3v59G8NlR8rk5xfQDKne0sAvZHSj7TI6I/edit?usp=sharing"",""พระนครศรีอยุธยา!I701"")"),4)</f>
        <v>4</v>
      </c>
      <c r="AA64" s="177">
        <f ca="1">IFERROR(__xludf.DUMMYFUNCTION("IMPORTRANGE(""https://docs.google.com/spreadsheets/d/1BIDqLLg5jk3v59G8NlR8rk5xfQDKne0sAvZHSj7TI6I/edit?usp=sharing"",""พระนครศรีอยุธยา!J701"")"),0)</f>
        <v>0</v>
      </c>
      <c r="AB64" s="177">
        <f ca="1">IFERROR(__xludf.DUMMYFUNCTION("IMPORTRANGE(""https://docs.google.com/spreadsheets/d/1BIDqLLg5jk3v59G8NlR8rk5xfQDKne0sAvZHSj7TI6I/edit?usp=sharing"",""พระนครศรีอยุธยา!J702"")"),0)</f>
        <v>0</v>
      </c>
      <c r="AC64" s="354">
        <f t="shared" ca="1" si="46"/>
        <v>0</v>
      </c>
      <c r="AD64" s="353">
        <f ca="1">IFERROR(__xludf.DUMMYFUNCTION("IMPORTRANGE(""https://docs.google.com/spreadsheets/d/1BIDqLLg5jk3v59G8NlR8rk5xfQDKne0sAvZHSj7TI6I/edit?usp=sharing"",""พระนครศรีอยุธยา!I703"")"),0)</f>
        <v>0</v>
      </c>
      <c r="AE64" s="177">
        <f ca="1">IFERROR(__xludf.DUMMYFUNCTION("IMPORTRANGE(""https://docs.google.com/spreadsheets/d/1BIDqLLg5jk3v59G8NlR8rk5xfQDKne0sAvZHSj7TI6I/edit?usp=sharing"",""พระนครศรีอยุธยา!J703"")"),0)</f>
        <v>0</v>
      </c>
      <c r="AF64" s="177">
        <f ca="1">IFERROR(__xludf.DUMMYFUNCTION("IMPORTRANGE(""https://docs.google.com/spreadsheets/d/1BIDqLLg5jk3v59G8NlR8rk5xfQDKne0sAvZHSj7TI6I/edit?usp=sharing"",""พระนครศรีอยุธยา!J704"")"),0)</f>
        <v>0</v>
      </c>
      <c r="AG64" s="354">
        <f t="shared" ca="1" si="48"/>
        <v>0</v>
      </c>
      <c r="AH64" s="495">
        <f ca="1">IFERROR(__xludf.DUMMYFUNCTION("IMPORTRANGE(""https://docs.google.com/spreadsheets/d/1BIDqLLg5jk3v59G8NlR8rk5xfQDKne0sAvZHSj7TI6I/edit?usp=sharing"",""พระนครศรีอยุธยา!I705"")"),4)</f>
        <v>4</v>
      </c>
      <c r="AI64" s="496">
        <f ca="1">IFERROR(__xludf.DUMMYFUNCTION("IMPORTRANGE(""https://docs.google.com/spreadsheets/d/1BIDqLLg5jk3v59G8NlR8rk5xfQDKne0sAvZHSj7TI6I/edit?usp=sharing"",""พระนครศรีอยุธยา!J705"")"),0)</f>
        <v>0</v>
      </c>
      <c r="AJ64" s="496">
        <f ca="1">IFERROR(__xludf.DUMMYFUNCTION("IMPORTRANGE(""https://docs.google.com/spreadsheets/d/1BIDqLLg5jk3v59G8NlR8rk5xfQDKne0sAvZHSj7TI6I/edit?usp=sharing"",""พระนครศรีอยุธยา!J706"")"),0)</f>
        <v>0</v>
      </c>
      <c r="AK64" s="497">
        <f t="shared" ca="1" si="50"/>
        <v>0</v>
      </c>
      <c r="AL64" s="353">
        <f ca="1">IFERROR(__xludf.DUMMYFUNCTION("IMPORTRANGE(""https://docs.google.com/spreadsheets/d/1BIDqLLg5jk3v59G8NlR8rk5xfQDKne0sAvZHSj7TI6I/edit?usp=sharing"",""พระนครศรีอยุธยา!I707"")"),0)</f>
        <v>0</v>
      </c>
      <c r="AM64" s="177">
        <f ca="1">IFERROR(__xludf.DUMMYFUNCTION("IMPORTRANGE(""https://docs.google.com/spreadsheets/d/1BIDqLLg5jk3v59G8NlR8rk5xfQDKne0sAvZHSj7TI6I/edit?usp=sharing"",""พระนครศรีอยุธยา!J707"")"),0)</f>
        <v>0</v>
      </c>
      <c r="AN64" s="177">
        <f ca="1">IFERROR(__xludf.DUMMYFUNCTION("IMPORTRANGE(""https://docs.google.com/spreadsheets/d/1BIDqLLg5jk3v59G8NlR8rk5xfQDKne0sAvZHSj7TI6I/edit?usp=sharing"",""พระนครศรีอยุธยา!J708"")"),0)</f>
        <v>0</v>
      </c>
      <c r="AO64" s="354">
        <f t="shared" ca="1" si="52"/>
        <v>0</v>
      </c>
      <c r="AP64" s="495">
        <f ca="1">IFERROR(__xludf.DUMMYFUNCTION("IMPORTRANGE(""https://docs.google.com/spreadsheets/d/1BIDqLLg5jk3v59G8NlR8rk5xfQDKne0sAvZHSj7TI6I/edit?usp=sharing"",""พระนครศรีอยุธยา!I709"")"),4)</f>
        <v>4</v>
      </c>
      <c r="AQ64" s="496">
        <f ca="1">IFERROR(__xludf.DUMMYFUNCTION("IMPORTRANGE(""https://docs.google.com/spreadsheets/d/1BIDqLLg5jk3v59G8NlR8rk5xfQDKne0sAvZHSj7TI6I/edit?usp=sharing"",""พระนครศรีอยุธยา!J709"")"),0)</f>
        <v>0</v>
      </c>
      <c r="AR64" s="496">
        <f ca="1">IFERROR(__xludf.DUMMYFUNCTION("IMPORTRANGE(""https://docs.google.com/spreadsheets/d/1BIDqLLg5jk3v59G8NlR8rk5xfQDKne0sAvZHSj7TI6I/edit?usp=sharing"",""พระนครศรีอยุธยา!J710"")"),0)</f>
        <v>0</v>
      </c>
      <c r="AS64" s="497">
        <f t="shared" ca="1" si="54"/>
        <v>0</v>
      </c>
    </row>
    <row r="65" spans="1:45" ht="24.75" customHeight="1" x14ac:dyDescent="0.3">
      <c r="A65" s="89">
        <v>13</v>
      </c>
      <c r="B65" s="90" t="s">
        <v>91</v>
      </c>
      <c r="C65" s="174">
        <f t="shared" si="32"/>
        <v>0</v>
      </c>
      <c r="D65" s="175">
        <f t="shared" si="73"/>
        <v>0</v>
      </c>
      <c r="E65" s="403">
        <v>0</v>
      </c>
      <c r="F65" s="403">
        <v>0</v>
      </c>
      <c r="G65" s="403">
        <v>0</v>
      </c>
      <c r="H65" s="403">
        <v>0</v>
      </c>
      <c r="I65" s="403">
        <v>0</v>
      </c>
      <c r="J65" s="176">
        <f t="shared" si="34"/>
        <v>0</v>
      </c>
      <c r="K65" s="179">
        <f t="shared" si="35"/>
        <v>0</v>
      </c>
      <c r="L65" s="403">
        <v>0</v>
      </c>
      <c r="M65" s="87">
        <f t="shared" si="36"/>
        <v>0</v>
      </c>
      <c r="N65" s="87">
        <f t="shared" si="37"/>
        <v>0</v>
      </c>
      <c r="O65" s="403">
        <v>0</v>
      </c>
      <c r="P65" s="86">
        <f t="shared" si="38"/>
        <v>0</v>
      </c>
      <c r="Q65" s="87">
        <f t="shared" si="39"/>
        <v>0</v>
      </c>
      <c r="R65" s="87">
        <f ca="1">IFERROR(__xludf.DUMMYFUNCTION("IMPORTRANGE(""https://docs.google.com/spreadsheets/d/1YXvxf8Yu6_rV4hTBrwMqAcAnv6DfhUxh5emyM3CJp_w/edit?usp=sharing"",""เพชรบุรี!Q690"")"),57710)</f>
        <v>57710</v>
      </c>
      <c r="S65" s="87">
        <f ca="1">IFERROR(__xludf.DUMMYFUNCTION("IMPORTRANGE(""https://docs.google.com/spreadsheets/d/1YXvxf8Yu6_rV4hTBrwMqAcAnv6DfhUxh5emyM3CJp_w/edit?usp=sharing"",""เพชรบุรี!R690"")"),0)</f>
        <v>0</v>
      </c>
      <c r="T65" s="87">
        <f ca="1">IFERROR(__xludf.DUMMYFUNCTION("IMPORTRANGE(""https://docs.google.com/spreadsheets/d/1YXvxf8Yu6_rV4hTBrwMqAcAnv6DfhUxh5emyM3CJp_w/edit?usp=sharing"",""เพชรบุรี!S690"")"),0)</f>
        <v>0</v>
      </c>
      <c r="U65" s="87">
        <f t="shared" ca="1" si="41"/>
        <v>0</v>
      </c>
      <c r="V65" s="87">
        <f t="shared" ca="1" si="42"/>
        <v>0</v>
      </c>
      <c r="W65" s="353">
        <f ca="1">IFERROR(__xludf.DUMMYFUNCTION("IMPORTRANGE(""https://docs.google.com/spreadsheets/d/1YXvxf8Yu6_rV4hTBrwMqAcAnv6DfhUxh5emyM3CJp_w/edit?usp=sharing"",""เพชรบุรี!I700"")"),0)</f>
        <v>0</v>
      </c>
      <c r="X65" s="177">
        <f ca="1">IFERROR(__xludf.DUMMYFUNCTION("IMPORTRANGE(""https://docs.google.com/spreadsheets/d/1YXvxf8Yu6_rV4hTBrwMqAcAnv6DfhUxh5emyM3CJp_w/edit?usp=sharing"",""เพชรบุรี!J700"")"),0)</f>
        <v>0</v>
      </c>
      <c r="Y65" s="354">
        <f t="shared" ca="1" si="44"/>
        <v>0</v>
      </c>
      <c r="Z65" s="353">
        <f ca="1">IFERROR(__xludf.DUMMYFUNCTION("IMPORTRANGE(""https://docs.google.com/spreadsheets/d/1YXvxf8Yu6_rV4hTBrwMqAcAnv6DfhUxh5emyM3CJp_w/edit?usp=sharing"",""เพชรบุรี!I701"")"),1)</f>
        <v>1</v>
      </c>
      <c r="AA65" s="177">
        <f ca="1">IFERROR(__xludf.DUMMYFUNCTION("IMPORTRANGE(""https://docs.google.com/spreadsheets/d/1YXvxf8Yu6_rV4hTBrwMqAcAnv6DfhUxh5emyM3CJp_w/edit?usp=sharing"",""เพชรบุรี!J701"")"),0)</f>
        <v>0</v>
      </c>
      <c r="AB65" s="177">
        <f ca="1">IFERROR(__xludf.DUMMYFUNCTION("IMPORTRANGE(""https://docs.google.com/spreadsheets/d/1YXvxf8Yu6_rV4hTBrwMqAcAnv6DfhUxh5emyM3CJp_w/edit?usp=sharing"",""เพชรบุรี!J702"")"),0)</f>
        <v>0</v>
      </c>
      <c r="AC65" s="354">
        <f t="shared" ca="1" si="46"/>
        <v>0</v>
      </c>
      <c r="AD65" s="353">
        <f ca="1">IFERROR(__xludf.DUMMYFUNCTION("IMPORTRANGE(""https://docs.google.com/spreadsheets/d/1YXvxf8Yu6_rV4hTBrwMqAcAnv6DfhUxh5emyM3CJp_w/edit?usp=sharing"",""เพชรบุรี!I703"")"),0)</f>
        <v>0</v>
      </c>
      <c r="AE65" s="177">
        <f ca="1">IFERROR(__xludf.DUMMYFUNCTION("IMPORTRANGE(""https://docs.google.com/spreadsheets/d/1YXvxf8Yu6_rV4hTBrwMqAcAnv6DfhUxh5emyM3CJp_w/edit?usp=sharing"",""เพชรบุรี!J703"")"),0)</f>
        <v>0</v>
      </c>
      <c r="AF65" s="177">
        <f ca="1">IFERROR(__xludf.DUMMYFUNCTION("IMPORTRANGE(""https://docs.google.com/spreadsheets/d/1YXvxf8Yu6_rV4hTBrwMqAcAnv6DfhUxh5emyM3CJp_w/edit?usp=sharing"",""เพชรบุรี!J704"")"),0)</f>
        <v>0</v>
      </c>
      <c r="AG65" s="354">
        <f t="shared" ca="1" si="48"/>
        <v>0</v>
      </c>
      <c r="AH65" s="495">
        <f ca="1">IFERROR(__xludf.DUMMYFUNCTION("IMPORTRANGE(""https://docs.google.com/spreadsheets/d/1YXvxf8Yu6_rV4hTBrwMqAcAnv6DfhUxh5emyM3CJp_w/edit?usp=sharing"",""เพชรบุรี!I705"")"),1)</f>
        <v>1</v>
      </c>
      <c r="AI65" s="496">
        <f ca="1">IFERROR(__xludf.DUMMYFUNCTION("IMPORTRANGE(""https://docs.google.com/spreadsheets/d/1YXvxf8Yu6_rV4hTBrwMqAcAnv6DfhUxh5emyM3CJp_w/edit?usp=sharing"",""เพชรบุรี!J705"")"),0)</f>
        <v>0</v>
      </c>
      <c r="AJ65" s="496">
        <f ca="1">IFERROR(__xludf.DUMMYFUNCTION("IMPORTRANGE(""https://docs.google.com/spreadsheets/d/1YXvxf8Yu6_rV4hTBrwMqAcAnv6DfhUxh5emyM3CJp_w/edit?usp=sharing"",""เพชรบุรี!J706"")"),0)</f>
        <v>0</v>
      </c>
      <c r="AK65" s="497">
        <f t="shared" ca="1" si="50"/>
        <v>0</v>
      </c>
      <c r="AL65" s="353">
        <f ca="1">IFERROR(__xludf.DUMMYFUNCTION("IMPORTRANGE(""https://docs.google.com/spreadsheets/d/1YXvxf8Yu6_rV4hTBrwMqAcAnv6DfhUxh5emyM3CJp_w/edit?usp=sharing"",""เพชรบุรี!I707"")"),0)</f>
        <v>0</v>
      </c>
      <c r="AM65" s="177">
        <f ca="1">IFERROR(__xludf.DUMMYFUNCTION("IMPORTRANGE(""https://docs.google.com/spreadsheets/d/1YXvxf8Yu6_rV4hTBrwMqAcAnv6DfhUxh5emyM3CJp_w/edit?usp=sharing"",""เพชรบุรี!J707"")"),0)</f>
        <v>0</v>
      </c>
      <c r="AN65" s="177">
        <f ca="1">IFERROR(__xludf.DUMMYFUNCTION("IMPORTRANGE(""https://docs.google.com/spreadsheets/d/1YXvxf8Yu6_rV4hTBrwMqAcAnv6DfhUxh5emyM3CJp_w/edit?usp=sharing"",""เพชรบุรี!J708"")"),0)</f>
        <v>0</v>
      </c>
      <c r="AO65" s="354">
        <f t="shared" ca="1" si="52"/>
        <v>0</v>
      </c>
      <c r="AP65" s="495">
        <f ca="1">IFERROR(__xludf.DUMMYFUNCTION("IMPORTRANGE(""https://docs.google.com/spreadsheets/d/1YXvxf8Yu6_rV4hTBrwMqAcAnv6DfhUxh5emyM3CJp_w/edit?usp=sharing"",""เพชรบุรี!I709"")"),1)</f>
        <v>1</v>
      </c>
      <c r="AQ65" s="496">
        <f ca="1">IFERROR(__xludf.DUMMYFUNCTION("IMPORTRANGE(""https://docs.google.com/spreadsheets/d/1YXvxf8Yu6_rV4hTBrwMqAcAnv6DfhUxh5emyM3CJp_w/edit?usp=sharing"",""เพชรบุรี!J709"")"),0)</f>
        <v>0</v>
      </c>
      <c r="AR65" s="496">
        <f ca="1">IFERROR(__xludf.DUMMYFUNCTION("IMPORTRANGE(""https://docs.google.com/spreadsheets/d/1YXvxf8Yu6_rV4hTBrwMqAcAnv6DfhUxh5emyM3CJp_w/edit?usp=sharing"",""เพชรบุรี!J710"")"),0)</f>
        <v>0</v>
      </c>
      <c r="AS65" s="497">
        <f t="shared" ca="1" si="54"/>
        <v>0</v>
      </c>
    </row>
    <row r="66" spans="1:45" ht="24.75" customHeight="1" x14ac:dyDescent="0.3">
      <c r="A66" s="89">
        <v>14</v>
      </c>
      <c r="B66" s="90" t="s">
        <v>92</v>
      </c>
      <c r="C66" s="174">
        <f t="shared" si="32"/>
        <v>0</v>
      </c>
      <c r="D66" s="175">
        <f t="shared" si="73"/>
        <v>0</v>
      </c>
      <c r="E66" s="403">
        <v>0</v>
      </c>
      <c r="F66" s="403">
        <v>0</v>
      </c>
      <c r="G66" s="403">
        <v>0</v>
      </c>
      <c r="H66" s="403">
        <v>0</v>
      </c>
      <c r="I66" s="403">
        <v>0</v>
      </c>
      <c r="J66" s="176">
        <f t="shared" si="34"/>
        <v>0</v>
      </c>
      <c r="K66" s="179">
        <f t="shared" si="35"/>
        <v>0</v>
      </c>
      <c r="L66" s="403">
        <v>0</v>
      </c>
      <c r="M66" s="87">
        <f t="shared" si="36"/>
        <v>0</v>
      </c>
      <c r="N66" s="87">
        <f t="shared" si="37"/>
        <v>0</v>
      </c>
      <c r="O66" s="403">
        <v>0</v>
      </c>
      <c r="P66" s="86">
        <f t="shared" si="38"/>
        <v>0</v>
      </c>
      <c r="Q66" s="87">
        <f t="shared" si="39"/>
        <v>0</v>
      </c>
      <c r="R66" s="87">
        <f ca="1">IFERROR(__xludf.DUMMYFUNCTION("IMPORTRANGE(""https://docs.google.com/spreadsheets/d/19KBlQQs7uwvsao6t2n-KvW3Ax8J8uRRfZPq1zPbXgKc/edit?usp=sharing"",""ระยอง!Q690"")"),72160)</f>
        <v>72160</v>
      </c>
      <c r="S66" s="87">
        <f ca="1">IFERROR(__xludf.DUMMYFUNCTION("IMPORTRANGE(""https://docs.google.com/spreadsheets/d/19KBlQQs7uwvsao6t2n-KvW3Ax8J8uRRfZPq1zPbXgKc/edit?usp=sharing"",""ระยอง!R690"")"),0)</f>
        <v>0</v>
      </c>
      <c r="T66" s="87">
        <f ca="1">IFERROR(__xludf.DUMMYFUNCTION("IMPORTRANGE(""https://docs.google.com/spreadsheets/d/19KBlQQs7uwvsao6t2n-KvW3Ax8J8uRRfZPq1zPbXgKc/edit?usp=sharing"",""ระยอง!S690"")"),0)</f>
        <v>0</v>
      </c>
      <c r="U66" s="87">
        <f t="shared" ca="1" si="41"/>
        <v>0</v>
      </c>
      <c r="V66" s="87">
        <f t="shared" ca="1" si="42"/>
        <v>0</v>
      </c>
      <c r="W66" s="353">
        <f ca="1">IFERROR(__xludf.DUMMYFUNCTION("IMPORTRANGE(""https://docs.google.com/spreadsheets/d/19KBlQQs7uwvsao6t2n-KvW3Ax8J8uRRfZPq1zPbXgKc/edit?usp=sharing"",""ระยอง!I700"")"),0)</f>
        <v>0</v>
      </c>
      <c r="X66" s="177">
        <f ca="1">IFERROR(__xludf.DUMMYFUNCTION("IMPORTRANGE(""https://docs.google.com/spreadsheets/d/19KBlQQs7uwvsao6t2n-KvW3Ax8J8uRRfZPq1zPbXgKc/edit?usp=sharing"",""ระยอง!J700"")"),0)</f>
        <v>0</v>
      </c>
      <c r="Y66" s="354">
        <f t="shared" ca="1" si="44"/>
        <v>0</v>
      </c>
      <c r="Z66" s="353">
        <f ca="1">IFERROR(__xludf.DUMMYFUNCTION("IMPORTRANGE(""https://docs.google.com/spreadsheets/d/19KBlQQs7uwvsao6t2n-KvW3Ax8J8uRRfZPq1zPbXgKc/edit?usp=sharing"",""ระยอง!I701"")"),14)</f>
        <v>14</v>
      </c>
      <c r="AA66" s="177">
        <f ca="1">IFERROR(__xludf.DUMMYFUNCTION("IMPORTRANGE(""https://docs.google.com/spreadsheets/d/19KBlQQs7uwvsao6t2n-KvW3Ax8J8uRRfZPq1zPbXgKc/edit?usp=sharing"",""ระยอง!J701"")"),0)</f>
        <v>0</v>
      </c>
      <c r="AB66" s="177">
        <f ca="1">IFERROR(__xludf.DUMMYFUNCTION("IMPORTRANGE(""https://docs.google.com/spreadsheets/d/19KBlQQs7uwvsao6t2n-KvW3Ax8J8uRRfZPq1zPbXgKc/edit?usp=sharing"",""ระยอง!J702"")"),0)</f>
        <v>0</v>
      </c>
      <c r="AC66" s="354">
        <f t="shared" ca="1" si="46"/>
        <v>0</v>
      </c>
      <c r="AD66" s="353">
        <f ca="1">IFERROR(__xludf.DUMMYFUNCTION("IMPORTRANGE(""https://docs.google.com/spreadsheets/d/19KBlQQs7uwvsao6t2n-KvW3Ax8J8uRRfZPq1zPbXgKc/edit?usp=sharing"",""ระยอง!I703"")"),10)</f>
        <v>10</v>
      </c>
      <c r="AE66" s="177">
        <f ca="1">IFERROR(__xludf.DUMMYFUNCTION("IMPORTRANGE(""https://docs.google.com/spreadsheets/d/19KBlQQs7uwvsao6t2n-KvW3Ax8J8uRRfZPq1zPbXgKc/edit?usp=sharing"",""ระยอง!J703"")"),0)</f>
        <v>0</v>
      </c>
      <c r="AF66" s="177">
        <f ca="1">IFERROR(__xludf.DUMMYFUNCTION("IMPORTRANGE(""https://docs.google.com/spreadsheets/d/19KBlQQs7uwvsao6t2n-KvW3Ax8J8uRRfZPq1zPbXgKc/edit?usp=sharing"",""ระยอง!J704"")"),0)</f>
        <v>0</v>
      </c>
      <c r="AG66" s="354">
        <f t="shared" ca="1" si="48"/>
        <v>0</v>
      </c>
      <c r="AH66" s="495">
        <f ca="1">IFERROR(__xludf.DUMMYFUNCTION("IMPORTRANGE(""https://docs.google.com/spreadsheets/d/19KBlQQs7uwvsao6t2n-KvW3Ax8J8uRRfZPq1zPbXgKc/edit?usp=sharing"",""ระยอง!I705"")"),4)</f>
        <v>4</v>
      </c>
      <c r="AI66" s="496">
        <f ca="1">IFERROR(__xludf.DUMMYFUNCTION("IMPORTRANGE(""https://docs.google.com/spreadsheets/d/19KBlQQs7uwvsao6t2n-KvW3Ax8J8uRRfZPq1zPbXgKc/edit?usp=sharing"",""ระยอง!J705"")"),0)</f>
        <v>0</v>
      </c>
      <c r="AJ66" s="496">
        <f ca="1">IFERROR(__xludf.DUMMYFUNCTION("IMPORTRANGE(""https://docs.google.com/spreadsheets/d/19KBlQQs7uwvsao6t2n-KvW3Ax8J8uRRfZPq1zPbXgKc/edit?usp=sharing"",""ระยอง!J706"")"),0)</f>
        <v>0</v>
      </c>
      <c r="AK66" s="497">
        <f t="shared" ca="1" si="50"/>
        <v>0</v>
      </c>
      <c r="AL66" s="353">
        <f ca="1">IFERROR(__xludf.DUMMYFUNCTION("IMPORTRANGE(""https://docs.google.com/spreadsheets/d/19KBlQQs7uwvsao6t2n-KvW3Ax8J8uRRfZPq1zPbXgKc/edit?usp=sharing"",""ระยอง!I707"")"),10)</f>
        <v>10</v>
      </c>
      <c r="AM66" s="177">
        <f ca="1">IFERROR(__xludf.DUMMYFUNCTION("IMPORTRANGE(""https://docs.google.com/spreadsheets/d/19KBlQQs7uwvsao6t2n-KvW3Ax8J8uRRfZPq1zPbXgKc/edit?usp=sharing"",""ระยอง!J707"")"),0)</f>
        <v>0</v>
      </c>
      <c r="AN66" s="177">
        <f ca="1">IFERROR(__xludf.DUMMYFUNCTION("IMPORTRANGE(""https://docs.google.com/spreadsheets/d/19KBlQQs7uwvsao6t2n-KvW3Ax8J8uRRfZPq1zPbXgKc/edit?usp=sharing"",""ระยอง!J708"")"),0)</f>
        <v>0</v>
      </c>
      <c r="AO66" s="354">
        <f t="shared" ca="1" si="52"/>
        <v>0</v>
      </c>
      <c r="AP66" s="495">
        <f ca="1">IFERROR(__xludf.DUMMYFUNCTION("IMPORTRANGE(""https://docs.google.com/spreadsheets/d/19KBlQQs7uwvsao6t2n-KvW3Ax8J8uRRfZPq1zPbXgKc/edit?usp=sharing"",""ระยอง!I709"")"),4)</f>
        <v>4</v>
      </c>
      <c r="AQ66" s="496">
        <f ca="1">IFERROR(__xludf.DUMMYFUNCTION("IMPORTRANGE(""https://docs.google.com/spreadsheets/d/19KBlQQs7uwvsao6t2n-KvW3Ax8J8uRRfZPq1zPbXgKc/edit?usp=sharing"",""ระยอง!J709"")"),0)</f>
        <v>0</v>
      </c>
      <c r="AR66" s="496">
        <f ca="1">IFERROR(__xludf.DUMMYFUNCTION("IMPORTRANGE(""https://docs.google.com/spreadsheets/d/19KBlQQs7uwvsao6t2n-KvW3Ax8J8uRRfZPq1zPbXgKc/edit?usp=sharing"",""ระยอง!J710"")"),0)</f>
        <v>0</v>
      </c>
      <c r="AS66" s="497">
        <f t="shared" ca="1" si="54"/>
        <v>0</v>
      </c>
    </row>
    <row r="67" spans="1:45" ht="24.75" customHeight="1" x14ac:dyDescent="0.3">
      <c r="A67" s="89">
        <v>15</v>
      </c>
      <c r="B67" s="90" t="s">
        <v>93</v>
      </c>
      <c r="C67" s="174">
        <f t="shared" si="32"/>
        <v>0</v>
      </c>
      <c r="D67" s="175">
        <f t="shared" si="73"/>
        <v>0</v>
      </c>
      <c r="E67" s="403">
        <v>0</v>
      </c>
      <c r="F67" s="403">
        <v>0</v>
      </c>
      <c r="G67" s="403">
        <v>0</v>
      </c>
      <c r="H67" s="403">
        <v>0</v>
      </c>
      <c r="I67" s="403">
        <v>0</v>
      </c>
      <c r="J67" s="176">
        <f t="shared" si="34"/>
        <v>0</v>
      </c>
      <c r="K67" s="179">
        <f t="shared" si="35"/>
        <v>0</v>
      </c>
      <c r="L67" s="403">
        <v>0</v>
      </c>
      <c r="M67" s="87">
        <f t="shared" si="36"/>
        <v>0</v>
      </c>
      <c r="N67" s="87">
        <f t="shared" si="37"/>
        <v>0</v>
      </c>
      <c r="O67" s="403">
        <v>0</v>
      </c>
      <c r="P67" s="86">
        <f t="shared" si="38"/>
        <v>0</v>
      </c>
      <c r="Q67" s="87">
        <f t="shared" si="39"/>
        <v>0</v>
      </c>
      <c r="R67" s="87">
        <f ca="1">IFERROR(__xludf.DUMMYFUNCTION("IMPORTRANGE(""https://docs.google.com/spreadsheets/d/1jQ6P4QcrGM89YfqcC_PxOHGCMq5ezhucwJd8ci-NHng/edit?usp=sharing"",""ราชบุรี!Q690"")"),235670)</f>
        <v>235670</v>
      </c>
      <c r="S67" s="87">
        <f ca="1">IFERROR(__xludf.DUMMYFUNCTION("IMPORTRANGE(""https://docs.google.com/spreadsheets/d/1jQ6P4QcrGM89YfqcC_PxOHGCMq5ezhucwJd8ci-NHng/edit?usp=sharing"",""ราชบุรี!R690"")"),0)</f>
        <v>0</v>
      </c>
      <c r="T67" s="87">
        <f ca="1">IFERROR(__xludf.DUMMYFUNCTION("IMPORTRANGE(""https://docs.google.com/spreadsheets/d/1jQ6P4QcrGM89YfqcC_PxOHGCMq5ezhucwJd8ci-NHng/edit?usp=sharing"",""ราชบุรี!S690"")"),0)</f>
        <v>0</v>
      </c>
      <c r="U67" s="87">
        <f t="shared" ca="1" si="41"/>
        <v>0</v>
      </c>
      <c r="V67" s="87">
        <f t="shared" ca="1" si="42"/>
        <v>0</v>
      </c>
      <c r="W67" s="353">
        <f ca="1">IFERROR(__xludf.DUMMYFUNCTION("IMPORTRANGE(""https://docs.google.com/spreadsheets/d/1jQ6P4QcrGM89YfqcC_PxOHGCMq5ezhucwJd8ci-NHng/edit?usp=sharing"",""ราชบุรี!I700"")"),2)</f>
        <v>2</v>
      </c>
      <c r="X67" s="177">
        <f ca="1">IFERROR(__xludf.DUMMYFUNCTION("IMPORTRANGE(""https://docs.google.com/spreadsheets/d/1jQ6P4QcrGM89YfqcC_PxOHGCMq5ezhucwJd8ci-NHng/edit?usp=sharing"",""ราชบุรี!J700"")"),0)</f>
        <v>0</v>
      </c>
      <c r="Y67" s="354">
        <f t="shared" ca="1" si="44"/>
        <v>0</v>
      </c>
      <c r="Z67" s="353">
        <f ca="1">IFERROR(__xludf.DUMMYFUNCTION("IMPORTRANGE(""https://docs.google.com/spreadsheets/d/1jQ6P4QcrGM89YfqcC_PxOHGCMq5ezhucwJd8ci-NHng/edit?usp=sharing"",""ราชบุรี!I701"")"),104)</f>
        <v>104</v>
      </c>
      <c r="AA67" s="177">
        <f ca="1">IFERROR(__xludf.DUMMYFUNCTION("IMPORTRANGE(""https://docs.google.com/spreadsheets/d/1jQ6P4QcrGM89YfqcC_PxOHGCMq5ezhucwJd8ci-NHng/edit?usp=sharing"",""ราชบุรี!J701"")"),0)</f>
        <v>0</v>
      </c>
      <c r="AB67" s="177">
        <f ca="1">IFERROR(__xludf.DUMMYFUNCTION("IMPORTRANGE(""https://docs.google.com/spreadsheets/d/1jQ6P4QcrGM89YfqcC_PxOHGCMq5ezhucwJd8ci-NHng/edit?usp=sharing"",""ราชบุรี!J702"")"),0)</f>
        <v>0</v>
      </c>
      <c r="AC67" s="354">
        <f t="shared" ca="1" si="46"/>
        <v>0</v>
      </c>
      <c r="AD67" s="353">
        <f ca="1">IFERROR(__xludf.DUMMYFUNCTION("IMPORTRANGE(""https://docs.google.com/spreadsheets/d/1jQ6P4QcrGM89YfqcC_PxOHGCMq5ezhucwJd8ci-NHng/edit?usp=sharing"",""ราชบุรี!I703"")"),100)</f>
        <v>100</v>
      </c>
      <c r="AE67" s="177">
        <f ca="1">IFERROR(__xludf.DUMMYFUNCTION("IMPORTRANGE(""https://docs.google.com/spreadsheets/d/1jQ6P4QcrGM89YfqcC_PxOHGCMq5ezhucwJd8ci-NHng/edit?usp=sharing"",""ราชบุรี!J703"")"),0)</f>
        <v>0</v>
      </c>
      <c r="AF67" s="177">
        <f ca="1">IFERROR(__xludf.DUMMYFUNCTION("IMPORTRANGE(""https://docs.google.com/spreadsheets/d/1jQ6P4QcrGM89YfqcC_PxOHGCMq5ezhucwJd8ci-NHng/edit?usp=sharing"",""ราชบุรี!J704"")"),0)</f>
        <v>0</v>
      </c>
      <c r="AG67" s="354">
        <f t="shared" ca="1" si="48"/>
        <v>0</v>
      </c>
      <c r="AH67" s="495">
        <f ca="1">IFERROR(__xludf.DUMMYFUNCTION("IMPORTRANGE(""https://docs.google.com/spreadsheets/d/1jQ6P4QcrGM89YfqcC_PxOHGCMq5ezhucwJd8ci-NHng/edit?usp=sharing"",""ราชบุรี!I705"")"),4)</f>
        <v>4</v>
      </c>
      <c r="AI67" s="496">
        <f ca="1">IFERROR(__xludf.DUMMYFUNCTION("IMPORTRANGE(""https://docs.google.com/spreadsheets/d/1jQ6P4QcrGM89YfqcC_PxOHGCMq5ezhucwJd8ci-NHng/edit?usp=sharing"",""ราชบุรี!J705"")"),0)</f>
        <v>0</v>
      </c>
      <c r="AJ67" s="496">
        <f ca="1">IFERROR(__xludf.DUMMYFUNCTION("IMPORTRANGE(""https://docs.google.com/spreadsheets/d/1jQ6P4QcrGM89YfqcC_PxOHGCMq5ezhucwJd8ci-NHng/edit?usp=sharing"",""ราชบุรี!J706"")"),0)</f>
        <v>0</v>
      </c>
      <c r="AK67" s="497">
        <f t="shared" ca="1" si="50"/>
        <v>0</v>
      </c>
      <c r="AL67" s="353">
        <f ca="1">IFERROR(__xludf.DUMMYFUNCTION("IMPORTRANGE(""https://docs.google.com/spreadsheets/d/1jQ6P4QcrGM89YfqcC_PxOHGCMq5ezhucwJd8ci-NHng/edit?usp=sharing"",""ราชบุรี!I707"")"),100)</f>
        <v>100</v>
      </c>
      <c r="AM67" s="177">
        <f ca="1">IFERROR(__xludf.DUMMYFUNCTION("IMPORTRANGE(""https://docs.google.com/spreadsheets/d/1jQ6P4QcrGM89YfqcC_PxOHGCMq5ezhucwJd8ci-NHng/edit?usp=sharing"",""ราชบุรี!J707"")"),0)</f>
        <v>0</v>
      </c>
      <c r="AN67" s="177">
        <f ca="1">IFERROR(__xludf.DUMMYFUNCTION("IMPORTRANGE(""https://docs.google.com/spreadsheets/d/1jQ6P4QcrGM89YfqcC_PxOHGCMq5ezhucwJd8ci-NHng/edit?usp=sharing"",""ราชบุรี!J708"")"),0)</f>
        <v>0</v>
      </c>
      <c r="AO67" s="354">
        <f t="shared" ca="1" si="52"/>
        <v>0</v>
      </c>
      <c r="AP67" s="495">
        <f ca="1">IFERROR(__xludf.DUMMYFUNCTION("IMPORTRANGE(""https://docs.google.com/spreadsheets/d/1jQ6P4QcrGM89YfqcC_PxOHGCMq5ezhucwJd8ci-NHng/edit?usp=sharing"",""ราชบุรี!I709"")"),4)</f>
        <v>4</v>
      </c>
      <c r="AQ67" s="496">
        <f ca="1">IFERROR(__xludf.DUMMYFUNCTION("IMPORTRANGE(""https://docs.google.com/spreadsheets/d/1jQ6P4QcrGM89YfqcC_PxOHGCMq5ezhucwJd8ci-NHng/edit?usp=sharing"",""ราชบุรี!J709"")"),0)</f>
        <v>0</v>
      </c>
      <c r="AR67" s="496">
        <f ca="1">IFERROR(__xludf.DUMMYFUNCTION("IMPORTRANGE(""https://docs.google.com/spreadsheets/d/1jQ6P4QcrGM89YfqcC_PxOHGCMq5ezhucwJd8ci-NHng/edit?usp=sharing"",""ราชบุรี!J710"")"),0)</f>
        <v>0</v>
      </c>
      <c r="AS67" s="497">
        <f t="shared" ca="1" si="54"/>
        <v>0</v>
      </c>
    </row>
    <row r="68" spans="1:45" ht="24.75" customHeight="1" x14ac:dyDescent="0.3">
      <c r="A68" s="89">
        <v>16</v>
      </c>
      <c r="B68" s="90" t="s">
        <v>94</v>
      </c>
      <c r="C68" s="174">
        <f t="shared" si="32"/>
        <v>0</v>
      </c>
      <c r="D68" s="175">
        <f t="shared" si="73"/>
        <v>0</v>
      </c>
      <c r="E68" s="403">
        <v>0</v>
      </c>
      <c r="F68" s="403">
        <v>0</v>
      </c>
      <c r="G68" s="403">
        <v>0</v>
      </c>
      <c r="H68" s="403">
        <v>0</v>
      </c>
      <c r="I68" s="403">
        <v>0</v>
      </c>
      <c r="J68" s="176">
        <f t="shared" si="34"/>
        <v>0</v>
      </c>
      <c r="K68" s="179">
        <f t="shared" si="35"/>
        <v>0</v>
      </c>
      <c r="L68" s="403">
        <v>0</v>
      </c>
      <c r="M68" s="87">
        <f t="shared" si="36"/>
        <v>0</v>
      </c>
      <c r="N68" s="87">
        <f t="shared" si="37"/>
        <v>0</v>
      </c>
      <c r="O68" s="403">
        <v>0</v>
      </c>
      <c r="P68" s="86">
        <f t="shared" si="38"/>
        <v>0</v>
      </c>
      <c r="Q68" s="87">
        <f t="shared" si="39"/>
        <v>0</v>
      </c>
      <c r="R68" s="87">
        <f ca="1">IFERROR(__xludf.DUMMYFUNCTION("IMPORTRANGE(""https://docs.google.com/spreadsheets/d/1lufeA2cfFqM-elVq2hznhDzC6Pr7wkJ9ZG_sYNGCMCU/edit?usp=sharing"",""ลพบุรี!Q690"")"),188210)</f>
        <v>188210</v>
      </c>
      <c r="S68" s="87">
        <f ca="1">IFERROR(__xludf.DUMMYFUNCTION("IMPORTRANGE(""https://docs.google.com/spreadsheets/d/1lufeA2cfFqM-elVq2hznhDzC6Pr7wkJ9ZG_sYNGCMCU/edit?usp=sharing"",""ลพบุรี!R690"")"),0)</f>
        <v>0</v>
      </c>
      <c r="T68" s="87">
        <f ca="1">IFERROR(__xludf.DUMMYFUNCTION("IMPORTRANGE(""https://docs.google.com/spreadsheets/d/1lufeA2cfFqM-elVq2hznhDzC6Pr7wkJ9ZG_sYNGCMCU/edit?usp=sharing"",""ลพบุรี!S690"")"),0)</f>
        <v>0</v>
      </c>
      <c r="U68" s="87">
        <f t="shared" ca="1" si="41"/>
        <v>0</v>
      </c>
      <c r="V68" s="87">
        <f t="shared" ca="1" si="42"/>
        <v>0</v>
      </c>
      <c r="W68" s="353">
        <f ca="1">IFERROR(__xludf.DUMMYFUNCTION("IMPORTRANGE(""https://docs.google.com/spreadsheets/d/1lufeA2cfFqM-elVq2hznhDzC6Pr7wkJ9ZG_sYNGCMCU/edit?usp=sharing"",""ลพบุรี!I700"")"),0)</f>
        <v>0</v>
      </c>
      <c r="X68" s="452">
        <f ca="1">IFERROR(__xludf.DUMMYFUNCTION("IMPORTRANGE(""https://docs.google.com/spreadsheets/d/1lufeA2cfFqM-elVq2hznhDzC6Pr7wkJ9ZG_sYNGCMCU/edit?usp=sharing"",""ลพบุรี!J700"")"),0)</f>
        <v>0</v>
      </c>
      <c r="Y68" s="354">
        <f t="shared" ca="1" si="44"/>
        <v>0</v>
      </c>
      <c r="Z68" s="353">
        <f ca="1">IFERROR(__xludf.DUMMYFUNCTION("IMPORTRANGE(""https://docs.google.com/spreadsheets/d/1lufeA2cfFqM-elVq2hznhDzC6Pr7wkJ9ZG_sYNGCMCU/edit?usp=sharing"",""ลพบุรี!I701"")"),70)</f>
        <v>70</v>
      </c>
      <c r="AA68" s="452">
        <f ca="1">IFERROR(__xludf.DUMMYFUNCTION("IMPORTRANGE(""https://docs.google.com/spreadsheets/d/1lufeA2cfFqM-elVq2hznhDzC6Pr7wkJ9ZG_sYNGCMCU/edit?usp=sharing"",""ลพบุรี!J701"")"),0)</f>
        <v>0</v>
      </c>
      <c r="AB68" s="452">
        <f ca="1">IFERROR(__xludf.DUMMYFUNCTION("IMPORTRANGE(""https://docs.google.com/spreadsheets/d/1lufeA2cfFqM-elVq2hznhDzC6Pr7wkJ9ZG_sYNGCMCU/edit?usp=sharing"",""ลพบุรี!J702"")"),0)</f>
        <v>0</v>
      </c>
      <c r="AC68" s="354">
        <f t="shared" ca="1" si="46"/>
        <v>0</v>
      </c>
      <c r="AD68" s="353">
        <f ca="1">IFERROR(__xludf.DUMMYFUNCTION("IMPORTRANGE(""https://docs.google.com/spreadsheets/d/1lufeA2cfFqM-elVq2hznhDzC6Pr7wkJ9ZG_sYNGCMCU/edit?usp=sharing"",""ลพบุรี!I703"")"),70)</f>
        <v>70</v>
      </c>
      <c r="AE68" s="452">
        <f ca="1">IFERROR(__xludf.DUMMYFUNCTION("IMPORTRANGE(""https://docs.google.com/spreadsheets/d/1lufeA2cfFqM-elVq2hznhDzC6Pr7wkJ9ZG_sYNGCMCU/edit?usp=sharing"",""ลพบุรี!J703"")"),0)</f>
        <v>0</v>
      </c>
      <c r="AF68" s="452">
        <f ca="1">IFERROR(__xludf.DUMMYFUNCTION("IMPORTRANGE(""https://docs.google.com/spreadsheets/d/1lufeA2cfFqM-elVq2hznhDzC6Pr7wkJ9ZG_sYNGCMCU/edit?usp=sharing"",""ลพบุรี!J704"")"),0)</f>
        <v>0</v>
      </c>
      <c r="AG68" s="354">
        <f t="shared" ca="1" si="48"/>
        <v>0</v>
      </c>
      <c r="AH68" s="495">
        <f ca="1">IFERROR(__xludf.DUMMYFUNCTION("IMPORTRANGE(""https://docs.google.com/spreadsheets/d/1lufeA2cfFqM-elVq2hznhDzC6Pr7wkJ9ZG_sYNGCMCU/edit?usp=sharing"",""ลพบุรี!I705"")"),0)</f>
        <v>0</v>
      </c>
      <c r="AI68" s="496">
        <f ca="1">IFERROR(__xludf.DUMMYFUNCTION("IMPORTRANGE(""https://docs.google.com/spreadsheets/d/1lufeA2cfFqM-elVq2hznhDzC6Pr7wkJ9ZG_sYNGCMCU/edit?usp=sharing"",""ลพบุรี!J705"")"),0)</f>
        <v>0</v>
      </c>
      <c r="AJ68" s="496">
        <f ca="1">IFERROR(__xludf.DUMMYFUNCTION("IMPORTRANGE(""https://docs.google.com/spreadsheets/d/1lufeA2cfFqM-elVq2hznhDzC6Pr7wkJ9ZG_sYNGCMCU/edit?usp=sharing"",""ลพบุรี!J706"")"),0)</f>
        <v>0</v>
      </c>
      <c r="AK68" s="497">
        <f t="shared" ca="1" si="50"/>
        <v>0</v>
      </c>
      <c r="AL68" s="353">
        <f ca="1">IFERROR(__xludf.DUMMYFUNCTION("IMPORTRANGE(""https://docs.google.com/spreadsheets/d/1lufeA2cfFqM-elVq2hznhDzC6Pr7wkJ9ZG_sYNGCMCU/edit?usp=sharing"",""ลพบุรี!I707"")"),70)</f>
        <v>70</v>
      </c>
      <c r="AM68" s="452">
        <f ca="1">IFERROR(__xludf.DUMMYFUNCTION("IMPORTRANGE(""https://docs.google.com/spreadsheets/d/1lufeA2cfFqM-elVq2hznhDzC6Pr7wkJ9ZG_sYNGCMCU/edit?usp=sharing"",""ลพบุรี!J707"")"),0)</f>
        <v>0</v>
      </c>
      <c r="AN68" s="452">
        <f ca="1">IFERROR(__xludf.DUMMYFUNCTION("IMPORTRANGE(""https://docs.google.com/spreadsheets/d/1lufeA2cfFqM-elVq2hznhDzC6Pr7wkJ9ZG_sYNGCMCU/edit?usp=sharing"",""ลพบุรี!J708"")"),0)</f>
        <v>0</v>
      </c>
      <c r="AO68" s="354">
        <f t="shared" ca="1" si="52"/>
        <v>0</v>
      </c>
      <c r="AP68" s="495">
        <f ca="1">IFERROR(__xludf.DUMMYFUNCTION("IMPORTRANGE(""https://docs.google.com/spreadsheets/d/1lufeA2cfFqM-elVq2hznhDzC6Pr7wkJ9ZG_sYNGCMCU/edit?usp=sharing"",""ลพบุรี!I709"")"),0)</f>
        <v>0</v>
      </c>
      <c r="AQ68" s="496">
        <f ca="1">IFERROR(__xludf.DUMMYFUNCTION("IMPORTRANGE(""https://docs.google.com/spreadsheets/d/1lufeA2cfFqM-elVq2hznhDzC6Pr7wkJ9ZG_sYNGCMCU/edit?usp=sharing"",""ลพบุรี!J709"")"),0)</f>
        <v>0</v>
      </c>
      <c r="AR68" s="496">
        <f ca="1">IFERROR(__xludf.DUMMYFUNCTION("IMPORTRANGE(""https://docs.google.com/spreadsheets/d/1lufeA2cfFqM-elVq2hznhDzC6Pr7wkJ9ZG_sYNGCMCU/edit?usp=sharing"",""ลพบุรี!J710"")"),0)</f>
        <v>0</v>
      </c>
      <c r="AS68" s="497">
        <f t="shared" ca="1" si="54"/>
        <v>0</v>
      </c>
    </row>
    <row r="69" spans="1:45" ht="24.75" customHeight="1" x14ac:dyDescent="0.3">
      <c r="A69" s="89">
        <v>17</v>
      </c>
      <c r="B69" s="90" t="s">
        <v>95</v>
      </c>
      <c r="C69" s="174">
        <f t="shared" si="32"/>
        <v>0</v>
      </c>
      <c r="D69" s="175">
        <f t="shared" si="73"/>
        <v>0</v>
      </c>
      <c r="E69" s="403">
        <v>0</v>
      </c>
      <c r="F69" s="403">
        <v>0</v>
      </c>
      <c r="G69" s="403">
        <v>0</v>
      </c>
      <c r="H69" s="403">
        <v>0</v>
      </c>
      <c r="I69" s="403">
        <v>0</v>
      </c>
      <c r="J69" s="176">
        <f t="shared" si="34"/>
        <v>0</v>
      </c>
      <c r="K69" s="179">
        <f t="shared" si="35"/>
        <v>0</v>
      </c>
      <c r="L69" s="403">
        <v>0</v>
      </c>
      <c r="M69" s="87">
        <f t="shared" si="36"/>
        <v>0</v>
      </c>
      <c r="N69" s="87">
        <f t="shared" si="37"/>
        <v>0</v>
      </c>
      <c r="O69" s="403">
        <v>0</v>
      </c>
      <c r="P69" s="86">
        <f t="shared" si="38"/>
        <v>0</v>
      </c>
      <c r="Q69" s="87">
        <f t="shared" si="39"/>
        <v>0</v>
      </c>
      <c r="R69" s="87">
        <f ca="1">IFERROR(__xludf.DUMMYFUNCTION("IMPORTRANGE(""https://docs.google.com/spreadsheets/d/10oOiF7loTyfsTkbd4MpaIm0HQ9SwB7IYHdIUvt-U1Uc/edit?usp=sharing"",""สระแก้ว!Q690"")"),181480)</f>
        <v>181480</v>
      </c>
      <c r="S69" s="87">
        <f ca="1">IFERROR(__xludf.DUMMYFUNCTION("IMPORTRANGE(""https://docs.google.com/spreadsheets/d/10oOiF7loTyfsTkbd4MpaIm0HQ9SwB7IYHdIUvt-U1Uc/edit?usp=sharing"",""สระแก้ว!R690"")"),0)</f>
        <v>0</v>
      </c>
      <c r="T69" s="87">
        <f ca="1">IFERROR(__xludf.DUMMYFUNCTION("IMPORTRANGE(""https://docs.google.com/spreadsheets/d/10oOiF7loTyfsTkbd4MpaIm0HQ9SwB7IYHdIUvt-U1Uc/edit?usp=sharing"",""สระแก้ว!S690"")"),0)</f>
        <v>0</v>
      </c>
      <c r="U69" s="87">
        <f t="shared" ca="1" si="41"/>
        <v>0</v>
      </c>
      <c r="V69" s="87">
        <f t="shared" ca="1" si="42"/>
        <v>0</v>
      </c>
      <c r="W69" s="353">
        <f ca="1">IFERROR(__xludf.DUMMYFUNCTION("IMPORTRANGE(""https://docs.google.com/spreadsheets/d/10oOiF7loTyfsTkbd4MpaIm0HQ9SwB7IYHdIUvt-U1Uc/edit?usp=sharing"",""สระแก้ว!I700"")"),0)</f>
        <v>0</v>
      </c>
      <c r="X69" s="452">
        <f ca="1">IFERROR(__xludf.DUMMYFUNCTION("IMPORTRANGE(""https://docs.google.com/spreadsheets/d/10oOiF7loTyfsTkbd4MpaIm0HQ9SwB7IYHdIUvt-U1Uc/edit?usp=sharing"",""สระแก้ว!J700"")"),0)</f>
        <v>0</v>
      </c>
      <c r="Y69" s="354">
        <f t="shared" ca="1" si="44"/>
        <v>0</v>
      </c>
      <c r="Z69" s="353">
        <f ca="1">IFERROR(__xludf.DUMMYFUNCTION("IMPORTRANGE(""https://docs.google.com/spreadsheets/d/10oOiF7loTyfsTkbd4MpaIm0HQ9SwB7IYHdIUvt-U1Uc/edit?usp=sharing"",""สระแก้ว!I701"")"),64)</f>
        <v>64</v>
      </c>
      <c r="AA69" s="452">
        <f ca="1">IFERROR(__xludf.DUMMYFUNCTION("IMPORTRANGE(""https://docs.google.com/spreadsheets/d/10oOiF7loTyfsTkbd4MpaIm0HQ9SwB7IYHdIUvt-U1Uc/edit?usp=sharing"",""สระแก้ว!J701"")"),0)</f>
        <v>0</v>
      </c>
      <c r="AB69" s="452">
        <f ca="1">IFERROR(__xludf.DUMMYFUNCTION("IMPORTRANGE(""https://docs.google.com/spreadsheets/d/10oOiF7loTyfsTkbd4MpaIm0HQ9SwB7IYHdIUvt-U1Uc/edit?usp=sharing"",""สระแก้ว!J702"")"),0)</f>
        <v>0</v>
      </c>
      <c r="AC69" s="354">
        <f t="shared" ca="1" si="46"/>
        <v>0</v>
      </c>
      <c r="AD69" s="353">
        <f ca="1">IFERROR(__xludf.DUMMYFUNCTION("IMPORTRANGE(""https://docs.google.com/spreadsheets/d/10oOiF7loTyfsTkbd4MpaIm0HQ9SwB7IYHdIUvt-U1Uc/edit?usp=sharing"",""สระแก้ว!I703"")"),60)</f>
        <v>60</v>
      </c>
      <c r="AE69" s="452">
        <f ca="1">IFERROR(__xludf.DUMMYFUNCTION("IMPORTRANGE(""https://docs.google.com/spreadsheets/d/10oOiF7loTyfsTkbd4MpaIm0HQ9SwB7IYHdIUvt-U1Uc/edit?usp=sharing"",""สระแก้ว!J703"")"),0)</f>
        <v>0</v>
      </c>
      <c r="AF69" s="452">
        <f ca="1">IFERROR(__xludf.DUMMYFUNCTION("IMPORTRANGE(""https://docs.google.com/spreadsheets/d/10oOiF7loTyfsTkbd4MpaIm0HQ9SwB7IYHdIUvt-U1Uc/edit?usp=sharing"",""สระแก้ว!J704"")"),0)</f>
        <v>0</v>
      </c>
      <c r="AG69" s="354">
        <f t="shared" ca="1" si="48"/>
        <v>0</v>
      </c>
      <c r="AH69" s="495">
        <f ca="1">IFERROR(__xludf.DUMMYFUNCTION("IMPORTRANGE(""https://docs.google.com/spreadsheets/d/10oOiF7loTyfsTkbd4MpaIm0HQ9SwB7IYHdIUvt-U1Uc/edit?usp=sharing"",""สระแก้ว!I705"")"),4)</f>
        <v>4</v>
      </c>
      <c r="AI69" s="496">
        <f ca="1">IFERROR(__xludf.DUMMYFUNCTION("IMPORTRANGE(""https://docs.google.com/spreadsheets/d/10oOiF7loTyfsTkbd4MpaIm0HQ9SwB7IYHdIUvt-U1Uc/edit?usp=sharing"",""สระแก้ว!J705"")"),0)</f>
        <v>0</v>
      </c>
      <c r="AJ69" s="496">
        <f ca="1">IFERROR(__xludf.DUMMYFUNCTION("IMPORTRANGE(""https://docs.google.com/spreadsheets/d/10oOiF7loTyfsTkbd4MpaIm0HQ9SwB7IYHdIUvt-U1Uc/edit?usp=sharing"",""สระแก้ว!J706"")"),0)</f>
        <v>0</v>
      </c>
      <c r="AK69" s="497">
        <f t="shared" ca="1" si="50"/>
        <v>0</v>
      </c>
      <c r="AL69" s="353">
        <f ca="1">IFERROR(__xludf.DUMMYFUNCTION("IMPORTRANGE(""https://docs.google.com/spreadsheets/d/10oOiF7loTyfsTkbd4MpaIm0HQ9SwB7IYHdIUvt-U1Uc/edit?usp=sharing"",""สระแก้ว!I707"")"),60)</f>
        <v>60</v>
      </c>
      <c r="AM69" s="452">
        <f ca="1">IFERROR(__xludf.DUMMYFUNCTION("IMPORTRANGE(""https://docs.google.com/spreadsheets/d/10oOiF7loTyfsTkbd4MpaIm0HQ9SwB7IYHdIUvt-U1Uc/edit?usp=sharing"",""สระแก้ว!J707"")"),0)</f>
        <v>0</v>
      </c>
      <c r="AN69" s="452">
        <f ca="1">IFERROR(__xludf.DUMMYFUNCTION("IMPORTRANGE(""https://docs.google.com/spreadsheets/d/10oOiF7loTyfsTkbd4MpaIm0HQ9SwB7IYHdIUvt-U1Uc/edit?usp=sharing"",""สระแก้ว!J708"")"),0)</f>
        <v>0</v>
      </c>
      <c r="AO69" s="354">
        <f t="shared" ca="1" si="52"/>
        <v>0</v>
      </c>
      <c r="AP69" s="495">
        <f ca="1">IFERROR(__xludf.DUMMYFUNCTION("IMPORTRANGE(""https://docs.google.com/spreadsheets/d/10oOiF7loTyfsTkbd4MpaIm0HQ9SwB7IYHdIUvt-U1Uc/edit?usp=sharing"",""สระแก้ว!I709"")"),4)</f>
        <v>4</v>
      </c>
      <c r="AQ69" s="496">
        <f ca="1">IFERROR(__xludf.DUMMYFUNCTION("IMPORTRANGE(""https://docs.google.com/spreadsheets/d/10oOiF7loTyfsTkbd4MpaIm0HQ9SwB7IYHdIUvt-U1Uc/edit?usp=sharing"",""สระแก้ว!J709"")"),0)</f>
        <v>0</v>
      </c>
      <c r="AR69" s="496">
        <f ca="1">IFERROR(__xludf.DUMMYFUNCTION("IMPORTRANGE(""https://docs.google.com/spreadsheets/d/10oOiF7loTyfsTkbd4MpaIm0HQ9SwB7IYHdIUvt-U1Uc/edit?usp=sharing"",""สระแก้ว!J710"")"),0)</f>
        <v>0</v>
      </c>
      <c r="AS69" s="497">
        <f t="shared" ca="1" si="54"/>
        <v>0</v>
      </c>
    </row>
    <row r="70" spans="1:45" ht="24.75" customHeight="1" x14ac:dyDescent="0.3">
      <c r="A70" s="89">
        <v>18</v>
      </c>
      <c r="B70" s="90" t="s">
        <v>96</v>
      </c>
      <c r="C70" s="174">
        <f t="shared" si="32"/>
        <v>0</v>
      </c>
      <c r="D70" s="175">
        <f t="shared" si="73"/>
        <v>0</v>
      </c>
      <c r="E70" s="403">
        <v>0</v>
      </c>
      <c r="F70" s="403">
        <v>0</v>
      </c>
      <c r="G70" s="403">
        <v>0</v>
      </c>
      <c r="H70" s="403">
        <v>0</v>
      </c>
      <c r="I70" s="403">
        <v>0</v>
      </c>
      <c r="J70" s="176">
        <f t="shared" si="34"/>
        <v>0</v>
      </c>
      <c r="K70" s="179">
        <f t="shared" si="35"/>
        <v>0</v>
      </c>
      <c r="L70" s="403">
        <v>0</v>
      </c>
      <c r="M70" s="87">
        <f t="shared" si="36"/>
        <v>0</v>
      </c>
      <c r="N70" s="87">
        <f t="shared" si="37"/>
        <v>0</v>
      </c>
      <c r="O70" s="403">
        <v>0</v>
      </c>
      <c r="P70" s="86">
        <f t="shared" si="38"/>
        <v>0</v>
      </c>
      <c r="Q70" s="87">
        <f t="shared" si="39"/>
        <v>0</v>
      </c>
      <c r="R70" s="87">
        <f ca="1">IFERROR(__xludf.DUMMYFUNCTION("IMPORTRANGE(""https://docs.google.com/spreadsheets/d/1xmPlrr1QbdSIKvl1dWUl9K4PjAfSL9oeMr_37QVzcxc/edit?usp=sharing"",""สระบุรี!Q690"")"),121560)</f>
        <v>121560</v>
      </c>
      <c r="S70" s="87">
        <f ca="1">IFERROR(__xludf.DUMMYFUNCTION("IMPORTRANGE(""https://docs.google.com/spreadsheets/d/1xmPlrr1QbdSIKvl1dWUl9K4PjAfSL9oeMr_37QVzcxc/edit?usp=sharing"",""สระบุรี!R690"")"),0)</f>
        <v>0</v>
      </c>
      <c r="T70" s="87">
        <f ca="1">IFERROR(__xludf.DUMMYFUNCTION("IMPORTRANGE(""https://docs.google.com/spreadsheets/d/1xmPlrr1QbdSIKvl1dWUl9K4PjAfSL9oeMr_37QVzcxc/edit?usp=sharing"",""สระบุรี!S690"")"),0)</f>
        <v>0</v>
      </c>
      <c r="U70" s="87">
        <f t="shared" ca="1" si="41"/>
        <v>0</v>
      </c>
      <c r="V70" s="87">
        <f t="shared" ca="1" si="42"/>
        <v>0</v>
      </c>
      <c r="W70" s="353">
        <f ca="1">IFERROR(__xludf.DUMMYFUNCTION("IMPORTRANGE(""https://docs.google.com/spreadsheets/d/1xmPlrr1QbdSIKvl1dWUl9K4PjAfSL9oeMr_37QVzcxc/edit?usp=sharing"",""สระบุรี!I700"")"),0)</f>
        <v>0</v>
      </c>
      <c r="X70" s="177">
        <f ca="1">IFERROR(__xludf.DUMMYFUNCTION("IMPORTRANGE(""https://docs.google.com/spreadsheets/d/1xmPlrr1QbdSIKvl1dWUl9K4PjAfSL9oeMr_37QVzcxc/edit?usp=sharing"",""สระบุรี!J700"")"),0)</f>
        <v>0</v>
      </c>
      <c r="Y70" s="354">
        <f t="shared" ca="1" si="44"/>
        <v>0</v>
      </c>
      <c r="Z70" s="353">
        <f ca="1">IFERROR(__xludf.DUMMYFUNCTION("IMPORTRANGE(""https://docs.google.com/spreadsheets/d/1xmPlrr1QbdSIKvl1dWUl9K4PjAfSL9oeMr_37QVzcxc/edit?usp=sharing"",""สระบุรี!I701"")"),32)</f>
        <v>32</v>
      </c>
      <c r="AA70" s="177">
        <f ca="1">IFERROR(__xludf.DUMMYFUNCTION("IMPORTRANGE(""https://docs.google.com/spreadsheets/d/1xmPlrr1QbdSIKvl1dWUl9K4PjAfSL9oeMr_37QVzcxc/edit?usp=sharing"",""สระบุรี!J701"")"),0)</f>
        <v>0</v>
      </c>
      <c r="AB70" s="177">
        <f ca="1">IFERROR(__xludf.DUMMYFUNCTION("IMPORTRANGE(""https://docs.google.com/spreadsheets/d/1xmPlrr1QbdSIKvl1dWUl9K4PjAfSL9oeMr_37QVzcxc/edit?usp=sharing"",""สระบุรี!J702"")"),0)</f>
        <v>0</v>
      </c>
      <c r="AC70" s="354">
        <f t="shared" ca="1" si="46"/>
        <v>0</v>
      </c>
      <c r="AD70" s="353">
        <f ca="1">IFERROR(__xludf.DUMMYFUNCTION("IMPORTRANGE(""https://docs.google.com/spreadsheets/d/1xmPlrr1QbdSIKvl1dWUl9K4PjAfSL9oeMr_37QVzcxc/edit?usp=sharing"",""สระบุรี!I703"")"),30)</f>
        <v>30</v>
      </c>
      <c r="AE70" s="177">
        <f ca="1">IFERROR(__xludf.DUMMYFUNCTION("IMPORTRANGE(""https://docs.google.com/spreadsheets/d/1xmPlrr1QbdSIKvl1dWUl9K4PjAfSL9oeMr_37QVzcxc/edit?usp=sharing"",""สระบุรี!J703"")"),0)</f>
        <v>0</v>
      </c>
      <c r="AF70" s="177">
        <f ca="1">IFERROR(__xludf.DUMMYFUNCTION("IMPORTRANGE(""https://docs.google.com/spreadsheets/d/1xmPlrr1QbdSIKvl1dWUl9K4PjAfSL9oeMr_37QVzcxc/edit?usp=sharing"",""สระบุรี!J704"")"),0)</f>
        <v>0</v>
      </c>
      <c r="AG70" s="354">
        <f t="shared" ca="1" si="48"/>
        <v>0</v>
      </c>
      <c r="AH70" s="495">
        <f ca="1">IFERROR(__xludf.DUMMYFUNCTION("IMPORTRANGE(""https://docs.google.com/spreadsheets/d/1xmPlrr1QbdSIKvl1dWUl9K4PjAfSL9oeMr_37QVzcxc/edit?usp=sharing"",""สระบุรี!I705"")"),2)</f>
        <v>2</v>
      </c>
      <c r="AI70" s="496">
        <f ca="1">IFERROR(__xludf.DUMMYFUNCTION("IMPORTRANGE(""https://docs.google.com/spreadsheets/d/1xmPlrr1QbdSIKvl1dWUl9K4PjAfSL9oeMr_37QVzcxc/edit?usp=sharing"",""สระบุรี!J705"")"),0)</f>
        <v>0</v>
      </c>
      <c r="AJ70" s="496">
        <f ca="1">IFERROR(__xludf.DUMMYFUNCTION("IMPORTRANGE(""https://docs.google.com/spreadsheets/d/1xmPlrr1QbdSIKvl1dWUl9K4PjAfSL9oeMr_37QVzcxc/edit?usp=sharing"",""สระบุรี!J706"")"),0)</f>
        <v>0</v>
      </c>
      <c r="AK70" s="497">
        <f t="shared" ca="1" si="50"/>
        <v>0</v>
      </c>
      <c r="AL70" s="353">
        <f ca="1">IFERROR(__xludf.DUMMYFUNCTION("IMPORTRANGE(""https://docs.google.com/spreadsheets/d/1xmPlrr1QbdSIKvl1dWUl9K4PjAfSL9oeMr_37QVzcxc/edit?usp=sharing"",""สระบุรี!I707"")"),30)</f>
        <v>30</v>
      </c>
      <c r="AM70" s="177">
        <f ca="1">IFERROR(__xludf.DUMMYFUNCTION("IMPORTRANGE(""https://docs.google.com/spreadsheets/d/1xmPlrr1QbdSIKvl1dWUl9K4PjAfSL9oeMr_37QVzcxc/edit?usp=sharing"",""สระบุรี!J707"")"),0)</f>
        <v>0</v>
      </c>
      <c r="AN70" s="177">
        <f ca="1">IFERROR(__xludf.DUMMYFUNCTION("IMPORTRANGE(""https://docs.google.com/spreadsheets/d/1xmPlrr1QbdSIKvl1dWUl9K4PjAfSL9oeMr_37QVzcxc/edit?usp=sharing"",""สระบุรี!J708"")"),0)</f>
        <v>0</v>
      </c>
      <c r="AO70" s="354">
        <f t="shared" ca="1" si="52"/>
        <v>0</v>
      </c>
      <c r="AP70" s="495">
        <f ca="1">IFERROR(__xludf.DUMMYFUNCTION("IMPORTRANGE(""https://docs.google.com/spreadsheets/d/1xmPlrr1QbdSIKvl1dWUl9K4PjAfSL9oeMr_37QVzcxc/edit?usp=sharing"",""สระบุรี!I709"")"),2)</f>
        <v>2</v>
      </c>
      <c r="AQ70" s="496">
        <f ca="1">IFERROR(__xludf.DUMMYFUNCTION("IMPORTRANGE(""https://docs.google.com/spreadsheets/d/1xmPlrr1QbdSIKvl1dWUl9K4PjAfSL9oeMr_37QVzcxc/edit?usp=sharing"",""สระบุรี!J709"")"),0)</f>
        <v>0</v>
      </c>
      <c r="AR70" s="496">
        <f ca="1">IFERROR(__xludf.DUMMYFUNCTION("IMPORTRANGE(""https://docs.google.com/spreadsheets/d/1xmPlrr1QbdSIKvl1dWUl9K4PjAfSL9oeMr_37QVzcxc/edit?usp=sharing"",""สระบุรี!J710"")"),0)</f>
        <v>0</v>
      </c>
      <c r="AS70" s="497">
        <f t="shared" ca="1" si="54"/>
        <v>0</v>
      </c>
    </row>
    <row r="71" spans="1:45" ht="24.75" customHeight="1" x14ac:dyDescent="0.3">
      <c r="A71" s="89">
        <v>19</v>
      </c>
      <c r="B71" s="90" t="s">
        <v>97</v>
      </c>
      <c r="C71" s="174">
        <f t="shared" si="32"/>
        <v>0</v>
      </c>
      <c r="D71" s="175">
        <f t="shared" si="73"/>
        <v>0</v>
      </c>
      <c r="E71" s="403">
        <v>0</v>
      </c>
      <c r="F71" s="403">
        <v>0</v>
      </c>
      <c r="G71" s="403">
        <v>0</v>
      </c>
      <c r="H71" s="403">
        <v>0</v>
      </c>
      <c r="I71" s="403">
        <v>0</v>
      </c>
      <c r="J71" s="176">
        <f t="shared" si="34"/>
        <v>0</v>
      </c>
      <c r="K71" s="179">
        <f t="shared" si="35"/>
        <v>0</v>
      </c>
      <c r="L71" s="403">
        <v>0</v>
      </c>
      <c r="M71" s="87">
        <f t="shared" si="36"/>
        <v>0</v>
      </c>
      <c r="N71" s="87">
        <f t="shared" si="37"/>
        <v>0</v>
      </c>
      <c r="O71" s="403">
        <v>0</v>
      </c>
      <c r="P71" s="86">
        <f t="shared" si="38"/>
        <v>0</v>
      </c>
      <c r="Q71" s="87">
        <f t="shared" si="39"/>
        <v>0</v>
      </c>
      <c r="R71" s="87">
        <f ca="1">IFERROR(__xludf.DUMMYFUNCTION("IMPORTRANGE(""https://docs.google.com/spreadsheets/d/1j51vR6CYVGhABJpv6tkstgok82RLpXieLzW1yOY5rHw/edit?usp=sharing"",""สิงห์บุรี!Q690"")"),0)</f>
        <v>0</v>
      </c>
      <c r="S71" s="87">
        <f ca="1">IFERROR(__xludf.DUMMYFUNCTION("IMPORTRANGE(""https://docs.google.com/spreadsheets/d/1j51vR6CYVGhABJpv6tkstgok82RLpXieLzW1yOY5rHw/edit?usp=sharing"",""สิงห์บุรี!R690"")"),0)</f>
        <v>0</v>
      </c>
      <c r="T71" s="87">
        <f ca="1">IFERROR(__xludf.DUMMYFUNCTION("IMPORTRANGE(""https://docs.google.com/spreadsheets/d/1j51vR6CYVGhABJpv6tkstgok82RLpXieLzW1yOY5rHw/edit?usp=sharing"",""สิงห์บุรี!S690"")"),0)</f>
        <v>0</v>
      </c>
      <c r="U71" s="87">
        <f t="shared" ca="1" si="41"/>
        <v>0</v>
      </c>
      <c r="V71" s="87">
        <f t="shared" ca="1" si="42"/>
        <v>0</v>
      </c>
      <c r="W71" s="353">
        <f ca="1">IFERROR(__xludf.DUMMYFUNCTION("IMPORTRANGE(""https://docs.google.com/spreadsheets/d/1j51vR6CYVGhABJpv6tkstgok82RLpXieLzW1yOY5rHw/edit?usp=sharing"",""สิงห์บุรี!I700"")"),0)</f>
        <v>0</v>
      </c>
      <c r="X71" s="177">
        <f ca="1">IFERROR(__xludf.DUMMYFUNCTION("IMPORTRANGE(""https://docs.google.com/spreadsheets/d/1j51vR6CYVGhABJpv6tkstgok82RLpXieLzW1yOY5rHw/edit?usp=sharing"",""สิงห์บุรี!J700"")"),0)</f>
        <v>0</v>
      </c>
      <c r="Y71" s="354">
        <f t="shared" ca="1" si="44"/>
        <v>0</v>
      </c>
      <c r="Z71" s="353">
        <f ca="1">IFERROR(__xludf.DUMMYFUNCTION("IMPORTRANGE(""https://docs.google.com/spreadsheets/d/1j51vR6CYVGhABJpv6tkstgok82RLpXieLzW1yOY5rHw/edit?usp=sharing"",""สิงห์บุรี!I701"")"),0)</f>
        <v>0</v>
      </c>
      <c r="AA71" s="177">
        <f ca="1">IFERROR(__xludf.DUMMYFUNCTION("IMPORTRANGE(""https://docs.google.com/spreadsheets/d/1j51vR6CYVGhABJpv6tkstgok82RLpXieLzW1yOY5rHw/edit?usp=sharing"",""สิงห์บุรี!J701"")"),0)</f>
        <v>0</v>
      </c>
      <c r="AB71" s="177">
        <f ca="1">IFERROR(__xludf.DUMMYFUNCTION("IMPORTRANGE(""https://docs.google.com/spreadsheets/d/1j51vR6CYVGhABJpv6tkstgok82RLpXieLzW1yOY5rHw/edit?usp=sharing"",""สิงห์บุรี!J702"")"),0)</f>
        <v>0</v>
      </c>
      <c r="AC71" s="354">
        <f t="shared" ca="1" si="46"/>
        <v>0</v>
      </c>
      <c r="AD71" s="353">
        <f ca="1">IFERROR(__xludf.DUMMYFUNCTION("IMPORTRANGE(""https://docs.google.com/spreadsheets/d/1j51vR6CYVGhABJpv6tkstgok82RLpXieLzW1yOY5rHw/edit?usp=sharing"",""สิงห์บุรี!I703"")"),0)</f>
        <v>0</v>
      </c>
      <c r="AE71" s="177">
        <f ca="1">IFERROR(__xludf.DUMMYFUNCTION("IMPORTRANGE(""https://docs.google.com/spreadsheets/d/1j51vR6CYVGhABJpv6tkstgok82RLpXieLzW1yOY5rHw/edit?usp=sharing"",""สิงห์บุรี!J703"")"),0)</f>
        <v>0</v>
      </c>
      <c r="AF71" s="177">
        <f ca="1">IFERROR(__xludf.DUMMYFUNCTION("IMPORTRANGE(""https://docs.google.com/spreadsheets/d/1j51vR6CYVGhABJpv6tkstgok82RLpXieLzW1yOY5rHw/edit?usp=sharing"",""สิงห์บุรี!J704"")"),0)</f>
        <v>0</v>
      </c>
      <c r="AG71" s="354">
        <f t="shared" ca="1" si="48"/>
        <v>0</v>
      </c>
      <c r="AH71" s="495">
        <f ca="1">IFERROR(__xludf.DUMMYFUNCTION("IMPORTRANGE(""https://docs.google.com/spreadsheets/d/1j51vR6CYVGhABJpv6tkstgok82RLpXieLzW1yOY5rHw/edit?usp=sharing"",""สิงห์บุรี!I705"")"),0)</f>
        <v>0</v>
      </c>
      <c r="AI71" s="496">
        <f ca="1">IFERROR(__xludf.DUMMYFUNCTION("IMPORTRANGE(""https://docs.google.com/spreadsheets/d/1j51vR6CYVGhABJpv6tkstgok82RLpXieLzW1yOY5rHw/edit?usp=sharing"",""สิงห์บุรี!J705"")"),0)</f>
        <v>0</v>
      </c>
      <c r="AJ71" s="496">
        <f ca="1">IFERROR(__xludf.DUMMYFUNCTION("IMPORTRANGE(""https://docs.google.com/spreadsheets/d/1j51vR6CYVGhABJpv6tkstgok82RLpXieLzW1yOY5rHw/edit?usp=sharing"",""สิงห์บุรี!J706"")"),0)</f>
        <v>0</v>
      </c>
      <c r="AK71" s="497">
        <f t="shared" ca="1" si="50"/>
        <v>0</v>
      </c>
      <c r="AL71" s="353">
        <f ca="1">IFERROR(__xludf.DUMMYFUNCTION("IMPORTRANGE(""https://docs.google.com/spreadsheets/d/1j51vR6CYVGhABJpv6tkstgok82RLpXieLzW1yOY5rHw/edit?usp=sharing"",""สิงห์บุรี!I707"")"),0)</f>
        <v>0</v>
      </c>
      <c r="AM71" s="177">
        <f ca="1">IFERROR(__xludf.DUMMYFUNCTION("IMPORTRANGE(""https://docs.google.com/spreadsheets/d/1j51vR6CYVGhABJpv6tkstgok82RLpXieLzW1yOY5rHw/edit?usp=sharing"",""สิงห์บุรี!J707"")"),0)</f>
        <v>0</v>
      </c>
      <c r="AN71" s="177">
        <f ca="1">IFERROR(__xludf.DUMMYFUNCTION("IMPORTRANGE(""https://docs.google.com/spreadsheets/d/1j51vR6CYVGhABJpv6tkstgok82RLpXieLzW1yOY5rHw/edit?usp=sharing"",""สิงห์บุรี!J708"")"),0)</f>
        <v>0</v>
      </c>
      <c r="AO71" s="354">
        <f t="shared" ca="1" si="52"/>
        <v>0</v>
      </c>
      <c r="AP71" s="495">
        <f ca="1">IFERROR(__xludf.DUMMYFUNCTION("IMPORTRANGE(""https://docs.google.com/spreadsheets/d/1j51vR6CYVGhABJpv6tkstgok82RLpXieLzW1yOY5rHw/edit?usp=sharing"",""สิงห์บุรี!I709"")"),0)</f>
        <v>0</v>
      </c>
      <c r="AQ71" s="496">
        <f ca="1">IFERROR(__xludf.DUMMYFUNCTION("IMPORTRANGE(""https://docs.google.com/spreadsheets/d/1j51vR6CYVGhABJpv6tkstgok82RLpXieLzW1yOY5rHw/edit?usp=sharing"",""สิงห์บุรี!J709"")"),0)</f>
        <v>0</v>
      </c>
      <c r="AR71" s="496">
        <f ca="1">IFERROR(__xludf.DUMMYFUNCTION("IMPORTRANGE(""https://docs.google.com/spreadsheets/d/1j51vR6CYVGhABJpv6tkstgok82RLpXieLzW1yOY5rHw/edit?usp=sharing"",""สิงห์บุรี!J710"")"),0)</f>
        <v>0</v>
      </c>
      <c r="AS71" s="497">
        <f t="shared" ca="1" si="54"/>
        <v>0</v>
      </c>
    </row>
    <row r="72" spans="1:45" ht="24.75" customHeight="1" x14ac:dyDescent="0.3">
      <c r="A72" s="89">
        <v>20</v>
      </c>
      <c r="B72" s="90" t="s">
        <v>98</v>
      </c>
      <c r="C72" s="174">
        <f t="shared" si="32"/>
        <v>0</v>
      </c>
      <c r="D72" s="175">
        <f t="shared" si="73"/>
        <v>0</v>
      </c>
      <c r="E72" s="403">
        <v>0</v>
      </c>
      <c r="F72" s="403">
        <v>0</v>
      </c>
      <c r="G72" s="403">
        <v>0</v>
      </c>
      <c r="H72" s="403">
        <v>0</v>
      </c>
      <c r="I72" s="403">
        <v>0</v>
      </c>
      <c r="J72" s="176">
        <f t="shared" si="34"/>
        <v>0</v>
      </c>
      <c r="K72" s="179">
        <f t="shared" si="35"/>
        <v>0</v>
      </c>
      <c r="L72" s="403">
        <v>0</v>
      </c>
      <c r="M72" s="87">
        <f t="shared" si="36"/>
        <v>0</v>
      </c>
      <c r="N72" s="87">
        <f t="shared" si="37"/>
        <v>0</v>
      </c>
      <c r="O72" s="403">
        <v>0</v>
      </c>
      <c r="P72" s="86">
        <f t="shared" si="38"/>
        <v>0</v>
      </c>
      <c r="Q72" s="87">
        <f t="shared" si="39"/>
        <v>0</v>
      </c>
      <c r="R72" s="87">
        <f ca="1">IFERROR(__xludf.DUMMYFUNCTION("IMPORTRANGE(""https://docs.google.com/spreadsheets/d/1H1EalTWKUSzO4Z1-1CwzoDUaVffgrThEBe2sl74kKG0/edit?usp=sharing"",""สุพรรณบุรี!Q690"")"),196020)</f>
        <v>196020</v>
      </c>
      <c r="S72" s="87">
        <f ca="1">IFERROR(__xludf.DUMMYFUNCTION("IMPORTRANGE(""https://docs.google.com/spreadsheets/d/1H1EalTWKUSzO4Z1-1CwzoDUaVffgrThEBe2sl74kKG0/edit?usp=sharing"",""สุพรรณบุรี!R690"")"),0)</f>
        <v>0</v>
      </c>
      <c r="T72" s="87">
        <f ca="1">IFERROR(__xludf.DUMMYFUNCTION("IMPORTRANGE(""https://docs.google.com/spreadsheets/d/1H1EalTWKUSzO4Z1-1CwzoDUaVffgrThEBe2sl74kKG0/edit?usp=sharing"",""สุพรรณบุรี!S690"")"),0)</f>
        <v>0</v>
      </c>
      <c r="U72" s="87">
        <f t="shared" ca="1" si="41"/>
        <v>0</v>
      </c>
      <c r="V72" s="87">
        <f t="shared" ca="1" si="42"/>
        <v>0</v>
      </c>
      <c r="W72" s="353">
        <f ca="1">IFERROR(__xludf.DUMMYFUNCTION("IMPORTRANGE(""https://docs.google.com/spreadsheets/d/1H1EalTWKUSzO4Z1-1CwzoDUaVffgrThEBe2sl74kKG0/edit?usp=sharing"",""สุพรรณบุรี!I700"")"),0)</f>
        <v>0</v>
      </c>
      <c r="X72" s="177">
        <f ca="1">IFERROR(__xludf.DUMMYFUNCTION("IMPORTRANGE(""https://docs.google.com/spreadsheets/d/1H1EalTWKUSzO4Z1-1CwzoDUaVffgrThEBe2sl74kKG0/edit?usp=sharing"",""สุพรรณบุรี!J700"")"),0)</f>
        <v>0</v>
      </c>
      <c r="Y72" s="354">
        <f t="shared" ca="1" si="44"/>
        <v>0</v>
      </c>
      <c r="Z72" s="353">
        <f ca="1">IFERROR(__xludf.DUMMYFUNCTION("IMPORTRANGE(""https://docs.google.com/spreadsheets/d/1H1EalTWKUSzO4Z1-1CwzoDUaVffgrThEBe2sl74kKG0/edit?usp=sharing"",""สุพรรณบุรี!I701"")"),80)</f>
        <v>80</v>
      </c>
      <c r="AA72" s="177">
        <f ca="1">IFERROR(__xludf.DUMMYFUNCTION("IMPORTRANGE(""https://docs.google.com/spreadsheets/d/1H1EalTWKUSzO4Z1-1CwzoDUaVffgrThEBe2sl74kKG0/edit?usp=sharing"",""สุพรรณบุรี!J701"")"),53)</f>
        <v>53</v>
      </c>
      <c r="AB72" s="177">
        <f ca="1">IFERROR(__xludf.DUMMYFUNCTION("IMPORTRANGE(""https://docs.google.com/spreadsheets/d/1H1EalTWKUSzO4Z1-1CwzoDUaVffgrThEBe2sl74kKG0/edit?usp=sharing"",""สุพรรณบุรี!J702"")"),15.28)</f>
        <v>15.28</v>
      </c>
      <c r="AC72" s="354">
        <f t="shared" ca="1" si="46"/>
        <v>66.25</v>
      </c>
      <c r="AD72" s="353">
        <f ca="1">IFERROR(__xludf.DUMMYFUNCTION("IMPORTRANGE(""https://docs.google.com/spreadsheets/d/1H1EalTWKUSzO4Z1-1CwzoDUaVffgrThEBe2sl74kKG0/edit?usp=sharing"",""สุพรรณบุรี!I703"")"),80)</f>
        <v>80</v>
      </c>
      <c r="AE72" s="177">
        <f ca="1">IFERROR(__xludf.DUMMYFUNCTION("IMPORTRANGE(""https://docs.google.com/spreadsheets/d/1H1EalTWKUSzO4Z1-1CwzoDUaVffgrThEBe2sl74kKG0/edit?usp=sharing"",""สุพรรณบุรี!J703"")"),53)</f>
        <v>53</v>
      </c>
      <c r="AF72" s="177">
        <f ca="1">IFERROR(__xludf.DUMMYFUNCTION("IMPORTRANGE(""https://docs.google.com/spreadsheets/d/1H1EalTWKUSzO4Z1-1CwzoDUaVffgrThEBe2sl74kKG0/edit?usp=sharing"",""สุพรรณบุรี!J704"")"),15.28)</f>
        <v>15.28</v>
      </c>
      <c r="AG72" s="354">
        <f t="shared" ca="1" si="48"/>
        <v>66.25</v>
      </c>
      <c r="AH72" s="495">
        <f ca="1">IFERROR(__xludf.DUMMYFUNCTION("IMPORTRANGE(""https://docs.google.com/spreadsheets/d/1H1EalTWKUSzO4Z1-1CwzoDUaVffgrThEBe2sl74kKG0/edit?usp=sharing"",""สุพรรณบุรี!I705"")"),0)</f>
        <v>0</v>
      </c>
      <c r="AI72" s="496">
        <f ca="1">IFERROR(__xludf.DUMMYFUNCTION("IMPORTRANGE(""https://docs.google.com/spreadsheets/d/1H1EalTWKUSzO4Z1-1CwzoDUaVffgrThEBe2sl74kKG0/edit?usp=sharing"",""สุพรรณบุรี!J705"")"),0)</f>
        <v>0</v>
      </c>
      <c r="AJ72" s="496">
        <f ca="1">IFERROR(__xludf.DUMMYFUNCTION("IMPORTRANGE(""https://docs.google.com/spreadsheets/d/1H1EalTWKUSzO4Z1-1CwzoDUaVffgrThEBe2sl74kKG0/edit?usp=sharing"",""สุพรรณบุรี!J706"")"),0)</f>
        <v>0</v>
      </c>
      <c r="AK72" s="497">
        <f t="shared" ca="1" si="50"/>
        <v>0</v>
      </c>
      <c r="AL72" s="353">
        <f ca="1">IFERROR(__xludf.DUMMYFUNCTION("IMPORTRANGE(""https://docs.google.com/spreadsheets/d/1H1EalTWKUSzO4Z1-1CwzoDUaVffgrThEBe2sl74kKG0/edit?usp=sharing"",""สุพรรณบุรี!I707"")"),80)</f>
        <v>80</v>
      </c>
      <c r="AM72" s="177">
        <f ca="1">IFERROR(__xludf.DUMMYFUNCTION("IMPORTRANGE(""https://docs.google.com/spreadsheets/d/1H1EalTWKUSzO4Z1-1CwzoDUaVffgrThEBe2sl74kKG0/edit?usp=sharing"",""สุพรรณบุรี!J707"")"),53)</f>
        <v>53</v>
      </c>
      <c r="AN72" s="177">
        <f ca="1">IFERROR(__xludf.DUMMYFUNCTION("IMPORTRANGE(""https://docs.google.com/spreadsheets/d/1H1EalTWKUSzO4Z1-1CwzoDUaVffgrThEBe2sl74kKG0/edit?usp=sharing"",""สุพรรณบุรี!J708"")"),15)</f>
        <v>15</v>
      </c>
      <c r="AO72" s="354">
        <f t="shared" ca="1" si="52"/>
        <v>66.25</v>
      </c>
      <c r="AP72" s="495">
        <f ca="1">IFERROR(__xludf.DUMMYFUNCTION("IMPORTRANGE(""https://docs.google.com/spreadsheets/d/1H1EalTWKUSzO4Z1-1CwzoDUaVffgrThEBe2sl74kKG0/edit?usp=sharing"",""สุพรรณบุรี!I709"")"),0)</f>
        <v>0</v>
      </c>
      <c r="AQ72" s="496">
        <f ca="1">IFERROR(__xludf.DUMMYFUNCTION("IMPORTRANGE(""https://docs.google.com/spreadsheets/d/1H1EalTWKUSzO4Z1-1CwzoDUaVffgrThEBe2sl74kKG0/edit?usp=sharing"",""สุพรรณบุรี!J709"")"),0)</f>
        <v>0</v>
      </c>
      <c r="AR72" s="496">
        <f ca="1">IFERROR(__xludf.DUMMYFUNCTION("IMPORTRANGE(""https://docs.google.com/spreadsheets/d/1H1EalTWKUSzO4Z1-1CwzoDUaVffgrThEBe2sl74kKG0/edit?usp=sharing"",""สุพรรณบุรี!J710"")"),0)</f>
        <v>0</v>
      </c>
      <c r="AS72" s="497">
        <f t="shared" ca="1" si="54"/>
        <v>0</v>
      </c>
    </row>
    <row r="73" spans="1:45" ht="24.75" customHeight="1" x14ac:dyDescent="0.3">
      <c r="A73" s="100">
        <v>21</v>
      </c>
      <c r="B73" s="101" t="s">
        <v>99</v>
      </c>
      <c r="C73" s="182">
        <f t="shared" si="32"/>
        <v>0</v>
      </c>
      <c r="D73" s="183">
        <f t="shared" si="73"/>
        <v>0</v>
      </c>
      <c r="E73" s="409">
        <v>0</v>
      </c>
      <c r="F73" s="409">
        <v>0</v>
      </c>
      <c r="G73" s="409">
        <v>0</v>
      </c>
      <c r="H73" s="409">
        <v>0</v>
      </c>
      <c r="I73" s="409">
        <v>0</v>
      </c>
      <c r="J73" s="184">
        <f t="shared" si="34"/>
        <v>0</v>
      </c>
      <c r="K73" s="185">
        <f t="shared" si="35"/>
        <v>0</v>
      </c>
      <c r="L73" s="409">
        <v>0</v>
      </c>
      <c r="M73" s="109">
        <f t="shared" si="36"/>
        <v>0</v>
      </c>
      <c r="N73" s="109">
        <f t="shared" si="37"/>
        <v>0</v>
      </c>
      <c r="O73" s="409">
        <v>0</v>
      </c>
      <c r="P73" s="108">
        <f t="shared" si="38"/>
        <v>0</v>
      </c>
      <c r="Q73" s="109">
        <f t="shared" si="39"/>
        <v>0</v>
      </c>
      <c r="R73" s="109">
        <f ca="1">IFERROR(__xludf.DUMMYFUNCTION("IMPORTRANGE(""https://docs.google.com/spreadsheets/d/1BmIruG_sIrJLYao_Pdr7zVArWsfoBt2692TMi6x_854/edit?usp=sharing"",""อ่างทอง!Q690"")"),0)</f>
        <v>0</v>
      </c>
      <c r="S73" s="109">
        <f ca="1">IFERROR(__xludf.DUMMYFUNCTION("IMPORTRANGE(""https://docs.google.com/spreadsheets/d/1BmIruG_sIrJLYao_Pdr7zVArWsfoBt2692TMi6x_854/edit?usp=sharing"",""อ่างทอง!R690"")"),0)</f>
        <v>0</v>
      </c>
      <c r="T73" s="109">
        <f ca="1">IFERROR(__xludf.DUMMYFUNCTION("IMPORTRANGE(""https://docs.google.com/spreadsheets/d/1BmIruG_sIrJLYao_Pdr7zVArWsfoBt2692TMi6x_854/edit?usp=sharing"",""อ่างทอง!S690"")"),0)</f>
        <v>0</v>
      </c>
      <c r="U73" s="109">
        <f t="shared" ca="1" si="41"/>
        <v>0</v>
      </c>
      <c r="V73" s="109">
        <f t="shared" ca="1" si="42"/>
        <v>0</v>
      </c>
      <c r="W73" s="356">
        <f ca="1">IFERROR(__xludf.DUMMYFUNCTION("IMPORTRANGE(""https://docs.google.com/spreadsheets/d/1BmIruG_sIrJLYao_Pdr7zVArWsfoBt2692TMi6x_854/edit?usp=sharing"",""อ่างทอง!I700"")"),0)</f>
        <v>0</v>
      </c>
      <c r="X73" s="186">
        <f ca="1">IFERROR(__xludf.DUMMYFUNCTION("IMPORTRANGE(""https://docs.google.com/spreadsheets/d/1BmIruG_sIrJLYao_Pdr7zVArWsfoBt2692TMi6x_854/edit?usp=sharing"",""อ่างทอง!J700"")"),0)</f>
        <v>0</v>
      </c>
      <c r="Y73" s="357">
        <f t="shared" ca="1" si="44"/>
        <v>0</v>
      </c>
      <c r="Z73" s="356">
        <f ca="1">IFERROR(__xludf.DUMMYFUNCTION("IMPORTRANGE(""https://docs.google.com/spreadsheets/d/1BmIruG_sIrJLYao_Pdr7zVArWsfoBt2692TMi6x_854/edit?usp=sharing"",""อ่างทอง!I701"")"),0)</f>
        <v>0</v>
      </c>
      <c r="AA73" s="186">
        <f ca="1">IFERROR(__xludf.DUMMYFUNCTION("IMPORTRANGE(""https://docs.google.com/spreadsheets/d/1BmIruG_sIrJLYao_Pdr7zVArWsfoBt2692TMi6x_854/edit?usp=sharing"",""อ่างทอง!J701"")"),0)</f>
        <v>0</v>
      </c>
      <c r="AB73" s="186">
        <f ca="1">IFERROR(__xludf.DUMMYFUNCTION("IMPORTRANGE(""https://docs.google.com/spreadsheets/d/1BmIruG_sIrJLYao_Pdr7zVArWsfoBt2692TMi6x_854/edit?usp=sharing"",""อ่างทอง!J702"")"),0)</f>
        <v>0</v>
      </c>
      <c r="AC73" s="357">
        <f t="shared" ca="1" si="46"/>
        <v>0</v>
      </c>
      <c r="AD73" s="356">
        <f ca="1">IFERROR(__xludf.DUMMYFUNCTION("IMPORTRANGE(""https://docs.google.com/spreadsheets/d/1BmIruG_sIrJLYao_Pdr7zVArWsfoBt2692TMi6x_854/edit?usp=sharing"",""อ่างทอง!I703"")"),0)</f>
        <v>0</v>
      </c>
      <c r="AE73" s="186">
        <f ca="1">IFERROR(__xludf.DUMMYFUNCTION("IMPORTRANGE(""https://docs.google.com/spreadsheets/d/1BmIruG_sIrJLYao_Pdr7zVArWsfoBt2692TMi6x_854/edit?usp=sharing"",""อ่างทอง!J703"")"),0)</f>
        <v>0</v>
      </c>
      <c r="AF73" s="186">
        <f ca="1">IFERROR(__xludf.DUMMYFUNCTION("IMPORTRANGE(""https://docs.google.com/spreadsheets/d/1BmIruG_sIrJLYao_Pdr7zVArWsfoBt2692TMi6x_854/edit?usp=sharing"",""อ่างทอง!J704"")"),0)</f>
        <v>0</v>
      </c>
      <c r="AG73" s="357">
        <f t="shared" ca="1" si="48"/>
        <v>0</v>
      </c>
      <c r="AH73" s="498">
        <f ca="1">IFERROR(__xludf.DUMMYFUNCTION("IMPORTRANGE(""https://docs.google.com/spreadsheets/d/1BmIruG_sIrJLYao_Pdr7zVArWsfoBt2692TMi6x_854/edit?usp=sharing"",""อ่างทอง!I705"")"),0)</f>
        <v>0</v>
      </c>
      <c r="AI73" s="499">
        <f ca="1">IFERROR(__xludf.DUMMYFUNCTION("IMPORTRANGE(""https://docs.google.com/spreadsheets/d/1BmIruG_sIrJLYao_Pdr7zVArWsfoBt2692TMi6x_854/edit?usp=sharing"",""อ่างทอง!J705"")"),0)</f>
        <v>0</v>
      </c>
      <c r="AJ73" s="499">
        <f ca="1">IFERROR(__xludf.DUMMYFUNCTION("IMPORTRANGE(""https://docs.google.com/spreadsheets/d/1BmIruG_sIrJLYao_Pdr7zVArWsfoBt2692TMi6x_854/edit?usp=sharing"",""อ่างทอง!J706"")"),0)</f>
        <v>0</v>
      </c>
      <c r="AK73" s="500">
        <f t="shared" ca="1" si="50"/>
        <v>0</v>
      </c>
      <c r="AL73" s="356">
        <f ca="1">IFERROR(__xludf.DUMMYFUNCTION("IMPORTRANGE(""https://docs.google.com/spreadsheets/d/1BmIruG_sIrJLYao_Pdr7zVArWsfoBt2692TMi6x_854/edit?usp=sharing"",""อ่างทอง!I707"")"),0)</f>
        <v>0</v>
      </c>
      <c r="AM73" s="186">
        <f ca="1">IFERROR(__xludf.DUMMYFUNCTION("IMPORTRANGE(""https://docs.google.com/spreadsheets/d/1BmIruG_sIrJLYao_Pdr7zVArWsfoBt2692TMi6x_854/edit?usp=sharing"",""อ่างทอง!J707"")"),0)</f>
        <v>0</v>
      </c>
      <c r="AN73" s="186">
        <f ca="1">IFERROR(__xludf.DUMMYFUNCTION("IMPORTRANGE(""https://docs.google.com/spreadsheets/d/1BmIruG_sIrJLYao_Pdr7zVArWsfoBt2692TMi6x_854/edit?usp=sharing"",""อ่างทอง!J708"")"),0)</f>
        <v>0</v>
      </c>
      <c r="AO73" s="357">
        <f t="shared" ca="1" si="52"/>
        <v>0</v>
      </c>
      <c r="AP73" s="498">
        <f ca="1">IFERROR(__xludf.DUMMYFUNCTION("IMPORTRANGE(""https://docs.google.com/spreadsheets/d/1BmIruG_sIrJLYao_Pdr7zVArWsfoBt2692TMi6x_854/edit?usp=sharing"",""อ่างทอง!I709"")"),0)</f>
        <v>0</v>
      </c>
      <c r="AQ73" s="499">
        <f ca="1">IFERROR(__xludf.DUMMYFUNCTION("IMPORTRANGE(""https://docs.google.com/spreadsheets/d/1BmIruG_sIrJLYao_Pdr7zVArWsfoBt2692TMi6x_854/edit?usp=sharing"",""อ่างทอง!J709"")"),0)</f>
        <v>0</v>
      </c>
      <c r="AR73" s="499">
        <f ca="1">IFERROR(__xludf.DUMMYFUNCTION("IMPORTRANGE(""https://docs.google.com/spreadsheets/d/1BmIruG_sIrJLYao_Pdr7zVArWsfoBt2692TMi6x_854/edit?usp=sharing"",""อ่างทอง!J710"")"),0)</f>
        <v>0</v>
      </c>
      <c r="AS73" s="500">
        <f t="shared" ca="1" si="54"/>
        <v>0</v>
      </c>
    </row>
    <row r="74" spans="1:45" ht="24.75" customHeight="1" x14ac:dyDescent="0.3">
      <c r="A74" s="624" t="s">
        <v>100</v>
      </c>
      <c r="B74" s="604"/>
      <c r="C74" s="161">
        <f t="shared" si="32"/>
        <v>0</v>
      </c>
      <c r="D74" s="161">
        <f t="shared" ref="D74:I74" si="74">SUM(D75:D88)</f>
        <v>0</v>
      </c>
      <c r="E74" s="161">
        <f t="shared" si="74"/>
        <v>0</v>
      </c>
      <c r="F74" s="161">
        <f t="shared" si="74"/>
        <v>0</v>
      </c>
      <c r="G74" s="161">
        <f t="shared" si="74"/>
        <v>0</v>
      </c>
      <c r="H74" s="161">
        <f t="shared" si="74"/>
        <v>0</v>
      </c>
      <c r="I74" s="161">
        <f t="shared" si="74"/>
        <v>0</v>
      </c>
      <c r="J74" s="161">
        <f t="shared" si="34"/>
        <v>0</v>
      </c>
      <c r="K74" s="162">
        <f t="shared" si="35"/>
        <v>0</v>
      </c>
      <c r="L74" s="161">
        <f>SUM(L75:L88)</f>
        <v>0</v>
      </c>
      <c r="M74" s="40">
        <f t="shared" si="36"/>
        <v>0</v>
      </c>
      <c r="N74" s="40">
        <f t="shared" si="37"/>
        <v>0</v>
      </c>
      <c r="O74" s="39">
        <f>SUM(O75:O88)</f>
        <v>0</v>
      </c>
      <c r="P74" s="39">
        <f t="shared" si="38"/>
        <v>0</v>
      </c>
      <c r="Q74" s="40">
        <f t="shared" si="39"/>
        <v>0</v>
      </c>
      <c r="R74" s="40">
        <f t="shared" ref="R74:T74" ca="1" si="75">SUM(R75:R88)</f>
        <v>865550</v>
      </c>
      <c r="S74" s="40">
        <f t="shared" ca="1" si="75"/>
        <v>0</v>
      </c>
      <c r="T74" s="40">
        <f t="shared" ca="1" si="75"/>
        <v>0</v>
      </c>
      <c r="U74" s="40">
        <f t="shared" ca="1" si="41"/>
        <v>0</v>
      </c>
      <c r="V74" s="40">
        <f t="shared" ca="1" si="42"/>
        <v>0</v>
      </c>
      <c r="W74" s="347">
        <f t="shared" ref="W74:X74" ca="1" si="76">SUM(W75:W88)</f>
        <v>0</v>
      </c>
      <c r="X74" s="451">
        <f t="shared" ca="1" si="76"/>
        <v>0</v>
      </c>
      <c r="Y74" s="40">
        <f t="shared" ca="1" si="44"/>
        <v>0</v>
      </c>
      <c r="Z74" s="347">
        <f t="shared" ref="Z74:AB74" ca="1" si="77">SUM(Z75:Z88)</f>
        <v>113</v>
      </c>
      <c r="AA74" s="451">
        <f t="shared" ca="1" si="77"/>
        <v>0</v>
      </c>
      <c r="AB74" s="451">
        <f t="shared" ca="1" si="77"/>
        <v>0</v>
      </c>
      <c r="AC74" s="40">
        <f t="shared" ca="1" si="46"/>
        <v>0</v>
      </c>
      <c r="AD74" s="347">
        <f t="shared" ref="AD74:AF74" ca="1" si="78">SUM(AD75:AD88)</f>
        <v>76</v>
      </c>
      <c r="AE74" s="451">
        <f t="shared" ca="1" si="78"/>
        <v>0</v>
      </c>
      <c r="AF74" s="451">
        <f t="shared" ca="1" si="78"/>
        <v>0</v>
      </c>
      <c r="AG74" s="40">
        <f t="shared" ca="1" si="48"/>
        <v>0</v>
      </c>
      <c r="AH74" s="489">
        <f t="shared" ref="AH74:AJ74" ca="1" si="79">SUM(AH75:AH88)</f>
        <v>37</v>
      </c>
      <c r="AI74" s="490">
        <f t="shared" ca="1" si="79"/>
        <v>0</v>
      </c>
      <c r="AJ74" s="490">
        <f t="shared" ca="1" si="79"/>
        <v>0</v>
      </c>
      <c r="AK74" s="491">
        <f t="shared" ca="1" si="50"/>
        <v>0</v>
      </c>
      <c r="AL74" s="347">
        <f t="shared" ref="AL74:AN74" ca="1" si="80">SUM(AL75:AL88)</f>
        <v>76</v>
      </c>
      <c r="AM74" s="451">
        <f t="shared" ca="1" si="80"/>
        <v>0</v>
      </c>
      <c r="AN74" s="451">
        <f t="shared" ca="1" si="80"/>
        <v>0</v>
      </c>
      <c r="AO74" s="40">
        <f t="shared" ca="1" si="52"/>
        <v>0</v>
      </c>
      <c r="AP74" s="489">
        <f t="shared" ref="AP74:AR74" ca="1" si="81">SUM(AP75:AP88)</f>
        <v>37</v>
      </c>
      <c r="AQ74" s="490">
        <f t="shared" ca="1" si="81"/>
        <v>0</v>
      </c>
      <c r="AR74" s="490">
        <f t="shared" ca="1" si="81"/>
        <v>0</v>
      </c>
      <c r="AS74" s="491">
        <f t="shared" ca="1" si="54"/>
        <v>0</v>
      </c>
    </row>
    <row r="75" spans="1:45" ht="24.75" customHeight="1" x14ac:dyDescent="0.3">
      <c r="A75" s="77">
        <v>1</v>
      </c>
      <c r="B75" s="78" t="s">
        <v>101</v>
      </c>
      <c r="C75" s="174">
        <f t="shared" si="32"/>
        <v>0</v>
      </c>
      <c r="D75" s="175">
        <f t="shared" ref="D75:D88" si="82">+E75+F75</f>
        <v>0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176">
        <f t="shared" si="34"/>
        <v>0</v>
      </c>
      <c r="K75" s="179">
        <f t="shared" si="35"/>
        <v>0</v>
      </c>
      <c r="L75" s="403">
        <v>0</v>
      </c>
      <c r="M75" s="87">
        <f t="shared" si="36"/>
        <v>0</v>
      </c>
      <c r="N75" s="87">
        <f t="shared" si="37"/>
        <v>0</v>
      </c>
      <c r="O75" s="403">
        <v>0</v>
      </c>
      <c r="P75" s="86">
        <f t="shared" si="38"/>
        <v>0</v>
      </c>
      <c r="Q75" s="87">
        <f t="shared" si="39"/>
        <v>0</v>
      </c>
      <c r="R75" s="87">
        <f ca="1">IFERROR(__xludf.DUMMYFUNCTION("IMPORTRANGE(""https://docs.google.com/spreadsheets/d/1kKUcYdkIfrgTSj8iHHHB2MD2FAtwyyocFgqGQn6ADyI/edit?usp=sharing"",""กระบี่!Q690"")"),79150)</f>
        <v>79150</v>
      </c>
      <c r="S75" s="87">
        <f ca="1">IFERROR(__xludf.DUMMYFUNCTION("IMPORTRANGE(""https://docs.google.com/spreadsheets/d/1kKUcYdkIfrgTSj8iHHHB2MD2FAtwyyocFgqGQn6ADyI/edit?usp=sharing"",""กระบี่!R690"")"),0)</f>
        <v>0</v>
      </c>
      <c r="T75" s="87">
        <f ca="1">IFERROR(__xludf.DUMMYFUNCTION("IMPORTRANGE(""https://docs.google.com/spreadsheets/d/1kKUcYdkIfrgTSj8iHHHB2MD2FAtwyyocFgqGQn6ADyI/edit?usp=sharing"",""กระบี่!S690"")"),0)</f>
        <v>0</v>
      </c>
      <c r="U75" s="87">
        <f t="shared" ca="1" si="41"/>
        <v>0</v>
      </c>
      <c r="V75" s="87">
        <f t="shared" ca="1" si="42"/>
        <v>0</v>
      </c>
      <c r="W75" s="353">
        <f ca="1">IFERROR(__xludf.DUMMYFUNCTION("IMPORTRANGE(""https://docs.google.com/spreadsheets/d/1kKUcYdkIfrgTSj8iHHHB2MD2FAtwyyocFgqGQn6ADyI/edit?usp=sharing"",""กระบี่!I700"")"),0)</f>
        <v>0</v>
      </c>
      <c r="X75" s="177">
        <f ca="1">IFERROR(__xludf.DUMMYFUNCTION("IMPORTRANGE(""https://docs.google.com/spreadsheets/d/1kKUcYdkIfrgTSj8iHHHB2MD2FAtwyyocFgqGQn6ADyI/edit?usp=sharing"",""กระบี่!J700"")"),0)</f>
        <v>0</v>
      </c>
      <c r="Y75" s="354">
        <f t="shared" ca="1" si="44"/>
        <v>0</v>
      </c>
      <c r="Z75" s="353">
        <f ca="1">IFERROR(__xludf.DUMMYFUNCTION("IMPORTRANGE(""https://docs.google.com/spreadsheets/d/1kKUcYdkIfrgTSj8iHHHB2MD2FAtwyyocFgqGQn6ADyI/edit?usp=sharing"",""กระบี่!I701"")"),5)</f>
        <v>5</v>
      </c>
      <c r="AA75" s="177">
        <f ca="1">IFERROR(__xludf.DUMMYFUNCTION("IMPORTRANGE(""https://docs.google.com/spreadsheets/d/1kKUcYdkIfrgTSj8iHHHB2MD2FAtwyyocFgqGQn6ADyI/edit?usp=sharing"",""กระบี่!J701"")"),0)</f>
        <v>0</v>
      </c>
      <c r="AB75" s="177">
        <f ca="1">IFERROR(__xludf.DUMMYFUNCTION("IMPORTRANGE(""https://docs.google.com/spreadsheets/d/1kKUcYdkIfrgTSj8iHHHB2MD2FAtwyyocFgqGQn6ADyI/edit?usp=sharing"",""กระบี่!J702"")"),0)</f>
        <v>0</v>
      </c>
      <c r="AC75" s="354">
        <f t="shared" ca="1" si="46"/>
        <v>0</v>
      </c>
      <c r="AD75" s="353">
        <f ca="1">IFERROR(__xludf.DUMMYFUNCTION("IMPORTRANGE(""https://docs.google.com/spreadsheets/d/1kKUcYdkIfrgTSj8iHHHB2MD2FAtwyyocFgqGQn6ADyI/edit?usp=sharing"",""กระบี่!I703"")"),0)</f>
        <v>0</v>
      </c>
      <c r="AE75" s="177">
        <f ca="1">IFERROR(__xludf.DUMMYFUNCTION("IMPORTRANGE(""https://docs.google.com/spreadsheets/d/1kKUcYdkIfrgTSj8iHHHB2MD2FAtwyyocFgqGQn6ADyI/edit?usp=sharing"",""กระบี่!J703"")"),0)</f>
        <v>0</v>
      </c>
      <c r="AF75" s="177">
        <f ca="1">IFERROR(__xludf.DUMMYFUNCTION("IMPORTRANGE(""https://docs.google.com/spreadsheets/d/1kKUcYdkIfrgTSj8iHHHB2MD2FAtwyyocFgqGQn6ADyI/edit?usp=sharing"",""กระบี่!J704"")"),0)</f>
        <v>0</v>
      </c>
      <c r="AG75" s="354">
        <f t="shared" ca="1" si="48"/>
        <v>0</v>
      </c>
      <c r="AH75" s="495">
        <f ca="1">IFERROR(__xludf.DUMMYFUNCTION("IMPORTRANGE(""https://docs.google.com/spreadsheets/d/1kKUcYdkIfrgTSj8iHHHB2MD2FAtwyyocFgqGQn6ADyI/edit?usp=sharing"",""กระบี่!I705"")"),5)</f>
        <v>5</v>
      </c>
      <c r="AI75" s="496">
        <f ca="1">IFERROR(__xludf.DUMMYFUNCTION("IMPORTRANGE(""https://docs.google.com/spreadsheets/d/1kKUcYdkIfrgTSj8iHHHB2MD2FAtwyyocFgqGQn6ADyI/edit?usp=sharing"",""กระบี่!J705"")"),0)</f>
        <v>0</v>
      </c>
      <c r="AJ75" s="496">
        <f ca="1">IFERROR(__xludf.DUMMYFUNCTION("IMPORTRANGE(""https://docs.google.com/spreadsheets/d/1kKUcYdkIfrgTSj8iHHHB2MD2FAtwyyocFgqGQn6ADyI/edit?usp=sharing"",""กระบี่!J706"")"),0)</f>
        <v>0</v>
      </c>
      <c r="AK75" s="497">
        <f t="shared" ca="1" si="50"/>
        <v>0</v>
      </c>
      <c r="AL75" s="353">
        <f ca="1">IFERROR(__xludf.DUMMYFUNCTION("IMPORTRANGE(""https://docs.google.com/spreadsheets/d/1kKUcYdkIfrgTSj8iHHHB2MD2FAtwyyocFgqGQn6ADyI/edit?usp=sharing"",""กระบี่!I707"")"),0)</f>
        <v>0</v>
      </c>
      <c r="AM75" s="177">
        <f ca="1">IFERROR(__xludf.DUMMYFUNCTION("IMPORTRANGE(""https://docs.google.com/spreadsheets/d/1kKUcYdkIfrgTSj8iHHHB2MD2FAtwyyocFgqGQn6ADyI/edit?usp=sharing"",""กระบี่!J707"")"),0)</f>
        <v>0</v>
      </c>
      <c r="AN75" s="177">
        <f ca="1">IFERROR(__xludf.DUMMYFUNCTION("IMPORTRANGE(""https://docs.google.com/spreadsheets/d/1kKUcYdkIfrgTSj8iHHHB2MD2FAtwyyocFgqGQn6ADyI/edit?usp=sharing"",""กระบี่!J708"")"),0)</f>
        <v>0</v>
      </c>
      <c r="AO75" s="354">
        <f t="shared" ca="1" si="52"/>
        <v>0</v>
      </c>
      <c r="AP75" s="495">
        <f ca="1">IFERROR(__xludf.DUMMYFUNCTION("IMPORTRANGE(""https://docs.google.com/spreadsheets/d/1kKUcYdkIfrgTSj8iHHHB2MD2FAtwyyocFgqGQn6ADyI/edit?usp=sharing"",""กระบี่!I709"")"),5)</f>
        <v>5</v>
      </c>
      <c r="AQ75" s="496">
        <f ca="1">IFERROR(__xludf.DUMMYFUNCTION("IMPORTRANGE(""https://docs.google.com/spreadsheets/d/1kKUcYdkIfrgTSj8iHHHB2MD2FAtwyyocFgqGQn6ADyI/edit?usp=sharing"",""กระบี่!J709"")"),0)</f>
        <v>0</v>
      </c>
      <c r="AR75" s="496">
        <f ca="1">IFERROR(__xludf.DUMMYFUNCTION("IMPORTRANGE(""https://docs.google.com/spreadsheets/d/1kKUcYdkIfrgTSj8iHHHB2MD2FAtwyyocFgqGQn6ADyI/edit?usp=sharing"",""กระบี่!J710"")"),0)</f>
        <v>0</v>
      </c>
      <c r="AS75" s="497">
        <f t="shared" ca="1" si="54"/>
        <v>0</v>
      </c>
    </row>
    <row r="76" spans="1:45" ht="24.75" customHeight="1" x14ac:dyDescent="0.3">
      <c r="A76" s="89">
        <v>2</v>
      </c>
      <c r="B76" s="90" t="s">
        <v>102</v>
      </c>
      <c r="C76" s="174">
        <f t="shared" si="32"/>
        <v>0</v>
      </c>
      <c r="D76" s="175">
        <f t="shared" si="82"/>
        <v>0</v>
      </c>
      <c r="E76" s="403">
        <v>0</v>
      </c>
      <c r="F76" s="403">
        <v>0</v>
      </c>
      <c r="G76" s="403">
        <v>0</v>
      </c>
      <c r="H76" s="403">
        <v>0</v>
      </c>
      <c r="I76" s="403">
        <v>0</v>
      </c>
      <c r="J76" s="176">
        <f t="shared" si="34"/>
        <v>0</v>
      </c>
      <c r="K76" s="179">
        <f t="shared" si="35"/>
        <v>0</v>
      </c>
      <c r="L76" s="403">
        <v>0</v>
      </c>
      <c r="M76" s="87">
        <f t="shared" si="36"/>
        <v>0</v>
      </c>
      <c r="N76" s="87">
        <f t="shared" si="37"/>
        <v>0</v>
      </c>
      <c r="O76" s="403">
        <v>0</v>
      </c>
      <c r="P76" s="86">
        <f t="shared" si="38"/>
        <v>0</v>
      </c>
      <c r="Q76" s="87">
        <f t="shared" si="39"/>
        <v>0</v>
      </c>
      <c r="R76" s="87">
        <f ca="1">IFERROR(__xludf.DUMMYFUNCTION("IMPORTRANGE(""https://docs.google.com/spreadsheets/d/1GwtLaSlNZkLk7iDqcyZz22giiy40b_usZZBXYciEN1U/edit?usp=sharing"",""ชุมพร!Q690"")"),65890)</f>
        <v>65890</v>
      </c>
      <c r="S76" s="87">
        <f ca="1">IFERROR(__xludf.DUMMYFUNCTION("IMPORTRANGE(""https://docs.google.com/spreadsheets/d/1GwtLaSlNZkLk7iDqcyZz22giiy40b_usZZBXYciEN1U/edit?usp=sharing"",""ชุมพร!R690"")"),0)</f>
        <v>0</v>
      </c>
      <c r="T76" s="87">
        <f ca="1">IFERROR(__xludf.DUMMYFUNCTION("IMPORTRANGE(""https://docs.google.com/spreadsheets/d/1GwtLaSlNZkLk7iDqcyZz22giiy40b_usZZBXYciEN1U/edit?usp=sharing"",""ชุมพร!S690"")"),0)</f>
        <v>0</v>
      </c>
      <c r="U76" s="87">
        <f t="shared" ca="1" si="41"/>
        <v>0</v>
      </c>
      <c r="V76" s="87">
        <f t="shared" ca="1" si="42"/>
        <v>0</v>
      </c>
      <c r="W76" s="353">
        <f ca="1">IFERROR(__xludf.DUMMYFUNCTION("IMPORTRANGE(""https://docs.google.com/spreadsheets/d/1GwtLaSlNZkLk7iDqcyZz22giiy40b_usZZBXYciEN1U/edit?usp=sharing"",""ชุมพร!I700"")"),0)</f>
        <v>0</v>
      </c>
      <c r="X76" s="452">
        <f ca="1">IFERROR(__xludf.DUMMYFUNCTION("IMPORTRANGE(""https://docs.google.com/spreadsheets/d/1GwtLaSlNZkLk7iDqcyZz22giiy40b_usZZBXYciEN1U/edit?usp=sharing"",""ชุมพร!J700"")"),0)</f>
        <v>0</v>
      </c>
      <c r="Y76" s="354">
        <f t="shared" ca="1" si="44"/>
        <v>0</v>
      </c>
      <c r="Z76" s="353">
        <f ca="1">IFERROR(__xludf.DUMMYFUNCTION("IMPORTRANGE(""https://docs.google.com/spreadsheets/d/1GwtLaSlNZkLk7iDqcyZz22giiy40b_usZZBXYciEN1U/edit?usp=sharing"",""ชุมพร!I701"")"),5)</f>
        <v>5</v>
      </c>
      <c r="AA76" s="452">
        <f ca="1">IFERROR(__xludf.DUMMYFUNCTION("IMPORTRANGE(""https://docs.google.com/spreadsheets/d/1GwtLaSlNZkLk7iDqcyZz22giiy40b_usZZBXYciEN1U/edit?usp=sharing"",""ชุมพร!J701"")"),0)</f>
        <v>0</v>
      </c>
      <c r="AB76" s="452">
        <f ca="1">IFERROR(__xludf.DUMMYFUNCTION("IMPORTRANGE(""https://docs.google.com/spreadsheets/d/1GwtLaSlNZkLk7iDqcyZz22giiy40b_usZZBXYciEN1U/edit?usp=sharing"",""ชุมพร!J702"")"),0)</f>
        <v>0</v>
      </c>
      <c r="AC76" s="354">
        <f t="shared" ca="1" si="46"/>
        <v>0</v>
      </c>
      <c r="AD76" s="353">
        <f ca="1">IFERROR(__xludf.DUMMYFUNCTION("IMPORTRANGE(""https://docs.google.com/spreadsheets/d/1GwtLaSlNZkLk7iDqcyZz22giiy40b_usZZBXYciEN1U/edit?usp=sharing"",""ชุมพร!I703"")"),0)</f>
        <v>0</v>
      </c>
      <c r="AE76" s="452">
        <f ca="1">IFERROR(__xludf.DUMMYFUNCTION("IMPORTRANGE(""https://docs.google.com/spreadsheets/d/1GwtLaSlNZkLk7iDqcyZz22giiy40b_usZZBXYciEN1U/edit?usp=sharing"",""ชุมพร!J703"")"),0)</f>
        <v>0</v>
      </c>
      <c r="AF76" s="452">
        <f ca="1">IFERROR(__xludf.DUMMYFUNCTION("IMPORTRANGE(""https://docs.google.com/spreadsheets/d/1GwtLaSlNZkLk7iDqcyZz22giiy40b_usZZBXYciEN1U/edit?usp=sharing"",""ชุมพร!J704"")"),0)</f>
        <v>0</v>
      </c>
      <c r="AG76" s="354">
        <f t="shared" ca="1" si="48"/>
        <v>0</v>
      </c>
      <c r="AH76" s="495">
        <f ca="1">IFERROR(__xludf.DUMMYFUNCTION("IMPORTRANGE(""https://docs.google.com/spreadsheets/d/1GwtLaSlNZkLk7iDqcyZz22giiy40b_usZZBXYciEN1U/edit?usp=sharing"",""ชุมพร!I705"")"),5)</f>
        <v>5</v>
      </c>
      <c r="AI76" s="496">
        <f ca="1">IFERROR(__xludf.DUMMYFUNCTION("IMPORTRANGE(""https://docs.google.com/spreadsheets/d/1GwtLaSlNZkLk7iDqcyZz22giiy40b_usZZBXYciEN1U/edit?usp=sharing"",""ชุมพร!J705"")"),0)</f>
        <v>0</v>
      </c>
      <c r="AJ76" s="496">
        <f ca="1">IFERROR(__xludf.DUMMYFUNCTION("IMPORTRANGE(""https://docs.google.com/spreadsheets/d/1GwtLaSlNZkLk7iDqcyZz22giiy40b_usZZBXYciEN1U/edit?usp=sharing"",""ชุมพร!J706"")"),0)</f>
        <v>0</v>
      </c>
      <c r="AK76" s="497">
        <f t="shared" ca="1" si="50"/>
        <v>0</v>
      </c>
      <c r="AL76" s="353">
        <f ca="1">IFERROR(__xludf.DUMMYFUNCTION("IMPORTRANGE(""https://docs.google.com/spreadsheets/d/1GwtLaSlNZkLk7iDqcyZz22giiy40b_usZZBXYciEN1U/edit?usp=sharing"",""ชุมพร!I707"")"),0)</f>
        <v>0</v>
      </c>
      <c r="AM76" s="452">
        <f ca="1">IFERROR(__xludf.DUMMYFUNCTION("IMPORTRANGE(""https://docs.google.com/spreadsheets/d/1GwtLaSlNZkLk7iDqcyZz22giiy40b_usZZBXYciEN1U/edit?usp=sharing"",""ชุมพร!J707"")"),0)</f>
        <v>0</v>
      </c>
      <c r="AN76" s="452">
        <f ca="1">IFERROR(__xludf.DUMMYFUNCTION("IMPORTRANGE(""https://docs.google.com/spreadsheets/d/1GwtLaSlNZkLk7iDqcyZz22giiy40b_usZZBXYciEN1U/edit?usp=sharing"",""ชุมพร!J708"")"),0)</f>
        <v>0</v>
      </c>
      <c r="AO76" s="354">
        <f t="shared" ca="1" si="52"/>
        <v>0</v>
      </c>
      <c r="AP76" s="495">
        <f ca="1">IFERROR(__xludf.DUMMYFUNCTION("IMPORTRANGE(""https://docs.google.com/spreadsheets/d/1GwtLaSlNZkLk7iDqcyZz22giiy40b_usZZBXYciEN1U/edit?usp=sharing"",""ชุมพร!I709"")"),5)</f>
        <v>5</v>
      </c>
      <c r="AQ76" s="496">
        <f ca="1">IFERROR(__xludf.DUMMYFUNCTION("IMPORTRANGE(""https://docs.google.com/spreadsheets/d/1GwtLaSlNZkLk7iDqcyZz22giiy40b_usZZBXYciEN1U/edit?usp=sharing"",""ชุมพร!J709"")"),0)</f>
        <v>0</v>
      </c>
      <c r="AR76" s="496">
        <f ca="1">IFERROR(__xludf.DUMMYFUNCTION("IMPORTRANGE(""https://docs.google.com/spreadsheets/d/1GwtLaSlNZkLk7iDqcyZz22giiy40b_usZZBXYciEN1U/edit?usp=sharing"",""ชุมพร!J710"")"),0)</f>
        <v>0</v>
      </c>
      <c r="AS76" s="497">
        <f t="shared" ca="1" si="54"/>
        <v>0</v>
      </c>
    </row>
    <row r="77" spans="1:45" ht="24.75" customHeight="1" x14ac:dyDescent="0.3">
      <c r="A77" s="89">
        <v>3</v>
      </c>
      <c r="B77" s="90" t="s">
        <v>103</v>
      </c>
      <c r="C77" s="174">
        <f t="shared" si="32"/>
        <v>0</v>
      </c>
      <c r="D77" s="175">
        <f t="shared" si="82"/>
        <v>0</v>
      </c>
      <c r="E77" s="403">
        <v>0</v>
      </c>
      <c r="F77" s="403">
        <v>0</v>
      </c>
      <c r="G77" s="403">
        <v>0</v>
      </c>
      <c r="H77" s="403">
        <v>0</v>
      </c>
      <c r="I77" s="403">
        <v>0</v>
      </c>
      <c r="J77" s="176">
        <f t="shared" si="34"/>
        <v>0</v>
      </c>
      <c r="K77" s="179">
        <f t="shared" si="35"/>
        <v>0</v>
      </c>
      <c r="L77" s="403">
        <v>0</v>
      </c>
      <c r="M77" s="87">
        <f t="shared" si="36"/>
        <v>0</v>
      </c>
      <c r="N77" s="87">
        <f t="shared" si="37"/>
        <v>0</v>
      </c>
      <c r="O77" s="403">
        <v>0</v>
      </c>
      <c r="P77" s="86">
        <f t="shared" si="38"/>
        <v>0</v>
      </c>
      <c r="Q77" s="87">
        <f t="shared" si="39"/>
        <v>0</v>
      </c>
      <c r="R77" s="87">
        <f ca="1">IFERROR(__xludf.DUMMYFUNCTION("IMPORTRANGE(""https://docs.google.com/spreadsheets/d/16pAz3pOhQEZBhvFNMa5KGgZS6iKWpsKX0pg6tQmwFpo/edit?usp=sharing"",""ตรัง!Q690"")"),64340)</f>
        <v>64340</v>
      </c>
      <c r="S77" s="87">
        <f ca="1">IFERROR(__xludf.DUMMYFUNCTION("IMPORTRANGE(""https://docs.google.com/spreadsheets/d/16pAz3pOhQEZBhvFNMa5KGgZS6iKWpsKX0pg6tQmwFpo/edit?usp=sharing"",""ตรัง!R690"")"),0)</f>
        <v>0</v>
      </c>
      <c r="T77" s="87">
        <f ca="1">IFERROR(__xludf.DUMMYFUNCTION("IMPORTRANGE(""https://docs.google.com/spreadsheets/d/16pAz3pOhQEZBhvFNMa5KGgZS6iKWpsKX0pg6tQmwFpo/edit?usp=sharing"",""ตรัง!S690"")"),0)</f>
        <v>0</v>
      </c>
      <c r="U77" s="87">
        <f t="shared" ca="1" si="41"/>
        <v>0</v>
      </c>
      <c r="V77" s="87">
        <f t="shared" ca="1" si="42"/>
        <v>0</v>
      </c>
      <c r="W77" s="353">
        <f ca="1">IFERROR(__xludf.DUMMYFUNCTION("IMPORTRANGE(""https://docs.google.com/spreadsheets/d/16pAz3pOhQEZBhvFNMa5KGgZS6iKWpsKX0pg6tQmwFpo/edit?usp=sharing"",""ตรัง!I700"")"),0)</f>
        <v>0</v>
      </c>
      <c r="X77" s="177">
        <f ca="1">IFERROR(__xludf.DUMMYFUNCTION("IMPORTRANGE(""https://docs.google.com/spreadsheets/d/16pAz3pOhQEZBhvFNMa5KGgZS6iKWpsKX0pg6tQmwFpo/edit?usp=sharing"",""ตรัง!J700"")"),0)</f>
        <v>0</v>
      </c>
      <c r="Y77" s="354">
        <f t="shared" ca="1" si="44"/>
        <v>0</v>
      </c>
      <c r="Z77" s="353">
        <f ca="1">IFERROR(__xludf.DUMMYFUNCTION("IMPORTRANGE(""https://docs.google.com/spreadsheets/d/16pAz3pOhQEZBhvFNMa5KGgZS6iKWpsKX0pg6tQmwFpo/edit?usp=sharing"",""ตรัง!I701"")"),1)</f>
        <v>1</v>
      </c>
      <c r="AA77" s="177">
        <f ca="1">IFERROR(__xludf.DUMMYFUNCTION("IMPORTRANGE(""https://docs.google.com/spreadsheets/d/16pAz3pOhQEZBhvFNMa5KGgZS6iKWpsKX0pg6tQmwFpo/edit?usp=sharing"",""ตรัง!J701"")"),0)</f>
        <v>0</v>
      </c>
      <c r="AB77" s="177">
        <f ca="1">IFERROR(__xludf.DUMMYFUNCTION("IMPORTRANGE(""https://docs.google.com/spreadsheets/d/16pAz3pOhQEZBhvFNMa5KGgZS6iKWpsKX0pg6tQmwFpo/edit?usp=sharing"",""ตรัง!J702"")"),0)</f>
        <v>0</v>
      </c>
      <c r="AC77" s="354">
        <f t="shared" ca="1" si="46"/>
        <v>0</v>
      </c>
      <c r="AD77" s="353">
        <f ca="1">IFERROR(__xludf.DUMMYFUNCTION("IMPORTRANGE(""https://docs.google.com/spreadsheets/d/16pAz3pOhQEZBhvFNMa5KGgZS6iKWpsKX0pg6tQmwFpo/edit?usp=sharing"",""ตรัง!I703"")"),0)</f>
        <v>0</v>
      </c>
      <c r="AE77" s="177">
        <f ca="1">IFERROR(__xludf.DUMMYFUNCTION("IMPORTRANGE(""https://docs.google.com/spreadsheets/d/16pAz3pOhQEZBhvFNMa5KGgZS6iKWpsKX0pg6tQmwFpo/edit?usp=sharing"",""ตรัง!J703"")"),0)</f>
        <v>0</v>
      </c>
      <c r="AF77" s="177">
        <f ca="1">IFERROR(__xludf.DUMMYFUNCTION("IMPORTRANGE(""https://docs.google.com/spreadsheets/d/16pAz3pOhQEZBhvFNMa5KGgZS6iKWpsKX0pg6tQmwFpo/edit?usp=sharing"",""ตรัง!J704"")"),0)</f>
        <v>0</v>
      </c>
      <c r="AG77" s="354">
        <f t="shared" ca="1" si="48"/>
        <v>0</v>
      </c>
      <c r="AH77" s="495">
        <f ca="1">IFERROR(__xludf.DUMMYFUNCTION("IMPORTRANGE(""https://docs.google.com/spreadsheets/d/16pAz3pOhQEZBhvFNMa5KGgZS6iKWpsKX0pg6tQmwFpo/edit?usp=sharing"",""ตรัง!I705"")"),1)</f>
        <v>1</v>
      </c>
      <c r="AI77" s="496">
        <f ca="1">IFERROR(__xludf.DUMMYFUNCTION("IMPORTRANGE(""https://docs.google.com/spreadsheets/d/16pAz3pOhQEZBhvFNMa5KGgZS6iKWpsKX0pg6tQmwFpo/edit?usp=sharing"",""ตรัง!J705"")"),0)</f>
        <v>0</v>
      </c>
      <c r="AJ77" s="496">
        <f ca="1">IFERROR(__xludf.DUMMYFUNCTION("IMPORTRANGE(""https://docs.google.com/spreadsheets/d/16pAz3pOhQEZBhvFNMa5KGgZS6iKWpsKX0pg6tQmwFpo/edit?usp=sharing"",""ตรัง!J706"")"),0)</f>
        <v>0</v>
      </c>
      <c r="AK77" s="497">
        <f t="shared" ca="1" si="50"/>
        <v>0</v>
      </c>
      <c r="AL77" s="353">
        <f ca="1">IFERROR(__xludf.DUMMYFUNCTION("IMPORTRANGE(""https://docs.google.com/spreadsheets/d/16pAz3pOhQEZBhvFNMa5KGgZS6iKWpsKX0pg6tQmwFpo/edit?usp=sharing"",""ตรัง!I707"")"),0)</f>
        <v>0</v>
      </c>
      <c r="AM77" s="177">
        <f ca="1">IFERROR(__xludf.DUMMYFUNCTION("IMPORTRANGE(""https://docs.google.com/spreadsheets/d/16pAz3pOhQEZBhvFNMa5KGgZS6iKWpsKX0pg6tQmwFpo/edit?usp=sharing"",""ตรัง!J707"")"),0)</f>
        <v>0</v>
      </c>
      <c r="AN77" s="177">
        <f ca="1">IFERROR(__xludf.DUMMYFUNCTION("IMPORTRANGE(""https://docs.google.com/spreadsheets/d/16pAz3pOhQEZBhvFNMa5KGgZS6iKWpsKX0pg6tQmwFpo/edit?usp=sharing"",""ตรัง!J708"")"),0)</f>
        <v>0</v>
      </c>
      <c r="AO77" s="354">
        <f t="shared" ca="1" si="52"/>
        <v>0</v>
      </c>
      <c r="AP77" s="495">
        <f ca="1">IFERROR(__xludf.DUMMYFUNCTION("IMPORTRANGE(""https://docs.google.com/spreadsheets/d/16pAz3pOhQEZBhvFNMa5KGgZS6iKWpsKX0pg6tQmwFpo/edit?usp=sharing"",""ตรัง!I709"")"),1)</f>
        <v>1</v>
      </c>
      <c r="AQ77" s="496">
        <f ca="1">IFERROR(__xludf.DUMMYFUNCTION("IMPORTRANGE(""https://docs.google.com/spreadsheets/d/16pAz3pOhQEZBhvFNMa5KGgZS6iKWpsKX0pg6tQmwFpo/edit?usp=sharing"",""ตรัง!J709"")"),0)</f>
        <v>0</v>
      </c>
      <c r="AR77" s="496">
        <f ca="1">IFERROR(__xludf.DUMMYFUNCTION("IMPORTRANGE(""https://docs.google.com/spreadsheets/d/16pAz3pOhQEZBhvFNMa5KGgZS6iKWpsKX0pg6tQmwFpo/edit?usp=sharing"",""ตรัง!J710"")"),0)</f>
        <v>0</v>
      </c>
      <c r="AS77" s="497">
        <f t="shared" ca="1" si="54"/>
        <v>0</v>
      </c>
    </row>
    <row r="78" spans="1:45" ht="24.75" customHeight="1" x14ac:dyDescent="0.3">
      <c r="A78" s="89">
        <v>4</v>
      </c>
      <c r="B78" s="90" t="s">
        <v>104</v>
      </c>
      <c r="C78" s="174">
        <f t="shared" si="32"/>
        <v>0</v>
      </c>
      <c r="D78" s="175">
        <f t="shared" si="82"/>
        <v>0</v>
      </c>
      <c r="E78" s="403">
        <v>0</v>
      </c>
      <c r="F78" s="403">
        <v>0</v>
      </c>
      <c r="G78" s="403">
        <v>0</v>
      </c>
      <c r="H78" s="403">
        <v>0</v>
      </c>
      <c r="I78" s="403">
        <v>0</v>
      </c>
      <c r="J78" s="176">
        <f t="shared" si="34"/>
        <v>0</v>
      </c>
      <c r="K78" s="179">
        <f t="shared" si="35"/>
        <v>0</v>
      </c>
      <c r="L78" s="403">
        <v>0</v>
      </c>
      <c r="M78" s="87">
        <f t="shared" si="36"/>
        <v>0</v>
      </c>
      <c r="N78" s="87">
        <f t="shared" si="37"/>
        <v>0</v>
      </c>
      <c r="O78" s="403">
        <v>0</v>
      </c>
      <c r="P78" s="86">
        <f t="shared" si="38"/>
        <v>0</v>
      </c>
      <c r="Q78" s="87">
        <f t="shared" si="39"/>
        <v>0</v>
      </c>
      <c r="R78" s="87">
        <f ca="1">IFERROR(__xludf.DUMMYFUNCTION("IMPORTRANGE(""https://docs.google.com/spreadsheets/d/1Dj4jcHCTV9JXKCaMoheSXS52JE63kDKyG7bPXnFogHk/edit?usp=sharing"",""นครศรีธรรมราช!Q690"")"),178410)</f>
        <v>178410</v>
      </c>
      <c r="S78" s="87">
        <f ca="1">IFERROR(__xludf.DUMMYFUNCTION("IMPORTRANGE(""https://docs.google.com/spreadsheets/d/1Dj4jcHCTV9JXKCaMoheSXS52JE63kDKyG7bPXnFogHk/edit?usp=sharing"",""นครศรีธรรมราช!R690"")"),0)</f>
        <v>0</v>
      </c>
      <c r="T78" s="87">
        <f ca="1">IFERROR(__xludf.DUMMYFUNCTION("IMPORTRANGE(""https://docs.google.com/spreadsheets/d/1Dj4jcHCTV9JXKCaMoheSXS52JE63kDKyG7bPXnFogHk/edit?usp=sharing"",""นครศรีธรรมราช!S690"")"),0)</f>
        <v>0</v>
      </c>
      <c r="U78" s="87">
        <f t="shared" ca="1" si="41"/>
        <v>0</v>
      </c>
      <c r="V78" s="87">
        <f t="shared" ca="1" si="42"/>
        <v>0</v>
      </c>
      <c r="W78" s="353">
        <f ca="1">IFERROR(__xludf.DUMMYFUNCTION("IMPORTRANGE(""https://docs.google.com/spreadsheets/d/1Dj4jcHCTV9JXKCaMoheSXS52JE63kDKyG7bPXnFogHk/edit?usp=sharing"",""นครศรีธรรมราช!I700"")"),0)</f>
        <v>0</v>
      </c>
      <c r="X78" s="177">
        <f ca="1">IFERROR(__xludf.DUMMYFUNCTION("IMPORTRANGE(""https://docs.google.com/spreadsheets/d/1Dj4jcHCTV9JXKCaMoheSXS52JE63kDKyG7bPXnFogHk/edit?usp=sharing"",""นครศรีธรรมราช!J700"")"),0)</f>
        <v>0</v>
      </c>
      <c r="Y78" s="354">
        <f t="shared" ca="1" si="44"/>
        <v>0</v>
      </c>
      <c r="Z78" s="353">
        <f ca="1">IFERROR(__xludf.DUMMYFUNCTION("IMPORTRANGE(""https://docs.google.com/spreadsheets/d/1Dj4jcHCTV9JXKCaMoheSXS52JE63kDKyG7bPXnFogHk/edit?usp=sharing"",""นครศรีธรรมราช!I701"")"),49)</f>
        <v>49</v>
      </c>
      <c r="AA78" s="177">
        <f ca="1">IFERROR(__xludf.DUMMYFUNCTION("IMPORTRANGE(""https://docs.google.com/spreadsheets/d/1Dj4jcHCTV9JXKCaMoheSXS52JE63kDKyG7bPXnFogHk/edit?usp=sharing"",""นครศรีธรรมราช!J701"")"),0)</f>
        <v>0</v>
      </c>
      <c r="AB78" s="177">
        <f ca="1">IFERROR(__xludf.DUMMYFUNCTION("IMPORTRANGE(""https://docs.google.com/spreadsheets/d/1Dj4jcHCTV9JXKCaMoheSXS52JE63kDKyG7bPXnFogHk/edit?usp=sharing"",""นครศรีธรรมราช!J702"")"),0)</f>
        <v>0</v>
      </c>
      <c r="AC78" s="354">
        <f t="shared" ca="1" si="46"/>
        <v>0</v>
      </c>
      <c r="AD78" s="353">
        <f ca="1">IFERROR(__xludf.DUMMYFUNCTION("IMPORTRANGE(""https://docs.google.com/spreadsheets/d/1Dj4jcHCTV9JXKCaMoheSXS52JE63kDKyG7bPXnFogHk/edit?usp=sharing"",""นครศรีธรรมราช!I703"")"),45)</f>
        <v>45</v>
      </c>
      <c r="AE78" s="177">
        <f ca="1">IFERROR(__xludf.DUMMYFUNCTION("IMPORTRANGE(""https://docs.google.com/spreadsheets/d/1Dj4jcHCTV9JXKCaMoheSXS52JE63kDKyG7bPXnFogHk/edit?usp=sharing"",""นครศรีธรรมราช!J703"")"),0)</f>
        <v>0</v>
      </c>
      <c r="AF78" s="177">
        <f ca="1">IFERROR(__xludf.DUMMYFUNCTION("IMPORTRANGE(""https://docs.google.com/spreadsheets/d/1Dj4jcHCTV9JXKCaMoheSXS52JE63kDKyG7bPXnFogHk/edit?usp=sharing"",""นครศรีธรรมราช!J704"")"),0)</f>
        <v>0</v>
      </c>
      <c r="AG78" s="354">
        <f t="shared" ca="1" si="48"/>
        <v>0</v>
      </c>
      <c r="AH78" s="495">
        <f ca="1">IFERROR(__xludf.DUMMYFUNCTION("IMPORTRANGE(""https://docs.google.com/spreadsheets/d/1Dj4jcHCTV9JXKCaMoheSXS52JE63kDKyG7bPXnFogHk/edit?usp=sharing"",""นครศรีธรรมราช!I705"")"),4)</f>
        <v>4</v>
      </c>
      <c r="AI78" s="496">
        <f ca="1">IFERROR(__xludf.DUMMYFUNCTION("IMPORTRANGE(""https://docs.google.com/spreadsheets/d/1Dj4jcHCTV9JXKCaMoheSXS52JE63kDKyG7bPXnFogHk/edit?usp=sharing"",""นครศรีธรรมราช!J705"")"),0)</f>
        <v>0</v>
      </c>
      <c r="AJ78" s="496">
        <f ca="1">IFERROR(__xludf.DUMMYFUNCTION("IMPORTRANGE(""https://docs.google.com/spreadsheets/d/1Dj4jcHCTV9JXKCaMoheSXS52JE63kDKyG7bPXnFogHk/edit?usp=sharing"",""นครศรีธรรมราช!J706"")"),0)</f>
        <v>0</v>
      </c>
      <c r="AK78" s="497">
        <f t="shared" ca="1" si="50"/>
        <v>0</v>
      </c>
      <c r="AL78" s="353">
        <f ca="1">IFERROR(__xludf.DUMMYFUNCTION("IMPORTRANGE(""https://docs.google.com/spreadsheets/d/1Dj4jcHCTV9JXKCaMoheSXS52JE63kDKyG7bPXnFogHk/edit?usp=sharing"",""นครศรีธรรมราช!I707"")"),45)</f>
        <v>45</v>
      </c>
      <c r="AM78" s="177">
        <f ca="1">IFERROR(__xludf.DUMMYFUNCTION("IMPORTRANGE(""https://docs.google.com/spreadsheets/d/1Dj4jcHCTV9JXKCaMoheSXS52JE63kDKyG7bPXnFogHk/edit?usp=sharing"",""นครศรีธรรมราช!J707"")"),0)</f>
        <v>0</v>
      </c>
      <c r="AN78" s="177">
        <f ca="1">IFERROR(__xludf.DUMMYFUNCTION("IMPORTRANGE(""https://docs.google.com/spreadsheets/d/1Dj4jcHCTV9JXKCaMoheSXS52JE63kDKyG7bPXnFogHk/edit?usp=sharing"",""นครศรีธรรมราช!J708"")"),0)</f>
        <v>0</v>
      </c>
      <c r="AO78" s="354">
        <f t="shared" ca="1" si="52"/>
        <v>0</v>
      </c>
      <c r="AP78" s="495">
        <f ca="1">IFERROR(__xludf.DUMMYFUNCTION("IMPORTRANGE(""https://docs.google.com/spreadsheets/d/1Dj4jcHCTV9JXKCaMoheSXS52JE63kDKyG7bPXnFogHk/edit?usp=sharing"",""นครศรีธรรมราช!I709"")"),4)</f>
        <v>4</v>
      </c>
      <c r="AQ78" s="496">
        <f ca="1">IFERROR(__xludf.DUMMYFUNCTION("IMPORTRANGE(""https://docs.google.com/spreadsheets/d/1Dj4jcHCTV9JXKCaMoheSXS52JE63kDKyG7bPXnFogHk/edit?usp=sharing"",""นครศรีธรรมราช!J709"")"),0)</f>
        <v>0</v>
      </c>
      <c r="AR78" s="496">
        <f ca="1">IFERROR(__xludf.DUMMYFUNCTION("IMPORTRANGE(""https://docs.google.com/spreadsheets/d/1Dj4jcHCTV9JXKCaMoheSXS52JE63kDKyG7bPXnFogHk/edit?usp=sharing"",""นครศรีธรรมราช!J710"")"),0)</f>
        <v>0</v>
      </c>
      <c r="AS78" s="497">
        <f t="shared" ca="1" si="54"/>
        <v>0</v>
      </c>
    </row>
    <row r="79" spans="1:45" ht="24.75" customHeight="1" x14ac:dyDescent="0.3">
      <c r="A79" s="89">
        <v>5</v>
      </c>
      <c r="B79" s="90" t="s">
        <v>105</v>
      </c>
      <c r="C79" s="174">
        <f t="shared" si="32"/>
        <v>0</v>
      </c>
      <c r="D79" s="175">
        <f t="shared" si="82"/>
        <v>0</v>
      </c>
      <c r="E79" s="403">
        <v>0</v>
      </c>
      <c r="F79" s="403">
        <v>0</v>
      </c>
      <c r="G79" s="403">
        <v>0</v>
      </c>
      <c r="H79" s="403">
        <v>0</v>
      </c>
      <c r="I79" s="403">
        <v>0</v>
      </c>
      <c r="J79" s="176">
        <f t="shared" si="34"/>
        <v>0</v>
      </c>
      <c r="K79" s="179">
        <f t="shared" si="35"/>
        <v>0</v>
      </c>
      <c r="L79" s="403">
        <v>0</v>
      </c>
      <c r="M79" s="87">
        <f t="shared" si="36"/>
        <v>0</v>
      </c>
      <c r="N79" s="87">
        <f t="shared" si="37"/>
        <v>0</v>
      </c>
      <c r="O79" s="403">
        <v>0</v>
      </c>
      <c r="P79" s="86">
        <f t="shared" si="38"/>
        <v>0</v>
      </c>
      <c r="Q79" s="87">
        <f t="shared" si="39"/>
        <v>0</v>
      </c>
      <c r="R79" s="87">
        <f ca="1">IFERROR(__xludf.DUMMYFUNCTION("IMPORTRANGE(""https://docs.google.com/spreadsheets/d/1iodCdmuK2GR3jzUwk8tpccY2JHQQA-87DLOtJP-ooyU/edit?usp=sharing"",""นราธิวาส!Q690"")"),0)</f>
        <v>0</v>
      </c>
      <c r="S79" s="87">
        <f ca="1">IFERROR(__xludf.DUMMYFUNCTION("IMPORTRANGE(""https://docs.google.com/spreadsheets/d/1iodCdmuK2GR3jzUwk8tpccY2JHQQA-87DLOtJP-ooyU/edit?usp=sharing"",""นราธิวาส!R690"")"),0)</f>
        <v>0</v>
      </c>
      <c r="T79" s="87">
        <f ca="1">IFERROR(__xludf.DUMMYFUNCTION("IMPORTRANGE(""https://docs.google.com/spreadsheets/d/1iodCdmuK2GR3jzUwk8tpccY2JHQQA-87DLOtJP-ooyU/edit?usp=sharing"",""นราธิวาส!S690"")"),0)</f>
        <v>0</v>
      </c>
      <c r="U79" s="87">
        <f t="shared" ca="1" si="41"/>
        <v>0</v>
      </c>
      <c r="V79" s="87">
        <f t="shared" ca="1" si="42"/>
        <v>0</v>
      </c>
      <c r="W79" s="353">
        <f ca="1">IFERROR(__xludf.DUMMYFUNCTION("IMPORTRANGE(""https://docs.google.com/spreadsheets/d/1iodCdmuK2GR3jzUwk8tpccY2JHQQA-87DLOtJP-ooyU/edit?usp=sharing"",""นราธิวาส!I700"")"),0)</f>
        <v>0</v>
      </c>
      <c r="X79" s="177">
        <f ca="1">IFERROR(__xludf.DUMMYFUNCTION("IMPORTRANGE(""https://docs.google.com/spreadsheets/d/1iodCdmuK2GR3jzUwk8tpccY2JHQQA-87DLOtJP-ooyU/edit?usp=sharing"",""นราธิวาส!J700"")"),0)</f>
        <v>0</v>
      </c>
      <c r="Y79" s="354">
        <f t="shared" ca="1" si="44"/>
        <v>0</v>
      </c>
      <c r="Z79" s="353">
        <f ca="1">IFERROR(__xludf.DUMMYFUNCTION("IMPORTRANGE(""https://docs.google.com/spreadsheets/d/1iodCdmuK2GR3jzUwk8tpccY2JHQQA-87DLOtJP-ooyU/edit?usp=sharing"",""นราธิวาส!I701"")"),0)</f>
        <v>0</v>
      </c>
      <c r="AA79" s="177">
        <f ca="1">IFERROR(__xludf.DUMMYFUNCTION("IMPORTRANGE(""https://docs.google.com/spreadsheets/d/1iodCdmuK2GR3jzUwk8tpccY2JHQQA-87DLOtJP-ooyU/edit?usp=sharing"",""นราธิวาส!J701"")"),0)</f>
        <v>0</v>
      </c>
      <c r="AB79" s="177">
        <f ca="1">IFERROR(__xludf.DUMMYFUNCTION("IMPORTRANGE(""https://docs.google.com/spreadsheets/d/1iodCdmuK2GR3jzUwk8tpccY2JHQQA-87DLOtJP-ooyU/edit?usp=sharing"",""นราธิวาส!J702"")"),0)</f>
        <v>0</v>
      </c>
      <c r="AC79" s="354">
        <f t="shared" ca="1" si="46"/>
        <v>0</v>
      </c>
      <c r="AD79" s="353">
        <f ca="1">IFERROR(__xludf.DUMMYFUNCTION("IMPORTRANGE(""https://docs.google.com/spreadsheets/d/1iodCdmuK2GR3jzUwk8tpccY2JHQQA-87DLOtJP-ooyU/edit?usp=sharing"",""นราธิวาส!I703"")"),0)</f>
        <v>0</v>
      </c>
      <c r="AE79" s="177">
        <f ca="1">IFERROR(__xludf.DUMMYFUNCTION("IMPORTRANGE(""https://docs.google.com/spreadsheets/d/1iodCdmuK2GR3jzUwk8tpccY2JHQQA-87DLOtJP-ooyU/edit?usp=sharing"",""นราธิวาส!J703"")"),0)</f>
        <v>0</v>
      </c>
      <c r="AF79" s="177">
        <f ca="1">IFERROR(__xludf.DUMMYFUNCTION("IMPORTRANGE(""https://docs.google.com/spreadsheets/d/1iodCdmuK2GR3jzUwk8tpccY2JHQQA-87DLOtJP-ooyU/edit?usp=sharing"",""นราธิวาส!J704"")"),0)</f>
        <v>0</v>
      </c>
      <c r="AG79" s="354">
        <f t="shared" ca="1" si="48"/>
        <v>0</v>
      </c>
      <c r="AH79" s="495">
        <f ca="1">IFERROR(__xludf.DUMMYFUNCTION("IMPORTRANGE(""https://docs.google.com/spreadsheets/d/1iodCdmuK2GR3jzUwk8tpccY2JHQQA-87DLOtJP-ooyU/edit?usp=sharing"",""นราธิวาส!I705"")"),0)</f>
        <v>0</v>
      </c>
      <c r="AI79" s="496">
        <f ca="1">IFERROR(__xludf.DUMMYFUNCTION("IMPORTRANGE(""https://docs.google.com/spreadsheets/d/1iodCdmuK2GR3jzUwk8tpccY2JHQQA-87DLOtJP-ooyU/edit?usp=sharing"",""นราธิวาส!J705"")"),0)</f>
        <v>0</v>
      </c>
      <c r="AJ79" s="496">
        <f ca="1">IFERROR(__xludf.DUMMYFUNCTION("IMPORTRANGE(""https://docs.google.com/spreadsheets/d/1iodCdmuK2GR3jzUwk8tpccY2JHQQA-87DLOtJP-ooyU/edit?usp=sharing"",""นราธิวาส!J706"")"),0)</f>
        <v>0</v>
      </c>
      <c r="AK79" s="497">
        <f t="shared" ca="1" si="50"/>
        <v>0</v>
      </c>
      <c r="AL79" s="353">
        <f ca="1">IFERROR(__xludf.DUMMYFUNCTION("IMPORTRANGE(""https://docs.google.com/spreadsheets/d/1iodCdmuK2GR3jzUwk8tpccY2JHQQA-87DLOtJP-ooyU/edit?usp=sharing"",""นราธิวาส!I707"")"),0)</f>
        <v>0</v>
      </c>
      <c r="AM79" s="177">
        <f ca="1">IFERROR(__xludf.DUMMYFUNCTION("IMPORTRANGE(""https://docs.google.com/spreadsheets/d/1iodCdmuK2GR3jzUwk8tpccY2JHQQA-87DLOtJP-ooyU/edit?usp=sharing"",""นราธิวาส!J707"")"),0)</f>
        <v>0</v>
      </c>
      <c r="AN79" s="177">
        <f ca="1">IFERROR(__xludf.DUMMYFUNCTION("IMPORTRANGE(""https://docs.google.com/spreadsheets/d/1iodCdmuK2GR3jzUwk8tpccY2JHQQA-87DLOtJP-ooyU/edit?usp=sharing"",""นราธิวาส!J708"")"),0)</f>
        <v>0</v>
      </c>
      <c r="AO79" s="354">
        <f t="shared" ca="1" si="52"/>
        <v>0</v>
      </c>
      <c r="AP79" s="495">
        <f ca="1">IFERROR(__xludf.DUMMYFUNCTION("IMPORTRANGE(""https://docs.google.com/spreadsheets/d/1iodCdmuK2GR3jzUwk8tpccY2JHQQA-87DLOtJP-ooyU/edit?usp=sharing"",""นราธิวาส!I709"")"),0)</f>
        <v>0</v>
      </c>
      <c r="AQ79" s="496">
        <f ca="1">IFERROR(__xludf.DUMMYFUNCTION("IMPORTRANGE(""https://docs.google.com/spreadsheets/d/1iodCdmuK2GR3jzUwk8tpccY2JHQQA-87DLOtJP-ooyU/edit?usp=sharing"",""นราธิวาส!J709"")"),0)</f>
        <v>0</v>
      </c>
      <c r="AR79" s="496">
        <f ca="1">IFERROR(__xludf.DUMMYFUNCTION("IMPORTRANGE(""https://docs.google.com/spreadsheets/d/1iodCdmuK2GR3jzUwk8tpccY2JHQQA-87DLOtJP-ooyU/edit?usp=sharing"",""นราธิวาส!J710"")"),0)</f>
        <v>0</v>
      </c>
      <c r="AS79" s="497">
        <f t="shared" ca="1" si="54"/>
        <v>0</v>
      </c>
    </row>
    <row r="80" spans="1:45" ht="24.75" customHeight="1" x14ac:dyDescent="0.3">
      <c r="A80" s="89">
        <v>6</v>
      </c>
      <c r="B80" s="90" t="s">
        <v>106</v>
      </c>
      <c r="C80" s="174">
        <f t="shared" si="32"/>
        <v>0</v>
      </c>
      <c r="D80" s="175">
        <f t="shared" si="82"/>
        <v>0</v>
      </c>
      <c r="E80" s="403">
        <v>0</v>
      </c>
      <c r="F80" s="403">
        <v>0</v>
      </c>
      <c r="G80" s="403">
        <v>0</v>
      </c>
      <c r="H80" s="403">
        <v>0</v>
      </c>
      <c r="I80" s="403">
        <v>0</v>
      </c>
      <c r="J80" s="176">
        <f t="shared" si="34"/>
        <v>0</v>
      </c>
      <c r="K80" s="179">
        <f t="shared" si="35"/>
        <v>0</v>
      </c>
      <c r="L80" s="403">
        <v>0</v>
      </c>
      <c r="M80" s="87">
        <f t="shared" si="36"/>
        <v>0</v>
      </c>
      <c r="N80" s="87">
        <f t="shared" si="37"/>
        <v>0</v>
      </c>
      <c r="O80" s="403">
        <v>0</v>
      </c>
      <c r="P80" s="86">
        <f t="shared" si="38"/>
        <v>0</v>
      </c>
      <c r="Q80" s="87">
        <f t="shared" si="39"/>
        <v>0</v>
      </c>
      <c r="R80" s="87">
        <f ca="1">IFERROR(__xludf.DUMMYFUNCTION("IMPORTRANGE(""https://docs.google.com/spreadsheets/d/1SDNX3JhDdYRuIOsj0Wh2M-Qa_eaXl0NbWmhAOTbfQAs/edit?usp=sharing"",""ปัตตานี!Q690"")"),0)</f>
        <v>0</v>
      </c>
      <c r="S80" s="87">
        <f ca="1">IFERROR(__xludf.DUMMYFUNCTION("IMPORTRANGE(""https://docs.google.com/spreadsheets/d/1SDNX3JhDdYRuIOsj0Wh2M-Qa_eaXl0NbWmhAOTbfQAs/edit?usp=sharing"",""ปัตตานี!R690"")"),0)</f>
        <v>0</v>
      </c>
      <c r="T80" s="87">
        <f ca="1">IFERROR(__xludf.DUMMYFUNCTION("IMPORTRANGE(""https://docs.google.com/spreadsheets/d/1SDNX3JhDdYRuIOsj0Wh2M-Qa_eaXl0NbWmhAOTbfQAs/edit?usp=sharing"",""ปัตตานี!S690"")"),0)</f>
        <v>0</v>
      </c>
      <c r="U80" s="87">
        <f t="shared" ca="1" si="41"/>
        <v>0</v>
      </c>
      <c r="V80" s="87">
        <f t="shared" ca="1" si="42"/>
        <v>0</v>
      </c>
      <c r="W80" s="353">
        <f ca="1">IFERROR(__xludf.DUMMYFUNCTION("IMPORTRANGE(""https://docs.google.com/spreadsheets/d/1SDNX3JhDdYRuIOsj0Wh2M-Qa_eaXl0NbWmhAOTbfQAs/edit?usp=sharing"",""ปัตตานี!I700"")"),0)</f>
        <v>0</v>
      </c>
      <c r="X80" s="177">
        <f ca="1">IFERROR(__xludf.DUMMYFUNCTION("IMPORTRANGE(""https://docs.google.com/spreadsheets/d/1SDNX3JhDdYRuIOsj0Wh2M-Qa_eaXl0NbWmhAOTbfQAs/edit?usp=sharing"",""ปัตตานี!J700"")"),0)</f>
        <v>0</v>
      </c>
      <c r="Y80" s="354">
        <f t="shared" ca="1" si="44"/>
        <v>0</v>
      </c>
      <c r="Z80" s="353">
        <f ca="1">IFERROR(__xludf.DUMMYFUNCTION("IMPORTRANGE(""https://docs.google.com/spreadsheets/d/1SDNX3JhDdYRuIOsj0Wh2M-Qa_eaXl0NbWmhAOTbfQAs/edit?usp=sharing"",""ปัตตานี!I701"")"),0)</f>
        <v>0</v>
      </c>
      <c r="AA80" s="177">
        <f ca="1">IFERROR(__xludf.DUMMYFUNCTION("IMPORTRANGE(""https://docs.google.com/spreadsheets/d/1SDNX3JhDdYRuIOsj0Wh2M-Qa_eaXl0NbWmhAOTbfQAs/edit?usp=sharing"",""ปัตตานี!J701"")"),0)</f>
        <v>0</v>
      </c>
      <c r="AB80" s="177">
        <f ca="1">IFERROR(__xludf.DUMMYFUNCTION("IMPORTRANGE(""https://docs.google.com/spreadsheets/d/1SDNX3JhDdYRuIOsj0Wh2M-Qa_eaXl0NbWmhAOTbfQAs/edit?usp=sharing"",""ปัตตานี!J702"")"),0)</f>
        <v>0</v>
      </c>
      <c r="AC80" s="354">
        <f t="shared" ca="1" si="46"/>
        <v>0</v>
      </c>
      <c r="AD80" s="353">
        <f ca="1">IFERROR(__xludf.DUMMYFUNCTION("IMPORTRANGE(""https://docs.google.com/spreadsheets/d/1SDNX3JhDdYRuIOsj0Wh2M-Qa_eaXl0NbWmhAOTbfQAs/edit?usp=sharing"",""ปัตตานี!I703"")"),0)</f>
        <v>0</v>
      </c>
      <c r="AE80" s="177">
        <f ca="1">IFERROR(__xludf.DUMMYFUNCTION("IMPORTRANGE(""https://docs.google.com/spreadsheets/d/1SDNX3JhDdYRuIOsj0Wh2M-Qa_eaXl0NbWmhAOTbfQAs/edit?usp=sharing"",""ปัตตานี!J703"")"),0)</f>
        <v>0</v>
      </c>
      <c r="AF80" s="177">
        <f ca="1">IFERROR(__xludf.DUMMYFUNCTION("IMPORTRANGE(""https://docs.google.com/spreadsheets/d/1SDNX3JhDdYRuIOsj0Wh2M-Qa_eaXl0NbWmhAOTbfQAs/edit?usp=sharing"",""ปัตตานี!J704"")"),0)</f>
        <v>0</v>
      </c>
      <c r="AG80" s="354">
        <f t="shared" ca="1" si="48"/>
        <v>0</v>
      </c>
      <c r="AH80" s="495">
        <f ca="1">IFERROR(__xludf.DUMMYFUNCTION("IMPORTRANGE(""https://docs.google.com/spreadsheets/d/1SDNX3JhDdYRuIOsj0Wh2M-Qa_eaXl0NbWmhAOTbfQAs/edit?usp=sharing"",""ปัตตานี!I705"")"),0)</f>
        <v>0</v>
      </c>
      <c r="AI80" s="496">
        <f ca="1">IFERROR(__xludf.DUMMYFUNCTION("IMPORTRANGE(""https://docs.google.com/spreadsheets/d/1SDNX3JhDdYRuIOsj0Wh2M-Qa_eaXl0NbWmhAOTbfQAs/edit?usp=sharing"",""ปัตตานี!J705"")"),0)</f>
        <v>0</v>
      </c>
      <c r="AJ80" s="496">
        <f ca="1">IFERROR(__xludf.DUMMYFUNCTION("IMPORTRANGE(""https://docs.google.com/spreadsheets/d/1SDNX3JhDdYRuIOsj0Wh2M-Qa_eaXl0NbWmhAOTbfQAs/edit?usp=sharing"",""ปัตตานี!J706"")"),0)</f>
        <v>0</v>
      </c>
      <c r="AK80" s="497">
        <f t="shared" ca="1" si="50"/>
        <v>0</v>
      </c>
      <c r="AL80" s="353">
        <f ca="1">IFERROR(__xludf.DUMMYFUNCTION("IMPORTRANGE(""https://docs.google.com/spreadsheets/d/1SDNX3JhDdYRuIOsj0Wh2M-Qa_eaXl0NbWmhAOTbfQAs/edit?usp=sharing"",""ปัตตานี!I707"")"),0)</f>
        <v>0</v>
      </c>
      <c r="AM80" s="177">
        <f ca="1">IFERROR(__xludf.DUMMYFUNCTION("IMPORTRANGE(""https://docs.google.com/spreadsheets/d/1SDNX3JhDdYRuIOsj0Wh2M-Qa_eaXl0NbWmhAOTbfQAs/edit?usp=sharing"",""ปัตตานี!J707"")"),0)</f>
        <v>0</v>
      </c>
      <c r="AN80" s="177">
        <f ca="1">IFERROR(__xludf.DUMMYFUNCTION("IMPORTRANGE(""https://docs.google.com/spreadsheets/d/1SDNX3JhDdYRuIOsj0Wh2M-Qa_eaXl0NbWmhAOTbfQAs/edit?usp=sharing"",""ปัตตานี!J708"")"),0)</f>
        <v>0</v>
      </c>
      <c r="AO80" s="354">
        <f t="shared" ca="1" si="52"/>
        <v>0</v>
      </c>
      <c r="AP80" s="495">
        <f ca="1">IFERROR(__xludf.DUMMYFUNCTION("IMPORTRANGE(""https://docs.google.com/spreadsheets/d/1SDNX3JhDdYRuIOsj0Wh2M-Qa_eaXl0NbWmhAOTbfQAs/edit?usp=sharing"",""ปัตตานี!I709"")"),0)</f>
        <v>0</v>
      </c>
      <c r="AQ80" s="496">
        <f ca="1">IFERROR(__xludf.DUMMYFUNCTION("IMPORTRANGE(""https://docs.google.com/spreadsheets/d/1SDNX3JhDdYRuIOsj0Wh2M-Qa_eaXl0NbWmhAOTbfQAs/edit?usp=sharing"",""ปัตตานี!J709"")"),0)</f>
        <v>0</v>
      </c>
      <c r="AR80" s="496">
        <f ca="1">IFERROR(__xludf.DUMMYFUNCTION("IMPORTRANGE(""https://docs.google.com/spreadsheets/d/1SDNX3JhDdYRuIOsj0Wh2M-Qa_eaXl0NbWmhAOTbfQAs/edit?usp=sharing"",""ปัตตานี!J710"")"),0)</f>
        <v>0</v>
      </c>
      <c r="AS80" s="497">
        <f t="shared" ca="1" si="54"/>
        <v>0</v>
      </c>
    </row>
    <row r="81" spans="1:45" ht="24.75" customHeight="1" x14ac:dyDescent="0.3">
      <c r="A81" s="89">
        <v>7</v>
      </c>
      <c r="B81" s="90" t="s">
        <v>107</v>
      </c>
      <c r="C81" s="174">
        <f t="shared" si="32"/>
        <v>0</v>
      </c>
      <c r="D81" s="175">
        <f t="shared" si="82"/>
        <v>0</v>
      </c>
      <c r="E81" s="403">
        <v>0</v>
      </c>
      <c r="F81" s="403">
        <v>0</v>
      </c>
      <c r="G81" s="403">
        <v>0</v>
      </c>
      <c r="H81" s="403">
        <v>0</v>
      </c>
      <c r="I81" s="403">
        <v>0</v>
      </c>
      <c r="J81" s="176">
        <f t="shared" si="34"/>
        <v>0</v>
      </c>
      <c r="K81" s="179">
        <f t="shared" si="35"/>
        <v>0</v>
      </c>
      <c r="L81" s="403">
        <v>0</v>
      </c>
      <c r="M81" s="87">
        <f t="shared" si="36"/>
        <v>0</v>
      </c>
      <c r="N81" s="87">
        <f t="shared" si="37"/>
        <v>0</v>
      </c>
      <c r="O81" s="403">
        <v>0</v>
      </c>
      <c r="P81" s="86">
        <f t="shared" si="38"/>
        <v>0</v>
      </c>
      <c r="Q81" s="87">
        <f t="shared" si="39"/>
        <v>0</v>
      </c>
      <c r="R81" s="87">
        <f ca="1">IFERROR(__xludf.DUMMYFUNCTION("IMPORTRANGE(""https://docs.google.com/spreadsheets/d/16JDLGguT8s5DsGCND1KcwHP_AWR_zDMTqLHPLJUKhaU/edit?usp=sharing"",""พังงา!Q690"")"),0)</f>
        <v>0</v>
      </c>
      <c r="S81" s="87">
        <f ca="1">IFERROR(__xludf.DUMMYFUNCTION("IMPORTRANGE(""https://docs.google.com/spreadsheets/d/16JDLGguT8s5DsGCND1KcwHP_AWR_zDMTqLHPLJUKhaU/edit?usp=sharing"",""พังงา!R690"")"),0)</f>
        <v>0</v>
      </c>
      <c r="T81" s="87">
        <f ca="1">IFERROR(__xludf.DUMMYFUNCTION("IMPORTRANGE(""https://docs.google.com/spreadsheets/d/16JDLGguT8s5DsGCND1KcwHP_AWR_zDMTqLHPLJUKhaU/edit?usp=sharing"",""พังงา!S690"")"),0)</f>
        <v>0</v>
      </c>
      <c r="U81" s="87">
        <f t="shared" ca="1" si="41"/>
        <v>0</v>
      </c>
      <c r="V81" s="87">
        <f t="shared" ca="1" si="42"/>
        <v>0</v>
      </c>
      <c r="W81" s="353">
        <f ca="1">IFERROR(__xludf.DUMMYFUNCTION("IMPORTRANGE(""https://docs.google.com/spreadsheets/d/16JDLGguT8s5DsGCND1KcwHP_AWR_zDMTqLHPLJUKhaU/edit?usp=sharing"",""พังงา!I700"")"),0)</f>
        <v>0</v>
      </c>
      <c r="X81" s="177">
        <f ca="1">IFERROR(__xludf.DUMMYFUNCTION("IMPORTRANGE(""https://docs.google.com/spreadsheets/d/16JDLGguT8s5DsGCND1KcwHP_AWR_zDMTqLHPLJUKhaU/edit?usp=sharing"",""พังงา!J700"")"),0)</f>
        <v>0</v>
      </c>
      <c r="Y81" s="354">
        <f t="shared" ca="1" si="44"/>
        <v>0</v>
      </c>
      <c r="Z81" s="353">
        <f ca="1">IFERROR(__xludf.DUMMYFUNCTION("IMPORTRANGE(""https://docs.google.com/spreadsheets/d/16JDLGguT8s5DsGCND1KcwHP_AWR_zDMTqLHPLJUKhaU/edit?usp=sharing"",""พังงา!I701"")"),0)</f>
        <v>0</v>
      </c>
      <c r="AA81" s="177">
        <f ca="1">IFERROR(__xludf.DUMMYFUNCTION("IMPORTRANGE(""https://docs.google.com/spreadsheets/d/16JDLGguT8s5DsGCND1KcwHP_AWR_zDMTqLHPLJUKhaU/edit?usp=sharing"",""พังงา!J701"")"),0)</f>
        <v>0</v>
      </c>
      <c r="AB81" s="177">
        <f ca="1">IFERROR(__xludf.DUMMYFUNCTION("IMPORTRANGE(""https://docs.google.com/spreadsheets/d/16JDLGguT8s5DsGCND1KcwHP_AWR_zDMTqLHPLJUKhaU/edit?usp=sharing"",""พังงา!J702"")"),0)</f>
        <v>0</v>
      </c>
      <c r="AC81" s="354">
        <f t="shared" ca="1" si="46"/>
        <v>0</v>
      </c>
      <c r="AD81" s="353">
        <f ca="1">IFERROR(__xludf.DUMMYFUNCTION("IMPORTRANGE(""https://docs.google.com/spreadsheets/d/16JDLGguT8s5DsGCND1KcwHP_AWR_zDMTqLHPLJUKhaU/edit?usp=sharing"",""พังงา!I703"")"),0)</f>
        <v>0</v>
      </c>
      <c r="AE81" s="177">
        <f ca="1">IFERROR(__xludf.DUMMYFUNCTION("IMPORTRANGE(""https://docs.google.com/spreadsheets/d/16JDLGguT8s5DsGCND1KcwHP_AWR_zDMTqLHPLJUKhaU/edit?usp=sharing"",""พังงา!J703"")"),0)</f>
        <v>0</v>
      </c>
      <c r="AF81" s="177">
        <f ca="1">IFERROR(__xludf.DUMMYFUNCTION("IMPORTRANGE(""https://docs.google.com/spreadsheets/d/16JDLGguT8s5DsGCND1KcwHP_AWR_zDMTqLHPLJUKhaU/edit?usp=sharing"",""พังงา!J704"")"),0)</f>
        <v>0</v>
      </c>
      <c r="AG81" s="354">
        <f t="shared" ca="1" si="48"/>
        <v>0</v>
      </c>
      <c r="AH81" s="495">
        <f ca="1">IFERROR(__xludf.DUMMYFUNCTION("IMPORTRANGE(""https://docs.google.com/spreadsheets/d/16JDLGguT8s5DsGCND1KcwHP_AWR_zDMTqLHPLJUKhaU/edit?usp=sharing"",""พังงา!I705"")"),0)</f>
        <v>0</v>
      </c>
      <c r="AI81" s="496">
        <f ca="1">IFERROR(__xludf.DUMMYFUNCTION("IMPORTRANGE(""https://docs.google.com/spreadsheets/d/16JDLGguT8s5DsGCND1KcwHP_AWR_zDMTqLHPLJUKhaU/edit?usp=sharing"",""พังงา!J705"")"),0)</f>
        <v>0</v>
      </c>
      <c r="AJ81" s="496">
        <f ca="1">IFERROR(__xludf.DUMMYFUNCTION("IMPORTRANGE(""https://docs.google.com/spreadsheets/d/16JDLGguT8s5DsGCND1KcwHP_AWR_zDMTqLHPLJUKhaU/edit?usp=sharing"",""พังงา!J706"")"),0)</f>
        <v>0</v>
      </c>
      <c r="AK81" s="497">
        <f t="shared" ca="1" si="50"/>
        <v>0</v>
      </c>
      <c r="AL81" s="353">
        <f ca="1">IFERROR(__xludf.DUMMYFUNCTION("IMPORTRANGE(""https://docs.google.com/spreadsheets/d/16JDLGguT8s5DsGCND1KcwHP_AWR_zDMTqLHPLJUKhaU/edit?usp=sharing"",""พังงา!I707"")"),0)</f>
        <v>0</v>
      </c>
      <c r="AM81" s="177">
        <f ca="1">IFERROR(__xludf.DUMMYFUNCTION("IMPORTRANGE(""https://docs.google.com/spreadsheets/d/16JDLGguT8s5DsGCND1KcwHP_AWR_zDMTqLHPLJUKhaU/edit?usp=sharing"",""พังงา!J707"")"),0)</f>
        <v>0</v>
      </c>
      <c r="AN81" s="177">
        <f ca="1">IFERROR(__xludf.DUMMYFUNCTION("IMPORTRANGE(""https://docs.google.com/spreadsheets/d/16JDLGguT8s5DsGCND1KcwHP_AWR_zDMTqLHPLJUKhaU/edit?usp=sharing"",""พังงา!J708"")"),0)</f>
        <v>0</v>
      </c>
      <c r="AO81" s="354">
        <f t="shared" ca="1" si="52"/>
        <v>0</v>
      </c>
      <c r="AP81" s="495">
        <f ca="1">IFERROR(__xludf.DUMMYFUNCTION("IMPORTRANGE(""https://docs.google.com/spreadsheets/d/16JDLGguT8s5DsGCND1KcwHP_AWR_zDMTqLHPLJUKhaU/edit?usp=sharing"",""พังงา!I709"")"),0)</f>
        <v>0</v>
      </c>
      <c r="AQ81" s="496">
        <f ca="1">IFERROR(__xludf.DUMMYFUNCTION("IMPORTRANGE(""https://docs.google.com/spreadsheets/d/16JDLGguT8s5DsGCND1KcwHP_AWR_zDMTqLHPLJUKhaU/edit?usp=sharing"",""พังงา!J709"")"),0)</f>
        <v>0</v>
      </c>
      <c r="AR81" s="496">
        <f ca="1">IFERROR(__xludf.DUMMYFUNCTION("IMPORTRANGE(""https://docs.google.com/spreadsheets/d/16JDLGguT8s5DsGCND1KcwHP_AWR_zDMTqLHPLJUKhaU/edit?usp=sharing"",""พังงา!J710"")"),0)</f>
        <v>0</v>
      </c>
      <c r="AS81" s="497">
        <f t="shared" ca="1" si="54"/>
        <v>0</v>
      </c>
    </row>
    <row r="82" spans="1:45" ht="24.75" customHeight="1" x14ac:dyDescent="0.3">
      <c r="A82" s="89">
        <v>8</v>
      </c>
      <c r="B82" s="90" t="s">
        <v>108</v>
      </c>
      <c r="C82" s="174">
        <f t="shared" si="32"/>
        <v>0</v>
      </c>
      <c r="D82" s="175">
        <f t="shared" si="82"/>
        <v>0</v>
      </c>
      <c r="E82" s="403">
        <v>0</v>
      </c>
      <c r="F82" s="403">
        <v>0</v>
      </c>
      <c r="G82" s="403">
        <v>0</v>
      </c>
      <c r="H82" s="403">
        <v>0</v>
      </c>
      <c r="I82" s="403">
        <v>0</v>
      </c>
      <c r="J82" s="176">
        <f t="shared" si="34"/>
        <v>0</v>
      </c>
      <c r="K82" s="179">
        <f t="shared" si="35"/>
        <v>0</v>
      </c>
      <c r="L82" s="403">
        <v>0</v>
      </c>
      <c r="M82" s="87">
        <f t="shared" si="36"/>
        <v>0</v>
      </c>
      <c r="N82" s="87">
        <f t="shared" si="37"/>
        <v>0</v>
      </c>
      <c r="O82" s="403">
        <v>0</v>
      </c>
      <c r="P82" s="86">
        <f t="shared" si="38"/>
        <v>0</v>
      </c>
      <c r="Q82" s="87">
        <f t="shared" si="39"/>
        <v>0</v>
      </c>
      <c r="R82" s="87">
        <f ca="1">IFERROR(__xludf.DUMMYFUNCTION("IMPORTRANGE(""https://docs.google.com/spreadsheets/d/17ht0gPKzzT3PObBL1XJkeRmntBXI7wGjpLV7QorqlTk/edit?usp=sharing"",""พัทลุง!Q690"")"),67330)</f>
        <v>67330</v>
      </c>
      <c r="S82" s="87">
        <f ca="1">IFERROR(__xludf.DUMMYFUNCTION("IMPORTRANGE(""https://docs.google.com/spreadsheets/d/17ht0gPKzzT3PObBL1XJkeRmntBXI7wGjpLV7QorqlTk/edit?usp=sharing"",""พัทลุง!R690"")"),0)</f>
        <v>0</v>
      </c>
      <c r="T82" s="87">
        <f ca="1">IFERROR(__xludf.DUMMYFUNCTION("IMPORTRANGE(""https://docs.google.com/spreadsheets/d/17ht0gPKzzT3PObBL1XJkeRmntBXI7wGjpLV7QorqlTk/edit?usp=sharing"",""พัทลุง!S690"")"),0)</f>
        <v>0</v>
      </c>
      <c r="U82" s="87">
        <f t="shared" ca="1" si="41"/>
        <v>0</v>
      </c>
      <c r="V82" s="87">
        <f t="shared" ca="1" si="42"/>
        <v>0</v>
      </c>
      <c r="W82" s="353">
        <f ca="1">IFERROR(__xludf.DUMMYFUNCTION("IMPORTRANGE(""https://docs.google.com/spreadsheets/d/17ht0gPKzzT3PObBL1XJkeRmntBXI7wGjpLV7QorqlTk/edit?usp=sharing"",""พัทลุง!I700"")"),0)</f>
        <v>0</v>
      </c>
      <c r="X82" s="452">
        <f ca="1">IFERROR(__xludf.DUMMYFUNCTION("IMPORTRANGE(""https://docs.google.com/spreadsheets/d/17ht0gPKzzT3PObBL1XJkeRmntBXI7wGjpLV7QorqlTk/edit?usp=sharing"",""พัทลุง!J700"")"),0)</f>
        <v>0</v>
      </c>
      <c r="Y82" s="354">
        <f t="shared" ca="1" si="44"/>
        <v>0</v>
      </c>
      <c r="Z82" s="353">
        <f ca="1">IFERROR(__xludf.DUMMYFUNCTION("IMPORTRANGE(""https://docs.google.com/spreadsheets/d/17ht0gPKzzT3PObBL1XJkeRmntBXI7wGjpLV7QorqlTk/edit?usp=sharing"",""พัทลุง!I701"")"),3)</f>
        <v>3</v>
      </c>
      <c r="AA82" s="452">
        <f ca="1">IFERROR(__xludf.DUMMYFUNCTION("IMPORTRANGE(""https://docs.google.com/spreadsheets/d/17ht0gPKzzT3PObBL1XJkeRmntBXI7wGjpLV7QorqlTk/edit?usp=sharing"",""พัทลุง!J701"")"),0)</f>
        <v>0</v>
      </c>
      <c r="AB82" s="452">
        <f ca="1">IFERROR(__xludf.DUMMYFUNCTION("IMPORTRANGE(""https://docs.google.com/spreadsheets/d/17ht0gPKzzT3PObBL1XJkeRmntBXI7wGjpLV7QorqlTk/edit?usp=sharing"",""พัทลุง!J702"")"),0)</f>
        <v>0</v>
      </c>
      <c r="AC82" s="354">
        <f t="shared" ca="1" si="46"/>
        <v>0</v>
      </c>
      <c r="AD82" s="353">
        <f ca="1">IFERROR(__xludf.DUMMYFUNCTION("IMPORTRANGE(""https://docs.google.com/spreadsheets/d/17ht0gPKzzT3PObBL1XJkeRmntBXI7wGjpLV7QorqlTk/edit?usp=sharing"",""พัทลุง!I703"")"),0)</f>
        <v>0</v>
      </c>
      <c r="AE82" s="452">
        <f ca="1">IFERROR(__xludf.DUMMYFUNCTION("IMPORTRANGE(""https://docs.google.com/spreadsheets/d/17ht0gPKzzT3PObBL1XJkeRmntBXI7wGjpLV7QorqlTk/edit?usp=sharing"",""พัทลุง!J703"")"),0)</f>
        <v>0</v>
      </c>
      <c r="AF82" s="452">
        <f ca="1">IFERROR(__xludf.DUMMYFUNCTION("IMPORTRANGE(""https://docs.google.com/spreadsheets/d/17ht0gPKzzT3PObBL1XJkeRmntBXI7wGjpLV7QorqlTk/edit?usp=sharing"",""พัทลุง!J704"")"),0)</f>
        <v>0</v>
      </c>
      <c r="AG82" s="354">
        <f t="shared" ca="1" si="48"/>
        <v>0</v>
      </c>
      <c r="AH82" s="495">
        <f ca="1">IFERROR(__xludf.DUMMYFUNCTION("IMPORTRANGE(""https://docs.google.com/spreadsheets/d/17ht0gPKzzT3PObBL1XJkeRmntBXI7wGjpLV7QorqlTk/edit?usp=sharing"",""พัทลุง!I705"")"),3)</f>
        <v>3</v>
      </c>
      <c r="AI82" s="496">
        <f ca="1">IFERROR(__xludf.DUMMYFUNCTION("IMPORTRANGE(""https://docs.google.com/spreadsheets/d/17ht0gPKzzT3PObBL1XJkeRmntBXI7wGjpLV7QorqlTk/edit?usp=sharing"",""พัทลุง!J705"")"),0)</f>
        <v>0</v>
      </c>
      <c r="AJ82" s="496">
        <f ca="1">IFERROR(__xludf.DUMMYFUNCTION("IMPORTRANGE(""https://docs.google.com/spreadsheets/d/17ht0gPKzzT3PObBL1XJkeRmntBXI7wGjpLV7QorqlTk/edit?usp=sharing"",""พัทลุง!J706"")"),0)</f>
        <v>0</v>
      </c>
      <c r="AK82" s="497">
        <f t="shared" ca="1" si="50"/>
        <v>0</v>
      </c>
      <c r="AL82" s="353">
        <f ca="1">IFERROR(__xludf.DUMMYFUNCTION("IMPORTRANGE(""https://docs.google.com/spreadsheets/d/17ht0gPKzzT3PObBL1XJkeRmntBXI7wGjpLV7QorqlTk/edit?usp=sharing"",""พัทลุง!I707"")"),0)</f>
        <v>0</v>
      </c>
      <c r="AM82" s="452">
        <f ca="1">IFERROR(__xludf.DUMMYFUNCTION("IMPORTRANGE(""https://docs.google.com/spreadsheets/d/17ht0gPKzzT3PObBL1XJkeRmntBXI7wGjpLV7QorqlTk/edit?usp=sharing"",""พัทลุง!J707"")"),0)</f>
        <v>0</v>
      </c>
      <c r="AN82" s="452">
        <f ca="1">IFERROR(__xludf.DUMMYFUNCTION("IMPORTRANGE(""https://docs.google.com/spreadsheets/d/17ht0gPKzzT3PObBL1XJkeRmntBXI7wGjpLV7QorqlTk/edit?usp=sharing"",""พัทลุง!J708"")"),0)</f>
        <v>0</v>
      </c>
      <c r="AO82" s="354">
        <f t="shared" ca="1" si="52"/>
        <v>0</v>
      </c>
      <c r="AP82" s="495">
        <f ca="1">IFERROR(__xludf.DUMMYFUNCTION("IMPORTRANGE(""https://docs.google.com/spreadsheets/d/17ht0gPKzzT3PObBL1XJkeRmntBXI7wGjpLV7QorqlTk/edit?usp=sharing"",""พัทลุง!I709"")"),3)</f>
        <v>3</v>
      </c>
      <c r="AQ82" s="496">
        <f ca="1">IFERROR(__xludf.DUMMYFUNCTION("IMPORTRANGE(""https://docs.google.com/spreadsheets/d/17ht0gPKzzT3PObBL1XJkeRmntBXI7wGjpLV7QorqlTk/edit?usp=sharing"",""พัทลุง!J709"")"),0)</f>
        <v>0</v>
      </c>
      <c r="AR82" s="496">
        <f ca="1">IFERROR(__xludf.DUMMYFUNCTION("IMPORTRANGE(""https://docs.google.com/spreadsheets/d/17ht0gPKzzT3PObBL1XJkeRmntBXI7wGjpLV7QorqlTk/edit?usp=sharing"",""พัทลุง!J710"")"),0)</f>
        <v>0</v>
      </c>
      <c r="AS82" s="497">
        <f t="shared" ca="1" si="54"/>
        <v>0</v>
      </c>
    </row>
    <row r="83" spans="1:45" ht="24.75" customHeight="1" x14ac:dyDescent="0.3">
      <c r="A83" s="89">
        <v>9</v>
      </c>
      <c r="B83" s="90" t="s">
        <v>109</v>
      </c>
      <c r="C83" s="174">
        <f t="shared" si="32"/>
        <v>0</v>
      </c>
      <c r="D83" s="175">
        <f t="shared" si="82"/>
        <v>0</v>
      </c>
      <c r="E83" s="403">
        <v>0</v>
      </c>
      <c r="F83" s="403">
        <v>0</v>
      </c>
      <c r="G83" s="403">
        <v>0</v>
      </c>
      <c r="H83" s="403">
        <v>0</v>
      </c>
      <c r="I83" s="403">
        <v>0</v>
      </c>
      <c r="J83" s="176">
        <f t="shared" si="34"/>
        <v>0</v>
      </c>
      <c r="K83" s="179">
        <f t="shared" si="35"/>
        <v>0</v>
      </c>
      <c r="L83" s="403">
        <v>0</v>
      </c>
      <c r="M83" s="87">
        <f t="shared" si="36"/>
        <v>0</v>
      </c>
      <c r="N83" s="87">
        <f t="shared" si="37"/>
        <v>0</v>
      </c>
      <c r="O83" s="403">
        <v>0</v>
      </c>
      <c r="P83" s="86">
        <f t="shared" si="38"/>
        <v>0</v>
      </c>
      <c r="Q83" s="87">
        <f t="shared" si="39"/>
        <v>0</v>
      </c>
      <c r="R83" s="87">
        <f ca="1">IFERROR(__xludf.DUMMYFUNCTION("IMPORTRANGE(""https://docs.google.com/spreadsheets/d/1rd4qoM1q_hsgaolqNGfrim9gbsoLxQsda4-vOz5x_BM/edit?usp=sharing"",""ภูเก็ต!Q690"")"),0)</f>
        <v>0</v>
      </c>
      <c r="S83" s="87">
        <f ca="1">IFERROR(__xludf.DUMMYFUNCTION("IMPORTRANGE(""https://docs.google.com/spreadsheets/d/1rd4qoM1q_hsgaolqNGfrim9gbsoLxQsda4-vOz5x_BM/edit?usp=sharing"",""ภูเก็ต!R690"")"),0)</f>
        <v>0</v>
      </c>
      <c r="T83" s="87">
        <f ca="1">IFERROR(__xludf.DUMMYFUNCTION("IMPORTRANGE(""https://docs.google.com/spreadsheets/d/1rd4qoM1q_hsgaolqNGfrim9gbsoLxQsda4-vOz5x_BM/edit?usp=sharing"",""ภูเก็ต!S690"")"),0)</f>
        <v>0</v>
      </c>
      <c r="U83" s="87">
        <f t="shared" ca="1" si="41"/>
        <v>0</v>
      </c>
      <c r="V83" s="87">
        <f t="shared" ca="1" si="42"/>
        <v>0</v>
      </c>
      <c r="W83" s="353">
        <f ca="1">IFERROR(__xludf.DUMMYFUNCTION("IMPORTRANGE(""https://docs.google.com/spreadsheets/d/1rd4qoM1q_hsgaolqNGfrim9gbsoLxQsda4-vOz5x_BM/edit?usp=sharing"",""ภูเก็ต!I700"")"),0)</f>
        <v>0</v>
      </c>
      <c r="X83" s="177">
        <f ca="1">IFERROR(__xludf.DUMMYFUNCTION("IMPORTRANGE(""https://docs.google.com/spreadsheets/d/1rd4qoM1q_hsgaolqNGfrim9gbsoLxQsda4-vOz5x_BM/edit?usp=sharing"",""ภูเก็ต!J700"")"),0)</f>
        <v>0</v>
      </c>
      <c r="Y83" s="354">
        <f t="shared" ca="1" si="44"/>
        <v>0</v>
      </c>
      <c r="Z83" s="353">
        <f ca="1">IFERROR(__xludf.DUMMYFUNCTION("IMPORTRANGE(""https://docs.google.com/spreadsheets/d/1rd4qoM1q_hsgaolqNGfrim9gbsoLxQsda4-vOz5x_BM/edit?usp=sharing"",""ภูเก็ต!I701"")"),0)</f>
        <v>0</v>
      </c>
      <c r="AA83" s="177">
        <f ca="1">IFERROR(__xludf.DUMMYFUNCTION("IMPORTRANGE(""https://docs.google.com/spreadsheets/d/1rd4qoM1q_hsgaolqNGfrim9gbsoLxQsda4-vOz5x_BM/edit?usp=sharing"",""ภูเก็ต!J701"")"),0)</f>
        <v>0</v>
      </c>
      <c r="AB83" s="177">
        <f ca="1">IFERROR(__xludf.DUMMYFUNCTION("IMPORTRANGE(""https://docs.google.com/spreadsheets/d/1rd4qoM1q_hsgaolqNGfrim9gbsoLxQsda4-vOz5x_BM/edit?usp=sharing"",""ภูเก็ต!J702"")"),0)</f>
        <v>0</v>
      </c>
      <c r="AC83" s="354">
        <f t="shared" ca="1" si="46"/>
        <v>0</v>
      </c>
      <c r="AD83" s="353">
        <f ca="1">IFERROR(__xludf.DUMMYFUNCTION("IMPORTRANGE(""https://docs.google.com/spreadsheets/d/1rd4qoM1q_hsgaolqNGfrim9gbsoLxQsda4-vOz5x_BM/edit?usp=sharing"",""ภูเก็ต!I703"")"),0)</f>
        <v>0</v>
      </c>
      <c r="AE83" s="177">
        <f ca="1">IFERROR(__xludf.DUMMYFUNCTION("IMPORTRANGE(""https://docs.google.com/spreadsheets/d/1rd4qoM1q_hsgaolqNGfrim9gbsoLxQsda4-vOz5x_BM/edit?usp=sharing"",""ภูเก็ต!J703"")"),0)</f>
        <v>0</v>
      </c>
      <c r="AF83" s="177">
        <f ca="1">IFERROR(__xludf.DUMMYFUNCTION("IMPORTRANGE(""https://docs.google.com/spreadsheets/d/1rd4qoM1q_hsgaolqNGfrim9gbsoLxQsda4-vOz5x_BM/edit?usp=sharing"",""ภูเก็ต!J704"")"),0)</f>
        <v>0</v>
      </c>
      <c r="AG83" s="354">
        <f t="shared" ca="1" si="48"/>
        <v>0</v>
      </c>
      <c r="AH83" s="495">
        <f ca="1">IFERROR(__xludf.DUMMYFUNCTION("IMPORTRANGE(""https://docs.google.com/spreadsheets/d/1rd4qoM1q_hsgaolqNGfrim9gbsoLxQsda4-vOz5x_BM/edit?usp=sharing"",""ภูเก็ต!I705"")"),0)</f>
        <v>0</v>
      </c>
      <c r="AI83" s="496">
        <f ca="1">IFERROR(__xludf.DUMMYFUNCTION("IMPORTRANGE(""https://docs.google.com/spreadsheets/d/1rd4qoM1q_hsgaolqNGfrim9gbsoLxQsda4-vOz5x_BM/edit?usp=sharing"",""ภูเก็ต!J705"")"),0)</f>
        <v>0</v>
      </c>
      <c r="AJ83" s="496">
        <f ca="1">IFERROR(__xludf.DUMMYFUNCTION("IMPORTRANGE(""https://docs.google.com/spreadsheets/d/1rd4qoM1q_hsgaolqNGfrim9gbsoLxQsda4-vOz5x_BM/edit?usp=sharing"",""ภูเก็ต!J706"")"),0)</f>
        <v>0</v>
      </c>
      <c r="AK83" s="497">
        <f t="shared" ca="1" si="50"/>
        <v>0</v>
      </c>
      <c r="AL83" s="353">
        <f ca="1">IFERROR(__xludf.DUMMYFUNCTION("IMPORTRANGE(""https://docs.google.com/spreadsheets/d/1rd4qoM1q_hsgaolqNGfrim9gbsoLxQsda4-vOz5x_BM/edit?usp=sharing"",""ภูเก็ต!I707"")"),0)</f>
        <v>0</v>
      </c>
      <c r="AM83" s="177">
        <f ca="1">IFERROR(__xludf.DUMMYFUNCTION("IMPORTRANGE(""https://docs.google.com/spreadsheets/d/1rd4qoM1q_hsgaolqNGfrim9gbsoLxQsda4-vOz5x_BM/edit?usp=sharing"",""ภูเก็ต!J707"")"),0)</f>
        <v>0</v>
      </c>
      <c r="AN83" s="177">
        <f ca="1">IFERROR(__xludf.DUMMYFUNCTION("IMPORTRANGE(""https://docs.google.com/spreadsheets/d/1rd4qoM1q_hsgaolqNGfrim9gbsoLxQsda4-vOz5x_BM/edit?usp=sharing"",""ภูเก็ต!J708"")"),0)</f>
        <v>0</v>
      </c>
      <c r="AO83" s="354">
        <f t="shared" ca="1" si="52"/>
        <v>0</v>
      </c>
      <c r="AP83" s="495">
        <f ca="1">IFERROR(__xludf.DUMMYFUNCTION("IMPORTRANGE(""https://docs.google.com/spreadsheets/d/1rd4qoM1q_hsgaolqNGfrim9gbsoLxQsda4-vOz5x_BM/edit?usp=sharing"",""ภูเก็ต!I709"")"),0)</f>
        <v>0</v>
      </c>
      <c r="AQ83" s="496">
        <f ca="1">IFERROR(__xludf.DUMMYFUNCTION("IMPORTRANGE(""https://docs.google.com/spreadsheets/d/1rd4qoM1q_hsgaolqNGfrim9gbsoLxQsda4-vOz5x_BM/edit?usp=sharing"",""ภูเก็ต!J709"")"),0)</f>
        <v>0</v>
      </c>
      <c r="AR83" s="496">
        <f ca="1">IFERROR(__xludf.DUMMYFUNCTION("IMPORTRANGE(""https://docs.google.com/spreadsheets/d/1rd4qoM1q_hsgaolqNGfrim9gbsoLxQsda4-vOz5x_BM/edit?usp=sharing"",""ภูเก็ต!J710"")"),0)</f>
        <v>0</v>
      </c>
      <c r="AS83" s="497">
        <f t="shared" ca="1" si="54"/>
        <v>0</v>
      </c>
    </row>
    <row r="84" spans="1:45" ht="24.75" customHeight="1" x14ac:dyDescent="0.3">
      <c r="A84" s="89">
        <v>10</v>
      </c>
      <c r="B84" s="90" t="s">
        <v>110</v>
      </c>
      <c r="C84" s="174">
        <f t="shared" si="32"/>
        <v>0</v>
      </c>
      <c r="D84" s="175">
        <f t="shared" si="82"/>
        <v>0</v>
      </c>
      <c r="E84" s="403">
        <v>0</v>
      </c>
      <c r="F84" s="403">
        <v>0</v>
      </c>
      <c r="G84" s="403">
        <v>0</v>
      </c>
      <c r="H84" s="403">
        <v>0</v>
      </c>
      <c r="I84" s="403">
        <v>0</v>
      </c>
      <c r="J84" s="176">
        <f t="shared" si="34"/>
        <v>0</v>
      </c>
      <c r="K84" s="179">
        <f t="shared" si="35"/>
        <v>0</v>
      </c>
      <c r="L84" s="403">
        <v>0</v>
      </c>
      <c r="M84" s="87">
        <f t="shared" si="36"/>
        <v>0</v>
      </c>
      <c r="N84" s="87">
        <f t="shared" si="37"/>
        <v>0</v>
      </c>
      <c r="O84" s="403">
        <v>0</v>
      </c>
      <c r="P84" s="86">
        <f t="shared" si="38"/>
        <v>0</v>
      </c>
      <c r="Q84" s="87">
        <f t="shared" si="39"/>
        <v>0</v>
      </c>
      <c r="R84" s="87">
        <f ca="1">IFERROR(__xludf.DUMMYFUNCTION("IMPORTRANGE(""https://docs.google.com/spreadsheets/d/1woKwKjgoLssDvPcPeVyezB5izizAn4X1JDrys69n6xI/edit?usp=sharing"",""ยะลา!Q690"")"),135150)</f>
        <v>135150</v>
      </c>
      <c r="S84" s="87">
        <f ca="1">IFERROR(__xludf.DUMMYFUNCTION("IMPORTRANGE(""https://docs.google.com/spreadsheets/d/1woKwKjgoLssDvPcPeVyezB5izizAn4X1JDrys69n6xI/edit?usp=sharing"",""ยะลา!R690"")"),0)</f>
        <v>0</v>
      </c>
      <c r="T84" s="87">
        <f ca="1">IFERROR(__xludf.DUMMYFUNCTION("IMPORTRANGE(""https://docs.google.com/spreadsheets/d/1woKwKjgoLssDvPcPeVyezB5izizAn4X1JDrys69n6xI/edit?usp=sharing"",""ยะลา!S690"")"),0)</f>
        <v>0</v>
      </c>
      <c r="U84" s="87">
        <f t="shared" ca="1" si="41"/>
        <v>0</v>
      </c>
      <c r="V84" s="87">
        <f t="shared" ca="1" si="42"/>
        <v>0</v>
      </c>
      <c r="W84" s="353">
        <f ca="1">IFERROR(__xludf.DUMMYFUNCTION("IMPORTRANGE(""https://docs.google.com/spreadsheets/d/1woKwKjgoLssDvPcPeVyezB5izizAn4X1JDrys69n6xI/edit?usp=sharing"",""ยะลา!I700"")"),0)</f>
        <v>0</v>
      </c>
      <c r="X84" s="177">
        <f ca="1">IFERROR(__xludf.DUMMYFUNCTION("IMPORTRANGE(""https://docs.google.com/spreadsheets/d/1woKwKjgoLssDvPcPeVyezB5izizAn4X1JDrys69n6xI/edit?usp=sharing"",""ยะลา!J700"")"),0)</f>
        <v>0</v>
      </c>
      <c r="Y84" s="354">
        <f t="shared" ca="1" si="44"/>
        <v>0</v>
      </c>
      <c r="Z84" s="353">
        <f ca="1">IFERROR(__xludf.DUMMYFUNCTION("IMPORTRANGE(""https://docs.google.com/spreadsheets/d/1woKwKjgoLssDvPcPeVyezB5izizAn4X1JDrys69n6xI/edit?usp=sharing"",""ยะลา!I701"")"),34)</f>
        <v>34</v>
      </c>
      <c r="AA84" s="177">
        <f ca="1">IFERROR(__xludf.DUMMYFUNCTION("IMPORTRANGE(""https://docs.google.com/spreadsheets/d/1woKwKjgoLssDvPcPeVyezB5izizAn4X1JDrys69n6xI/edit?usp=sharing"",""ยะลา!J701"")"),0)</f>
        <v>0</v>
      </c>
      <c r="AB84" s="177">
        <f ca="1">IFERROR(__xludf.DUMMYFUNCTION("IMPORTRANGE(""https://docs.google.com/spreadsheets/d/1woKwKjgoLssDvPcPeVyezB5izizAn4X1JDrys69n6xI/edit?usp=sharing"",""ยะลา!J702"")"),0)</f>
        <v>0</v>
      </c>
      <c r="AC84" s="354">
        <f t="shared" ca="1" si="46"/>
        <v>0</v>
      </c>
      <c r="AD84" s="353">
        <f ca="1">IFERROR(__xludf.DUMMYFUNCTION("IMPORTRANGE(""https://docs.google.com/spreadsheets/d/1woKwKjgoLssDvPcPeVyezB5izizAn4X1JDrys69n6xI/edit?usp=sharing"",""ยะลา!I703"")"),31)</f>
        <v>31</v>
      </c>
      <c r="AE84" s="177">
        <f ca="1">IFERROR(__xludf.DUMMYFUNCTION("IMPORTRANGE(""https://docs.google.com/spreadsheets/d/1woKwKjgoLssDvPcPeVyezB5izizAn4X1JDrys69n6xI/edit?usp=sharing"",""ยะลา!J703"")"),0)</f>
        <v>0</v>
      </c>
      <c r="AF84" s="177">
        <f ca="1">IFERROR(__xludf.DUMMYFUNCTION("IMPORTRANGE(""https://docs.google.com/spreadsheets/d/1woKwKjgoLssDvPcPeVyezB5izizAn4X1JDrys69n6xI/edit?usp=sharing"",""ยะลา!J704"")"),0)</f>
        <v>0</v>
      </c>
      <c r="AG84" s="354">
        <f t="shared" ca="1" si="48"/>
        <v>0</v>
      </c>
      <c r="AH84" s="495">
        <f ca="1">IFERROR(__xludf.DUMMYFUNCTION("IMPORTRANGE(""https://docs.google.com/spreadsheets/d/1woKwKjgoLssDvPcPeVyezB5izizAn4X1JDrys69n6xI/edit?usp=sharing"",""ยะลา!I705"")"),3)</f>
        <v>3</v>
      </c>
      <c r="AI84" s="496">
        <f ca="1">IFERROR(__xludf.DUMMYFUNCTION("IMPORTRANGE(""https://docs.google.com/spreadsheets/d/1woKwKjgoLssDvPcPeVyezB5izizAn4X1JDrys69n6xI/edit?usp=sharing"",""ยะลา!J705"")"),0)</f>
        <v>0</v>
      </c>
      <c r="AJ84" s="496">
        <f ca="1">IFERROR(__xludf.DUMMYFUNCTION("IMPORTRANGE(""https://docs.google.com/spreadsheets/d/1woKwKjgoLssDvPcPeVyezB5izizAn4X1JDrys69n6xI/edit?usp=sharing"",""ยะลา!J706"")"),0)</f>
        <v>0</v>
      </c>
      <c r="AK84" s="497">
        <f t="shared" ca="1" si="50"/>
        <v>0</v>
      </c>
      <c r="AL84" s="353">
        <f ca="1">IFERROR(__xludf.DUMMYFUNCTION("IMPORTRANGE(""https://docs.google.com/spreadsheets/d/1woKwKjgoLssDvPcPeVyezB5izizAn4X1JDrys69n6xI/edit?usp=sharing"",""ยะลา!I707"")"),31)</f>
        <v>31</v>
      </c>
      <c r="AM84" s="177">
        <f ca="1">IFERROR(__xludf.DUMMYFUNCTION("IMPORTRANGE(""https://docs.google.com/spreadsheets/d/1woKwKjgoLssDvPcPeVyezB5izizAn4X1JDrys69n6xI/edit?usp=sharing"",""ยะลา!J707"")"),0)</f>
        <v>0</v>
      </c>
      <c r="AN84" s="177">
        <f ca="1">IFERROR(__xludf.DUMMYFUNCTION("IMPORTRANGE(""https://docs.google.com/spreadsheets/d/1woKwKjgoLssDvPcPeVyezB5izizAn4X1JDrys69n6xI/edit?usp=sharing"",""ยะลา!J708"")"),0)</f>
        <v>0</v>
      </c>
      <c r="AO84" s="354">
        <f t="shared" ca="1" si="52"/>
        <v>0</v>
      </c>
      <c r="AP84" s="495">
        <f ca="1">IFERROR(__xludf.DUMMYFUNCTION("IMPORTRANGE(""https://docs.google.com/spreadsheets/d/1woKwKjgoLssDvPcPeVyezB5izizAn4X1JDrys69n6xI/edit?usp=sharing"",""ยะลา!I709"")"),3)</f>
        <v>3</v>
      </c>
      <c r="AQ84" s="496">
        <f ca="1">IFERROR(__xludf.DUMMYFUNCTION("IMPORTRANGE(""https://docs.google.com/spreadsheets/d/1woKwKjgoLssDvPcPeVyezB5izizAn4X1JDrys69n6xI/edit?usp=sharing"",""ยะลา!J709"")"),0)</f>
        <v>0</v>
      </c>
      <c r="AR84" s="496">
        <f ca="1">IFERROR(__xludf.DUMMYFUNCTION("IMPORTRANGE(""https://docs.google.com/spreadsheets/d/1woKwKjgoLssDvPcPeVyezB5izizAn4X1JDrys69n6xI/edit?usp=sharing"",""ยะลา!J710"")"),0)</f>
        <v>0</v>
      </c>
      <c r="AS84" s="497">
        <f t="shared" ca="1" si="54"/>
        <v>0</v>
      </c>
    </row>
    <row r="85" spans="1:45" ht="24.75" customHeight="1" x14ac:dyDescent="0.3">
      <c r="A85" s="89">
        <v>11</v>
      </c>
      <c r="B85" s="90" t="s">
        <v>111</v>
      </c>
      <c r="C85" s="174">
        <f t="shared" si="32"/>
        <v>0</v>
      </c>
      <c r="D85" s="175">
        <f t="shared" si="82"/>
        <v>0</v>
      </c>
      <c r="E85" s="403">
        <v>0</v>
      </c>
      <c r="F85" s="403">
        <v>0</v>
      </c>
      <c r="G85" s="403">
        <v>0</v>
      </c>
      <c r="H85" s="403">
        <v>0</v>
      </c>
      <c r="I85" s="403">
        <v>0</v>
      </c>
      <c r="J85" s="176">
        <f t="shared" si="34"/>
        <v>0</v>
      </c>
      <c r="K85" s="179">
        <f t="shared" si="35"/>
        <v>0</v>
      </c>
      <c r="L85" s="403">
        <v>0</v>
      </c>
      <c r="M85" s="87">
        <f t="shared" si="36"/>
        <v>0</v>
      </c>
      <c r="N85" s="87">
        <f t="shared" si="37"/>
        <v>0</v>
      </c>
      <c r="O85" s="403">
        <v>0</v>
      </c>
      <c r="P85" s="86">
        <f t="shared" si="38"/>
        <v>0</v>
      </c>
      <c r="Q85" s="87">
        <f t="shared" si="39"/>
        <v>0</v>
      </c>
      <c r="R85" s="87">
        <f ca="1">IFERROR(__xludf.DUMMYFUNCTION("IMPORTRANGE(""https://docs.google.com/spreadsheets/d/1qfrKjzMhm2HJfxQ-qVlJlJQ25Hne1d0khsySbZyGtPA/edit?usp=sharing"",""ระนอง!Q690"")"),66220)</f>
        <v>66220</v>
      </c>
      <c r="S85" s="87">
        <f ca="1">IFERROR(__xludf.DUMMYFUNCTION("IMPORTRANGE(""https://docs.google.com/spreadsheets/d/1qfrKjzMhm2HJfxQ-qVlJlJQ25Hne1d0khsySbZyGtPA/edit?usp=sharing"",""ระนอง!R690"")"),0)</f>
        <v>0</v>
      </c>
      <c r="T85" s="87">
        <f ca="1">IFERROR(__xludf.DUMMYFUNCTION("IMPORTRANGE(""https://docs.google.com/spreadsheets/d/1qfrKjzMhm2HJfxQ-qVlJlJQ25Hne1d0khsySbZyGtPA/edit?usp=sharing"",""ระนอง!S690"")"),0)</f>
        <v>0</v>
      </c>
      <c r="U85" s="87">
        <f t="shared" ca="1" si="41"/>
        <v>0</v>
      </c>
      <c r="V85" s="87">
        <f t="shared" ca="1" si="42"/>
        <v>0</v>
      </c>
      <c r="W85" s="353">
        <f ca="1">IFERROR(__xludf.DUMMYFUNCTION("IMPORTRANGE(""https://docs.google.com/spreadsheets/d/1qfrKjzMhm2HJfxQ-qVlJlJQ25Hne1d0khsySbZyGtPA/edit?usp=sharing"",""ระนอง!I700"")"),0)</f>
        <v>0</v>
      </c>
      <c r="X85" s="177">
        <f ca="1">IFERROR(__xludf.DUMMYFUNCTION("IMPORTRANGE(""https://docs.google.com/spreadsheets/d/1qfrKjzMhm2HJfxQ-qVlJlJQ25Hne1d0khsySbZyGtPA/edit?usp=sharing"",""ระนอง!J700"")"),0)</f>
        <v>0</v>
      </c>
      <c r="Y85" s="354">
        <f t="shared" ca="1" si="44"/>
        <v>0</v>
      </c>
      <c r="Z85" s="353">
        <f ca="1">IFERROR(__xludf.DUMMYFUNCTION("IMPORTRANGE(""https://docs.google.com/spreadsheets/d/1qfrKjzMhm2HJfxQ-qVlJlJQ25Hne1d0khsySbZyGtPA/edit?usp=sharing"",""ระนอง!I701"")"),3)</f>
        <v>3</v>
      </c>
      <c r="AA85" s="177">
        <f ca="1">IFERROR(__xludf.DUMMYFUNCTION("IMPORTRANGE(""https://docs.google.com/spreadsheets/d/1qfrKjzMhm2HJfxQ-qVlJlJQ25Hne1d0khsySbZyGtPA/edit?usp=sharing"",""ระนอง!J701"")"),0)</f>
        <v>0</v>
      </c>
      <c r="AB85" s="177">
        <f ca="1">IFERROR(__xludf.DUMMYFUNCTION("IMPORTRANGE(""https://docs.google.com/spreadsheets/d/1qfrKjzMhm2HJfxQ-qVlJlJQ25Hne1d0khsySbZyGtPA/edit?usp=sharing"",""ระนอง!J702"")"),0)</f>
        <v>0</v>
      </c>
      <c r="AC85" s="354">
        <f t="shared" ca="1" si="46"/>
        <v>0</v>
      </c>
      <c r="AD85" s="353">
        <f ca="1">IFERROR(__xludf.DUMMYFUNCTION("IMPORTRANGE(""https://docs.google.com/spreadsheets/d/1qfrKjzMhm2HJfxQ-qVlJlJQ25Hne1d0khsySbZyGtPA/edit?usp=sharing"",""ระนอง!I703"")"),0)</f>
        <v>0</v>
      </c>
      <c r="AE85" s="177">
        <f ca="1">IFERROR(__xludf.DUMMYFUNCTION("IMPORTRANGE(""https://docs.google.com/spreadsheets/d/1qfrKjzMhm2HJfxQ-qVlJlJQ25Hne1d0khsySbZyGtPA/edit?usp=sharing"",""ระนอง!J703"")"),0)</f>
        <v>0</v>
      </c>
      <c r="AF85" s="177">
        <f ca="1">IFERROR(__xludf.DUMMYFUNCTION("IMPORTRANGE(""https://docs.google.com/spreadsheets/d/1qfrKjzMhm2HJfxQ-qVlJlJQ25Hne1d0khsySbZyGtPA/edit?usp=sharing"",""ระนอง!J704"")"),0)</f>
        <v>0</v>
      </c>
      <c r="AG85" s="354">
        <f t="shared" ca="1" si="48"/>
        <v>0</v>
      </c>
      <c r="AH85" s="495">
        <f ca="1">IFERROR(__xludf.DUMMYFUNCTION("IMPORTRANGE(""https://docs.google.com/spreadsheets/d/1qfrKjzMhm2HJfxQ-qVlJlJQ25Hne1d0khsySbZyGtPA/edit?usp=sharing"",""ระนอง!I705"")"),3)</f>
        <v>3</v>
      </c>
      <c r="AI85" s="496">
        <f ca="1">IFERROR(__xludf.DUMMYFUNCTION("IMPORTRANGE(""https://docs.google.com/spreadsheets/d/1qfrKjzMhm2HJfxQ-qVlJlJQ25Hne1d0khsySbZyGtPA/edit?usp=sharing"",""ระนอง!J705"")"),0)</f>
        <v>0</v>
      </c>
      <c r="AJ85" s="496">
        <f ca="1">IFERROR(__xludf.DUMMYFUNCTION("IMPORTRANGE(""https://docs.google.com/spreadsheets/d/1qfrKjzMhm2HJfxQ-qVlJlJQ25Hne1d0khsySbZyGtPA/edit?usp=sharing"",""ระนอง!J706"")"),0)</f>
        <v>0</v>
      </c>
      <c r="AK85" s="497">
        <f t="shared" ca="1" si="50"/>
        <v>0</v>
      </c>
      <c r="AL85" s="353">
        <f ca="1">IFERROR(__xludf.DUMMYFUNCTION("IMPORTRANGE(""https://docs.google.com/spreadsheets/d/1qfrKjzMhm2HJfxQ-qVlJlJQ25Hne1d0khsySbZyGtPA/edit?usp=sharing"",""ระนอง!I707"")"),0)</f>
        <v>0</v>
      </c>
      <c r="AM85" s="177">
        <f ca="1">IFERROR(__xludf.DUMMYFUNCTION("IMPORTRANGE(""https://docs.google.com/spreadsheets/d/1qfrKjzMhm2HJfxQ-qVlJlJQ25Hne1d0khsySbZyGtPA/edit?usp=sharing"",""ระนอง!J707"")"),0)</f>
        <v>0</v>
      </c>
      <c r="AN85" s="177">
        <f ca="1">IFERROR(__xludf.DUMMYFUNCTION("IMPORTRANGE(""https://docs.google.com/spreadsheets/d/1qfrKjzMhm2HJfxQ-qVlJlJQ25Hne1d0khsySbZyGtPA/edit?usp=sharing"",""ระนอง!J708"")"),0)</f>
        <v>0</v>
      </c>
      <c r="AO85" s="354">
        <f t="shared" ca="1" si="52"/>
        <v>0</v>
      </c>
      <c r="AP85" s="495">
        <f ca="1">IFERROR(__xludf.DUMMYFUNCTION("IMPORTRANGE(""https://docs.google.com/spreadsheets/d/1qfrKjzMhm2HJfxQ-qVlJlJQ25Hne1d0khsySbZyGtPA/edit?usp=sharing"",""ระนอง!I709"")"),3)</f>
        <v>3</v>
      </c>
      <c r="AQ85" s="496">
        <f ca="1">IFERROR(__xludf.DUMMYFUNCTION("IMPORTRANGE(""https://docs.google.com/spreadsheets/d/1qfrKjzMhm2HJfxQ-qVlJlJQ25Hne1d0khsySbZyGtPA/edit?usp=sharing"",""ระนอง!J709"")"),0)</f>
        <v>0</v>
      </c>
      <c r="AR85" s="496">
        <f ca="1">IFERROR(__xludf.DUMMYFUNCTION("IMPORTRANGE(""https://docs.google.com/spreadsheets/d/1qfrKjzMhm2HJfxQ-qVlJlJQ25Hne1d0khsySbZyGtPA/edit?usp=sharing"",""ระนอง!J710"")"),0)</f>
        <v>0</v>
      </c>
      <c r="AS85" s="497">
        <f t="shared" ca="1" si="54"/>
        <v>0</v>
      </c>
    </row>
    <row r="86" spans="1:45" ht="24.75" customHeight="1" x14ac:dyDescent="0.3">
      <c r="A86" s="89">
        <v>12</v>
      </c>
      <c r="B86" s="90" t="s">
        <v>112</v>
      </c>
      <c r="C86" s="174">
        <f t="shared" si="32"/>
        <v>0</v>
      </c>
      <c r="D86" s="175">
        <f t="shared" si="82"/>
        <v>0</v>
      </c>
      <c r="E86" s="403">
        <v>0</v>
      </c>
      <c r="F86" s="403">
        <v>0</v>
      </c>
      <c r="G86" s="403">
        <v>0</v>
      </c>
      <c r="H86" s="403">
        <v>0</v>
      </c>
      <c r="I86" s="403">
        <v>0</v>
      </c>
      <c r="J86" s="176">
        <f t="shared" si="34"/>
        <v>0</v>
      </c>
      <c r="K86" s="179">
        <f t="shared" si="35"/>
        <v>0</v>
      </c>
      <c r="L86" s="403">
        <v>0</v>
      </c>
      <c r="M86" s="87">
        <f t="shared" si="36"/>
        <v>0</v>
      </c>
      <c r="N86" s="87">
        <f t="shared" si="37"/>
        <v>0</v>
      </c>
      <c r="O86" s="403">
        <v>0</v>
      </c>
      <c r="P86" s="86">
        <f t="shared" si="38"/>
        <v>0</v>
      </c>
      <c r="Q86" s="87">
        <f t="shared" si="39"/>
        <v>0</v>
      </c>
      <c r="R86" s="87">
        <f ca="1">IFERROR(__xludf.DUMMYFUNCTION("IMPORTRANGE(""https://docs.google.com/spreadsheets/d/1IbSCnFOKpZsnFogBHJnL_isstZVaOMnFiIN0fGTPZZw/edit?usp=sharing"",""สงขลา!Q690"")"),69540)</f>
        <v>69540</v>
      </c>
      <c r="S86" s="87">
        <f ca="1">IFERROR(__xludf.DUMMYFUNCTION("IMPORTRANGE(""https://docs.google.com/spreadsheets/d/1IbSCnFOKpZsnFogBHJnL_isstZVaOMnFiIN0fGTPZZw/edit?usp=sharing"",""สงขลา!R690"")"),0)</f>
        <v>0</v>
      </c>
      <c r="T86" s="87">
        <f ca="1">IFERROR(__xludf.DUMMYFUNCTION("IMPORTRANGE(""https://docs.google.com/spreadsheets/d/1IbSCnFOKpZsnFogBHJnL_isstZVaOMnFiIN0fGTPZZw/edit?usp=sharing"",""สงขลา!S690"")"),0)</f>
        <v>0</v>
      </c>
      <c r="U86" s="87">
        <f t="shared" ca="1" si="41"/>
        <v>0</v>
      </c>
      <c r="V86" s="87">
        <f t="shared" ca="1" si="42"/>
        <v>0</v>
      </c>
      <c r="W86" s="353">
        <f ca="1">IFERROR(__xludf.DUMMYFUNCTION("IMPORTRANGE(""https://docs.google.com/spreadsheets/d/1IbSCnFOKpZsnFogBHJnL_isstZVaOMnFiIN0fGTPZZw/edit?usp=sharing"",""สงขลา!I700"")"),0)</f>
        <v>0</v>
      </c>
      <c r="X86" s="177">
        <f ca="1">IFERROR(__xludf.DUMMYFUNCTION("IMPORTRANGE(""https://docs.google.com/spreadsheets/d/1IbSCnFOKpZsnFogBHJnL_isstZVaOMnFiIN0fGTPZZw/edit?usp=sharing"",""สงขลา!J700"")"),0)</f>
        <v>0</v>
      </c>
      <c r="Y86" s="354">
        <f t="shared" ca="1" si="44"/>
        <v>0</v>
      </c>
      <c r="Z86" s="353">
        <f ca="1">IFERROR(__xludf.DUMMYFUNCTION("IMPORTRANGE(""https://docs.google.com/spreadsheets/d/1IbSCnFOKpZsnFogBHJnL_isstZVaOMnFiIN0fGTPZZw/edit?usp=sharing"",""สงขลา!I701"")"),3)</f>
        <v>3</v>
      </c>
      <c r="AA86" s="177">
        <f ca="1">IFERROR(__xludf.DUMMYFUNCTION("IMPORTRANGE(""https://docs.google.com/spreadsheets/d/1IbSCnFOKpZsnFogBHJnL_isstZVaOMnFiIN0fGTPZZw/edit?usp=sharing"",""สงขลา!J701"")"),0)</f>
        <v>0</v>
      </c>
      <c r="AB86" s="177">
        <f ca="1">IFERROR(__xludf.DUMMYFUNCTION("IMPORTRANGE(""https://docs.google.com/spreadsheets/d/1IbSCnFOKpZsnFogBHJnL_isstZVaOMnFiIN0fGTPZZw/edit?usp=sharing"",""สงขลา!J702"")"),0)</f>
        <v>0</v>
      </c>
      <c r="AC86" s="354">
        <f t="shared" ca="1" si="46"/>
        <v>0</v>
      </c>
      <c r="AD86" s="353">
        <f ca="1">IFERROR(__xludf.DUMMYFUNCTION("IMPORTRANGE(""https://docs.google.com/spreadsheets/d/1IbSCnFOKpZsnFogBHJnL_isstZVaOMnFiIN0fGTPZZw/edit?usp=sharing"",""สงขลา!I703"")"),0)</f>
        <v>0</v>
      </c>
      <c r="AE86" s="177">
        <f ca="1">IFERROR(__xludf.DUMMYFUNCTION("IMPORTRANGE(""https://docs.google.com/spreadsheets/d/1IbSCnFOKpZsnFogBHJnL_isstZVaOMnFiIN0fGTPZZw/edit?usp=sharing"",""สงขลา!J703"")"),0)</f>
        <v>0</v>
      </c>
      <c r="AF86" s="177">
        <f ca="1">IFERROR(__xludf.DUMMYFUNCTION("IMPORTRANGE(""https://docs.google.com/spreadsheets/d/1IbSCnFOKpZsnFogBHJnL_isstZVaOMnFiIN0fGTPZZw/edit?usp=sharing"",""สงขลา!J704"")"),0)</f>
        <v>0</v>
      </c>
      <c r="AG86" s="354">
        <f t="shared" ca="1" si="48"/>
        <v>0</v>
      </c>
      <c r="AH86" s="495">
        <f ca="1">IFERROR(__xludf.DUMMYFUNCTION("IMPORTRANGE(""https://docs.google.com/spreadsheets/d/1IbSCnFOKpZsnFogBHJnL_isstZVaOMnFiIN0fGTPZZw/edit?usp=sharing"",""สงขลา!I705"")"),3)</f>
        <v>3</v>
      </c>
      <c r="AI86" s="496">
        <f ca="1">IFERROR(__xludf.DUMMYFUNCTION("IMPORTRANGE(""https://docs.google.com/spreadsheets/d/1IbSCnFOKpZsnFogBHJnL_isstZVaOMnFiIN0fGTPZZw/edit?usp=sharing"",""สงขลา!J705"")"),0)</f>
        <v>0</v>
      </c>
      <c r="AJ86" s="496">
        <f ca="1">IFERROR(__xludf.DUMMYFUNCTION("IMPORTRANGE(""https://docs.google.com/spreadsheets/d/1IbSCnFOKpZsnFogBHJnL_isstZVaOMnFiIN0fGTPZZw/edit?usp=sharing"",""สงขลา!J706"")"),0)</f>
        <v>0</v>
      </c>
      <c r="AK86" s="497">
        <f t="shared" ca="1" si="50"/>
        <v>0</v>
      </c>
      <c r="AL86" s="353">
        <f ca="1">IFERROR(__xludf.DUMMYFUNCTION("IMPORTRANGE(""https://docs.google.com/spreadsheets/d/1IbSCnFOKpZsnFogBHJnL_isstZVaOMnFiIN0fGTPZZw/edit?usp=sharing"",""สงขลา!I707"")"),0)</f>
        <v>0</v>
      </c>
      <c r="AM86" s="177">
        <f ca="1">IFERROR(__xludf.DUMMYFUNCTION("IMPORTRANGE(""https://docs.google.com/spreadsheets/d/1IbSCnFOKpZsnFogBHJnL_isstZVaOMnFiIN0fGTPZZw/edit?usp=sharing"",""สงขลา!J707"")"),0)</f>
        <v>0</v>
      </c>
      <c r="AN86" s="177">
        <f ca="1">IFERROR(__xludf.DUMMYFUNCTION("IMPORTRANGE(""https://docs.google.com/spreadsheets/d/1IbSCnFOKpZsnFogBHJnL_isstZVaOMnFiIN0fGTPZZw/edit?usp=sharing"",""สงขลา!J708"")"),0)</f>
        <v>0</v>
      </c>
      <c r="AO86" s="354">
        <f t="shared" ca="1" si="52"/>
        <v>0</v>
      </c>
      <c r="AP86" s="495">
        <f ca="1">IFERROR(__xludf.DUMMYFUNCTION("IMPORTRANGE(""https://docs.google.com/spreadsheets/d/1IbSCnFOKpZsnFogBHJnL_isstZVaOMnFiIN0fGTPZZw/edit?usp=sharing"",""สงขลา!I709"")"),3)</f>
        <v>3</v>
      </c>
      <c r="AQ86" s="496">
        <f ca="1">IFERROR(__xludf.DUMMYFUNCTION("IMPORTRANGE(""https://docs.google.com/spreadsheets/d/1IbSCnFOKpZsnFogBHJnL_isstZVaOMnFiIN0fGTPZZw/edit?usp=sharing"",""สงขลา!J709"")"),0)</f>
        <v>0</v>
      </c>
      <c r="AR86" s="496">
        <f ca="1">IFERROR(__xludf.DUMMYFUNCTION("IMPORTRANGE(""https://docs.google.com/spreadsheets/d/1IbSCnFOKpZsnFogBHJnL_isstZVaOMnFiIN0fGTPZZw/edit?usp=sharing"",""สงขลา!J710"")"),0)</f>
        <v>0</v>
      </c>
      <c r="AS86" s="497">
        <f t="shared" ca="1" si="54"/>
        <v>0</v>
      </c>
    </row>
    <row r="87" spans="1:45" ht="24.75" customHeight="1" x14ac:dyDescent="0.3">
      <c r="A87" s="89">
        <v>13</v>
      </c>
      <c r="B87" s="90" t="s">
        <v>113</v>
      </c>
      <c r="C87" s="174">
        <f t="shared" si="32"/>
        <v>0</v>
      </c>
      <c r="D87" s="175">
        <f t="shared" si="82"/>
        <v>0</v>
      </c>
      <c r="E87" s="403">
        <v>0</v>
      </c>
      <c r="F87" s="403">
        <v>0</v>
      </c>
      <c r="G87" s="403">
        <v>0</v>
      </c>
      <c r="H87" s="403">
        <v>0</v>
      </c>
      <c r="I87" s="403">
        <v>0</v>
      </c>
      <c r="J87" s="176">
        <f t="shared" si="34"/>
        <v>0</v>
      </c>
      <c r="K87" s="179">
        <f t="shared" si="35"/>
        <v>0</v>
      </c>
      <c r="L87" s="403">
        <v>0</v>
      </c>
      <c r="M87" s="87">
        <f t="shared" si="36"/>
        <v>0</v>
      </c>
      <c r="N87" s="87">
        <f t="shared" si="37"/>
        <v>0</v>
      </c>
      <c r="O87" s="403">
        <v>0</v>
      </c>
      <c r="P87" s="86">
        <f t="shared" si="38"/>
        <v>0</v>
      </c>
      <c r="Q87" s="87">
        <f t="shared" si="39"/>
        <v>0</v>
      </c>
      <c r="R87" s="87">
        <f ca="1">IFERROR(__xludf.DUMMYFUNCTION("IMPORTRANGE(""https://docs.google.com/spreadsheets/d/1q9nWasZJ-K8bFGvbE9n0qSRuKGA4Toe3Y89cKCiVtCU/edit?usp=sharing"",""สตูล!Q690"")"),62580)</f>
        <v>62580</v>
      </c>
      <c r="S87" s="87">
        <f ca="1">IFERROR(__xludf.DUMMYFUNCTION("IMPORTRANGE(""https://docs.google.com/spreadsheets/d/1q9nWasZJ-K8bFGvbE9n0qSRuKGA4Toe3Y89cKCiVtCU/edit?usp=sharing"",""สตูล!R690"")"),0)</f>
        <v>0</v>
      </c>
      <c r="T87" s="87">
        <f ca="1">IFERROR(__xludf.DUMMYFUNCTION("IMPORTRANGE(""https://docs.google.com/spreadsheets/d/1q9nWasZJ-K8bFGvbE9n0qSRuKGA4Toe3Y89cKCiVtCU/edit?usp=sharing"",""สตูล!S690"")"),0)</f>
        <v>0</v>
      </c>
      <c r="U87" s="87">
        <f t="shared" ca="1" si="41"/>
        <v>0</v>
      </c>
      <c r="V87" s="87">
        <f t="shared" ca="1" si="42"/>
        <v>0</v>
      </c>
      <c r="W87" s="353">
        <f ca="1">IFERROR(__xludf.DUMMYFUNCTION("IMPORTRANGE(""https://docs.google.com/spreadsheets/d/1q9nWasZJ-K8bFGvbE9n0qSRuKGA4Toe3Y89cKCiVtCU/edit?usp=sharing"",""สตูล!I700"")"),0)</f>
        <v>0</v>
      </c>
      <c r="X87" s="177">
        <f ca="1">IFERROR(__xludf.DUMMYFUNCTION("IMPORTRANGE(""https://docs.google.com/spreadsheets/d/1q9nWasZJ-K8bFGvbE9n0qSRuKGA4Toe3Y89cKCiVtCU/edit?usp=sharing"",""สตูล!J700"")"),0)</f>
        <v>0</v>
      </c>
      <c r="Y87" s="354">
        <f t="shared" ca="1" si="44"/>
        <v>0</v>
      </c>
      <c r="Z87" s="353">
        <f ca="1">IFERROR(__xludf.DUMMYFUNCTION("IMPORTRANGE(""https://docs.google.com/spreadsheets/d/1q9nWasZJ-K8bFGvbE9n0qSRuKGA4Toe3Y89cKCiVtCU/edit?usp=sharing"",""สตูล!I701"")"),5)</f>
        <v>5</v>
      </c>
      <c r="AA87" s="177">
        <f ca="1">IFERROR(__xludf.DUMMYFUNCTION("IMPORTRANGE(""https://docs.google.com/spreadsheets/d/1q9nWasZJ-K8bFGvbE9n0qSRuKGA4Toe3Y89cKCiVtCU/edit?usp=sharing"",""สตูล!J701"")"),0)</f>
        <v>0</v>
      </c>
      <c r="AB87" s="177">
        <f ca="1">IFERROR(__xludf.DUMMYFUNCTION("IMPORTRANGE(""https://docs.google.com/spreadsheets/d/1q9nWasZJ-K8bFGvbE9n0qSRuKGA4Toe3Y89cKCiVtCU/edit?usp=sharing"",""สตูล!J702"")"),0)</f>
        <v>0</v>
      </c>
      <c r="AC87" s="354">
        <f t="shared" ca="1" si="46"/>
        <v>0</v>
      </c>
      <c r="AD87" s="353">
        <f ca="1">IFERROR(__xludf.DUMMYFUNCTION("IMPORTRANGE(""https://docs.google.com/spreadsheets/d/1q9nWasZJ-K8bFGvbE9n0qSRuKGA4Toe3Y89cKCiVtCU/edit?usp=sharing"",""สตูล!I703"")"),0)</f>
        <v>0</v>
      </c>
      <c r="AE87" s="177">
        <f ca="1">IFERROR(__xludf.DUMMYFUNCTION("IMPORTRANGE(""https://docs.google.com/spreadsheets/d/1q9nWasZJ-K8bFGvbE9n0qSRuKGA4Toe3Y89cKCiVtCU/edit?usp=sharing"",""สตูล!J703"")"),0)</f>
        <v>0</v>
      </c>
      <c r="AF87" s="177">
        <f ca="1">IFERROR(__xludf.DUMMYFUNCTION("IMPORTRANGE(""https://docs.google.com/spreadsheets/d/1q9nWasZJ-K8bFGvbE9n0qSRuKGA4Toe3Y89cKCiVtCU/edit?usp=sharing"",""สตูล!J704"")"),0)</f>
        <v>0</v>
      </c>
      <c r="AG87" s="354">
        <f t="shared" ca="1" si="48"/>
        <v>0</v>
      </c>
      <c r="AH87" s="495">
        <f ca="1">IFERROR(__xludf.DUMMYFUNCTION("IMPORTRANGE(""https://docs.google.com/spreadsheets/d/1q9nWasZJ-K8bFGvbE9n0qSRuKGA4Toe3Y89cKCiVtCU/edit?usp=sharing"",""สตูล!I705"")"),5)</f>
        <v>5</v>
      </c>
      <c r="AI87" s="496">
        <f ca="1">IFERROR(__xludf.DUMMYFUNCTION("IMPORTRANGE(""https://docs.google.com/spreadsheets/d/1q9nWasZJ-K8bFGvbE9n0qSRuKGA4Toe3Y89cKCiVtCU/edit?usp=sharing"",""สตูล!J705"")"),0)</f>
        <v>0</v>
      </c>
      <c r="AJ87" s="496">
        <f ca="1">IFERROR(__xludf.DUMMYFUNCTION("IMPORTRANGE(""https://docs.google.com/spreadsheets/d/1q9nWasZJ-K8bFGvbE9n0qSRuKGA4Toe3Y89cKCiVtCU/edit?usp=sharing"",""สตูล!J706"")"),0)</f>
        <v>0</v>
      </c>
      <c r="AK87" s="497">
        <f t="shared" ca="1" si="50"/>
        <v>0</v>
      </c>
      <c r="AL87" s="353">
        <f ca="1">IFERROR(__xludf.DUMMYFUNCTION("IMPORTRANGE(""https://docs.google.com/spreadsheets/d/1q9nWasZJ-K8bFGvbE9n0qSRuKGA4Toe3Y89cKCiVtCU/edit?usp=sharing"",""สตูล!I707"")"),0)</f>
        <v>0</v>
      </c>
      <c r="AM87" s="177">
        <f ca="1">IFERROR(__xludf.DUMMYFUNCTION("IMPORTRANGE(""https://docs.google.com/spreadsheets/d/1q9nWasZJ-K8bFGvbE9n0qSRuKGA4Toe3Y89cKCiVtCU/edit?usp=sharing"",""สตูล!J707"")"),0)</f>
        <v>0</v>
      </c>
      <c r="AN87" s="177">
        <f ca="1">IFERROR(__xludf.DUMMYFUNCTION("IMPORTRANGE(""https://docs.google.com/spreadsheets/d/1q9nWasZJ-K8bFGvbE9n0qSRuKGA4Toe3Y89cKCiVtCU/edit?usp=sharing"",""สตูล!J708"")"),0)</f>
        <v>0</v>
      </c>
      <c r="AO87" s="354">
        <f t="shared" ca="1" si="52"/>
        <v>0</v>
      </c>
      <c r="AP87" s="495">
        <f ca="1">IFERROR(__xludf.DUMMYFUNCTION("IMPORTRANGE(""https://docs.google.com/spreadsheets/d/1q9nWasZJ-K8bFGvbE9n0qSRuKGA4Toe3Y89cKCiVtCU/edit?usp=sharing"",""สตูล!I709"")"),5)</f>
        <v>5</v>
      </c>
      <c r="AQ87" s="496">
        <f ca="1">IFERROR(__xludf.DUMMYFUNCTION("IMPORTRANGE(""https://docs.google.com/spreadsheets/d/1q9nWasZJ-K8bFGvbE9n0qSRuKGA4Toe3Y89cKCiVtCU/edit?usp=sharing"",""สตูล!J709"")"),0)</f>
        <v>0</v>
      </c>
      <c r="AR87" s="496">
        <f ca="1">IFERROR(__xludf.DUMMYFUNCTION("IMPORTRANGE(""https://docs.google.com/spreadsheets/d/1q9nWasZJ-K8bFGvbE9n0qSRuKGA4Toe3Y89cKCiVtCU/edit?usp=sharing"",""สตูล!J710"")"),0)</f>
        <v>0</v>
      </c>
      <c r="AS87" s="497">
        <f t="shared" ca="1" si="54"/>
        <v>0</v>
      </c>
    </row>
    <row r="88" spans="1:45" ht="24.75" customHeight="1" x14ac:dyDescent="0.3">
      <c r="A88" s="100">
        <v>14</v>
      </c>
      <c r="B88" s="101" t="s">
        <v>114</v>
      </c>
      <c r="C88" s="182">
        <f t="shared" si="32"/>
        <v>0</v>
      </c>
      <c r="D88" s="183">
        <f t="shared" si="82"/>
        <v>0</v>
      </c>
      <c r="E88" s="409">
        <v>0</v>
      </c>
      <c r="F88" s="409">
        <v>0</v>
      </c>
      <c r="G88" s="409">
        <v>0</v>
      </c>
      <c r="H88" s="409">
        <v>0</v>
      </c>
      <c r="I88" s="409">
        <v>0</v>
      </c>
      <c r="J88" s="184">
        <f t="shared" si="34"/>
        <v>0</v>
      </c>
      <c r="K88" s="185">
        <f t="shared" si="35"/>
        <v>0</v>
      </c>
      <c r="L88" s="409">
        <v>0</v>
      </c>
      <c r="M88" s="109">
        <f t="shared" si="36"/>
        <v>0</v>
      </c>
      <c r="N88" s="109">
        <f t="shared" si="37"/>
        <v>0</v>
      </c>
      <c r="O88" s="409">
        <v>0</v>
      </c>
      <c r="P88" s="108">
        <f t="shared" si="38"/>
        <v>0</v>
      </c>
      <c r="Q88" s="109">
        <f t="shared" si="39"/>
        <v>0</v>
      </c>
      <c r="R88" s="109">
        <f ca="1">IFERROR(__xludf.DUMMYFUNCTION("IMPORTRANGE(""https://docs.google.com/spreadsheets/d/18T20gbkS_WBjdscyTOV05cvq_JqvqQ17C81mpxf7Ncs/edit?usp=sharing"",""สุราษฎร์ธานี!Q690"")"),76940)</f>
        <v>76940</v>
      </c>
      <c r="S88" s="109">
        <f ca="1">IFERROR(__xludf.DUMMYFUNCTION("IMPORTRANGE(""https://docs.google.com/spreadsheets/d/18T20gbkS_WBjdscyTOV05cvq_JqvqQ17C81mpxf7Ncs/edit?usp=sharing"",""สุราษฎร์ธานี!R690"")"),0)</f>
        <v>0</v>
      </c>
      <c r="T88" s="109">
        <f ca="1">IFERROR(__xludf.DUMMYFUNCTION("IMPORTRANGE(""https://docs.google.com/spreadsheets/d/18T20gbkS_WBjdscyTOV05cvq_JqvqQ17C81mpxf7Ncs/edit?usp=sharing"",""สุราษฎร์ธานี!S690"")"),0)</f>
        <v>0</v>
      </c>
      <c r="U88" s="109">
        <f t="shared" ca="1" si="41"/>
        <v>0</v>
      </c>
      <c r="V88" s="109">
        <f t="shared" ca="1" si="42"/>
        <v>0</v>
      </c>
      <c r="W88" s="356">
        <f ca="1">IFERROR(__xludf.DUMMYFUNCTION("IMPORTRANGE(""https://docs.google.com/spreadsheets/d/18T20gbkS_WBjdscyTOV05cvq_JqvqQ17C81mpxf7Ncs/edit?usp=sharing"",""สุราษฎร์ธานี!I700"")"),0)</f>
        <v>0</v>
      </c>
      <c r="X88" s="186">
        <f ca="1">IFERROR(__xludf.DUMMYFUNCTION("IMPORTRANGE(""https://docs.google.com/spreadsheets/d/18T20gbkS_WBjdscyTOV05cvq_JqvqQ17C81mpxf7Ncs/edit?usp=sharing"",""สุราษฎร์ธานี!J700"")"),0)</f>
        <v>0</v>
      </c>
      <c r="Y88" s="357">
        <f t="shared" ca="1" si="44"/>
        <v>0</v>
      </c>
      <c r="Z88" s="356">
        <f ca="1">IFERROR(__xludf.DUMMYFUNCTION("IMPORTRANGE(""https://docs.google.com/spreadsheets/d/18T20gbkS_WBjdscyTOV05cvq_JqvqQ17C81mpxf7Ncs/edit?usp=sharing"",""สุราษฎร์ธานี!I701"")"),5)</f>
        <v>5</v>
      </c>
      <c r="AA88" s="186">
        <f ca="1">IFERROR(__xludf.DUMMYFUNCTION("IMPORTRANGE(""https://docs.google.com/spreadsheets/d/18T20gbkS_WBjdscyTOV05cvq_JqvqQ17C81mpxf7Ncs/edit?usp=sharing"",""สุราษฎร์ธานี!J701"")"),0)</f>
        <v>0</v>
      </c>
      <c r="AB88" s="186">
        <f ca="1">IFERROR(__xludf.DUMMYFUNCTION("IMPORTRANGE(""https://docs.google.com/spreadsheets/d/18T20gbkS_WBjdscyTOV05cvq_JqvqQ17C81mpxf7Ncs/edit?usp=sharing"",""สุราษฎร์ธานี!J702"")"),0)</f>
        <v>0</v>
      </c>
      <c r="AC88" s="357">
        <f t="shared" ca="1" si="46"/>
        <v>0</v>
      </c>
      <c r="AD88" s="356">
        <f ca="1">IFERROR(__xludf.DUMMYFUNCTION("IMPORTRANGE(""https://docs.google.com/spreadsheets/d/18T20gbkS_WBjdscyTOV05cvq_JqvqQ17C81mpxf7Ncs/edit?usp=sharing"",""สุราษฎร์ธานี!I703"")"),0)</f>
        <v>0</v>
      </c>
      <c r="AE88" s="186">
        <f ca="1">IFERROR(__xludf.DUMMYFUNCTION("IMPORTRANGE(""https://docs.google.com/spreadsheets/d/18T20gbkS_WBjdscyTOV05cvq_JqvqQ17C81mpxf7Ncs/edit?usp=sharing"",""สุราษฎร์ธานี!J703"")"),0)</f>
        <v>0</v>
      </c>
      <c r="AF88" s="186">
        <f ca="1">IFERROR(__xludf.DUMMYFUNCTION("IMPORTRANGE(""https://docs.google.com/spreadsheets/d/18T20gbkS_WBjdscyTOV05cvq_JqvqQ17C81mpxf7Ncs/edit?usp=sharing"",""สุราษฎร์ธานี!J704"")"),0)</f>
        <v>0</v>
      </c>
      <c r="AG88" s="357">
        <f t="shared" ca="1" si="48"/>
        <v>0</v>
      </c>
      <c r="AH88" s="498">
        <f ca="1">IFERROR(__xludf.DUMMYFUNCTION("IMPORTRANGE(""https://docs.google.com/spreadsheets/d/18T20gbkS_WBjdscyTOV05cvq_JqvqQ17C81mpxf7Ncs/edit?usp=sharing"",""สุราษฎร์ธานี!I705"")"),5)</f>
        <v>5</v>
      </c>
      <c r="AI88" s="499">
        <f ca="1">IFERROR(__xludf.DUMMYFUNCTION("IMPORTRANGE(""https://docs.google.com/spreadsheets/d/18T20gbkS_WBjdscyTOV05cvq_JqvqQ17C81mpxf7Ncs/edit?usp=sharing"",""สุราษฎร์ธานี!J705"")"),0)</f>
        <v>0</v>
      </c>
      <c r="AJ88" s="499">
        <f ca="1">IFERROR(__xludf.DUMMYFUNCTION("IMPORTRANGE(""https://docs.google.com/spreadsheets/d/18T20gbkS_WBjdscyTOV05cvq_JqvqQ17C81mpxf7Ncs/edit?usp=sharing"",""สุราษฎร์ธานี!J706"")"),0)</f>
        <v>0</v>
      </c>
      <c r="AK88" s="500">
        <f t="shared" ca="1" si="50"/>
        <v>0</v>
      </c>
      <c r="AL88" s="356">
        <f ca="1">IFERROR(__xludf.DUMMYFUNCTION("IMPORTRANGE(""https://docs.google.com/spreadsheets/d/18T20gbkS_WBjdscyTOV05cvq_JqvqQ17C81mpxf7Ncs/edit?usp=sharing"",""สุราษฎร์ธานี!I707"")"),0)</f>
        <v>0</v>
      </c>
      <c r="AM88" s="186">
        <f ca="1">IFERROR(__xludf.DUMMYFUNCTION("IMPORTRANGE(""https://docs.google.com/spreadsheets/d/18T20gbkS_WBjdscyTOV05cvq_JqvqQ17C81mpxf7Ncs/edit?usp=sharing"",""สุราษฎร์ธานี!J707"")"),0)</f>
        <v>0</v>
      </c>
      <c r="AN88" s="186">
        <f ca="1">IFERROR(__xludf.DUMMYFUNCTION("IMPORTRANGE(""https://docs.google.com/spreadsheets/d/18T20gbkS_WBjdscyTOV05cvq_JqvqQ17C81mpxf7Ncs/edit?usp=sharing"",""สุราษฎร์ธานี!J708"")"),0)</f>
        <v>0</v>
      </c>
      <c r="AO88" s="357">
        <f t="shared" ca="1" si="52"/>
        <v>0</v>
      </c>
      <c r="AP88" s="498">
        <f ca="1">IFERROR(__xludf.DUMMYFUNCTION("IMPORTRANGE(""https://docs.google.com/spreadsheets/d/18T20gbkS_WBjdscyTOV05cvq_JqvqQ17C81mpxf7Ncs/edit?usp=sharing"",""สุราษฎร์ธานี!I709"")"),5)</f>
        <v>5</v>
      </c>
      <c r="AQ88" s="499">
        <f ca="1">IFERROR(__xludf.DUMMYFUNCTION("IMPORTRANGE(""https://docs.google.com/spreadsheets/d/18T20gbkS_WBjdscyTOV05cvq_JqvqQ17C81mpxf7Ncs/edit?usp=sharing"",""สุราษฎร์ธานี!J709"")"),0)</f>
        <v>0</v>
      </c>
      <c r="AR88" s="499">
        <f ca="1">IFERROR(__xludf.DUMMYFUNCTION("IMPORTRANGE(""https://docs.google.com/spreadsheets/d/18T20gbkS_WBjdscyTOV05cvq_JqvqQ17C81mpxf7Ncs/edit?usp=sharing"",""สุราษฎร์ธานี!J710"")"),0)</f>
        <v>0</v>
      </c>
      <c r="AS88" s="500">
        <f t="shared" ca="1" si="54"/>
        <v>0</v>
      </c>
    </row>
    <row r="89" spans="1:45" ht="19.5" hidden="1" x14ac:dyDescent="0.3">
      <c r="A89" s="632" t="s">
        <v>115</v>
      </c>
      <c r="B89" s="633"/>
      <c r="C89" s="46">
        <f t="shared" ref="C89:T89" si="83">SUM(C90:C106)</f>
        <v>0</v>
      </c>
      <c r="D89" s="45">
        <f t="shared" si="83"/>
        <v>0</v>
      </c>
      <c r="E89" s="45">
        <f t="shared" si="83"/>
        <v>0</v>
      </c>
      <c r="F89" s="45">
        <f t="shared" si="83"/>
        <v>0</v>
      </c>
      <c r="G89" s="45">
        <f t="shared" si="83"/>
        <v>0</v>
      </c>
      <c r="H89" s="45">
        <f t="shared" si="83"/>
        <v>0</v>
      </c>
      <c r="I89" s="45">
        <f t="shared" si="83"/>
        <v>0</v>
      </c>
      <c r="J89" s="45">
        <f t="shared" si="83"/>
        <v>0</v>
      </c>
      <c r="K89" s="47">
        <f t="shared" si="83"/>
        <v>0</v>
      </c>
      <c r="L89" s="45">
        <f t="shared" si="83"/>
        <v>0</v>
      </c>
      <c r="M89" s="47">
        <f t="shared" si="83"/>
        <v>0</v>
      </c>
      <c r="N89" s="47">
        <f t="shared" si="83"/>
        <v>0</v>
      </c>
      <c r="O89" s="45">
        <f t="shared" si="83"/>
        <v>0</v>
      </c>
      <c r="P89" s="45">
        <f t="shared" si="83"/>
        <v>0</v>
      </c>
      <c r="Q89" s="45">
        <f t="shared" si="83"/>
        <v>0</v>
      </c>
      <c r="R89" s="45">
        <f t="shared" si="83"/>
        <v>0</v>
      </c>
      <c r="S89" s="45">
        <f t="shared" si="83"/>
        <v>0</v>
      </c>
      <c r="T89" s="45">
        <f t="shared" si="83"/>
        <v>0</v>
      </c>
      <c r="U89" s="45">
        <f t="shared" si="41"/>
        <v>0</v>
      </c>
      <c r="V89" s="45">
        <f t="shared" si="42"/>
        <v>0</v>
      </c>
      <c r="W89" s="45"/>
      <c r="X89" s="45"/>
      <c r="Y89" s="48"/>
      <c r="Z89" s="45"/>
      <c r="AA89" s="45"/>
      <c r="AB89" s="45"/>
      <c r="AC89" s="48"/>
      <c r="AD89" s="45"/>
      <c r="AE89" s="45"/>
      <c r="AF89" s="45"/>
      <c r="AG89" s="48"/>
      <c r="AH89" s="293"/>
      <c r="AI89" s="196"/>
      <c r="AJ89" s="196"/>
      <c r="AK89" s="349"/>
      <c r="AL89" s="45"/>
      <c r="AM89" s="45"/>
      <c r="AN89" s="45"/>
      <c r="AO89" s="48"/>
      <c r="AP89" s="293"/>
      <c r="AQ89" s="196"/>
      <c r="AR89" s="196"/>
      <c r="AS89" s="349"/>
    </row>
    <row r="90" spans="1:45" ht="19.5" hidden="1" x14ac:dyDescent="0.3">
      <c r="A90" s="197"/>
      <c r="B90" s="125" t="s">
        <v>116</v>
      </c>
      <c r="C90" s="198">
        <f t="shared" ref="C90:C106" si="84">D90+G90</f>
        <v>0</v>
      </c>
      <c r="D90" s="199">
        <f t="shared" ref="D90:D106" si="85">+E90+F90</f>
        <v>0</v>
      </c>
      <c r="E90" s="215">
        <v>0</v>
      </c>
      <c r="F90" s="215">
        <v>0</v>
      </c>
      <c r="G90" s="215">
        <v>0</v>
      </c>
      <c r="H90" s="215">
        <v>0</v>
      </c>
      <c r="I90" s="215">
        <v>0</v>
      </c>
      <c r="J90" s="81">
        <f t="shared" ref="J90:J106" si="86">L90+O90</f>
        <v>0</v>
      </c>
      <c r="K90" s="126">
        <f t="shared" ref="K90:K106" si="87">IF(C90&gt;0,J90*100/C90,0)</f>
        <v>0</v>
      </c>
      <c r="L90" s="215">
        <v>0</v>
      </c>
      <c r="M90" s="84">
        <f t="shared" ref="M90:M106" si="88">IF(D90&gt;0,L90*100/D90,0)</f>
        <v>0</v>
      </c>
      <c r="N90" s="84">
        <f t="shared" ref="N90:N106" si="89">IF(H90&gt;0,L90*100/H90,0)</f>
        <v>0</v>
      </c>
      <c r="O90" s="418">
        <v>0</v>
      </c>
      <c r="P90" s="85">
        <f t="shared" ref="P90:P106" si="90">IF(G90&gt;0,O90*100/G90,0)</f>
        <v>0</v>
      </c>
      <c r="Q90" s="84">
        <f t="shared" ref="Q90:Q106" si="91">IF(I90&gt;0,O90*100/I90,0)</f>
        <v>0</v>
      </c>
      <c r="R90" s="127">
        <v>0</v>
      </c>
      <c r="S90" s="127">
        <v>0</v>
      </c>
      <c r="T90" s="127">
        <v>0</v>
      </c>
      <c r="U90" s="84">
        <f t="shared" si="41"/>
        <v>0</v>
      </c>
      <c r="V90" s="84">
        <f t="shared" si="42"/>
        <v>0</v>
      </c>
      <c r="W90" s="81"/>
      <c r="X90" s="81"/>
      <c r="Y90" s="84"/>
      <c r="Z90" s="81"/>
      <c r="AA90" s="81"/>
      <c r="AB90" s="81"/>
      <c r="AC90" s="84"/>
      <c r="AD90" s="81"/>
      <c r="AE90" s="81"/>
      <c r="AF90" s="81"/>
      <c r="AG90" s="84"/>
      <c r="AH90" s="294"/>
      <c r="AI90" s="360"/>
      <c r="AJ90" s="360"/>
      <c r="AK90" s="361"/>
      <c r="AL90" s="81"/>
      <c r="AM90" s="81"/>
      <c r="AN90" s="81"/>
      <c r="AO90" s="84"/>
      <c r="AP90" s="294"/>
      <c r="AQ90" s="360"/>
      <c r="AR90" s="360"/>
      <c r="AS90" s="361"/>
    </row>
    <row r="91" spans="1:45" ht="19.5" hidden="1" x14ac:dyDescent="0.3">
      <c r="A91" s="201"/>
      <c r="B91" s="129" t="s">
        <v>117</v>
      </c>
      <c r="C91" s="202">
        <f t="shared" si="84"/>
        <v>0</v>
      </c>
      <c r="D91" s="203">
        <f t="shared" si="85"/>
        <v>0</v>
      </c>
      <c r="E91" s="216">
        <v>0</v>
      </c>
      <c r="F91" s="216">
        <v>0</v>
      </c>
      <c r="G91" s="216">
        <v>0</v>
      </c>
      <c r="H91" s="216">
        <v>0</v>
      </c>
      <c r="I91" s="216">
        <v>0</v>
      </c>
      <c r="J91" s="93">
        <f t="shared" si="86"/>
        <v>0</v>
      </c>
      <c r="K91" s="94">
        <f t="shared" si="87"/>
        <v>0</v>
      </c>
      <c r="L91" s="216">
        <v>0</v>
      </c>
      <c r="M91" s="95">
        <f t="shared" si="88"/>
        <v>0</v>
      </c>
      <c r="N91" s="95">
        <f t="shared" si="89"/>
        <v>0</v>
      </c>
      <c r="O91" s="419">
        <v>0</v>
      </c>
      <c r="P91" s="96">
        <f t="shared" si="90"/>
        <v>0</v>
      </c>
      <c r="Q91" s="95">
        <f t="shared" si="91"/>
        <v>0</v>
      </c>
      <c r="R91" s="130">
        <v>0</v>
      </c>
      <c r="S91" s="130">
        <v>0</v>
      </c>
      <c r="T91" s="130">
        <v>0</v>
      </c>
      <c r="U91" s="95">
        <f t="shared" si="41"/>
        <v>0</v>
      </c>
      <c r="V91" s="95">
        <f t="shared" si="42"/>
        <v>0</v>
      </c>
      <c r="W91" s="93"/>
      <c r="X91" s="93"/>
      <c r="Y91" s="95"/>
      <c r="Z91" s="93"/>
      <c r="AA91" s="93"/>
      <c r="AB91" s="93"/>
      <c r="AC91" s="95"/>
      <c r="AD91" s="93"/>
      <c r="AE91" s="93"/>
      <c r="AF91" s="93"/>
      <c r="AG91" s="95"/>
      <c r="AH91" s="294"/>
      <c r="AI91" s="360"/>
      <c r="AJ91" s="360"/>
      <c r="AK91" s="361"/>
      <c r="AL91" s="93"/>
      <c r="AM91" s="93"/>
      <c r="AN91" s="93"/>
      <c r="AO91" s="95"/>
      <c r="AP91" s="294"/>
      <c r="AQ91" s="360"/>
      <c r="AR91" s="360"/>
      <c r="AS91" s="361"/>
    </row>
    <row r="92" spans="1:45" ht="19.5" hidden="1" x14ac:dyDescent="0.3">
      <c r="A92" s="201"/>
      <c r="B92" s="129" t="s">
        <v>118</v>
      </c>
      <c r="C92" s="202">
        <f t="shared" si="84"/>
        <v>0</v>
      </c>
      <c r="D92" s="203">
        <f t="shared" si="85"/>
        <v>0</v>
      </c>
      <c r="E92" s="216">
        <v>0</v>
      </c>
      <c r="F92" s="216">
        <v>0</v>
      </c>
      <c r="G92" s="216">
        <v>0</v>
      </c>
      <c r="H92" s="216">
        <v>0</v>
      </c>
      <c r="I92" s="216">
        <v>0</v>
      </c>
      <c r="J92" s="93">
        <f t="shared" si="86"/>
        <v>0</v>
      </c>
      <c r="K92" s="94">
        <f t="shared" si="87"/>
        <v>0</v>
      </c>
      <c r="L92" s="216">
        <v>0</v>
      </c>
      <c r="M92" s="95">
        <f t="shared" si="88"/>
        <v>0</v>
      </c>
      <c r="N92" s="95">
        <f t="shared" si="89"/>
        <v>0</v>
      </c>
      <c r="O92" s="419">
        <v>0</v>
      </c>
      <c r="P92" s="96">
        <f t="shared" si="90"/>
        <v>0</v>
      </c>
      <c r="Q92" s="95">
        <f t="shared" si="91"/>
        <v>0</v>
      </c>
      <c r="R92" s="130">
        <v>0</v>
      </c>
      <c r="S92" s="130">
        <v>0</v>
      </c>
      <c r="T92" s="130">
        <v>0</v>
      </c>
      <c r="U92" s="95">
        <f t="shared" si="41"/>
        <v>0</v>
      </c>
      <c r="V92" s="95">
        <f t="shared" si="42"/>
        <v>0</v>
      </c>
      <c r="W92" s="93"/>
      <c r="X92" s="93"/>
      <c r="Y92" s="95"/>
      <c r="Z92" s="93"/>
      <c r="AA92" s="93"/>
      <c r="AB92" s="93"/>
      <c r="AC92" s="95"/>
      <c r="AD92" s="93"/>
      <c r="AE92" s="93"/>
      <c r="AF92" s="93"/>
      <c r="AG92" s="95"/>
      <c r="AH92" s="294"/>
      <c r="AI92" s="360"/>
      <c r="AJ92" s="360"/>
      <c r="AK92" s="361"/>
      <c r="AL92" s="93"/>
      <c r="AM92" s="93"/>
      <c r="AN92" s="93"/>
      <c r="AO92" s="95"/>
      <c r="AP92" s="294"/>
      <c r="AQ92" s="360"/>
      <c r="AR92" s="360"/>
      <c r="AS92" s="361"/>
    </row>
    <row r="93" spans="1:45" ht="19.5" hidden="1" x14ac:dyDescent="0.3">
      <c r="A93" s="201"/>
      <c r="B93" s="129" t="s">
        <v>119</v>
      </c>
      <c r="C93" s="202">
        <f t="shared" si="84"/>
        <v>0</v>
      </c>
      <c r="D93" s="203">
        <f t="shared" si="85"/>
        <v>0</v>
      </c>
      <c r="E93" s="216">
        <v>0</v>
      </c>
      <c r="F93" s="216">
        <v>0</v>
      </c>
      <c r="G93" s="216">
        <v>0</v>
      </c>
      <c r="H93" s="216">
        <v>0</v>
      </c>
      <c r="I93" s="216">
        <v>0</v>
      </c>
      <c r="J93" s="93">
        <f t="shared" si="86"/>
        <v>0</v>
      </c>
      <c r="K93" s="94">
        <f t="shared" si="87"/>
        <v>0</v>
      </c>
      <c r="L93" s="216">
        <v>0</v>
      </c>
      <c r="M93" s="95">
        <f t="shared" si="88"/>
        <v>0</v>
      </c>
      <c r="N93" s="95">
        <f t="shared" si="89"/>
        <v>0</v>
      </c>
      <c r="O93" s="419">
        <v>0</v>
      </c>
      <c r="P93" s="96">
        <f t="shared" si="90"/>
        <v>0</v>
      </c>
      <c r="Q93" s="95">
        <f t="shared" si="91"/>
        <v>0</v>
      </c>
      <c r="R93" s="130">
        <v>0</v>
      </c>
      <c r="S93" s="130">
        <v>0</v>
      </c>
      <c r="T93" s="130">
        <v>0</v>
      </c>
      <c r="U93" s="95">
        <f t="shared" si="41"/>
        <v>0</v>
      </c>
      <c r="V93" s="95">
        <f t="shared" si="42"/>
        <v>0</v>
      </c>
      <c r="W93" s="93"/>
      <c r="X93" s="93"/>
      <c r="Y93" s="95"/>
      <c r="Z93" s="93"/>
      <c r="AA93" s="93"/>
      <c r="AB93" s="93"/>
      <c r="AC93" s="95"/>
      <c r="AD93" s="93"/>
      <c r="AE93" s="93"/>
      <c r="AF93" s="93"/>
      <c r="AG93" s="95"/>
      <c r="AH93" s="294"/>
      <c r="AI93" s="360"/>
      <c r="AJ93" s="360"/>
      <c r="AK93" s="361"/>
      <c r="AL93" s="93"/>
      <c r="AM93" s="93"/>
      <c r="AN93" s="93"/>
      <c r="AO93" s="95"/>
      <c r="AP93" s="294"/>
      <c r="AQ93" s="360"/>
      <c r="AR93" s="360"/>
      <c r="AS93" s="361"/>
    </row>
    <row r="94" spans="1:45" ht="19.5" hidden="1" x14ac:dyDescent="0.3">
      <c r="A94" s="201"/>
      <c r="B94" s="129" t="s">
        <v>120</v>
      </c>
      <c r="C94" s="202">
        <f t="shared" si="84"/>
        <v>0</v>
      </c>
      <c r="D94" s="203">
        <f t="shared" si="85"/>
        <v>0</v>
      </c>
      <c r="E94" s="216">
        <v>0</v>
      </c>
      <c r="F94" s="216">
        <v>0</v>
      </c>
      <c r="G94" s="216">
        <v>0</v>
      </c>
      <c r="H94" s="216">
        <v>0</v>
      </c>
      <c r="I94" s="216">
        <v>0</v>
      </c>
      <c r="J94" s="93">
        <f t="shared" si="86"/>
        <v>0</v>
      </c>
      <c r="K94" s="94">
        <f t="shared" si="87"/>
        <v>0</v>
      </c>
      <c r="L94" s="216">
        <v>0</v>
      </c>
      <c r="M94" s="95">
        <f t="shared" si="88"/>
        <v>0</v>
      </c>
      <c r="N94" s="95">
        <f t="shared" si="89"/>
        <v>0</v>
      </c>
      <c r="O94" s="419">
        <v>0</v>
      </c>
      <c r="P94" s="96">
        <f t="shared" si="90"/>
        <v>0</v>
      </c>
      <c r="Q94" s="95">
        <f t="shared" si="91"/>
        <v>0</v>
      </c>
      <c r="R94" s="130">
        <v>0</v>
      </c>
      <c r="S94" s="130">
        <v>0</v>
      </c>
      <c r="T94" s="130">
        <v>0</v>
      </c>
      <c r="U94" s="95">
        <f t="shared" si="41"/>
        <v>0</v>
      </c>
      <c r="V94" s="95">
        <f t="shared" si="42"/>
        <v>0</v>
      </c>
      <c r="W94" s="93"/>
      <c r="X94" s="93"/>
      <c r="Y94" s="95"/>
      <c r="Z94" s="93"/>
      <c r="AA94" s="93"/>
      <c r="AB94" s="93"/>
      <c r="AC94" s="95"/>
      <c r="AD94" s="93"/>
      <c r="AE94" s="93"/>
      <c r="AF94" s="93"/>
      <c r="AG94" s="95"/>
      <c r="AH94" s="294"/>
      <c r="AI94" s="360"/>
      <c r="AJ94" s="360"/>
      <c r="AK94" s="361"/>
      <c r="AL94" s="93"/>
      <c r="AM94" s="93"/>
      <c r="AN94" s="93"/>
      <c r="AO94" s="95"/>
      <c r="AP94" s="294"/>
      <c r="AQ94" s="360"/>
      <c r="AR94" s="360"/>
      <c r="AS94" s="361"/>
    </row>
    <row r="95" spans="1:45" ht="19.5" hidden="1" x14ac:dyDescent="0.3">
      <c r="A95" s="201"/>
      <c r="B95" s="129" t="s">
        <v>121</v>
      </c>
      <c r="C95" s="202">
        <f t="shared" si="84"/>
        <v>0</v>
      </c>
      <c r="D95" s="203">
        <f t="shared" si="85"/>
        <v>0</v>
      </c>
      <c r="E95" s="216">
        <v>0</v>
      </c>
      <c r="F95" s="216">
        <v>0</v>
      </c>
      <c r="G95" s="216">
        <v>0</v>
      </c>
      <c r="H95" s="216">
        <v>0</v>
      </c>
      <c r="I95" s="216">
        <v>0</v>
      </c>
      <c r="J95" s="93">
        <f t="shared" si="86"/>
        <v>0</v>
      </c>
      <c r="K95" s="94">
        <f t="shared" si="87"/>
        <v>0</v>
      </c>
      <c r="L95" s="216">
        <v>0</v>
      </c>
      <c r="M95" s="95">
        <f t="shared" si="88"/>
        <v>0</v>
      </c>
      <c r="N95" s="95">
        <f t="shared" si="89"/>
        <v>0</v>
      </c>
      <c r="O95" s="419">
        <v>0</v>
      </c>
      <c r="P95" s="96">
        <f t="shared" si="90"/>
        <v>0</v>
      </c>
      <c r="Q95" s="95">
        <f t="shared" si="91"/>
        <v>0</v>
      </c>
      <c r="R95" s="130">
        <v>0</v>
      </c>
      <c r="S95" s="130">
        <v>0</v>
      </c>
      <c r="T95" s="130">
        <v>0</v>
      </c>
      <c r="U95" s="95">
        <f t="shared" si="41"/>
        <v>0</v>
      </c>
      <c r="V95" s="95">
        <f t="shared" si="42"/>
        <v>0</v>
      </c>
      <c r="W95" s="93"/>
      <c r="X95" s="93"/>
      <c r="Y95" s="95"/>
      <c r="Z95" s="93"/>
      <c r="AA95" s="93"/>
      <c r="AB95" s="93"/>
      <c r="AC95" s="95"/>
      <c r="AD95" s="93"/>
      <c r="AE95" s="93"/>
      <c r="AF95" s="93"/>
      <c r="AG95" s="95"/>
      <c r="AH95" s="294"/>
      <c r="AI95" s="360"/>
      <c r="AJ95" s="360"/>
      <c r="AK95" s="361"/>
      <c r="AL95" s="93"/>
      <c r="AM95" s="93"/>
      <c r="AN95" s="93"/>
      <c r="AO95" s="95"/>
      <c r="AP95" s="294"/>
      <c r="AQ95" s="360"/>
      <c r="AR95" s="360"/>
      <c r="AS95" s="361"/>
    </row>
    <row r="96" spans="1:45" ht="19.5" hidden="1" x14ac:dyDescent="0.3">
      <c r="A96" s="201"/>
      <c r="B96" s="129" t="s">
        <v>122</v>
      </c>
      <c r="C96" s="202">
        <f t="shared" si="84"/>
        <v>0</v>
      </c>
      <c r="D96" s="203">
        <f t="shared" si="85"/>
        <v>0</v>
      </c>
      <c r="E96" s="216">
        <v>0</v>
      </c>
      <c r="F96" s="216">
        <v>0</v>
      </c>
      <c r="G96" s="216">
        <v>0</v>
      </c>
      <c r="H96" s="216">
        <v>0</v>
      </c>
      <c r="I96" s="216">
        <v>0</v>
      </c>
      <c r="J96" s="93">
        <f t="shared" si="86"/>
        <v>0</v>
      </c>
      <c r="K96" s="94">
        <f t="shared" si="87"/>
        <v>0</v>
      </c>
      <c r="L96" s="216">
        <v>0</v>
      </c>
      <c r="M96" s="95">
        <f t="shared" si="88"/>
        <v>0</v>
      </c>
      <c r="N96" s="95">
        <f t="shared" si="89"/>
        <v>0</v>
      </c>
      <c r="O96" s="419">
        <v>0</v>
      </c>
      <c r="P96" s="96">
        <f t="shared" si="90"/>
        <v>0</v>
      </c>
      <c r="Q96" s="95">
        <f t="shared" si="91"/>
        <v>0</v>
      </c>
      <c r="R96" s="130">
        <v>0</v>
      </c>
      <c r="S96" s="130">
        <v>0</v>
      </c>
      <c r="T96" s="130">
        <v>0</v>
      </c>
      <c r="U96" s="95">
        <f t="shared" si="41"/>
        <v>0</v>
      </c>
      <c r="V96" s="95">
        <f t="shared" si="42"/>
        <v>0</v>
      </c>
      <c r="W96" s="93"/>
      <c r="X96" s="93"/>
      <c r="Y96" s="95"/>
      <c r="Z96" s="93"/>
      <c r="AA96" s="93"/>
      <c r="AB96" s="93"/>
      <c r="AC96" s="95"/>
      <c r="AD96" s="93"/>
      <c r="AE96" s="93"/>
      <c r="AF96" s="93"/>
      <c r="AG96" s="95"/>
      <c r="AH96" s="294"/>
      <c r="AI96" s="360"/>
      <c r="AJ96" s="360"/>
      <c r="AK96" s="361"/>
      <c r="AL96" s="93"/>
      <c r="AM96" s="93"/>
      <c r="AN96" s="93"/>
      <c r="AO96" s="95"/>
      <c r="AP96" s="294"/>
      <c r="AQ96" s="360"/>
      <c r="AR96" s="360"/>
      <c r="AS96" s="361"/>
    </row>
    <row r="97" spans="1:45" ht="19.5" hidden="1" x14ac:dyDescent="0.3">
      <c r="A97" s="201"/>
      <c r="B97" s="129" t="s">
        <v>123</v>
      </c>
      <c r="C97" s="202">
        <f t="shared" si="84"/>
        <v>0</v>
      </c>
      <c r="D97" s="203">
        <f t="shared" si="85"/>
        <v>0</v>
      </c>
      <c r="E97" s="216">
        <v>0</v>
      </c>
      <c r="F97" s="216">
        <v>0</v>
      </c>
      <c r="G97" s="216">
        <v>0</v>
      </c>
      <c r="H97" s="216">
        <v>0</v>
      </c>
      <c r="I97" s="216">
        <v>0</v>
      </c>
      <c r="J97" s="93">
        <f t="shared" si="86"/>
        <v>0</v>
      </c>
      <c r="K97" s="94">
        <f t="shared" si="87"/>
        <v>0</v>
      </c>
      <c r="L97" s="216">
        <v>0</v>
      </c>
      <c r="M97" s="95">
        <f t="shared" si="88"/>
        <v>0</v>
      </c>
      <c r="N97" s="95">
        <f t="shared" si="89"/>
        <v>0</v>
      </c>
      <c r="O97" s="419">
        <v>0</v>
      </c>
      <c r="P97" s="96">
        <f t="shared" si="90"/>
        <v>0</v>
      </c>
      <c r="Q97" s="95">
        <f t="shared" si="91"/>
        <v>0</v>
      </c>
      <c r="R97" s="130">
        <v>0</v>
      </c>
      <c r="S97" s="130">
        <v>0</v>
      </c>
      <c r="T97" s="130">
        <v>0</v>
      </c>
      <c r="U97" s="95">
        <f t="shared" si="41"/>
        <v>0</v>
      </c>
      <c r="V97" s="95">
        <f t="shared" si="42"/>
        <v>0</v>
      </c>
      <c r="W97" s="93"/>
      <c r="X97" s="93"/>
      <c r="Y97" s="95"/>
      <c r="Z97" s="93"/>
      <c r="AA97" s="93"/>
      <c r="AB97" s="93"/>
      <c r="AC97" s="95"/>
      <c r="AD97" s="93"/>
      <c r="AE97" s="93"/>
      <c r="AF97" s="93"/>
      <c r="AG97" s="95"/>
      <c r="AH97" s="294"/>
      <c r="AI97" s="360"/>
      <c r="AJ97" s="360"/>
      <c r="AK97" s="361"/>
      <c r="AL97" s="93"/>
      <c r="AM97" s="93"/>
      <c r="AN97" s="93"/>
      <c r="AO97" s="95"/>
      <c r="AP97" s="294"/>
      <c r="AQ97" s="360"/>
      <c r="AR97" s="360"/>
      <c r="AS97" s="361"/>
    </row>
    <row r="98" spans="1:45" ht="19.5" hidden="1" x14ac:dyDescent="0.3">
      <c r="A98" s="201"/>
      <c r="B98" s="129" t="s">
        <v>124</v>
      </c>
      <c r="C98" s="202">
        <f t="shared" si="84"/>
        <v>0</v>
      </c>
      <c r="D98" s="203">
        <f t="shared" si="85"/>
        <v>0</v>
      </c>
      <c r="E98" s="216">
        <v>0</v>
      </c>
      <c r="F98" s="216">
        <v>0</v>
      </c>
      <c r="G98" s="216">
        <v>0</v>
      </c>
      <c r="H98" s="216">
        <v>0</v>
      </c>
      <c r="I98" s="216">
        <v>0</v>
      </c>
      <c r="J98" s="93">
        <f t="shared" si="86"/>
        <v>0</v>
      </c>
      <c r="K98" s="94">
        <f t="shared" si="87"/>
        <v>0</v>
      </c>
      <c r="L98" s="216">
        <v>0</v>
      </c>
      <c r="M98" s="95">
        <f t="shared" si="88"/>
        <v>0</v>
      </c>
      <c r="N98" s="95">
        <f t="shared" si="89"/>
        <v>0</v>
      </c>
      <c r="O98" s="419">
        <v>0</v>
      </c>
      <c r="P98" s="96">
        <f t="shared" si="90"/>
        <v>0</v>
      </c>
      <c r="Q98" s="95">
        <f t="shared" si="91"/>
        <v>0</v>
      </c>
      <c r="R98" s="130">
        <v>0</v>
      </c>
      <c r="S98" s="130">
        <v>0</v>
      </c>
      <c r="T98" s="130">
        <v>0</v>
      </c>
      <c r="U98" s="95">
        <f t="shared" si="41"/>
        <v>0</v>
      </c>
      <c r="V98" s="95">
        <f t="shared" si="42"/>
        <v>0</v>
      </c>
      <c r="W98" s="93"/>
      <c r="X98" s="93"/>
      <c r="Y98" s="95"/>
      <c r="Z98" s="93"/>
      <c r="AA98" s="93"/>
      <c r="AB98" s="93"/>
      <c r="AC98" s="95"/>
      <c r="AD98" s="93"/>
      <c r="AE98" s="93"/>
      <c r="AF98" s="93"/>
      <c r="AG98" s="95"/>
      <c r="AH98" s="294"/>
      <c r="AI98" s="360"/>
      <c r="AJ98" s="360"/>
      <c r="AK98" s="361"/>
      <c r="AL98" s="93"/>
      <c r="AM98" s="93"/>
      <c r="AN98" s="93"/>
      <c r="AO98" s="95"/>
      <c r="AP98" s="294"/>
      <c r="AQ98" s="360"/>
      <c r="AR98" s="360"/>
      <c r="AS98" s="361"/>
    </row>
    <row r="99" spans="1:45" ht="19.5" hidden="1" x14ac:dyDescent="0.3">
      <c r="A99" s="201"/>
      <c r="B99" s="129" t="s">
        <v>125</v>
      </c>
      <c r="C99" s="202">
        <f t="shared" si="84"/>
        <v>0</v>
      </c>
      <c r="D99" s="203">
        <f t="shared" si="85"/>
        <v>0</v>
      </c>
      <c r="E99" s="216">
        <v>0</v>
      </c>
      <c r="F99" s="216">
        <v>0</v>
      </c>
      <c r="G99" s="216">
        <v>0</v>
      </c>
      <c r="H99" s="216">
        <v>0</v>
      </c>
      <c r="I99" s="216">
        <v>0</v>
      </c>
      <c r="J99" s="93">
        <f t="shared" si="86"/>
        <v>0</v>
      </c>
      <c r="K99" s="94">
        <f t="shared" si="87"/>
        <v>0</v>
      </c>
      <c r="L99" s="216">
        <v>0</v>
      </c>
      <c r="M99" s="95">
        <f t="shared" si="88"/>
        <v>0</v>
      </c>
      <c r="N99" s="95">
        <f t="shared" si="89"/>
        <v>0</v>
      </c>
      <c r="O99" s="419">
        <v>0</v>
      </c>
      <c r="P99" s="96">
        <f t="shared" si="90"/>
        <v>0</v>
      </c>
      <c r="Q99" s="95">
        <f t="shared" si="91"/>
        <v>0</v>
      </c>
      <c r="R99" s="130">
        <v>0</v>
      </c>
      <c r="S99" s="130">
        <v>0</v>
      </c>
      <c r="T99" s="130">
        <v>0</v>
      </c>
      <c r="U99" s="95">
        <f t="shared" si="41"/>
        <v>0</v>
      </c>
      <c r="V99" s="95">
        <f t="shared" si="42"/>
        <v>0</v>
      </c>
      <c r="W99" s="93"/>
      <c r="X99" s="93"/>
      <c r="Y99" s="95"/>
      <c r="Z99" s="93"/>
      <c r="AA99" s="93"/>
      <c r="AB99" s="93"/>
      <c r="AC99" s="95"/>
      <c r="AD99" s="93"/>
      <c r="AE99" s="93"/>
      <c r="AF99" s="93"/>
      <c r="AG99" s="95"/>
      <c r="AH99" s="294"/>
      <c r="AI99" s="360"/>
      <c r="AJ99" s="360"/>
      <c r="AK99" s="361"/>
      <c r="AL99" s="93"/>
      <c r="AM99" s="93"/>
      <c r="AN99" s="93"/>
      <c r="AO99" s="95"/>
      <c r="AP99" s="294"/>
      <c r="AQ99" s="360"/>
      <c r="AR99" s="360"/>
      <c r="AS99" s="361"/>
    </row>
    <row r="100" spans="1:45" ht="19.5" hidden="1" x14ac:dyDescent="0.3">
      <c r="A100" s="201"/>
      <c r="B100" s="129" t="s">
        <v>126</v>
      </c>
      <c r="C100" s="202">
        <f t="shared" si="84"/>
        <v>0</v>
      </c>
      <c r="D100" s="203">
        <f t="shared" si="85"/>
        <v>0</v>
      </c>
      <c r="E100" s="216">
        <v>0</v>
      </c>
      <c r="F100" s="216">
        <v>0</v>
      </c>
      <c r="G100" s="216">
        <v>0</v>
      </c>
      <c r="H100" s="216">
        <v>0</v>
      </c>
      <c r="I100" s="216">
        <v>0</v>
      </c>
      <c r="J100" s="93">
        <f t="shared" si="86"/>
        <v>0</v>
      </c>
      <c r="K100" s="94">
        <f t="shared" si="87"/>
        <v>0</v>
      </c>
      <c r="L100" s="216">
        <v>0</v>
      </c>
      <c r="M100" s="95">
        <f t="shared" si="88"/>
        <v>0</v>
      </c>
      <c r="N100" s="95">
        <f t="shared" si="89"/>
        <v>0</v>
      </c>
      <c r="O100" s="419">
        <v>0</v>
      </c>
      <c r="P100" s="96">
        <f t="shared" si="90"/>
        <v>0</v>
      </c>
      <c r="Q100" s="95">
        <f t="shared" si="91"/>
        <v>0</v>
      </c>
      <c r="R100" s="130">
        <v>0</v>
      </c>
      <c r="S100" s="130">
        <v>0</v>
      </c>
      <c r="T100" s="130">
        <v>0</v>
      </c>
      <c r="U100" s="95">
        <f t="shared" si="41"/>
        <v>0</v>
      </c>
      <c r="V100" s="95">
        <f t="shared" si="42"/>
        <v>0</v>
      </c>
      <c r="W100" s="93"/>
      <c r="X100" s="93"/>
      <c r="Y100" s="95"/>
      <c r="Z100" s="93"/>
      <c r="AA100" s="93"/>
      <c r="AB100" s="93"/>
      <c r="AC100" s="95"/>
      <c r="AD100" s="93"/>
      <c r="AE100" s="93"/>
      <c r="AF100" s="93"/>
      <c r="AG100" s="95"/>
      <c r="AH100" s="294"/>
      <c r="AI100" s="360"/>
      <c r="AJ100" s="360"/>
      <c r="AK100" s="361"/>
      <c r="AL100" s="93"/>
      <c r="AM100" s="93"/>
      <c r="AN100" s="93"/>
      <c r="AO100" s="95"/>
      <c r="AP100" s="294"/>
      <c r="AQ100" s="360"/>
      <c r="AR100" s="360"/>
      <c r="AS100" s="361"/>
    </row>
    <row r="101" spans="1:45" ht="19.5" hidden="1" x14ac:dyDescent="0.3">
      <c r="A101" s="201"/>
      <c r="B101" s="129" t="s">
        <v>127</v>
      </c>
      <c r="C101" s="202">
        <f t="shared" si="84"/>
        <v>0</v>
      </c>
      <c r="D101" s="203">
        <f t="shared" si="85"/>
        <v>0</v>
      </c>
      <c r="E101" s="216">
        <v>0</v>
      </c>
      <c r="F101" s="216">
        <v>0</v>
      </c>
      <c r="G101" s="216">
        <v>0</v>
      </c>
      <c r="H101" s="216">
        <v>0</v>
      </c>
      <c r="I101" s="216">
        <v>0</v>
      </c>
      <c r="J101" s="93">
        <f t="shared" si="86"/>
        <v>0</v>
      </c>
      <c r="K101" s="94">
        <f t="shared" si="87"/>
        <v>0</v>
      </c>
      <c r="L101" s="216">
        <v>0</v>
      </c>
      <c r="M101" s="95">
        <f t="shared" si="88"/>
        <v>0</v>
      </c>
      <c r="N101" s="95">
        <f t="shared" si="89"/>
        <v>0</v>
      </c>
      <c r="O101" s="419">
        <v>0</v>
      </c>
      <c r="P101" s="96">
        <f t="shared" si="90"/>
        <v>0</v>
      </c>
      <c r="Q101" s="95">
        <f t="shared" si="91"/>
        <v>0</v>
      </c>
      <c r="R101" s="130">
        <v>0</v>
      </c>
      <c r="S101" s="130">
        <v>0</v>
      </c>
      <c r="T101" s="130">
        <v>0</v>
      </c>
      <c r="U101" s="95">
        <f t="shared" si="41"/>
        <v>0</v>
      </c>
      <c r="V101" s="95">
        <f t="shared" si="42"/>
        <v>0</v>
      </c>
      <c r="W101" s="93"/>
      <c r="X101" s="93"/>
      <c r="Y101" s="95"/>
      <c r="Z101" s="93"/>
      <c r="AA101" s="93"/>
      <c r="AB101" s="93"/>
      <c r="AC101" s="95"/>
      <c r="AD101" s="93"/>
      <c r="AE101" s="93"/>
      <c r="AF101" s="93"/>
      <c r="AG101" s="95"/>
      <c r="AH101" s="294"/>
      <c r="AI101" s="360"/>
      <c r="AJ101" s="360"/>
      <c r="AK101" s="361"/>
      <c r="AL101" s="93"/>
      <c r="AM101" s="93"/>
      <c r="AN101" s="93"/>
      <c r="AO101" s="95"/>
      <c r="AP101" s="294"/>
      <c r="AQ101" s="360"/>
      <c r="AR101" s="360"/>
      <c r="AS101" s="361"/>
    </row>
    <row r="102" spans="1:45" ht="19.5" hidden="1" x14ac:dyDescent="0.3">
      <c r="A102" s="201"/>
      <c r="B102" s="129" t="s">
        <v>128</v>
      </c>
      <c r="C102" s="202">
        <f t="shared" si="84"/>
        <v>0</v>
      </c>
      <c r="D102" s="203">
        <f t="shared" si="85"/>
        <v>0</v>
      </c>
      <c r="E102" s="216">
        <v>0</v>
      </c>
      <c r="F102" s="216">
        <v>0</v>
      </c>
      <c r="G102" s="216">
        <v>0</v>
      </c>
      <c r="H102" s="216">
        <v>0</v>
      </c>
      <c r="I102" s="216">
        <v>0</v>
      </c>
      <c r="J102" s="93">
        <f t="shared" si="86"/>
        <v>0</v>
      </c>
      <c r="K102" s="94">
        <f t="shared" si="87"/>
        <v>0</v>
      </c>
      <c r="L102" s="216">
        <v>0</v>
      </c>
      <c r="M102" s="95">
        <f t="shared" si="88"/>
        <v>0</v>
      </c>
      <c r="N102" s="95">
        <f t="shared" si="89"/>
        <v>0</v>
      </c>
      <c r="O102" s="419">
        <v>0</v>
      </c>
      <c r="P102" s="96">
        <f t="shared" si="90"/>
        <v>0</v>
      </c>
      <c r="Q102" s="95">
        <f t="shared" si="91"/>
        <v>0</v>
      </c>
      <c r="R102" s="130">
        <v>0</v>
      </c>
      <c r="S102" s="130">
        <v>0</v>
      </c>
      <c r="T102" s="130">
        <v>0</v>
      </c>
      <c r="U102" s="95">
        <f t="shared" si="41"/>
        <v>0</v>
      </c>
      <c r="V102" s="95">
        <f t="shared" si="42"/>
        <v>0</v>
      </c>
      <c r="W102" s="93"/>
      <c r="X102" s="93"/>
      <c r="Y102" s="95"/>
      <c r="Z102" s="93"/>
      <c r="AA102" s="93"/>
      <c r="AB102" s="93"/>
      <c r="AC102" s="95"/>
      <c r="AD102" s="93"/>
      <c r="AE102" s="93"/>
      <c r="AF102" s="93"/>
      <c r="AG102" s="95"/>
      <c r="AH102" s="294"/>
      <c r="AI102" s="360"/>
      <c r="AJ102" s="360"/>
      <c r="AK102" s="361"/>
      <c r="AL102" s="93"/>
      <c r="AM102" s="93"/>
      <c r="AN102" s="93"/>
      <c r="AO102" s="95"/>
      <c r="AP102" s="294"/>
      <c r="AQ102" s="360"/>
      <c r="AR102" s="360"/>
      <c r="AS102" s="361"/>
    </row>
    <row r="103" spans="1:45" ht="19.5" hidden="1" x14ac:dyDescent="0.3">
      <c r="A103" s="201"/>
      <c r="B103" s="129" t="s">
        <v>129</v>
      </c>
      <c r="C103" s="202">
        <f t="shared" si="84"/>
        <v>0</v>
      </c>
      <c r="D103" s="203">
        <f t="shared" si="85"/>
        <v>0</v>
      </c>
      <c r="E103" s="216">
        <v>0</v>
      </c>
      <c r="F103" s="216">
        <v>0</v>
      </c>
      <c r="G103" s="216">
        <v>0</v>
      </c>
      <c r="H103" s="216">
        <v>0</v>
      </c>
      <c r="I103" s="216">
        <v>0</v>
      </c>
      <c r="J103" s="93">
        <f t="shared" si="86"/>
        <v>0</v>
      </c>
      <c r="K103" s="94">
        <f t="shared" si="87"/>
        <v>0</v>
      </c>
      <c r="L103" s="216">
        <v>0</v>
      </c>
      <c r="M103" s="95">
        <f t="shared" si="88"/>
        <v>0</v>
      </c>
      <c r="N103" s="95">
        <f t="shared" si="89"/>
        <v>0</v>
      </c>
      <c r="O103" s="419">
        <v>0</v>
      </c>
      <c r="P103" s="96">
        <f t="shared" si="90"/>
        <v>0</v>
      </c>
      <c r="Q103" s="95">
        <f t="shared" si="91"/>
        <v>0</v>
      </c>
      <c r="R103" s="131">
        <v>0</v>
      </c>
      <c r="S103" s="131">
        <v>0</v>
      </c>
      <c r="T103" s="131">
        <v>0</v>
      </c>
      <c r="U103" s="132">
        <f t="shared" si="41"/>
        <v>0</v>
      </c>
      <c r="V103" s="132">
        <f t="shared" si="42"/>
        <v>0</v>
      </c>
      <c r="W103" s="249"/>
      <c r="X103" s="249"/>
      <c r="Y103" s="132"/>
      <c r="Z103" s="249"/>
      <c r="AA103" s="249"/>
      <c r="AB103" s="249"/>
      <c r="AC103" s="132"/>
      <c r="AD103" s="249"/>
      <c r="AE103" s="249"/>
      <c r="AF103" s="249"/>
      <c r="AG103" s="132"/>
      <c r="AH103" s="294"/>
      <c r="AI103" s="360"/>
      <c r="AJ103" s="360"/>
      <c r="AK103" s="361"/>
      <c r="AL103" s="249"/>
      <c r="AM103" s="249"/>
      <c r="AN103" s="249"/>
      <c r="AO103" s="132"/>
      <c r="AP103" s="294"/>
      <c r="AQ103" s="360"/>
      <c r="AR103" s="360"/>
      <c r="AS103" s="361"/>
    </row>
    <row r="104" spans="1:45" ht="19.5" hidden="1" x14ac:dyDescent="0.3">
      <c r="A104" s="201"/>
      <c r="B104" s="129" t="s">
        <v>130</v>
      </c>
      <c r="C104" s="202">
        <f t="shared" si="84"/>
        <v>0</v>
      </c>
      <c r="D104" s="203">
        <f t="shared" si="85"/>
        <v>0</v>
      </c>
      <c r="E104" s="216">
        <v>0</v>
      </c>
      <c r="F104" s="216">
        <v>0</v>
      </c>
      <c r="G104" s="216">
        <v>0</v>
      </c>
      <c r="H104" s="216">
        <v>0</v>
      </c>
      <c r="I104" s="216">
        <v>0</v>
      </c>
      <c r="J104" s="93">
        <f t="shared" si="86"/>
        <v>0</v>
      </c>
      <c r="K104" s="94">
        <f t="shared" si="87"/>
        <v>0</v>
      </c>
      <c r="L104" s="216">
        <v>0</v>
      </c>
      <c r="M104" s="95">
        <f t="shared" si="88"/>
        <v>0</v>
      </c>
      <c r="N104" s="95">
        <f t="shared" si="89"/>
        <v>0</v>
      </c>
      <c r="O104" s="419">
        <v>0</v>
      </c>
      <c r="P104" s="96">
        <f t="shared" si="90"/>
        <v>0</v>
      </c>
      <c r="Q104" s="95">
        <f t="shared" si="91"/>
        <v>0</v>
      </c>
      <c r="R104" s="130">
        <v>0</v>
      </c>
      <c r="S104" s="130">
        <v>0</v>
      </c>
      <c r="T104" s="130">
        <v>0</v>
      </c>
      <c r="U104" s="95">
        <f t="shared" si="41"/>
        <v>0</v>
      </c>
      <c r="V104" s="95">
        <f t="shared" si="42"/>
        <v>0</v>
      </c>
      <c r="W104" s="364"/>
      <c r="X104" s="364"/>
      <c r="Y104" s="364"/>
      <c r="Z104" s="364"/>
      <c r="AA104" s="364"/>
      <c r="AB104" s="364"/>
      <c r="AC104" s="364"/>
      <c r="AD104" s="364"/>
      <c r="AE104" s="364"/>
      <c r="AF104" s="364"/>
      <c r="AG104" s="364"/>
      <c r="AH104" s="501"/>
      <c r="AI104" s="454"/>
      <c r="AJ104" s="454"/>
      <c r="AK104" s="454"/>
      <c r="AL104" s="364"/>
      <c r="AM104" s="364"/>
      <c r="AN104" s="364"/>
      <c r="AO104" s="364"/>
      <c r="AP104" s="501"/>
      <c r="AQ104" s="454"/>
      <c r="AR104" s="454"/>
      <c r="AS104" s="454"/>
    </row>
    <row r="105" spans="1:45" ht="19.5" hidden="1" x14ac:dyDescent="0.3">
      <c r="A105" s="201"/>
      <c r="B105" s="133" t="s">
        <v>131</v>
      </c>
      <c r="C105" s="202">
        <f t="shared" si="84"/>
        <v>0</v>
      </c>
      <c r="D105" s="203">
        <f t="shared" si="85"/>
        <v>0</v>
      </c>
      <c r="E105" s="216">
        <v>0</v>
      </c>
      <c r="F105" s="216">
        <v>0</v>
      </c>
      <c r="G105" s="216">
        <v>0</v>
      </c>
      <c r="H105" s="216">
        <v>0</v>
      </c>
      <c r="I105" s="216">
        <v>0</v>
      </c>
      <c r="J105" s="93">
        <f t="shared" si="86"/>
        <v>0</v>
      </c>
      <c r="K105" s="94">
        <f t="shared" si="87"/>
        <v>0</v>
      </c>
      <c r="L105" s="216">
        <v>0</v>
      </c>
      <c r="M105" s="95">
        <f t="shared" si="88"/>
        <v>0</v>
      </c>
      <c r="N105" s="95">
        <f t="shared" si="89"/>
        <v>0</v>
      </c>
      <c r="O105" s="419">
        <v>0</v>
      </c>
      <c r="P105" s="96">
        <f t="shared" si="90"/>
        <v>0</v>
      </c>
      <c r="Q105" s="95">
        <f t="shared" si="91"/>
        <v>0</v>
      </c>
      <c r="R105" s="134">
        <v>0</v>
      </c>
      <c r="S105" s="134">
        <v>0</v>
      </c>
      <c r="T105" s="134">
        <v>0</v>
      </c>
      <c r="U105" s="135">
        <f t="shared" si="41"/>
        <v>0</v>
      </c>
      <c r="V105" s="135">
        <f t="shared" si="42"/>
        <v>0</v>
      </c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294"/>
      <c r="AI105" s="360"/>
      <c r="AJ105" s="360"/>
      <c r="AK105" s="360"/>
      <c r="AL105" s="122"/>
      <c r="AM105" s="122"/>
      <c r="AN105" s="122"/>
      <c r="AO105" s="122"/>
      <c r="AP105" s="294"/>
      <c r="AQ105" s="360"/>
      <c r="AR105" s="360"/>
      <c r="AS105" s="360"/>
    </row>
    <row r="106" spans="1:45" ht="19.5" hidden="1" x14ac:dyDescent="0.3">
      <c r="A106" s="205"/>
      <c r="B106" s="137" t="s">
        <v>132</v>
      </c>
      <c r="C106" s="206">
        <f t="shared" si="84"/>
        <v>0</v>
      </c>
      <c r="D106" s="207">
        <f t="shared" si="85"/>
        <v>0</v>
      </c>
      <c r="E106" s="217">
        <v>0</v>
      </c>
      <c r="F106" s="217">
        <v>0</v>
      </c>
      <c r="G106" s="217">
        <v>0</v>
      </c>
      <c r="H106" s="217">
        <v>0</v>
      </c>
      <c r="I106" s="217">
        <v>0</v>
      </c>
      <c r="J106" s="104">
        <f t="shared" si="86"/>
        <v>0</v>
      </c>
      <c r="K106" s="105">
        <f t="shared" si="87"/>
        <v>0</v>
      </c>
      <c r="L106" s="217">
        <v>0</v>
      </c>
      <c r="M106" s="106">
        <f t="shared" si="88"/>
        <v>0</v>
      </c>
      <c r="N106" s="106">
        <f t="shared" si="89"/>
        <v>0</v>
      </c>
      <c r="O106" s="420">
        <v>0</v>
      </c>
      <c r="P106" s="107">
        <f t="shared" si="90"/>
        <v>0</v>
      </c>
      <c r="Q106" s="106">
        <f t="shared" si="91"/>
        <v>0</v>
      </c>
      <c r="R106" s="138">
        <v>0</v>
      </c>
      <c r="S106" s="138">
        <v>0</v>
      </c>
      <c r="T106" s="138">
        <v>0</v>
      </c>
      <c r="U106" s="106">
        <f t="shared" si="41"/>
        <v>0</v>
      </c>
      <c r="V106" s="106">
        <f t="shared" si="42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297"/>
      <c r="AI106" s="367"/>
      <c r="AJ106" s="367"/>
      <c r="AK106" s="367"/>
      <c r="AL106" s="104"/>
      <c r="AM106" s="104"/>
      <c r="AN106" s="104"/>
      <c r="AO106" s="104"/>
      <c r="AP106" s="297"/>
      <c r="AQ106" s="367"/>
      <c r="AR106" s="367"/>
      <c r="AS106" s="367"/>
    </row>
    <row r="107" spans="1:45" ht="12.75" x14ac:dyDescent="0.2">
      <c r="AH107" s="502"/>
      <c r="AI107" s="502"/>
      <c r="AJ107" s="502"/>
      <c r="AK107" s="502"/>
      <c r="AP107" s="502"/>
      <c r="AQ107" s="502"/>
      <c r="AR107" s="502"/>
      <c r="AS107" s="502"/>
    </row>
    <row r="108" spans="1:45" ht="12.75" x14ac:dyDescent="0.2">
      <c r="AH108" s="502"/>
      <c r="AI108" s="502"/>
      <c r="AJ108" s="502"/>
      <c r="AK108" s="502"/>
      <c r="AP108" s="502"/>
      <c r="AQ108" s="502"/>
      <c r="AR108" s="502"/>
      <c r="AS108" s="502"/>
    </row>
    <row r="109" spans="1:45" ht="12.75" x14ac:dyDescent="0.2">
      <c r="AH109" s="502"/>
      <c r="AI109" s="502"/>
      <c r="AJ109" s="502"/>
      <c r="AK109" s="502"/>
      <c r="AP109" s="502"/>
      <c r="AQ109" s="502"/>
      <c r="AR109" s="502"/>
      <c r="AS109" s="502"/>
    </row>
    <row r="110" spans="1:45" ht="12.75" x14ac:dyDescent="0.2">
      <c r="AH110" s="502"/>
      <c r="AI110" s="502"/>
      <c r="AJ110" s="502"/>
      <c r="AK110" s="502"/>
      <c r="AP110" s="502"/>
      <c r="AQ110" s="502"/>
      <c r="AR110" s="502"/>
      <c r="AS110" s="502"/>
    </row>
    <row r="111" spans="1:45" ht="12.75" x14ac:dyDescent="0.2">
      <c r="AH111" s="502"/>
      <c r="AI111" s="502"/>
      <c r="AJ111" s="502"/>
      <c r="AK111" s="502"/>
      <c r="AP111" s="502"/>
      <c r="AQ111" s="502"/>
      <c r="AR111" s="502"/>
      <c r="AS111" s="502"/>
    </row>
    <row r="112" spans="1:45" ht="12.75" x14ac:dyDescent="0.2">
      <c r="AH112" s="502"/>
      <c r="AI112" s="502"/>
      <c r="AJ112" s="502"/>
      <c r="AK112" s="502"/>
      <c r="AP112" s="502"/>
      <c r="AQ112" s="502"/>
      <c r="AR112" s="502"/>
      <c r="AS112" s="502"/>
    </row>
    <row r="113" spans="34:45" ht="12.75" x14ac:dyDescent="0.2">
      <c r="AH113" s="502"/>
      <c r="AI113" s="502"/>
      <c r="AJ113" s="502"/>
      <c r="AK113" s="502"/>
      <c r="AP113" s="502"/>
      <c r="AQ113" s="502"/>
      <c r="AR113" s="502"/>
      <c r="AS113" s="502"/>
    </row>
    <row r="114" spans="34:45" ht="12.75" x14ac:dyDescent="0.2">
      <c r="AH114" s="502"/>
      <c r="AI114" s="502"/>
      <c r="AJ114" s="502"/>
      <c r="AK114" s="502"/>
      <c r="AP114" s="502"/>
      <c r="AQ114" s="502"/>
      <c r="AR114" s="502"/>
      <c r="AS114" s="502"/>
    </row>
    <row r="115" spans="34:45" ht="12.75" x14ac:dyDescent="0.2">
      <c r="AH115" s="502"/>
      <c r="AI115" s="502"/>
      <c r="AJ115" s="502"/>
      <c r="AK115" s="502"/>
      <c r="AP115" s="502"/>
      <c r="AQ115" s="502"/>
      <c r="AR115" s="502"/>
      <c r="AS115" s="502"/>
    </row>
    <row r="116" spans="34:45" ht="12.75" x14ac:dyDescent="0.2">
      <c r="AH116" s="502"/>
      <c r="AI116" s="502"/>
      <c r="AJ116" s="502"/>
      <c r="AK116" s="502"/>
      <c r="AP116" s="502"/>
      <c r="AQ116" s="502"/>
      <c r="AR116" s="502"/>
      <c r="AS116" s="502"/>
    </row>
    <row r="117" spans="34:45" ht="12.75" x14ac:dyDescent="0.2">
      <c r="AH117" s="502"/>
      <c r="AI117" s="502"/>
      <c r="AJ117" s="502"/>
      <c r="AK117" s="502"/>
      <c r="AP117" s="502"/>
      <c r="AQ117" s="502"/>
      <c r="AR117" s="502"/>
      <c r="AS117" s="502"/>
    </row>
    <row r="118" spans="34:45" ht="12.75" x14ac:dyDescent="0.2">
      <c r="AH118" s="502"/>
      <c r="AI118" s="502"/>
      <c r="AJ118" s="502"/>
      <c r="AK118" s="502"/>
      <c r="AP118" s="502"/>
      <c r="AQ118" s="502"/>
      <c r="AR118" s="502"/>
      <c r="AS118" s="502"/>
    </row>
    <row r="119" spans="34:45" ht="12.75" x14ac:dyDescent="0.2">
      <c r="AH119" s="502"/>
      <c r="AI119" s="502"/>
      <c r="AJ119" s="502"/>
      <c r="AK119" s="502"/>
      <c r="AP119" s="502"/>
      <c r="AQ119" s="502"/>
      <c r="AR119" s="502"/>
      <c r="AS119" s="502"/>
    </row>
    <row r="120" spans="34:45" ht="12.75" x14ac:dyDescent="0.2">
      <c r="AH120" s="502"/>
      <c r="AI120" s="502"/>
      <c r="AJ120" s="502"/>
      <c r="AK120" s="502"/>
      <c r="AP120" s="502"/>
      <c r="AQ120" s="502"/>
      <c r="AR120" s="502"/>
      <c r="AS120" s="502"/>
    </row>
    <row r="121" spans="34:45" ht="12.75" x14ac:dyDescent="0.2">
      <c r="AH121" s="502"/>
      <c r="AI121" s="502"/>
      <c r="AJ121" s="502"/>
      <c r="AK121" s="502"/>
      <c r="AP121" s="502"/>
      <c r="AQ121" s="502"/>
      <c r="AR121" s="502"/>
      <c r="AS121" s="502"/>
    </row>
    <row r="122" spans="34:45" ht="12.75" x14ac:dyDescent="0.2">
      <c r="AH122" s="502"/>
      <c r="AI122" s="502"/>
      <c r="AJ122" s="502"/>
      <c r="AK122" s="502"/>
      <c r="AP122" s="502"/>
      <c r="AQ122" s="502"/>
      <c r="AR122" s="502"/>
      <c r="AS122" s="502"/>
    </row>
    <row r="123" spans="34:45" ht="12.75" x14ac:dyDescent="0.2">
      <c r="AH123" s="502"/>
      <c r="AI123" s="502"/>
      <c r="AJ123" s="502"/>
      <c r="AK123" s="502"/>
      <c r="AP123" s="502"/>
      <c r="AQ123" s="502"/>
      <c r="AR123" s="502"/>
      <c r="AS123" s="502"/>
    </row>
    <row r="124" spans="34:45" ht="12.75" x14ac:dyDescent="0.2">
      <c r="AH124" s="502"/>
      <c r="AI124" s="502"/>
      <c r="AJ124" s="502"/>
      <c r="AK124" s="502"/>
      <c r="AP124" s="502"/>
      <c r="AQ124" s="502"/>
      <c r="AR124" s="502"/>
      <c r="AS124" s="502"/>
    </row>
    <row r="125" spans="34:45" ht="12.75" x14ac:dyDescent="0.2">
      <c r="AH125" s="502"/>
      <c r="AI125" s="502"/>
      <c r="AJ125" s="502"/>
      <c r="AK125" s="502"/>
      <c r="AP125" s="502"/>
      <c r="AQ125" s="502"/>
      <c r="AR125" s="502"/>
      <c r="AS125" s="502"/>
    </row>
    <row r="126" spans="34:45" ht="12.75" x14ac:dyDescent="0.2">
      <c r="AH126" s="502"/>
      <c r="AI126" s="502"/>
      <c r="AJ126" s="502"/>
      <c r="AK126" s="502"/>
      <c r="AP126" s="502"/>
      <c r="AQ126" s="502"/>
      <c r="AR126" s="502"/>
      <c r="AS126" s="502"/>
    </row>
    <row r="127" spans="34:45" ht="12.75" x14ac:dyDescent="0.2">
      <c r="AH127" s="502"/>
      <c r="AI127" s="502"/>
      <c r="AJ127" s="502"/>
      <c r="AK127" s="502"/>
      <c r="AP127" s="502"/>
      <c r="AQ127" s="502"/>
      <c r="AR127" s="502"/>
      <c r="AS127" s="502"/>
    </row>
    <row r="128" spans="34:45" ht="12.75" x14ac:dyDescent="0.2">
      <c r="AH128" s="502"/>
      <c r="AI128" s="502"/>
      <c r="AJ128" s="502"/>
      <c r="AK128" s="502"/>
      <c r="AP128" s="502"/>
      <c r="AQ128" s="502"/>
      <c r="AR128" s="502"/>
      <c r="AS128" s="502"/>
    </row>
    <row r="129" spans="34:45" ht="12.75" x14ac:dyDescent="0.2">
      <c r="AH129" s="502"/>
      <c r="AI129" s="502"/>
      <c r="AJ129" s="502"/>
      <c r="AK129" s="502"/>
      <c r="AP129" s="502"/>
      <c r="AQ129" s="502"/>
      <c r="AR129" s="502"/>
      <c r="AS129" s="502"/>
    </row>
    <row r="130" spans="34:45" ht="12.75" x14ac:dyDescent="0.2">
      <c r="AH130" s="502"/>
      <c r="AI130" s="502"/>
      <c r="AJ130" s="502"/>
      <c r="AK130" s="502"/>
      <c r="AP130" s="502"/>
      <c r="AQ130" s="502"/>
      <c r="AR130" s="502"/>
      <c r="AS130" s="502"/>
    </row>
    <row r="131" spans="34:45" ht="12.75" x14ac:dyDescent="0.2">
      <c r="AH131" s="502"/>
      <c r="AI131" s="502"/>
      <c r="AJ131" s="502"/>
      <c r="AK131" s="502"/>
      <c r="AP131" s="502"/>
      <c r="AQ131" s="502"/>
      <c r="AR131" s="502"/>
      <c r="AS131" s="502"/>
    </row>
    <row r="132" spans="34:45" ht="12.75" x14ac:dyDescent="0.2">
      <c r="AH132" s="502"/>
      <c r="AI132" s="502"/>
      <c r="AJ132" s="502"/>
      <c r="AK132" s="502"/>
      <c r="AP132" s="502"/>
      <c r="AQ132" s="502"/>
      <c r="AR132" s="502"/>
      <c r="AS132" s="502"/>
    </row>
    <row r="133" spans="34:45" ht="12.75" x14ac:dyDescent="0.2">
      <c r="AH133" s="502"/>
      <c r="AI133" s="502"/>
      <c r="AJ133" s="502"/>
      <c r="AK133" s="502"/>
      <c r="AP133" s="502"/>
      <c r="AQ133" s="502"/>
      <c r="AR133" s="502"/>
      <c r="AS133" s="502"/>
    </row>
    <row r="134" spans="34:45" ht="12.75" x14ac:dyDescent="0.2">
      <c r="AH134" s="502"/>
      <c r="AI134" s="502"/>
      <c r="AJ134" s="502"/>
      <c r="AK134" s="502"/>
      <c r="AP134" s="502"/>
      <c r="AQ134" s="502"/>
      <c r="AR134" s="502"/>
      <c r="AS134" s="502"/>
    </row>
    <row r="135" spans="34:45" ht="12.75" x14ac:dyDescent="0.2">
      <c r="AH135" s="502"/>
      <c r="AI135" s="502"/>
      <c r="AJ135" s="502"/>
      <c r="AK135" s="502"/>
      <c r="AP135" s="502"/>
      <c r="AQ135" s="502"/>
      <c r="AR135" s="502"/>
      <c r="AS135" s="502"/>
    </row>
    <row r="136" spans="34:45" ht="12.75" x14ac:dyDescent="0.2">
      <c r="AH136" s="502"/>
      <c r="AI136" s="502"/>
      <c r="AJ136" s="502"/>
      <c r="AK136" s="502"/>
      <c r="AP136" s="502"/>
      <c r="AQ136" s="502"/>
      <c r="AR136" s="502"/>
      <c r="AS136" s="502"/>
    </row>
    <row r="137" spans="34:45" ht="12.75" x14ac:dyDescent="0.2">
      <c r="AH137" s="502"/>
      <c r="AI137" s="502"/>
      <c r="AJ137" s="502"/>
      <c r="AK137" s="502"/>
      <c r="AP137" s="502"/>
      <c r="AQ137" s="502"/>
      <c r="AR137" s="502"/>
      <c r="AS137" s="502"/>
    </row>
    <row r="138" spans="34:45" ht="12.75" x14ac:dyDescent="0.2">
      <c r="AH138" s="502"/>
      <c r="AI138" s="502"/>
      <c r="AJ138" s="502"/>
      <c r="AK138" s="502"/>
      <c r="AP138" s="502"/>
      <c r="AQ138" s="502"/>
      <c r="AR138" s="502"/>
      <c r="AS138" s="502"/>
    </row>
    <row r="139" spans="34:45" ht="12.75" x14ac:dyDescent="0.2">
      <c r="AH139" s="502"/>
      <c r="AI139" s="502"/>
      <c r="AJ139" s="502"/>
      <c r="AK139" s="502"/>
      <c r="AP139" s="502"/>
      <c r="AQ139" s="502"/>
      <c r="AR139" s="502"/>
      <c r="AS139" s="502"/>
    </row>
    <row r="140" spans="34:45" ht="12.75" x14ac:dyDescent="0.2">
      <c r="AH140" s="502"/>
      <c r="AI140" s="502"/>
      <c r="AJ140" s="502"/>
      <c r="AK140" s="502"/>
      <c r="AP140" s="502"/>
      <c r="AQ140" s="502"/>
      <c r="AR140" s="502"/>
      <c r="AS140" s="502"/>
    </row>
    <row r="141" spans="34:45" ht="12.75" x14ac:dyDescent="0.2">
      <c r="AH141" s="502"/>
      <c r="AI141" s="502"/>
      <c r="AJ141" s="502"/>
      <c r="AK141" s="502"/>
      <c r="AP141" s="502"/>
      <c r="AQ141" s="502"/>
      <c r="AR141" s="502"/>
      <c r="AS141" s="502"/>
    </row>
    <row r="142" spans="34:45" ht="12.75" x14ac:dyDescent="0.2">
      <c r="AH142" s="502"/>
      <c r="AI142" s="502"/>
      <c r="AJ142" s="502"/>
      <c r="AK142" s="502"/>
      <c r="AP142" s="502"/>
      <c r="AQ142" s="502"/>
      <c r="AR142" s="502"/>
      <c r="AS142" s="502"/>
    </row>
    <row r="143" spans="34:45" ht="12.75" x14ac:dyDescent="0.2">
      <c r="AH143" s="502"/>
      <c r="AI143" s="502"/>
      <c r="AJ143" s="502"/>
      <c r="AK143" s="502"/>
      <c r="AP143" s="502"/>
      <c r="AQ143" s="502"/>
      <c r="AR143" s="502"/>
      <c r="AS143" s="502"/>
    </row>
    <row r="144" spans="34:45" ht="12.75" x14ac:dyDescent="0.2">
      <c r="AH144" s="502"/>
      <c r="AI144" s="502"/>
      <c r="AJ144" s="502"/>
      <c r="AK144" s="502"/>
      <c r="AP144" s="502"/>
      <c r="AQ144" s="502"/>
      <c r="AR144" s="502"/>
      <c r="AS144" s="502"/>
    </row>
    <row r="145" spans="34:45" ht="12.75" x14ac:dyDescent="0.2">
      <c r="AH145" s="502"/>
      <c r="AI145" s="502"/>
      <c r="AJ145" s="502"/>
      <c r="AK145" s="502"/>
      <c r="AP145" s="502"/>
      <c r="AQ145" s="502"/>
      <c r="AR145" s="502"/>
      <c r="AS145" s="502"/>
    </row>
    <row r="146" spans="34:45" ht="12.75" x14ac:dyDescent="0.2">
      <c r="AH146" s="502"/>
      <c r="AI146" s="502"/>
      <c r="AJ146" s="502"/>
      <c r="AK146" s="502"/>
      <c r="AP146" s="502"/>
      <c r="AQ146" s="502"/>
      <c r="AR146" s="502"/>
      <c r="AS146" s="502"/>
    </row>
    <row r="147" spans="34:45" ht="12.75" x14ac:dyDescent="0.2">
      <c r="AH147" s="502"/>
      <c r="AI147" s="502"/>
      <c r="AJ147" s="502"/>
      <c r="AK147" s="502"/>
      <c r="AP147" s="502"/>
      <c r="AQ147" s="502"/>
      <c r="AR147" s="502"/>
      <c r="AS147" s="502"/>
    </row>
    <row r="148" spans="34:45" ht="12.75" x14ac:dyDescent="0.2">
      <c r="AH148" s="502"/>
      <c r="AI148" s="502"/>
      <c r="AJ148" s="502"/>
      <c r="AK148" s="502"/>
      <c r="AP148" s="502"/>
      <c r="AQ148" s="502"/>
      <c r="AR148" s="502"/>
      <c r="AS148" s="502"/>
    </row>
    <row r="149" spans="34:45" ht="12.75" x14ac:dyDescent="0.2">
      <c r="AH149" s="502"/>
      <c r="AI149" s="502"/>
      <c r="AJ149" s="502"/>
      <c r="AK149" s="502"/>
      <c r="AP149" s="502"/>
      <c r="AQ149" s="502"/>
      <c r="AR149" s="502"/>
      <c r="AS149" s="502"/>
    </row>
    <row r="150" spans="34:45" ht="12.75" x14ac:dyDescent="0.2">
      <c r="AH150" s="502"/>
      <c r="AI150" s="502"/>
      <c r="AJ150" s="502"/>
      <c r="AK150" s="502"/>
      <c r="AP150" s="502"/>
      <c r="AQ150" s="502"/>
      <c r="AR150" s="502"/>
      <c r="AS150" s="502"/>
    </row>
    <row r="151" spans="34:45" ht="12.75" x14ac:dyDescent="0.2">
      <c r="AH151" s="502"/>
      <c r="AI151" s="502"/>
      <c r="AJ151" s="502"/>
      <c r="AK151" s="502"/>
      <c r="AP151" s="502"/>
      <c r="AQ151" s="502"/>
      <c r="AR151" s="502"/>
      <c r="AS151" s="502"/>
    </row>
    <row r="152" spans="34:45" ht="12.75" x14ac:dyDescent="0.2">
      <c r="AH152" s="502"/>
      <c r="AI152" s="502"/>
      <c r="AJ152" s="502"/>
      <c r="AK152" s="502"/>
      <c r="AP152" s="502"/>
      <c r="AQ152" s="502"/>
      <c r="AR152" s="502"/>
      <c r="AS152" s="502"/>
    </row>
    <row r="153" spans="34:45" ht="12.75" x14ac:dyDescent="0.2">
      <c r="AH153" s="502"/>
      <c r="AI153" s="502"/>
      <c r="AJ153" s="502"/>
      <c r="AK153" s="502"/>
      <c r="AP153" s="502"/>
      <c r="AQ153" s="502"/>
      <c r="AR153" s="502"/>
      <c r="AS153" s="502"/>
    </row>
    <row r="154" spans="34:45" ht="12.75" x14ac:dyDescent="0.2">
      <c r="AH154" s="502"/>
      <c r="AI154" s="502"/>
      <c r="AJ154" s="502"/>
      <c r="AK154" s="502"/>
      <c r="AP154" s="502"/>
      <c r="AQ154" s="502"/>
      <c r="AR154" s="502"/>
      <c r="AS154" s="502"/>
    </row>
    <row r="155" spans="34:45" ht="12.75" x14ac:dyDescent="0.2">
      <c r="AH155" s="502"/>
      <c r="AI155" s="502"/>
      <c r="AJ155" s="502"/>
      <c r="AK155" s="502"/>
      <c r="AP155" s="502"/>
      <c r="AQ155" s="502"/>
      <c r="AR155" s="502"/>
      <c r="AS155" s="502"/>
    </row>
    <row r="156" spans="34:45" ht="12.75" x14ac:dyDescent="0.2">
      <c r="AH156" s="502"/>
      <c r="AI156" s="502"/>
      <c r="AJ156" s="502"/>
      <c r="AK156" s="502"/>
      <c r="AP156" s="502"/>
      <c r="AQ156" s="502"/>
      <c r="AR156" s="502"/>
      <c r="AS156" s="502"/>
    </row>
    <row r="157" spans="34:45" ht="12.75" x14ac:dyDescent="0.2">
      <c r="AH157" s="502"/>
      <c r="AI157" s="502"/>
      <c r="AJ157" s="502"/>
      <c r="AK157" s="502"/>
      <c r="AP157" s="502"/>
      <c r="AQ157" s="502"/>
      <c r="AR157" s="502"/>
      <c r="AS157" s="502"/>
    </row>
    <row r="158" spans="34:45" ht="12.75" x14ac:dyDescent="0.2">
      <c r="AH158" s="502"/>
      <c r="AI158" s="502"/>
      <c r="AJ158" s="502"/>
      <c r="AK158" s="502"/>
      <c r="AP158" s="502"/>
      <c r="AQ158" s="502"/>
      <c r="AR158" s="502"/>
      <c r="AS158" s="502"/>
    </row>
    <row r="159" spans="34:45" ht="12.75" x14ac:dyDescent="0.2">
      <c r="AH159" s="502"/>
      <c r="AI159" s="502"/>
      <c r="AJ159" s="502"/>
      <c r="AK159" s="502"/>
      <c r="AP159" s="502"/>
      <c r="AQ159" s="502"/>
      <c r="AR159" s="502"/>
      <c r="AS159" s="502"/>
    </row>
    <row r="160" spans="34:45" ht="12.75" x14ac:dyDescent="0.2">
      <c r="AH160" s="502"/>
      <c r="AI160" s="502"/>
      <c r="AJ160" s="502"/>
      <c r="AK160" s="502"/>
      <c r="AP160" s="502"/>
      <c r="AQ160" s="502"/>
      <c r="AR160" s="502"/>
      <c r="AS160" s="502"/>
    </row>
    <row r="161" spans="34:45" ht="12.75" x14ac:dyDescent="0.2">
      <c r="AH161" s="502"/>
      <c r="AI161" s="502"/>
      <c r="AJ161" s="502"/>
      <c r="AK161" s="502"/>
      <c r="AP161" s="502"/>
      <c r="AQ161" s="502"/>
      <c r="AR161" s="502"/>
      <c r="AS161" s="502"/>
    </row>
    <row r="162" spans="34:45" ht="12.75" x14ac:dyDescent="0.2">
      <c r="AH162" s="502"/>
      <c r="AI162" s="502"/>
      <c r="AJ162" s="502"/>
      <c r="AK162" s="502"/>
      <c r="AP162" s="502"/>
      <c r="AQ162" s="502"/>
      <c r="AR162" s="502"/>
      <c r="AS162" s="502"/>
    </row>
    <row r="163" spans="34:45" ht="12.75" x14ac:dyDescent="0.2">
      <c r="AH163" s="502"/>
      <c r="AI163" s="502"/>
      <c r="AJ163" s="502"/>
      <c r="AK163" s="502"/>
      <c r="AP163" s="502"/>
      <c r="AQ163" s="502"/>
      <c r="AR163" s="502"/>
      <c r="AS163" s="502"/>
    </row>
    <row r="164" spans="34:45" ht="12.75" x14ac:dyDescent="0.2">
      <c r="AH164" s="502"/>
      <c r="AI164" s="502"/>
      <c r="AJ164" s="502"/>
      <c r="AK164" s="502"/>
      <c r="AP164" s="502"/>
      <c r="AQ164" s="502"/>
      <c r="AR164" s="502"/>
      <c r="AS164" s="502"/>
    </row>
    <row r="165" spans="34:45" ht="12.75" x14ac:dyDescent="0.2">
      <c r="AH165" s="502"/>
      <c r="AI165" s="502"/>
      <c r="AJ165" s="502"/>
      <c r="AK165" s="502"/>
      <c r="AP165" s="502"/>
      <c r="AQ165" s="502"/>
      <c r="AR165" s="502"/>
      <c r="AS165" s="502"/>
    </row>
    <row r="166" spans="34:45" ht="12.75" x14ac:dyDescent="0.2">
      <c r="AH166" s="502"/>
      <c r="AI166" s="502"/>
      <c r="AJ166" s="502"/>
      <c r="AK166" s="502"/>
      <c r="AP166" s="502"/>
      <c r="AQ166" s="502"/>
      <c r="AR166" s="502"/>
      <c r="AS166" s="502"/>
    </row>
    <row r="167" spans="34:45" ht="12.75" x14ac:dyDescent="0.2">
      <c r="AH167" s="502"/>
      <c r="AI167" s="502"/>
      <c r="AJ167" s="502"/>
      <c r="AK167" s="502"/>
      <c r="AP167" s="502"/>
      <c r="AQ167" s="502"/>
      <c r="AR167" s="502"/>
      <c r="AS167" s="502"/>
    </row>
    <row r="168" spans="34:45" ht="12.75" x14ac:dyDescent="0.2">
      <c r="AH168" s="502"/>
      <c r="AI168" s="502"/>
      <c r="AJ168" s="502"/>
      <c r="AK168" s="502"/>
      <c r="AP168" s="502"/>
      <c r="AQ168" s="502"/>
      <c r="AR168" s="502"/>
      <c r="AS168" s="502"/>
    </row>
    <row r="169" spans="34:45" ht="12.75" x14ac:dyDescent="0.2">
      <c r="AH169" s="502"/>
      <c r="AI169" s="502"/>
      <c r="AJ169" s="502"/>
      <c r="AK169" s="502"/>
      <c r="AP169" s="502"/>
      <c r="AQ169" s="502"/>
      <c r="AR169" s="502"/>
      <c r="AS169" s="502"/>
    </row>
    <row r="170" spans="34:45" ht="12.75" x14ac:dyDescent="0.2">
      <c r="AH170" s="502"/>
      <c r="AI170" s="502"/>
      <c r="AJ170" s="502"/>
      <c r="AK170" s="502"/>
      <c r="AP170" s="502"/>
      <c r="AQ170" s="502"/>
      <c r="AR170" s="502"/>
      <c r="AS170" s="502"/>
    </row>
    <row r="171" spans="34:45" ht="12.75" x14ac:dyDescent="0.2">
      <c r="AH171" s="502"/>
      <c r="AI171" s="502"/>
      <c r="AJ171" s="502"/>
      <c r="AK171" s="502"/>
      <c r="AP171" s="502"/>
      <c r="AQ171" s="502"/>
      <c r="AR171" s="502"/>
      <c r="AS171" s="502"/>
    </row>
    <row r="172" spans="34:45" ht="12.75" x14ac:dyDescent="0.2">
      <c r="AH172" s="502"/>
      <c r="AI172" s="502"/>
      <c r="AJ172" s="502"/>
      <c r="AK172" s="502"/>
      <c r="AP172" s="502"/>
      <c r="AQ172" s="502"/>
      <c r="AR172" s="502"/>
      <c r="AS172" s="502"/>
    </row>
    <row r="173" spans="34:45" ht="12.75" x14ac:dyDescent="0.2">
      <c r="AH173" s="502"/>
      <c r="AI173" s="502"/>
      <c r="AJ173" s="502"/>
      <c r="AK173" s="502"/>
      <c r="AP173" s="502"/>
      <c r="AQ173" s="502"/>
      <c r="AR173" s="502"/>
      <c r="AS173" s="502"/>
    </row>
    <row r="174" spans="34:45" ht="12.75" x14ac:dyDescent="0.2">
      <c r="AH174" s="502"/>
      <c r="AI174" s="502"/>
      <c r="AJ174" s="502"/>
      <c r="AK174" s="502"/>
      <c r="AP174" s="502"/>
      <c r="AQ174" s="502"/>
      <c r="AR174" s="502"/>
      <c r="AS174" s="502"/>
    </row>
    <row r="175" spans="34:45" ht="12.75" x14ac:dyDescent="0.2">
      <c r="AH175" s="502"/>
      <c r="AI175" s="502"/>
      <c r="AJ175" s="502"/>
      <c r="AK175" s="502"/>
      <c r="AP175" s="502"/>
      <c r="AQ175" s="502"/>
      <c r="AR175" s="502"/>
      <c r="AS175" s="502"/>
    </row>
    <row r="176" spans="34:45" ht="12.75" x14ac:dyDescent="0.2">
      <c r="AH176" s="502"/>
      <c r="AI176" s="502"/>
      <c r="AJ176" s="502"/>
      <c r="AK176" s="502"/>
      <c r="AP176" s="502"/>
      <c r="AQ176" s="502"/>
      <c r="AR176" s="502"/>
      <c r="AS176" s="502"/>
    </row>
    <row r="177" spans="34:45" ht="12.75" x14ac:dyDescent="0.2">
      <c r="AH177" s="502"/>
      <c r="AI177" s="502"/>
      <c r="AJ177" s="502"/>
      <c r="AK177" s="502"/>
      <c r="AP177" s="502"/>
      <c r="AQ177" s="502"/>
      <c r="AR177" s="502"/>
      <c r="AS177" s="502"/>
    </row>
    <row r="178" spans="34:45" ht="12.75" x14ac:dyDescent="0.2">
      <c r="AH178" s="502"/>
      <c r="AI178" s="502"/>
      <c r="AJ178" s="502"/>
      <c r="AK178" s="502"/>
      <c r="AP178" s="502"/>
      <c r="AQ178" s="502"/>
      <c r="AR178" s="502"/>
      <c r="AS178" s="502"/>
    </row>
    <row r="179" spans="34:45" ht="12.75" x14ac:dyDescent="0.2">
      <c r="AH179" s="502"/>
      <c r="AI179" s="502"/>
      <c r="AJ179" s="502"/>
      <c r="AK179" s="502"/>
      <c r="AP179" s="502"/>
      <c r="AQ179" s="502"/>
      <c r="AR179" s="502"/>
      <c r="AS179" s="502"/>
    </row>
    <row r="180" spans="34:45" ht="12.75" x14ac:dyDescent="0.2">
      <c r="AH180" s="502"/>
      <c r="AI180" s="502"/>
      <c r="AJ180" s="502"/>
      <c r="AK180" s="502"/>
      <c r="AP180" s="502"/>
      <c r="AQ180" s="502"/>
      <c r="AR180" s="502"/>
      <c r="AS180" s="502"/>
    </row>
    <row r="181" spans="34:45" ht="12.75" x14ac:dyDescent="0.2">
      <c r="AH181" s="502"/>
      <c r="AI181" s="502"/>
      <c r="AJ181" s="502"/>
      <c r="AK181" s="502"/>
      <c r="AP181" s="502"/>
      <c r="AQ181" s="502"/>
      <c r="AR181" s="502"/>
      <c r="AS181" s="502"/>
    </row>
    <row r="182" spans="34:45" ht="12.75" x14ac:dyDescent="0.2">
      <c r="AH182" s="502"/>
      <c r="AI182" s="502"/>
      <c r="AJ182" s="502"/>
      <c r="AK182" s="502"/>
      <c r="AP182" s="502"/>
      <c r="AQ182" s="502"/>
      <c r="AR182" s="502"/>
      <c r="AS182" s="502"/>
    </row>
    <row r="183" spans="34:45" ht="12.75" x14ac:dyDescent="0.2">
      <c r="AH183" s="502"/>
      <c r="AI183" s="502"/>
      <c r="AJ183" s="502"/>
      <c r="AK183" s="502"/>
      <c r="AP183" s="502"/>
      <c r="AQ183" s="502"/>
      <c r="AR183" s="502"/>
      <c r="AS183" s="502"/>
    </row>
    <row r="184" spans="34:45" ht="12.75" x14ac:dyDescent="0.2">
      <c r="AH184" s="502"/>
      <c r="AI184" s="502"/>
      <c r="AJ184" s="502"/>
      <c r="AK184" s="502"/>
      <c r="AP184" s="502"/>
      <c r="AQ184" s="502"/>
      <c r="AR184" s="502"/>
      <c r="AS184" s="502"/>
    </row>
    <row r="185" spans="34:45" ht="12.75" x14ac:dyDescent="0.2">
      <c r="AH185" s="502"/>
      <c r="AI185" s="502"/>
      <c r="AJ185" s="502"/>
      <c r="AK185" s="502"/>
      <c r="AP185" s="502"/>
      <c r="AQ185" s="502"/>
      <c r="AR185" s="502"/>
      <c r="AS185" s="502"/>
    </row>
    <row r="186" spans="34:45" ht="12.75" x14ac:dyDescent="0.2">
      <c r="AH186" s="502"/>
      <c r="AI186" s="502"/>
      <c r="AJ186" s="502"/>
      <c r="AK186" s="502"/>
      <c r="AP186" s="502"/>
      <c r="AQ186" s="502"/>
      <c r="AR186" s="502"/>
      <c r="AS186" s="502"/>
    </row>
    <row r="187" spans="34:45" ht="12.75" x14ac:dyDescent="0.2">
      <c r="AH187" s="502"/>
      <c r="AI187" s="502"/>
      <c r="AJ187" s="502"/>
      <c r="AK187" s="502"/>
      <c r="AP187" s="502"/>
      <c r="AQ187" s="502"/>
      <c r="AR187" s="502"/>
      <c r="AS187" s="502"/>
    </row>
    <row r="188" spans="34:45" ht="12.75" x14ac:dyDescent="0.2">
      <c r="AH188" s="502"/>
      <c r="AI188" s="502"/>
      <c r="AJ188" s="502"/>
      <c r="AK188" s="502"/>
      <c r="AP188" s="502"/>
      <c r="AQ188" s="502"/>
      <c r="AR188" s="502"/>
      <c r="AS188" s="502"/>
    </row>
    <row r="189" spans="34:45" ht="12.75" x14ac:dyDescent="0.2">
      <c r="AH189" s="502"/>
      <c r="AI189" s="502"/>
      <c r="AJ189" s="502"/>
      <c r="AK189" s="502"/>
      <c r="AP189" s="502"/>
      <c r="AQ189" s="502"/>
      <c r="AR189" s="502"/>
      <c r="AS189" s="502"/>
    </row>
    <row r="190" spans="34:45" ht="12.75" x14ac:dyDescent="0.2">
      <c r="AH190" s="502"/>
      <c r="AI190" s="502"/>
      <c r="AJ190" s="502"/>
      <c r="AK190" s="502"/>
      <c r="AP190" s="502"/>
      <c r="AQ190" s="502"/>
      <c r="AR190" s="502"/>
      <c r="AS190" s="502"/>
    </row>
    <row r="191" spans="34:45" ht="12.75" x14ac:dyDescent="0.2">
      <c r="AH191" s="502"/>
      <c r="AI191" s="502"/>
      <c r="AJ191" s="502"/>
      <c r="AK191" s="502"/>
      <c r="AP191" s="502"/>
      <c r="AQ191" s="502"/>
      <c r="AR191" s="502"/>
      <c r="AS191" s="502"/>
    </row>
    <row r="192" spans="34:45" ht="12.75" x14ac:dyDescent="0.2">
      <c r="AH192" s="502"/>
      <c r="AI192" s="502"/>
      <c r="AJ192" s="502"/>
      <c r="AK192" s="502"/>
      <c r="AP192" s="502"/>
      <c r="AQ192" s="502"/>
      <c r="AR192" s="502"/>
      <c r="AS192" s="502"/>
    </row>
    <row r="193" spans="34:45" ht="12.75" x14ac:dyDescent="0.2">
      <c r="AH193" s="502"/>
      <c r="AI193" s="502"/>
      <c r="AJ193" s="502"/>
      <c r="AK193" s="502"/>
      <c r="AP193" s="502"/>
      <c r="AQ193" s="502"/>
      <c r="AR193" s="502"/>
      <c r="AS193" s="502"/>
    </row>
    <row r="194" spans="34:45" ht="12.75" x14ac:dyDescent="0.2">
      <c r="AH194" s="502"/>
      <c r="AI194" s="502"/>
      <c r="AJ194" s="502"/>
      <c r="AK194" s="502"/>
      <c r="AP194" s="502"/>
      <c r="AQ194" s="502"/>
      <c r="AR194" s="502"/>
      <c r="AS194" s="502"/>
    </row>
    <row r="195" spans="34:45" ht="12.75" x14ac:dyDescent="0.2">
      <c r="AH195" s="502"/>
      <c r="AI195" s="502"/>
      <c r="AJ195" s="502"/>
      <c r="AK195" s="502"/>
      <c r="AP195" s="502"/>
      <c r="AQ195" s="502"/>
      <c r="AR195" s="502"/>
      <c r="AS195" s="502"/>
    </row>
    <row r="196" spans="34:45" ht="12.75" x14ac:dyDescent="0.2">
      <c r="AH196" s="502"/>
      <c r="AI196" s="502"/>
      <c r="AJ196" s="502"/>
      <c r="AK196" s="502"/>
      <c r="AP196" s="502"/>
      <c r="AQ196" s="502"/>
      <c r="AR196" s="502"/>
      <c r="AS196" s="502"/>
    </row>
    <row r="197" spans="34:45" ht="12.75" x14ac:dyDescent="0.2">
      <c r="AH197" s="502"/>
      <c r="AI197" s="502"/>
      <c r="AJ197" s="502"/>
      <c r="AK197" s="502"/>
      <c r="AP197" s="502"/>
      <c r="AQ197" s="502"/>
      <c r="AR197" s="502"/>
      <c r="AS197" s="502"/>
    </row>
    <row r="198" spans="34:45" ht="12.75" x14ac:dyDescent="0.2">
      <c r="AH198" s="502"/>
      <c r="AI198" s="502"/>
      <c r="AJ198" s="502"/>
      <c r="AK198" s="502"/>
      <c r="AP198" s="502"/>
      <c r="AQ198" s="502"/>
      <c r="AR198" s="502"/>
      <c r="AS198" s="502"/>
    </row>
    <row r="199" spans="34:45" ht="12.75" x14ac:dyDescent="0.2">
      <c r="AH199" s="502"/>
      <c r="AI199" s="502"/>
      <c r="AJ199" s="502"/>
      <c r="AK199" s="502"/>
      <c r="AP199" s="502"/>
      <c r="AQ199" s="502"/>
      <c r="AR199" s="502"/>
      <c r="AS199" s="502"/>
    </row>
    <row r="200" spans="34:45" ht="12.75" x14ac:dyDescent="0.2">
      <c r="AH200" s="502"/>
      <c r="AI200" s="502"/>
      <c r="AJ200" s="502"/>
      <c r="AK200" s="502"/>
      <c r="AP200" s="502"/>
      <c r="AQ200" s="502"/>
      <c r="AR200" s="502"/>
      <c r="AS200" s="502"/>
    </row>
    <row r="201" spans="34:45" ht="12.75" x14ac:dyDescent="0.2">
      <c r="AH201" s="502"/>
      <c r="AI201" s="502"/>
      <c r="AJ201" s="502"/>
      <c r="AK201" s="502"/>
      <c r="AP201" s="502"/>
      <c r="AQ201" s="502"/>
      <c r="AR201" s="502"/>
      <c r="AS201" s="502"/>
    </row>
    <row r="202" spans="34:45" ht="12.75" x14ac:dyDescent="0.2">
      <c r="AH202" s="502"/>
      <c r="AI202" s="502"/>
      <c r="AJ202" s="502"/>
      <c r="AK202" s="502"/>
      <c r="AP202" s="502"/>
      <c r="AQ202" s="502"/>
      <c r="AR202" s="502"/>
      <c r="AS202" s="502"/>
    </row>
    <row r="203" spans="34:45" ht="12.75" x14ac:dyDescent="0.2">
      <c r="AH203" s="502"/>
      <c r="AI203" s="502"/>
      <c r="AJ203" s="502"/>
      <c r="AK203" s="502"/>
      <c r="AP203" s="502"/>
      <c r="AQ203" s="502"/>
      <c r="AR203" s="502"/>
      <c r="AS203" s="502"/>
    </row>
    <row r="204" spans="34:45" ht="12.75" x14ac:dyDescent="0.2">
      <c r="AH204" s="502"/>
      <c r="AI204" s="502"/>
      <c r="AJ204" s="502"/>
      <c r="AK204" s="502"/>
      <c r="AP204" s="502"/>
      <c r="AQ204" s="502"/>
      <c r="AR204" s="502"/>
      <c r="AS204" s="502"/>
    </row>
    <row r="205" spans="34:45" ht="12.75" x14ac:dyDescent="0.2">
      <c r="AH205" s="502"/>
      <c r="AI205" s="502"/>
      <c r="AJ205" s="502"/>
      <c r="AK205" s="502"/>
      <c r="AP205" s="502"/>
      <c r="AQ205" s="502"/>
      <c r="AR205" s="502"/>
      <c r="AS205" s="502"/>
    </row>
    <row r="206" spans="34:45" ht="12.75" x14ac:dyDescent="0.2">
      <c r="AH206" s="502"/>
      <c r="AI206" s="502"/>
      <c r="AJ206" s="502"/>
      <c r="AK206" s="502"/>
      <c r="AP206" s="502"/>
      <c r="AQ206" s="502"/>
      <c r="AR206" s="502"/>
      <c r="AS206" s="502"/>
    </row>
    <row r="207" spans="34:45" ht="12.75" x14ac:dyDescent="0.2">
      <c r="AH207" s="502"/>
      <c r="AI207" s="502"/>
      <c r="AJ207" s="502"/>
      <c r="AK207" s="502"/>
      <c r="AP207" s="502"/>
      <c r="AQ207" s="502"/>
      <c r="AR207" s="502"/>
      <c r="AS207" s="502"/>
    </row>
    <row r="208" spans="34:45" ht="12.75" x14ac:dyDescent="0.2">
      <c r="AH208" s="502"/>
      <c r="AI208" s="502"/>
      <c r="AJ208" s="502"/>
      <c r="AK208" s="502"/>
      <c r="AP208" s="502"/>
      <c r="AQ208" s="502"/>
      <c r="AR208" s="502"/>
      <c r="AS208" s="502"/>
    </row>
    <row r="209" spans="34:45" ht="12.75" x14ac:dyDescent="0.2">
      <c r="AH209" s="502"/>
      <c r="AI209" s="502"/>
      <c r="AJ209" s="502"/>
      <c r="AK209" s="502"/>
      <c r="AP209" s="502"/>
      <c r="AQ209" s="502"/>
      <c r="AR209" s="502"/>
      <c r="AS209" s="502"/>
    </row>
    <row r="210" spans="34:45" ht="12.75" x14ac:dyDescent="0.2">
      <c r="AH210" s="502"/>
      <c r="AI210" s="502"/>
      <c r="AJ210" s="502"/>
      <c r="AK210" s="502"/>
      <c r="AP210" s="502"/>
      <c r="AQ210" s="502"/>
      <c r="AR210" s="502"/>
      <c r="AS210" s="502"/>
    </row>
    <row r="211" spans="34:45" ht="12.75" x14ac:dyDescent="0.2">
      <c r="AH211" s="502"/>
      <c r="AI211" s="502"/>
      <c r="AJ211" s="502"/>
      <c r="AK211" s="502"/>
      <c r="AP211" s="502"/>
      <c r="AQ211" s="502"/>
      <c r="AR211" s="502"/>
      <c r="AS211" s="502"/>
    </row>
    <row r="212" spans="34:45" ht="12.75" x14ac:dyDescent="0.2">
      <c r="AH212" s="502"/>
      <c r="AI212" s="502"/>
      <c r="AJ212" s="502"/>
      <c r="AK212" s="502"/>
      <c r="AP212" s="502"/>
      <c r="AQ212" s="502"/>
      <c r="AR212" s="502"/>
      <c r="AS212" s="502"/>
    </row>
    <row r="213" spans="34:45" ht="12.75" x14ac:dyDescent="0.2">
      <c r="AH213" s="502"/>
      <c r="AI213" s="502"/>
      <c r="AJ213" s="502"/>
      <c r="AK213" s="502"/>
      <c r="AP213" s="502"/>
      <c r="AQ213" s="502"/>
      <c r="AR213" s="502"/>
      <c r="AS213" s="502"/>
    </row>
    <row r="214" spans="34:45" ht="12.75" x14ac:dyDescent="0.2">
      <c r="AH214" s="502"/>
      <c r="AI214" s="502"/>
      <c r="AJ214" s="502"/>
      <c r="AK214" s="502"/>
      <c r="AP214" s="502"/>
      <c r="AQ214" s="502"/>
      <c r="AR214" s="502"/>
      <c r="AS214" s="502"/>
    </row>
    <row r="215" spans="34:45" ht="12.75" x14ac:dyDescent="0.2">
      <c r="AH215" s="502"/>
      <c r="AI215" s="502"/>
      <c r="AJ215" s="502"/>
      <c r="AK215" s="502"/>
      <c r="AP215" s="502"/>
      <c r="AQ215" s="502"/>
      <c r="AR215" s="502"/>
      <c r="AS215" s="502"/>
    </row>
    <row r="216" spans="34:45" ht="12.75" x14ac:dyDescent="0.2">
      <c r="AH216" s="502"/>
      <c r="AI216" s="502"/>
      <c r="AJ216" s="502"/>
      <c r="AK216" s="502"/>
      <c r="AP216" s="502"/>
      <c r="AQ216" s="502"/>
      <c r="AR216" s="502"/>
      <c r="AS216" s="502"/>
    </row>
    <row r="217" spans="34:45" ht="12.75" x14ac:dyDescent="0.2">
      <c r="AH217" s="502"/>
      <c r="AI217" s="502"/>
      <c r="AJ217" s="502"/>
      <c r="AK217" s="502"/>
      <c r="AP217" s="502"/>
      <c r="AQ217" s="502"/>
      <c r="AR217" s="502"/>
      <c r="AS217" s="502"/>
    </row>
    <row r="218" spans="34:45" ht="12.75" x14ac:dyDescent="0.2">
      <c r="AH218" s="502"/>
      <c r="AI218" s="502"/>
      <c r="AJ218" s="502"/>
      <c r="AK218" s="502"/>
      <c r="AP218" s="502"/>
      <c r="AQ218" s="502"/>
      <c r="AR218" s="502"/>
      <c r="AS218" s="502"/>
    </row>
    <row r="219" spans="34:45" ht="12.75" x14ac:dyDescent="0.2">
      <c r="AH219" s="502"/>
      <c r="AI219" s="502"/>
      <c r="AJ219" s="502"/>
      <c r="AK219" s="502"/>
      <c r="AP219" s="502"/>
      <c r="AQ219" s="502"/>
      <c r="AR219" s="502"/>
      <c r="AS219" s="502"/>
    </row>
    <row r="220" spans="34:45" ht="12.75" x14ac:dyDescent="0.2">
      <c r="AH220" s="502"/>
      <c r="AI220" s="502"/>
      <c r="AJ220" s="502"/>
      <c r="AK220" s="502"/>
      <c r="AP220" s="502"/>
      <c r="AQ220" s="502"/>
      <c r="AR220" s="502"/>
      <c r="AS220" s="502"/>
    </row>
    <row r="221" spans="34:45" ht="12.75" x14ac:dyDescent="0.2">
      <c r="AH221" s="502"/>
      <c r="AI221" s="502"/>
      <c r="AJ221" s="502"/>
      <c r="AK221" s="502"/>
      <c r="AP221" s="502"/>
      <c r="AQ221" s="502"/>
      <c r="AR221" s="502"/>
      <c r="AS221" s="502"/>
    </row>
    <row r="222" spans="34:45" ht="12.75" x14ac:dyDescent="0.2">
      <c r="AH222" s="502"/>
      <c r="AI222" s="502"/>
      <c r="AJ222" s="502"/>
      <c r="AK222" s="502"/>
      <c r="AP222" s="502"/>
      <c r="AQ222" s="502"/>
      <c r="AR222" s="502"/>
      <c r="AS222" s="502"/>
    </row>
    <row r="223" spans="34:45" ht="12.75" x14ac:dyDescent="0.2">
      <c r="AH223" s="502"/>
      <c r="AI223" s="502"/>
      <c r="AJ223" s="502"/>
      <c r="AK223" s="502"/>
      <c r="AP223" s="502"/>
      <c r="AQ223" s="502"/>
      <c r="AR223" s="502"/>
      <c r="AS223" s="502"/>
    </row>
    <row r="224" spans="34:45" ht="12.75" x14ac:dyDescent="0.2">
      <c r="AH224" s="502"/>
      <c r="AI224" s="502"/>
      <c r="AJ224" s="502"/>
      <c r="AK224" s="502"/>
      <c r="AP224" s="502"/>
      <c r="AQ224" s="502"/>
      <c r="AR224" s="502"/>
      <c r="AS224" s="502"/>
    </row>
    <row r="225" spans="34:45" ht="12.75" x14ac:dyDescent="0.2">
      <c r="AH225" s="502"/>
      <c r="AI225" s="502"/>
      <c r="AJ225" s="502"/>
      <c r="AK225" s="502"/>
      <c r="AP225" s="502"/>
      <c r="AQ225" s="502"/>
      <c r="AR225" s="502"/>
      <c r="AS225" s="502"/>
    </row>
    <row r="226" spans="34:45" ht="12.75" x14ac:dyDescent="0.2">
      <c r="AH226" s="502"/>
      <c r="AI226" s="502"/>
      <c r="AJ226" s="502"/>
      <c r="AK226" s="502"/>
      <c r="AP226" s="502"/>
      <c r="AQ226" s="502"/>
      <c r="AR226" s="502"/>
      <c r="AS226" s="502"/>
    </row>
    <row r="227" spans="34:45" ht="12.75" x14ac:dyDescent="0.2">
      <c r="AH227" s="502"/>
      <c r="AI227" s="502"/>
      <c r="AJ227" s="502"/>
      <c r="AK227" s="502"/>
      <c r="AP227" s="502"/>
      <c r="AQ227" s="502"/>
      <c r="AR227" s="502"/>
      <c r="AS227" s="502"/>
    </row>
    <row r="228" spans="34:45" ht="12.75" x14ac:dyDescent="0.2">
      <c r="AH228" s="502"/>
      <c r="AI228" s="502"/>
      <c r="AJ228" s="502"/>
      <c r="AK228" s="502"/>
      <c r="AP228" s="502"/>
      <c r="AQ228" s="502"/>
      <c r="AR228" s="502"/>
      <c r="AS228" s="502"/>
    </row>
    <row r="229" spans="34:45" ht="12.75" x14ac:dyDescent="0.2">
      <c r="AH229" s="502"/>
      <c r="AI229" s="502"/>
      <c r="AJ229" s="502"/>
      <c r="AK229" s="502"/>
      <c r="AP229" s="502"/>
      <c r="AQ229" s="502"/>
      <c r="AR229" s="502"/>
      <c r="AS229" s="502"/>
    </row>
    <row r="230" spans="34:45" ht="12.75" x14ac:dyDescent="0.2">
      <c r="AH230" s="502"/>
      <c r="AI230" s="502"/>
      <c r="AJ230" s="502"/>
      <c r="AK230" s="502"/>
      <c r="AP230" s="502"/>
      <c r="AQ230" s="502"/>
      <c r="AR230" s="502"/>
      <c r="AS230" s="502"/>
    </row>
    <row r="231" spans="34:45" ht="12.75" x14ac:dyDescent="0.2">
      <c r="AH231" s="502"/>
      <c r="AI231" s="502"/>
      <c r="AJ231" s="502"/>
      <c r="AK231" s="502"/>
      <c r="AP231" s="502"/>
      <c r="AQ231" s="502"/>
      <c r="AR231" s="502"/>
      <c r="AS231" s="502"/>
    </row>
    <row r="232" spans="34:45" ht="12.75" x14ac:dyDescent="0.2">
      <c r="AH232" s="502"/>
      <c r="AI232" s="502"/>
      <c r="AJ232" s="502"/>
      <c r="AK232" s="502"/>
      <c r="AP232" s="502"/>
      <c r="AQ232" s="502"/>
      <c r="AR232" s="502"/>
      <c r="AS232" s="502"/>
    </row>
    <row r="233" spans="34:45" ht="12.75" x14ac:dyDescent="0.2">
      <c r="AH233" s="502"/>
      <c r="AI233" s="502"/>
      <c r="AJ233" s="502"/>
      <c r="AK233" s="502"/>
      <c r="AP233" s="502"/>
      <c r="AQ233" s="502"/>
      <c r="AR233" s="502"/>
      <c r="AS233" s="502"/>
    </row>
    <row r="234" spans="34:45" ht="12.75" x14ac:dyDescent="0.2">
      <c r="AH234" s="502"/>
      <c r="AI234" s="502"/>
      <c r="AJ234" s="502"/>
      <c r="AK234" s="502"/>
      <c r="AP234" s="502"/>
      <c r="AQ234" s="502"/>
      <c r="AR234" s="502"/>
      <c r="AS234" s="502"/>
    </row>
    <row r="235" spans="34:45" ht="12.75" x14ac:dyDescent="0.2">
      <c r="AH235" s="502"/>
      <c r="AI235" s="502"/>
      <c r="AJ235" s="502"/>
      <c r="AK235" s="502"/>
      <c r="AP235" s="502"/>
      <c r="AQ235" s="502"/>
      <c r="AR235" s="502"/>
      <c r="AS235" s="502"/>
    </row>
    <row r="236" spans="34:45" ht="12.75" x14ac:dyDescent="0.2">
      <c r="AH236" s="502"/>
      <c r="AI236" s="502"/>
      <c r="AJ236" s="502"/>
      <c r="AK236" s="502"/>
      <c r="AP236" s="502"/>
      <c r="AQ236" s="502"/>
      <c r="AR236" s="502"/>
      <c r="AS236" s="502"/>
    </row>
    <row r="237" spans="34:45" ht="12.75" x14ac:dyDescent="0.2">
      <c r="AH237" s="502"/>
      <c r="AI237" s="502"/>
      <c r="AJ237" s="502"/>
      <c r="AK237" s="502"/>
      <c r="AP237" s="502"/>
      <c r="AQ237" s="502"/>
      <c r="AR237" s="502"/>
      <c r="AS237" s="502"/>
    </row>
    <row r="238" spans="34:45" ht="12.75" x14ac:dyDescent="0.2">
      <c r="AH238" s="502"/>
      <c r="AI238" s="502"/>
      <c r="AJ238" s="502"/>
      <c r="AK238" s="502"/>
      <c r="AP238" s="502"/>
      <c r="AQ238" s="502"/>
      <c r="AR238" s="502"/>
      <c r="AS238" s="502"/>
    </row>
    <row r="239" spans="34:45" ht="12.75" x14ac:dyDescent="0.2">
      <c r="AH239" s="502"/>
      <c r="AI239" s="502"/>
      <c r="AJ239" s="502"/>
      <c r="AK239" s="502"/>
      <c r="AP239" s="502"/>
      <c r="AQ239" s="502"/>
      <c r="AR239" s="502"/>
      <c r="AS239" s="502"/>
    </row>
    <row r="240" spans="34:45" ht="12.75" x14ac:dyDescent="0.2">
      <c r="AH240" s="502"/>
      <c r="AI240" s="502"/>
      <c r="AJ240" s="502"/>
      <c r="AK240" s="502"/>
      <c r="AP240" s="502"/>
      <c r="AQ240" s="502"/>
      <c r="AR240" s="502"/>
      <c r="AS240" s="502"/>
    </row>
    <row r="241" spans="34:45" ht="12.75" x14ac:dyDescent="0.2">
      <c r="AH241" s="502"/>
      <c r="AI241" s="502"/>
      <c r="AJ241" s="502"/>
      <c r="AK241" s="502"/>
      <c r="AP241" s="502"/>
      <c r="AQ241" s="502"/>
      <c r="AR241" s="502"/>
      <c r="AS241" s="502"/>
    </row>
    <row r="242" spans="34:45" ht="12.75" x14ac:dyDescent="0.2">
      <c r="AH242" s="502"/>
      <c r="AI242" s="502"/>
      <c r="AJ242" s="502"/>
      <c r="AK242" s="502"/>
      <c r="AP242" s="502"/>
      <c r="AQ242" s="502"/>
      <c r="AR242" s="502"/>
      <c r="AS242" s="502"/>
    </row>
    <row r="243" spans="34:45" ht="12.75" x14ac:dyDescent="0.2">
      <c r="AH243" s="502"/>
      <c r="AI243" s="502"/>
      <c r="AJ243" s="502"/>
      <c r="AK243" s="502"/>
      <c r="AP243" s="502"/>
      <c r="AQ243" s="502"/>
      <c r="AR243" s="502"/>
      <c r="AS243" s="502"/>
    </row>
    <row r="244" spans="34:45" ht="12.75" x14ac:dyDescent="0.2">
      <c r="AH244" s="502"/>
      <c r="AI244" s="502"/>
      <c r="AJ244" s="502"/>
      <c r="AK244" s="502"/>
      <c r="AP244" s="502"/>
      <c r="AQ244" s="502"/>
      <c r="AR244" s="502"/>
      <c r="AS244" s="502"/>
    </row>
    <row r="245" spans="34:45" ht="12.75" x14ac:dyDescent="0.2">
      <c r="AH245" s="502"/>
      <c r="AI245" s="502"/>
      <c r="AJ245" s="502"/>
      <c r="AK245" s="502"/>
      <c r="AP245" s="502"/>
      <c r="AQ245" s="502"/>
      <c r="AR245" s="502"/>
      <c r="AS245" s="502"/>
    </row>
    <row r="246" spans="34:45" ht="12.75" x14ac:dyDescent="0.2">
      <c r="AH246" s="502"/>
      <c r="AI246" s="502"/>
      <c r="AJ246" s="502"/>
      <c r="AK246" s="502"/>
      <c r="AP246" s="502"/>
      <c r="AQ246" s="502"/>
      <c r="AR246" s="502"/>
      <c r="AS246" s="502"/>
    </row>
    <row r="247" spans="34:45" ht="12.75" x14ac:dyDescent="0.2">
      <c r="AH247" s="502"/>
      <c r="AI247" s="502"/>
      <c r="AJ247" s="502"/>
      <c r="AK247" s="502"/>
      <c r="AP247" s="502"/>
      <c r="AQ247" s="502"/>
      <c r="AR247" s="502"/>
      <c r="AS247" s="502"/>
    </row>
    <row r="248" spans="34:45" ht="12.75" x14ac:dyDescent="0.2">
      <c r="AH248" s="502"/>
      <c r="AI248" s="502"/>
      <c r="AJ248" s="502"/>
      <c r="AK248" s="502"/>
      <c r="AP248" s="502"/>
      <c r="AQ248" s="502"/>
      <c r="AR248" s="502"/>
      <c r="AS248" s="502"/>
    </row>
    <row r="249" spans="34:45" ht="12.75" x14ac:dyDescent="0.2">
      <c r="AH249" s="502"/>
      <c r="AI249" s="502"/>
      <c r="AJ249" s="502"/>
      <c r="AK249" s="502"/>
      <c r="AP249" s="502"/>
      <c r="AQ249" s="502"/>
      <c r="AR249" s="502"/>
      <c r="AS249" s="502"/>
    </row>
    <row r="250" spans="34:45" ht="12.75" x14ac:dyDescent="0.2">
      <c r="AH250" s="502"/>
      <c r="AI250" s="502"/>
      <c r="AJ250" s="502"/>
      <c r="AK250" s="502"/>
      <c r="AP250" s="502"/>
      <c r="AQ250" s="502"/>
      <c r="AR250" s="502"/>
      <c r="AS250" s="502"/>
    </row>
    <row r="251" spans="34:45" ht="12.75" x14ac:dyDescent="0.2">
      <c r="AH251" s="502"/>
      <c r="AI251" s="502"/>
      <c r="AJ251" s="502"/>
      <c r="AK251" s="502"/>
      <c r="AP251" s="502"/>
      <c r="AQ251" s="502"/>
      <c r="AR251" s="502"/>
      <c r="AS251" s="502"/>
    </row>
    <row r="252" spans="34:45" ht="12.75" x14ac:dyDescent="0.2">
      <c r="AH252" s="502"/>
      <c r="AI252" s="502"/>
      <c r="AJ252" s="502"/>
      <c r="AK252" s="502"/>
      <c r="AP252" s="502"/>
      <c r="AQ252" s="502"/>
      <c r="AR252" s="502"/>
      <c r="AS252" s="502"/>
    </row>
    <row r="253" spans="34:45" ht="12.75" x14ac:dyDescent="0.2">
      <c r="AH253" s="502"/>
      <c r="AI253" s="502"/>
      <c r="AJ253" s="502"/>
      <c r="AK253" s="502"/>
      <c r="AP253" s="502"/>
      <c r="AQ253" s="502"/>
      <c r="AR253" s="502"/>
      <c r="AS253" s="502"/>
    </row>
    <row r="254" spans="34:45" ht="12.75" x14ac:dyDescent="0.2">
      <c r="AH254" s="502"/>
      <c r="AI254" s="502"/>
      <c r="AJ254" s="502"/>
      <c r="AK254" s="502"/>
      <c r="AP254" s="502"/>
      <c r="AQ254" s="502"/>
      <c r="AR254" s="502"/>
      <c r="AS254" s="502"/>
    </row>
    <row r="255" spans="34:45" ht="12.75" x14ac:dyDescent="0.2">
      <c r="AH255" s="502"/>
      <c r="AI255" s="502"/>
      <c r="AJ255" s="502"/>
      <c r="AK255" s="502"/>
      <c r="AP255" s="502"/>
      <c r="AQ255" s="502"/>
      <c r="AR255" s="502"/>
      <c r="AS255" s="502"/>
    </row>
    <row r="256" spans="34:45" ht="12.75" x14ac:dyDescent="0.2">
      <c r="AH256" s="502"/>
      <c r="AI256" s="502"/>
      <c r="AJ256" s="502"/>
      <c r="AK256" s="502"/>
      <c r="AP256" s="502"/>
      <c r="AQ256" s="502"/>
      <c r="AR256" s="502"/>
      <c r="AS256" s="502"/>
    </row>
    <row r="257" spans="34:45" ht="12.75" x14ac:dyDescent="0.2">
      <c r="AH257" s="502"/>
      <c r="AI257" s="502"/>
      <c r="AJ257" s="502"/>
      <c r="AK257" s="502"/>
      <c r="AP257" s="502"/>
      <c r="AQ257" s="502"/>
      <c r="AR257" s="502"/>
      <c r="AS257" s="502"/>
    </row>
    <row r="258" spans="34:45" ht="12.75" x14ac:dyDescent="0.2">
      <c r="AH258" s="502"/>
      <c r="AI258" s="502"/>
      <c r="AJ258" s="502"/>
      <c r="AK258" s="502"/>
      <c r="AP258" s="502"/>
      <c r="AQ258" s="502"/>
      <c r="AR258" s="502"/>
      <c r="AS258" s="502"/>
    </row>
    <row r="259" spans="34:45" ht="12.75" x14ac:dyDescent="0.2">
      <c r="AH259" s="502"/>
      <c r="AI259" s="502"/>
      <c r="AJ259" s="502"/>
      <c r="AK259" s="502"/>
      <c r="AP259" s="502"/>
      <c r="AQ259" s="502"/>
      <c r="AR259" s="502"/>
      <c r="AS259" s="502"/>
    </row>
    <row r="260" spans="34:45" ht="12.75" x14ac:dyDescent="0.2">
      <c r="AH260" s="502"/>
      <c r="AI260" s="502"/>
      <c r="AJ260" s="502"/>
      <c r="AK260" s="502"/>
      <c r="AP260" s="502"/>
      <c r="AQ260" s="502"/>
      <c r="AR260" s="502"/>
      <c r="AS260" s="502"/>
    </row>
    <row r="261" spans="34:45" ht="12.75" x14ac:dyDescent="0.2">
      <c r="AH261" s="502"/>
      <c r="AI261" s="502"/>
      <c r="AJ261" s="502"/>
      <c r="AK261" s="502"/>
      <c r="AP261" s="502"/>
      <c r="AQ261" s="502"/>
      <c r="AR261" s="502"/>
      <c r="AS261" s="502"/>
    </row>
    <row r="262" spans="34:45" ht="12.75" x14ac:dyDescent="0.2">
      <c r="AH262" s="502"/>
      <c r="AI262" s="502"/>
      <c r="AJ262" s="502"/>
      <c r="AK262" s="502"/>
      <c r="AP262" s="502"/>
      <c r="AQ262" s="502"/>
      <c r="AR262" s="502"/>
      <c r="AS262" s="502"/>
    </row>
    <row r="263" spans="34:45" ht="12.75" x14ac:dyDescent="0.2">
      <c r="AH263" s="502"/>
      <c r="AI263" s="502"/>
      <c r="AJ263" s="502"/>
      <c r="AK263" s="502"/>
      <c r="AP263" s="502"/>
      <c r="AQ263" s="502"/>
      <c r="AR263" s="502"/>
      <c r="AS263" s="502"/>
    </row>
    <row r="264" spans="34:45" ht="12.75" x14ac:dyDescent="0.2">
      <c r="AH264" s="502"/>
      <c r="AI264" s="502"/>
      <c r="AJ264" s="502"/>
      <c r="AK264" s="502"/>
      <c r="AP264" s="502"/>
      <c r="AQ264" s="502"/>
      <c r="AR264" s="502"/>
      <c r="AS264" s="502"/>
    </row>
    <row r="265" spans="34:45" ht="12.75" x14ac:dyDescent="0.2">
      <c r="AH265" s="502"/>
      <c r="AI265" s="502"/>
      <c r="AJ265" s="502"/>
      <c r="AK265" s="502"/>
      <c r="AP265" s="502"/>
      <c r="AQ265" s="502"/>
      <c r="AR265" s="502"/>
      <c r="AS265" s="502"/>
    </row>
    <row r="266" spans="34:45" ht="12.75" x14ac:dyDescent="0.2">
      <c r="AH266" s="502"/>
      <c r="AI266" s="502"/>
      <c r="AJ266" s="502"/>
      <c r="AK266" s="502"/>
      <c r="AP266" s="502"/>
      <c r="AQ266" s="502"/>
      <c r="AR266" s="502"/>
      <c r="AS266" s="502"/>
    </row>
    <row r="267" spans="34:45" ht="12.75" x14ac:dyDescent="0.2">
      <c r="AH267" s="502"/>
      <c r="AI267" s="502"/>
      <c r="AJ267" s="502"/>
      <c r="AK267" s="502"/>
      <c r="AP267" s="502"/>
      <c r="AQ267" s="502"/>
      <c r="AR267" s="502"/>
      <c r="AS267" s="502"/>
    </row>
    <row r="268" spans="34:45" ht="12.75" x14ac:dyDescent="0.2">
      <c r="AH268" s="502"/>
      <c r="AI268" s="502"/>
      <c r="AJ268" s="502"/>
      <c r="AK268" s="502"/>
      <c r="AP268" s="502"/>
      <c r="AQ268" s="502"/>
      <c r="AR268" s="502"/>
      <c r="AS268" s="502"/>
    </row>
    <row r="269" spans="34:45" ht="12.75" x14ac:dyDescent="0.2">
      <c r="AH269" s="502"/>
      <c r="AI269" s="502"/>
      <c r="AJ269" s="502"/>
      <c r="AK269" s="502"/>
      <c r="AP269" s="502"/>
      <c r="AQ269" s="502"/>
      <c r="AR269" s="502"/>
      <c r="AS269" s="502"/>
    </row>
    <row r="270" spans="34:45" ht="12.75" x14ac:dyDescent="0.2">
      <c r="AH270" s="502"/>
      <c r="AI270" s="502"/>
      <c r="AJ270" s="502"/>
      <c r="AK270" s="502"/>
      <c r="AP270" s="502"/>
      <c r="AQ270" s="502"/>
      <c r="AR270" s="502"/>
      <c r="AS270" s="502"/>
    </row>
    <row r="271" spans="34:45" ht="12.75" x14ac:dyDescent="0.2">
      <c r="AH271" s="502"/>
      <c r="AI271" s="502"/>
      <c r="AJ271" s="502"/>
      <c r="AK271" s="502"/>
      <c r="AP271" s="502"/>
      <c r="AQ271" s="502"/>
      <c r="AR271" s="502"/>
      <c r="AS271" s="502"/>
    </row>
    <row r="272" spans="34:45" ht="12.75" x14ac:dyDescent="0.2">
      <c r="AH272" s="502"/>
      <c r="AI272" s="502"/>
      <c r="AJ272" s="502"/>
      <c r="AK272" s="502"/>
      <c r="AP272" s="502"/>
      <c r="AQ272" s="502"/>
      <c r="AR272" s="502"/>
      <c r="AS272" s="502"/>
    </row>
    <row r="273" spans="34:45" ht="12.75" x14ac:dyDescent="0.2">
      <c r="AH273" s="502"/>
      <c r="AI273" s="502"/>
      <c r="AJ273" s="502"/>
      <c r="AK273" s="502"/>
      <c r="AP273" s="502"/>
      <c r="AQ273" s="502"/>
      <c r="AR273" s="502"/>
      <c r="AS273" s="502"/>
    </row>
    <row r="274" spans="34:45" ht="12.75" x14ac:dyDescent="0.2">
      <c r="AH274" s="502"/>
      <c r="AI274" s="502"/>
      <c r="AJ274" s="502"/>
      <c r="AK274" s="502"/>
      <c r="AP274" s="502"/>
      <c r="AQ274" s="502"/>
      <c r="AR274" s="502"/>
      <c r="AS274" s="502"/>
    </row>
    <row r="275" spans="34:45" ht="12.75" x14ac:dyDescent="0.2">
      <c r="AH275" s="502"/>
      <c r="AI275" s="502"/>
      <c r="AJ275" s="502"/>
      <c r="AK275" s="502"/>
      <c r="AP275" s="502"/>
      <c r="AQ275" s="502"/>
      <c r="AR275" s="502"/>
      <c r="AS275" s="502"/>
    </row>
    <row r="276" spans="34:45" ht="12.75" x14ac:dyDescent="0.2">
      <c r="AH276" s="502"/>
      <c r="AI276" s="502"/>
      <c r="AJ276" s="502"/>
      <c r="AK276" s="502"/>
      <c r="AP276" s="502"/>
      <c r="AQ276" s="502"/>
      <c r="AR276" s="502"/>
      <c r="AS276" s="502"/>
    </row>
    <row r="277" spans="34:45" ht="12.75" x14ac:dyDescent="0.2">
      <c r="AH277" s="502"/>
      <c r="AI277" s="502"/>
      <c r="AJ277" s="502"/>
      <c r="AK277" s="502"/>
      <c r="AP277" s="502"/>
      <c r="AQ277" s="502"/>
      <c r="AR277" s="502"/>
      <c r="AS277" s="502"/>
    </row>
    <row r="278" spans="34:45" ht="12.75" x14ac:dyDescent="0.2">
      <c r="AH278" s="502"/>
      <c r="AI278" s="502"/>
      <c r="AJ278" s="502"/>
      <c r="AK278" s="502"/>
      <c r="AP278" s="502"/>
      <c r="AQ278" s="502"/>
      <c r="AR278" s="502"/>
      <c r="AS278" s="502"/>
    </row>
    <row r="279" spans="34:45" ht="12.75" x14ac:dyDescent="0.2">
      <c r="AH279" s="502"/>
      <c r="AI279" s="502"/>
      <c r="AJ279" s="502"/>
      <c r="AK279" s="502"/>
      <c r="AP279" s="502"/>
      <c r="AQ279" s="502"/>
      <c r="AR279" s="502"/>
      <c r="AS279" s="502"/>
    </row>
    <row r="280" spans="34:45" ht="12.75" x14ac:dyDescent="0.2">
      <c r="AH280" s="502"/>
      <c r="AI280" s="502"/>
      <c r="AJ280" s="502"/>
      <c r="AK280" s="502"/>
      <c r="AP280" s="502"/>
      <c r="AQ280" s="502"/>
      <c r="AR280" s="502"/>
      <c r="AS280" s="502"/>
    </row>
    <row r="281" spans="34:45" ht="12.75" x14ac:dyDescent="0.2">
      <c r="AH281" s="502"/>
      <c r="AI281" s="502"/>
      <c r="AJ281" s="502"/>
      <c r="AK281" s="502"/>
      <c r="AP281" s="502"/>
      <c r="AQ281" s="502"/>
      <c r="AR281" s="502"/>
      <c r="AS281" s="502"/>
    </row>
    <row r="282" spans="34:45" ht="12.75" x14ac:dyDescent="0.2">
      <c r="AH282" s="502"/>
      <c r="AI282" s="502"/>
      <c r="AJ282" s="502"/>
      <c r="AK282" s="502"/>
      <c r="AP282" s="502"/>
      <c r="AQ282" s="502"/>
      <c r="AR282" s="502"/>
      <c r="AS282" s="502"/>
    </row>
    <row r="283" spans="34:45" ht="12.75" x14ac:dyDescent="0.2">
      <c r="AH283" s="502"/>
      <c r="AI283" s="502"/>
      <c r="AJ283" s="502"/>
      <c r="AK283" s="502"/>
      <c r="AP283" s="502"/>
      <c r="AQ283" s="502"/>
      <c r="AR283" s="502"/>
      <c r="AS283" s="502"/>
    </row>
    <row r="284" spans="34:45" ht="12.75" x14ac:dyDescent="0.2">
      <c r="AH284" s="502"/>
      <c r="AI284" s="502"/>
      <c r="AJ284" s="502"/>
      <c r="AK284" s="502"/>
      <c r="AP284" s="502"/>
      <c r="AQ284" s="502"/>
      <c r="AR284" s="502"/>
      <c r="AS284" s="502"/>
    </row>
    <row r="285" spans="34:45" ht="12.75" x14ac:dyDescent="0.2">
      <c r="AH285" s="502"/>
      <c r="AI285" s="502"/>
      <c r="AJ285" s="502"/>
      <c r="AK285" s="502"/>
      <c r="AP285" s="502"/>
      <c r="AQ285" s="502"/>
      <c r="AR285" s="502"/>
      <c r="AS285" s="502"/>
    </row>
    <row r="286" spans="34:45" ht="12.75" x14ac:dyDescent="0.2">
      <c r="AH286" s="502"/>
      <c r="AI286" s="502"/>
      <c r="AJ286" s="502"/>
      <c r="AK286" s="502"/>
      <c r="AP286" s="502"/>
      <c r="AQ286" s="502"/>
      <c r="AR286" s="502"/>
      <c r="AS286" s="502"/>
    </row>
    <row r="287" spans="34:45" ht="12.75" x14ac:dyDescent="0.2">
      <c r="AH287" s="502"/>
      <c r="AI287" s="502"/>
      <c r="AJ287" s="502"/>
      <c r="AK287" s="502"/>
      <c r="AP287" s="502"/>
      <c r="AQ287" s="502"/>
      <c r="AR287" s="502"/>
      <c r="AS287" s="502"/>
    </row>
    <row r="288" spans="34:45" ht="12.75" x14ac:dyDescent="0.2">
      <c r="AH288" s="502"/>
      <c r="AI288" s="502"/>
      <c r="AJ288" s="502"/>
      <c r="AK288" s="502"/>
      <c r="AP288" s="502"/>
      <c r="AQ288" s="502"/>
      <c r="AR288" s="502"/>
      <c r="AS288" s="502"/>
    </row>
    <row r="289" spans="34:45" ht="12.75" x14ac:dyDescent="0.2">
      <c r="AH289" s="502"/>
      <c r="AI289" s="502"/>
      <c r="AJ289" s="502"/>
      <c r="AK289" s="502"/>
      <c r="AP289" s="502"/>
      <c r="AQ289" s="502"/>
      <c r="AR289" s="502"/>
      <c r="AS289" s="502"/>
    </row>
    <row r="290" spans="34:45" ht="12.75" x14ac:dyDescent="0.2">
      <c r="AH290" s="502"/>
      <c r="AI290" s="502"/>
      <c r="AJ290" s="502"/>
      <c r="AK290" s="502"/>
      <c r="AP290" s="502"/>
      <c r="AQ290" s="502"/>
      <c r="AR290" s="502"/>
      <c r="AS290" s="502"/>
    </row>
    <row r="291" spans="34:45" ht="12.75" x14ac:dyDescent="0.2">
      <c r="AH291" s="502"/>
      <c r="AI291" s="502"/>
      <c r="AJ291" s="502"/>
      <c r="AK291" s="502"/>
      <c r="AP291" s="502"/>
      <c r="AQ291" s="502"/>
      <c r="AR291" s="502"/>
      <c r="AS291" s="502"/>
    </row>
    <row r="292" spans="34:45" ht="12.75" x14ac:dyDescent="0.2">
      <c r="AH292" s="502"/>
      <c r="AI292" s="502"/>
      <c r="AJ292" s="502"/>
      <c r="AK292" s="502"/>
      <c r="AP292" s="502"/>
      <c r="AQ292" s="502"/>
      <c r="AR292" s="502"/>
      <c r="AS292" s="502"/>
    </row>
    <row r="293" spans="34:45" ht="12.75" x14ac:dyDescent="0.2">
      <c r="AH293" s="502"/>
      <c r="AI293" s="502"/>
      <c r="AJ293" s="502"/>
      <c r="AK293" s="502"/>
      <c r="AP293" s="502"/>
      <c r="AQ293" s="502"/>
      <c r="AR293" s="502"/>
      <c r="AS293" s="502"/>
    </row>
    <row r="294" spans="34:45" ht="12.75" x14ac:dyDescent="0.2">
      <c r="AH294" s="502"/>
      <c r="AI294" s="502"/>
      <c r="AJ294" s="502"/>
      <c r="AK294" s="502"/>
      <c r="AP294" s="502"/>
      <c r="AQ294" s="502"/>
      <c r="AR294" s="502"/>
      <c r="AS294" s="502"/>
    </row>
    <row r="295" spans="34:45" ht="12.75" x14ac:dyDescent="0.2">
      <c r="AH295" s="502"/>
      <c r="AI295" s="502"/>
      <c r="AJ295" s="502"/>
      <c r="AK295" s="502"/>
      <c r="AP295" s="502"/>
      <c r="AQ295" s="502"/>
      <c r="AR295" s="502"/>
      <c r="AS295" s="502"/>
    </row>
    <row r="296" spans="34:45" ht="12.75" x14ac:dyDescent="0.2">
      <c r="AH296" s="502"/>
      <c r="AI296" s="502"/>
      <c r="AJ296" s="502"/>
      <c r="AK296" s="502"/>
      <c r="AP296" s="502"/>
      <c r="AQ296" s="502"/>
      <c r="AR296" s="502"/>
      <c r="AS296" s="502"/>
    </row>
    <row r="297" spans="34:45" ht="12.75" x14ac:dyDescent="0.2">
      <c r="AH297" s="502"/>
      <c r="AI297" s="502"/>
      <c r="AJ297" s="502"/>
      <c r="AK297" s="502"/>
      <c r="AP297" s="502"/>
      <c r="AQ297" s="502"/>
      <c r="AR297" s="502"/>
      <c r="AS297" s="502"/>
    </row>
    <row r="298" spans="34:45" ht="12.75" x14ac:dyDescent="0.2">
      <c r="AH298" s="502"/>
      <c r="AI298" s="502"/>
      <c r="AJ298" s="502"/>
      <c r="AK298" s="502"/>
      <c r="AP298" s="502"/>
      <c r="AQ298" s="502"/>
      <c r="AR298" s="502"/>
      <c r="AS298" s="502"/>
    </row>
    <row r="299" spans="34:45" ht="12.75" x14ac:dyDescent="0.2">
      <c r="AH299" s="502"/>
      <c r="AI299" s="502"/>
      <c r="AJ299" s="502"/>
      <c r="AK299" s="502"/>
      <c r="AP299" s="502"/>
      <c r="AQ299" s="502"/>
      <c r="AR299" s="502"/>
      <c r="AS299" s="502"/>
    </row>
    <row r="300" spans="34:45" ht="12.75" x14ac:dyDescent="0.2">
      <c r="AH300" s="502"/>
      <c r="AI300" s="502"/>
      <c r="AJ300" s="502"/>
      <c r="AK300" s="502"/>
      <c r="AP300" s="502"/>
      <c r="AQ300" s="502"/>
      <c r="AR300" s="502"/>
      <c r="AS300" s="502"/>
    </row>
    <row r="301" spans="34:45" ht="12.75" x14ac:dyDescent="0.2">
      <c r="AH301" s="502"/>
      <c r="AI301" s="502"/>
      <c r="AJ301" s="502"/>
      <c r="AK301" s="502"/>
      <c r="AP301" s="502"/>
      <c r="AQ301" s="502"/>
      <c r="AR301" s="502"/>
      <c r="AS301" s="502"/>
    </row>
    <row r="302" spans="34:45" ht="12.75" x14ac:dyDescent="0.2">
      <c r="AH302" s="502"/>
      <c r="AI302" s="502"/>
      <c r="AJ302" s="502"/>
      <c r="AK302" s="502"/>
      <c r="AP302" s="502"/>
      <c r="AQ302" s="502"/>
      <c r="AR302" s="502"/>
      <c r="AS302" s="502"/>
    </row>
    <row r="303" spans="34:45" ht="12.75" x14ac:dyDescent="0.2">
      <c r="AH303" s="502"/>
      <c r="AI303" s="502"/>
      <c r="AJ303" s="502"/>
      <c r="AK303" s="502"/>
      <c r="AP303" s="502"/>
      <c r="AQ303" s="502"/>
      <c r="AR303" s="502"/>
      <c r="AS303" s="502"/>
    </row>
    <row r="304" spans="34:45" ht="12.75" x14ac:dyDescent="0.2">
      <c r="AH304" s="502"/>
      <c r="AI304" s="502"/>
      <c r="AJ304" s="502"/>
      <c r="AK304" s="502"/>
      <c r="AP304" s="502"/>
      <c r="AQ304" s="502"/>
      <c r="AR304" s="502"/>
      <c r="AS304" s="502"/>
    </row>
    <row r="305" spans="34:45" ht="12.75" x14ac:dyDescent="0.2">
      <c r="AH305" s="502"/>
      <c r="AI305" s="502"/>
      <c r="AJ305" s="502"/>
      <c r="AK305" s="502"/>
      <c r="AP305" s="502"/>
      <c r="AQ305" s="502"/>
      <c r="AR305" s="502"/>
      <c r="AS305" s="502"/>
    </row>
    <row r="306" spans="34:45" ht="12.75" x14ac:dyDescent="0.2">
      <c r="AH306" s="502"/>
      <c r="AI306" s="502"/>
      <c r="AJ306" s="502"/>
      <c r="AK306" s="502"/>
      <c r="AP306" s="502"/>
      <c r="AQ306" s="502"/>
      <c r="AR306" s="502"/>
      <c r="AS306" s="502"/>
    </row>
    <row r="307" spans="34:45" ht="12.75" x14ac:dyDescent="0.2">
      <c r="AH307" s="502"/>
      <c r="AI307" s="502"/>
      <c r="AJ307" s="502"/>
      <c r="AK307" s="502"/>
      <c r="AP307" s="502"/>
      <c r="AQ307" s="502"/>
      <c r="AR307" s="502"/>
      <c r="AS307" s="502"/>
    </row>
    <row r="308" spans="34:45" ht="12.75" x14ac:dyDescent="0.2">
      <c r="AH308" s="502"/>
      <c r="AI308" s="502"/>
      <c r="AJ308" s="502"/>
      <c r="AK308" s="502"/>
      <c r="AP308" s="502"/>
      <c r="AQ308" s="502"/>
      <c r="AR308" s="502"/>
      <c r="AS308" s="502"/>
    </row>
    <row r="309" spans="34:45" ht="12.75" x14ac:dyDescent="0.2">
      <c r="AH309" s="502"/>
      <c r="AI309" s="502"/>
      <c r="AJ309" s="502"/>
      <c r="AK309" s="502"/>
      <c r="AP309" s="502"/>
      <c r="AQ309" s="502"/>
      <c r="AR309" s="502"/>
      <c r="AS309" s="502"/>
    </row>
    <row r="310" spans="34:45" ht="12.75" x14ac:dyDescent="0.2">
      <c r="AH310" s="502"/>
      <c r="AI310" s="502"/>
      <c r="AJ310" s="502"/>
      <c r="AK310" s="502"/>
      <c r="AP310" s="502"/>
      <c r="AQ310" s="502"/>
      <c r="AR310" s="502"/>
      <c r="AS310" s="502"/>
    </row>
    <row r="311" spans="34:45" ht="12.75" x14ac:dyDescent="0.2">
      <c r="AH311" s="502"/>
      <c r="AI311" s="502"/>
      <c r="AJ311" s="502"/>
      <c r="AK311" s="502"/>
      <c r="AP311" s="502"/>
      <c r="AQ311" s="502"/>
      <c r="AR311" s="502"/>
      <c r="AS311" s="502"/>
    </row>
    <row r="312" spans="34:45" ht="12.75" x14ac:dyDescent="0.2">
      <c r="AH312" s="502"/>
      <c r="AI312" s="502"/>
      <c r="AJ312" s="502"/>
      <c r="AK312" s="502"/>
      <c r="AP312" s="502"/>
      <c r="AQ312" s="502"/>
      <c r="AR312" s="502"/>
      <c r="AS312" s="502"/>
    </row>
    <row r="313" spans="34:45" ht="12.75" x14ac:dyDescent="0.2">
      <c r="AH313" s="502"/>
      <c r="AI313" s="502"/>
      <c r="AJ313" s="502"/>
      <c r="AK313" s="502"/>
      <c r="AP313" s="502"/>
      <c r="AQ313" s="502"/>
      <c r="AR313" s="502"/>
      <c r="AS313" s="502"/>
    </row>
    <row r="314" spans="34:45" ht="12.75" x14ac:dyDescent="0.2">
      <c r="AH314" s="502"/>
      <c r="AI314" s="502"/>
      <c r="AJ314" s="502"/>
      <c r="AK314" s="502"/>
      <c r="AP314" s="502"/>
      <c r="AQ314" s="502"/>
      <c r="AR314" s="502"/>
      <c r="AS314" s="502"/>
    </row>
    <row r="315" spans="34:45" ht="12.75" x14ac:dyDescent="0.2">
      <c r="AH315" s="502"/>
      <c r="AI315" s="502"/>
      <c r="AJ315" s="502"/>
      <c r="AK315" s="502"/>
      <c r="AP315" s="502"/>
      <c r="AQ315" s="502"/>
      <c r="AR315" s="502"/>
      <c r="AS315" s="502"/>
    </row>
    <row r="316" spans="34:45" ht="12.75" x14ac:dyDescent="0.2">
      <c r="AH316" s="502"/>
      <c r="AI316" s="502"/>
      <c r="AJ316" s="502"/>
      <c r="AK316" s="502"/>
      <c r="AP316" s="502"/>
      <c r="AQ316" s="502"/>
      <c r="AR316" s="502"/>
      <c r="AS316" s="502"/>
    </row>
    <row r="317" spans="34:45" ht="12.75" x14ac:dyDescent="0.2">
      <c r="AH317" s="502"/>
      <c r="AI317" s="502"/>
      <c r="AJ317" s="502"/>
      <c r="AK317" s="502"/>
      <c r="AP317" s="502"/>
      <c r="AQ317" s="502"/>
      <c r="AR317" s="502"/>
      <c r="AS317" s="502"/>
    </row>
    <row r="318" spans="34:45" ht="12.75" x14ac:dyDescent="0.2">
      <c r="AH318" s="502"/>
      <c r="AI318" s="502"/>
      <c r="AJ318" s="502"/>
      <c r="AK318" s="502"/>
      <c r="AP318" s="502"/>
      <c r="AQ318" s="502"/>
      <c r="AR318" s="502"/>
      <c r="AS318" s="502"/>
    </row>
    <row r="319" spans="34:45" ht="12.75" x14ac:dyDescent="0.2">
      <c r="AH319" s="502"/>
      <c r="AI319" s="502"/>
      <c r="AJ319" s="502"/>
      <c r="AK319" s="502"/>
      <c r="AP319" s="502"/>
      <c r="AQ319" s="502"/>
      <c r="AR319" s="502"/>
      <c r="AS319" s="502"/>
    </row>
    <row r="320" spans="34:45" ht="12.75" x14ac:dyDescent="0.2">
      <c r="AH320" s="502"/>
      <c r="AI320" s="502"/>
      <c r="AJ320" s="502"/>
      <c r="AK320" s="502"/>
      <c r="AP320" s="502"/>
      <c r="AQ320" s="502"/>
      <c r="AR320" s="502"/>
      <c r="AS320" s="502"/>
    </row>
    <row r="321" spans="34:45" ht="12.75" x14ac:dyDescent="0.2">
      <c r="AH321" s="502"/>
      <c r="AI321" s="502"/>
      <c r="AJ321" s="502"/>
      <c r="AK321" s="502"/>
      <c r="AP321" s="502"/>
      <c r="AQ321" s="502"/>
      <c r="AR321" s="502"/>
      <c r="AS321" s="502"/>
    </row>
    <row r="322" spans="34:45" ht="12.75" x14ac:dyDescent="0.2">
      <c r="AH322" s="502"/>
      <c r="AI322" s="502"/>
      <c r="AJ322" s="502"/>
      <c r="AK322" s="502"/>
      <c r="AP322" s="502"/>
      <c r="AQ322" s="502"/>
      <c r="AR322" s="502"/>
      <c r="AS322" s="502"/>
    </row>
    <row r="323" spans="34:45" ht="12.75" x14ac:dyDescent="0.2">
      <c r="AH323" s="502"/>
      <c r="AI323" s="502"/>
      <c r="AJ323" s="502"/>
      <c r="AK323" s="502"/>
      <c r="AP323" s="502"/>
      <c r="AQ323" s="502"/>
      <c r="AR323" s="502"/>
      <c r="AS323" s="502"/>
    </row>
    <row r="324" spans="34:45" ht="12.75" x14ac:dyDescent="0.2">
      <c r="AH324" s="502"/>
      <c r="AI324" s="502"/>
      <c r="AJ324" s="502"/>
      <c r="AK324" s="502"/>
      <c r="AP324" s="502"/>
      <c r="AQ324" s="502"/>
      <c r="AR324" s="502"/>
      <c r="AS324" s="502"/>
    </row>
    <row r="325" spans="34:45" ht="12.75" x14ac:dyDescent="0.2">
      <c r="AH325" s="502"/>
      <c r="AI325" s="502"/>
      <c r="AJ325" s="502"/>
      <c r="AK325" s="502"/>
      <c r="AP325" s="502"/>
      <c r="AQ325" s="502"/>
      <c r="AR325" s="502"/>
      <c r="AS325" s="502"/>
    </row>
    <row r="326" spans="34:45" ht="12.75" x14ac:dyDescent="0.2">
      <c r="AH326" s="502"/>
      <c r="AI326" s="502"/>
      <c r="AJ326" s="502"/>
      <c r="AK326" s="502"/>
      <c r="AP326" s="502"/>
      <c r="AQ326" s="502"/>
      <c r="AR326" s="502"/>
      <c r="AS326" s="502"/>
    </row>
    <row r="327" spans="34:45" ht="12.75" x14ac:dyDescent="0.2">
      <c r="AH327" s="502"/>
      <c r="AI327" s="502"/>
      <c r="AJ327" s="502"/>
      <c r="AK327" s="502"/>
      <c r="AP327" s="502"/>
      <c r="AQ327" s="502"/>
      <c r="AR327" s="502"/>
      <c r="AS327" s="502"/>
    </row>
    <row r="328" spans="34:45" ht="12.75" x14ac:dyDescent="0.2">
      <c r="AH328" s="502"/>
      <c r="AI328" s="502"/>
      <c r="AJ328" s="502"/>
      <c r="AK328" s="502"/>
      <c r="AP328" s="502"/>
      <c r="AQ328" s="502"/>
      <c r="AR328" s="502"/>
      <c r="AS328" s="502"/>
    </row>
    <row r="329" spans="34:45" ht="12.75" x14ac:dyDescent="0.2">
      <c r="AH329" s="502"/>
      <c r="AI329" s="502"/>
      <c r="AJ329" s="502"/>
      <c r="AK329" s="502"/>
      <c r="AP329" s="502"/>
      <c r="AQ329" s="502"/>
      <c r="AR329" s="502"/>
      <c r="AS329" s="502"/>
    </row>
    <row r="330" spans="34:45" ht="12.75" x14ac:dyDescent="0.2">
      <c r="AH330" s="502"/>
      <c r="AI330" s="502"/>
      <c r="AJ330" s="502"/>
      <c r="AK330" s="502"/>
      <c r="AP330" s="502"/>
      <c r="AQ330" s="502"/>
      <c r="AR330" s="502"/>
      <c r="AS330" s="502"/>
    </row>
    <row r="331" spans="34:45" ht="12.75" x14ac:dyDescent="0.2">
      <c r="AH331" s="502"/>
      <c r="AI331" s="502"/>
      <c r="AJ331" s="502"/>
      <c r="AK331" s="502"/>
      <c r="AP331" s="502"/>
      <c r="AQ331" s="502"/>
      <c r="AR331" s="502"/>
      <c r="AS331" s="502"/>
    </row>
    <row r="332" spans="34:45" ht="12.75" x14ac:dyDescent="0.2">
      <c r="AH332" s="502"/>
      <c r="AI332" s="502"/>
      <c r="AJ332" s="502"/>
      <c r="AK332" s="502"/>
      <c r="AP332" s="502"/>
      <c r="AQ332" s="502"/>
      <c r="AR332" s="502"/>
      <c r="AS332" s="502"/>
    </row>
    <row r="333" spans="34:45" ht="12.75" x14ac:dyDescent="0.2">
      <c r="AH333" s="502"/>
      <c r="AI333" s="502"/>
      <c r="AJ333" s="502"/>
      <c r="AK333" s="502"/>
      <c r="AP333" s="502"/>
      <c r="AQ333" s="502"/>
      <c r="AR333" s="502"/>
      <c r="AS333" s="502"/>
    </row>
    <row r="334" spans="34:45" ht="12.75" x14ac:dyDescent="0.2">
      <c r="AH334" s="502"/>
      <c r="AI334" s="502"/>
      <c r="AJ334" s="502"/>
      <c r="AK334" s="502"/>
      <c r="AP334" s="502"/>
      <c r="AQ334" s="502"/>
      <c r="AR334" s="502"/>
      <c r="AS334" s="502"/>
    </row>
    <row r="335" spans="34:45" ht="12.75" x14ac:dyDescent="0.2">
      <c r="AH335" s="502"/>
      <c r="AI335" s="502"/>
      <c r="AJ335" s="502"/>
      <c r="AK335" s="502"/>
      <c r="AP335" s="502"/>
      <c r="AQ335" s="502"/>
      <c r="AR335" s="502"/>
      <c r="AS335" s="502"/>
    </row>
    <row r="336" spans="34:45" ht="12.75" x14ac:dyDescent="0.2">
      <c r="AH336" s="502"/>
      <c r="AI336" s="502"/>
      <c r="AJ336" s="502"/>
      <c r="AK336" s="502"/>
      <c r="AP336" s="502"/>
      <c r="AQ336" s="502"/>
      <c r="AR336" s="502"/>
      <c r="AS336" s="502"/>
    </row>
    <row r="337" spans="34:45" ht="12.75" x14ac:dyDescent="0.2">
      <c r="AH337" s="502"/>
      <c r="AI337" s="502"/>
      <c r="AJ337" s="502"/>
      <c r="AK337" s="502"/>
      <c r="AP337" s="502"/>
      <c r="AQ337" s="502"/>
      <c r="AR337" s="502"/>
      <c r="AS337" s="502"/>
    </row>
    <row r="338" spans="34:45" ht="12.75" x14ac:dyDescent="0.2">
      <c r="AH338" s="502"/>
      <c r="AI338" s="502"/>
      <c r="AJ338" s="502"/>
      <c r="AK338" s="502"/>
      <c r="AP338" s="502"/>
      <c r="AQ338" s="502"/>
      <c r="AR338" s="502"/>
      <c r="AS338" s="502"/>
    </row>
    <row r="339" spans="34:45" ht="12.75" x14ac:dyDescent="0.2">
      <c r="AH339" s="502"/>
      <c r="AI339" s="502"/>
      <c r="AJ339" s="502"/>
      <c r="AK339" s="502"/>
      <c r="AP339" s="502"/>
      <c r="AQ339" s="502"/>
      <c r="AR339" s="502"/>
      <c r="AS339" s="502"/>
    </row>
    <row r="340" spans="34:45" ht="12.75" x14ac:dyDescent="0.2">
      <c r="AH340" s="502"/>
      <c r="AI340" s="502"/>
      <c r="AJ340" s="502"/>
      <c r="AK340" s="502"/>
      <c r="AP340" s="502"/>
      <c r="AQ340" s="502"/>
      <c r="AR340" s="502"/>
      <c r="AS340" s="502"/>
    </row>
    <row r="341" spans="34:45" ht="12.75" x14ac:dyDescent="0.2">
      <c r="AH341" s="502"/>
      <c r="AI341" s="502"/>
      <c r="AJ341" s="502"/>
      <c r="AK341" s="502"/>
      <c r="AP341" s="502"/>
      <c r="AQ341" s="502"/>
      <c r="AR341" s="502"/>
      <c r="AS341" s="502"/>
    </row>
    <row r="342" spans="34:45" ht="12.75" x14ac:dyDescent="0.2">
      <c r="AH342" s="502"/>
      <c r="AI342" s="502"/>
      <c r="AJ342" s="502"/>
      <c r="AK342" s="502"/>
      <c r="AP342" s="502"/>
      <c r="AQ342" s="502"/>
      <c r="AR342" s="502"/>
      <c r="AS342" s="502"/>
    </row>
    <row r="343" spans="34:45" ht="12.75" x14ac:dyDescent="0.2">
      <c r="AH343" s="502"/>
      <c r="AI343" s="502"/>
      <c r="AJ343" s="502"/>
      <c r="AK343" s="502"/>
      <c r="AP343" s="502"/>
      <c r="AQ343" s="502"/>
      <c r="AR343" s="502"/>
      <c r="AS343" s="502"/>
    </row>
    <row r="344" spans="34:45" ht="12.75" x14ac:dyDescent="0.2">
      <c r="AH344" s="502"/>
      <c r="AI344" s="502"/>
      <c r="AJ344" s="502"/>
      <c r="AK344" s="502"/>
      <c r="AP344" s="502"/>
      <c r="AQ344" s="502"/>
      <c r="AR344" s="502"/>
      <c r="AS344" s="502"/>
    </row>
    <row r="345" spans="34:45" ht="12.75" x14ac:dyDescent="0.2">
      <c r="AH345" s="502"/>
      <c r="AI345" s="502"/>
      <c r="AJ345" s="502"/>
      <c r="AK345" s="502"/>
      <c r="AP345" s="502"/>
      <c r="AQ345" s="502"/>
      <c r="AR345" s="502"/>
      <c r="AS345" s="502"/>
    </row>
    <row r="346" spans="34:45" ht="12.75" x14ac:dyDescent="0.2">
      <c r="AH346" s="502"/>
      <c r="AI346" s="502"/>
      <c r="AJ346" s="502"/>
      <c r="AK346" s="502"/>
      <c r="AP346" s="502"/>
      <c r="AQ346" s="502"/>
      <c r="AR346" s="502"/>
      <c r="AS346" s="502"/>
    </row>
    <row r="347" spans="34:45" ht="12.75" x14ac:dyDescent="0.2">
      <c r="AH347" s="502"/>
      <c r="AI347" s="502"/>
      <c r="AJ347" s="502"/>
      <c r="AK347" s="502"/>
      <c r="AP347" s="502"/>
      <c r="AQ347" s="502"/>
      <c r="AR347" s="502"/>
      <c r="AS347" s="502"/>
    </row>
    <row r="348" spans="34:45" ht="12.75" x14ac:dyDescent="0.2">
      <c r="AH348" s="502"/>
      <c r="AI348" s="502"/>
      <c r="AJ348" s="502"/>
      <c r="AK348" s="502"/>
      <c r="AP348" s="502"/>
      <c r="AQ348" s="502"/>
      <c r="AR348" s="502"/>
      <c r="AS348" s="502"/>
    </row>
    <row r="349" spans="34:45" ht="12.75" x14ac:dyDescent="0.2">
      <c r="AH349" s="502"/>
      <c r="AI349" s="502"/>
      <c r="AJ349" s="502"/>
      <c r="AK349" s="502"/>
      <c r="AP349" s="502"/>
      <c r="AQ349" s="502"/>
      <c r="AR349" s="502"/>
      <c r="AS349" s="502"/>
    </row>
    <row r="350" spans="34:45" ht="12.75" x14ac:dyDescent="0.2">
      <c r="AH350" s="502"/>
      <c r="AI350" s="502"/>
      <c r="AJ350" s="502"/>
      <c r="AK350" s="502"/>
      <c r="AP350" s="502"/>
      <c r="AQ350" s="502"/>
      <c r="AR350" s="502"/>
      <c r="AS350" s="502"/>
    </row>
    <row r="351" spans="34:45" ht="12.75" x14ac:dyDescent="0.2">
      <c r="AH351" s="502"/>
      <c r="AI351" s="502"/>
      <c r="AJ351" s="502"/>
      <c r="AK351" s="502"/>
      <c r="AP351" s="502"/>
      <c r="AQ351" s="502"/>
      <c r="AR351" s="502"/>
      <c r="AS351" s="502"/>
    </row>
    <row r="352" spans="34:45" ht="12.75" x14ac:dyDescent="0.2">
      <c r="AH352" s="502"/>
      <c r="AI352" s="502"/>
      <c r="AJ352" s="502"/>
      <c r="AK352" s="502"/>
      <c r="AP352" s="502"/>
      <c r="AQ352" s="502"/>
      <c r="AR352" s="502"/>
      <c r="AS352" s="502"/>
    </row>
    <row r="353" spans="34:45" ht="12.75" x14ac:dyDescent="0.2">
      <c r="AH353" s="502"/>
      <c r="AI353" s="502"/>
      <c r="AJ353" s="502"/>
      <c r="AK353" s="502"/>
      <c r="AP353" s="502"/>
      <c r="AQ353" s="502"/>
      <c r="AR353" s="502"/>
      <c r="AS353" s="502"/>
    </row>
    <row r="354" spans="34:45" ht="12.75" x14ac:dyDescent="0.2">
      <c r="AH354" s="502"/>
      <c r="AI354" s="502"/>
      <c r="AJ354" s="502"/>
      <c r="AK354" s="502"/>
      <c r="AP354" s="502"/>
      <c r="AQ354" s="502"/>
      <c r="AR354" s="502"/>
      <c r="AS354" s="502"/>
    </row>
    <row r="355" spans="34:45" ht="12.75" x14ac:dyDescent="0.2">
      <c r="AH355" s="502"/>
      <c r="AI355" s="502"/>
      <c r="AJ355" s="502"/>
      <c r="AK355" s="502"/>
      <c r="AP355" s="502"/>
      <c r="AQ355" s="502"/>
      <c r="AR355" s="502"/>
      <c r="AS355" s="502"/>
    </row>
    <row r="356" spans="34:45" ht="12.75" x14ac:dyDescent="0.2">
      <c r="AH356" s="502"/>
      <c r="AI356" s="502"/>
      <c r="AJ356" s="502"/>
      <c r="AK356" s="502"/>
      <c r="AP356" s="502"/>
      <c r="AQ356" s="502"/>
      <c r="AR356" s="502"/>
      <c r="AS356" s="502"/>
    </row>
    <row r="357" spans="34:45" ht="12.75" x14ac:dyDescent="0.2">
      <c r="AH357" s="502"/>
      <c r="AI357" s="502"/>
      <c r="AJ357" s="502"/>
      <c r="AK357" s="502"/>
      <c r="AP357" s="502"/>
      <c r="AQ357" s="502"/>
      <c r="AR357" s="502"/>
      <c r="AS357" s="502"/>
    </row>
    <row r="358" spans="34:45" ht="12.75" x14ac:dyDescent="0.2">
      <c r="AH358" s="502"/>
      <c r="AI358" s="502"/>
      <c r="AJ358" s="502"/>
      <c r="AK358" s="502"/>
      <c r="AP358" s="502"/>
      <c r="AQ358" s="502"/>
      <c r="AR358" s="502"/>
      <c r="AS358" s="502"/>
    </row>
    <row r="359" spans="34:45" ht="12.75" x14ac:dyDescent="0.2">
      <c r="AH359" s="502"/>
      <c r="AI359" s="502"/>
      <c r="AJ359" s="502"/>
      <c r="AK359" s="502"/>
      <c r="AP359" s="502"/>
      <c r="AQ359" s="502"/>
      <c r="AR359" s="502"/>
      <c r="AS359" s="502"/>
    </row>
    <row r="360" spans="34:45" ht="12.75" x14ac:dyDescent="0.2">
      <c r="AH360" s="502"/>
      <c r="AI360" s="502"/>
      <c r="AJ360" s="502"/>
      <c r="AK360" s="502"/>
      <c r="AP360" s="502"/>
      <c r="AQ360" s="502"/>
      <c r="AR360" s="502"/>
      <c r="AS360" s="502"/>
    </row>
    <row r="361" spans="34:45" ht="12.75" x14ac:dyDescent="0.2">
      <c r="AH361" s="502"/>
      <c r="AI361" s="502"/>
      <c r="AJ361" s="502"/>
      <c r="AK361" s="502"/>
      <c r="AP361" s="502"/>
      <c r="AQ361" s="502"/>
      <c r="AR361" s="502"/>
      <c r="AS361" s="502"/>
    </row>
    <row r="362" spans="34:45" ht="12.75" x14ac:dyDescent="0.2">
      <c r="AH362" s="502"/>
      <c r="AI362" s="502"/>
      <c r="AJ362" s="502"/>
      <c r="AK362" s="502"/>
      <c r="AP362" s="502"/>
      <c r="AQ362" s="502"/>
      <c r="AR362" s="502"/>
      <c r="AS362" s="502"/>
    </row>
    <row r="363" spans="34:45" ht="12.75" x14ac:dyDescent="0.2">
      <c r="AH363" s="502"/>
      <c r="AI363" s="502"/>
      <c r="AJ363" s="502"/>
      <c r="AK363" s="502"/>
      <c r="AP363" s="502"/>
      <c r="AQ363" s="502"/>
      <c r="AR363" s="502"/>
      <c r="AS363" s="502"/>
    </row>
    <row r="364" spans="34:45" ht="12.75" x14ac:dyDescent="0.2">
      <c r="AH364" s="502"/>
      <c r="AI364" s="502"/>
      <c r="AJ364" s="502"/>
      <c r="AK364" s="502"/>
      <c r="AP364" s="502"/>
      <c r="AQ364" s="502"/>
      <c r="AR364" s="502"/>
      <c r="AS364" s="502"/>
    </row>
    <row r="365" spans="34:45" ht="12.75" x14ac:dyDescent="0.2">
      <c r="AH365" s="502"/>
      <c r="AI365" s="502"/>
      <c r="AJ365" s="502"/>
      <c r="AK365" s="502"/>
      <c r="AP365" s="502"/>
      <c r="AQ365" s="502"/>
      <c r="AR365" s="502"/>
      <c r="AS365" s="502"/>
    </row>
    <row r="366" spans="34:45" ht="12.75" x14ac:dyDescent="0.2">
      <c r="AH366" s="502"/>
      <c r="AI366" s="502"/>
      <c r="AJ366" s="502"/>
      <c r="AK366" s="502"/>
      <c r="AP366" s="502"/>
      <c r="AQ366" s="502"/>
      <c r="AR366" s="502"/>
      <c r="AS366" s="502"/>
    </row>
    <row r="367" spans="34:45" ht="12.75" x14ac:dyDescent="0.2">
      <c r="AH367" s="502"/>
      <c r="AI367" s="502"/>
      <c r="AJ367" s="502"/>
      <c r="AK367" s="502"/>
      <c r="AP367" s="502"/>
      <c r="AQ367" s="502"/>
      <c r="AR367" s="502"/>
      <c r="AS367" s="502"/>
    </row>
    <row r="368" spans="34:45" ht="12.75" x14ac:dyDescent="0.2">
      <c r="AH368" s="502"/>
      <c r="AI368" s="502"/>
      <c r="AJ368" s="502"/>
      <c r="AK368" s="502"/>
      <c r="AP368" s="502"/>
      <c r="AQ368" s="502"/>
      <c r="AR368" s="502"/>
      <c r="AS368" s="502"/>
    </row>
    <row r="369" spans="34:45" ht="12.75" x14ac:dyDescent="0.2">
      <c r="AH369" s="502"/>
      <c r="AI369" s="502"/>
      <c r="AJ369" s="502"/>
      <c r="AK369" s="502"/>
      <c r="AP369" s="502"/>
      <c r="AQ369" s="502"/>
      <c r="AR369" s="502"/>
      <c r="AS369" s="502"/>
    </row>
    <row r="370" spans="34:45" ht="12.75" x14ac:dyDescent="0.2">
      <c r="AH370" s="502"/>
      <c r="AI370" s="502"/>
      <c r="AJ370" s="502"/>
      <c r="AK370" s="502"/>
      <c r="AP370" s="502"/>
      <c r="AQ370" s="502"/>
      <c r="AR370" s="502"/>
      <c r="AS370" s="502"/>
    </row>
    <row r="371" spans="34:45" ht="12.75" x14ac:dyDescent="0.2">
      <c r="AH371" s="502"/>
      <c r="AI371" s="502"/>
      <c r="AJ371" s="502"/>
      <c r="AK371" s="502"/>
      <c r="AP371" s="502"/>
      <c r="AQ371" s="502"/>
      <c r="AR371" s="502"/>
      <c r="AS371" s="502"/>
    </row>
    <row r="372" spans="34:45" ht="12.75" x14ac:dyDescent="0.2">
      <c r="AH372" s="502"/>
      <c r="AI372" s="502"/>
      <c r="AJ372" s="502"/>
      <c r="AK372" s="502"/>
      <c r="AP372" s="502"/>
      <c r="AQ372" s="502"/>
      <c r="AR372" s="502"/>
      <c r="AS372" s="502"/>
    </row>
    <row r="373" spans="34:45" ht="12.75" x14ac:dyDescent="0.2">
      <c r="AH373" s="502"/>
      <c r="AI373" s="502"/>
      <c r="AJ373" s="502"/>
      <c r="AK373" s="502"/>
      <c r="AP373" s="502"/>
      <c r="AQ373" s="502"/>
      <c r="AR373" s="502"/>
      <c r="AS373" s="502"/>
    </row>
    <row r="374" spans="34:45" ht="12.75" x14ac:dyDescent="0.2">
      <c r="AH374" s="502"/>
      <c r="AI374" s="502"/>
      <c r="AJ374" s="502"/>
      <c r="AK374" s="502"/>
      <c r="AP374" s="502"/>
      <c r="AQ374" s="502"/>
      <c r="AR374" s="502"/>
      <c r="AS374" s="502"/>
    </row>
    <row r="375" spans="34:45" ht="12.75" x14ac:dyDescent="0.2">
      <c r="AH375" s="502"/>
      <c r="AI375" s="502"/>
      <c r="AJ375" s="502"/>
      <c r="AK375" s="502"/>
      <c r="AP375" s="502"/>
      <c r="AQ375" s="502"/>
      <c r="AR375" s="502"/>
      <c r="AS375" s="502"/>
    </row>
    <row r="376" spans="34:45" ht="12.75" x14ac:dyDescent="0.2">
      <c r="AH376" s="502"/>
      <c r="AI376" s="502"/>
      <c r="AJ376" s="502"/>
      <c r="AK376" s="502"/>
      <c r="AP376" s="502"/>
      <c r="AQ376" s="502"/>
      <c r="AR376" s="502"/>
      <c r="AS376" s="502"/>
    </row>
    <row r="377" spans="34:45" ht="12.75" x14ac:dyDescent="0.2">
      <c r="AH377" s="502"/>
      <c r="AI377" s="502"/>
      <c r="AJ377" s="502"/>
      <c r="AK377" s="502"/>
      <c r="AP377" s="502"/>
      <c r="AQ377" s="502"/>
      <c r="AR377" s="502"/>
      <c r="AS377" s="502"/>
    </row>
    <row r="378" spans="34:45" ht="12.75" x14ac:dyDescent="0.2">
      <c r="AH378" s="502"/>
      <c r="AI378" s="502"/>
      <c r="AJ378" s="502"/>
      <c r="AK378" s="502"/>
      <c r="AP378" s="502"/>
      <c r="AQ378" s="502"/>
      <c r="AR378" s="502"/>
      <c r="AS378" s="502"/>
    </row>
    <row r="379" spans="34:45" ht="12.75" x14ac:dyDescent="0.2">
      <c r="AH379" s="502"/>
      <c r="AI379" s="502"/>
      <c r="AJ379" s="502"/>
      <c r="AK379" s="502"/>
      <c r="AP379" s="502"/>
      <c r="AQ379" s="502"/>
      <c r="AR379" s="502"/>
      <c r="AS379" s="502"/>
    </row>
    <row r="380" spans="34:45" ht="12.75" x14ac:dyDescent="0.2">
      <c r="AH380" s="502"/>
      <c r="AI380" s="502"/>
      <c r="AJ380" s="502"/>
      <c r="AK380" s="502"/>
      <c r="AP380" s="502"/>
      <c r="AQ380" s="502"/>
      <c r="AR380" s="502"/>
      <c r="AS380" s="502"/>
    </row>
    <row r="381" spans="34:45" ht="12.75" x14ac:dyDescent="0.2">
      <c r="AH381" s="502"/>
      <c r="AI381" s="502"/>
      <c r="AJ381" s="502"/>
      <c r="AK381" s="502"/>
      <c r="AP381" s="502"/>
      <c r="AQ381" s="502"/>
      <c r="AR381" s="502"/>
      <c r="AS381" s="502"/>
    </row>
    <row r="382" spans="34:45" ht="12.75" x14ac:dyDescent="0.2">
      <c r="AH382" s="502"/>
      <c r="AI382" s="502"/>
      <c r="AJ382" s="502"/>
      <c r="AK382" s="502"/>
      <c r="AP382" s="502"/>
      <c r="AQ382" s="502"/>
      <c r="AR382" s="502"/>
      <c r="AS382" s="502"/>
    </row>
    <row r="383" spans="34:45" ht="12.75" x14ac:dyDescent="0.2">
      <c r="AH383" s="502"/>
      <c r="AI383" s="502"/>
      <c r="AJ383" s="502"/>
      <c r="AK383" s="502"/>
      <c r="AP383" s="502"/>
      <c r="AQ383" s="502"/>
      <c r="AR383" s="502"/>
      <c r="AS383" s="502"/>
    </row>
    <row r="384" spans="34:45" ht="12.75" x14ac:dyDescent="0.2">
      <c r="AH384" s="502"/>
      <c r="AI384" s="502"/>
      <c r="AJ384" s="502"/>
      <c r="AK384" s="502"/>
      <c r="AP384" s="502"/>
      <c r="AQ384" s="502"/>
      <c r="AR384" s="502"/>
      <c r="AS384" s="502"/>
    </row>
    <row r="385" spans="34:45" ht="12.75" x14ac:dyDescent="0.2">
      <c r="AH385" s="502"/>
      <c r="AI385" s="502"/>
      <c r="AJ385" s="502"/>
      <c r="AK385" s="502"/>
      <c r="AP385" s="502"/>
      <c r="AQ385" s="502"/>
      <c r="AR385" s="502"/>
      <c r="AS385" s="502"/>
    </row>
    <row r="386" spans="34:45" ht="12.75" x14ac:dyDescent="0.2">
      <c r="AH386" s="502"/>
      <c r="AI386" s="502"/>
      <c r="AJ386" s="502"/>
      <c r="AK386" s="502"/>
      <c r="AP386" s="502"/>
      <c r="AQ386" s="502"/>
      <c r="AR386" s="502"/>
      <c r="AS386" s="502"/>
    </row>
    <row r="387" spans="34:45" ht="12.75" x14ac:dyDescent="0.2">
      <c r="AH387" s="502"/>
      <c r="AI387" s="502"/>
      <c r="AJ387" s="502"/>
      <c r="AK387" s="502"/>
      <c r="AP387" s="502"/>
      <c r="AQ387" s="502"/>
      <c r="AR387" s="502"/>
      <c r="AS387" s="502"/>
    </row>
    <row r="388" spans="34:45" ht="12.75" x14ac:dyDescent="0.2">
      <c r="AH388" s="502"/>
      <c r="AI388" s="502"/>
      <c r="AJ388" s="502"/>
      <c r="AK388" s="502"/>
      <c r="AP388" s="502"/>
      <c r="AQ388" s="502"/>
      <c r="AR388" s="502"/>
      <c r="AS388" s="502"/>
    </row>
    <row r="389" spans="34:45" ht="12.75" x14ac:dyDescent="0.2">
      <c r="AH389" s="502"/>
      <c r="AI389" s="502"/>
      <c r="AJ389" s="502"/>
      <c r="AK389" s="502"/>
      <c r="AP389" s="502"/>
      <c r="AQ389" s="502"/>
      <c r="AR389" s="502"/>
      <c r="AS389" s="502"/>
    </row>
    <row r="390" spans="34:45" ht="12.75" x14ac:dyDescent="0.2">
      <c r="AH390" s="502"/>
      <c r="AI390" s="502"/>
      <c r="AJ390" s="502"/>
      <c r="AK390" s="502"/>
      <c r="AP390" s="502"/>
      <c r="AQ390" s="502"/>
      <c r="AR390" s="502"/>
      <c r="AS390" s="502"/>
    </row>
    <row r="391" spans="34:45" ht="12.75" x14ac:dyDescent="0.2">
      <c r="AH391" s="502"/>
      <c r="AI391" s="502"/>
      <c r="AJ391" s="502"/>
      <c r="AK391" s="502"/>
      <c r="AP391" s="502"/>
      <c r="AQ391" s="502"/>
      <c r="AR391" s="502"/>
      <c r="AS391" s="502"/>
    </row>
    <row r="392" spans="34:45" ht="12.75" x14ac:dyDescent="0.2">
      <c r="AH392" s="502"/>
      <c r="AI392" s="502"/>
      <c r="AJ392" s="502"/>
      <c r="AK392" s="502"/>
      <c r="AP392" s="502"/>
      <c r="AQ392" s="502"/>
      <c r="AR392" s="502"/>
      <c r="AS392" s="502"/>
    </row>
    <row r="393" spans="34:45" ht="12.75" x14ac:dyDescent="0.2">
      <c r="AH393" s="502"/>
      <c r="AI393" s="502"/>
      <c r="AJ393" s="502"/>
      <c r="AK393" s="502"/>
      <c r="AP393" s="502"/>
      <c r="AQ393" s="502"/>
      <c r="AR393" s="502"/>
      <c r="AS393" s="502"/>
    </row>
    <row r="394" spans="34:45" ht="12.75" x14ac:dyDescent="0.2">
      <c r="AH394" s="502"/>
      <c r="AI394" s="502"/>
      <c r="AJ394" s="502"/>
      <c r="AK394" s="502"/>
      <c r="AP394" s="502"/>
      <c r="AQ394" s="502"/>
      <c r="AR394" s="502"/>
      <c r="AS394" s="502"/>
    </row>
    <row r="395" spans="34:45" ht="12.75" x14ac:dyDescent="0.2">
      <c r="AH395" s="502"/>
      <c r="AI395" s="502"/>
      <c r="AJ395" s="502"/>
      <c r="AK395" s="502"/>
      <c r="AP395" s="502"/>
      <c r="AQ395" s="502"/>
      <c r="AR395" s="502"/>
      <c r="AS395" s="502"/>
    </row>
    <row r="396" spans="34:45" ht="12.75" x14ac:dyDescent="0.2">
      <c r="AH396" s="502"/>
      <c r="AI396" s="502"/>
      <c r="AJ396" s="502"/>
      <c r="AK396" s="502"/>
      <c r="AP396" s="502"/>
      <c r="AQ396" s="502"/>
      <c r="AR396" s="502"/>
      <c r="AS396" s="502"/>
    </row>
    <row r="397" spans="34:45" ht="12.75" x14ac:dyDescent="0.2">
      <c r="AH397" s="502"/>
      <c r="AI397" s="502"/>
      <c r="AJ397" s="502"/>
      <c r="AK397" s="502"/>
      <c r="AP397" s="502"/>
      <c r="AQ397" s="502"/>
      <c r="AR397" s="502"/>
      <c r="AS397" s="502"/>
    </row>
    <row r="398" spans="34:45" ht="12.75" x14ac:dyDescent="0.2">
      <c r="AH398" s="502"/>
      <c r="AI398" s="502"/>
      <c r="AJ398" s="502"/>
      <c r="AK398" s="502"/>
      <c r="AP398" s="502"/>
      <c r="AQ398" s="502"/>
      <c r="AR398" s="502"/>
      <c r="AS398" s="502"/>
    </row>
    <row r="399" spans="34:45" ht="12.75" x14ac:dyDescent="0.2">
      <c r="AH399" s="502"/>
      <c r="AI399" s="502"/>
      <c r="AJ399" s="502"/>
      <c r="AK399" s="502"/>
      <c r="AP399" s="502"/>
      <c r="AQ399" s="502"/>
      <c r="AR399" s="502"/>
      <c r="AS399" s="502"/>
    </row>
    <row r="400" spans="34:45" ht="12.75" x14ac:dyDescent="0.2">
      <c r="AH400" s="502"/>
      <c r="AI400" s="502"/>
      <c r="AJ400" s="502"/>
      <c r="AK400" s="502"/>
      <c r="AP400" s="502"/>
      <c r="AQ400" s="502"/>
      <c r="AR400" s="502"/>
      <c r="AS400" s="502"/>
    </row>
    <row r="401" spans="34:45" ht="12.75" x14ac:dyDescent="0.2">
      <c r="AH401" s="502"/>
      <c r="AI401" s="502"/>
      <c r="AJ401" s="502"/>
      <c r="AK401" s="502"/>
      <c r="AP401" s="502"/>
      <c r="AQ401" s="502"/>
      <c r="AR401" s="502"/>
      <c r="AS401" s="502"/>
    </row>
    <row r="402" spans="34:45" ht="12.75" x14ac:dyDescent="0.2">
      <c r="AH402" s="502"/>
      <c r="AI402" s="502"/>
      <c r="AJ402" s="502"/>
      <c r="AK402" s="502"/>
      <c r="AP402" s="502"/>
      <c r="AQ402" s="502"/>
      <c r="AR402" s="502"/>
      <c r="AS402" s="502"/>
    </row>
    <row r="403" spans="34:45" ht="12.75" x14ac:dyDescent="0.2">
      <c r="AH403" s="502"/>
      <c r="AI403" s="502"/>
      <c r="AJ403" s="502"/>
      <c r="AK403" s="502"/>
      <c r="AP403" s="502"/>
      <c r="AQ403" s="502"/>
      <c r="AR403" s="502"/>
      <c r="AS403" s="502"/>
    </row>
    <row r="404" spans="34:45" ht="12.75" x14ac:dyDescent="0.2">
      <c r="AH404" s="502"/>
      <c r="AI404" s="502"/>
      <c r="AJ404" s="502"/>
      <c r="AK404" s="502"/>
      <c r="AP404" s="502"/>
      <c r="AQ404" s="502"/>
      <c r="AR404" s="502"/>
      <c r="AS404" s="502"/>
    </row>
    <row r="405" spans="34:45" ht="12.75" x14ac:dyDescent="0.2">
      <c r="AH405" s="502"/>
      <c r="AI405" s="502"/>
      <c r="AJ405" s="502"/>
      <c r="AK405" s="502"/>
      <c r="AP405" s="502"/>
      <c r="AQ405" s="502"/>
      <c r="AR405" s="502"/>
      <c r="AS405" s="502"/>
    </row>
    <row r="406" spans="34:45" ht="12.75" x14ac:dyDescent="0.2">
      <c r="AH406" s="502"/>
      <c r="AI406" s="502"/>
      <c r="AJ406" s="502"/>
      <c r="AK406" s="502"/>
      <c r="AP406" s="502"/>
      <c r="AQ406" s="502"/>
      <c r="AR406" s="502"/>
      <c r="AS406" s="502"/>
    </row>
    <row r="407" spans="34:45" ht="12.75" x14ac:dyDescent="0.2">
      <c r="AH407" s="502"/>
      <c r="AI407" s="502"/>
      <c r="AJ407" s="502"/>
      <c r="AK407" s="502"/>
      <c r="AP407" s="502"/>
      <c r="AQ407" s="502"/>
      <c r="AR407" s="502"/>
      <c r="AS407" s="502"/>
    </row>
    <row r="408" spans="34:45" ht="12.75" x14ac:dyDescent="0.2">
      <c r="AH408" s="502"/>
      <c r="AI408" s="502"/>
      <c r="AJ408" s="502"/>
      <c r="AK408" s="502"/>
      <c r="AP408" s="502"/>
      <c r="AQ408" s="502"/>
      <c r="AR408" s="502"/>
      <c r="AS408" s="502"/>
    </row>
    <row r="409" spans="34:45" ht="12.75" x14ac:dyDescent="0.2">
      <c r="AH409" s="502"/>
      <c r="AI409" s="502"/>
      <c r="AJ409" s="502"/>
      <c r="AK409" s="502"/>
      <c r="AP409" s="502"/>
      <c r="AQ409" s="502"/>
      <c r="AR409" s="502"/>
      <c r="AS409" s="502"/>
    </row>
    <row r="410" spans="34:45" ht="12.75" x14ac:dyDescent="0.2">
      <c r="AH410" s="502"/>
      <c r="AI410" s="502"/>
      <c r="AJ410" s="502"/>
      <c r="AK410" s="502"/>
      <c r="AP410" s="502"/>
      <c r="AQ410" s="502"/>
      <c r="AR410" s="502"/>
      <c r="AS410" s="502"/>
    </row>
    <row r="411" spans="34:45" ht="12.75" x14ac:dyDescent="0.2">
      <c r="AH411" s="502"/>
      <c r="AI411" s="502"/>
      <c r="AJ411" s="502"/>
      <c r="AK411" s="502"/>
      <c r="AP411" s="502"/>
      <c r="AQ411" s="502"/>
      <c r="AR411" s="502"/>
      <c r="AS411" s="502"/>
    </row>
    <row r="412" spans="34:45" ht="12.75" x14ac:dyDescent="0.2">
      <c r="AH412" s="502"/>
      <c r="AI412" s="502"/>
      <c r="AJ412" s="502"/>
      <c r="AK412" s="502"/>
      <c r="AP412" s="502"/>
      <c r="AQ412" s="502"/>
      <c r="AR412" s="502"/>
      <c r="AS412" s="502"/>
    </row>
    <row r="413" spans="34:45" ht="12.75" x14ac:dyDescent="0.2">
      <c r="AH413" s="502"/>
      <c r="AI413" s="502"/>
      <c r="AJ413" s="502"/>
      <c r="AK413" s="502"/>
      <c r="AP413" s="502"/>
      <c r="AQ413" s="502"/>
      <c r="AR413" s="502"/>
      <c r="AS413" s="502"/>
    </row>
    <row r="414" spans="34:45" ht="12.75" x14ac:dyDescent="0.2">
      <c r="AH414" s="502"/>
      <c r="AI414" s="502"/>
      <c r="AJ414" s="502"/>
      <c r="AK414" s="502"/>
      <c r="AP414" s="502"/>
      <c r="AQ414" s="502"/>
      <c r="AR414" s="502"/>
      <c r="AS414" s="502"/>
    </row>
    <row r="415" spans="34:45" ht="12.75" x14ac:dyDescent="0.2">
      <c r="AH415" s="502"/>
      <c r="AI415" s="502"/>
      <c r="AJ415" s="502"/>
      <c r="AK415" s="502"/>
      <c r="AP415" s="502"/>
      <c r="AQ415" s="502"/>
      <c r="AR415" s="502"/>
      <c r="AS415" s="502"/>
    </row>
    <row r="416" spans="34:45" ht="12.75" x14ac:dyDescent="0.2">
      <c r="AH416" s="502"/>
      <c r="AI416" s="502"/>
      <c r="AJ416" s="502"/>
      <c r="AK416" s="502"/>
      <c r="AP416" s="502"/>
      <c r="AQ416" s="502"/>
      <c r="AR416" s="502"/>
      <c r="AS416" s="502"/>
    </row>
    <row r="417" spans="34:45" ht="12.75" x14ac:dyDescent="0.2">
      <c r="AH417" s="502"/>
      <c r="AI417" s="502"/>
      <c r="AJ417" s="502"/>
      <c r="AK417" s="502"/>
      <c r="AP417" s="502"/>
      <c r="AQ417" s="502"/>
      <c r="AR417" s="502"/>
      <c r="AS417" s="502"/>
    </row>
    <row r="418" spans="34:45" ht="12.75" x14ac:dyDescent="0.2">
      <c r="AH418" s="502"/>
      <c r="AI418" s="502"/>
      <c r="AJ418" s="502"/>
      <c r="AK418" s="502"/>
      <c r="AP418" s="502"/>
      <c r="AQ418" s="502"/>
      <c r="AR418" s="502"/>
      <c r="AS418" s="502"/>
    </row>
    <row r="419" spans="34:45" ht="12.75" x14ac:dyDescent="0.2">
      <c r="AH419" s="502"/>
      <c r="AI419" s="502"/>
      <c r="AJ419" s="502"/>
      <c r="AK419" s="502"/>
      <c r="AP419" s="502"/>
      <c r="AQ419" s="502"/>
      <c r="AR419" s="502"/>
      <c r="AS419" s="502"/>
    </row>
    <row r="420" spans="34:45" ht="12.75" x14ac:dyDescent="0.2">
      <c r="AH420" s="502"/>
      <c r="AI420" s="502"/>
      <c r="AJ420" s="502"/>
      <c r="AK420" s="502"/>
      <c r="AP420" s="502"/>
      <c r="AQ420" s="502"/>
      <c r="AR420" s="502"/>
      <c r="AS420" s="502"/>
    </row>
    <row r="421" spans="34:45" ht="12.75" x14ac:dyDescent="0.2">
      <c r="AH421" s="502"/>
      <c r="AI421" s="502"/>
      <c r="AJ421" s="502"/>
      <c r="AK421" s="502"/>
      <c r="AP421" s="502"/>
      <c r="AQ421" s="502"/>
      <c r="AR421" s="502"/>
      <c r="AS421" s="502"/>
    </row>
    <row r="422" spans="34:45" ht="12.75" x14ac:dyDescent="0.2">
      <c r="AH422" s="502"/>
      <c r="AI422" s="502"/>
      <c r="AJ422" s="502"/>
      <c r="AK422" s="502"/>
      <c r="AP422" s="502"/>
      <c r="AQ422" s="502"/>
      <c r="AR422" s="502"/>
      <c r="AS422" s="502"/>
    </row>
    <row r="423" spans="34:45" ht="12.75" x14ac:dyDescent="0.2">
      <c r="AH423" s="502"/>
      <c r="AI423" s="502"/>
      <c r="AJ423" s="502"/>
      <c r="AK423" s="502"/>
      <c r="AP423" s="502"/>
      <c r="AQ423" s="502"/>
      <c r="AR423" s="502"/>
      <c r="AS423" s="502"/>
    </row>
    <row r="424" spans="34:45" ht="12.75" x14ac:dyDescent="0.2">
      <c r="AH424" s="502"/>
      <c r="AI424" s="502"/>
      <c r="AJ424" s="502"/>
      <c r="AK424" s="502"/>
      <c r="AP424" s="502"/>
      <c r="AQ424" s="502"/>
      <c r="AR424" s="502"/>
      <c r="AS424" s="502"/>
    </row>
    <row r="425" spans="34:45" ht="12.75" x14ac:dyDescent="0.2">
      <c r="AH425" s="502"/>
      <c r="AI425" s="502"/>
      <c r="AJ425" s="502"/>
      <c r="AK425" s="502"/>
      <c r="AP425" s="502"/>
      <c r="AQ425" s="502"/>
      <c r="AR425" s="502"/>
      <c r="AS425" s="502"/>
    </row>
    <row r="426" spans="34:45" ht="12.75" x14ac:dyDescent="0.2">
      <c r="AH426" s="502"/>
      <c r="AI426" s="502"/>
      <c r="AJ426" s="502"/>
      <c r="AK426" s="502"/>
      <c r="AP426" s="502"/>
      <c r="AQ426" s="502"/>
      <c r="AR426" s="502"/>
      <c r="AS426" s="502"/>
    </row>
    <row r="427" spans="34:45" ht="12.75" x14ac:dyDescent="0.2">
      <c r="AH427" s="502"/>
      <c r="AI427" s="502"/>
      <c r="AJ427" s="502"/>
      <c r="AK427" s="502"/>
      <c r="AP427" s="502"/>
      <c r="AQ427" s="502"/>
      <c r="AR427" s="502"/>
      <c r="AS427" s="502"/>
    </row>
    <row r="428" spans="34:45" ht="12.75" x14ac:dyDescent="0.2">
      <c r="AH428" s="502"/>
      <c r="AI428" s="502"/>
      <c r="AJ428" s="502"/>
      <c r="AK428" s="502"/>
      <c r="AP428" s="502"/>
      <c r="AQ428" s="502"/>
      <c r="AR428" s="502"/>
      <c r="AS428" s="502"/>
    </row>
    <row r="429" spans="34:45" ht="12.75" x14ac:dyDescent="0.2">
      <c r="AH429" s="502"/>
      <c r="AI429" s="502"/>
      <c r="AJ429" s="502"/>
      <c r="AK429" s="502"/>
      <c r="AP429" s="502"/>
      <c r="AQ429" s="502"/>
      <c r="AR429" s="502"/>
      <c r="AS429" s="502"/>
    </row>
    <row r="430" spans="34:45" ht="12.75" x14ac:dyDescent="0.2">
      <c r="AH430" s="502"/>
      <c r="AI430" s="502"/>
      <c r="AJ430" s="502"/>
      <c r="AK430" s="502"/>
      <c r="AP430" s="502"/>
      <c r="AQ430" s="502"/>
      <c r="AR430" s="502"/>
      <c r="AS430" s="502"/>
    </row>
    <row r="431" spans="34:45" ht="12.75" x14ac:dyDescent="0.2">
      <c r="AH431" s="502"/>
      <c r="AI431" s="502"/>
      <c r="AJ431" s="502"/>
      <c r="AK431" s="502"/>
      <c r="AP431" s="502"/>
      <c r="AQ431" s="502"/>
      <c r="AR431" s="502"/>
      <c r="AS431" s="502"/>
    </row>
    <row r="432" spans="34:45" ht="12.75" x14ac:dyDescent="0.2">
      <c r="AH432" s="502"/>
      <c r="AI432" s="502"/>
      <c r="AJ432" s="502"/>
      <c r="AK432" s="502"/>
      <c r="AP432" s="502"/>
      <c r="AQ432" s="502"/>
      <c r="AR432" s="502"/>
      <c r="AS432" s="502"/>
    </row>
    <row r="433" spans="34:45" ht="12.75" x14ac:dyDescent="0.2">
      <c r="AH433" s="502"/>
      <c r="AI433" s="502"/>
      <c r="AJ433" s="502"/>
      <c r="AK433" s="502"/>
      <c r="AP433" s="502"/>
      <c r="AQ433" s="502"/>
      <c r="AR433" s="502"/>
      <c r="AS433" s="502"/>
    </row>
    <row r="434" spans="34:45" ht="12.75" x14ac:dyDescent="0.2">
      <c r="AH434" s="502"/>
      <c r="AI434" s="502"/>
      <c r="AJ434" s="502"/>
      <c r="AK434" s="502"/>
      <c r="AP434" s="502"/>
      <c r="AQ434" s="502"/>
      <c r="AR434" s="502"/>
      <c r="AS434" s="502"/>
    </row>
    <row r="435" spans="34:45" ht="12.75" x14ac:dyDescent="0.2">
      <c r="AH435" s="502"/>
      <c r="AI435" s="502"/>
      <c r="AJ435" s="502"/>
      <c r="AK435" s="502"/>
      <c r="AP435" s="502"/>
      <c r="AQ435" s="502"/>
      <c r="AR435" s="502"/>
      <c r="AS435" s="502"/>
    </row>
    <row r="436" spans="34:45" ht="12.75" x14ac:dyDescent="0.2">
      <c r="AH436" s="502"/>
      <c r="AI436" s="502"/>
      <c r="AJ436" s="502"/>
      <c r="AK436" s="502"/>
      <c r="AP436" s="502"/>
      <c r="AQ436" s="502"/>
      <c r="AR436" s="502"/>
      <c r="AS436" s="502"/>
    </row>
    <row r="437" spans="34:45" ht="12.75" x14ac:dyDescent="0.2">
      <c r="AH437" s="502"/>
      <c r="AI437" s="502"/>
      <c r="AJ437" s="502"/>
      <c r="AK437" s="502"/>
      <c r="AP437" s="502"/>
      <c r="AQ437" s="502"/>
      <c r="AR437" s="502"/>
      <c r="AS437" s="502"/>
    </row>
    <row r="438" spans="34:45" ht="12.75" x14ac:dyDescent="0.2">
      <c r="AH438" s="502"/>
      <c r="AI438" s="502"/>
      <c r="AJ438" s="502"/>
      <c r="AK438" s="502"/>
      <c r="AP438" s="502"/>
      <c r="AQ438" s="502"/>
      <c r="AR438" s="502"/>
      <c r="AS438" s="502"/>
    </row>
    <row r="439" spans="34:45" ht="12.75" x14ac:dyDescent="0.2">
      <c r="AH439" s="502"/>
      <c r="AI439" s="502"/>
      <c r="AJ439" s="502"/>
      <c r="AK439" s="502"/>
      <c r="AP439" s="502"/>
      <c r="AQ439" s="502"/>
      <c r="AR439" s="502"/>
      <c r="AS439" s="502"/>
    </row>
    <row r="440" spans="34:45" ht="12.75" x14ac:dyDescent="0.2">
      <c r="AH440" s="502"/>
      <c r="AI440" s="502"/>
      <c r="AJ440" s="502"/>
      <c r="AK440" s="502"/>
      <c r="AP440" s="502"/>
      <c r="AQ440" s="502"/>
      <c r="AR440" s="502"/>
      <c r="AS440" s="502"/>
    </row>
    <row r="441" spans="34:45" ht="12.75" x14ac:dyDescent="0.2">
      <c r="AH441" s="502"/>
      <c r="AI441" s="502"/>
      <c r="AJ441" s="502"/>
      <c r="AK441" s="502"/>
      <c r="AP441" s="502"/>
      <c r="AQ441" s="502"/>
      <c r="AR441" s="502"/>
      <c r="AS441" s="502"/>
    </row>
    <row r="442" spans="34:45" ht="12.75" x14ac:dyDescent="0.2">
      <c r="AH442" s="502"/>
      <c r="AI442" s="502"/>
      <c r="AJ442" s="502"/>
      <c r="AK442" s="502"/>
      <c r="AP442" s="502"/>
      <c r="AQ442" s="502"/>
      <c r="AR442" s="502"/>
      <c r="AS442" s="502"/>
    </row>
    <row r="443" spans="34:45" ht="12.75" x14ac:dyDescent="0.2">
      <c r="AH443" s="502"/>
      <c r="AI443" s="502"/>
      <c r="AJ443" s="502"/>
      <c r="AK443" s="502"/>
      <c r="AP443" s="502"/>
      <c r="AQ443" s="502"/>
      <c r="AR443" s="502"/>
      <c r="AS443" s="502"/>
    </row>
    <row r="444" spans="34:45" ht="12.75" x14ac:dyDescent="0.2">
      <c r="AH444" s="502"/>
      <c r="AI444" s="502"/>
      <c r="AJ444" s="502"/>
      <c r="AK444" s="502"/>
      <c r="AP444" s="502"/>
      <c r="AQ444" s="502"/>
      <c r="AR444" s="502"/>
      <c r="AS444" s="502"/>
    </row>
    <row r="445" spans="34:45" ht="12.75" x14ac:dyDescent="0.2">
      <c r="AH445" s="502"/>
      <c r="AI445" s="502"/>
      <c r="AJ445" s="502"/>
      <c r="AK445" s="502"/>
      <c r="AP445" s="502"/>
      <c r="AQ445" s="502"/>
      <c r="AR445" s="502"/>
      <c r="AS445" s="502"/>
    </row>
    <row r="446" spans="34:45" ht="12.75" x14ac:dyDescent="0.2">
      <c r="AH446" s="502"/>
      <c r="AI446" s="502"/>
      <c r="AJ446" s="502"/>
      <c r="AK446" s="502"/>
      <c r="AP446" s="502"/>
      <c r="AQ446" s="502"/>
      <c r="AR446" s="502"/>
      <c r="AS446" s="502"/>
    </row>
    <row r="447" spans="34:45" ht="12.75" x14ac:dyDescent="0.2">
      <c r="AH447" s="502"/>
      <c r="AI447" s="502"/>
      <c r="AJ447" s="502"/>
      <c r="AK447" s="502"/>
      <c r="AP447" s="502"/>
      <c r="AQ447" s="502"/>
      <c r="AR447" s="502"/>
      <c r="AS447" s="502"/>
    </row>
    <row r="448" spans="34:45" ht="12.75" x14ac:dyDescent="0.2">
      <c r="AH448" s="502"/>
      <c r="AI448" s="502"/>
      <c r="AJ448" s="502"/>
      <c r="AK448" s="502"/>
      <c r="AP448" s="502"/>
      <c r="AQ448" s="502"/>
      <c r="AR448" s="502"/>
      <c r="AS448" s="502"/>
    </row>
    <row r="449" spans="34:45" ht="12.75" x14ac:dyDescent="0.2">
      <c r="AH449" s="502"/>
      <c r="AI449" s="502"/>
      <c r="AJ449" s="502"/>
      <c r="AK449" s="502"/>
      <c r="AP449" s="502"/>
      <c r="AQ449" s="502"/>
      <c r="AR449" s="502"/>
      <c r="AS449" s="502"/>
    </row>
    <row r="450" spans="34:45" ht="12.75" x14ac:dyDescent="0.2">
      <c r="AH450" s="502"/>
      <c r="AI450" s="502"/>
      <c r="AJ450" s="502"/>
      <c r="AK450" s="502"/>
      <c r="AP450" s="502"/>
      <c r="AQ450" s="502"/>
      <c r="AR450" s="502"/>
      <c r="AS450" s="502"/>
    </row>
    <row r="451" spans="34:45" ht="12.75" x14ac:dyDescent="0.2">
      <c r="AH451" s="502"/>
      <c r="AI451" s="502"/>
      <c r="AJ451" s="502"/>
      <c r="AK451" s="502"/>
      <c r="AP451" s="502"/>
      <c r="AQ451" s="502"/>
      <c r="AR451" s="502"/>
      <c r="AS451" s="502"/>
    </row>
    <row r="452" spans="34:45" ht="12.75" x14ac:dyDescent="0.2">
      <c r="AH452" s="502"/>
      <c r="AI452" s="502"/>
      <c r="AJ452" s="502"/>
      <c r="AK452" s="502"/>
      <c r="AP452" s="502"/>
      <c r="AQ452" s="502"/>
      <c r="AR452" s="502"/>
      <c r="AS452" s="502"/>
    </row>
    <row r="453" spans="34:45" ht="12.75" x14ac:dyDescent="0.2">
      <c r="AH453" s="502"/>
      <c r="AI453" s="502"/>
      <c r="AJ453" s="502"/>
      <c r="AK453" s="502"/>
      <c r="AP453" s="502"/>
      <c r="AQ453" s="502"/>
      <c r="AR453" s="502"/>
      <c r="AS453" s="502"/>
    </row>
    <row r="454" spans="34:45" ht="12.75" x14ac:dyDescent="0.2">
      <c r="AH454" s="502"/>
      <c r="AI454" s="502"/>
      <c r="AJ454" s="502"/>
      <c r="AK454" s="502"/>
      <c r="AP454" s="502"/>
      <c r="AQ454" s="502"/>
      <c r="AR454" s="502"/>
      <c r="AS454" s="502"/>
    </row>
    <row r="455" spans="34:45" ht="12.75" x14ac:dyDescent="0.2">
      <c r="AH455" s="502"/>
      <c r="AI455" s="502"/>
      <c r="AJ455" s="502"/>
      <c r="AK455" s="502"/>
      <c r="AP455" s="502"/>
      <c r="AQ455" s="502"/>
      <c r="AR455" s="502"/>
      <c r="AS455" s="502"/>
    </row>
    <row r="456" spans="34:45" ht="12.75" x14ac:dyDescent="0.2">
      <c r="AH456" s="502"/>
      <c r="AI456" s="502"/>
      <c r="AJ456" s="502"/>
      <c r="AK456" s="502"/>
      <c r="AP456" s="502"/>
      <c r="AQ456" s="502"/>
      <c r="AR456" s="502"/>
      <c r="AS456" s="502"/>
    </row>
    <row r="457" spans="34:45" ht="12.75" x14ac:dyDescent="0.2">
      <c r="AH457" s="502"/>
      <c r="AI457" s="502"/>
      <c r="AJ457" s="502"/>
      <c r="AK457" s="502"/>
      <c r="AP457" s="502"/>
      <c r="AQ457" s="502"/>
      <c r="AR457" s="502"/>
      <c r="AS457" s="502"/>
    </row>
    <row r="458" spans="34:45" ht="12.75" x14ac:dyDescent="0.2">
      <c r="AH458" s="502"/>
      <c r="AI458" s="502"/>
      <c r="AJ458" s="502"/>
      <c r="AK458" s="502"/>
      <c r="AP458" s="502"/>
      <c r="AQ458" s="502"/>
      <c r="AR458" s="502"/>
      <c r="AS458" s="502"/>
    </row>
    <row r="459" spans="34:45" ht="12.75" x14ac:dyDescent="0.2">
      <c r="AH459" s="502"/>
      <c r="AI459" s="502"/>
      <c r="AJ459" s="502"/>
      <c r="AK459" s="502"/>
      <c r="AP459" s="502"/>
      <c r="AQ459" s="502"/>
      <c r="AR459" s="502"/>
      <c r="AS459" s="502"/>
    </row>
    <row r="460" spans="34:45" ht="12.75" x14ac:dyDescent="0.2">
      <c r="AH460" s="502"/>
      <c r="AI460" s="502"/>
      <c r="AJ460" s="502"/>
      <c r="AK460" s="502"/>
      <c r="AP460" s="502"/>
      <c r="AQ460" s="502"/>
      <c r="AR460" s="502"/>
      <c r="AS460" s="502"/>
    </row>
    <row r="461" spans="34:45" ht="12.75" x14ac:dyDescent="0.2">
      <c r="AH461" s="502"/>
      <c r="AI461" s="502"/>
      <c r="AJ461" s="502"/>
      <c r="AK461" s="502"/>
      <c r="AP461" s="502"/>
      <c r="AQ461" s="502"/>
      <c r="AR461" s="502"/>
      <c r="AS461" s="502"/>
    </row>
    <row r="462" spans="34:45" ht="12.75" x14ac:dyDescent="0.2">
      <c r="AH462" s="502"/>
      <c r="AI462" s="502"/>
      <c r="AJ462" s="502"/>
      <c r="AK462" s="502"/>
      <c r="AP462" s="502"/>
      <c r="AQ462" s="502"/>
      <c r="AR462" s="502"/>
      <c r="AS462" s="502"/>
    </row>
    <row r="463" spans="34:45" ht="12.75" x14ac:dyDescent="0.2">
      <c r="AH463" s="502"/>
      <c r="AI463" s="502"/>
      <c r="AJ463" s="502"/>
      <c r="AK463" s="502"/>
      <c r="AP463" s="502"/>
      <c r="AQ463" s="502"/>
      <c r="AR463" s="502"/>
      <c r="AS463" s="502"/>
    </row>
    <row r="464" spans="34:45" ht="12.75" x14ac:dyDescent="0.2">
      <c r="AH464" s="502"/>
      <c r="AI464" s="502"/>
      <c r="AJ464" s="502"/>
      <c r="AK464" s="502"/>
      <c r="AP464" s="502"/>
      <c r="AQ464" s="502"/>
      <c r="AR464" s="502"/>
      <c r="AS464" s="502"/>
    </row>
    <row r="465" spans="34:45" ht="12.75" x14ac:dyDescent="0.2">
      <c r="AH465" s="502"/>
      <c r="AI465" s="502"/>
      <c r="AJ465" s="502"/>
      <c r="AK465" s="502"/>
      <c r="AP465" s="502"/>
      <c r="AQ465" s="502"/>
      <c r="AR465" s="502"/>
      <c r="AS465" s="502"/>
    </row>
    <row r="466" spans="34:45" ht="12.75" x14ac:dyDescent="0.2">
      <c r="AH466" s="502"/>
      <c r="AI466" s="502"/>
      <c r="AJ466" s="502"/>
      <c r="AK466" s="502"/>
      <c r="AP466" s="502"/>
      <c r="AQ466" s="502"/>
      <c r="AR466" s="502"/>
      <c r="AS466" s="502"/>
    </row>
    <row r="467" spans="34:45" ht="12.75" x14ac:dyDescent="0.2">
      <c r="AH467" s="502"/>
      <c r="AI467" s="502"/>
      <c r="AJ467" s="502"/>
      <c r="AK467" s="502"/>
      <c r="AP467" s="502"/>
      <c r="AQ467" s="502"/>
      <c r="AR467" s="502"/>
      <c r="AS467" s="502"/>
    </row>
    <row r="468" spans="34:45" ht="12.75" x14ac:dyDescent="0.2">
      <c r="AH468" s="502"/>
      <c r="AI468" s="502"/>
      <c r="AJ468" s="502"/>
      <c r="AK468" s="502"/>
      <c r="AP468" s="502"/>
      <c r="AQ468" s="502"/>
      <c r="AR468" s="502"/>
      <c r="AS468" s="502"/>
    </row>
    <row r="469" spans="34:45" ht="12.75" x14ac:dyDescent="0.2">
      <c r="AH469" s="502"/>
      <c r="AI469" s="502"/>
      <c r="AJ469" s="502"/>
      <c r="AK469" s="502"/>
      <c r="AP469" s="502"/>
      <c r="AQ469" s="502"/>
      <c r="AR469" s="502"/>
      <c r="AS469" s="502"/>
    </row>
    <row r="470" spans="34:45" ht="12.75" x14ac:dyDescent="0.2">
      <c r="AH470" s="502"/>
      <c r="AI470" s="502"/>
      <c r="AJ470" s="502"/>
      <c r="AK470" s="502"/>
      <c r="AP470" s="502"/>
      <c r="AQ470" s="502"/>
      <c r="AR470" s="502"/>
      <c r="AS470" s="502"/>
    </row>
    <row r="471" spans="34:45" ht="12.75" x14ac:dyDescent="0.2">
      <c r="AH471" s="502"/>
      <c r="AI471" s="502"/>
      <c r="AJ471" s="502"/>
      <c r="AK471" s="502"/>
      <c r="AP471" s="502"/>
      <c r="AQ471" s="502"/>
      <c r="AR471" s="502"/>
      <c r="AS471" s="502"/>
    </row>
    <row r="472" spans="34:45" ht="12.75" x14ac:dyDescent="0.2">
      <c r="AH472" s="502"/>
      <c r="AI472" s="502"/>
      <c r="AJ472" s="502"/>
      <c r="AK472" s="502"/>
      <c r="AP472" s="502"/>
      <c r="AQ472" s="502"/>
      <c r="AR472" s="502"/>
      <c r="AS472" s="502"/>
    </row>
    <row r="473" spans="34:45" ht="12.75" x14ac:dyDescent="0.2">
      <c r="AH473" s="502"/>
      <c r="AI473" s="502"/>
      <c r="AJ473" s="502"/>
      <c r="AK473" s="502"/>
      <c r="AP473" s="502"/>
      <c r="AQ473" s="502"/>
      <c r="AR473" s="502"/>
      <c r="AS473" s="502"/>
    </row>
    <row r="474" spans="34:45" ht="12.75" x14ac:dyDescent="0.2">
      <c r="AH474" s="502"/>
      <c r="AI474" s="502"/>
      <c r="AJ474" s="502"/>
      <c r="AK474" s="502"/>
      <c r="AP474" s="502"/>
      <c r="AQ474" s="502"/>
      <c r="AR474" s="502"/>
      <c r="AS474" s="502"/>
    </row>
    <row r="475" spans="34:45" ht="12.75" x14ac:dyDescent="0.2">
      <c r="AH475" s="502"/>
      <c r="AI475" s="502"/>
      <c r="AJ475" s="502"/>
      <c r="AK475" s="502"/>
      <c r="AP475" s="502"/>
      <c r="AQ475" s="502"/>
      <c r="AR475" s="502"/>
      <c r="AS475" s="502"/>
    </row>
    <row r="476" spans="34:45" ht="12.75" x14ac:dyDescent="0.2">
      <c r="AH476" s="502"/>
      <c r="AI476" s="502"/>
      <c r="AJ476" s="502"/>
      <c r="AK476" s="502"/>
      <c r="AP476" s="502"/>
      <c r="AQ476" s="502"/>
      <c r="AR476" s="502"/>
      <c r="AS476" s="502"/>
    </row>
    <row r="477" spans="34:45" ht="12.75" x14ac:dyDescent="0.2">
      <c r="AH477" s="502"/>
      <c r="AI477" s="502"/>
      <c r="AJ477" s="502"/>
      <c r="AK477" s="502"/>
      <c r="AP477" s="502"/>
      <c r="AQ477" s="502"/>
      <c r="AR477" s="502"/>
      <c r="AS477" s="502"/>
    </row>
    <row r="478" spans="34:45" ht="12.75" x14ac:dyDescent="0.2">
      <c r="AH478" s="502"/>
      <c r="AI478" s="502"/>
      <c r="AJ478" s="502"/>
      <c r="AK478" s="502"/>
      <c r="AP478" s="502"/>
      <c r="AQ478" s="502"/>
      <c r="AR478" s="502"/>
      <c r="AS478" s="502"/>
    </row>
    <row r="479" spans="34:45" ht="12.75" x14ac:dyDescent="0.2">
      <c r="AH479" s="502"/>
      <c r="AI479" s="502"/>
      <c r="AJ479" s="502"/>
      <c r="AK479" s="502"/>
      <c r="AP479" s="502"/>
      <c r="AQ479" s="502"/>
      <c r="AR479" s="502"/>
      <c r="AS479" s="502"/>
    </row>
    <row r="480" spans="34:45" ht="12.75" x14ac:dyDescent="0.2">
      <c r="AH480" s="502"/>
      <c r="AI480" s="502"/>
      <c r="AJ480" s="502"/>
      <c r="AK480" s="502"/>
      <c r="AP480" s="502"/>
      <c r="AQ480" s="502"/>
      <c r="AR480" s="502"/>
      <c r="AS480" s="502"/>
    </row>
    <row r="481" spans="34:45" ht="12.75" x14ac:dyDescent="0.2">
      <c r="AH481" s="502"/>
      <c r="AI481" s="502"/>
      <c r="AJ481" s="502"/>
      <c r="AK481" s="502"/>
      <c r="AP481" s="502"/>
      <c r="AQ481" s="502"/>
      <c r="AR481" s="502"/>
      <c r="AS481" s="502"/>
    </row>
    <row r="482" spans="34:45" ht="12.75" x14ac:dyDescent="0.2">
      <c r="AH482" s="502"/>
      <c r="AI482" s="502"/>
      <c r="AJ482" s="502"/>
      <c r="AK482" s="502"/>
      <c r="AP482" s="502"/>
      <c r="AQ482" s="502"/>
      <c r="AR482" s="502"/>
      <c r="AS482" s="502"/>
    </row>
    <row r="483" spans="34:45" ht="12.75" x14ac:dyDescent="0.2">
      <c r="AH483" s="502"/>
      <c r="AI483" s="502"/>
      <c r="AJ483" s="502"/>
      <c r="AK483" s="502"/>
      <c r="AP483" s="502"/>
      <c r="AQ483" s="502"/>
      <c r="AR483" s="502"/>
      <c r="AS483" s="502"/>
    </row>
    <row r="484" spans="34:45" ht="12.75" x14ac:dyDescent="0.2">
      <c r="AH484" s="502"/>
      <c r="AI484" s="502"/>
      <c r="AJ484" s="502"/>
      <c r="AK484" s="502"/>
      <c r="AP484" s="502"/>
      <c r="AQ484" s="502"/>
      <c r="AR484" s="502"/>
      <c r="AS484" s="502"/>
    </row>
    <row r="485" spans="34:45" ht="12.75" x14ac:dyDescent="0.2">
      <c r="AH485" s="502"/>
      <c r="AI485" s="502"/>
      <c r="AJ485" s="502"/>
      <c r="AK485" s="502"/>
      <c r="AP485" s="502"/>
      <c r="AQ485" s="502"/>
      <c r="AR485" s="502"/>
      <c r="AS485" s="502"/>
    </row>
    <row r="486" spans="34:45" ht="12.75" x14ac:dyDescent="0.2">
      <c r="AH486" s="502"/>
      <c r="AI486" s="502"/>
      <c r="AJ486" s="502"/>
      <c r="AK486" s="502"/>
      <c r="AP486" s="502"/>
      <c r="AQ486" s="502"/>
      <c r="AR486" s="502"/>
      <c r="AS486" s="502"/>
    </row>
    <row r="487" spans="34:45" ht="12.75" x14ac:dyDescent="0.2">
      <c r="AH487" s="502"/>
      <c r="AI487" s="502"/>
      <c r="AJ487" s="502"/>
      <c r="AK487" s="502"/>
      <c r="AP487" s="502"/>
      <c r="AQ487" s="502"/>
      <c r="AR487" s="502"/>
      <c r="AS487" s="502"/>
    </row>
    <row r="488" spans="34:45" ht="12.75" x14ac:dyDescent="0.2">
      <c r="AH488" s="502"/>
      <c r="AI488" s="502"/>
      <c r="AJ488" s="502"/>
      <c r="AK488" s="502"/>
      <c r="AP488" s="502"/>
      <c r="AQ488" s="502"/>
      <c r="AR488" s="502"/>
      <c r="AS488" s="502"/>
    </row>
    <row r="489" spans="34:45" ht="12.75" x14ac:dyDescent="0.2">
      <c r="AH489" s="502"/>
      <c r="AI489" s="502"/>
      <c r="AJ489" s="502"/>
      <c r="AK489" s="502"/>
      <c r="AP489" s="502"/>
      <c r="AQ489" s="502"/>
      <c r="AR489" s="502"/>
      <c r="AS489" s="502"/>
    </row>
    <row r="490" spans="34:45" ht="12.75" x14ac:dyDescent="0.2">
      <c r="AH490" s="502"/>
      <c r="AI490" s="502"/>
      <c r="AJ490" s="502"/>
      <c r="AK490" s="502"/>
      <c r="AP490" s="502"/>
      <c r="AQ490" s="502"/>
      <c r="AR490" s="502"/>
      <c r="AS490" s="502"/>
    </row>
    <row r="491" spans="34:45" ht="12.75" x14ac:dyDescent="0.2">
      <c r="AH491" s="502"/>
      <c r="AI491" s="502"/>
      <c r="AJ491" s="502"/>
      <c r="AK491" s="502"/>
      <c r="AP491" s="502"/>
      <c r="AQ491" s="502"/>
      <c r="AR491" s="502"/>
      <c r="AS491" s="502"/>
    </row>
    <row r="492" spans="34:45" ht="12.75" x14ac:dyDescent="0.2">
      <c r="AH492" s="502"/>
      <c r="AI492" s="502"/>
      <c r="AJ492" s="502"/>
      <c r="AK492" s="502"/>
      <c r="AP492" s="502"/>
      <c r="AQ492" s="502"/>
      <c r="AR492" s="502"/>
      <c r="AS492" s="502"/>
    </row>
    <row r="493" spans="34:45" ht="12.75" x14ac:dyDescent="0.2">
      <c r="AH493" s="502"/>
      <c r="AI493" s="502"/>
      <c r="AJ493" s="502"/>
      <c r="AK493" s="502"/>
      <c r="AP493" s="502"/>
      <c r="AQ493" s="502"/>
      <c r="AR493" s="502"/>
      <c r="AS493" s="502"/>
    </row>
    <row r="494" spans="34:45" ht="12.75" x14ac:dyDescent="0.2">
      <c r="AH494" s="502"/>
      <c r="AI494" s="502"/>
      <c r="AJ494" s="502"/>
      <c r="AK494" s="502"/>
      <c r="AP494" s="502"/>
      <c r="AQ494" s="502"/>
      <c r="AR494" s="502"/>
      <c r="AS494" s="502"/>
    </row>
    <row r="495" spans="34:45" ht="12.75" x14ac:dyDescent="0.2">
      <c r="AH495" s="502"/>
      <c r="AI495" s="502"/>
      <c r="AJ495" s="502"/>
      <c r="AK495" s="502"/>
      <c r="AP495" s="502"/>
      <c r="AQ495" s="502"/>
      <c r="AR495" s="502"/>
      <c r="AS495" s="502"/>
    </row>
    <row r="496" spans="34:45" ht="12.75" x14ac:dyDescent="0.2">
      <c r="AH496" s="502"/>
      <c r="AI496" s="502"/>
      <c r="AJ496" s="502"/>
      <c r="AK496" s="502"/>
      <c r="AP496" s="502"/>
      <c r="AQ496" s="502"/>
      <c r="AR496" s="502"/>
      <c r="AS496" s="502"/>
    </row>
    <row r="497" spans="34:45" ht="12.75" x14ac:dyDescent="0.2">
      <c r="AH497" s="502"/>
      <c r="AI497" s="502"/>
      <c r="AJ497" s="502"/>
      <c r="AK497" s="502"/>
      <c r="AP497" s="502"/>
      <c r="AQ497" s="502"/>
      <c r="AR497" s="502"/>
      <c r="AS497" s="502"/>
    </row>
    <row r="498" spans="34:45" ht="12.75" x14ac:dyDescent="0.2">
      <c r="AH498" s="502"/>
      <c r="AI498" s="502"/>
      <c r="AJ498" s="502"/>
      <c r="AK498" s="502"/>
      <c r="AP498" s="502"/>
      <c r="AQ498" s="502"/>
      <c r="AR498" s="502"/>
      <c r="AS498" s="502"/>
    </row>
    <row r="499" spans="34:45" ht="12.75" x14ac:dyDescent="0.2">
      <c r="AH499" s="502"/>
      <c r="AI499" s="502"/>
      <c r="AJ499" s="502"/>
      <c r="AK499" s="502"/>
      <c r="AP499" s="502"/>
      <c r="AQ499" s="502"/>
      <c r="AR499" s="502"/>
      <c r="AS499" s="502"/>
    </row>
    <row r="500" spans="34:45" ht="12.75" x14ac:dyDescent="0.2">
      <c r="AH500" s="502"/>
      <c r="AI500" s="502"/>
      <c r="AJ500" s="502"/>
      <c r="AK500" s="502"/>
      <c r="AP500" s="502"/>
      <c r="AQ500" s="502"/>
      <c r="AR500" s="502"/>
      <c r="AS500" s="502"/>
    </row>
    <row r="501" spans="34:45" ht="12.75" x14ac:dyDescent="0.2">
      <c r="AH501" s="502"/>
      <c r="AI501" s="502"/>
      <c r="AJ501" s="502"/>
      <c r="AK501" s="502"/>
      <c r="AP501" s="502"/>
      <c r="AQ501" s="502"/>
      <c r="AR501" s="502"/>
      <c r="AS501" s="502"/>
    </row>
    <row r="502" spans="34:45" ht="12.75" x14ac:dyDescent="0.2">
      <c r="AH502" s="502"/>
      <c r="AI502" s="502"/>
      <c r="AJ502" s="502"/>
      <c r="AK502" s="502"/>
      <c r="AP502" s="502"/>
      <c r="AQ502" s="502"/>
      <c r="AR502" s="502"/>
      <c r="AS502" s="502"/>
    </row>
    <row r="503" spans="34:45" ht="12.75" x14ac:dyDescent="0.2">
      <c r="AH503" s="502"/>
      <c r="AI503" s="502"/>
      <c r="AJ503" s="502"/>
      <c r="AK503" s="502"/>
      <c r="AP503" s="502"/>
      <c r="AQ503" s="502"/>
      <c r="AR503" s="502"/>
      <c r="AS503" s="502"/>
    </row>
    <row r="504" spans="34:45" ht="12.75" x14ac:dyDescent="0.2">
      <c r="AH504" s="502"/>
      <c r="AI504" s="502"/>
      <c r="AJ504" s="502"/>
      <c r="AK504" s="502"/>
      <c r="AP504" s="502"/>
      <c r="AQ504" s="502"/>
      <c r="AR504" s="502"/>
      <c r="AS504" s="502"/>
    </row>
    <row r="505" spans="34:45" ht="12.75" x14ac:dyDescent="0.2">
      <c r="AH505" s="502"/>
      <c r="AI505" s="502"/>
      <c r="AJ505" s="502"/>
      <c r="AK505" s="502"/>
      <c r="AP505" s="502"/>
      <c r="AQ505" s="502"/>
      <c r="AR505" s="502"/>
      <c r="AS505" s="502"/>
    </row>
    <row r="506" spans="34:45" ht="12.75" x14ac:dyDescent="0.2">
      <c r="AH506" s="502"/>
      <c r="AI506" s="502"/>
      <c r="AJ506" s="502"/>
      <c r="AK506" s="502"/>
      <c r="AP506" s="502"/>
      <c r="AQ506" s="502"/>
      <c r="AR506" s="502"/>
      <c r="AS506" s="502"/>
    </row>
    <row r="507" spans="34:45" ht="12.75" x14ac:dyDescent="0.2">
      <c r="AH507" s="502"/>
      <c r="AI507" s="502"/>
      <c r="AJ507" s="502"/>
      <c r="AK507" s="502"/>
      <c r="AP507" s="502"/>
      <c r="AQ507" s="502"/>
      <c r="AR507" s="502"/>
      <c r="AS507" s="502"/>
    </row>
    <row r="508" spans="34:45" ht="12.75" x14ac:dyDescent="0.2">
      <c r="AH508" s="502"/>
      <c r="AI508" s="502"/>
      <c r="AJ508" s="502"/>
      <c r="AK508" s="502"/>
      <c r="AP508" s="502"/>
      <c r="AQ508" s="502"/>
      <c r="AR508" s="502"/>
      <c r="AS508" s="502"/>
    </row>
    <row r="509" spans="34:45" ht="12.75" x14ac:dyDescent="0.2">
      <c r="AH509" s="502"/>
      <c r="AI509" s="502"/>
      <c r="AJ509" s="502"/>
      <c r="AK509" s="502"/>
      <c r="AP509" s="502"/>
      <c r="AQ509" s="502"/>
      <c r="AR509" s="502"/>
      <c r="AS509" s="502"/>
    </row>
    <row r="510" spans="34:45" ht="12.75" x14ac:dyDescent="0.2">
      <c r="AH510" s="502"/>
      <c r="AI510" s="502"/>
      <c r="AJ510" s="502"/>
      <c r="AK510" s="502"/>
      <c r="AP510" s="502"/>
      <c r="AQ510" s="502"/>
      <c r="AR510" s="502"/>
      <c r="AS510" s="502"/>
    </row>
    <row r="511" spans="34:45" ht="12.75" x14ac:dyDescent="0.2">
      <c r="AH511" s="502"/>
      <c r="AI511" s="502"/>
      <c r="AJ511" s="502"/>
      <c r="AK511" s="502"/>
      <c r="AP511" s="502"/>
      <c r="AQ511" s="502"/>
      <c r="AR511" s="502"/>
      <c r="AS511" s="502"/>
    </row>
    <row r="512" spans="34:45" ht="12.75" x14ac:dyDescent="0.2">
      <c r="AH512" s="502"/>
      <c r="AI512" s="502"/>
      <c r="AJ512" s="502"/>
      <c r="AK512" s="502"/>
      <c r="AP512" s="502"/>
      <c r="AQ512" s="502"/>
      <c r="AR512" s="502"/>
      <c r="AS512" s="502"/>
    </row>
    <row r="513" spans="34:45" ht="12.75" x14ac:dyDescent="0.2">
      <c r="AH513" s="502"/>
      <c r="AI513" s="502"/>
      <c r="AJ513" s="502"/>
      <c r="AK513" s="502"/>
      <c r="AP513" s="502"/>
      <c r="AQ513" s="502"/>
      <c r="AR513" s="502"/>
      <c r="AS513" s="502"/>
    </row>
    <row r="514" spans="34:45" ht="12.75" x14ac:dyDescent="0.2">
      <c r="AH514" s="502"/>
      <c r="AI514" s="502"/>
      <c r="AJ514" s="502"/>
      <c r="AK514" s="502"/>
      <c r="AP514" s="502"/>
      <c r="AQ514" s="502"/>
      <c r="AR514" s="502"/>
      <c r="AS514" s="502"/>
    </row>
    <row r="515" spans="34:45" ht="12.75" x14ac:dyDescent="0.2">
      <c r="AH515" s="502"/>
      <c r="AI515" s="502"/>
      <c r="AJ515" s="502"/>
      <c r="AK515" s="502"/>
      <c r="AP515" s="502"/>
      <c r="AQ515" s="502"/>
      <c r="AR515" s="502"/>
      <c r="AS515" s="502"/>
    </row>
    <row r="516" spans="34:45" ht="12.75" x14ac:dyDescent="0.2">
      <c r="AH516" s="502"/>
      <c r="AI516" s="502"/>
      <c r="AJ516" s="502"/>
      <c r="AK516" s="502"/>
      <c r="AP516" s="502"/>
      <c r="AQ516" s="502"/>
      <c r="AR516" s="502"/>
      <c r="AS516" s="502"/>
    </row>
    <row r="517" spans="34:45" ht="12.75" x14ac:dyDescent="0.2">
      <c r="AH517" s="502"/>
      <c r="AI517" s="502"/>
      <c r="AJ517" s="502"/>
      <c r="AK517" s="502"/>
      <c r="AP517" s="502"/>
      <c r="AQ517" s="502"/>
      <c r="AR517" s="502"/>
      <c r="AS517" s="502"/>
    </row>
    <row r="518" spans="34:45" ht="12.75" x14ac:dyDescent="0.2">
      <c r="AH518" s="502"/>
      <c r="AI518" s="502"/>
      <c r="AJ518" s="502"/>
      <c r="AK518" s="502"/>
      <c r="AP518" s="502"/>
      <c r="AQ518" s="502"/>
      <c r="AR518" s="502"/>
      <c r="AS518" s="502"/>
    </row>
    <row r="519" spans="34:45" ht="12.75" x14ac:dyDescent="0.2">
      <c r="AH519" s="502"/>
      <c r="AI519" s="502"/>
      <c r="AJ519" s="502"/>
      <c r="AK519" s="502"/>
      <c r="AP519" s="502"/>
      <c r="AQ519" s="502"/>
      <c r="AR519" s="502"/>
      <c r="AS519" s="502"/>
    </row>
    <row r="520" spans="34:45" ht="12.75" x14ac:dyDescent="0.2">
      <c r="AH520" s="502"/>
      <c r="AI520" s="502"/>
      <c r="AJ520" s="502"/>
      <c r="AK520" s="502"/>
      <c r="AP520" s="502"/>
      <c r="AQ520" s="502"/>
      <c r="AR520" s="502"/>
      <c r="AS520" s="502"/>
    </row>
    <row r="521" spans="34:45" ht="12.75" x14ac:dyDescent="0.2">
      <c r="AH521" s="502"/>
      <c r="AI521" s="502"/>
      <c r="AJ521" s="502"/>
      <c r="AK521" s="502"/>
      <c r="AP521" s="502"/>
      <c r="AQ521" s="502"/>
      <c r="AR521" s="502"/>
      <c r="AS521" s="502"/>
    </row>
    <row r="522" spans="34:45" ht="12.75" x14ac:dyDescent="0.2">
      <c r="AH522" s="502"/>
      <c r="AI522" s="502"/>
      <c r="AJ522" s="502"/>
      <c r="AK522" s="502"/>
      <c r="AP522" s="502"/>
      <c r="AQ522" s="502"/>
      <c r="AR522" s="502"/>
      <c r="AS522" s="502"/>
    </row>
    <row r="523" spans="34:45" ht="12.75" x14ac:dyDescent="0.2">
      <c r="AH523" s="502"/>
      <c r="AI523" s="502"/>
      <c r="AJ523" s="502"/>
      <c r="AK523" s="502"/>
      <c r="AP523" s="502"/>
      <c r="AQ523" s="502"/>
      <c r="AR523" s="502"/>
      <c r="AS523" s="502"/>
    </row>
    <row r="524" spans="34:45" ht="12.75" x14ac:dyDescent="0.2">
      <c r="AH524" s="502"/>
      <c r="AI524" s="502"/>
      <c r="AJ524" s="502"/>
      <c r="AK524" s="502"/>
      <c r="AP524" s="502"/>
      <c r="AQ524" s="502"/>
      <c r="AR524" s="502"/>
      <c r="AS524" s="502"/>
    </row>
    <row r="525" spans="34:45" ht="12.75" x14ac:dyDescent="0.2">
      <c r="AH525" s="502"/>
      <c r="AI525" s="502"/>
      <c r="AJ525" s="502"/>
      <c r="AK525" s="502"/>
      <c r="AP525" s="502"/>
      <c r="AQ525" s="502"/>
      <c r="AR525" s="502"/>
      <c r="AS525" s="502"/>
    </row>
    <row r="526" spans="34:45" ht="12.75" x14ac:dyDescent="0.2">
      <c r="AH526" s="502"/>
      <c r="AI526" s="502"/>
      <c r="AJ526" s="502"/>
      <c r="AK526" s="502"/>
      <c r="AP526" s="502"/>
      <c r="AQ526" s="502"/>
      <c r="AR526" s="502"/>
      <c r="AS526" s="502"/>
    </row>
    <row r="527" spans="34:45" ht="12.75" x14ac:dyDescent="0.2">
      <c r="AH527" s="502"/>
      <c r="AI527" s="502"/>
      <c r="AJ527" s="502"/>
      <c r="AK527" s="502"/>
      <c r="AP527" s="502"/>
      <c r="AQ527" s="502"/>
      <c r="AR527" s="502"/>
      <c r="AS527" s="502"/>
    </row>
    <row r="528" spans="34:45" ht="12.75" x14ac:dyDescent="0.2">
      <c r="AH528" s="502"/>
      <c r="AI528" s="502"/>
      <c r="AJ528" s="502"/>
      <c r="AK528" s="502"/>
      <c r="AP528" s="502"/>
      <c r="AQ528" s="502"/>
      <c r="AR528" s="502"/>
      <c r="AS528" s="502"/>
    </row>
    <row r="529" spans="34:45" ht="12.75" x14ac:dyDescent="0.2">
      <c r="AH529" s="502"/>
      <c r="AI529" s="502"/>
      <c r="AJ529" s="502"/>
      <c r="AK529" s="502"/>
      <c r="AP529" s="502"/>
      <c r="AQ529" s="502"/>
      <c r="AR529" s="502"/>
      <c r="AS529" s="502"/>
    </row>
    <row r="530" spans="34:45" ht="12.75" x14ac:dyDescent="0.2">
      <c r="AH530" s="502"/>
      <c r="AI530" s="502"/>
      <c r="AJ530" s="502"/>
      <c r="AK530" s="502"/>
      <c r="AP530" s="502"/>
      <c r="AQ530" s="502"/>
      <c r="AR530" s="502"/>
      <c r="AS530" s="502"/>
    </row>
    <row r="531" spans="34:45" ht="12.75" x14ac:dyDescent="0.2">
      <c r="AH531" s="502"/>
      <c r="AI531" s="502"/>
      <c r="AJ531" s="502"/>
      <c r="AK531" s="502"/>
      <c r="AP531" s="502"/>
      <c r="AQ531" s="502"/>
      <c r="AR531" s="502"/>
      <c r="AS531" s="502"/>
    </row>
    <row r="532" spans="34:45" ht="12.75" x14ac:dyDescent="0.2">
      <c r="AH532" s="502"/>
      <c r="AI532" s="502"/>
      <c r="AJ532" s="502"/>
      <c r="AK532" s="502"/>
      <c r="AP532" s="502"/>
      <c r="AQ532" s="502"/>
      <c r="AR532" s="502"/>
      <c r="AS532" s="502"/>
    </row>
    <row r="533" spans="34:45" ht="12.75" x14ac:dyDescent="0.2">
      <c r="AH533" s="502"/>
      <c r="AI533" s="502"/>
      <c r="AJ533" s="502"/>
      <c r="AK533" s="502"/>
      <c r="AP533" s="502"/>
      <c r="AQ533" s="502"/>
      <c r="AR533" s="502"/>
      <c r="AS533" s="502"/>
    </row>
    <row r="534" spans="34:45" ht="12.75" x14ac:dyDescent="0.2">
      <c r="AH534" s="502"/>
      <c r="AI534" s="502"/>
      <c r="AJ534" s="502"/>
      <c r="AK534" s="502"/>
      <c r="AP534" s="502"/>
      <c r="AQ534" s="502"/>
      <c r="AR534" s="502"/>
      <c r="AS534" s="502"/>
    </row>
    <row r="535" spans="34:45" ht="12.75" x14ac:dyDescent="0.2">
      <c r="AH535" s="502"/>
      <c r="AI535" s="502"/>
      <c r="AJ535" s="502"/>
      <c r="AK535" s="502"/>
      <c r="AP535" s="502"/>
      <c r="AQ535" s="502"/>
      <c r="AR535" s="502"/>
      <c r="AS535" s="502"/>
    </row>
    <row r="536" spans="34:45" ht="12.75" x14ac:dyDescent="0.2">
      <c r="AH536" s="502"/>
      <c r="AI536" s="502"/>
      <c r="AJ536" s="502"/>
      <c r="AK536" s="502"/>
      <c r="AP536" s="502"/>
      <c r="AQ536" s="502"/>
      <c r="AR536" s="502"/>
      <c r="AS536" s="502"/>
    </row>
    <row r="537" spans="34:45" ht="12.75" x14ac:dyDescent="0.2">
      <c r="AH537" s="502"/>
      <c r="AI537" s="502"/>
      <c r="AJ537" s="502"/>
      <c r="AK537" s="502"/>
      <c r="AP537" s="502"/>
      <c r="AQ537" s="502"/>
      <c r="AR537" s="502"/>
      <c r="AS537" s="502"/>
    </row>
    <row r="538" spans="34:45" ht="12.75" x14ac:dyDescent="0.2">
      <c r="AH538" s="502"/>
      <c r="AI538" s="502"/>
      <c r="AJ538" s="502"/>
      <c r="AK538" s="502"/>
      <c r="AP538" s="502"/>
      <c r="AQ538" s="502"/>
      <c r="AR538" s="502"/>
      <c r="AS538" s="502"/>
    </row>
    <row r="539" spans="34:45" ht="12.75" x14ac:dyDescent="0.2">
      <c r="AH539" s="502"/>
      <c r="AI539" s="502"/>
      <c r="AJ539" s="502"/>
      <c r="AK539" s="502"/>
      <c r="AP539" s="502"/>
      <c r="AQ539" s="502"/>
      <c r="AR539" s="502"/>
      <c r="AS539" s="502"/>
    </row>
    <row r="540" spans="34:45" ht="12.75" x14ac:dyDescent="0.2">
      <c r="AH540" s="502"/>
      <c r="AI540" s="502"/>
      <c r="AJ540" s="502"/>
      <c r="AK540" s="502"/>
      <c r="AP540" s="502"/>
      <c r="AQ540" s="502"/>
      <c r="AR540" s="502"/>
      <c r="AS540" s="502"/>
    </row>
    <row r="541" spans="34:45" ht="12.75" x14ac:dyDescent="0.2">
      <c r="AH541" s="502"/>
      <c r="AI541" s="502"/>
      <c r="AJ541" s="502"/>
      <c r="AK541" s="502"/>
      <c r="AP541" s="502"/>
      <c r="AQ541" s="502"/>
      <c r="AR541" s="502"/>
      <c r="AS541" s="502"/>
    </row>
    <row r="542" spans="34:45" ht="12.75" x14ac:dyDescent="0.2">
      <c r="AH542" s="502"/>
      <c r="AI542" s="502"/>
      <c r="AJ542" s="502"/>
      <c r="AK542" s="502"/>
      <c r="AP542" s="502"/>
      <c r="AQ542" s="502"/>
      <c r="AR542" s="502"/>
      <c r="AS542" s="502"/>
    </row>
    <row r="543" spans="34:45" ht="12.75" x14ac:dyDescent="0.2">
      <c r="AH543" s="502"/>
      <c r="AI543" s="502"/>
      <c r="AJ543" s="502"/>
      <c r="AK543" s="502"/>
      <c r="AP543" s="502"/>
      <c r="AQ543" s="502"/>
      <c r="AR543" s="502"/>
      <c r="AS543" s="502"/>
    </row>
    <row r="544" spans="34:45" ht="12.75" x14ac:dyDescent="0.2">
      <c r="AH544" s="502"/>
      <c r="AI544" s="502"/>
      <c r="AJ544" s="502"/>
      <c r="AK544" s="502"/>
      <c r="AP544" s="502"/>
      <c r="AQ544" s="502"/>
      <c r="AR544" s="502"/>
      <c r="AS544" s="502"/>
    </row>
    <row r="545" spans="34:45" ht="12.75" x14ac:dyDescent="0.2">
      <c r="AH545" s="502"/>
      <c r="AI545" s="502"/>
      <c r="AJ545" s="502"/>
      <c r="AK545" s="502"/>
      <c r="AP545" s="502"/>
      <c r="AQ545" s="502"/>
      <c r="AR545" s="502"/>
      <c r="AS545" s="502"/>
    </row>
    <row r="546" spans="34:45" ht="12.75" x14ac:dyDescent="0.2">
      <c r="AH546" s="502"/>
      <c r="AI546" s="502"/>
      <c r="AJ546" s="502"/>
      <c r="AK546" s="502"/>
      <c r="AP546" s="502"/>
      <c r="AQ546" s="502"/>
      <c r="AR546" s="502"/>
      <c r="AS546" s="502"/>
    </row>
    <row r="547" spans="34:45" ht="12.75" x14ac:dyDescent="0.2">
      <c r="AH547" s="502"/>
      <c r="AI547" s="502"/>
      <c r="AJ547" s="502"/>
      <c r="AK547" s="502"/>
      <c r="AP547" s="502"/>
      <c r="AQ547" s="502"/>
      <c r="AR547" s="502"/>
      <c r="AS547" s="502"/>
    </row>
    <row r="548" spans="34:45" ht="12.75" x14ac:dyDescent="0.2">
      <c r="AH548" s="502"/>
      <c r="AI548" s="502"/>
      <c r="AJ548" s="502"/>
      <c r="AK548" s="502"/>
      <c r="AP548" s="502"/>
      <c r="AQ548" s="502"/>
      <c r="AR548" s="502"/>
      <c r="AS548" s="502"/>
    </row>
    <row r="549" spans="34:45" ht="12.75" x14ac:dyDescent="0.2">
      <c r="AH549" s="502"/>
      <c r="AI549" s="502"/>
      <c r="AJ549" s="502"/>
      <c r="AK549" s="502"/>
      <c r="AP549" s="502"/>
      <c r="AQ549" s="502"/>
      <c r="AR549" s="502"/>
      <c r="AS549" s="502"/>
    </row>
    <row r="550" spans="34:45" ht="12.75" x14ac:dyDescent="0.2">
      <c r="AH550" s="502"/>
      <c r="AI550" s="502"/>
      <c r="AJ550" s="502"/>
      <c r="AK550" s="502"/>
      <c r="AP550" s="502"/>
      <c r="AQ550" s="502"/>
      <c r="AR550" s="502"/>
      <c r="AS550" s="502"/>
    </row>
    <row r="551" spans="34:45" ht="12.75" x14ac:dyDescent="0.2">
      <c r="AH551" s="502"/>
      <c r="AI551" s="502"/>
      <c r="AJ551" s="502"/>
      <c r="AK551" s="502"/>
      <c r="AP551" s="502"/>
      <c r="AQ551" s="502"/>
      <c r="AR551" s="502"/>
      <c r="AS551" s="502"/>
    </row>
    <row r="552" spans="34:45" ht="12.75" x14ac:dyDescent="0.2">
      <c r="AH552" s="502"/>
      <c r="AI552" s="502"/>
      <c r="AJ552" s="502"/>
      <c r="AK552" s="502"/>
      <c r="AP552" s="502"/>
      <c r="AQ552" s="502"/>
      <c r="AR552" s="502"/>
      <c r="AS552" s="502"/>
    </row>
    <row r="553" spans="34:45" ht="12.75" x14ac:dyDescent="0.2">
      <c r="AH553" s="502"/>
      <c r="AI553" s="502"/>
      <c r="AJ553" s="502"/>
      <c r="AK553" s="502"/>
      <c r="AP553" s="502"/>
      <c r="AQ553" s="502"/>
      <c r="AR553" s="502"/>
      <c r="AS553" s="502"/>
    </row>
    <row r="554" spans="34:45" ht="12.75" x14ac:dyDescent="0.2">
      <c r="AH554" s="502"/>
      <c r="AI554" s="502"/>
      <c r="AJ554" s="502"/>
      <c r="AK554" s="502"/>
      <c r="AP554" s="502"/>
      <c r="AQ554" s="502"/>
      <c r="AR554" s="502"/>
      <c r="AS554" s="502"/>
    </row>
    <row r="555" spans="34:45" ht="12.75" x14ac:dyDescent="0.2">
      <c r="AH555" s="502"/>
      <c r="AI555" s="502"/>
      <c r="AJ555" s="502"/>
      <c r="AK555" s="502"/>
      <c r="AP555" s="502"/>
      <c r="AQ555" s="502"/>
      <c r="AR555" s="502"/>
      <c r="AS555" s="502"/>
    </row>
    <row r="556" spans="34:45" ht="12.75" x14ac:dyDescent="0.2">
      <c r="AH556" s="502"/>
      <c r="AI556" s="502"/>
      <c r="AJ556" s="502"/>
      <c r="AK556" s="502"/>
      <c r="AP556" s="502"/>
      <c r="AQ556" s="502"/>
      <c r="AR556" s="502"/>
      <c r="AS556" s="502"/>
    </row>
    <row r="557" spans="34:45" ht="12.75" x14ac:dyDescent="0.2">
      <c r="AH557" s="502"/>
      <c r="AI557" s="502"/>
      <c r="AJ557" s="502"/>
      <c r="AK557" s="502"/>
      <c r="AP557" s="502"/>
      <c r="AQ557" s="502"/>
      <c r="AR557" s="502"/>
      <c r="AS557" s="502"/>
    </row>
    <row r="558" spans="34:45" ht="12.75" x14ac:dyDescent="0.2">
      <c r="AH558" s="502"/>
      <c r="AI558" s="502"/>
      <c r="AJ558" s="502"/>
      <c r="AK558" s="502"/>
      <c r="AP558" s="502"/>
      <c r="AQ558" s="502"/>
      <c r="AR558" s="502"/>
      <c r="AS558" s="502"/>
    </row>
    <row r="559" spans="34:45" ht="12.75" x14ac:dyDescent="0.2">
      <c r="AH559" s="502"/>
      <c r="AI559" s="502"/>
      <c r="AJ559" s="502"/>
      <c r="AK559" s="502"/>
      <c r="AP559" s="502"/>
      <c r="AQ559" s="502"/>
      <c r="AR559" s="502"/>
      <c r="AS559" s="502"/>
    </row>
    <row r="560" spans="34:45" ht="12.75" x14ac:dyDescent="0.2">
      <c r="AH560" s="502"/>
      <c r="AI560" s="502"/>
      <c r="AJ560" s="502"/>
      <c r="AK560" s="502"/>
      <c r="AP560" s="502"/>
      <c r="AQ560" s="502"/>
      <c r="AR560" s="502"/>
      <c r="AS560" s="502"/>
    </row>
    <row r="561" spans="34:45" ht="12.75" x14ac:dyDescent="0.2">
      <c r="AH561" s="502"/>
      <c r="AI561" s="502"/>
      <c r="AJ561" s="502"/>
      <c r="AK561" s="502"/>
      <c r="AP561" s="502"/>
      <c r="AQ561" s="502"/>
      <c r="AR561" s="502"/>
      <c r="AS561" s="502"/>
    </row>
    <row r="562" spans="34:45" ht="12.75" x14ac:dyDescent="0.2">
      <c r="AH562" s="502"/>
      <c r="AI562" s="502"/>
      <c r="AJ562" s="502"/>
      <c r="AK562" s="502"/>
      <c r="AP562" s="502"/>
      <c r="AQ562" s="502"/>
      <c r="AR562" s="502"/>
      <c r="AS562" s="502"/>
    </row>
    <row r="563" spans="34:45" ht="12.75" x14ac:dyDescent="0.2">
      <c r="AH563" s="502"/>
      <c r="AI563" s="502"/>
      <c r="AJ563" s="502"/>
      <c r="AK563" s="502"/>
      <c r="AP563" s="502"/>
      <c r="AQ563" s="502"/>
      <c r="AR563" s="502"/>
      <c r="AS563" s="502"/>
    </row>
    <row r="564" spans="34:45" ht="12.75" x14ac:dyDescent="0.2">
      <c r="AH564" s="502"/>
      <c r="AI564" s="502"/>
      <c r="AJ564" s="502"/>
      <c r="AK564" s="502"/>
      <c r="AP564" s="502"/>
      <c r="AQ564" s="502"/>
      <c r="AR564" s="502"/>
      <c r="AS564" s="502"/>
    </row>
    <row r="565" spans="34:45" ht="12.75" x14ac:dyDescent="0.2">
      <c r="AH565" s="502"/>
      <c r="AI565" s="502"/>
      <c r="AJ565" s="502"/>
      <c r="AK565" s="502"/>
      <c r="AP565" s="502"/>
      <c r="AQ565" s="502"/>
      <c r="AR565" s="502"/>
      <c r="AS565" s="502"/>
    </row>
    <row r="566" spans="34:45" ht="12.75" x14ac:dyDescent="0.2">
      <c r="AH566" s="502"/>
      <c r="AI566" s="502"/>
      <c r="AJ566" s="502"/>
      <c r="AK566" s="502"/>
      <c r="AP566" s="502"/>
      <c r="AQ566" s="502"/>
      <c r="AR566" s="502"/>
      <c r="AS566" s="502"/>
    </row>
    <row r="567" spans="34:45" ht="12.75" x14ac:dyDescent="0.2">
      <c r="AH567" s="502"/>
      <c r="AI567" s="502"/>
      <c r="AJ567" s="502"/>
      <c r="AK567" s="502"/>
      <c r="AP567" s="502"/>
      <c r="AQ567" s="502"/>
      <c r="AR567" s="502"/>
      <c r="AS567" s="502"/>
    </row>
    <row r="568" spans="34:45" ht="12.75" x14ac:dyDescent="0.2">
      <c r="AH568" s="502"/>
      <c r="AI568" s="502"/>
      <c r="AJ568" s="502"/>
      <c r="AK568" s="502"/>
      <c r="AP568" s="502"/>
      <c r="AQ568" s="502"/>
      <c r="AR568" s="502"/>
      <c r="AS568" s="502"/>
    </row>
    <row r="569" spans="34:45" ht="12.75" x14ac:dyDescent="0.2">
      <c r="AH569" s="502"/>
      <c r="AI569" s="502"/>
      <c r="AJ569" s="502"/>
      <c r="AK569" s="502"/>
      <c r="AP569" s="502"/>
      <c r="AQ569" s="502"/>
      <c r="AR569" s="502"/>
      <c r="AS569" s="502"/>
    </row>
    <row r="570" spans="34:45" ht="12.75" x14ac:dyDescent="0.2">
      <c r="AH570" s="502"/>
      <c r="AI570" s="502"/>
      <c r="AJ570" s="502"/>
      <c r="AK570" s="502"/>
      <c r="AP570" s="502"/>
      <c r="AQ570" s="502"/>
      <c r="AR570" s="502"/>
      <c r="AS570" s="502"/>
    </row>
    <row r="571" spans="34:45" ht="12.75" x14ac:dyDescent="0.2">
      <c r="AH571" s="502"/>
      <c r="AI571" s="502"/>
      <c r="AJ571" s="502"/>
      <c r="AK571" s="502"/>
      <c r="AP571" s="502"/>
      <c r="AQ571" s="502"/>
      <c r="AR571" s="502"/>
      <c r="AS571" s="502"/>
    </row>
    <row r="572" spans="34:45" ht="12.75" x14ac:dyDescent="0.2">
      <c r="AH572" s="502"/>
      <c r="AI572" s="502"/>
      <c r="AJ572" s="502"/>
      <c r="AK572" s="502"/>
      <c r="AP572" s="502"/>
      <c r="AQ572" s="502"/>
      <c r="AR572" s="502"/>
      <c r="AS572" s="502"/>
    </row>
    <row r="573" spans="34:45" ht="12.75" x14ac:dyDescent="0.2">
      <c r="AH573" s="502"/>
      <c r="AI573" s="502"/>
      <c r="AJ573" s="502"/>
      <c r="AK573" s="502"/>
      <c r="AP573" s="502"/>
      <c r="AQ573" s="502"/>
      <c r="AR573" s="502"/>
      <c r="AS573" s="502"/>
    </row>
    <row r="574" spans="34:45" ht="12.75" x14ac:dyDescent="0.2">
      <c r="AH574" s="502"/>
      <c r="AI574" s="502"/>
      <c r="AJ574" s="502"/>
      <c r="AK574" s="502"/>
      <c r="AP574" s="502"/>
      <c r="AQ574" s="502"/>
      <c r="AR574" s="502"/>
      <c r="AS574" s="502"/>
    </row>
    <row r="575" spans="34:45" ht="12.75" x14ac:dyDescent="0.2">
      <c r="AH575" s="502"/>
      <c r="AI575" s="502"/>
      <c r="AJ575" s="502"/>
      <c r="AK575" s="502"/>
      <c r="AP575" s="502"/>
      <c r="AQ575" s="502"/>
      <c r="AR575" s="502"/>
      <c r="AS575" s="502"/>
    </row>
    <row r="576" spans="34:45" ht="12.75" x14ac:dyDescent="0.2">
      <c r="AH576" s="502"/>
      <c r="AI576" s="502"/>
      <c r="AJ576" s="502"/>
      <c r="AK576" s="502"/>
      <c r="AP576" s="502"/>
      <c r="AQ576" s="502"/>
      <c r="AR576" s="502"/>
      <c r="AS576" s="502"/>
    </row>
    <row r="577" spans="34:45" ht="12.75" x14ac:dyDescent="0.2">
      <c r="AH577" s="502"/>
      <c r="AI577" s="502"/>
      <c r="AJ577" s="502"/>
      <c r="AK577" s="502"/>
      <c r="AP577" s="502"/>
      <c r="AQ577" s="502"/>
      <c r="AR577" s="502"/>
      <c r="AS577" s="502"/>
    </row>
    <row r="578" spans="34:45" ht="12.75" x14ac:dyDescent="0.2">
      <c r="AH578" s="502"/>
      <c r="AI578" s="502"/>
      <c r="AJ578" s="502"/>
      <c r="AK578" s="502"/>
      <c r="AP578" s="502"/>
      <c r="AQ578" s="502"/>
      <c r="AR578" s="502"/>
      <c r="AS578" s="502"/>
    </row>
    <row r="579" spans="34:45" ht="12.75" x14ac:dyDescent="0.2">
      <c r="AH579" s="502"/>
      <c r="AI579" s="502"/>
      <c r="AJ579" s="502"/>
      <c r="AK579" s="502"/>
      <c r="AP579" s="502"/>
      <c r="AQ579" s="502"/>
      <c r="AR579" s="502"/>
      <c r="AS579" s="502"/>
    </row>
    <row r="580" spans="34:45" ht="12.75" x14ac:dyDescent="0.2">
      <c r="AH580" s="502"/>
      <c r="AI580" s="502"/>
      <c r="AJ580" s="502"/>
      <c r="AK580" s="502"/>
      <c r="AP580" s="502"/>
      <c r="AQ580" s="502"/>
      <c r="AR580" s="502"/>
      <c r="AS580" s="502"/>
    </row>
    <row r="581" spans="34:45" ht="12.75" x14ac:dyDescent="0.2">
      <c r="AH581" s="502"/>
      <c r="AI581" s="502"/>
      <c r="AJ581" s="502"/>
      <c r="AK581" s="502"/>
      <c r="AP581" s="502"/>
      <c r="AQ581" s="502"/>
      <c r="AR581" s="502"/>
      <c r="AS581" s="502"/>
    </row>
    <row r="582" spans="34:45" ht="12.75" x14ac:dyDescent="0.2">
      <c r="AH582" s="502"/>
      <c r="AI582" s="502"/>
      <c r="AJ582" s="502"/>
      <c r="AK582" s="502"/>
      <c r="AP582" s="502"/>
      <c r="AQ582" s="502"/>
      <c r="AR582" s="502"/>
      <c r="AS582" s="502"/>
    </row>
    <row r="583" spans="34:45" ht="12.75" x14ac:dyDescent="0.2">
      <c r="AH583" s="502"/>
      <c r="AI583" s="502"/>
      <c r="AJ583" s="502"/>
      <c r="AK583" s="502"/>
      <c r="AP583" s="502"/>
      <c r="AQ583" s="502"/>
      <c r="AR583" s="502"/>
      <c r="AS583" s="502"/>
    </row>
    <row r="584" spans="34:45" ht="12.75" x14ac:dyDescent="0.2">
      <c r="AH584" s="502"/>
      <c r="AI584" s="502"/>
      <c r="AJ584" s="502"/>
      <c r="AK584" s="502"/>
      <c r="AP584" s="502"/>
      <c r="AQ584" s="502"/>
      <c r="AR584" s="502"/>
      <c r="AS584" s="502"/>
    </row>
    <row r="585" spans="34:45" ht="12.75" x14ac:dyDescent="0.2">
      <c r="AH585" s="502"/>
      <c r="AI585" s="502"/>
      <c r="AJ585" s="502"/>
      <c r="AK585" s="502"/>
      <c r="AP585" s="502"/>
      <c r="AQ585" s="502"/>
      <c r="AR585" s="502"/>
      <c r="AS585" s="502"/>
    </row>
    <row r="586" spans="34:45" ht="12.75" x14ac:dyDescent="0.2">
      <c r="AH586" s="502"/>
      <c r="AI586" s="502"/>
      <c r="AJ586" s="502"/>
      <c r="AK586" s="502"/>
      <c r="AP586" s="502"/>
      <c r="AQ586" s="502"/>
      <c r="AR586" s="502"/>
      <c r="AS586" s="502"/>
    </row>
    <row r="587" spans="34:45" ht="12.75" x14ac:dyDescent="0.2">
      <c r="AH587" s="502"/>
      <c r="AI587" s="502"/>
      <c r="AJ587" s="502"/>
      <c r="AK587" s="502"/>
      <c r="AP587" s="502"/>
      <c r="AQ587" s="502"/>
      <c r="AR587" s="502"/>
      <c r="AS587" s="502"/>
    </row>
    <row r="588" spans="34:45" ht="12.75" x14ac:dyDescent="0.2">
      <c r="AH588" s="502"/>
      <c r="AI588" s="502"/>
      <c r="AJ588" s="502"/>
      <c r="AK588" s="502"/>
      <c r="AP588" s="502"/>
      <c r="AQ588" s="502"/>
      <c r="AR588" s="502"/>
      <c r="AS588" s="502"/>
    </row>
    <row r="589" spans="34:45" ht="12.75" x14ac:dyDescent="0.2">
      <c r="AH589" s="502"/>
      <c r="AI589" s="502"/>
      <c r="AJ589" s="502"/>
      <c r="AK589" s="502"/>
      <c r="AP589" s="502"/>
      <c r="AQ589" s="502"/>
      <c r="AR589" s="502"/>
      <c r="AS589" s="502"/>
    </row>
    <row r="590" spans="34:45" ht="12.75" x14ac:dyDescent="0.2">
      <c r="AH590" s="502"/>
      <c r="AI590" s="502"/>
      <c r="AJ590" s="502"/>
      <c r="AK590" s="502"/>
      <c r="AP590" s="502"/>
      <c r="AQ590" s="502"/>
      <c r="AR590" s="502"/>
      <c r="AS590" s="502"/>
    </row>
    <row r="591" spans="34:45" ht="12.75" x14ac:dyDescent="0.2">
      <c r="AH591" s="502"/>
      <c r="AI591" s="502"/>
      <c r="AJ591" s="502"/>
      <c r="AK591" s="502"/>
      <c r="AP591" s="502"/>
      <c r="AQ591" s="502"/>
      <c r="AR591" s="502"/>
      <c r="AS591" s="502"/>
    </row>
    <row r="592" spans="34:45" ht="12.75" x14ac:dyDescent="0.2">
      <c r="AH592" s="502"/>
      <c r="AI592" s="502"/>
      <c r="AJ592" s="502"/>
      <c r="AK592" s="502"/>
      <c r="AP592" s="502"/>
      <c r="AQ592" s="502"/>
      <c r="AR592" s="502"/>
      <c r="AS592" s="502"/>
    </row>
    <row r="593" spans="34:45" ht="12.75" x14ac:dyDescent="0.2">
      <c r="AH593" s="502"/>
      <c r="AI593" s="502"/>
      <c r="AJ593" s="502"/>
      <c r="AK593" s="502"/>
      <c r="AP593" s="502"/>
      <c r="AQ593" s="502"/>
      <c r="AR593" s="502"/>
      <c r="AS593" s="502"/>
    </row>
    <row r="594" spans="34:45" ht="12.75" x14ac:dyDescent="0.2">
      <c r="AH594" s="502"/>
      <c r="AI594" s="502"/>
      <c r="AJ594" s="502"/>
      <c r="AK594" s="502"/>
      <c r="AP594" s="502"/>
      <c r="AQ594" s="502"/>
      <c r="AR594" s="502"/>
      <c r="AS594" s="502"/>
    </row>
    <row r="595" spans="34:45" ht="12.75" x14ac:dyDescent="0.2">
      <c r="AH595" s="502"/>
      <c r="AI595" s="502"/>
      <c r="AJ595" s="502"/>
      <c r="AK595" s="502"/>
      <c r="AP595" s="502"/>
      <c r="AQ595" s="502"/>
      <c r="AR595" s="502"/>
      <c r="AS595" s="502"/>
    </row>
    <row r="596" spans="34:45" ht="12.75" x14ac:dyDescent="0.2">
      <c r="AH596" s="502"/>
      <c r="AI596" s="502"/>
      <c r="AJ596" s="502"/>
      <c r="AK596" s="502"/>
      <c r="AP596" s="502"/>
      <c r="AQ596" s="502"/>
      <c r="AR596" s="502"/>
      <c r="AS596" s="502"/>
    </row>
    <row r="597" spans="34:45" ht="12.75" x14ac:dyDescent="0.2">
      <c r="AH597" s="502"/>
      <c r="AI597" s="502"/>
      <c r="AJ597" s="502"/>
      <c r="AK597" s="502"/>
      <c r="AP597" s="502"/>
      <c r="AQ597" s="502"/>
      <c r="AR597" s="502"/>
      <c r="AS597" s="502"/>
    </row>
    <row r="598" spans="34:45" ht="12.75" x14ac:dyDescent="0.2">
      <c r="AH598" s="502"/>
      <c r="AI598" s="502"/>
      <c r="AJ598" s="502"/>
      <c r="AK598" s="502"/>
      <c r="AP598" s="502"/>
      <c r="AQ598" s="502"/>
      <c r="AR598" s="502"/>
      <c r="AS598" s="502"/>
    </row>
    <row r="599" spans="34:45" ht="12.75" x14ac:dyDescent="0.2">
      <c r="AH599" s="502"/>
      <c r="AI599" s="502"/>
      <c r="AJ599" s="502"/>
      <c r="AK599" s="502"/>
      <c r="AP599" s="502"/>
      <c r="AQ599" s="502"/>
      <c r="AR599" s="502"/>
      <c r="AS599" s="502"/>
    </row>
    <row r="600" spans="34:45" ht="12.75" x14ac:dyDescent="0.2">
      <c r="AH600" s="502"/>
      <c r="AI600" s="502"/>
      <c r="AJ600" s="502"/>
      <c r="AK600" s="502"/>
      <c r="AP600" s="502"/>
      <c r="AQ600" s="502"/>
      <c r="AR600" s="502"/>
      <c r="AS600" s="502"/>
    </row>
    <row r="601" spans="34:45" ht="12.75" x14ac:dyDescent="0.2">
      <c r="AH601" s="502"/>
      <c r="AI601" s="502"/>
      <c r="AJ601" s="502"/>
      <c r="AK601" s="502"/>
      <c r="AP601" s="502"/>
      <c r="AQ601" s="502"/>
      <c r="AR601" s="502"/>
      <c r="AS601" s="502"/>
    </row>
    <row r="602" spans="34:45" ht="12.75" x14ac:dyDescent="0.2">
      <c r="AH602" s="502"/>
      <c r="AI602" s="502"/>
      <c r="AJ602" s="502"/>
      <c r="AK602" s="502"/>
      <c r="AP602" s="502"/>
      <c r="AQ602" s="502"/>
      <c r="AR602" s="502"/>
      <c r="AS602" s="502"/>
    </row>
    <row r="603" spans="34:45" ht="12.75" x14ac:dyDescent="0.2">
      <c r="AH603" s="502"/>
      <c r="AI603" s="502"/>
      <c r="AJ603" s="502"/>
      <c r="AK603" s="502"/>
      <c r="AP603" s="502"/>
      <c r="AQ603" s="502"/>
      <c r="AR603" s="502"/>
      <c r="AS603" s="502"/>
    </row>
    <row r="604" spans="34:45" ht="12.75" x14ac:dyDescent="0.2">
      <c r="AH604" s="502"/>
      <c r="AI604" s="502"/>
      <c r="AJ604" s="502"/>
      <c r="AK604" s="502"/>
      <c r="AP604" s="502"/>
      <c r="AQ604" s="502"/>
      <c r="AR604" s="502"/>
      <c r="AS604" s="502"/>
    </row>
    <row r="605" spans="34:45" ht="12.75" x14ac:dyDescent="0.2">
      <c r="AH605" s="502"/>
      <c r="AI605" s="502"/>
      <c r="AJ605" s="502"/>
      <c r="AK605" s="502"/>
      <c r="AP605" s="502"/>
      <c r="AQ605" s="502"/>
      <c r="AR605" s="502"/>
      <c r="AS605" s="502"/>
    </row>
    <row r="606" spans="34:45" ht="12.75" x14ac:dyDescent="0.2">
      <c r="AH606" s="502"/>
      <c r="AI606" s="502"/>
      <c r="AJ606" s="502"/>
      <c r="AK606" s="502"/>
      <c r="AP606" s="502"/>
      <c r="AQ606" s="502"/>
      <c r="AR606" s="502"/>
      <c r="AS606" s="502"/>
    </row>
    <row r="607" spans="34:45" ht="12.75" x14ac:dyDescent="0.2">
      <c r="AH607" s="502"/>
      <c r="AI607" s="502"/>
      <c r="AJ607" s="502"/>
      <c r="AK607" s="502"/>
      <c r="AP607" s="502"/>
      <c r="AQ607" s="502"/>
      <c r="AR607" s="502"/>
      <c r="AS607" s="502"/>
    </row>
    <row r="608" spans="34:45" ht="12.75" x14ac:dyDescent="0.2">
      <c r="AH608" s="502"/>
      <c r="AI608" s="502"/>
      <c r="AJ608" s="502"/>
      <c r="AK608" s="502"/>
      <c r="AP608" s="502"/>
      <c r="AQ608" s="502"/>
      <c r="AR608" s="502"/>
      <c r="AS608" s="502"/>
    </row>
    <row r="609" spans="34:45" ht="12.75" x14ac:dyDescent="0.2">
      <c r="AH609" s="502"/>
      <c r="AI609" s="502"/>
      <c r="AJ609" s="502"/>
      <c r="AK609" s="502"/>
      <c r="AP609" s="502"/>
      <c r="AQ609" s="502"/>
      <c r="AR609" s="502"/>
      <c r="AS609" s="502"/>
    </row>
    <row r="610" spans="34:45" ht="12.75" x14ac:dyDescent="0.2">
      <c r="AH610" s="502"/>
      <c r="AI610" s="502"/>
      <c r="AJ610" s="502"/>
      <c r="AK610" s="502"/>
      <c r="AP610" s="502"/>
      <c r="AQ610" s="502"/>
      <c r="AR610" s="502"/>
      <c r="AS610" s="502"/>
    </row>
    <row r="611" spans="34:45" ht="12.75" x14ac:dyDescent="0.2">
      <c r="AH611" s="502"/>
      <c r="AI611" s="502"/>
      <c r="AJ611" s="502"/>
      <c r="AK611" s="502"/>
      <c r="AP611" s="502"/>
      <c r="AQ611" s="502"/>
      <c r="AR611" s="502"/>
      <c r="AS611" s="502"/>
    </row>
    <row r="612" spans="34:45" ht="12.75" x14ac:dyDescent="0.2">
      <c r="AH612" s="502"/>
      <c r="AI612" s="502"/>
      <c r="AJ612" s="502"/>
      <c r="AK612" s="502"/>
      <c r="AP612" s="502"/>
      <c r="AQ612" s="502"/>
      <c r="AR612" s="502"/>
      <c r="AS612" s="502"/>
    </row>
    <row r="613" spans="34:45" ht="12.75" x14ac:dyDescent="0.2">
      <c r="AH613" s="502"/>
      <c r="AI613" s="502"/>
      <c r="AJ613" s="502"/>
      <c r="AK613" s="502"/>
      <c r="AP613" s="502"/>
      <c r="AQ613" s="502"/>
      <c r="AR613" s="502"/>
      <c r="AS613" s="502"/>
    </row>
    <row r="614" spans="34:45" ht="12.75" x14ac:dyDescent="0.2">
      <c r="AH614" s="502"/>
      <c r="AI614" s="502"/>
      <c r="AJ614" s="502"/>
      <c r="AK614" s="502"/>
      <c r="AP614" s="502"/>
      <c r="AQ614" s="502"/>
      <c r="AR614" s="502"/>
      <c r="AS614" s="502"/>
    </row>
    <row r="615" spans="34:45" ht="12.75" x14ac:dyDescent="0.2">
      <c r="AH615" s="502"/>
      <c r="AI615" s="502"/>
      <c r="AJ615" s="502"/>
      <c r="AK615" s="502"/>
      <c r="AP615" s="502"/>
      <c r="AQ615" s="502"/>
      <c r="AR615" s="502"/>
      <c r="AS615" s="502"/>
    </row>
    <row r="616" spans="34:45" ht="12.75" x14ac:dyDescent="0.2">
      <c r="AH616" s="502"/>
      <c r="AI616" s="502"/>
      <c r="AJ616" s="502"/>
      <c r="AK616" s="502"/>
      <c r="AP616" s="502"/>
      <c r="AQ616" s="502"/>
      <c r="AR616" s="502"/>
      <c r="AS616" s="502"/>
    </row>
    <row r="617" spans="34:45" ht="12.75" x14ac:dyDescent="0.2">
      <c r="AH617" s="502"/>
      <c r="AI617" s="502"/>
      <c r="AJ617" s="502"/>
      <c r="AK617" s="502"/>
      <c r="AP617" s="502"/>
      <c r="AQ617" s="502"/>
      <c r="AR617" s="502"/>
      <c r="AS617" s="502"/>
    </row>
    <row r="618" spans="34:45" ht="12.75" x14ac:dyDescent="0.2">
      <c r="AH618" s="502"/>
      <c r="AI618" s="502"/>
      <c r="AJ618" s="502"/>
      <c r="AK618" s="502"/>
      <c r="AP618" s="502"/>
      <c r="AQ618" s="502"/>
      <c r="AR618" s="502"/>
      <c r="AS618" s="502"/>
    </row>
    <row r="619" spans="34:45" ht="12.75" x14ac:dyDescent="0.2">
      <c r="AH619" s="502"/>
      <c r="AI619" s="502"/>
      <c r="AJ619" s="502"/>
      <c r="AK619" s="502"/>
      <c r="AP619" s="502"/>
      <c r="AQ619" s="502"/>
      <c r="AR619" s="502"/>
      <c r="AS619" s="502"/>
    </row>
    <row r="620" spans="34:45" ht="12.75" x14ac:dyDescent="0.2">
      <c r="AH620" s="502"/>
      <c r="AI620" s="502"/>
      <c r="AJ620" s="502"/>
      <c r="AK620" s="502"/>
      <c r="AP620" s="502"/>
      <c r="AQ620" s="502"/>
      <c r="AR620" s="502"/>
      <c r="AS620" s="502"/>
    </row>
    <row r="621" spans="34:45" ht="12.75" x14ac:dyDescent="0.2">
      <c r="AH621" s="502"/>
      <c r="AI621" s="502"/>
      <c r="AJ621" s="502"/>
      <c r="AK621" s="502"/>
      <c r="AP621" s="502"/>
      <c r="AQ621" s="502"/>
      <c r="AR621" s="502"/>
      <c r="AS621" s="502"/>
    </row>
    <row r="622" spans="34:45" ht="12.75" x14ac:dyDescent="0.2">
      <c r="AH622" s="502"/>
      <c r="AI622" s="502"/>
      <c r="AJ622" s="502"/>
      <c r="AK622" s="502"/>
      <c r="AP622" s="502"/>
      <c r="AQ622" s="502"/>
      <c r="AR622" s="502"/>
      <c r="AS622" s="502"/>
    </row>
    <row r="623" spans="34:45" ht="12.75" x14ac:dyDescent="0.2">
      <c r="AH623" s="502"/>
      <c r="AI623" s="502"/>
      <c r="AJ623" s="502"/>
      <c r="AK623" s="502"/>
      <c r="AP623" s="502"/>
      <c r="AQ623" s="502"/>
      <c r="AR623" s="502"/>
      <c r="AS623" s="502"/>
    </row>
    <row r="624" spans="34:45" ht="12.75" x14ac:dyDescent="0.2">
      <c r="AH624" s="502"/>
      <c r="AI624" s="502"/>
      <c r="AJ624" s="502"/>
      <c r="AK624" s="502"/>
      <c r="AP624" s="502"/>
      <c r="AQ624" s="502"/>
      <c r="AR624" s="502"/>
      <c r="AS624" s="502"/>
    </row>
    <row r="625" spans="34:45" ht="12.75" x14ac:dyDescent="0.2">
      <c r="AH625" s="502"/>
      <c r="AI625" s="502"/>
      <c r="AJ625" s="502"/>
      <c r="AK625" s="502"/>
      <c r="AP625" s="502"/>
      <c r="AQ625" s="502"/>
      <c r="AR625" s="502"/>
      <c r="AS625" s="502"/>
    </row>
    <row r="626" spans="34:45" ht="12.75" x14ac:dyDescent="0.2">
      <c r="AH626" s="502"/>
      <c r="AI626" s="502"/>
      <c r="AJ626" s="502"/>
      <c r="AK626" s="502"/>
      <c r="AP626" s="502"/>
      <c r="AQ626" s="502"/>
      <c r="AR626" s="502"/>
      <c r="AS626" s="502"/>
    </row>
    <row r="627" spans="34:45" ht="12.75" x14ac:dyDescent="0.2">
      <c r="AH627" s="502"/>
      <c r="AI627" s="502"/>
      <c r="AJ627" s="502"/>
      <c r="AK627" s="502"/>
      <c r="AP627" s="502"/>
      <c r="AQ627" s="502"/>
      <c r="AR627" s="502"/>
      <c r="AS627" s="502"/>
    </row>
    <row r="628" spans="34:45" ht="12.75" x14ac:dyDescent="0.2">
      <c r="AH628" s="502"/>
      <c r="AI628" s="502"/>
      <c r="AJ628" s="502"/>
      <c r="AK628" s="502"/>
      <c r="AP628" s="502"/>
      <c r="AQ628" s="502"/>
      <c r="AR628" s="502"/>
      <c r="AS628" s="502"/>
    </row>
    <row r="629" spans="34:45" ht="12.75" x14ac:dyDescent="0.2">
      <c r="AH629" s="502"/>
      <c r="AI629" s="502"/>
      <c r="AJ629" s="502"/>
      <c r="AK629" s="502"/>
      <c r="AP629" s="502"/>
      <c r="AQ629" s="502"/>
      <c r="AR629" s="502"/>
      <c r="AS629" s="502"/>
    </row>
    <row r="630" spans="34:45" ht="12.75" x14ac:dyDescent="0.2">
      <c r="AH630" s="502"/>
      <c r="AI630" s="502"/>
      <c r="AJ630" s="502"/>
      <c r="AK630" s="502"/>
      <c r="AP630" s="502"/>
      <c r="AQ630" s="502"/>
      <c r="AR630" s="502"/>
      <c r="AS630" s="502"/>
    </row>
    <row r="631" spans="34:45" ht="12.75" x14ac:dyDescent="0.2">
      <c r="AH631" s="502"/>
      <c r="AI631" s="502"/>
      <c r="AJ631" s="502"/>
      <c r="AK631" s="502"/>
      <c r="AP631" s="502"/>
      <c r="AQ631" s="502"/>
      <c r="AR631" s="502"/>
      <c r="AS631" s="502"/>
    </row>
    <row r="632" spans="34:45" ht="12.75" x14ac:dyDescent="0.2">
      <c r="AH632" s="502"/>
      <c r="AI632" s="502"/>
      <c r="AJ632" s="502"/>
      <c r="AK632" s="502"/>
      <c r="AP632" s="502"/>
      <c r="AQ632" s="502"/>
      <c r="AR632" s="502"/>
      <c r="AS632" s="502"/>
    </row>
    <row r="633" spans="34:45" ht="12.75" x14ac:dyDescent="0.2">
      <c r="AH633" s="502"/>
      <c r="AI633" s="502"/>
      <c r="AJ633" s="502"/>
      <c r="AK633" s="502"/>
      <c r="AP633" s="502"/>
      <c r="AQ633" s="502"/>
      <c r="AR633" s="502"/>
      <c r="AS633" s="502"/>
    </row>
    <row r="634" spans="34:45" ht="12.75" x14ac:dyDescent="0.2">
      <c r="AH634" s="502"/>
      <c r="AI634" s="502"/>
      <c r="AJ634" s="502"/>
      <c r="AK634" s="502"/>
      <c r="AP634" s="502"/>
      <c r="AQ634" s="502"/>
      <c r="AR634" s="502"/>
      <c r="AS634" s="502"/>
    </row>
    <row r="635" spans="34:45" ht="12.75" x14ac:dyDescent="0.2">
      <c r="AH635" s="502"/>
      <c r="AI635" s="502"/>
      <c r="AJ635" s="502"/>
      <c r="AK635" s="502"/>
      <c r="AP635" s="502"/>
      <c r="AQ635" s="502"/>
      <c r="AR635" s="502"/>
      <c r="AS635" s="502"/>
    </row>
    <row r="636" spans="34:45" ht="12.75" x14ac:dyDescent="0.2">
      <c r="AH636" s="502"/>
      <c r="AI636" s="502"/>
      <c r="AJ636" s="502"/>
      <c r="AK636" s="502"/>
      <c r="AP636" s="502"/>
      <c r="AQ636" s="502"/>
      <c r="AR636" s="502"/>
      <c r="AS636" s="502"/>
    </row>
    <row r="637" spans="34:45" ht="12.75" x14ac:dyDescent="0.2">
      <c r="AH637" s="502"/>
      <c r="AI637" s="502"/>
      <c r="AJ637" s="502"/>
      <c r="AK637" s="502"/>
      <c r="AP637" s="502"/>
      <c r="AQ637" s="502"/>
      <c r="AR637" s="502"/>
      <c r="AS637" s="502"/>
    </row>
    <row r="638" spans="34:45" ht="12.75" x14ac:dyDescent="0.2">
      <c r="AH638" s="502"/>
      <c r="AI638" s="502"/>
      <c r="AJ638" s="502"/>
      <c r="AK638" s="502"/>
      <c r="AP638" s="502"/>
      <c r="AQ638" s="502"/>
      <c r="AR638" s="502"/>
      <c r="AS638" s="502"/>
    </row>
    <row r="639" spans="34:45" ht="12.75" x14ac:dyDescent="0.2">
      <c r="AH639" s="502"/>
      <c r="AI639" s="502"/>
      <c r="AJ639" s="502"/>
      <c r="AK639" s="502"/>
      <c r="AP639" s="502"/>
      <c r="AQ639" s="502"/>
      <c r="AR639" s="502"/>
      <c r="AS639" s="502"/>
    </row>
    <row r="640" spans="34:45" ht="12.75" x14ac:dyDescent="0.2">
      <c r="AH640" s="502"/>
      <c r="AI640" s="502"/>
      <c r="AJ640" s="502"/>
      <c r="AK640" s="502"/>
      <c r="AP640" s="502"/>
      <c r="AQ640" s="502"/>
      <c r="AR640" s="502"/>
      <c r="AS640" s="502"/>
    </row>
    <row r="641" spans="34:45" ht="12.75" x14ac:dyDescent="0.2">
      <c r="AH641" s="502"/>
      <c r="AI641" s="502"/>
      <c r="AJ641" s="502"/>
      <c r="AK641" s="502"/>
      <c r="AP641" s="502"/>
      <c r="AQ641" s="502"/>
      <c r="AR641" s="502"/>
      <c r="AS641" s="502"/>
    </row>
    <row r="642" spans="34:45" ht="12.75" x14ac:dyDescent="0.2">
      <c r="AH642" s="502"/>
      <c r="AI642" s="502"/>
      <c r="AJ642" s="502"/>
      <c r="AK642" s="502"/>
      <c r="AP642" s="502"/>
      <c r="AQ642" s="502"/>
      <c r="AR642" s="502"/>
      <c r="AS642" s="502"/>
    </row>
    <row r="643" spans="34:45" ht="12.75" x14ac:dyDescent="0.2">
      <c r="AH643" s="502"/>
      <c r="AI643" s="502"/>
      <c r="AJ643" s="502"/>
      <c r="AK643" s="502"/>
      <c r="AP643" s="502"/>
      <c r="AQ643" s="502"/>
      <c r="AR643" s="502"/>
      <c r="AS643" s="502"/>
    </row>
    <row r="644" spans="34:45" ht="12.75" x14ac:dyDescent="0.2">
      <c r="AH644" s="502"/>
      <c r="AI644" s="502"/>
      <c r="AJ644" s="502"/>
      <c r="AK644" s="502"/>
      <c r="AP644" s="502"/>
      <c r="AQ644" s="502"/>
      <c r="AR644" s="502"/>
      <c r="AS644" s="502"/>
    </row>
    <row r="645" spans="34:45" ht="12.75" x14ac:dyDescent="0.2">
      <c r="AH645" s="502"/>
      <c r="AI645" s="502"/>
      <c r="AJ645" s="502"/>
      <c r="AK645" s="502"/>
      <c r="AP645" s="502"/>
      <c r="AQ645" s="502"/>
      <c r="AR645" s="502"/>
      <c r="AS645" s="502"/>
    </row>
    <row r="646" spans="34:45" ht="12.75" x14ac:dyDescent="0.2">
      <c r="AH646" s="502"/>
      <c r="AI646" s="502"/>
      <c r="AJ646" s="502"/>
      <c r="AK646" s="502"/>
      <c r="AP646" s="502"/>
      <c r="AQ646" s="502"/>
      <c r="AR646" s="502"/>
      <c r="AS646" s="502"/>
    </row>
    <row r="647" spans="34:45" ht="12.75" x14ac:dyDescent="0.2">
      <c r="AH647" s="502"/>
      <c r="AI647" s="502"/>
      <c r="AJ647" s="502"/>
      <c r="AK647" s="502"/>
      <c r="AP647" s="502"/>
      <c r="AQ647" s="502"/>
      <c r="AR647" s="502"/>
      <c r="AS647" s="502"/>
    </row>
    <row r="648" spans="34:45" ht="12.75" x14ac:dyDescent="0.2">
      <c r="AH648" s="502"/>
      <c r="AI648" s="502"/>
      <c r="AJ648" s="502"/>
      <c r="AK648" s="502"/>
      <c r="AP648" s="502"/>
      <c r="AQ648" s="502"/>
      <c r="AR648" s="502"/>
      <c r="AS648" s="502"/>
    </row>
    <row r="649" spans="34:45" ht="12.75" x14ac:dyDescent="0.2">
      <c r="AH649" s="502"/>
      <c r="AI649" s="502"/>
      <c r="AJ649" s="502"/>
      <c r="AK649" s="502"/>
      <c r="AP649" s="502"/>
      <c r="AQ649" s="502"/>
      <c r="AR649" s="502"/>
      <c r="AS649" s="502"/>
    </row>
    <row r="650" spans="34:45" ht="12.75" x14ac:dyDescent="0.2">
      <c r="AH650" s="502"/>
      <c r="AI650" s="502"/>
      <c r="AJ650" s="502"/>
      <c r="AK650" s="502"/>
      <c r="AP650" s="502"/>
      <c r="AQ650" s="502"/>
      <c r="AR650" s="502"/>
      <c r="AS650" s="502"/>
    </row>
    <row r="651" spans="34:45" ht="12.75" x14ac:dyDescent="0.2">
      <c r="AH651" s="502"/>
      <c r="AI651" s="502"/>
      <c r="AJ651" s="502"/>
      <c r="AK651" s="502"/>
      <c r="AP651" s="502"/>
      <c r="AQ651" s="502"/>
      <c r="AR651" s="502"/>
      <c r="AS651" s="502"/>
    </row>
    <row r="652" spans="34:45" ht="12.75" x14ac:dyDescent="0.2">
      <c r="AH652" s="502"/>
      <c r="AI652" s="502"/>
      <c r="AJ652" s="502"/>
      <c r="AK652" s="502"/>
      <c r="AP652" s="502"/>
      <c r="AQ652" s="502"/>
      <c r="AR652" s="502"/>
      <c r="AS652" s="502"/>
    </row>
    <row r="653" spans="34:45" ht="12.75" x14ac:dyDescent="0.2">
      <c r="AH653" s="502"/>
      <c r="AI653" s="502"/>
      <c r="AJ653" s="502"/>
      <c r="AK653" s="502"/>
      <c r="AP653" s="502"/>
      <c r="AQ653" s="502"/>
      <c r="AR653" s="502"/>
      <c r="AS653" s="502"/>
    </row>
    <row r="654" spans="34:45" ht="12.75" x14ac:dyDescent="0.2">
      <c r="AH654" s="502"/>
      <c r="AI654" s="502"/>
      <c r="AJ654" s="502"/>
      <c r="AK654" s="502"/>
      <c r="AP654" s="502"/>
      <c r="AQ654" s="502"/>
      <c r="AR654" s="502"/>
      <c r="AS654" s="502"/>
    </row>
    <row r="655" spans="34:45" ht="12.75" x14ac:dyDescent="0.2">
      <c r="AH655" s="502"/>
      <c r="AI655" s="502"/>
      <c r="AJ655" s="502"/>
      <c r="AK655" s="502"/>
      <c r="AP655" s="502"/>
      <c r="AQ655" s="502"/>
      <c r="AR655" s="502"/>
      <c r="AS655" s="502"/>
    </row>
    <row r="656" spans="34:45" ht="12.75" x14ac:dyDescent="0.2">
      <c r="AH656" s="502"/>
      <c r="AI656" s="502"/>
      <c r="AJ656" s="502"/>
      <c r="AK656" s="502"/>
      <c r="AP656" s="502"/>
      <c r="AQ656" s="502"/>
      <c r="AR656" s="502"/>
      <c r="AS656" s="502"/>
    </row>
    <row r="657" spans="34:45" ht="12.75" x14ac:dyDescent="0.2">
      <c r="AH657" s="502"/>
      <c r="AI657" s="502"/>
      <c r="AJ657" s="502"/>
      <c r="AK657" s="502"/>
      <c r="AP657" s="502"/>
      <c r="AQ657" s="502"/>
      <c r="AR657" s="502"/>
      <c r="AS657" s="502"/>
    </row>
    <row r="658" spans="34:45" ht="12.75" x14ac:dyDescent="0.2">
      <c r="AH658" s="502"/>
      <c r="AI658" s="502"/>
      <c r="AJ658" s="502"/>
      <c r="AK658" s="502"/>
      <c r="AP658" s="502"/>
      <c r="AQ658" s="502"/>
      <c r="AR658" s="502"/>
      <c r="AS658" s="502"/>
    </row>
    <row r="659" spans="34:45" ht="12.75" x14ac:dyDescent="0.2">
      <c r="AH659" s="502"/>
      <c r="AI659" s="502"/>
      <c r="AJ659" s="502"/>
      <c r="AK659" s="502"/>
      <c r="AP659" s="502"/>
      <c r="AQ659" s="502"/>
      <c r="AR659" s="502"/>
      <c r="AS659" s="502"/>
    </row>
    <row r="660" spans="34:45" ht="12.75" x14ac:dyDescent="0.2">
      <c r="AH660" s="502"/>
      <c r="AI660" s="502"/>
      <c r="AJ660" s="502"/>
      <c r="AK660" s="502"/>
      <c r="AP660" s="502"/>
      <c r="AQ660" s="502"/>
      <c r="AR660" s="502"/>
      <c r="AS660" s="502"/>
    </row>
    <row r="661" spans="34:45" ht="12.75" x14ac:dyDescent="0.2">
      <c r="AH661" s="502"/>
      <c r="AI661" s="502"/>
      <c r="AJ661" s="502"/>
      <c r="AK661" s="502"/>
      <c r="AP661" s="502"/>
      <c r="AQ661" s="502"/>
      <c r="AR661" s="502"/>
      <c r="AS661" s="502"/>
    </row>
    <row r="662" spans="34:45" ht="12.75" x14ac:dyDescent="0.2">
      <c r="AH662" s="502"/>
      <c r="AI662" s="502"/>
      <c r="AJ662" s="502"/>
      <c r="AK662" s="502"/>
      <c r="AP662" s="502"/>
      <c r="AQ662" s="502"/>
      <c r="AR662" s="502"/>
      <c r="AS662" s="502"/>
    </row>
    <row r="663" spans="34:45" ht="12.75" x14ac:dyDescent="0.2">
      <c r="AH663" s="502"/>
      <c r="AI663" s="502"/>
      <c r="AJ663" s="502"/>
      <c r="AK663" s="502"/>
      <c r="AP663" s="502"/>
      <c r="AQ663" s="502"/>
      <c r="AR663" s="502"/>
      <c r="AS663" s="502"/>
    </row>
    <row r="664" spans="34:45" ht="12.75" x14ac:dyDescent="0.2">
      <c r="AH664" s="502"/>
      <c r="AI664" s="502"/>
      <c r="AJ664" s="502"/>
      <c r="AK664" s="502"/>
      <c r="AP664" s="502"/>
      <c r="AQ664" s="502"/>
      <c r="AR664" s="502"/>
      <c r="AS664" s="502"/>
    </row>
    <row r="665" spans="34:45" ht="12.75" x14ac:dyDescent="0.2">
      <c r="AH665" s="502"/>
      <c r="AI665" s="502"/>
      <c r="AJ665" s="502"/>
      <c r="AK665" s="502"/>
      <c r="AP665" s="502"/>
      <c r="AQ665" s="502"/>
      <c r="AR665" s="502"/>
      <c r="AS665" s="502"/>
    </row>
    <row r="666" spans="34:45" ht="12.75" x14ac:dyDescent="0.2">
      <c r="AH666" s="502"/>
      <c r="AI666" s="502"/>
      <c r="AJ666" s="502"/>
      <c r="AK666" s="502"/>
      <c r="AP666" s="502"/>
      <c r="AQ666" s="502"/>
      <c r="AR666" s="502"/>
      <c r="AS666" s="502"/>
    </row>
    <row r="667" spans="34:45" ht="12.75" x14ac:dyDescent="0.2">
      <c r="AH667" s="502"/>
      <c r="AI667" s="502"/>
      <c r="AJ667" s="502"/>
      <c r="AK667" s="502"/>
      <c r="AP667" s="502"/>
      <c r="AQ667" s="502"/>
      <c r="AR667" s="502"/>
      <c r="AS667" s="502"/>
    </row>
    <row r="668" spans="34:45" ht="12.75" x14ac:dyDescent="0.2">
      <c r="AH668" s="502"/>
      <c r="AI668" s="502"/>
      <c r="AJ668" s="502"/>
      <c r="AK668" s="502"/>
      <c r="AP668" s="502"/>
      <c r="AQ668" s="502"/>
      <c r="AR668" s="502"/>
      <c r="AS668" s="502"/>
    </row>
    <row r="669" spans="34:45" ht="12.75" x14ac:dyDescent="0.2">
      <c r="AH669" s="502"/>
      <c r="AI669" s="502"/>
      <c r="AJ669" s="502"/>
      <c r="AK669" s="502"/>
      <c r="AP669" s="502"/>
      <c r="AQ669" s="502"/>
      <c r="AR669" s="502"/>
      <c r="AS669" s="502"/>
    </row>
    <row r="670" spans="34:45" ht="12.75" x14ac:dyDescent="0.2">
      <c r="AH670" s="502"/>
      <c r="AI670" s="502"/>
      <c r="AJ670" s="502"/>
      <c r="AK670" s="502"/>
      <c r="AP670" s="502"/>
      <c r="AQ670" s="502"/>
      <c r="AR670" s="502"/>
      <c r="AS670" s="502"/>
    </row>
    <row r="671" spans="34:45" ht="12.75" x14ac:dyDescent="0.2">
      <c r="AH671" s="502"/>
      <c r="AI671" s="502"/>
      <c r="AJ671" s="502"/>
      <c r="AK671" s="502"/>
      <c r="AP671" s="502"/>
      <c r="AQ671" s="502"/>
      <c r="AR671" s="502"/>
      <c r="AS671" s="502"/>
    </row>
    <row r="672" spans="34:45" ht="12.75" x14ac:dyDescent="0.2">
      <c r="AH672" s="502"/>
      <c r="AI672" s="502"/>
      <c r="AJ672" s="502"/>
      <c r="AK672" s="502"/>
      <c r="AP672" s="502"/>
      <c r="AQ672" s="502"/>
      <c r="AR672" s="502"/>
      <c r="AS672" s="502"/>
    </row>
    <row r="673" spans="34:45" ht="12.75" x14ac:dyDescent="0.2">
      <c r="AH673" s="502"/>
      <c r="AI673" s="502"/>
      <c r="AJ673" s="502"/>
      <c r="AK673" s="502"/>
      <c r="AP673" s="502"/>
      <c r="AQ673" s="502"/>
      <c r="AR673" s="502"/>
      <c r="AS673" s="502"/>
    </row>
    <row r="674" spans="34:45" ht="12.75" x14ac:dyDescent="0.2">
      <c r="AH674" s="502"/>
      <c r="AI674" s="502"/>
      <c r="AJ674" s="502"/>
      <c r="AK674" s="502"/>
      <c r="AP674" s="502"/>
      <c r="AQ674" s="502"/>
      <c r="AR674" s="502"/>
      <c r="AS674" s="502"/>
    </row>
    <row r="675" spans="34:45" ht="12.75" x14ac:dyDescent="0.2">
      <c r="AH675" s="502"/>
      <c r="AI675" s="502"/>
      <c r="AJ675" s="502"/>
      <c r="AK675" s="502"/>
      <c r="AP675" s="502"/>
      <c r="AQ675" s="502"/>
      <c r="AR675" s="502"/>
      <c r="AS675" s="502"/>
    </row>
    <row r="676" spans="34:45" ht="12.75" x14ac:dyDescent="0.2">
      <c r="AH676" s="502"/>
      <c r="AI676" s="502"/>
      <c r="AJ676" s="502"/>
      <c r="AK676" s="502"/>
      <c r="AP676" s="502"/>
      <c r="AQ676" s="502"/>
      <c r="AR676" s="502"/>
      <c r="AS676" s="502"/>
    </row>
    <row r="677" spans="34:45" ht="12.75" x14ac:dyDescent="0.2">
      <c r="AH677" s="502"/>
      <c r="AI677" s="502"/>
      <c r="AJ677" s="502"/>
      <c r="AK677" s="502"/>
      <c r="AP677" s="502"/>
      <c r="AQ677" s="502"/>
      <c r="AR677" s="502"/>
      <c r="AS677" s="502"/>
    </row>
    <row r="678" spans="34:45" ht="12.75" x14ac:dyDescent="0.2">
      <c r="AH678" s="502"/>
      <c r="AI678" s="502"/>
      <c r="AJ678" s="502"/>
      <c r="AK678" s="502"/>
      <c r="AP678" s="502"/>
      <c r="AQ678" s="502"/>
      <c r="AR678" s="502"/>
      <c r="AS678" s="502"/>
    </row>
    <row r="679" spans="34:45" ht="12.75" x14ac:dyDescent="0.2">
      <c r="AH679" s="502"/>
      <c r="AI679" s="502"/>
      <c r="AJ679" s="502"/>
      <c r="AK679" s="502"/>
      <c r="AP679" s="502"/>
      <c r="AQ679" s="502"/>
      <c r="AR679" s="502"/>
      <c r="AS679" s="502"/>
    </row>
    <row r="680" spans="34:45" ht="12.75" x14ac:dyDescent="0.2">
      <c r="AH680" s="502"/>
      <c r="AI680" s="502"/>
      <c r="AJ680" s="502"/>
      <c r="AK680" s="502"/>
      <c r="AP680" s="502"/>
      <c r="AQ680" s="502"/>
      <c r="AR680" s="502"/>
      <c r="AS680" s="502"/>
    </row>
    <row r="681" spans="34:45" ht="12.75" x14ac:dyDescent="0.2">
      <c r="AH681" s="502"/>
      <c r="AI681" s="502"/>
      <c r="AJ681" s="502"/>
      <c r="AK681" s="502"/>
      <c r="AP681" s="502"/>
      <c r="AQ681" s="502"/>
      <c r="AR681" s="502"/>
      <c r="AS681" s="502"/>
    </row>
    <row r="682" spans="34:45" ht="12.75" x14ac:dyDescent="0.2">
      <c r="AH682" s="502"/>
      <c r="AI682" s="502"/>
      <c r="AJ682" s="502"/>
      <c r="AK682" s="502"/>
      <c r="AP682" s="502"/>
      <c r="AQ682" s="502"/>
      <c r="AR682" s="502"/>
      <c r="AS682" s="502"/>
    </row>
    <row r="683" spans="34:45" ht="12.75" x14ac:dyDescent="0.2">
      <c r="AH683" s="502"/>
      <c r="AI683" s="502"/>
      <c r="AJ683" s="502"/>
      <c r="AK683" s="502"/>
      <c r="AP683" s="502"/>
      <c r="AQ683" s="502"/>
      <c r="AR683" s="502"/>
      <c r="AS683" s="502"/>
    </row>
    <row r="684" spans="34:45" ht="12.75" x14ac:dyDescent="0.2">
      <c r="AH684" s="502"/>
      <c r="AI684" s="502"/>
      <c r="AJ684" s="502"/>
      <c r="AK684" s="502"/>
      <c r="AP684" s="502"/>
      <c r="AQ684" s="502"/>
      <c r="AR684" s="502"/>
      <c r="AS684" s="502"/>
    </row>
    <row r="685" spans="34:45" ht="12.75" x14ac:dyDescent="0.2">
      <c r="AH685" s="502"/>
      <c r="AI685" s="502"/>
      <c r="AJ685" s="502"/>
      <c r="AK685" s="502"/>
      <c r="AP685" s="502"/>
      <c r="AQ685" s="502"/>
      <c r="AR685" s="502"/>
      <c r="AS685" s="502"/>
    </row>
    <row r="686" spans="34:45" ht="12.75" x14ac:dyDescent="0.2">
      <c r="AH686" s="502"/>
      <c r="AI686" s="502"/>
      <c r="AJ686" s="502"/>
      <c r="AK686" s="502"/>
      <c r="AP686" s="502"/>
      <c r="AQ686" s="502"/>
      <c r="AR686" s="502"/>
      <c r="AS686" s="502"/>
    </row>
    <row r="687" spans="34:45" ht="12.75" x14ac:dyDescent="0.2">
      <c r="AH687" s="502"/>
      <c r="AI687" s="502"/>
      <c r="AJ687" s="502"/>
      <c r="AK687" s="502"/>
      <c r="AP687" s="502"/>
      <c r="AQ687" s="502"/>
      <c r="AR687" s="502"/>
      <c r="AS687" s="502"/>
    </row>
    <row r="688" spans="34:45" ht="12.75" x14ac:dyDescent="0.2">
      <c r="AH688" s="502"/>
      <c r="AI688" s="502"/>
      <c r="AJ688" s="502"/>
      <c r="AK688" s="502"/>
      <c r="AP688" s="502"/>
      <c r="AQ688" s="502"/>
      <c r="AR688" s="502"/>
      <c r="AS688" s="502"/>
    </row>
    <row r="689" spans="34:45" ht="12.75" x14ac:dyDescent="0.2">
      <c r="AH689" s="502"/>
      <c r="AI689" s="502"/>
      <c r="AJ689" s="502"/>
      <c r="AK689" s="502"/>
      <c r="AP689" s="502"/>
      <c r="AQ689" s="502"/>
      <c r="AR689" s="502"/>
      <c r="AS689" s="502"/>
    </row>
    <row r="690" spans="34:45" ht="12.75" x14ac:dyDescent="0.2">
      <c r="AH690" s="502"/>
      <c r="AI690" s="502"/>
      <c r="AJ690" s="502"/>
      <c r="AK690" s="502"/>
      <c r="AP690" s="502"/>
      <c r="AQ690" s="502"/>
      <c r="AR690" s="502"/>
      <c r="AS690" s="502"/>
    </row>
    <row r="691" spans="34:45" ht="12.75" x14ac:dyDescent="0.2">
      <c r="AH691" s="502"/>
      <c r="AI691" s="502"/>
      <c r="AJ691" s="502"/>
      <c r="AK691" s="502"/>
      <c r="AP691" s="502"/>
      <c r="AQ691" s="502"/>
      <c r="AR691" s="502"/>
      <c r="AS691" s="502"/>
    </row>
    <row r="692" spans="34:45" ht="12.75" x14ac:dyDescent="0.2">
      <c r="AH692" s="502"/>
      <c r="AI692" s="502"/>
      <c r="AJ692" s="502"/>
      <c r="AK692" s="502"/>
      <c r="AP692" s="502"/>
      <c r="AQ692" s="502"/>
      <c r="AR692" s="502"/>
      <c r="AS692" s="502"/>
    </row>
    <row r="693" spans="34:45" ht="12.75" x14ac:dyDescent="0.2">
      <c r="AH693" s="502"/>
      <c r="AI693" s="502"/>
      <c r="AJ693" s="502"/>
      <c r="AK693" s="502"/>
      <c r="AP693" s="502"/>
      <c r="AQ693" s="502"/>
      <c r="AR693" s="502"/>
      <c r="AS693" s="502"/>
    </row>
    <row r="694" spans="34:45" ht="12.75" x14ac:dyDescent="0.2">
      <c r="AH694" s="502"/>
      <c r="AI694" s="502"/>
      <c r="AJ694" s="502"/>
      <c r="AK694" s="502"/>
      <c r="AP694" s="502"/>
      <c r="AQ694" s="502"/>
      <c r="AR694" s="502"/>
      <c r="AS694" s="502"/>
    </row>
    <row r="695" spans="34:45" ht="12.75" x14ac:dyDescent="0.2">
      <c r="AH695" s="502"/>
      <c r="AI695" s="502"/>
      <c r="AJ695" s="502"/>
      <c r="AK695" s="502"/>
      <c r="AP695" s="502"/>
      <c r="AQ695" s="502"/>
      <c r="AR695" s="502"/>
      <c r="AS695" s="502"/>
    </row>
    <row r="696" spans="34:45" ht="12.75" x14ac:dyDescent="0.2">
      <c r="AH696" s="502"/>
      <c r="AI696" s="502"/>
      <c r="AJ696" s="502"/>
      <c r="AK696" s="502"/>
      <c r="AP696" s="502"/>
      <c r="AQ696" s="502"/>
      <c r="AR696" s="502"/>
      <c r="AS696" s="502"/>
    </row>
    <row r="697" spans="34:45" ht="12.75" x14ac:dyDescent="0.2">
      <c r="AH697" s="502"/>
      <c r="AI697" s="502"/>
      <c r="AJ697" s="502"/>
      <c r="AK697" s="502"/>
      <c r="AP697" s="502"/>
      <c r="AQ697" s="502"/>
      <c r="AR697" s="502"/>
      <c r="AS697" s="502"/>
    </row>
    <row r="698" spans="34:45" ht="12.75" x14ac:dyDescent="0.2">
      <c r="AH698" s="502"/>
      <c r="AI698" s="502"/>
      <c r="AJ698" s="502"/>
      <c r="AK698" s="502"/>
      <c r="AP698" s="502"/>
      <c r="AQ698" s="502"/>
      <c r="AR698" s="502"/>
      <c r="AS698" s="502"/>
    </row>
    <row r="699" spans="34:45" ht="12.75" x14ac:dyDescent="0.2">
      <c r="AH699" s="502"/>
      <c r="AI699" s="502"/>
      <c r="AJ699" s="502"/>
      <c r="AK699" s="502"/>
      <c r="AP699" s="502"/>
      <c r="AQ699" s="502"/>
      <c r="AR699" s="502"/>
      <c r="AS699" s="502"/>
    </row>
    <row r="700" spans="34:45" ht="12.75" x14ac:dyDescent="0.2">
      <c r="AH700" s="502"/>
      <c r="AI700" s="502"/>
      <c r="AJ700" s="502"/>
      <c r="AK700" s="502"/>
      <c r="AP700" s="502"/>
      <c r="AQ700" s="502"/>
      <c r="AR700" s="502"/>
      <c r="AS700" s="502"/>
    </row>
    <row r="701" spans="34:45" ht="12.75" x14ac:dyDescent="0.2">
      <c r="AH701" s="502"/>
      <c r="AI701" s="502"/>
      <c r="AJ701" s="502"/>
      <c r="AK701" s="502"/>
      <c r="AP701" s="502"/>
      <c r="AQ701" s="502"/>
      <c r="AR701" s="502"/>
      <c r="AS701" s="502"/>
    </row>
    <row r="702" spans="34:45" ht="12.75" x14ac:dyDescent="0.2">
      <c r="AH702" s="502"/>
      <c r="AI702" s="502"/>
      <c r="AJ702" s="502"/>
      <c r="AK702" s="502"/>
      <c r="AP702" s="502"/>
      <c r="AQ702" s="502"/>
      <c r="AR702" s="502"/>
      <c r="AS702" s="502"/>
    </row>
    <row r="703" spans="34:45" ht="12.75" x14ac:dyDescent="0.2">
      <c r="AH703" s="502"/>
      <c r="AI703" s="502"/>
      <c r="AJ703" s="502"/>
      <c r="AK703" s="502"/>
      <c r="AP703" s="502"/>
      <c r="AQ703" s="502"/>
      <c r="AR703" s="502"/>
      <c r="AS703" s="502"/>
    </row>
    <row r="704" spans="34:45" ht="12.75" x14ac:dyDescent="0.2">
      <c r="AH704" s="502"/>
      <c r="AI704" s="502"/>
      <c r="AJ704" s="502"/>
      <c r="AK704" s="502"/>
      <c r="AP704" s="502"/>
      <c r="AQ704" s="502"/>
      <c r="AR704" s="502"/>
      <c r="AS704" s="502"/>
    </row>
    <row r="705" spans="34:45" ht="12.75" x14ac:dyDescent="0.2">
      <c r="AH705" s="502"/>
      <c r="AI705" s="502"/>
      <c r="AJ705" s="502"/>
      <c r="AK705" s="502"/>
      <c r="AP705" s="502"/>
      <c r="AQ705" s="502"/>
      <c r="AR705" s="502"/>
      <c r="AS705" s="502"/>
    </row>
    <row r="706" spans="34:45" ht="12.75" x14ac:dyDescent="0.2">
      <c r="AH706" s="502"/>
      <c r="AI706" s="502"/>
      <c r="AJ706" s="502"/>
      <c r="AK706" s="502"/>
      <c r="AP706" s="502"/>
      <c r="AQ706" s="502"/>
      <c r="AR706" s="502"/>
      <c r="AS706" s="502"/>
    </row>
    <row r="707" spans="34:45" ht="12.75" x14ac:dyDescent="0.2">
      <c r="AH707" s="502"/>
      <c r="AI707" s="502"/>
      <c r="AJ707" s="502"/>
      <c r="AK707" s="502"/>
      <c r="AP707" s="502"/>
      <c r="AQ707" s="502"/>
      <c r="AR707" s="502"/>
      <c r="AS707" s="502"/>
    </row>
    <row r="708" spans="34:45" ht="12.75" x14ac:dyDescent="0.2">
      <c r="AH708" s="502"/>
      <c r="AI708" s="502"/>
      <c r="AJ708" s="502"/>
      <c r="AK708" s="502"/>
      <c r="AP708" s="502"/>
      <c r="AQ708" s="502"/>
      <c r="AR708" s="502"/>
      <c r="AS708" s="502"/>
    </row>
    <row r="709" spans="34:45" ht="12.75" x14ac:dyDescent="0.2">
      <c r="AH709" s="502"/>
      <c r="AI709" s="502"/>
      <c r="AJ709" s="502"/>
      <c r="AK709" s="502"/>
      <c r="AP709" s="502"/>
      <c r="AQ709" s="502"/>
      <c r="AR709" s="502"/>
      <c r="AS709" s="502"/>
    </row>
    <row r="710" spans="34:45" ht="12.75" x14ac:dyDescent="0.2">
      <c r="AH710" s="502"/>
      <c r="AI710" s="502"/>
      <c r="AJ710" s="502"/>
      <c r="AK710" s="502"/>
      <c r="AP710" s="502"/>
      <c r="AQ710" s="502"/>
      <c r="AR710" s="502"/>
      <c r="AS710" s="502"/>
    </row>
    <row r="711" spans="34:45" ht="12.75" x14ac:dyDescent="0.2">
      <c r="AH711" s="502"/>
      <c r="AI711" s="502"/>
      <c r="AJ711" s="502"/>
      <c r="AK711" s="502"/>
      <c r="AP711" s="502"/>
      <c r="AQ711" s="502"/>
      <c r="AR711" s="502"/>
      <c r="AS711" s="502"/>
    </row>
    <row r="712" spans="34:45" ht="12.75" x14ac:dyDescent="0.2">
      <c r="AH712" s="502"/>
      <c r="AI712" s="502"/>
      <c r="AJ712" s="502"/>
      <c r="AK712" s="502"/>
      <c r="AP712" s="502"/>
      <c r="AQ712" s="502"/>
      <c r="AR712" s="502"/>
      <c r="AS712" s="502"/>
    </row>
    <row r="713" spans="34:45" ht="12.75" x14ac:dyDescent="0.2">
      <c r="AH713" s="502"/>
      <c r="AI713" s="502"/>
      <c r="AJ713" s="502"/>
      <c r="AK713" s="502"/>
      <c r="AP713" s="502"/>
      <c r="AQ713" s="502"/>
      <c r="AR713" s="502"/>
      <c r="AS713" s="502"/>
    </row>
    <row r="714" spans="34:45" ht="12.75" x14ac:dyDescent="0.2">
      <c r="AH714" s="502"/>
      <c r="AI714" s="502"/>
      <c r="AJ714" s="502"/>
      <c r="AK714" s="502"/>
      <c r="AP714" s="502"/>
      <c r="AQ714" s="502"/>
      <c r="AR714" s="502"/>
      <c r="AS714" s="502"/>
    </row>
    <row r="715" spans="34:45" ht="12.75" x14ac:dyDescent="0.2">
      <c r="AH715" s="502"/>
      <c r="AI715" s="502"/>
      <c r="AJ715" s="502"/>
      <c r="AK715" s="502"/>
      <c r="AP715" s="502"/>
      <c r="AQ715" s="502"/>
      <c r="AR715" s="502"/>
      <c r="AS715" s="502"/>
    </row>
    <row r="716" spans="34:45" ht="12.75" x14ac:dyDescent="0.2">
      <c r="AH716" s="502"/>
      <c r="AI716" s="502"/>
      <c r="AJ716" s="502"/>
      <c r="AK716" s="502"/>
      <c r="AP716" s="502"/>
      <c r="AQ716" s="502"/>
      <c r="AR716" s="502"/>
      <c r="AS716" s="502"/>
    </row>
    <row r="717" spans="34:45" ht="12.75" x14ac:dyDescent="0.2">
      <c r="AH717" s="502"/>
      <c r="AI717" s="502"/>
      <c r="AJ717" s="502"/>
      <c r="AK717" s="502"/>
      <c r="AP717" s="502"/>
      <c r="AQ717" s="502"/>
      <c r="AR717" s="502"/>
      <c r="AS717" s="502"/>
    </row>
    <row r="718" spans="34:45" ht="12.75" x14ac:dyDescent="0.2">
      <c r="AH718" s="502"/>
      <c r="AI718" s="502"/>
      <c r="AJ718" s="502"/>
      <c r="AK718" s="502"/>
      <c r="AP718" s="502"/>
      <c r="AQ718" s="502"/>
      <c r="AR718" s="502"/>
      <c r="AS718" s="502"/>
    </row>
    <row r="719" spans="34:45" ht="12.75" x14ac:dyDescent="0.2">
      <c r="AH719" s="502"/>
      <c r="AI719" s="502"/>
      <c r="AJ719" s="502"/>
      <c r="AK719" s="502"/>
      <c r="AP719" s="502"/>
      <c r="AQ719" s="502"/>
      <c r="AR719" s="502"/>
      <c r="AS719" s="502"/>
    </row>
    <row r="720" spans="34:45" ht="12.75" x14ac:dyDescent="0.2">
      <c r="AH720" s="502"/>
      <c r="AI720" s="502"/>
      <c r="AJ720" s="502"/>
      <c r="AK720" s="502"/>
      <c r="AP720" s="502"/>
      <c r="AQ720" s="502"/>
      <c r="AR720" s="502"/>
      <c r="AS720" s="502"/>
    </row>
    <row r="721" spans="34:45" ht="12.75" x14ac:dyDescent="0.2">
      <c r="AH721" s="502"/>
      <c r="AI721" s="502"/>
      <c r="AJ721" s="502"/>
      <c r="AK721" s="502"/>
      <c r="AP721" s="502"/>
      <c r="AQ721" s="502"/>
      <c r="AR721" s="502"/>
      <c r="AS721" s="502"/>
    </row>
    <row r="722" spans="34:45" ht="12.75" x14ac:dyDescent="0.2">
      <c r="AH722" s="502"/>
      <c r="AI722" s="502"/>
      <c r="AJ722" s="502"/>
      <c r="AK722" s="502"/>
      <c r="AP722" s="502"/>
      <c r="AQ722" s="502"/>
      <c r="AR722" s="502"/>
      <c r="AS722" s="502"/>
    </row>
    <row r="723" spans="34:45" ht="12.75" x14ac:dyDescent="0.2">
      <c r="AH723" s="502"/>
      <c r="AI723" s="502"/>
      <c r="AJ723" s="502"/>
      <c r="AK723" s="502"/>
      <c r="AP723" s="502"/>
      <c r="AQ723" s="502"/>
      <c r="AR723" s="502"/>
      <c r="AS723" s="502"/>
    </row>
    <row r="724" spans="34:45" ht="12.75" x14ac:dyDescent="0.2">
      <c r="AH724" s="502"/>
      <c r="AI724" s="502"/>
      <c r="AJ724" s="502"/>
      <c r="AK724" s="502"/>
      <c r="AP724" s="502"/>
      <c r="AQ724" s="502"/>
      <c r="AR724" s="502"/>
      <c r="AS724" s="502"/>
    </row>
    <row r="725" spans="34:45" ht="12.75" x14ac:dyDescent="0.2">
      <c r="AH725" s="502"/>
      <c r="AI725" s="502"/>
      <c r="AJ725" s="502"/>
      <c r="AK725" s="502"/>
      <c r="AP725" s="502"/>
      <c r="AQ725" s="502"/>
      <c r="AR725" s="502"/>
      <c r="AS725" s="502"/>
    </row>
    <row r="726" spans="34:45" ht="12.75" x14ac:dyDescent="0.2">
      <c r="AH726" s="502"/>
      <c r="AI726" s="502"/>
      <c r="AJ726" s="502"/>
      <c r="AK726" s="502"/>
      <c r="AP726" s="502"/>
      <c r="AQ726" s="502"/>
      <c r="AR726" s="502"/>
      <c r="AS726" s="502"/>
    </row>
    <row r="727" spans="34:45" ht="12.75" x14ac:dyDescent="0.2">
      <c r="AH727" s="502"/>
      <c r="AI727" s="502"/>
      <c r="AJ727" s="502"/>
      <c r="AK727" s="502"/>
      <c r="AP727" s="502"/>
      <c r="AQ727" s="502"/>
      <c r="AR727" s="502"/>
      <c r="AS727" s="502"/>
    </row>
    <row r="728" spans="34:45" ht="12.75" x14ac:dyDescent="0.2">
      <c r="AH728" s="502"/>
      <c r="AI728" s="502"/>
      <c r="AJ728" s="502"/>
      <c r="AK728" s="502"/>
      <c r="AP728" s="502"/>
      <c r="AQ728" s="502"/>
      <c r="AR728" s="502"/>
      <c r="AS728" s="502"/>
    </row>
    <row r="729" spans="34:45" ht="12.75" x14ac:dyDescent="0.2">
      <c r="AH729" s="502"/>
      <c r="AI729" s="502"/>
      <c r="AJ729" s="502"/>
      <c r="AK729" s="502"/>
      <c r="AP729" s="502"/>
      <c r="AQ729" s="502"/>
      <c r="AR729" s="502"/>
      <c r="AS729" s="502"/>
    </row>
    <row r="730" spans="34:45" ht="12.75" x14ac:dyDescent="0.2">
      <c r="AH730" s="502"/>
      <c r="AI730" s="502"/>
      <c r="AJ730" s="502"/>
      <c r="AK730" s="502"/>
      <c r="AP730" s="502"/>
      <c r="AQ730" s="502"/>
      <c r="AR730" s="502"/>
      <c r="AS730" s="502"/>
    </row>
    <row r="731" spans="34:45" ht="12.75" x14ac:dyDescent="0.2">
      <c r="AH731" s="502"/>
      <c r="AI731" s="502"/>
      <c r="AJ731" s="502"/>
      <c r="AK731" s="502"/>
      <c r="AP731" s="502"/>
      <c r="AQ731" s="502"/>
      <c r="AR731" s="502"/>
      <c r="AS731" s="502"/>
    </row>
    <row r="732" spans="34:45" ht="12.75" x14ac:dyDescent="0.2">
      <c r="AH732" s="502"/>
      <c r="AI732" s="502"/>
      <c r="AJ732" s="502"/>
      <c r="AK732" s="502"/>
      <c r="AP732" s="502"/>
      <c r="AQ732" s="502"/>
      <c r="AR732" s="502"/>
      <c r="AS732" s="502"/>
    </row>
    <row r="733" spans="34:45" ht="12.75" x14ac:dyDescent="0.2">
      <c r="AH733" s="502"/>
      <c r="AI733" s="502"/>
      <c r="AJ733" s="502"/>
      <c r="AK733" s="502"/>
      <c r="AP733" s="502"/>
      <c r="AQ733" s="502"/>
      <c r="AR733" s="502"/>
      <c r="AS733" s="502"/>
    </row>
    <row r="734" spans="34:45" ht="12.75" x14ac:dyDescent="0.2">
      <c r="AH734" s="502"/>
      <c r="AI734" s="502"/>
      <c r="AJ734" s="502"/>
      <c r="AK734" s="502"/>
      <c r="AP734" s="502"/>
      <c r="AQ734" s="502"/>
      <c r="AR734" s="502"/>
      <c r="AS734" s="502"/>
    </row>
    <row r="735" spans="34:45" ht="12.75" x14ac:dyDescent="0.2">
      <c r="AH735" s="502"/>
      <c r="AI735" s="502"/>
      <c r="AJ735" s="502"/>
      <c r="AK735" s="502"/>
      <c r="AP735" s="502"/>
      <c r="AQ735" s="502"/>
      <c r="AR735" s="502"/>
      <c r="AS735" s="502"/>
    </row>
    <row r="736" spans="34:45" ht="12.75" x14ac:dyDescent="0.2">
      <c r="AH736" s="502"/>
      <c r="AI736" s="502"/>
      <c r="AJ736" s="502"/>
      <c r="AK736" s="502"/>
      <c r="AP736" s="502"/>
      <c r="AQ736" s="502"/>
      <c r="AR736" s="502"/>
      <c r="AS736" s="502"/>
    </row>
    <row r="737" spans="34:45" ht="12.75" x14ac:dyDescent="0.2">
      <c r="AH737" s="502"/>
      <c r="AI737" s="502"/>
      <c r="AJ737" s="502"/>
      <c r="AK737" s="502"/>
      <c r="AP737" s="502"/>
      <c r="AQ737" s="502"/>
      <c r="AR737" s="502"/>
      <c r="AS737" s="502"/>
    </row>
    <row r="738" spans="34:45" ht="12.75" x14ac:dyDescent="0.2">
      <c r="AH738" s="502"/>
      <c r="AI738" s="502"/>
      <c r="AJ738" s="502"/>
      <c r="AK738" s="502"/>
      <c r="AP738" s="502"/>
      <c r="AQ738" s="502"/>
      <c r="AR738" s="502"/>
      <c r="AS738" s="502"/>
    </row>
    <row r="739" spans="34:45" ht="12.75" x14ac:dyDescent="0.2">
      <c r="AH739" s="502"/>
      <c r="AI739" s="502"/>
      <c r="AJ739" s="502"/>
      <c r="AK739" s="502"/>
      <c r="AP739" s="502"/>
      <c r="AQ739" s="502"/>
      <c r="AR739" s="502"/>
      <c r="AS739" s="502"/>
    </row>
    <row r="740" spans="34:45" ht="12.75" x14ac:dyDescent="0.2">
      <c r="AH740" s="502"/>
      <c r="AI740" s="502"/>
      <c r="AJ740" s="502"/>
      <c r="AK740" s="502"/>
      <c r="AP740" s="502"/>
      <c r="AQ740" s="502"/>
      <c r="AR740" s="502"/>
      <c r="AS740" s="502"/>
    </row>
    <row r="741" spans="34:45" ht="12.75" x14ac:dyDescent="0.2">
      <c r="AH741" s="502"/>
      <c r="AI741" s="502"/>
      <c r="AJ741" s="502"/>
      <c r="AK741" s="502"/>
      <c r="AP741" s="502"/>
      <c r="AQ741" s="502"/>
      <c r="AR741" s="502"/>
      <c r="AS741" s="502"/>
    </row>
    <row r="742" spans="34:45" ht="12.75" x14ac:dyDescent="0.2">
      <c r="AH742" s="502"/>
      <c r="AI742" s="502"/>
      <c r="AJ742" s="502"/>
      <c r="AK742" s="502"/>
      <c r="AP742" s="502"/>
      <c r="AQ742" s="502"/>
      <c r="AR742" s="502"/>
      <c r="AS742" s="502"/>
    </row>
    <row r="743" spans="34:45" ht="12.75" x14ac:dyDescent="0.2">
      <c r="AH743" s="502"/>
      <c r="AI743" s="502"/>
      <c r="AJ743" s="502"/>
      <c r="AK743" s="502"/>
      <c r="AP743" s="502"/>
      <c r="AQ743" s="502"/>
      <c r="AR743" s="502"/>
      <c r="AS743" s="502"/>
    </row>
    <row r="744" spans="34:45" ht="12.75" x14ac:dyDescent="0.2">
      <c r="AH744" s="502"/>
      <c r="AI744" s="502"/>
      <c r="AJ744" s="502"/>
      <c r="AK744" s="502"/>
      <c r="AP744" s="502"/>
      <c r="AQ744" s="502"/>
      <c r="AR744" s="502"/>
      <c r="AS744" s="502"/>
    </row>
    <row r="745" spans="34:45" ht="12.75" x14ac:dyDescent="0.2">
      <c r="AH745" s="502"/>
      <c r="AI745" s="502"/>
      <c r="AJ745" s="502"/>
      <c r="AK745" s="502"/>
      <c r="AP745" s="502"/>
      <c r="AQ745" s="502"/>
      <c r="AR745" s="502"/>
      <c r="AS745" s="502"/>
    </row>
    <row r="746" spans="34:45" ht="12.75" x14ac:dyDescent="0.2">
      <c r="AH746" s="502"/>
      <c r="AI746" s="502"/>
      <c r="AJ746" s="502"/>
      <c r="AK746" s="502"/>
      <c r="AP746" s="502"/>
      <c r="AQ746" s="502"/>
      <c r="AR746" s="502"/>
      <c r="AS746" s="502"/>
    </row>
    <row r="747" spans="34:45" ht="12.75" x14ac:dyDescent="0.2">
      <c r="AH747" s="502"/>
      <c r="AI747" s="502"/>
      <c r="AJ747" s="502"/>
      <c r="AK747" s="502"/>
      <c r="AP747" s="502"/>
      <c r="AQ747" s="502"/>
      <c r="AR747" s="502"/>
      <c r="AS747" s="502"/>
    </row>
    <row r="748" spans="34:45" ht="12.75" x14ac:dyDescent="0.2">
      <c r="AH748" s="502"/>
      <c r="AI748" s="502"/>
      <c r="AJ748" s="502"/>
      <c r="AK748" s="502"/>
      <c r="AP748" s="502"/>
      <c r="AQ748" s="502"/>
      <c r="AR748" s="502"/>
      <c r="AS748" s="502"/>
    </row>
    <row r="749" spans="34:45" ht="12.75" x14ac:dyDescent="0.2">
      <c r="AH749" s="502"/>
      <c r="AI749" s="502"/>
      <c r="AJ749" s="502"/>
      <c r="AK749" s="502"/>
      <c r="AP749" s="502"/>
      <c r="AQ749" s="502"/>
      <c r="AR749" s="502"/>
      <c r="AS749" s="502"/>
    </row>
    <row r="750" spans="34:45" ht="12.75" x14ac:dyDescent="0.2">
      <c r="AH750" s="502"/>
      <c r="AI750" s="502"/>
      <c r="AJ750" s="502"/>
      <c r="AK750" s="502"/>
      <c r="AP750" s="502"/>
      <c r="AQ750" s="502"/>
      <c r="AR750" s="502"/>
      <c r="AS750" s="502"/>
    </row>
    <row r="751" spans="34:45" ht="12.75" x14ac:dyDescent="0.2">
      <c r="AH751" s="502"/>
      <c r="AI751" s="502"/>
      <c r="AJ751" s="502"/>
      <c r="AK751" s="502"/>
      <c r="AP751" s="502"/>
      <c r="AQ751" s="502"/>
      <c r="AR751" s="502"/>
      <c r="AS751" s="502"/>
    </row>
    <row r="752" spans="34:45" ht="12.75" x14ac:dyDescent="0.2">
      <c r="AH752" s="502"/>
      <c r="AI752" s="502"/>
      <c r="AJ752" s="502"/>
      <c r="AK752" s="502"/>
      <c r="AP752" s="502"/>
      <c r="AQ752" s="502"/>
      <c r="AR752" s="502"/>
      <c r="AS752" s="502"/>
    </row>
    <row r="753" spans="34:45" ht="12.75" x14ac:dyDescent="0.2">
      <c r="AH753" s="502"/>
      <c r="AI753" s="502"/>
      <c r="AJ753" s="502"/>
      <c r="AK753" s="502"/>
      <c r="AP753" s="502"/>
      <c r="AQ753" s="502"/>
      <c r="AR753" s="502"/>
      <c r="AS753" s="502"/>
    </row>
    <row r="754" spans="34:45" ht="12.75" x14ac:dyDescent="0.2">
      <c r="AH754" s="502"/>
      <c r="AI754" s="502"/>
      <c r="AJ754" s="502"/>
      <c r="AK754" s="502"/>
      <c r="AP754" s="502"/>
      <c r="AQ754" s="502"/>
      <c r="AR754" s="502"/>
      <c r="AS754" s="502"/>
    </row>
    <row r="755" spans="34:45" ht="12.75" x14ac:dyDescent="0.2">
      <c r="AH755" s="502"/>
      <c r="AI755" s="502"/>
      <c r="AJ755" s="502"/>
      <c r="AK755" s="502"/>
      <c r="AP755" s="502"/>
      <c r="AQ755" s="502"/>
      <c r="AR755" s="502"/>
      <c r="AS755" s="502"/>
    </row>
    <row r="756" spans="34:45" ht="12.75" x14ac:dyDescent="0.2">
      <c r="AH756" s="502"/>
      <c r="AI756" s="502"/>
      <c r="AJ756" s="502"/>
      <c r="AK756" s="502"/>
      <c r="AP756" s="502"/>
      <c r="AQ756" s="502"/>
      <c r="AR756" s="502"/>
      <c r="AS756" s="502"/>
    </row>
    <row r="757" spans="34:45" ht="12.75" x14ac:dyDescent="0.2">
      <c r="AH757" s="502"/>
      <c r="AI757" s="502"/>
      <c r="AJ757" s="502"/>
      <c r="AK757" s="502"/>
      <c r="AP757" s="502"/>
      <c r="AQ757" s="502"/>
      <c r="AR757" s="502"/>
      <c r="AS757" s="502"/>
    </row>
    <row r="758" spans="34:45" ht="12.75" x14ac:dyDescent="0.2">
      <c r="AH758" s="502"/>
      <c r="AI758" s="502"/>
      <c r="AJ758" s="502"/>
      <c r="AK758" s="502"/>
      <c r="AP758" s="502"/>
      <c r="AQ758" s="502"/>
      <c r="AR758" s="502"/>
      <c r="AS758" s="502"/>
    </row>
    <row r="759" spans="34:45" ht="12.75" x14ac:dyDescent="0.2">
      <c r="AH759" s="502"/>
      <c r="AI759" s="502"/>
      <c r="AJ759" s="502"/>
      <c r="AK759" s="502"/>
      <c r="AP759" s="502"/>
      <c r="AQ759" s="502"/>
      <c r="AR759" s="502"/>
      <c r="AS759" s="502"/>
    </row>
    <row r="760" spans="34:45" ht="12.75" x14ac:dyDescent="0.2">
      <c r="AH760" s="502"/>
      <c r="AI760" s="502"/>
      <c r="AJ760" s="502"/>
      <c r="AK760" s="502"/>
      <c r="AP760" s="502"/>
      <c r="AQ760" s="502"/>
      <c r="AR760" s="502"/>
      <c r="AS760" s="502"/>
    </row>
    <row r="761" spans="34:45" ht="12.75" x14ac:dyDescent="0.2">
      <c r="AH761" s="502"/>
      <c r="AI761" s="502"/>
      <c r="AJ761" s="502"/>
      <c r="AK761" s="502"/>
      <c r="AP761" s="502"/>
      <c r="AQ761" s="502"/>
      <c r="AR761" s="502"/>
      <c r="AS761" s="502"/>
    </row>
    <row r="762" spans="34:45" ht="12.75" x14ac:dyDescent="0.2">
      <c r="AH762" s="502"/>
      <c r="AI762" s="502"/>
      <c r="AJ762" s="502"/>
      <c r="AK762" s="502"/>
      <c r="AP762" s="502"/>
      <c r="AQ762" s="502"/>
      <c r="AR762" s="502"/>
      <c r="AS762" s="502"/>
    </row>
    <row r="763" spans="34:45" ht="12.75" x14ac:dyDescent="0.2">
      <c r="AH763" s="502"/>
      <c r="AI763" s="502"/>
      <c r="AJ763" s="502"/>
      <c r="AK763" s="502"/>
      <c r="AP763" s="502"/>
      <c r="AQ763" s="502"/>
      <c r="AR763" s="502"/>
      <c r="AS763" s="502"/>
    </row>
    <row r="764" spans="34:45" ht="12.75" x14ac:dyDescent="0.2">
      <c r="AH764" s="502"/>
      <c r="AI764" s="502"/>
      <c r="AJ764" s="502"/>
      <c r="AK764" s="502"/>
      <c r="AP764" s="502"/>
      <c r="AQ764" s="502"/>
      <c r="AR764" s="502"/>
      <c r="AS764" s="502"/>
    </row>
    <row r="765" spans="34:45" ht="12.75" x14ac:dyDescent="0.2">
      <c r="AH765" s="502"/>
      <c r="AI765" s="502"/>
      <c r="AJ765" s="502"/>
      <c r="AK765" s="502"/>
      <c r="AP765" s="502"/>
      <c r="AQ765" s="502"/>
      <c r="AR765" s="502"/>
      <c r="AS765" s="502"/>
    </row>
    <row r="766" spans="34:45" ht="12.75" x14ac:dyDescent="0.2">
      <c r="AH766" s="502"/>
      <c r="AI766" s="502"/>
      <c r="AJ766" s="502"/>
      <c r="AK766" s="502"/>
      <c r="AP766" s="502"/>
      <c r="AQ766" s="502"/>
      <c r="AR766" s="502"/>
      <c r="AS766" s="502"/>
    </row>
    <row r="767" spans="34:45" ht="12.75" x14ac:dyDescent="0.2">
      <c r="AH767" s="502"/>
      <c r="AI767" s="502"/>
      <c r="AJ767" s="502"/>
      <c r="AK767" s="502"/>
      <c r="AP767" s="502"/>
      <c r="AQ767" s="502"/>
      <c r="AR767" s="502"/>
      <c r="AS767" s="502"/>
    </row>
    <row r="768" spans="34:45" ht="12.75" x14ac:dyDescent="0.2">
      <c r="AH768" s="502"/>
      <c r="AI768" s="502"/>
      <c r="AJ768" s="502"/>
      <c r="AK768" s="502"/>
      <c r="AP768" s="502"/>
      <c r="AQ768" s="502"/>
      <c r="AR768" s="502"/>
      <c r="AS768" s="502"/>
    </row>
    <row r="769" spans="34:45" ht="12.75" x14ac:dyDescent="0.2">
      <c r="AH769" s="502"/>
      <c r="AI769" s="502"/>
      <c r="AJ769" s="502"/>
      <c r="AK769" s="502"/>
      <c r="AP769" s="502"/>
      <c r="AQ769" s="502"/>
      <c r="AR769" s="502"/>
      <c r="AS769" s="502"/>
    </row>
    <row r="770" spans="34:45" ht="12.75" x14ac:dyDescent="0.2">
      <c r="AH770" s="502"/>
      <c r="AI770" s="502"/>
      <c r="AJ770" s="502"/>
      <c r="AK770" s="502"/>
      <c r="AP770" s="502"/>
      <c r="AQ770" s="502"/>
      <c r="AR770" s="502"/>
      <c r="AS770" s="502"/>
    </row>
    <row r="771" spans="34:45" ht="12.75" x14ac:dyDescent="0.2">
      <c r="AH771" s="502"/>
      <c r="AI771" s="502"/>
      <c r="AJ771" s="502"/>
      <c r="AK771" s="502"/>
      <c r="AP771" s="502"/>
      <c r="AQ771" s="502"/>
      <c r="AR771" s="502"/>
      <c r="AS771" s="502"/>
    </row>
    <row r="772" spans="34:45" ht="12.75" x14ac:dyDescent="0.2">
      <c r="AH772" s="502"/>
      <c r="AI772" s="502"/>
      <c r="AJ772" s="502"/>
      <c r="AK772" s="502"/>
      <c r="AP772" s="502"/>
      <c r="AQ772" s="502"/>
      <c r="AR772" s="502"/>
      <c r="AS772" s="502"/>
    </row>
    <row r="773" spans="34:45" ht="12.75" x14ac:dyDescent="0.2">
      <c r="AH773" s="502"/>
      <c r="AI773" s="502"/>
      <c r="AJ773" s="502"/>
      <c r="AK773" s="502"/>
      <c r="AP773" s="502"/>
      <c r="AQ773" s="502"/>
      <c r="AR773" s="502"/>
      <c r="AS773" s="502"/>
    </row>
    <row r="774" spans="34:45" ht="12.75" x14ac:dyDescent="0.2">
      <c r="AH774" s="502"/>
      <c r="AI774" s="502"/>
      <c r="AJ774" s="502"/>
      <c r="AK774" s="502"/>
      <c r="AP774" s="502"/>
      <c r="AQ774" s="502"/>
      <c r="AR774" s="502"/>
      <c r="AS774" s="502"/>
    </row>
    <row r="775" spans="34:45" ht="12.75" x14ac:dyDescent="0.2">
      <c r="AH775" s="502"/>
      <c r="AI775" s="502"/>
      <c r="AJ775" s="502"/>
      <c r="AK775" s="502"/>
      <c r="AP775" s="502"/>
      <c r="AQ775" s="502"/>
      <c r="AR775" s="502"/>
      <c r="AS775" s="502"/>
    </row>
    <row r="776" spans="34:45" ht="12.75" x14ac:dyDescent="0.2">
      <c r="AH776" s="502"/>
      <c r="AI776" s="502"/>
      <c r="AJ776" s="502"/>
      <c r="AK776" s="502"/>
      <c r="AP776" s="502"/>
      <c r="AQ776" s="502"/>
      <c r="AR776" s="502"/>
      <c r="AS776" s="502"/>
    </row>
    <row r="777" spans="34:45" ht="12.75" x14ac:dyDescent="0.2">
      <c r="AH777" s="502"/>
      <c r="AI777" s="502"/>
      <c r="AJ777" s="502"/>
      <c r="AK777" s="502"/>
      <c r="AP777" s="502"/>
      <c r="AQ777" s="502"/>
      <c r="AR777" s="502"/>
      <c r="AS777" s="502"/>
    </row>
    <row r="778" spans="34:45" ht="12.75" x14ac:dyDescent="0.2">
      <c r="AH778" s="502"/>
      <c r="AI778" s="502"/>
      <c r="AJ778" s="502"/>
      <c r="AK778" s="502"/>
      <c r="AP778" s="502"/>
      <c r="AQ778" s="502"/>
      <c r="AR778" s="502"/>
      <c r="AS778" s="502"/>
    </row>
    <row r="779" spans="34:45" ht="12.75" x14ac:dyDescent="0.2">
      <c r="AH779" s="502"/>
      <c r="AI779" s="502"/>
      <c r="AJ779" s="502"/>
      <c r="AK779" s="502"/>
      <c r="AP779" s="502"/>
      <c r="AQ779" s="502"/>
      <c r="AR779" s="502"/>
      <c r="AS779" s="502"/>
    </row>
    <row r="780" spans="34:45" ht="12.75" x14ac:dyDescent="0.2">
      <c r="AH780" s="502"/>
      <c r="AI780" s="502"/>
      <c r="AJ780" s="502"/>
      <c r="AK780" s="502"/>
      <c r="AP780" s="502"/>
      <c r="AQ780" s="502"/>
      <c r="AR780" s="502"/>
      <c r="AS780" s="502"/>
    </row>
    <row r="781" spans="34:45" ht="12.75" x14ac:dyDescent="0.2">
      <c r="AH781" s="502"/>
      <c r="AI781" s="502"/>
      <c r="AJ781" s="502"/>
      <c r="AK781" s="502"/>
      <c r="AP781" s="502"/>
      <c r="AQ781" s="502"/>
      <c r="AR781" s="502"/>
      <c r="AS781" s="502"/>
    </row>
    <row r="782" spans="34:45" ht="12.75" x14ac:dyDescent="0.2">
      <c r="AH782" s="502"/>
      <c r="AI782" s="502"/>
      <c r="AJ782" s="502"/>
      <c r="AK782" s="502"/>
      <c r="AP782" s="502"/>
      <c r="AQ782" s="502"/>
      <c r="AR782" s="502"/>
      <c r="AS782" s="502"/>
    </row>
    <row r="783" spans="34:45" ht="12.75" x14ac:dyDescent="0.2">
      <c r="AH783" s="502"/>
      <c r="AI783" s="502"/>
      <c r="AJ783" s="502"/>
      <c r="AK783" s="502"/>
      <c r="AP783" s="502"/>
      <c r="AQ783" s="502"/>
      <c r="AR783" s="502"/>
      <c r="AS783" s="502"/>
    </row>
    <row r="784" spans="34:45" ht="12.75" x14ac:dyDescent="0.2">
      <c r="AH784" s="502"/>
      <c r="AI784" s="502"/>
      <c r="AJ784" s="502"/>
      <c r="AK784" s="502"/>
      <c r="AP784" s="502"/>
      <c r="AQ784" s="502"/>
      <c r="AR784" s="502"/>
      <c r="AS784" s="502"/>
    </row>
    <row r="785" spans="34:45" ht="12.75" x14ac:dyDescent="0.2">
      <c r="AH785" s="502"/>
      <c r="AI785" s="502"/>
      <c r="AJ785" s="502"/>
      <c r="AK785" s="502"/>
      <c r="AP785" s="502"/>
      <c r="AQ785" s="502"/>
      <c r="AR785" s="502"/>
      <c r="AS785" s="502"/>
    </row>
    <row r="786" spans="34:45" ht="12.75" x14ac:dyDescent="0.2">
      <c r="AH786" s="502"/>
      <c r="AI786" s="502"/>
      <c r="AJ786" s="502"/>
      <c r="AK786" s="502"/>
      <c r="AP786" s="502"/>
      <c r="AQ786" s="502"/>
      <c r="AR786" s="502"/>
      <c r="AS786" s="502"/>
    </row>
    <row r="787" spans="34:45" ht="12.75" x14ac:dyDescent="0.2">
      <c r="AH787" s="502"/>
      <c r="AI787" s="502"/>
      <c r="AJ787" s="502"/>
      <c r="AK787" s="502"/>
      <c r="AP787" s="502"/>
      <c r="AQ787" s="502"/>
      <c r="AR787" s="502"/>
      <c r="AS787" s="502"/>
    </row>
    <row r="788" spans="34:45" ht="12.75" x14ac:dyDescent="0.2">
      <c r="AH788" s="502"/>
      <c r="AI788" s="502"/>
      <c r="AJ788" s="502"/>
      <c r="AK788" s="502"/>
      <c r="AP788" s="502"/>
      <c r="AQ788" s="502"/>
      <c r="AR788" s="502"/>
      <c r="AS788" s="502"/>
    </row>
    <row r="789" spans="34:45" ht="12.75" x14ac:dyDescent="0.2">
      <c r="AH789" s="502"/>
      <c r="AI789" s="502"/>
      <c r="AJ789" s="502"/>
      <c r="AK789" s="502"/>
      <c r="AP789" s="502"/>
      <c r="AQ789" s="502"/>
      <c r="AR789" s="502"/>
      <c r="AS789" s="502"/>
    </row>
    <row r="790" spans="34:45" ht="12.75" x14ac:dyDescent="0.2">
      <c r="AH790" s="502"/>
      <c r="AI790" s="502"/>
      <c r="AJ790" s="502"/>
      <c r="AK790" s="502"/>
      <c r="AP790" s="502"/>
      <c r="AQ790" s="502"/>
      <c r="AR790" s="502"/>
      <c r="AS790" s="502"/>
    </row>
    <row r="791" spans="34:45" ht="12.75" x14ac:dyDescent="0.2">
      <c r="AH791" s="502"/>
      <c r="AI791" s="502"/>
      <c r="AJ791" s="502"/>
      <c r="AK791" s="502"/>
      <c r="AP791" s="502"/>
      <c r="AQ791" s="502"/>
      <c r="AR791" s="502"/>
      <c r="AS791" s="502"/>
    </row>
    <row r="792" spans="34:45" ht="12.75" x14ac:dyDescent="0.2">
      <c r="AH792" s="502"/>
      <c r="AI792" s="502"/>
      <c r="AJ792" s="502"/>
      <c r="AK792" s="502"/>
      <c r="AP792" s="502"/>
      <c r="AQ792" s="502"/>
      <c r="AR792" s="502"/>
      <c r="AS792" s="502"/>
    </row>
    <row r="793" spans="34:45" ht="12.75" x14ac:dyDescent="0.2">
      <c r="AH793" s="502"/>
      <c r="AI793" s="502"/>
      <c r="AJ793" s="502"/>
      <c r="AK793" s="502"/>
      <c r="AP793" s="502"/>
      <c r="AQ793" s="502"/>
      <c r="AR793" s="502"/>
      <c r="AS793" s="502"/>
    </row>
    <row r="794" spans="34:45" ht="12.75" x14ac:dyDescent="0.2">
      <c r="AH794" s="502"/>
      <c r="AI794" s="502"/>
      <c r="AJ794" s="502"/>
      <c r="AK794" s="502"/>
      <c r="AP794" s="502"/>
      <c r="AQ794" s="502"/>
      <c r="AR794" s="502"/>
      <c r="AS794" s="502"/>
    </row>
    <row r="795" spans="34:45" ht="12.75" x14ac:dyDescent="0.2">
      <c r="AH795" s="502"/>
      <c r="AI795" s="502"/>
      <c r="AJ795" s="502"/>
      <c r="AK795" s="502"/>
      <c r="AP795" s="502"/>
      <c r="AQ795" s="502"/>
      <c r="AR795" s="502"/>
      <c r="AS795" s="502"/>
    </row>
    <row r="796" spans="34:45" ht="12.75" x14ac:dyDescent="0.2">
      <c r="AH796" s="502"/>
      <c r="AI796" s="502"/>
      <c r="AJ796" s="502"/>
      <c r="AK796" s="502"/>
      <c r="AP796" s="502"/>
      <c r="AQ796" s="502"/>
      <c r="AR796" s="502"/>
      <c r="AS796" s="502"/>
    </row>
    <row r="797" spans="34:45" ht="12.75" x14ac:dyDescent="0.2">
      <c r="AH797" s="502"/>
      <c r="AI797" s="502"/>
      <c r="AJ797" s="502"/>
      <c r="AK797" s="502"/>
      <c r="AP797" s="502"/>
      <c r="AQ797" s="502"/>
      <c r="AR797" s="502"/>
      <c r="AS797" s="502"/>
    </row>
    <row r="798" spans="34:45" ht="12.75" x14ac:dyDescent="0.2">
      <c r="AH798" s="502"/>
      <c r="AI798" s="502"/>
      <c r="AJ798" s="502"/>
      <c r="AK798" s="502"/>
      <c r="AP798" s="502"/>
      <c r="AQ798" s="502"/>
      <c r="AR798" s="502"/>
      <c r="AS798" s="502"/>
    </row>
    <row r="799" spans="34:45" ht="12.75" x14ac:dyDescent="0.2">
      <c r="AH799" s="502"/>
      <c r="AI799" s="502"/>
      <c r="AJ799" s="502"/>
      <c r="AK799" s="502"/>
      <c r="AP799" s="502"/>
      <c r="AQ799" s="502"/>
      <c r="AR799" s="502"/>
      <c r="AS799" s="502"/>
    </row>
    <row r="800" spans="34:45" ht="12.75" x14ac:dyDescent="0.2">
      <c r="AH800" s="502"/>
      <c r="AI800" s="502"/>
      <c r="AJ800" s="502"/>
      <c r="AK800" s="502"/>
      <c r="AP800" s="502"/>
      <c r="AQ800" s="502"/>
      <c r="AR800" s="502"/>
      <c r="AS800" s="502"/>
    </row>
    <row r="801" spans="34:45" ht="12.75" x14ac:dyDescent="0.2">
      <c r="AH801" s="502"/>
      <c r="AI801" s="502"/>
      <c r="AJ801" s="502"/>
      <c r="AK801" s="502"/>
      <c r="AP801" s="502"/>
      <c r="AQ801" s="502"/>
      <c r="AR801" s="502"/>
      <c r="AS801" s="502"/>
    </row>
    <row r="802" spans="34:45" ht="12.75" x14ac:dyDescent="0.2">
      <c r="AH802" s="502"/>
      <c r="AI802" s="502"/>
      <c r="AJ802" s="502"/>
      <c r="AK802" s="502"/>
      <c r="AP802" s="502"/>
      <c r="AQ802" s="502"/>
      <c r="AR802" s="502"/>
      <c r="AS802" s="502"/>
    </row>
    <row r="803" spans="34:45" ht="12.75" x14ac:dyDescent="0.2">
      <c r="AH803" s="502"/>
      <c r="AI803" s="502"/>
      <c r="AJ803" s="502"/>
      <c r="AK803" s="502"/>
      <c r="AP803" s="502"/>
      <c r="AQ803" s="502"/>
      <c r="AR803" s="502"/>
      <c r="AS803" s="502"/>
    </row>
    <row r="804" spans="34:45" ht="12.75" x14ac:dyDescent="0.2">
      <c r="AH804" s="502"/>
      <c r="AI804" s="502"/>
      <c r="AJ804" s="502"/>
      <c r="AK804" s="502"/>
      <c r="AP804" s="502"/>
      <c r="AQ804" s="502"/>
      <c r="AR804" s="502"/>
      <c r="AS804" s="502"/>
    </row>
    <row r="805" spans="34:45" ht="12.75" x14ac:dyDescent="0.2">
      <c r="AH805" s="502"/>
      <c r="AI805" s="502"/>
      <c r="AJ805" s="502"/>
      <c r="AK805" s="502"/>
      <c r="AP805" s="502"/>
      <c r="AQ805" s="502"/>
      <c r="AR805" s="502"/>
      <c r="AS805" s="502"/>
    </row>
    <row r="806" spans="34:45" ht="12.75" x14ac:dyDescent="0.2">
      <c r="AH806" s="502"/>
      <c r="AI806" s="502"/>
      <c r="AJ806" s="502"/>
      <c r="AK806" s="502"/>
      <c r="AP806" s="502"/>
      <c r="AQ806" s="502"/>
      <c r="AR806" s="502"/>
      <c r="AS806" s="502"/>
    </row>
    <row r="807" spans="34:45" ht="12.75" x14ac:dyDescent="0.2">
      <c r="AH807" s="502"/>
      <c r="AI807" s="502"/>
      <c r="AJ807" s="502"/>
      <c r="AK807" s="502"/>
      <c r="AP807" s="502"/>
      <c r="AQ807" s="502"/>
      <c r="AR807" s="502"/>
      <c r="AS807" s="502"/>
    </row>
    <row r="808" spans="34:45" ht="12.75" x14ac:dyDescent="0.2">
      <c r="AH808" s="502"/>
      <c r="AI808" s="502"/>
      <c r="AJ808" s="502"/>
      <c r="AK808" s="502"/>
      <c r="AP808" s="502"/>
      <c r="AQ808" s="502"/>
      <c r="AR808" s="502"/>
      <c r="AS808" s="502"/>
    </row>
    <row r="809" spans="34:45" ht="12.75" x14ac:dyDescent="0.2">
      <c r="AH809" s="502"/>
      <c r="AI809" s="502"/>
      <c r="AJ809" s="502"/>
      <c r="AK809" s="502"/>
      <c r="AP809" s="502"/>
      <c r="AQ809" s="502"/>
      <c r="AR809" s="502"/>
      <c r="AS809" s="502"/>
    </row>
    <row r="810" spans="34:45" ht="12.75" x14ac:dyDescent="0.2">
      <c r="AH810" s="502"/>
      <c r="AI810" s="502"/>
      <c r="AJ810" s="502"/>
      <c r="AK810" s="502"/>
      <c r="AP810" s="502"/>
      <c r="AQ810" s="502"/>
      <c r="AR810" s="502"/>
      <c r="AS810" s="502"/>
    </row>
    <row r="811" spans="34:45" ht="12.75" x14ac:dyDescent="0.2">
      <c r="AH811" s="502"/>
      <c r="AI811" s="502"/>
      <c r="AJ811" s="502"/>
      <c r="AK811" s="502"/>
      <c r="AP811" s="502"/>
      <c r="AQ811" s="502"/>
      <c r="AR811" s="502"/>
      <c r="AS811" s="502"/>
    </row>
    <row r="812" spans="34:45" ht="12.75" x14ac:dyDescent="0.2">
      <c r="AH812" s="502"/>
      <c r="AI812" s="502"/>
      <c r="AJ812" s="502"/>
      <c r="AK812" s="502"/>
      <c r="AP812" s="502"/>
      <c r="AQ812" s="502"/>
      <c r="AR812" s="502"/>
      <c r="AS812" s="502"/>
    </row>
    <row r="813" spans="34:45" ht="12.75" x14ac:dyDescent="0.2">
      <c r="AH813" s="502"/>
      <c r="AI813" s="502"/>
      <c r="AJ813" s="502"/>
      <c r="AK813" s="502"/>
      <c r="AP813" s="502"/>
      <c r="AQ813" s="502"/>
      <c r="AR813" s="502"/>
      <c r="AS813" s="502"/>
    </row>
    <row r="814" spans="34:45" ht="12.75" x14ac:dyDescent="0.2">
      <c r="AH814" s="502"/>
      <c r="AI814" s="502"/>
      <c r="AJ814" s="502"/>
      <c r="AK814" s="502"/>
      <c r="AP814" s="502"/>
      <c r="AQ814" s="502"/>
      <c r="AR814" s="502"/>
      <c r="AS814" s="502"/>
    </row>
    <row r="815" spans="34:45" ht="12.75" x14ac:dyDescent="0.2">
      <c r="AH815" s="502"/>
      <c r="AI815" s="502"/>
      <c r="AJ815" s="502"/>
      <c r="AK815" s="502"/>
      <c r="AP815" s="502"/>
      <c r="AQ815" s="502"/>
      <c r="AR815" s="502"/>
      <c r="AS815" s="502"/>
    </row>
    <row r="816" spans="34:45" ht="12.75" x14ac:dyDescent="0.2">
      <c r="AH816" s="502"/>
      <c r="AI816" s="502"/>
      <c r="AJ816" s="502"/>
      <c r="AK816" s="502"/>
      <c r="AP816" s="502"/>
      <c r="AQ816" s="502"/>
      <c r="AR816" s="502"/>
      <c r="AS816" s="502"/>
    </row>
    <row r="817" spans="34:45" ht="12.75" x14ac:dyDescent="0.2">
      <c r="AH817" s="502"/>
      <c r="AI817" s="502"/>
      <c r="AJ817" s="502"/>
      <c r="AK817" s="502"/>
      <c r="AP817" s="502"/>
      <c r="AQ817" s="502"/>
      <c r="AR817" s="502"/>
      <c r="AS817" s="502"/>
    </row>
    <row r="818" spans="34:45" ht="12.75" x14ac:dyDescent="0.2">
      <c r="AH818" s="502"/>
      <c r="AI818" s="502"/>
      <c r="AJ818" s="502"/>
      <c r="AK818" s="502"/>
      <c r="AP818" s="502"/>
      <c r="AQ818" s="502"/>
      <c r="AR818" s="502"/>
      <c r="AS818" s="502"/>
    </row>
    <row r="819" spans="34:45" ht="12.75" x14ac:dyDescent="0.2">
      <c r="AH819" s="502"/>
      <c r="AI819" s="502"/>
      <c r="AJ819" s="502"/>
      <c r="AK819" s="502"/>
      <c r="AP819" s="502"/>
      <c r="AQ819" s="502"/>
      <c r="AR819" s="502"/>
      <c r="AS819" s="502"/>
    </row>
    <row r="820" spans="34:45" ht="12.75" x14ac:dyDescent="0.2">
      <c r="AH820" s="502"/>
      <c r="AI820" s="502"/>
      <c r="AJ820" s="502"/>
      <c r="AK820" s="502"/>
      <c r="AP820" s="502"/>
      <c r="AQ820" s="502"/>
      <c r="AR820" s="502"/>
      <c r="AS820" s="502"/>
    </row>
    <row r="821" spans="34:45" ht="12.75" x14ac:dyDescent="0.2">
      <c r="AH821" s="502"/>
      <c r="AI821" s="502"/>
      <c r="AJ821" s="502"/>
      <c r="AK821" s="502"/>
      <c r="AP821" s="502"/>
      <c r="AQ821" s="502"/>
      <c r="AR821" s="502"/>
      <c r="AS821" s="502"/>
    </row>
    <row r="822" spans="34:45" ht="12.75" x14ac:dyDescent="0.2">
      <c r="AH822" s="502"/>
      <c r="AI822" s="502"/>
      <c r="AJ822" s="502"/>
      <c r="AK822" s="502"/>
      <c r="AP822" s="502"/>
      <c r="AQ822" s="502"/>
      <c r="AR822" s="502"/>
      <c r="AS822" s="502"/>
    </row>
    <row r="823" spans="34:45" ht="12.75" x14ac:dyDescent="0.2">
      <c r="AH823" s="502"/>
      <c r="AI823" s="502"/>
      <c r="AJ823" s="502"/>
      <c r="AK823" s="502"/>
      <c r="AP823" s="502"/>
      <c r="AQ823" s="502"/>
      <c r="AR823" s="502"/>
      <c r="AS823" s="502"/>
    </row>
    <row r="824" spans="34:45" ht="12.75" x14ac:dyDescent="0.2">
      <c r="AH824" s="502"/>
      <c r="AI824" s="502"/>
      <c r="AJ824" s="502"/>
      <c r="AK824" s="502"/>
      <c r="AP824" s="502"/>
      <c r="AQ824" s="502"/>
      <c r="AR824" s="502"/>
      <c r="AS824" s="502"/>
    </row>
    <row r="825" spans="34:45" ht="12.75" x14ac:dyDescent="0.2">
      <c r="AH825" s="502"/>
      <c r="AI825" s="502"/>
      <c r="AJ825" s="502"/>
      <c r="AK825" s="502"/>
      <c r="AP825" s="502"/>
      <c r="AQ825" s="502"/>
      <c r="AR825" s="502"/>
      <c r="AS825" s="502"/>
    </row>
    <row r="826" spans="34:45" ht="12.75" x14ac:dyDescent="0.2">
      <c r="AH826" s="502"/>
      <c r="AI826" s="502"/>
      <c r="AJ826" s="502"/>
      <c r="AK826" s="502"/>
      <c r="AP826" s="502"/>
      <c r="AQ826" s="502"/>
      <c r="AR826" s="502"/>
      <c r="AS826" s="502"/>
    </row>
    <row r="827" spans="34:45" ht="12.75" x14ac:dyDescent="0.2">
      <c r="AH827" s="502"/>
      <c r="AI827" s="502"/>
      <c r="AJ827" s="502"/>
      <c r="AK827" s="502"/>
      <c r="AP827" s="502"/>
      <c r="AQ827" s="502"/>
      <c r="AR827" s="502"/>
      <c r="AS827" s="502"/>
    </row>
    <row r="828" spans="34:45" ht="12.75" x14ac:dyDescent="0.2">
      <c r="AH828" s="502"/>
      <c r="AI828" s="502"/>
      <c r="AJ828" s="502"/>
      <c r="AK828" s="502"/>
      <c r="AP828" s="502"/>
      <c r="AQ828" s="502"/>
      <c r="AR828" s="502"/>
      <c r="AS828" s="502"/>
    </row>
    <row r="829" spans="34:45" ht="12.75" x14ac:dyDescent="0.2">
      <c r="AH829" s="502"/>
      <c r="AI829" s="502"/>
      <c r="AJ829" s="502"/>
      <c r="AK829" s="502"/>
      <c r="AP829" s="502"/>
      <c r="AQ829" s="502"/>
      <c r="AR829" s="502"/>
      <c r="AS829" s="502"/>
    </row>
    <row r="830" spans="34:45" ht="12.75" x14ac:dyDescent="0.2">
      <c r="AH830" s="502"/>
      <c r="AI830" s="502"/>
      <c r="AJ830" s="502"/>
      <c r="AK830" s="502"/>
      <c r="AP830" s="502"/>
      <c r="AQ830" s="502"/>
      <c r="AR830" s="502"/>
      <c r="AS830" s="502"/>
    </row>
    <row r="831" spans="34:45" ht="12.75" x14ac:dyDescent="0.2">
      <c r="AH831" s="502"/>
      <c r="AI831" s="502"/>
      <c r="AJ831" s="502"/>
      <c r="AK831" s="502"/>
      <c r="AP831" s="502"/>
      <c r="AQ831" s="502"/>
      <c r="AR831" s="502"/>
      <c r="AS831" s="502"/>
    </row>
    <row r="832" spans="34:45" ht="12.75" x14ac:dyDescent="0.2">
      <c r="AH832" s="502"/>
      <c r="AI832" s="502"/>
      <c r="AJ832" s="502"/>
      <c r="AK832" s="502"/>
      <c r="AP832" s="502"/>
      <c r="AQ832" s="502"/>
      <c r="AR832" s="502"/>
      <c r="AS832" s="502"/>
    </row>
    <row r="833" spans="34:45" ht="12.75" x14ac:dyDescent="0.2">
      <c r="AH833" s="502"/>
      <c r="AI833" s="502"/>
      <c r="AJ833" s="502"/>
      <c r="AK833" s="502"/>
      <c r="AP833" s="502"/>
      <c r="AQ833" s="502"/>
      <c r="AR833" s="502"/>
      <c r="AS833" s="502"/>
    </row>
    <row r="834" spans="34:45" ht="12.75" x14ac:dyDescent="0.2">
      <c r="AH834" s="502"/>
      <c r="AI834" s="502"/>
      <c r="AJ834" s="502"/>
      <c r="AK834" s="502"/>
      <c r="AP834" s="502"/>
      <c r="AQ834" s="502"/>
      <c r="AR834" s="502"/>
      <c r="AS834" s="502"/>
    </row>
    <row r="835" spans="34:45" ht="12.75" x14ac:dyDescent="0.2">
      <c r="AH835" s="502"/>
      <c r="AI835" s="502"/>
      <c r="AJ835" s="502"/>
      <c r="AK835" s="502"/>
      <c r="AP835" s="502"/>
      <c r="AQ835" s="502"/>
      <c r="AR835" s="502"/>
      <c r="AS835" s="502"/>
    </row>
    <row r="836" spans="34:45" ht="12.75" x14ac:dyDescent="0.2">
      <c r="AH836" s="502"/>
      <c r="AI836" s="502"/>
      <c r="AJ836" s="502"/>
      <c r="AK836" s="502"/>
      <c r="AP836" s="502"/>
      <c r="AQ836" s="502"/>
      <c r="AR836" s="502"/>
      <c r="AS836" s="502"/>
    </row>
    <row r="837" spans="34:45" ht="12.75" x14ac:dyDescent="0.2">
      <c r="AH837" s="502"/>
      <c r="AI837" s="502"/>
      <c r="AJ837" s="502"/>
      <c r="AK837" s="502"/>
      <c r="AP837" s="502"/>
      <c r="AQ837" s="502"/>
      <c r="AR837" s="502"/>
      <c r="AS837" s="502"/>
    </row>
    <row r="838" spans="34:45" ht="12.75" x14ac:dyDescent="0.2">
      <c r="AH838" s="502"/>
      <c r="AI838" s="502"/>
      <c r="AJ838" s="502"/>
      <c r="AK838" s="502"/>
      <c r="AP838" s="502"/>
      <c r="AQ838" s="502"/>
      <c r="AR838" s="502"/>
      <c r="AS838" s="502"/>
    </row>
    <row r="839" spans="34:45" ht="12.75" x14ac:dyDescent="0.2">
      <c r="AH839" s="502"/>
      <c r="AI839" s="502"/>
      <c r="AJ839" s="502"/>
      <c r="AK839" s="502"/>
      <c r="AP839" s="502"/>
      <c r="AQ839" s="502"/>
      <c r="AR839" s="502"/>
      <c r="AS839" s="502"/>
    </row>
    <row r="840" spans="34:45" ht="12.75" x14ac:dyDescent="0.2">
      <c r="AH840" s="502"/>
      <c r="AI840" s="502"/>
      <c r="AJ840" s="502"/>
      <c r="AK840" s="502"/>
      <c r="AP840" s="502"/>
      <c r="AQ840" s="502"/>
      <c r="AR840" s="502"/>
      <c r="AS840" s="502"/>
    </row>
    <row r="841" spans="34:45" ht="12.75" x14ac:dyDescent="0.2">
      <c r="AH841" s="502"/>
      <c r="AI841" s="502"/>
      <c r="AJ841" s="502"/>
      <c r="AK841" s="502"/>
      <c r="AP841" s="502"/>
      <c r="AQ841" s="502"/>
      <c r="AR841" s="502"/>
      <c r="AS841" s="502"/>
    </row>
    <row r="842" spans="34:45" ht="12.75" x14ac:dyDescent="0.2">
      <c r="AH842" s="502"/>
      <c r="AI842" s="502"/>
      <c r="AJ842" s="502"/>
      <c r="AK842" s="502"/>
      <c r="AP842" s="502"/>
      <c r="AQ842" s="502"/>
      <c r="AR842" s="502"/>
      <c r="AS842" s="502"/>
    </row>
    <row r="843" spans="34:45" ht="12.75" x14ac:dyDescent="0.2">
      <c r="AH843" s="502"/>
      <c r="AI843" s="502"/>
      <c r="AJ843" s="502"/>
      <c r="AK843" s="502"/>
      <c r="AP843" s="502"/>
      <c r="AQ843" s="502"/>
      <c r="AR843" s="502"/>
      <c r="AS843" s="502"/>
    </row>
    <row r="844" spans="34:45" ht="12.75" x14ac:dyDescent="0.2">
      <c r="AH844" s="502"/>
      <c r="AI844" s="502"/>
      <c r="AJ844" s="502"/>
      <c r="AK844" s="502"/>
      <c r="AP844" s="502"/>
      <c r="AQ844" s="502"/>
      <c r="AR844" s="502"/>
      <c r="AS844" s="502"/>
    </row>
    <row r="845" spans="34:45" ht="12.75" x14ac:dyDescent="0.2">
      <c r="AH845" s="502"/>
      <c r="AI845" s="502"/>
      <c r="AJ845" s="502"/>
      <c r="AK845" s="502"/>
      <c r="AP845" s="502"/>
      <c r="AQ845" s="502"/>
      <c r="AR845" s="502"/>
      <c r="AS845" s="502"/>
    </row>
    <row r="846" spans="34:45" ht="12.75" x14ac:dyDescent="0.2">
      <c r="AH846" s="502"/>
      <c r="AI846" s="502"/>
      <c r="AJ846" s="502"/>
      <c r="AK846" s="502"/>
      <c r="AP846" s="502"/>
      <c r="AQ846" s="502"/>
      <c r="AR846" s="502"/>
      <c r="AS846" s="502"/>
    </row>
    <row r="847" spans="34:45" ht="12.75" x14ac:dyDescent="0.2">
      <c r="AH847" s="502"/>
      <c r="AI847" s="502"/>
      <c r="AJ847" s="502"/>
      <c r="AK847" s="502"/>
      <c r="AP847" s="502"/>
      <c r="AQ847" s="502"/>
      <c r="AR847" s="502"/>
      <c r="AS847" s="502"/>
    </row>
    <row r="848" spans="34:45" ht="12.75" x14ac:dyDescent="0.2">
      <c r="AH848" s="502"/>
      <c r="AI848" s="502"/>
      <c r="AJ848" s="502"/>
      <c r="AK848" s="502"/>
      <c r="AP848" s="502"/>
      <c r="AQ848" s="502"/>
      <c r="AR848" s="502"/>
      <c r="AS848" s="502"/>
    </row>
    <row r="849" spans="34:45" ht="12.75" x14ac:dyDescent="0.2">
      <c r="AH849" s="502"/>
      <c r="AI849" s="502"/>
      <c r="AJ849" s="502"/>
      <c r="AK849" s="502"/>
      <c r="AP849" s="502"/>
      <c r="AQ849" s="502"/>
      <c r="AR849" s="502"/>
      <c r="AS849" s="502"/>
    </row>
    <row r="850" spans="34:45" ht="12.75" x14ac:dyDescent="0.2">
      <c r="AH850" s="502"/>
      <c r="AI850" s="502"/>
      <c r="AJ850" s="502"/>
      <c r="AK850" s="502"/>
      <c r="AP850" s="502"/>
      <c r="AQ850" s="502"/>
      <c r="AR850" s="502"/>
      <c r="AS850" s="502"/>
    </row>
    <row r="851" spans="34:45" ht="12.75" x14ac:dyDescent="0.2">
      <c r="AH851" s="502"/>
      <c r="AI851" s="502"/>
      <c r="AJ851" s="502"/>
      <c r="AK851" s="502"/>
      <c r="AP851" s="502"/>
      <c r="AQ851" s="502"/>
      <c r="AR851" s="502"/>
      <c r="AS851" s="502"/>
    </row>
    <row r="852" spans="34:45" ht="12.75" x14ac:dyDescent="0.2">
      <c r="AH852" s="502"/>
      <c r="AI852" s="502"/>
      <c r="AJ852" s="502"/>
      <c r="AK852" s="502"/>
      <c r="AP852" s="502"/>
      <c r="AQ852" s="502"/>
      <c r="AR852" s="502"/>
      <c r="AS852" s="502"/>
    </row>
    <row r="853" spans="34:45" ht="12.75" x14ac:dyDescent="0.2">
      <c r="AH853" s="502"/>
      <c r="AI853" s="502"/>
      <c r="AJ853" s="502"/>
      <c r="AK853" s="502"/>
      <c r="AP853" s="502"/>
      <c r="AQ853" s="502"/>
      <c r="AR853" s="502"/>
      <c r="AS853" s="502"/>
    </row>
    <row r="854" spans="34:45" ht="12.75" x14ac:dyDescent="0.2">
      <c r="AH854" s="502"/>
      <c r="AI854" s="502"/>
      <c r="AJ854" s="502"/>
      <c r="AK854" s="502"/>
      <c r="AP854" s="502"/>
      <c r="AQ854" s="502"/>
      <c r="AR854" s="502"/>
      <c r="AS854" s="502"/>
    </row>
    <row r="855" spans="34:45" ht="12.75" x14ac:dyDescent="0.2">
      <c r="AH855" s="502"/>
      <c r="AI855" s="502"/>
      <c r="AJ855" s="502"/>
      <c r="AK855" s="502"/>
      <c r="AP855" s="502"/>
      <c r="AQ855" s="502"/>
      <c r="AR855" s="502"/>
      <c r="AS855" s="502"/>
    </row>
    <row r="856" spans="34:45" ht="12.75" x14ac:dyDescent="0.2">
      <c r="AH856" s="502"/>
      <c r="AI856" s="502"/>
      <c r="AJ856" s="502"/>
      <c r="AK856" s="502"/>
      <c r="AP856" s="502"/>
      <c r="AQ856" s="502"/>
      <c r="AR856" s="502"/>
      <c r="AS856" s="502"/>
    </row>
    <row r="857" spans="34:45" ht="12.75" x14ac:dyDescent="0.2">
      <c r="AH857" s="502"/>
      <c r="AI857" s="502"/>
      <c r="AJ857" s="502"/>
      <c r="AK857" s="502"/>
      <c r="AP857" s="502"/>
      <c r="AQ857" s="502"/>
      <c r="AR857" s="502"/>
      <c r="AS857" s="502"/>
    </row>
    <row r="858" spans="34:45" ht="12.75" x14ac:dyDescent="0.2">
      <c r="AH858" s="502"/>
      <c r="AI858" s="502"/>
      <c r="AJ858" s="502"/>
      <c r="AK858" s="502"/>
      <c r="AP858" s="502"/>
      <c r="AQ858" s="502"/>
      <c r="AR858" s="502"/>
      <c r="AS858" s="502"/>
    </row>
    <row r="859" spans="34:45" ht="12.75" x14ac:dyDescent="0.2">
      <c r="AH859" s="502"/>
      <c r="AI859" s="502"/>
      <c r="AJ859" s="502"/>
      <c r="AK859" s="502"/>
      <c r="AP859" s="502"/>
      <c r="AQ859" s="502"/>
      <c r="AR859" s="502"/>
      <c r="AS859" s="502"/>
    </row>
    <row r="860" spans="34:45" ht="12.75" x14ac:dyDescent="0.2">
      <c r="AH860" s="502"/>
      <c r="AI860" s="502"/>
      <c r="AJ860" s="502"/>
      <c r="AK860" s="502"/>
      <c r="AP860" s="502"/>
      <c r="AQ860" s="502"/>
      <c r="AR860" s="502"/>
      <c r="AS860" s="502"/>
    </row>
    <row r="861" spans="34:45" ht="12.75" x14ac:dyDescent="0.2">
      <c r="AH861" s="502"/>
      <c r="AI861" s="502"/>
      <c r="AJ861" s="502"/>
      <c r="AK861" s="502"/>
      <c r="AP861" s="502"/>
      <c r="AQ861" s="502"/>
      <c r="AR861" s="502"/>
      <c r="AS861" s="502"/>
    </row>
    <row r="862" spans="34:45" ht="12.75" x14ac:dyDescent="0.2">
      <c r="AH862" s="502"/>
      <c r="AI862" s="502"/>
      <c r="AJ862" s="502"/>
      <c r="AK862" s="502"/>
      <c r="AP862" s="502"/>
      <c r="AQ862" s="502"/>
      <c r="AR862" s="502"/>
      <c r="AS862" s="502"/>
    </row>
    <row r="863" spans="34:45" ht="12.75" x14ac:dyDescent="0.2">
      <c r="AH863" s="502"/>
      <c r="AI863" s="502"/>
      <c r="AJ863" s="502"/>
      <c r="AK863" s="502"/>
      <c r="AP863" s="502"/>
      <c r="AQ863" s="502"/>
      <c r="AR863" s="502"/>
      <c r="AS863" s="502"/>
    </row>
    <row r="864" spans="34:45" ht="12.75" x14ac:dyDescent="0.2">
      <c r="AH864" s="502"/>
      <c r="AI864" s="502"/>
      <c r="AJ864" s="502"/>
      <c r="AK864" s="502"/>
      <c r="AP864" s="502"/>
      <c r="AQ864" s="502"/>
      <c r="AR864" s="502"/>
      <c r="AS864" s="502"/>
    </row>
    <row r="865" spans="34:45" ht="12.75" x14ac:dyDescent="0.2">
      <c r="AH865" s="502"/>
      <c r="AI865" s="502"/>
      <c r="AJ865" s="502"/>
      <c r="AK865" s="502"/>
      <c r="AP865" s="502"/>
      <c r="AQ865" s="502"/>
      <c r="AR865" s="502"/>
      <c r="AS865" s="502"/>
    </row>
    <row r="866" spans="34:45" ht="12.75" x14ac:dyDescent="0.2">
      <c r="AH866" s="502"/>
      <c r="AI866" s="502"/>
      <c r="AJ866" s="502"/>
      <c r="AK866" s="502"/>
      <c r="AP866" s="502"/>
      <c r="AQ866" s="502"/>
      <c r="AR866" s="502"/>
      <c r="AS866" s="502"/>
    </row>
    <row r="867" spans="34:45" ht="12.75" x14ac:dyDescent="0.2">
      <c r="AH867" s="502"/>
      <c r="AI867" s="502"/>
      <c r="AJ867" s="502"/>
      <c r="AK867" s="502"/>
      <c r="AP867" s="502"/>
      <c r="AQ867" s="502"/>
      <c r="AR867" s="502"/>
      <c r="AS867" s="502"/>
    </row>
    <row r="868" spans="34:45" ht="12.75" x14ac:dyDescent="0.2">
      <c r="AH868" s="502"/>
      <c r="AI868" s="502"/>
      <c r="AJ868" s="502"/>
      <c r="AK868" s="502"/>
      <c r="AP868" s="502"/>
      <c r="AQ868" s="502"/>
      <c r="AR868" s="502"/>
      <c r="AS868" s="502"/>
    </row>
    <row r="869" spans="34:45" ht="12.75" x14ac:dyDescent="0.2">
      <c r="AH869" s="502"/>
      <c r="AI869" s="502"/>
      <c r="AJ869" s="502"/>
      <c r="AK869" s="502"/>
      <c r="AP869" s="502"/>
      <c r="AQ869" s="502"/>
      <c r="AR869" s="502"/>
      <c r="AS869" s="502"/>
    </row>
    <row r="870" spans="34:45" ht="12.75" x14ac:dyDescent="0.2">
      <c r="AH870" s="502"/>
      <c r="AI870" s="502"/>
      <c r="AJ870" s="502"/>
      <c r="AK870" s="502"/>
      <c r="AP870" s="502"/>
      <c r="AQ870" s="502"/>
      <c r="AR870" s="502"/>
      <c r="AS870" s="502"/>
    </row>
    <row r="871" spans="34:45" ht="12.75" x14ac:dyDescent="0.2">
      <c r="AH871" s="502"/>
      <c r="AI871" s="502"/>
      <c r="AJ871" s="502"/>
      <c r="AK871" s="502"/>
      <c r="AP871" s="502"/>
      <c r="AQ871" s="502"/>
      <c r="AR871" s="502"/>
      <c r="AS871" s="502"/>
    </row>
    <row r="872" spans="34:45" ht="12.75" x14ac:dyDescent="0.2">
      <c r="AH872" s="502"/>
      <c r="AI872" s="502"/>
      <c r="AJ872" s="502"/>
      <c r="AK872" s="502"/>
      <c r="AP872" s="502"/>
      <c r="AQ872" s="502"/>
      <c r="AR872" s="502"/>
      <c r="AS872" s="502"/>
    </row>
    <row r="873" spans="34:45" ht="12.75" x14ac:dyDescent="0.2">
      <c r="AH873" s="502"/>
      <c r="AI873" s="502"/>
      <c r="AJ873" s="502"/>
      <c r="AK873" s="502"/>
      <c r="AP873" s="502"/>
      <c r="AQ873" s="502"/>
      <c r="AR873" s="502"/>
      <c r="AS873" s="502"/>
    </row>
    <row r="874" spans="34:45" ht="12.75" x14ac:dyDescent="0.2">
      <c r="AH874" s="502"/>
      <c r="AI874" s="502"/>
      <c r="AJ874" s="502"/>
      <c r="AK874" s="502"/>
      <c r="AP874" s="502"/>
      <c r="AQ874" s="502"/>
      <c r="AR874" s="502"/>
      <c r="AS874" s="502"/>
    </row>
    <row r="875" spans="34:45" ht="12.75" x14ac:dyDescent="0.2">
      <c r="AH875" s="502"/>
      <c r="AI875" s="502"/>
      <c r="AJ875" s="502"/>
      <c r="AK875" s="502"/>
      <c r="AP875" s="502"/>
      <c r="AQ875" s="502"/>
      <c r="AR875" s="502"/>
      <c r="AS875" s="502"/>
    </row>
    <row r="876" spans="34:45" ht="12.75" x14ac:dyDescent="0.2">
      <c r="AH876" s="502"/>
      <c r="AI876" s="502"/>
      <c r="AJ876" s="502"/>
      <c r="AK876" s="502"/>
      <c r="AP876" s="502"/>
      <c r="AQ876" s="502"/>
      <c r="AR876" s="502"/>
      <c r="AS876" s="502"/>
    </row>
    <row r="877" spans="34:45" ht="12.75" x14ac:dyDescent="0.2">
      <c r="AH877" s="502"/>
      <c r="AI877" s="502"/>
      <c r="AJ877" s="502"/>
      <c r="AK877" s="502"/>
      <c r="AP877" s="502"/>
      <c r="AQ877" s="502"/>
      <c r="AR877" s="502"/>
      <c r="AS877" s="502"/>
    </row>
    <row r="878" spans="34:45" ht="12.75" x14ac:dyDescent="0.2">
      <c r="AH878" s="502"/>
      <c r="AI878" s="502"/>
      <c r="AJ878" s="502"/>
      <c r="AK878" s="502"/>
      <c r="AP878" s="502"/>
      <c r="AQ878" s="502"/>
      <c r="AR878" s="502"/>
      <c r="AS878" s="502"/>
    </row>
    <row r="879" spans="34:45" ht="12.75" x14ac:dyDescent="0.2">
      <c r="AH879" s="502"/>
      <c r="AI879" s="502"/>
      <c r="AJ879" s="502"/>
      <c r="AK879" s="502"/>
      <c r="AP879" s="502"/>
      <c r="AQ879" s="502"/>
      <c r="AR879" s="502"/>
      <c r="AS879" s="502"/>
    </row>
    <row r="880" spans="34:45" ht="12.75" x14ac:dyDescent="0.2">
      <c r="AH880" s="502"/>
      <c r="AI880" s="502"/>
      <c r="AJ880" s="502"/>
      <c r="AK880" s="502"/>
      <c r="AP880" s="502"/>
      <c r="AQ880" s="502"/>
      <c r="AR880" s="502"/>
      <c r="AS880" s="502"/>
    </row>
    <row r="881" spans="34:45" ht="12.75" x14ac:dyDescent="0.2">
      <c r="AH881" s="502"/>
      <c r="AI881" s="502"/>
      <c r="AJ881" s="502"/>
      <c r="AK881" s="502"/>
      <c r="AP881" s="502"/>
      <c r="AQ881" s="502"/>
      <c r="AR881" s="502"/>
      <c r="AS881" s="502"/>
    </row>
    <row r="882" spans="34:45" ht="12.75" x14ac:dyDescent="0.2">
      <c r="AH882" s="502"/>
      <c r="AI882" s="502"/>
      <c r="AJ882" s="502"/>
      <c r="AK882" s="502"/>
      <c r="AP882" s="502"/>
      <c r="AQ882" s="502"/>
      <c r="AR882" s="502"/>
      <c r="AS882" s="502"/>
    </row>
    <row r="883" spans="34:45" ht="12.75" x14ac:dyDescent="0.2">
      <c r="AH883" s="502"/>
      <c r="AI883" s="502"/>
      <c r="AJ883" s="502"/>
      <c r="AK883" s="502"/>
      <c r="AP883" s="502"/>
      <c r="AQ883" s="502"/>
      <c r="AR883" s="502"/>
      <c r="AS883" s="502"/>
    </row>
    <row r="884" spans="34:45" ht="12.75" x14ac:dyDescent="0.2">
      <c r="AH884" s="502"/>
      <c r="AI884" s="502"/>
      <c r="AJ884" s="502"/>
      <c r="AK884" s="502"/>
      <c r="AP884" s="502"/>
      <c r="AQ884" s="502"/>
      <c r="AR884" s="502"/>
      <c r="AS884" s="502"/>
    </row>
    <row r="885" spans="34:45" ht="12.75" x14ac:dyDescent="0.2">
      <c r="AH885" s="502"/>
      <c r="AI885" s="502"/>
      <c r="AJ885" s="502"/>
      <c r="AK885" s="502"/>
      <c r="AP885" s="502"/>
      <c r="AQ885" s="502"/>
      <c r="AR885" s="502"/>
      <c r="AS885" s="502"/>
    </row>
    <row r="886" spans="34:45" ht="12.75" x14ac:dyDescent="0.2">
      <c r="AH886" s="502"/>
      <c r="AI886" s="502"/>
      <c r="AJ886" s="502"/>
      <c r="AK886" s="502"/>
      <c r="AP886" s="502"/>
      <c r="AQ886" s="502"/>
      <c r="AR886" s="502"/>
      <c r="AS886" s="502"/>
    </row>
    <row r="887" spans="34:45" ht="12.75" x14ac:dyDescent="0.2">
      <c r="AH887" s="502"/>
      <c r="AI887" s="502"/>
      <c r="AJ887" s="502"/>
      <c r="AK887" s="502"/>
      <c r="AP887" s="502"/>
      <c r="AQ887" s="502"/>
      <c r="AR887" s="502"/>
      <c r="AS887" s="502"/>
    </row>
    <row r="888" spans="34:45" ht="12.75" x14ac:dyDescent="0.2">
      <c r="AH888" s="502"/>
      <c r="AI888" s="502"/>
      <c r="AJ888" s="502"/>
      <c r="AK888" s="502"/>
      <c r="AP888" s="502"/>
      <c r="AQ888" s="502"/>
      <c r="AR888" s="502"/>
      <c r="AS888" s="502"/>
    </row>
    <row r="889" spans="34:45" ht="12.75" x14ac:dyDescent="0.2">
      <c r="AH889" s="502"/>
      <c r="AI889" s="502"/>
      <c r="AJ889" s="502"/>
      <c r="AK889" s="502"/>
      <c r="AP889" s="502"/>
      <c r="AQ889" s="502"/>
      <c r="AR889" s="502"/>
      <c r="AS889" s="502"/>
    </row>
    <row r="890" spans="34:45" ht="12.75" x14ac:dyDescent="0.2">
      <c r="AH890" s="502"/>
      <c r="AI890" s="502"/>
      <c r="AJ890" s="502"/>
      <c r="AK890" s="502"/>
      <c r="AP890" s="502"/>
      <c r="AQ890" s="502"/>
      <c r="AR890" s="502"/>
      <c r="AS890" s="502"/>
    </row>
    <row r="891" spans="34:45" ht="12.75" x14ac:dyDescent="0.2">
      <c r="AH891" s="502"/>
      <c r="AI891" s="502"/>
      <c r="AJ891" s="502"/>
      <c r="AK891" s="502"/>
      <c r="AP891" s="502"/>
      <c r="AQ891" s="502"/>
      <c r="AR891" s="502"/>
      <c r="AS891" s="502"/>
    </row>
    <row r="892" spans="34:45" ht="12.75" x14ac:dyDescent="0.2">
      <c r="AH892" s="502"/>
      <c r="AI892" s="502"/>
      <c r="AJ892" s="502"/>
      <c r="AK892" s="502"/>
      <c r="AP892" s="502"/>
      <c r="AQ892" s="502"/>
      <c r="AR892" s="502"/>
      <c r="AS892" s="502"/>
    </row>
    <row r="893" spans="34:45" ht="12.75" x14ac:dyDescent="0.2">
      <c r="AH893" s="502"/>
      <c r="AI893" s="502"/>
      <c r="AJ893" s="502"/>
      <c r="AK893" s="502"/>
      <c r="AP893" s="502"/>
      <c r="AQ893" s="502"/>
      <c r="AR893" s="502"/>
      <c r="AS893" s="502"/>
    </row>
    <row r="894" spans="34:45" ht="12.75" x14ac:dyDescent="0.2">
      <c r="AH894" s="502"/>
      <c r="AI894" s="502"/>
      <c r="AJ894" s="502"/>
      <c r="AK894" s="502"/>
      <c r="AP894" s="502"/>
      <c r="AQ894" s="502"/>
      <c r="AR894" s="502"/>
      <c r="AS894" s="502"/>
    </row>
    <row r="895" spans="34:45" ht="12.75" x14ac:dyDescent="0.2">
      <c r="AH895" s="502"/>
      <c r="AI895" s="502"/>
      <c r="AJ895" s="502"/>
      <c r="AK895" s="502"/>
      <c r="AP895" s="502"/>
      <c r="AQ895" s="502"/>
      <c r="AR895" s="502"/>
      <c r="AS895" s="502"/>
    </row>
    <row r="896" spans="34:45" ht="12.75" x14ac:dyDescent="0.2">
      <c r="AH896" s="502"/>
      <c r="AI896" s="502"/>
      <c r="AJ896" s="502"/>
      <c r="AK896" s="502"/>
      <c r="AP896" s="502"/>
      <c r="AQ896" s="502"/>
      <c r="AR896" s="502"/>
      <c r="AS896" s="502"/>
    </row>
    <row r="897" spans="34:45" ht="12.75" x14ac:dyDescent="0.2">
      <c r="AH897" s="502"/>
      <c r="AI897" s="502"/>
      <c r="AJ897" s="502"/>
      <c r="AK897" s="502"/>
      <c r="AP897" s="502"/>
      <c r="AQ897" s="502"/>
      <c r="AR897" s="502"/>
      <c r="AS897" s="502"/>
    </row>
    <row r="898" spans="34:45" ht="12.75" x14ac:dyDescent="0.2">
      <c r="AH898" s="502"/>
      <c r="AI898" s="502"/>
      <c r="AJ898" s="502"/>
      <c r="AK898" s="502"/>
      <c r="AP898" s="502"/>
      <c r="AQ898" s="502"/>
      <c r="AR898" s="502"/>
      <c r="AS898" s="502"/>
    </row>
    <row r="899" spans="34:45" ht="12.75" x14ac:dyDescent="0.2">
      <c r="AH899" s="502"/>
      <c r="AI899" s="502"/>
      <c r="AJ899" s="502"/>
      <c r="AK899" s="502"/>
      <c r="AP899" s="502"/>
      <c r="AQ899" s="502"/>
      <c r="AR899" s="502"/>
      <c r="AS899" s="502"/>
    </row>
    <row r="900" spans="34:45" ht="12.75" x14ac:dyDescent="0.2">
      <c r="AH900" s="502"/>
      <c r="AI900" s="502"/>
      <c r="AJ900" s="502"/>
      <c r="AK900" s="502"/>
      <c r="AP900" s="502"/>
      <c r="AQ900" s="502"/>
      <c r="AR900" s="502"/>
      <c r="AS900" s="502"/>
    </row>
    <row r="901" spans="34:45" ht="12.75" x14ac:dyDescent="0.2">
      <c r="AH901" s="502"/>
      <c r="AI901" s="502"/>
      <c r="AJ901" s="502"/>
      <c r="AK901" s="502"/>
      <c r="AP901" s="502"/>
      <c r="AQ901" s="502"/>
      <c r="AR901" s="502"/>
      <c r="AS901" s="502"/>
    </row>
    <row r="902" spans="34:45" ht="12.75" x14ac:dyDescent="0.2">
      <c r="AH902" s="502"/>
      <c r="AI902" s="502"/>
      <c r="AJ902" s="502"/>
      <c r="AK902" s="502"/>
      <c r="AP902" s="502"/>
      <c r="AQ902" s="502"/>
      <c r="AR902" s="502"/>
      <c r="AS902" s="502"/>
    </row>
    <row r="903" spans="34:45" ht="12.75" x14ac:dyDescent="0.2">
      <c r="AH903" s="502"/>
      <c r="AI903" s="502"/>
      <c r="AJ903" s="502"/>
      <c r="AK903" s="502"/>
      <c r="AP903" s="502"/>
      <c r="AQ903" s="502"/>
      <c r="AR903" s="502"/>
      <c r="AS903" s="502"/>
    </row>
    <row r="904" spans="34:45" ht="12.75" x14ac:dyDescent="0.2">
      <c r="AH904" s="502"/>
      <c r="AI904" s="502"/>
      <c r="AJ904" s="502"/>
      <c r="AK904" s="502"/>
      <c r="AP904" s="502"/>
      <c r="AQ904" s="502"/>
      <c r="AR904" s="502"/>
      <c r="AS904" s="502"/>
    </row>
    <row r="905" spans="34:45" ht="12.75" x14ac:dyDescent="0.2">
      <c r="AH905" s="502"/>
      <c r="AI905" s="502"/>
      <c r="AJ905" s="502"/>
      <c r="AK905" s="502"/>
      <c r="AP905" s="502"/>
      <c r="AQ905" s="502"/>
      <c r="AR905" s="502"/>
      <c r="AS905" s="502"/>
    </row>
    <row r="906" spans="34:45" ht="12.75" x14ac:dyDescent="0.2">
      <c r="AH906" s="502"/>
      <c r="AI906" s="502"/>
      <c r="AJ906" s="502"/>
      <c r="AK906" s="502"/>
      <c r="AP906" s="502"/>
      <c r="AQ906" s="502"/>
      <c r="AR906" s="502"/>
      <c r="AS906" s="502"/>
    </row>
    <row r="907" spans="34:45" ht="12.75" x14ac:dyDescent="0.2">
      <c r="AH907" s="502"/>
      <c r="AI907" s="502"/>
      <c r="AJ907" s="502"/>
      <c r="AK907" s="502"/>
      <c r="AP907" s="502"/>
      <c r="AQ907" s="502"/>
      <c r="AR907" s="502"/>
      <c r="AS907" s="502"/>
    </row>
    <row r="908" spans="34:45" ht="12.75" x14ac:dyDescent="0.2">
      <c r="AH908" s="502"/>
      <c r="AI908" s="502"/>
      <c r="AJ908" s="502"/>
      <c r="AK908" s="502"/>
      <c r="AP908" s="502"/>
      <c r="AQ908" s="502"/>
      <c r="AR908" s="502"/>
      <c r="AS908" s="502"/>
    </row>
    <row r="909" spans="34:45" ht="12.75" x14ac:dyDescent="0.2">
      <c r="AH909" s="502"/>
      <c r="AI909" s="502"/>
      <c r="AJ909" s="502"/>
      <c r="AK909" s="502"/>
      <c r="AP909" s="502"/>
      <c r="AQ909" s="502"/>
      <c r="AR909" s="502"/>
      <c r="AS909" s="502"/>
    </row>
    <row r="910" spans="34:45" ht="12.75" x14ac:dyDescent="0.2">
      <c r="AH910" s="502"/>
      <c r="AI910" s="502"/>
      <c r="AJ910" s="502"/>
      <c r="AK910" s="502"/>
      <c r="AP910" s="502"/>
      <c r="AQ910" s="502"/>
      <c r="AR910" s="502"/>
      <c r="AS910" s="502"/>
    </row>
    <row r="911" spans="34:45" ht="12.75" x14ac:dyDescent="0.2">
      <c r="AH911" s="502"/>
      <c r="AI911" s="502"/>
      <c r="AJ911" s="502"/>
      <c r="AK911" s="502"/>
      <c r="AP911" s="502"/>
      <c r="AQ911" s="502"/>
      <c r="AR911" s="502"/>
      <c r="AS911" s="502"/>
    </row>
    <row r="912" spans="34:45" ht="12.75" x14ac:dyDescent="0.2">
      <c r="AH912" s="502"/>
      <c r="AI912" s="502"/>
      <c r="AJ912" s="502"/>
      <c r="AK912" s="502"/>
      <c r="AP912" s="502"/>
      <c r="AQ912" s="502"/>
      <c r="AR912" s="502"/>
      <c r="AS912" s="502"/>
    </row>
    <row r="913" spans="34:45" ht="12.75" x14ac:dyDescent="0.2">
      <c r="AH913" s="502"/>
      <c r="AI913" s="502"/>
      <c r="AJ913" s="502"/>
      <c r="AK913" s="502"/>
      <c r="AP913" s="502"/>
      <c r="AQ913" s="502"/>
      <c r="AR913" s="502"/>
      <c r="AS913" s="502"/>
    </row>
    <row r="914" spans="34:45" ht="12.75" x14ac:dyDescent="0.2">
      <c r="AH914" s="502"/>
      <c r="AI914" s="502"/>
      <c r="AJ914" s="502"/>
      <c r="AK914" s="502"/>
      <c r="AP914" s="502"/>
      <c r="AQ914" s="502"/>
      <c r="AR914" s="502"/>
      <c r="AS914" s="502"/>
    </row>
    <row r="915" spans="34:45" ht="12.75" x14ac:dyDescent="0.2">
      <c r="AH915" s="502"/>
      <c r="AI915" s="502"/>
      <c r="AJ915" s="502"/>
      <c r="AK915" s="502"/>
      <c r="AP915" s="502"/>
      <c r="AQ915" s="502"/>
      <c r="AR915" s="502"/>
      <c r="AS915" s="502"/>
    </row>
    <row r="916" spans="34:45" ht="12.75" x14ac:dyDescent="0.2">
      <c r="AH916" s="502"/>
      <c r="AI916" s="502"/>
      <c r="AJ916" s="502"/>
      <c r="AK916" s="502"/>
      <c r="AP916" s="502"/>
      <c r="AQ916" s="502"/>
      <c r="AR916" s="502"/>
      <c r="AS916" s="502"/>
    </row>
    <row r="917" spans="34:45" ht="12.75" x14ac:dyDescent="0.2">
      <c r="AH917" s="502"/>
      <c r="AI917" s="502"/>
      <c r="AJ917" s="502"/>
      <c r="AK917" s="502"/>
      <c r="AP917" s="502"/>
      <c r="AQ917" s="502"/>
      <c r="AR917" s="502"/>
      <c r="AS917" s="502"/>
    </row>
    <row r="918" spans="34:45" ht="12.75" x14ac:dyDescent="0.2">
      <c r="AH918" s="502"/>
      <c r="AI918" s="502"/>
      <c r="AJ918" s="502"/>
      <c r="AK918" s="502"/>
      <c r="AP918" s="502"/>
      <c r="AQ918" s="502"/>
      <c r="AR918" s="502"/>
      <c r="AS918" s="502"/>
    </row>
    <row r="919" spans="34:45" ht="12.75" x14ac:dyDescent="0.2">
      <c r="AH919" s="502"/>
      <c r="AI919" s="502"/>
      <c r="AJ919" s="502"/>
      <c r="AK919" s="502"/>
      <c r="AP919" s="502"/>
      <c r="AQ919" s="502"/>
      <c r="AR919" s="502"/>
      <c r="AS919" s="502"/>
    </row>
    <row r="920" spans="34:45" ht="12.75" x14ac:dyDescent="0.2">
      <c r="AH920" s="502"/>
      <c r="AI920" s="502"/>
      <c r="AJ920" s="502"/>
      <c r="AK920" s="502"/>
      <c r="AP920" s="502"/>
      <c r="AQ920" s="502"/>
      <c r="AR920" s="502"/>
      <c r="AS920" s="502"/>
    </row>
    <row r="921" spans="34:45" ht="12.75" x14ac:dyDescent="0.2">
      <c r="AH921" s="502"/>
      <c r="AI921" s="502"/>
      <c r="AJ921" s="502"/>
      <c r="AK921" s="502"/>
      <c r="AP921" s="502"/>
      <c r="AQ921" s="502"/>
      <c r="AR921" s="502"/>
      <c r="AS921" s="502"/>
    </row>
    <row r="922" spans="34:45" ht="12.75" x14ac:dyDescent="0.2">
      <c r="AH922" s="502"/>
      <c r="AI922" s="502"/>
      <c r="AJ922" s="502"/>
      <c r="AK922" s="502"/>
      <c r="AP922" s="502"/>
      <c r="AQ922" s="502"/>
      <c r="AR922" s="502"/>
      <c r="AS922" s="502"/>
    </row>
    <row r="923" spans="34:45" ht="12.75" x14ac:dyDescent="0.2">
      <c r="AH923" s="502"/>
      <c r="AI923" s="502"/>
      <c r="AJ923" s="502"/>
      <c r="AK923" s="502"/>
      <c r="AP923" s="502"/>
      <c r="AQ923" s="502"/>
      <c r="AR923" s="502"/>
      <c r="AS923" s="502"/>
    </row>
    <row r="924" spans="34:45" ht="12.75" x14ac:dyDescent="0.2">
      <c r="AH924" s="502"/>
      <c r="AI924" s="502"/>
      <c r="AJ924" s="502"/>
      <c r="AK924" s="502"/>
      <c r="AP924" s="502"/>
      <c r="AQ924" s="502"/>
      <c r="AR924" s="502"/>
      <c r="AS924" s="502"/>
    </row>
    <row r="925" spans="34:45" ht="12.75" x14ac:dyDescent="0.2">
      <c r="AH925" s="502"/>
      <c r="AI925" s="502"/>
      <c r="AJ925" s="502"/>
      <c r="AK925" s="502"/>
      <c r="AP925" s="502"/>
      <c r="AQ925" s="502"/>
      <c r="AR925" s="502"/>
      <c r="AS925" s="502"/>
    </row>
    <row r="926" spans="34:45" ht="12.75" x14ac:dyDescent="0.2">
      <c r="AH926" s="502"/>
      <c r="AI926" s="502"/>
      <c r="AJ926" s="502"/>
      <c r="AK926" s="502"/>
      <c r="AP926" s="502"/>
      <c r="AQ926" s="502"/>
      <c r="AR926" s="502"/>
      <c r="AS926" s="502"/>
    </row>
    <row r="927" spans="34:45" ht="12.75" x14ac:dyDescent="0.2">
      <c r="AH927" s="502"/>
      <c r="AI927" s="502"/>
      <c r="AJ927" s="502"/>
      <c r="AK927" s="502"/>
      <c r="AP927" s="502"/>
      <c r="AQ927" s="502"/>
      <c r="AR927" s="502"/>
      <c r="AS927" s="502"/>
    </row>
    <row r="928" spans="34:45" ht="12.75" x14ac:dyDescent="0.2">
      <c r="AH928" s="502"/>
      <c r="AI928" s="502"/>
      <c r="AJ928" s="502"/>
      <c r="AK928" s="502"/>
      <c r="AP928" s="502"/>
      <c r="AQ928" s="502"/>
      <c r="AR928" s="502"/>
      <c r="AS928" s="502"/>
    </row>
    <row r="929" spans="34:45" ht="12.75" x14ac:dyDescent="0.2">
      <c r="AH929" s="502"/>
      <c r="AI929" s="502"/>
      <c r="AJ929" s="502"/>
      <c r="AK929" s="502"/>
      <c r="AP929" s="502"/>
      <c r="AQ929" s="502"/>
      <c r="AR929" s="502"/>
      <c r="AS929" s="502"/>
    </row>
    <row r="930" spans="34:45" ht="12.75" x14ac:dyDescent="0.2">
      <c r="AH930" s="502"/>
      <c r="AI930" s="502"/>
      <c r="AJ930" s="502"/>
      <c r="AK930" s="502"/>
      <c r="AP930" s="502"/>
      <c r="AQ930" s="502"/>
      <c r="AR930" s="502"/>
      <c r="AS930" s="502"/>
    </row>
    <row r="931" spans="34:45" ht="12.75" x14ac:dyDescent="0.2">
      <c r="AH931" s="502"/>
      <c r="AI931" s="502"/>
      <c r="AJ931" s="502"/>
      <c r="AK931" s="502"/>
      <c r="AP931" s="502"/>
      <c r="AQ931" s="502"/>
      <c r="AR931" s="502"/>
      <c r="AS931" s="502"/>
    </row>
    <row r="932" spans="34:45" ht="12.75" x14ac:dyDescent="0.2">
      <c r="AH932" s="502"/>
      <c r="AI932" s="502"/>
      <c r="AJ932" s="502"/>
      <c r="AK932" s="502"/>
      <c r="AP932" s="502"/>
      <c r="AQ932" s="502"/>
      <c r="AR932" s="502"/>
      <c r="AS932" s="502"/>
    </row>
    <row r="933" spans="34:45" ht="12.75" x14ac:dyDescent="0.2">
      <c r="AH933" s="502"/>
      <c r="AI933" s="502"/>
      <c r="AJ933" s="502"/>
      <c r="AK933" s="502"/>
      <c r="AP933" s="502"/>
      <c r="AQ933" s="502"/>
      <c r="AR933" s="502"/>
      <c r="AS933" s="502"/>
    </row>
    <row r="934" spans="34:45" ht="12.75" x14ac:dyDescent="0.2">
      <c r="AH934" s="502"/>
      <c r="AI934" s="502"/>
      <c r="AJ934" s="502"/>
      <c r="AK934" s="502"/>
      <c r="AP934" s="502"/>
      <c r="AQ934" s="502"/>
      <c r="AR934" s="502"/>
      <c r="AS934" s="502"/>
    </row>
    <row r="935" spans="34:45" ht="12.75" x14ac:dyDescent="0.2">
      <c r="AH935" s="502"/>
      <c r="AI935" s="502"/>
      <c r="AJ935" s="502"/>
      <c r="AK935" s="502"/>
      <c r="AP935" s="502"/>
      <c r="AQ935" s="502"/>
      <c r="AR935" s="502"/>
      <c r="AS935" s="502"/>
    </row>
    <row r="936" spans="34:45" ht="12.75" x14ac:dyDescent="0.2">
      <c r="AH936" s="502"/>
      <c r="AI936" s="502"/>
      <c r="AJ936" s="502"/>
      <c r="AK936" s="502"/>
      <c r="AP936" s="502"/>
      <c r="AQ936" s="502"/>
      <c r="AR936" s="502"/>
      <c r="AS936" s="502"/>
    </row>
    <row r="937" spans="34:45" ht="12.75" x14ac:dyDescent="0.2">
      <c r="AH937" s="502"/>
      <c r="AI937" s="502"/>
      <c r="AJ937" s="502"/>
      <c r="AK937" s="502"/>
      <c r="AP937" s="502"/>
      <c r="AQ937" s="502"/>
      <c r="AR937" s="502"/>
      <c r="AS937" s="502"/>
    </row>
    <row r="938" spans="34:45" ht="12.75" x14ac:dyDescent="0.2">
      <c r="AH938" s="502"/>
      <c r="AI938" s="502"/>
      <c r="AJ938" s="502"/>
      <c r="AK938" s="502"/>
      <c r="AP938" s="502"/>
      <c r="AQ938" s="502"/>
      <c r="AR938" s="502"/>
      <c r="AS938" s="502"/>
    </row>
    <row r="939" spans="34:45" ht="12.75" x14ac:dyDescent="0.2">
      <c r="AH939" s="502"/>
      <c r="AI939" s="502"/>
      <c r="AJ939" s="502"/>
      <c r="AK939" s="502"/>
      <c r="AP939" s="502"/>
      <c r="AQ939" s="502"/>
      <c r="AR939" s="502"/>
      <c r="AS939" s="502"/>
    </row>
    <row r="940" spans="34:45" ht="12.75" x14ac:dyDescent="0.2">
      <c r="AH940" s="502"/>
      <c r="AI940" s="502"/>
      <c r="AJ940" s="502"/>
      <c r="AK940" s="502"/>
      <c r="AP940" s="502"/>
      <c r="AQ940" s="502"/>
      <c r="AR940" s="502"/>
      <c r="AS940" s="502"/>
    </row>
    <row r="941" spans="34:45" ht="12.75" x14ac:dyDescent="0.2">
      <c r="AH941" s="502"/>
      <c r="AI941" s="502"/>
      <c r="AJ941" s="502"/>
      <c r="AK941" s="502"/>
      <c r="AP941" s="502"/>
      <c r="AQ941" s="502"/>
      <c r="AR941" s="502"/>
      <c r="AS941" s="502"/>
    </row>
    <row r="942" spans="34:45" ht="12.75" x14ac:dyDescent="0.2">
      <c r="AH942" s="502"/>
      <c r="AI942" s="502"/>
      <c r="AJ942" s="502"/>
      <c r="AK942" s="502"/>
      <c r="AP942" s="502"/>
      <c r="AQ942" s="502"/>
      <c r="AR942" s="502"/>
      <c r="AS942" s="502"/>
    </row>
    <row r="943" spans="34:45" ht="12.75" x14ac:dyDescent="0.2">
      <c r="AH943" s="502"/>
      <c r="AI943" s="502"/>
      <c r="AJ943" s="502"/>
      <c r="AK943" s="502"/>
      <c r="AP943" s="502"/>
      <c r="AQ943" s="502"/>
      <c r="AR943" s="502"/>
      <c r="AS943" s="502"/>
    </row>
    <row r="944" spans="34:45" ht="12.75" x14ac:dyDescent="0.2">
      <c r="AH944" s="502"/>
      <c r="AI944" s="502"/>
      <c r="AJ944" s="502"/>
      <c r="AK944" s="502"/>
      <c r="AP944" s="502"/>
      <c r="AQ944" s="502"/>
      <c r="AR944" s="502"/>
      <c r="AS944" s="502"/>
    </row>
    <row r="945" spans="34:45" ht="12.75" x14ac:dyDescent="0.2">
      <c r="AH945" s="502"/>
      <c r="AI945" s="502"/>
      <c r="AJ945" s="502"/>
      <c r="AK945" s="502"/>
      <c r="AP945" s="502"/>
      <c r="AQ945" s="502"/>
      <c r="AR945" s="502"/>
      <c r="AS945" s="502"/>
    </row>
    <row r="946" spans="34:45" ht="12.75" x14ac:dyDescent="0.2">
      <c r="AH946" s="502"/>
      <c r="AI946" s="502"/>
      <c r="AJ946" s="502"/>
      <c r="AK946" s="502"/>
      <c r="AP946" s="502"/>
      <c r="AQ946" s="502"/>
      <c r="AR946" s="502"/>
      <c r="AS946" s="502"/>
    </row>
    <row r="947" spans="34:45" ht="12.75" x14ac:dyDescent="0.2">
      <c r="AH947" s="502"/>
      <c r="AI947" s="502"/>
      <c r="AJ947" s="502"/>
      <c r="AK947" s="502"/>
      <c r="AP947" s="502"/>
      <c r="AQ947" s="502"/>
      <c r="AR947" s="502"/>
      <c r="AS947" s="502"/>
    </row>
    <row r="948" spans="34:45" ht="12.75" x14ac:dyDescent="0.2">
      <c r="AH948" s="502"/>
      <c r="AI948" s="502"/>
      <c r="AJ948" s="502"/>
      <c r="AK948" s="502"/>
      <c r="AP948" s="502"/>
      <c r="AQ948" s="502"/>
      <c r="AR948" s="502"/>
      <c r="AS948" s="502"/>
    </row>
    <row r="949" spans="34:45" ht="12.75" x14ac:dyDescent="0.2">
      <c r="AH949" s="502"/>
      <c r="AI949" s="502"/>
      <c r="AJ949" s="502"/>
      <c r="AK949" s="502"/>
      <c r="AP949" s="502"/>
      <c r="AQ949" s="502"/>
      <c r="AR949" s="502"/>
      <c r="AS949" s="502"/>
    </row>
    <row r="950" spans="34:45" ht="12.75" x14ac:dyDescent="0.2">
      <c r="AH950" s="502"/>
      <c r="AI950" s="502"/>
      <c r="AJ950" s="502"/>
      <c r="AK950" s="502"/>
      <c r="AP950" s="502"/>
      <c r="AQ950" s="502"/>
      <c r="AR950" s="502"/>
      <c r="AS950" s="502"/>
    </row>
    <row r="951" spans="34:45" ht="12.75" x14ac:dyDescent="0.2">
      <c r="AH951" s="502"/>
      <c r="AI951" s="502"/>
      <c r="AJ951" s="502"/>
      <c r="AK951" s="502"/>
      <c r="AP951" s="502"/>
      <c r="AQ951" s="502"/>
      <c r="AR951" s="502"/>
      <c r="AS951" s="502"/>
    </row>
    <row r="952" spans="34:45" ht="12.75" x14ac:dyDescent="0.2">
      <c r="AH952" s="502"/>
      <c r="AI952" s="502"/>
      <c r="AJ952" s="502"/>
      <c r="AK952" s="502"/>
      <c r="AP952" s="502"/>
      <c r="AQ952" s="502"/>
      <c r="AR952" s="502"/>
      <c r="AS952" s="502"/>
    </row>
    <row r="953" spans="34:45" ht="12.75" x14ac:dyDescent="0.2">
      <c r="AH953" s="502"/>
      <c r="AI953" s="502"/>
      <c r="AJ953" s="502"/>
      <c r="AK953" s="502"/>
      <c r="AP953" s="502"/>
      <c r="AQ953" s="502"/>
      <c r="AR953" s="502"/>
      <c r="AS953" s="502"/>
    </row>
    <row r="954" spans="34:45" ht="12.75" x14ac:dyDescent="0.2">
      <c r="AH954" s="502"/>
      <c r="AI954" s="502"/>
      <c r="AJ954" s="502"/>
      <c r="AK954" s="502"/>
      <c r="AP954" s="502"/>
      <c r="AQ954" s="502"/>
      <c r="AR954" s="502"/>
      <c r="AS954" s="502"/>
    </row>
    <row r="955" spans="34:45" ht="12.75" x14ac:dyDescent="0.2">
      <c r="AH955" s="502"/>
      <c r="AI955" s="502"/>
      <c r="AJ955" s="502"/>
      <c r="AK955" s="502"/>
      <c r="AP955" s="502"/>
      <c r="AQ955" s="502"/>
      <c r="AR955" s="502"/>
      <c r="AS955" s="502"/>
    </row>
    <row r="956" spans="34:45" ht="12.75" x14ac:dyDescent="0.2">
      <c r="AH956" s="502"/>
      <c r="AI956" s="502"/>
      <c r="AJ956" s="502"/>
      <c r="AK956" s="502"/>
      <c r="AP956" s="502"/>
      <c r="AQ956" s="502"/>
      <c r="AR956" s="502"/>
      <c r="AS956" s="502"/>
    </row>
    <row r="957" spans="34:45" ht="12.75" x14ac:dyDescent="0.2">
      <c r="AH957" s="502"/>
      <c r="AI957" s="502"/>
      <c r="AJ957" s="502"/>
      <c r="AK957" s="502"/>
      <c r="AP957" s="502"/>
      <c r="AQ957" s="502"/>
      <c r="AR957" s="502"/>
      <c r="AS957" s="502"/>
    </row>
    <row r="958" spans="34:45" ht="12.75" x14ac:dyDescent="0.2">
      <c r="AH958" s="502"/>
      <c r="AI958" s="502"/>
      <c r="AJ958" s="502"/>
      <c r="AK958" s="502"/>
      <c r="AP958" s="502"/>
      <c r="AQ958" s="502"/>
      <c r="AR958" s="502"/>
      <c r="AS958" s="502"/>
    </row>
    <row r="959" spans="34:45" ht="12.75" x14ac:dyDescent="0.2">
      <c r="AH959" s="502"/>
      <c r="AI959" s="502"/>
      <c r="AJ959" s="502"/>
      <c r="AK959" s="502"/>
      <c r="AP959" s="502"/>
      <c r="AQ959" s="502"/>
      <c r="AR959" s="502"/>
      <c r="AS959" s="502"/>
    </row>
    <row r="960" spans="34:45" ht="12.75" x14ac:dyDescent="0.2">
      <c r="AH960" s="502"/>
      <c r="AI960" s="502"/>
      <c r="AJ960" s="502"/>
      <c r="AK960" s="502"/>
      <c r="AP960" s="502"/>
      <c r="AQ960" s="502"/>
      <c r="AR960" s="502"/>
      <c r="AS960" s="502"/>
    </row>
    <row r="961" spans="34:45" ht="12.75" x14ac:dyDescent="0.2">
      <c r="AH961" s="502"/>
      <c r="AI961" s="502"/>
      <c r="AJ961" s="502"/>
      <c r="AK961" s="502"/>
      <c r="AP961" s="502"/>
      <c r="AQ961" s="502"/>
      <c r="AR961" s="502"/>
      <c r="AS961" s="502"/>
    </row>
    <row r="962" spans="34:45" ht="12.75" x14ac:dyDescent="0.2">
      <c r="AH962" s="502"/>
      <c r="AI962" s="502"/>
      <c r="AJ962" s="502"/>
      <c r="AK962" s="502"/>
      <c r="AP962" s="502"/>
      <c r="AQ962" s="502"/>
      <c r="AR962" s="502"/>
      <c r="AS962" s="502"/>
    </row>
    <row r="963" spans="34:45" ht="12.75" x14ac:dyDescent="0.2">
      <c r="AH963" s="502"/>
      <c r="AI963" s="502"/>
      <c r="AJ963" s="502"/>
      <c r="AK963" s="502"/>
      <c r="AP963" s="502"/>
      <c r="AQ963" s="502"/>
      <c r="AR963" s="502"/>
      <c r="AS963" s="502"/>
    </row>
    <row r="964" spans="34:45" ht="12.75" x14ac:dyDescent="0.2">
      <c r="AH964" s="502"/>
      <c r="AI964" s="502"/>
      <c r="AJ964" s="502"/>
      <c r="AK964" s="502"/>
      <c r="AP964" s="502"/>
      <c r="AQ964" s="502"/>
      <c r="AR964" s="502"/>
      <c r="AS964" s="502"/>
    </row>
    <row r="965" spans="34:45" ht="12.75" x14ac:dyDescent="0.2">
      <c r="AH965" s="502"/>
      <c r="AI965" s="502"/>
      <c r="AJ965" s="502"/>
      <c r="AK965" s="502"/>
      <c r="AP965" s="502"/>
      <c r="AQ965" s="502"/>
      <c r="AR965" s="502"/>
      <c r="AS965" s="502"/>
    </row>
    <row r="966" spans="34:45" ht="12.75" x14ac:dyDescent="0.2">
      <c r="AH966" s="502"/>
      <c r="AI966" s="502"/>
      <c r="AJ966" s="502"/>
      <c r="AK966" s="502"/>
      <c r="AP966" s="502"/>
      <c r="AQ966" s="502"/>
      <c r="AR966" s="502"/>
      <c r="AS966" s="502"/>
    </row>
    <row r="967" spans="34:45" ht="12.75" x14ac:dyDescent="0.2">
      <c r="AH967" s="502"/>
      <c r="AI967" s="502"/>
      <c r="AJ967" s="502"/>
      <c r="AK967" s="502"/>
      <c r="AP967" s="502"/>
      <c r="AQ967" s="502"/>
      <c r="AR967" s="502"/>
      <c r="AS967" s="502"/>
    </row>
    <row r="968" spans="34:45" ht="12.75" x14ac:dyDescent="0.2">
      <c r="AH968" s="502"/>
      <c r="AI968" s="502"/>
      <c r="AJ968" s="502"/>
      <c r="AK968" s="502"/>
      <c r="AP968" s="502"/>
      <c r="AQ968" s="502"/>
      <c r="AR968" s="502"/>
      <c r="AS968" s="502"/>
    </row>
    <row r="969" spans="34:45" ht="12.75" x14ac:dyDescent="0.2">
      <c r="AH969" s="502"/>
      <c r="AI969" s="502"/>
      <c r="AJ969" s="502"/>
      <c r="AK969" s="502"/>
      <c r="AP969" s="502"/>
      <c r="AQ969" s="502"/>
      <c r="AR969" s="502"/>
      <c r="AS969" s="502"/>
    </row>
    <row r="970" spans="34:45" ht="12.75" x14ac:dyDescent="0.2">
      <c r="AH970" s="502"/>
      <c r="AI970" s="502"/>
      <c r="AJ970" s="502"/>
      <c r="AK970" s="502"/>
      <c r="AP970" s="502"/>
      <c r="AQ970" s="502"/>
      <c r="AR970" s="502"/>
      <c r="AS970" s="502"/>
    </row>
    <row r="971" spans="34:45" ht="12.75" x14ac:dyDescent="0.2">
      <c r="AH971" s="502"/>
      <c r="AI971" s="502"/>
      <c r="AJ971" s="502"/>
      <c r="AK971" s="502"/>
      <c r="AP971" s="502"/>
      <c r="AQ971" s="502"/>
      <c r="AR971" s="502"/>
      <c r="AS971" s="502"/>
    </row>
    <row r="972" spans="34:45" ht="12.75" x14ac:dyDescent="0.2">
      <c r="AH972" s="502"/>
      <c r="AI972" s="502"/>
      <c r="AJ972" s="502"/>
      <c r="AK972" s="502"/>
      <c r="AP972" s="502"/>
      <c r="AQ972" s="502"/>
      <c r="AR972" s="502"/>
      <c r="AS972" s="502"/>
    </row>
    <row r="973" spans="34:45" ht="12.75" x14ac:dyDescent="0.2">
      <c r="AH973" s="502"/>
      <c r="AI973" s="502"/>
      <c r="AJ973" s="502"/>
      <c r="AK973" s="502"/>
      <c r="AP973" s="502"/>
      <c r="AQ973" s="502"/>
      <c r="AR973" s="502"/>
      <c r="AS973" s="502"/>
    </row>
    <row r="974" spans="34:45" ht="12.75" x14ac:dyDescent="0.2">
      <c r="AH974" s="502"/>
      <c r="AI974" s="502"/>
      <c r="AJ974" s="502"/>
      <c r="AK974" s="502"/>
      <c r="AP974" s="502"/>
      <c r="AQ974" s="502"/>
      <c r="AR974" s="502"/>
      <c r="AS974" s="502"/>
    </row>
    <row r="975" spans="34:45" ht="12.75" x14ac:dyDescent="0.2">
      <c r="AH975" s="502"/>
      <c r="AI975" s="502"/>
      <c r="AJ975" s="502"/>
      <c r="AK975" s="502"/>
      <c r="AP975" s="502"/>
      <c r="AQ975" s="502"/>
      <c r="AR975" s="502"/>
      <c r="AS975" s="502"/>
    </row>
    <row r="976" spans="34:45" ht="12.75" x14ac:dyDescent="0.2">
      <c r="AH976" s="502"/>
      <c r="AI976" s="502"/>
      <c r="AJ976" s="502"/>
      <c r="AK976" s="502"/>
      <c r="AP976" s="502"/>
      <c r="AQ976" s="502"/>
      <c r="AR976" s="502"/>
      <c r="AS976" s="502"/>
    </row>
    <row r="977" spans="34:45" ht="12.75" x14ac:dyDescent="0.2">
      <c r="AH977" s="502"/>
      <c r="AI977" s="502"/>
      <c r="AJ977" s="502"/>
      <c r="AK977" s="502"/>
      <c r="AP977" s="502"/>
      <c r="AQ977" s="502"/>
      <c r="AR977" s="502"/>
      <c r="AS977" s="502"/>
    </row>
    <row r="978" spans="34:45" ht="12.75" x14ac:dyDescent="0.2">
      <c r="AH978" s="502"/>
      <c r="AI978" s="502"/>
      <c r="AJ978" s="502"/>
      <c r="AK978" s="502"/>
      <c r="AP978" s="502"/>
      <c r="AQ978" s="502"/>
      <c r="AR978" s="502"/>
      <c r="AS978" s="502"/>
    </row>
    <row r="979" spans="34:45" ht="12.75" x14ac:dyDescent="0.2">
      <c r="AH979" s="502"/>
      <c r="AI979" s="502"/>
      <c r="AJ979" s="502"/>
      <c r="AK979" s="502"/>
      <c r="AP979" s="502"/>
      <c r="AQ979" s="502"/>
      <c r="AR979" s="502"/>
      <c r="AS979" s="502"/>
    </row>
    <row r="980" spans="34:45" ht="12.75" x14ac:dyDescent="0.2">
      <c r="AH980" s="502"/>
      <c r="AI980" s="502"/>
      <c r="AJ980" s="502"/>
      <c r="AK980" s="502"/>
      <c r="AP980" s="502"/>
      <c r="AQ980" s="502"/>
      <c r="AR980" s="502"/>
      <c r="AS980" s="502"/>
    </row>
    <row r="981" spans="34:45" ht="12.75" x14ac:dyDescent="0.2">
      <c r="AH981" s="502"/>
      <c r="AI981" s="502"/>
      <c r="AJ981" s="502"/>
      <c r="AK981" s="502"/>
      <c r="AP981" s="502"/>
      <c r="AQ981" s="502"/>
      <c r="AR981" s="502"/>
      <c r="AS981" s="502"/>
    </row>
    <row r="982" spans="34:45" ht="12.75" x14ac:dyDescent="0.2">
      <c r="AH982" s="502"/>
      <c r="AI982" s="502"/>
      <c r="AJ982" s="502"/>
      <c r="AK982" s="502"/>
      <c r="AP982" s="502"/>
      <c r="AQ982" s="502"/>
      <c r="AR982" s="502"/>
      <c r="AS982" s="502"/>
    </row>
    <row r="983" spans="34:45" ht="12.75" x14ac:dyDescent="0.2">
      <c r="AH983" s="502"/>
      <c r="AI983" s="502"/>
      <c r="AJ983" s="502"/>
      <c r="AK983" s="502"/>
      <c r="AP983" s="502"/>
      <c r="AQ983" s="502"/>
      <c r="AR983" s="502"/>
      <c r="AS983" s="502"/>
    </row>
    <row r="984" spans="34:45" ht="12.75" x14ac:dyDescent="0.2">
      <c r="AH984" s="502"/>
      <c r="AI984" s="502"/>
      <c r="AJ984" s="502"/>
      <c r="AK984" s="502"/>
      <c r="AP984" s="502"/>
      <c r="AQ984" s="502"/>
      <c r="AR984" s="502"/>
      <c r="AS984" s="502"/>
    </row>
    <row r="985" spans="34:45" ht="12.75" x14ac:dyDescent="0.2">
      <c r="AH985" s="502"/>
      <c r="AI985" s="502"/>
      <c r="AJ985" s="502"/>
      <c r="AK985" s="502"/>
      <c r="AP985" s="502"/>
      <c r="AQ985" s="502"/>
      <c r="AR985" s="502"/>
      <c r="AS985" s="502"/>
    </row>
    <row r="986" spans="34:45" ht="12.75" x14ac:dyDescent="0.2">
      <c r="AH986" s="502"/>
      <c r="AI986" s="502"/>
      <c r="AJ986" s="502"/>
      <c r="AK986" s="502"/>
      <c r="AP986" s="502"/>
      <c r="AQ986" s="502"/>
      <c r="AR986" s="502"/>
      <c r="AS986" s="502"/>
    </row>
    <row r="987" spans="34:45" ht="12.75" x14ac:dyDescent="0.2">
      <c r="AH987" s="502"/>
      <c r="AI987" s="502"/>
      <c r="AJ987" s="502"/>
      <c r="AK987" s="502"/>
      <c r="AP987" s="502"/>
      <c r="AQ987" s="502"/>
      <c r="AR987" s="502"/>
      <c r="AS987" s="502"/>
    </row>
    <row r="988" spans="34:45" ht="12.75" x14ac:dyDescent="0.2">
      <c r="AH988" s="502"/>
      <c r="AI988" s="502"/>
      <c r="AJ988" s="502"/>
      <c r="AK988" s="502"/>
      <c r="AP988" s="502"/>
      <c r="AQ988" s="502"/>
      <c r="AR988" s="502"/>
      <c r="AS988" s="502"/>
    </row>
    <row r="989" spans="34:45" ht="12.75" x14ac:dyDescent="0.2">
      <c r="AH989" s="502"/>
      <c r="AI989" s="502"/>
      <c r="AJ989" s="502"/>
      <c r="AK989" s="502"/>
      <c r="AP989" s="502"/>
      <c r="AQ989" s="502"/>
      <c r="AR989" s="502"/>
      <c r="AS989" s="502"/>
    </row>
    <row r="990" spans="34:45" ht="12.75" x14ac:dyDescent="0.2">
      <c r="AH990" s="502"/>
      <c r="AI990" s="502"/>
      <c r="AJ990" s="502"/>
      <c r="AK990" s="502"/>
      <c r="AP990" s="502"/>
      <c r="AQ990" s="502"/>
      <c r="AR990" s="502"/>
      <c r="AS990" s="502"/>
    </row>
    <row r="991" spans="34:45" ht="12.75" x14ac:dyDescent="0.2">
      <c r="AH991" s="502"/>
      <c r="AI991" s="502"/>
      <c r="AJ991" s="502"/>
      <c r="AK991" s="502"/>
      <c r="AP991" s="502"/>
      <c r="AQ991" s="502"/>
      <c r="AR991" s="502"/>
      <c r="AS991" s="502"/>
    </row>
    <row r="992" spans="34:45" ht="12.75" x14ac:dyDescent="0.2">
      <c r="AH992" s="502"/>
      <c r="AI992" s="502"/>
      <c r="AJ992" s="502"/>
      <c r="AK992" s="502"/>
      <c r="AP992" s="502"/>
      <c r="AQ992" s="502"/>
      <c r="AR992" s="502"/>
      <c r="AS992" s="502"/>
    </row>
    <row r="993" spans="34:45" ht="12.75" x14ac:dyDescent="0.2">
      <c r="AH993" s="502"/>
      <c r="AI993" s="502"/>
      <c r="AJ993" s="502"/>
      <c r="AK993" s="502"/>
      <c r="AP993" s="502"/>
      <c r="AQ993" s="502"/>
      <c r="AR993" s="502"/>
      <c r="AS993" s="502"/>
    </row>
    <row r="994" spans="34:45" ht="12.75" x14ac:dyDescent="0.2">
      <c r="AH994" s="502"/>
      <c r="AI994" s="502"/>
      <c r="AJ994" s="502"/>
      <c r="AK994" s="502"/>
      <c r="AP994" s="502"/>
      <c r="AQ994" s="502"/>
      <c r="AR994" s="502"/>
      <c r="AS994" s="502"/>
    </row>
    <row r="995" spans="34:45" ht="12.75" x14ac:dyDescent="0.2">
      <c r="AH995" s="502"/>
      <c r="AI995" s="502"/>
      <c r="AJ995" s="502"/>
      <c r="AK995" s="502"/>
      <c r="AP995" s="502"/>
      <c r="AQ995" s="502"/>
      <c r="AR995" s="502"/>
      <c r="AS995" s="502"/>
    </row>
    <row r="996" spans="34:45" ht="12.75" x14ac:dyDescent="0.2">
      <c r="AH996" s="502"/>
      <c r="AI996" s="502"/>
      <c r="AJ996" s="502"/>
      <c r="AK996" s="502"/>
      <c r="AP996" s="502"/>
      <c r="AQ996" s="502"/>
      <c r="AR996" s="502"/>
      <c r="AS996" s="502"/>
    </row>
    <row r="997" spans="34:45" ht="12.75" x14ac:dyDescent="0.2">
      <c r="AH997" s="502"/>
      <c r="AI997" s="502"/>
      <c r="AJ997" s="502"/>
      <c r="AK997" s="502"/>
      <c r="AP997" s="502"/>
      <c r="AQ997" s="502"/>
      <c r="AR997" s="502"/>
      <c r="AS997" s="502"/>
    </row>
    <row r="998" spans="34:45" ht="12.75" x14ac:dyDescent="0.2">
      <c r="AH998" s="502"/>
      <c r="AI998" s="502"/>
      <c r="AJ998" s="502"/>
      <c r="AK998" s="502"/>
      <c r="AP998" s="502"/>
      <c r="AQ998" s="502"/>
      <c r="AR998" s="502"/>
      <c r="AS998" s="502"/>
    </row>
    <row r="999" spans="34:45" ht="12.75" x14ac:dyDescent="0.2">
      <c r="AH999" s="502"/>
      <c r="AI999" s="502"/>
      <c r="AJ999" s="502"/>
      <c r="AK999" s="502"/>
      <c r="AP999" s="502"/>
      <c r="AQ999" s="502"/>
      <c r="AR999" s="502"/>
      <c r="AS999" s="502"/>
    </row>
    <row r="1000" spans="34:45" ht="12.75" x14ac:dyDescent="0.2">
      <c r="AH1000" s="502"/>
      <c r="AI1000" s="502"/>
      <c r="AJ1000" s="502"/>
      <c r="AK1000" s="502"/>
      <c r="AP1000" s="502"/>
      <c r="AQ1000" s="502"/>
      <c r="AR1000" s="502"/>
      <c r="AS1000" s="502"/>
    </row>
  </sheetData>
  <mergeCells count="40">
    <mergeCell ref="A52:B52"/>
    <mergeCell ref="A74:B74"/>
    <mergeCell ref="A89:B89"/>
    <mergeCell ref="G5:G6"/>
    <mergeCell ref="A7:B7"/>
    <mergeCell ref="A2:B6"/>
    <mergeCell ref="C5:C6"/>
    <mergeCell ref="D5:D6"/>
    <mergeCell ref="E5:E6"/>
    <mergeCell ref="F5:F6"/>
    <mergeCell ref="C2:V2"/>
    <mergeCell ref="J5:K5"/>
    <mergeCell ref="L5:N5"/>
    <mergeCell ref="O5:Q5"/>
    <mergeCell ref="T4:T6"/>
    <mergeCell ref="U4:U6"/>
    <mergeCell ref="V4:V6"/>
    <mergeCell ref="A13:B13"/>
    <mergeCell ref="A31:B31"/>
    <mergeCell ref="AI5:AK5"/>
    <mergeCell ref="AM5:AO5"/>
    <mergeCell ref="AQ5:AS5"/>
    <mergeCell ref="W2:AS2"/>
    <mergeCell ref="C3:Q3"/>
    <mergeCell ref="W3:Y4"/>
    <mergeCell ref="Z3:AK3"/>
    <mergeCell ref="J4:Q4"/>
    <mergeCell ref="AH4:AK4"/>
    <mergeCell ref="AL3:AO4"/>
    <mergeCell ref="AP3:AS4"/>
    <mergeCell ref="C4:G4"/>
    <mergeCell ref="H4:I4"/>
    <mergeCell ref="R3:V3"/>
    <mergeCell ref="R4:R6"/>
    <mergeCell ref="S4:S6"/>
    <mergeCell ref="Z4:AC4"/>
    <mergeCell ref="AD4:AG4"/>
    <mergeCell ref="X5:Y5"/>
    <mergeCell ref="AA5:AC5"/>
    <mergeCell ref="AE5:AG5"/>
  </mergeCells>
  <printOptions horizontalCentered="1"/>
  <pageMargins left="0.23622047244094491" right="0.23622047244094491" top="0.55118110236220474" bottom="0.55118110236220474" header="0" footer="0"/>
  <pageSetup paperSize="9" scale="45" fitToWidth="0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2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FF00"/>
    <outlinePr summaryBelow="0" summaryRight="0"/>
  </sheetPr>
  <dimension ref="A1:BB106"/>
  <sheetViews>
    <sheetView view="pageBreakPreview" zoomScale="60" zoomScaleNormal="100" workbookViewId="0">
      <selection activeCell="A2" sqref="A2:B6"/>
    </sheetView>
  </sheetViews>
  <sheetFormatPr defaultColWidth="12.5703125" defaultRowHeight="15.75" customHeight="1" x14ac:dyDescent="0.2"/>
  <cols>
    <col min="3" max="3" width="15.140625" customWidth="1"/>
    <col min="18" max="18" width="22" bestFit="1" customWidth="1"/>
    <col min="19" max="19" width="11" bestFit="1" customWidth="1"/>
    <col min="20" max="20" width="17.85546875" bestFit="1" customWidth="1"/>
    <col min="21" max="21" width="10.85546875" bestFit="1" customWidth="1"/>
    <col min="22" max="22" width="12" bestFit="1" customWidth="1"/>
    <col min="23" max="23" width="11.42578125" customWidth="1"/>
    <col min="24" max="24" width="12.5703125" bestFit="1" customWidth="1"/>
    <col min="25" max="28" width="11.42578125" customWidth="1"/>
    <col min="29" max="29" width="12.5703125" bestFit="1" customWidth="1"/>
    <col min="30" max="46" width="11.42578125" customWidth="1"/>
    <col min="47" max="54" width="18.140625" customWidth="1"/>
  </cols>
  <sheetData>
    <row r="1" spans="1:54" ht="15.75" customHeight="1" x14ac:dyDescent="0.3">
      <c r="A1" s="503" t="s">
        <v>0</v>
      </c>
      <c r="B1" s="335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  <c r="N1" s="141"/>
      <c r="O1" s="142"/>
      <c r="P1" s="142"/>
      <c r="Q1" s="142"/>
      <c r="R1" s="142"/>
      <c r="S1" s="142"/>
      <c r="T1" s="142"/>
      <c r="U1" s="142"/>
      <c r="V1" s="142"/>
      <c r="W1" s="335"/>
      <c r="X1" s="335"/>
      <c r="Y1" s="141"/>
      <c r="Z1" s="335"/>
      <c r="AA1" s="335"/>
      <c r="AB1" s="141"/>
      <c r="AC1" s="141"/>
      <c r="AD1" s="335"/>
      <c r="AE1" s="335"/>
      <c r="AF1" s="141"/>
      <c r="AG1" s="141"/>
      <c r="AH1" s="251"/>
      <c r="AI1" s="251"/>
      <c r="AJ1" s="251"/>
      <c r="AK1" s="251"/>
      <c r="AL1" s="335"/>
      <c r="AM1" s="335"/>
      <c r="AN1" s="141"/>
      <c r="AO1" s="141"/>
      <c r="AP1" s="251"/>
      <c r="AQ1" s="251"/>
      <c r="AR1" s="251"/>
      <c r="AS1" s="251"/>
      <c r="AT1" s="455"/>
      <c r="AU1" s="455"/>
      <c r="AV1" s="455"/>
      <c r="AW1" s="455"/>
      <c r="AX1" s="455"/>
      <c r="AY1" s="455"/>
      <c r="AZ1" s="455"/>
      <c r="BA1" s="455"/>
      <c r="BB1" s="455"/>
    </row>
    <row r="2" spans="1:54" ht="19.5" x14ac:dyDescent="0.2">
      <c r="A2" s="655" t="s">
        <v>1</v>
      </c>
      <c r="B2" s="723"/>
      <c r="C2" s="642" t="s">
        <v>267</v>
      </c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712" t="s">
        <v>28</v>
      </c>
      <c r="X2" s="598"/>
      <c r="Y2" s="598"/>
      <c r="Z2" s="598"/>
      <c r="AA2" s="598"/>
      <c r="AB2" s="598"/>
      <c r="AC2" s="598"/>
      <c r="AD2" s="598"/>
      <c r="AE2" s="598"/>
      <c r="AF2" s="598"/>
      <c r="AG2" s="598"/>
      <c r="AH2" s="598"/>
      <c r="AI2" s="598"/>
      <c r="AJ2" s="598"/>
      <c r="AK2" s="598"/>
      <c r="AL2" s="598"/>
      <c r="AM2" s="598"/>
      <c r="AN2" s="598"/>
      <c r="AO2" s="598"/>
      <c r="AP2" s="598"/>
      <c r="AQ2" s="598"/>
      <c r="AR2" s="598"/>
      <c r="AS2" s="598"/>
      <c r="AT2" s="598"/>
      <c r="AU2" s="598"/>
      <c r="AV2" s="598"/>
      <c r="AW2" s="598"/>
      <c r="AX2" s="598"/>
      <c r="AY2" s="598"/>
      <c r="AZ2" s="598"/>
      <c r="BA2" s="598"/>
      <c r="BB2" s="583"/>
    </row>
    <row r="3" spans="1:54" ht="19.5" x14ac:dyDescent="0.2">
      <c r="A3" s="618"/>
      <c r="B3" s="723"/>
      <c r="C3" s="713" t="s">
        <v>3</v>
      </c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717" t="s">
        <v>4</v>
      </c>
      <c r="S3" s="592"/>
      <c r="T3" s="592"/>
      <c r="U3" s="592"/>
      <c r="V3" s="592"/>
      <c r="W3" s="714" t="s">
        <v>268</v>
      </c>
      <c r="X3" s="585"/>
      <c r="Y3" s="585"/>
      <c r="Z3" s="585"/>
      <c r="AA3" s="585"/>
      <c r="AB3" s="607"/>
      <c r="AC3" s="711" t="s">
        <v>269</v>
      </c>
      <c r="AD3" s="598"/>
      <c r="AE3" s="598"/>
      <c r="AF3" s="598"/>
      <c r="AG3" s="598"/>
      <c r="AH3" s="598"/>
      <c r="AI3" s="583"/>
      <c r="AJ3" s="711" t="s">
        <v>270</v>
      </c>
      <c r="AK3" s="598"/>
      <c r="AL3" s="598"/>
      <c r="AM3" s="598"/>
      <c r="AN3" s="598"/>
      <c r="AO3" s="598"/>
      <c r="AP3" s="583"/>
      <c r="AQ3" s="711" t="s">
        <v>271</v>
      </c>
      <c r="AR3" s="598"/>
      <c r="AS3" s="598"/>
      <c r="AT3" s="583"/>
      <c r="AU3" s="716" t="s">
        <v>272</v>
      </c>
      <c r="AV3" s="598"/>
      <c r="AW3" s="598"/>
      <c r="AX3" s="583"/>
      <c r="AY3" s="716" t="s">
        <v>273</v>
      </c>
      <c r="AZ3" s="598"/>
      <c r="BA3" s="598"/>
      <c r="BB3" s="583"/>
    </row>
    <row r="4" spans="1:54" ht="15.75" customHeight="1" x14ac:dyDescent="0.3">
      <c r="A4" s="618"/>
      <c r="B4" s="723"/>
      <c r="C4" s="645" t="s">
        <v>7</v>
      </c>
      <c r="D4" s="592"/>
      <c r="E4" s="592"/>
      <c r="F4" s="592"/>
      <c r="G4" s="593"/>
      <c r="H4" s="646" t="s">
        <v>8</v>
      </c>
      <c r="I4" s="593"/>
      <c r="J4" s="644" t="s">
        <v>9</v>
      </c>
      <c r="K4" s="592"/>
      <c r="L4" s="592"/>
      <c r="M4" s="592"/>
      <c r="N4" s="592"/>
      <c r="O4" s="592"/>
      <c r="P4" s="592"/>
      <c r="Q4" s="593"/>
      <c r="R4" s="776" t="s">
        <v>10</v>
      </c>
      <c r="S4" s="761" t="s">
        <v>11</v>
      </c>
      <c r="T4" s="762" t="s">
        <v>12</v>
      </c>
      <c r="U4" s="763" t="s">
        <v>13</v>
      </c>
      <c r="V4" s="763" t="s">
        <v>14</v>
      </c>
      <c r="W4" s="592"/>
      <c r="X4" s="592"/>
      <c r="Y4" s="592"/>
      <c r="Z4" s="592"/>
      <c r="AA4" s="592"/>
      <c r="AB4" s="593"/>
      <c r="AC4" s="718" t="s">
        <v>274</v>
      </c>
      <c r="AD4" s="592"/>
      <c r="AE4" s="593"/>
      <c r="AF4" s="504" t="s">
        <v>275</v>
      </c>
      <c r="AG4" s="718" t="s">
        <v>276</v>
      </c>
      <c r="AH4" s="592"/>
      <c r="AI4" s="593"/>
      <c r="AJ4" s="718" t="s">
        <v>274</v>
      </c>
      <c r="AK4" s="592"/>
      <c r="AL4" s="593"/>
      <c r="AM4" s="504" t="s">
        <v>277</v>
      </c>
      <c r="AN4" s="718" t="s">
        <v>278</v>
      </c>
      <c r="AO4" s="592"/>
      <c r="AP4" s="593"/>
      <c r="AQ4" s="504" t="s">
        <v>279</v>
      </c>
      <c r="AR4" s="718" t="s">
        <v>280</v>
      </c>
      <c r="AS4" s="592"/>
      <c r="AT4" s="593"/>
      <c r="AU4" s="715" t="s">
        <v>281</v>
      </c>
      <c r="AV4" s="592"/>
      <c r="AW4" s="593"/>
      <c r="AX4" s="505" t="s">
        <v>282</v>
      </c>
      <c r="AY4" s="715" t="s">
        <v>283</v>
      </c>
      <c r="AZ4" s="592"/>
      <c r="BA4" s="593"/>
      <c r="BB4" s="505" t="s">
        <v>284</v>
      </c>
    </row>
    <row r="5" spans="1:54" ht="15.75" customHeight="1" x14ac:dyDescent="0.3">
      <c r="A5" s="618"/>
      <c r="B5" s="723"/>
      <c r="C5" s="733" t="s">
        <v>19</v>
      </c>
      <c r="D5" s="734" t="s">
        <v>20</v>
      </c>
      <c r="E5" s="735" t="s">
        <v>21</v>
      </c>
      <c r="F5" s="736" t="s">
        <v>22</v>
      </c>
      <c r="G5" s="737" t="s">
        <v>23</v>
      </c>
      <c r="H5" s="143" t="s">
        <v>24</v>
      </c>
      <c r="I5" s="143" t="s">
        <v>25</v>
      </c>
      <c r="J5" s="630" t="s">
        <v>26</v>
      </c>
      <c r="K5" s="593"/>
      <c r="L5" s="630" t="s">
        <v>24</v>
      </c>
      <c r="M5" s="592"/>
      <c r="N5" s="593"/>
      <c r="O5" s="631" t="s">
        <v>25</v>
      </c>
      <c r="P5" s="592"/>
      <c r="Q5" s="593"/>
      <c r="R5" s="765"/>
      <c r="S5" s="765"/>
      <c r="T5" s="765"/>
      <c r="U5" s="766"/>
      <c r="V5" s="766"/>
      <c r="W5" s="721" t="s">
        <v>27</v>
      </c>
      <c r="X5" s="593"/>
      <c r="Y5" s="638" t="s">
        <v>28</v>
      </c>
      <c r="Z5" s="592"/>
      <c r="AA5" s="592"/>
      <c r="AB5" s="593"/>
      <c r="AC5" s="254" t="s">
        <v>27</v>
      </c>
      <c r="AD5" s="719" t="s">
        <v>28</v>
      </c>
      <c r="AE5" s="593"/>
      <c r="AF5" s="506" t="s">
        <v>28</v>
      </c>
      <c r="AG5" s="254" t="s">
        <v>27</v>
      </c>
      <c r="AH5" s="719" t="s">
        <v>28</v>
      </c>
      <c r="AI5" s="593"/>
      <c r="AJ5" s="254" t="s">
        <v>27</v>
      </c>
      <c r="AK5" s="654" t="s">
        <v>28</v>
      </c>
      <c r="AL5" s="593"/>
      <c r="AM5" s="338" t="s">
        <v>28</v>
      </c>
      <c r="AN5" s="254" t="s">
        <v>27</v>
      </c>
      <c r="AO5" s="654" t="s">
        <v>28</v>
      </c>
      <c r="AP5" s="593"/>
      <c r="AQ5" s="506" t="s">
        <v>28</v>
      </c>
      <c r="AR5" s="254" t="s">
        <v>27</v>
      </c>
      <c r="AS5" s="654" t="s">
        <v>28</v>
      </c>
      <c r="AT5" s="593"/>
      <c r="AU5" s="254" t="s">
        <v>27</v>
      </c>
      <c r="AV5" s="654" t="s">
        <v>28</v>
      </c>
      <c r="AW5" s="593"/>
      <c r="AX5" s="338" t="s">
        <v>28</v>
      </c>
      <c r="AY5" s="254" t="s">
        <v>27</v>
      </c>
      <c r="AZ5" s="654" t="s">
        <v>28</v>
      </c>
      <c r="BA5" s="593"/>
      <c r="BB5" s="338" t="s">
        <v>28</v>
      </c>
    </row>
    <row r="6" spans="1:54" ht="46.5" customHeight="1" x14ac:dyDescent="0.3">
      <c r="A6" s="724"/>
      <c r="B6" s="633"/>
      <c r="C6" s="738"/>
      <c r="D6" s="738"/>
      <c r="E6" s="738"/>
      <c r="F6" s="738"/>
      <c r="G6" s="738"/>
      <c r="H6" s="507"/>
      <c r="I6" s="507"/>
      <c r="J6" s="744" t="s">
        <v>29</v>
      </c>
      <c r="K6" s="745" t="s">
        <v>30</v>
      </c>
      <c r="L6" s="744" t="s">
        <v>29</v>
      </c>
      <c r="M6" s="746" t="s">
        <v>31</v>
      </c>
      <c r="N6" s="746" t="s">
        <v>32</v>
      </c>
      <c r="O6" s="747" t="s">
        <v>29</v>
      </c>
      <c r="P6" s="746" t="s">
        <v>31</v>
      </c>
      <c r="Q6" s="746" t="s">
        <v>32</v>
      </c>
      <c r="R6" s="768"/>
      <c r="S6" s="768"/>
      <c r="T6" s="768"/>
      <c r="U6" s="769"/>
      <c r="V6" s="769"/>
      <c r="W6" s="508" t="s">
        <v>34</v>
      </c>
      <c r="X6" s="256" t="s">
        <v>136</v>
      </c>
      <c r="Y6" s="257" t="s">
        <v>34</v>
      </c>
      <c r="Z6" s="258" t="s">
        <v>30</v>
      </c>
      <c r="AA6" s="257" t="s">
        <v>136</v>
      </c>
      <c r="AB6" s="258" t="s">
        <v>30</v>
      </c>
      <c r="AC6" s="256" t="s">
        <v>136</v>
      </c>
      <c r="AD6" s="257" t="s">
        <v>136</v>
      </c>
      <c r="AE6" s="258" t="s">
        <v>30</v>
      </c>
      <c r="AF6" s="257" t="s">
        <v>34</v>
      </c>
      <c r="AG6" s="256" t="s">
        <v>34</v>
      </c>
      <c r="AH6" s="257" t="s">
        <v>34</v>
      </c>
      <c r="AI6" s="258" t="s">
        <v>30</v>
      </c>
      <c r="AJ6" s="256" t="s">
        <v>136</v>
      </c>
      <c r="AK6" s="257" t="s">
        <v>136</v>
      </c>
      <c r="AL6" s="258" t="s">
        <v>30</v>
      </c>
      <c r="AM6" s="257" t="s">
        <v>34</v>
      </c>
      <c r="AN6" s="256" t="s">
        <v>34</v>
      </c>
      <c r="AO6" s="257" t="s">
        <v>34</v>
      </c>
      <c r="AP6" s="258" t="s">
        <v>30</v>
      </c>
      <c r="AQ6" s="257" t="s">
        <v>34</v>
      </c>
      <c r="AR6" s="256" t="s">
        <v>34</v>
      </c>
      <c r="AS6" s="257" t="s">
        <v>34</v>
      </c>
      <c r="AT6" s="258" t="s">
        <v>30</v>
      </c>
      <c r="AU6" s="256" t="s">
        <v>136</v>
      </c>
      <c r="AV6" s="257" t="s">
        <v>136</v>
      </c>
      <c r="AW6" s="258" t="s">
        <v>30</v>
      </c>
      <c r="AX6" s="257" t="s">
        <v>34</v>
      </c>
      <c r="AY6" s="256" t="s">
        <v>136</v>
      </c>
      <c r="AZ6" s="257" t="s">
        <v>136</v>
      </c>
      <c r="BA6" s="258" t="s">
        <v>30</v>
      </c>
      <c r="BB6" s="257" t="s">
        <v>34</v>
      </c>
    </row>
    <row r="7" spans="1:54" ht="23.25" customHeight="1" x14ac:dyDescent="0.3">
      <c r="A7" s="634" t="s">
        <v>289</v>
      </c>
      <c r="B7" s="635"/>
      <c r="C7" s="509">
        <f t="shared" ref="C7:C9" si="0">D7+G7</f>
        <v>0</v>
      </c>
      <c r="D7" s="510">
        <f t="shared" ref="D7:I7" si="1">D8+D9</f>
        <v>0</v>
      </c>
      <c r="E7" s="511">
        <f t="shared" si="1"/>
        <v>0</v>
      </c>
      <c r="F7" s="512">
        <f t="shared" si="1"/>
        <v>0</v>
      </c>
      <c r="G7" s="513">
        <f t="shared" si="1"/>
        <v>0</v>
      </c>
      <c r="H7" s="514">
        <f t="shared" si="1"/>
        <v>0</v>
      </c>
      <c r="I7" s="514">
        <f t="shared" si="1"/>
        <v>0</v>
      </c>
      <c r="J7" s="515">
        <f t="shared" ref="J7:J9" si="2">L7+O7</f>
        <v>0</v>
      </c>
      <c r="K7" s="516">
        <f t="shared" ref="K7:K9" si="3">IF(C7&gt;0,J7*100/C7,0)</f>
        <v>0</v>
      </c>
      <c r="L7" s="515">
        <f>L8+L9</f>
        <v>0</v>
      </c>
      <c r="M7" s="517">
        <f t="shared" ref="M7:M9" si="4">IF(D7&gt;0,L7*100/D7,0)</f>
        <v>0</v>
      </c>
      <c r="N7" s="517">
        <f t="shared" ref="N7:N9" si="5">IF(H7&gt;0,L7*100/H7,0)</f>
        <v>0</v>
      </c>
      <c r="O7" s="518">
        <f>O8+O9</f>
        <v>0</v>
      </c>
      <c r="P7" s="518">
        <f t="shared" ref="P7:P9" si="6">IF(G7&gt;0,O7*100/G7,0)</f>
        <v>0</v>
      </c>
      <c r="Q7" s="517">
        <f t="shared" ref="Q7:Q9" si="7">IF(I7&gt;0,O7*100/I7,0)</f>
        <v>0</v>
      </c>
      <c r="R7" s="517">
        <f t="shared" ref="R7:T7" ca="1" si="8">R8+R9</f>
        <v>39499060</v>
      </c>
      <c r="S7" s="517">
        <f t="shared" ca="1" si="8"/>
        <v>0</v>
      </c>
      <c r="T7" s="517">
        <f t="shared" ca="1" si="8"/>
        <v>189650</v>
      </c>
      <c r="U7" s="517">
        <f t="shared" ref="U7:U9" ca="1" si="9">IF(R7&gt;0,T7*100/R7,0)</f>
        <v>0.48013800834754045</v>
      </c>
      <c r="V7" s="517">
        <f t="shared" ref="V7:V9" ca="1" si="10">IF(S7&gt;0,T7*100/S7,0)</f>
        <v>0</v>
      </c>
      <c r="W7" s="519">
        <f t="shared" ref="W7:Y7" ca="1" si="11">W8</f>
        <v>4625</v>
      </c>
      <c r="X7" s="259">
        <f t="shared" ca="1" si="11"/>
        <v>45000</v>
      </c>
      <c r="Y7" s="260">
        <f t="shared" ca="1" si="11"/>
        <v>0</v>
      </c>
      <c r="Z7" s="261">
        <f t="shared" ref="Z7:Z8" ca="1" si="12">IF(W7&gt;0,Y7*100/W7,0)</f>
        <v>0</v>
      </c>
      <c r="AA7" s="260">
        <f ca="1">AA8</f>
        <v>0</v>
      </c>
      <c r="AB7" s="261">
        <f t="shared" ref="AB7:AB8" ca="1" si="13">IF(X7&gt;0,AA7*100/X7,0)</f>
        <v>0</v>
      </c>
      <c r="AC7" s="259">
        <f t="shared" ref="AC7:AD7" ca="1" si="14">AC8</f>
        <v>36000</v>
      </c>
      <c r="AD7" s="260">
        <f t="shared" ca="1" si="14"/>
        <v>0</v>
      </c>
      <c r="AE7" s="261">
        <f t="shared" ref="AE7:AE8" ca="1" si="15">IF(AC7&gt;0,AD7*100/AC7,0)</f>
        <v>0</v>
      </c>
      <c r="AF7" s="260">
        <f t="shared" ref="AF7:AH7" ca="1" si="16">AF8</f>
        <v>0</v>
      </c>
      <c r="AG7" s="259">
        <f t="shared" ca="1" si="16"/>
        <v>3600</v>
      </c>
      <c r="AH7" s="260">
        <f t="shared" ca="1" si="16"/>
        <v>0</v>
      </c>
      <c r="AI7" s="261">
        <f t="shared" ref="AI7:AI8" ca="1" si="17">IF(AG7&gt;0,AH7*100/AG7,0)</f>
        <v>0</v>
      </c>
      <c r="AJ7" s="259">
        <f t="shared" ref="AJ7:AK7" ca="1" si="18">AJ8</f>
        <v>9000</v>
      </c>
      <c r="AK7" s="260">
        <f t="shared" ca="1" si="18"/>
        <v>0</v>
      </c>
      <c r="AL7" s="261">
        <f t="shared" ref="AL7:AL8" ca="1" si="19">IF(AJ7&gt;0,AK7*100/AJ7,0)</f>
        <v>0</v>
      </c>
      <c r="AM7" s="260">
        <f t="shared" ref="AM7:AO7" ca="1" si="20">AM8</f>
        <v>0</v>
      </c>
      <c r="AN7" s="259">
        <f t="shared" ca="1" si="20"/>
        <v>900</v>
      </c>
      <c r="AO7" s="260">
        <f t="shared" ca="1" si="20"/>
        <v>0</v>
      </c>
      <c r="AP7" s="261">
        <f t="shared" ref="AP7:AP8" ca="1" si="21">IF(AN7&gt;0,AO7*100/AN7,0)</f>
        <v>0</v>
      </c>
      <c r="AQ7" s="260">
        <f t="shared" ref="AQ7:AS7" ca="1" si="22">AQ8</f>
        <v>0</v>
      </c>
      <c r="AR7" s="259">
        <f t="shared" ca="1" si="22"/>
        <v>125</v>
      </c>
      <c r="AS7" s="260">
        <f t="shared" ca="1" si="22"/>
        <v>0</v>
      </c>
      <c r="AT7" s="261">
        <f t="shared" ref="AT7:AT8" ca="1" si="23">IF(AR7&gt;0,AS7*100/AR7,0)</f>
        <v>0</v>
      </c>
      <c r="AU7" s="259">
        <f t="shared" ref="AU7:AV7" ca="1" si="24">AU8</f>
        <v>3600</v>
      </c>
      <c r="AV7" s="260">
        <f t="shared" ca="1" si="24"/>
        <v>0</v>
      </c>
      <c r="AW7" s="261">
        <f t="shared" ref="AW7:AW8" ca="1" si="25">IF(AU7&gt;0,AV7*100/AU7,0)</f>
        <v>0</v>
      </c>
      <c r="AX7" s="260">
        <f t="shared" ref="AX7:AZ7" ca="1" si="26">AX8</f>
        <v>0</v>
      </c>
      <c r="AY7" s="259">
        <f t="shared" ca="1" si="26"/>
        <v>900</v>
      </c>
      <c r="AZ7" s="260">
        <f t="shared" ca="1" si="26"/>
        <v>0</v>
      </c>
      <c r="BA7" s="261">
        <f t="shared" ref="BA7:BA8" ca="1" si="27">IF(AY7&gt;0,AZ7*100/AY7,0)</f>
        <v>0</v>
      </c>
      <c r="BB7" s="260">
        <f ca="1">BB8</f>
        <v>0</v>
      </c>
    </row>
    <row r="8" spans="1:54" ht="23.25" customHeight="1" x14ac:dyDescent="0.3">
      <c r="A8" s="520" t="s">
        <v>37</v>
      </c>
      <c r="B8" s="521"/>
      <c r="C8" s="490">
        <f t="shared" si="0"/>
        <v>0</v>
      </c>
      <c r="D8" s="490">
        <f t="shared" ref="D8:I8" si="28">+D13+D31+D52+D74</f>
        <v>0</v>
      </c>
      <c r="E8" s="490">
        <f t="shared" si="28"/>
        <v>0</v>
      </c>
      <c r="F8" s="490">
        <f t="shared" si="28"/>
        <v>0</v>
      </c>
      <c r="G8" s="490">
        <f t="shared" si="28"/>
        <v>0</v>
      </c>
      <c r="H8" s="490">
        <f t="shared" si="28"/>
        <v>0</v>
      </c>
      <c r="I8" s="490">
        <f t="shared" si="28"/>
        <v>0</v>
      </c>
      <c r="J8" s="490">
        <f t="shared" si="2"/>
        <v>0</v>
      </c>
      <c r="K8" s="522">
        <f t="shared" si="3"/>
        <v>0</v>
      </c>
      <c r="L8" s="490">
        <f>+L13+L31+L52+L74</f>
        <v>0</v>
      </c>
      <c r="M8" s="491">
        <f t="shared" si="4"/>
        <v>0</v>
      </c>
      <c r="N8" s="491">
        <f t="shared" si="5"/>
        <v>0</v>
      </c>
      <c r="O8" s="523">
        <f>+O13+O31+O52+O74</f>
        <v>0</v>
      </c>
      <c r="P8" s="523">
        <f t="shared" si="6"/>
        <v>0</v>
      </c>
      <c r="Q8" s="491">
        <f t="shared" si="7"/>
        <v>0</v>
      </c>
      <c r="R8" s="491">
        <f t="shared" ref="R8:T8" ca="1" si="29">+R13+R31+R52+R74</f>
        <v>36621380</v>
      </c>
      <c r="S8" s="491">
        <f t="shared" ca="1" si="29"/>
        <v>0</v>
      </c>
      <c r="T8" s="491">
        <f t="shared" ca="1" si="29"/>
        <v>189650</v>
      </c>
      <c r="U8" s="491">
        <f t="shared" ca="1" si="9"/>
        <v>0.51786688540956127</v>
      </c>
      <c r="V8" s="491">
        <f t="shared" ca="1" si="10"/>
        <v>0</v>
      </c>
      <c r="W8" s="524">
        <f t="shared" ref="W8:Y8" ca="1" si="30">+W13+W31+W52+W74</f>
        <v>4625</v>
      </c>
      <c r="X8" s="262">
        <f t="shared" ca="1" si="30"/>
        <v>45000</v>
      </c>
      <c r="Y8" s="262">
        <f t="shared" ca="1" si="30"/>
        <v>0</v>
      </c>
      <c r="Z8" s="234">
        <f t="shared" ca="1" si="12"/>
        <v>0</v>
      </c>
      <c r="AA8" s="262">
        <f ca="1">+AA13+AA31+AA52+AA74</f>
        <v>0</v>
      </c>
      <c r="AB8" s="234">
        <f t="shared" ca="1" si="13"/>
        <v>0</v>
      </c>
      <c r="AC8" s="262">
        <f t="shared" ref="AC8:AD8" ca="1" si="31">+AC13+AC31+AC52+AC74</f>
        <v>36000</v>
      </c>
      <c r="AD8" s="262">
        <f t="shared" ca="1" si="31"/>
        <v>0</v>
      </c>
      <c r="AE8" s="234">
        <f t="shared" ca="1" si="15"/>
        <v>0</v>
      </c>
      <c r="AF8" s="262">
        <f t="shared" ref="AF8:AH8" ca="1" si="32">+AF13+AF31+AF52+AF74</f>
        <v>0</v>
      </c>
      <c r="AG8" s="262">
        <f t="shared" ca="1" si="32"/>
        <v>3600</v>
      </c>
      <c r="AH8" s="262">
        <f t="shared" ca="1" si="32"/>
        <v>0</v>
      </c>
      <c r="AI8" s="234">
        <f t="shared" ca="1" si="17"/>
        <v>0</v>
      </c>
      <c r="AJ8" s="262">
        <f t="shared" ref="AJ8:AK8" ca="1" si="33">+AJ13+AJ31+AJ52+AJ74</f>
        <v>9000</v>
      </c>
      <c r="AK8" s="262">
        <f t="shared" ca="1" si="33"/>
        <v>0</v>
      </c>
      <c r="AL8" s="234">
        <f t="shared" ca="1" si="19"/>
        <v>0</v>
      </c>
      <c r="AM8" s="262">
        <f t="shared" ref="AM8:AO8" ca="1" si="34">+AM13+AM31+AM52+AM74</f>
        <v>0</v>
      </c>
      <c r="AN8" s="262">
        <f t="shared" ca="1" si="34"/>
        <v>900</v>
      </c>
      <c r="AO8" s="262">
        <f t="shared" ca="1" si="34"/>
        <v>0</v>
      </c>
      <c r="AP8" s="234">
        <f t="shared" ca="1" si="21"/>
        <v>0</v>
      </c>
      <c r="AQ8" s="262">
        <f t="shared" ref="AQ8:AS8" ca="1" si="35">+AQ13+AQ31+AQ52+AQ74</f>
        <v>0</v>
      </c>
      <c r="AR8" s="262">
        <f t="shared" ca="1" si="35"/>
        <v>125</v>
      </c>
      <c r="AS8" s="262">
        <f t="shared" ca="1" si="35"/>
        <v>0</v>
      </c>
      <c r="AT8" s="234">
        <f t="shared" ca="1" si="23"/>
        <v>0</v>
      </c>
      <c r="AU8" s="262">
        <f t="shared" ref="AU8:AV8" ca="1" si="36">+AU13+AU31+AU52+AU74</f>
        <v>3600</v>
      </c>
      <c r="AV8" s="262">
        <f t="shared" ca="1" si="36"/>
        <v>0</v>
      </c>
      <c r="AW8" s="234">
        <f t="shared" ca="1" si="25"/>
        <v>0</v>
      </c>
      <c r="AX8" s="262">
        <f t="shared" ref="AX8:AZ8" ca="1" si="37">+AX13+AX31+AX52+AX74</f>
        <v>0</v>
      </c>
      <c r="AY8" s="262">
        <f t="shared" ca="1" si="37"/>
        <v>900</v>
      </c>
      <c r="AZ8" s="262">
        <f t="shared" ca="1" si="37"/>
        <v>0</v>
      </c>
      <c r="BA8" s="234">
        <f t="shared" ca="1" si="27"/>
        <v>0</v>
      </c>
      <c r="BB8" s="262">
        <f ca="1">+BB13+BB31+BB52+BB74</f>
        <v>0</v>
      </c>
    </row>
    <row r="9" spans="1:54" ht="23.25" customHeight="1" x14ac:dyDescent="0.3">
      <c r="A9" s="525" t="s">
        <v>38</v>
      </c>
      <c r="B9" s="526"/>
      <c r="C9" s="527">
        <f t="shared" si="0"/>
        <v>0</v>
      </c>
      <c r="D9" s="527">
        <f t="shared" ref="D9:I9" si="38">+D10+D11</f>
        <v>0</v>
      </c>
      <c r="E9" s="527">
        <f t="shared" si="38"/>
        <v>0</v>
      </c>
      <c r="F9" s="527">
        <f t="shared" si="38"/>
        <v>0</v>
      </c>
      <c r="G9" s="527">
        <f t="shared" si="38"/>
        <v>0</v>
      </c>
      <c r="H9" s="527">
        <f t="shared" si="38"/>
        <v>0</v>
      </c>
      <c r="I9" s="527">
        <f t="shared" si="38"/>
        <v>0</v>
      </c>
      <c r="J9" s="527">
        <f t="shared" si="2"/>
        <v>0</v>
      </c>
      <c r="K9" s="528">
        <f t="shared" si="3"/>
        <v>0</v>
      </c>
      <c r="L9" s="527">
        <f>+L10+L11</f>
        <v>0</v>
      </c>
      <c r="M9" s="529">
        <f t="shared" si="4"/>
        <v>0</v>
      </c>
      <c r="N9" s="529">
        <f t="shared" si="5"/>
        <v>0</v>
      </c>
      <c r="O9" s="530">
        <f>+O10+O11</f>
        <v>0</v>
      </c>
      <c r="P9" s="530">
        <f t="shared" si="6"/>
        <v>0</v>
      </c>
      <c r="Q9" s="529">
        <f t="shared" si="7"/>
        <v>0</v>
      </c>
      <c r="R9" s="529">
        <f ca="1">IFERROR(__xludf.DUMMYFUNCTION("IMPORTRANGE(""https://docs.google.com/spreadsheets/d/1ItG2mGa2ceCfYo0BwxsXqNm01IGEUdYcSSLTEv9YCik/edit?usp=sharing"",""เบิกจ่ายกองทุน!O11"")"),2877680)</f>
        <v>2877680</v>
      </c>
      <c r="S9" s="529">
        <f ca="1">IFERROR(__xludf.DUMMYFUNCTION("IMPORTRANGE(""https://docs.google.com/spreadsheets/d/1ItG2mGa2ceCfYo0BwxsXqNm01IGEUdYcSSLTEv9YCik/edit?usp=sharing"",""เบิกจ่ายกองทุน!P11"")"),0)</f>
        <v>0</v>
      </c>
      <c r="T9" s="529">
        <f ca="1">IFERROR(__xludf.DUMMYFUNCTION("IMPORTRANGE(""https://docs.google.com/spreadsheets/d/1ItG2mGa2ceCfYo0BwxsXqNm01IGEUdYcSSLTEv9YCik/edit?usp=sharing"",""เบิกจ่ายกองทุน!Q11"")"),0)</f>
        <v>0</v>
      </c>
      <c r="U9" s="529">
        <f t="shared" ca="1" si="9"/>
        <v>0</v>
      </c>
      <c r="V9" s="529">
        <f t="shared" ca="1" si="10"/>
        <v>0</v>
      </c>
      <c r="W9" s="492"/>
      <c r="X9" s="273"/>
      <c r="Y9" s="273"/>
      <c r="Z9" s="237"/>
      <c r="AA9" s="273"/>
      <c r="AB9" s="237"/>
      <c r="AC9" s="273"/>
      <c r="AD9" s="273"/>
      <c r="AE9" s="493"/>
      <c r="AF9" s="273"/>
      <c r="AG9" s="273"/>
      <c r="AH9" s="273"/>
      <c r="AI9" s="493"/>
      <c r="AJ9" s="273"/>
      <c r="AK9" s="273"/>
      <c r="AL9" s="493"/>
      <c r="AM9" s="273"/>
      <c r="AN9" s="273"/>
      <c r="AO9" s="273"/>
      <c r="AP9" s="493"/>
      <c r="AQ9" s="273"/>
      <c r="AR9" s="273"/>
      <c r="AS9" s="273"/>
      <c r="AT9" s="493"/>
      <c r="AU9" s="273"/>
      <c r="AV9" s="273"/>
      <c r="AW9" s="493"/>
      <c r="AX9" s="273"/>
      <c r="AY9" s="273"/>
      <c r="AZ9" s="273"/>
      <c r="BA9" s="493"/>
      <c r="BB9" s="273"/>
    </row>
    <row r="10" spans="1:54" ht="23.25" customHeight="1" x14ac:dyDescent="0.3">
      <c r="A10" s="531"/>
      <c r="B10" s="532"/>
      <c r="C10" s="264"/>
      <c r="D10" s="264"/>
      <c r="E10" s="264"/>
      <c r="F10" s="264"/>
      <c r="G10" s="264"/>
      <c r="H10" s="264"/>
      <c r="I10" s="264"/>
      <c r="J10" s="264"/>
      <c r="K10" s="533"/>
      <c r="L10" s="264"/>
      <c r="M10" s="240"/>
      <c r="N10" s="240"/>
      <c r="O10" s="239"/>
      <c r="P10" s="239"/>
      <c r="Q10" s="240"/>
      <c r="R10" s="240"/>
      <c r="S10" s="240"/>
      <c r="T10" s="240"/>
      <c r="U10" s="240"/>
      <c r="V10" s="240"/>
      <c r="W10" s="494"/>
      <c r="X10" s="264"/>
      <c r="Y10" s="264"/>
      <c r="Z10" s="265"/>
      <c r="AA10" s="264"/>
      <c r="AB10" s="265"/>
      <c r="AC10" s="264"/>
      <c r="AD10" s="264"/>
      <c r="AE10" s="240"/>
      <c r="AF10" s="264"/>
      <c r="AG10" s="264"/>
      <c r="AH10" s="264"/>
      <c r="AI10" s="240"/>
      <c r="AJ10" s="264"/>
      <c r="AK10" s="264"/>
      <c r="AL10" s="240"/>
      <c r="AM10" s="264"/>
      <c r="AN10" s="264"/>
      <c r="AO10" s="264"/>
      <c r="AP10" s="240"/>
      <c r="AQ10" s="264"/>
      <c r="AR10" s="264"/>
      <c r="AS10" s="264"/>
      <c r="AT10" s="240"/>
      <c r="AU10" s="264"/>
      <c r="AV10" s="264"/>
      <c r="AW10" s="240"/>
      <c r="AX10" s="264"/>
      <c r="AY10" s="264"/>
      <c r="AZ10" s="264"/>
      <c r="BA10" s="240"/>
      <c r="BB10" s="264"/>
    </row>
    <row r="11" spans="1:54" ht="23.25" customHeight="1" x14ac:dyDescent="0.3">
      <c r="A11" s="531"/>
      <c r="B11" s="532"/>
      <c r="C11" s="264"/>
      <c r="D11" s="264"/>
      <c r="E11" s="264"/>
      <c r="F11" s="264"/>
      <c r="G11" s="264"/>
      <c r="H11" s="264"/>
      <c r="I11" s="264"/>
      <c r="J11" s="264"/>
      <c r="K11" s="533"/>
      <c r="L11" s="264"/>
      <c r="M11" s="240"/>
      <c r="N11" s="240"/>
      <c r="O11" s="239"/>
      <c r="P11" s="239"/>
      <c r="Q11" s="240"/>
      <c r="R11" s="240"/>
      <c r="S11" s="240"/>
      <c r="T11" s="240"/>
      <c r="U11" s="240"/>
      <c r="V11" s="240"/>
      <c r="W11" s="494"/>
      <c r="X11" s="264"/>
      <c r="Y11" s="264"/>
      <c r="Z11" s="265"/>
      <c r="AA11" s="264"/>
      <c r="AB11" s="265"/>
      <c r="AC11" s="264"/>
      <c r="AD11" s="264"/>
      <c r="AE11" s="240"/>
      <c r="AF11" s="264"/>
      <c r="AG11" s="264"/>
      <c r="AH11" s="264"/>
      <c r="AI11" s="240"/>
      <c r="AJ11" s="264"/>
      <c r="AK11" s="264"/>
      <c r="AL11" s="240"/>
      <c r="AM11" s="264"/>
      <c r="AN11" s="264"/>
      <c r="AO11" s="264"/>
      <c r="AP11" s="240"/>
      <c r="AQ11" s="264"/>
      <c r="AR11" s="264"/>
      <c r="AS11" s="264"/>
      <c r="AT11" s="240"/>
      <c r="AU11" s="264"/>
      <c r="AV11" s="264"/>
      <c r="AW11" s="240"/>
      <c r="AX11" s="264"/>
      <c r="AY11" s="264"/>
      <c r="AZ11" s="264"/>
      <c r="BA11" s="240"/>
      <c r="BB11" s="264"/>
    </row>
    <row r="12" spans="1:54" ht="23.25" customHeight="1" x14ac:dyDescent="0.3">
      <c r="A12" s="531"/>
      <c r="B12" s="532"/>
      <c r="C12" s="264"/>
      <c r="D12" s="264"/>
      <c r="E12" s="264"/>
      <c r="F12" s="264"/>
      <c r="G12" s="264"/>
      <c r="H12" s="264"/>
      <c r="I12" s="264"/>
      <c r="J12" s="264"/>
      <c r="K12" s="533"/>
      <c r="L12" s="264"/>
      <c r="M12" s="240"/>
      <c r="N12" s="240"/>
      <c r="O12" s="239"/>
      <c r="P12" s="239"/>
      <c r="Q12" s="240"/>
      <c r="R12" s="240"/>
      <c r="S12" s="240"/>
      <c r="T12" s="240"/>
      <c r="U12" s="240"/>
      <c r="V12" s="240"/>
      <c r="W12" s="534"/>
      <c r="X12" s="266"/>
      <c r="Y12" s="266"/>
      <c r="Z12" s="265"/>
      <c r="AA12" s="266"/>
      <c r="AB12" s="265"/>
      <c r="AC12" s="266"/>
      <c r="AD12" s="266"/>
      <c r="AE12" s="265"/>
      <c r="AF12" s="266"/>
      <c r="AG12" s="266"/>
      <c r="AH12" s="266"/>
      <c r="AI12" s="265"/>
      <c r="AJ12" s="266"/>
      <c r="AK12" s="266"/>
      <c r="AL12" s="265"/>
      <c r="AM12" s="266"/>
      <c r="AN12" s="266"/>
      <c r="AO12" s="266"/>
      <c r="AP12" s="265"/>
      <c r="AQ12" s="266"/>
      <c r="AR12" s="266"/>
      <c r="AS12" s="266"/>
      <c r="AT12" s="265"/>
      <c r="AU12" s="266"/>
      <c r="AV12" s="266"/>
      <c r="AW12" s="265"/>
      <c r="AX12" s="266"/>
      <c r="AY12" s="266"/>
      <c r="AZ12" s="266"/>
      <c r="BA12" s="265"/>
      <c r="BB12" s="266"/>
    </row>
    <row r="13" spans="1:54" ht="23.25" customHeight="1" x14ac:dyDescent="0.3">
      <c r="A13" s="636" t="s">
        <v>39</v>
      </c>
      <c r="B13" s="633"/>
      <c r="C13" s="490">
        <f t="shared" ref="C13:C88" si="39">D13+G13</f>
        <v>0</v>
      </c>
      <c r="D13" s="490">
        <f t="shared" ref="D13:I13" si="40">SUM(D14:D30)</f>
        <v>0</v>
      </c>
      <c r="E13" s="490">
        <f t="shared" si="40"/>
        <v>0</v>
      </c>
      <c r="F13" s="490">
        <f t="shared" si="40"/>
        <v>0</v>
      </c>
      <c r="G13" s="490">
        <f t="shared" si="40"/>
        <v>0</v>
      </c>
      <c r="H13" s="490">
        <f t="shared" si="40"/>
        <v>0</v>
      </c>
      <c r="I13" s="490">
        <f t="shared" si="40"/>
        <v>0</v>
      </c>
      <c r="J13" s="490">
        <f t="shared" ref="J13:J88" si="41">L13+O13</f>
        <v>0</v>
      </c>
      <c r="K13" s="522">
        <f t="shared" ref="K13:K88" si="42">IF(C13&gt;0,J13*100/C13,0)</f>
        <v>0</v>
      </c>
      <c r="L13" s="490">
        <f>SUM(L14:L30)</f>
        <v>0</v>
      </c>
      <c r="M13" s="491">
        <f t="shared" ref="M13:M88" si="43">IF(D13&gt;0,L13*100/D13,0)</f>
        <v>0</v>
      </c>
      <c r="N13" s="491">
        <f t="shared" ref="N13:N88" si="44">IF(H13&gt;0,L13*100/H13,0)</f>
        <v>0</v>
      </c>
      <c r="O13" s="523">
        <f>SUM(O14:O30)</f>
        <v>0</v>
      </c>
      <c r="P13" s="523">
        <f t="shared" ref="P13:P88" si="45">IF(G13&gt;0,O13*100/G13,0)</f>
        <v>0</v>
      </c>
      <c r="Q13" s="491">
        <f t="shared" ref="Q13:Q88" si="46">IF(I13&gt;0,O13*100/I13,0)</f>
        <v>0</v>
      </c>
      <c r="R13" s="491">
        <f t="shared" ref="R13:T13" ca="1" si="47">SUM(R14:R30)</f>
        <v>11271490</v>
      </c>
      <c r="S13" s="491">
        <f t="shared" ca="1" si="47"/>
        <v>0</v>
      </c>
      <c r="T13" s="491">
        <f t="shared" ca="1" si="47"/>
        <v>3040</v>
      </c>
      <c r="U13" s="491">
        <f t="shared" ref="U13:U106" ca="1" si="48">IF(R13&gt;0,T13*100/R13,0)</f>
        <v>2.6970702187554617E-2</v>
      </c>
      <c r="V13" s="491">
        <f t="shared" ref="V13:V106" ca="1" si="49">IF(S13&gt;0,T13*100/S13,0)</f>
        <v>0</v>
      </c>
      <c r="W13" s="524">
        <f t="shared" ref="W13:Y13" ca="1" si="50">SUM(W14:W30)</f>
        <v>1436</v>
      </c>
      <c r="X13" s="262">
        <f t="shared" ca="1" si="50"/>
        <v>14000</v>
      </c>
      <c r="Y13" s="262">
        <f t="shared" ca="1" si="50"/>
        <v>0</v>
      </c>
      <c r="Z13" s="234">
        <f t="shared" ref="Z13:Z88" ca="1" si="51">IF(W13&gt;0,Y13*100/W13,0)</f>
        <v>0</v>
      </c>
      <c r="AA13" s="262">
        <f ca="1">SUM(AA14:AA30)</f>
        <v>0</v>
      </c>
      <c r="AB13" s="234">
        <f t="shared" ref="AB13:AB88" ca="1" si="52">IF(X13&gt;0,AA13*100/X13,0)</f>
        <v>0</v>
      </c>
      <c r="AC13" s="262">
        <f t="shared" ref="AC13:AD13" ca="1" si="53">SUM(AC14:AC30)</f>
        <v>11200</v>
      </c>
      <c r="AD13" s="262">
        <f t="shared" ca="1" si="53"/>
        <v>0</v>
      </c>
      <c r="AE13" s="234">
        <f t="shared" ref="AE13:AE88" ca="1" si="54">IF(AC13&gt;0,AD13*100/AC13,0)</f>
        <v>0</v>
      </c>
      <c r="AF13" s="262">
        <f t="shared" ref="AF13:AH13" ca="1" si="55">SUM(AF14:AF30)</f>
        <v>0</v>
      </c>
      <c r="AG13" s="262">
        <f t="shared" ca="1" si="55"/>
        <v>1120</v>
      </c>
      <c r="AH13" s="262">
        <f t="shared" ca="1" si="55"/>
        <v>0</v>
      </c>
      <c r="AI13" s="234">
        <f t="shared" ref="AI13:AI88" ca="1" si="56">IF(AG13&gt;0,AH13*100/AG13,0)</f>
        <v>0</v>
      </c>
      <c r="AJ13" s="262">
        <f t="shared" ref="AJ13:AK13" ca="1" si="57">SUM(AJ14:AJ30)</f>
        <v>2800</v>
      </c>
      <c r="AK13" s="262">
        <f t="shared" ca="1" si="57"/>
        <v>0</v>
      </c>
      <c r="AL13" s="234">
        <f t="shared" ref="AL13:AL88" ca="1" si="58">IF(AJ13&gt;0,AK13*100/AJ13,0)</f>
        <v>0</v>
      </c>
      <c r="AM13" s="262">
        <f t="shared" ref="AM13:AO13" ca="1" si="59">SUM(AM14:AM30)</f>
        <v>0</v>
      </c>
      <c r="AN13" s="262">
        <f t="shared" ca="1" si="59"/>
        <v>280</v>
      </c>
      <c r="AO13" s="262">
        <f t="shared" ca="1" si="59"/>
        <v>0</v>
      </c>
      <c r="AP13" s="234">
        <f t="shared" ref="AP13:AP88" ca="1" si="60">IF(AN13&gt;0,AO13*100/AN13,0)</f>
        <v>0</v>
      </c>
      <c r="AQ13" s="262">
        <f t="shared" ref="AQ13:AS13" ca="1" si="61">SUM(AQ14:AQ30)</f>
        <v>0</v>
      </c>
      <c r="AR13" s="262">
        <f t="shared" ca="1" si="61"/>
        <v>36</v>
      </c>
      <c r="AS13" s="262">
        <f t="shared" ca="1" si="61"/>
        <v>0</v>
      </c>
      <c r="AT13" s="234">
        <f t="shared" ref="AT13:AT88" ca="1" si="62">IF(AR13&gt;0,AS13*100/AR13,0)</f>
        <v>0</v>
      </c>
      <c r="AU13" s="262">
        <f t="shared" ref="AU13:AV13" ca="1" si="63">SUM(AU14:AU30)</f>
        <v>1120</v>
      </c>
      <c r="AV13" s="262">
        <f t="shared" ca="1" si="63"/>
        <v>0</v>
      </c>
      <c r="AW13" s="234">
        <f t="shared" ref="AW13:AW88" ca="1" si="64">IF(AU13&gt;0,AV13*100/AU13,0)</f>
        <v>0</v>
      </c>
      <c r="AX13" s="262">
        <f t="shared" ref="AX13:AZ13" ca="1" si="65">SUM(AX14:AX30)</f>
        <v>0</v>
      </c>
      <c r="AY13" s="262">
        <f t="shared" ca="1" si="65"/>
        <v>280</v>
      </c>
      <c r="AZ13" s="262">
        <f t="shared" ca="1" si="65"/>
        <v>0</v>
      </c>
      <c r="BA13" s="234">
        <f t="shared" ref="BA13:BA88" ca="1" si="66">IF(AY13&gt;0,AZ13*100/AY13,0)</f>
        <v>0</v>
      </c>
      <c r="BB13" s="262">
        <f ca="1">SUM(BB14:BB30)</f>
        <v>0</v>
      </c>
    </row>
    <row r="14" spans="1:54" ht="23.25" customHeight="1" x14ac:dyDescent="0.3">
      <c r="A14" s="535">
        <v>1</v>
      </c>
      <c r="B14" s="536" t="s">
        <v>40</v>
      </c>
      <c r="C14" s="537">
        <f t="shared" si="39"/>
        <v>0</v>
      </c>
      <c r="D14" s="538">
        <f t="shared" ref="D14:D30" si="67">+E14+F14</f>
        <v>0</v>
      </c>
      <c r="E14" s="539">
        <v>0</v>
      </c>
      <c r="F14" s="539">
        <v>0</v>
      </c>
      <c r="G14" s="540">
        <v>0</v>
      </c>
      <c r="H14" s="540">
        <v>0</v>
      </c>
      <c r="I14" s="540">
        <v>0</v>
      </c>
      <c r="J14" s="496">
        <f t="shared" si="41"/>
        <v>0</v>
      </c>
      <c r="K14" s="541">
        <f t="shared" si="42"/>
        <v>0</v>
      </c>
      <c r="L14" s="540">
        <v>0</v>
      </c>
      <c r="M14" s="542">
        <f t="shared" si="43"/>
        <v>0</v>
      </c>
      <c r="N14" s="542">
        <f t="shared" si="44"/>
        <v>0</v>
      </c>
      <c r="O14" s="539">
        <v>0</v>
      </c>
      <c r="P14" s="543">
        <f t="shared" si="45"/>
        <v>0</v>
      </c>
      <c r="Q14" s="542">
        <f t="shared" si="46"/>
        <v>0</v>
      </c>
      <c r="R14" s="542">
        <f ca="1">IFERROR(__xludf.DUMMYFUNCTION("IMPORTRANGE(""https://docs.google.com/spreadsheets/d/1jTcq05yEiRwXcBMLjiodW9e4biSGYWAHcDj22rKWQ3s/edit?usp=sharing"",""กำแพงเพชร!Q728"")"),1008470)</f>
        <v>1008470</v>
      </c>
      <c r="S14" s="542">
        <f ca="1">IFERROR(__xludf.DUMMYFUNCTION("IMPORTRANGE(""https://docs.google.com/spreadsheets/d/1jTcq05yEiRwXcBMLjiodW9e4biSGYWAHcDj22rKWQ3s/edit?usp=sharing"",""กำแพงเพชร!R728"")"),0)</f>
        <v>0</v>
      </c>
      <c r="T14" s="542">
        <f ca="1">IFERROR(__xludf.DUMMYFUNCTION("IMPORTRANGE(""https://docs.google.com/spreadsheets/d/1jTcq05yEiRwXcBMLjiodW9e4biSGYWAHcDj22rKWQ3s/edit?usp=sharing"",""กำแพงเพชร!S728"")"),0)</f>
        <v>0</v>
      </c>
      <c r="U14" s="542">
        <f t="shared" ca="1" si="48"/>
        <v>0</v>
      </c>
      <c r="V14" s="542">
        <f t="shared" ca="1" si="49"/>
        <v>0</v>
      </c>
      <c r="W14" s="544">
        <f ca="1">IFERROR(__xludf.DUMMYFUNCTION("IMPORTRANGE(""https://docs.google.com/spreadsheets/d/1jTcq05yEiRwXcBMLjiodW9e4biSGYWAHcDj22rKWQ3s/edit?usp=sharing"",""กำแพงเพชร!I726"")"),128)</f>
        <v>128</v>
      </c>
      <c r="X14" s="540">
        <f ca="1">IFERROR(__xludf.DUMMYFUNCTION("IMPORTRANGE(""https://docs.google.com/spreadsheets/d/1jTcq05yEiRwXcBMLjiodW9e4biSGYWAHcDj22rKWQ3s/edit?usp=sharing"",""กำแพงเพชร!I727"")"),1250)</f>
        <v>1250</v>
      </c>
      <c r="Y14" s="540">
        <f ca="1">IFERROR(__xludf.DUMMYFUNCTION("IMPORTRANGE(""https://docs.google.com/spreadsheets/d/1jTcq05yEiRwXcBMLjiodW9e4biSGYWAHcDj22rKWQ3s/edit?usp=sharing"",""กำแพงเพชร!J726"")"),0)</f>
        <v>0</v>
      </c>
      <c r="Z14" s="375">
        <f t="shared" ca="1" si="51"/>
        <v>0</v>
      </c>
      <c r="AA14" s="540">
        <f ca="1">IFERROR(__xludf.DUMMYFUNCTION("IMPORTRANGE(""https://docs.google.com/spreadsheets/d/1jTcq05yEiRwXcBMLjiodW9e4biSGYWAHcDj22rKWQ3s/edit?usp=sharing"",""กำแพงเพชร!J727"")"),0)</f>
        <v>0</v>
      </c>
      <c r="AB14" s="375">
        <f t="shared" ca="1" si="52"/>
        <v>0</v>
      </c>
      <c r="AC14" s="540">
        <f ca="1">IFERROR(__xludf.DUMMYFUNCTION("IMPORTRANGE(""https://docs.google.com/spreadsheets/d/1jTcq05yEiRwXcBMLjiodW9e4biSGYWAHcDj22rKWQ3s/edit?usp=sharing"",""กำแพงเพชร!I740"")"),1000)</f>
        <v>1000</v>
      </c>
      <c r="AD14" s="540">
        <f ca="1">IFERROR(__xludf.DUMMYFUNCTION("IMPORTRANGE(""https://docs.google.com/spreadsheets/d/1jTcq05yEiRwXcBMLjiodW9e4biSGYWAHcDj22rKWQ3s/edit?usp=sharing"",""กำแพงเพชร!J740"")"),0)</f>
        <v>0</v>
      </c>
      <c r="AE14" s="375">
        <f t="shared" ca="1" si="54"/>
        <v>0</v>
      </c>
      <c r="AF14" s="540">
        <f ca="1">IFERROR(__xludf.DUMMYFUNCTION("IMPORTRANGE(""https://docs.google.com/spreadsheets/d/1jTcq05yEiRwXcBMLjiodW9e4biSGYWAHcDj22rKWQ3s/edit?usp=sharing"",""กำแพงเพชร!J741"")"),0)</f>
        <v>0</v>
      </c>
      <c r="AG14" s="540">
        <f ca="1">IFERROR(__xludf.DUMMYFUNCTION("IMPORTRANGE(""https://docs.google.com/spreadsheets/d/1jTcq05yEiRwXcBMLjiodW9e4biSGYWAHcDj22rKWQ3s/edit?usp=sharing"",""กำแพงเพชร!I742"")"),100)</f>
        <v>100</v>
      </c>
      <c r="AH14" s="540">
        <f ca="1">IFERROR(__xludf.DUMMYFUNCTION("IMPORTRANGE(""https://docs.google.com/spreadsheets/d/1jTcq05yEiRwXcBMLjiodW9e4biSGYWAHcDj22rKWQ3s/edit?usp=sharing"",""กำแพงเพชร!J742"")"),0)</f>
        <v>0</v>
      </c>
      <c r="AI14" s="375">
        <f t="shared" ca="1" si="56"/>
        <v>0</v>
      </c>
      <c r="AJ14" s="540">
        <f ca="1">IFERROR(__xludf.DUMMYFUNCTION("IMPORTRANGE(""https://docs.google.com/spreadsheets/d/1jTcq05yEiRwXcBMLjiodW9e4biSGYWAHcDj22rKWQ3s/edit?usp=sharing"",""กำแพงเพชร!I744"")"),250)</f>
        <v>250</v>
      </c>
      <c r="AK14" s="540">
        <f ca="1">IFERROR(__xludf.DUMMYFUNCTION("IMPORTRANGE(""https://docs.google.com/spreadsheets/d/1jTcq05yEiRwXcBMLjiodW9e4biSGYWAHcDj22rKWQ3s/edit?usp=sharing"",""กำแพงเพชร!J744"")"),0)</f>
        <v>0</v>
      </c>
      <c r="AL14" s="375">
        <f t="shared" ca="1" si="58"/>
        <v>0</v>
      </c>
      <c r="AM14" s="540">
        <f ca="1">IFERROR(__xludf.DUMMYFUNCTION("IMPORTRANGE(""https://docs.google.com/spreadsheets/d/1jTcq05yEiRwXcBMLjiodW9e4biSGYWAHcDj22rKWQ3s/edit?usp=sharing"",""กำแพงเพชร!J745"")"),0)</f>
        <v>0</v>
      </c>
      <c r="AN14" s="540">
        <f ca="1">IFERROR(__xludf.DUMMYFUNCTION("IMPORTRANGE(""https://docs.google.com/spreadsheets/d/1jTcq05yEiRwXcBMLjiodW9e4biSGYWAHcDj22rKWQ3s/edit?usp=sharing"",""กำแพงเพชร!I746"")"),25)</f>
        <v>25</v>
      </c>
      <c r="AO14" s="540">
        <f ca="1">IFERROR(__xludf.DUMMYFUNCTION("IMPORTRANGE(""https://docs.google.com/spreadsheets/d/1jTcq05yEiRwXcBMLjiodW9e4biSGYWAHcDj22rKWQ3s/edit?usp=sharing"",""กำแพงเพชร!J746"")"),0)</f>
        <v>0</v>
      </c>
      <c r="AP14" s="375">
        <f t="shared" ca="1" si="60"/>
        <v>0</v>
      </c>
      <c r="AQ14" s="540">
        <f ca="1">IFERROR(__xludf.DUMMYFUNCTION("IMPORTRANGE(""https://docs.google.com/spreadsheets/d/1jTcq05yEiRwXcBMLjiodW9e4biSGYWAHcDj22rKWQ3s/edit?usp=sharing"",""กำแพงเพชร!J748"")"),0)</f>
        <v>0</v>
      </c>
      <c r="AR14" s="540">
        <f ca="1">IFERROR(__xludf.DUMMYFUNCTION("IMPORTRANGE(""https://docs.google.com/spreadsheets/d/1jTcq05yEiRwXcBMLjiodW9e4biSGYWAHcDj22rKWQ3s/edit?usp=sharing"",""กำแพงเพชร!I749"")"),3)</f>
        <v>3</v>
      </c>
      <c r="AS14" s="540">
        <f ca="1">IFERROR(__xludf.DUMMYFUNCTION("IMPORTRANGE(""https://docs.google.com/spreadsheets/d/1jTcq05yEiRwXcBMLjiodW9e4biSGYWAHcDj22rKWQ3s/edit?usp=sharing"",""กำแพงเพชร!J749"")"),0)</f>
        <v>0</v>
      </c>
      <c r="AT14" s="375">
        <f t="shared" ca="1" si="62"/>
        <v>0</v>
      </c>
      <c r="AU14" s="540">
        <f ca="1">IFERROR(__xludf.DUMMYFUNCTION("IMPORTRANGE(""https://docs.google.com/spreadsheets/d/1jTcq05yEiRwXcBMLjiodW9e4biSGYWAHcDj22rKWQ3s/edit?usp=sharing"",""กำแพงเพชร!I752"")"),100)</f>
        <v>100</v>
      </c>
      <c r="AV14" s="540">
        <f ca="1">IFERROR(__xludf.DUMMYFUNCTION("IMPORTRANGE(""https://docs.google.com/spreadsheets/d/1jTcq05yEiRwXcBMLjiodW9e4biSGYWAHcDj22rKWQ3s/edit?usp=sharing"",""กำแพงเพชร!J752"")"),0)</f>
        <v>0</v>
      </c>
      <c r="AW14" s="375">
        <f t="shared" ca="1" si="64"/>
        <v>0</v>
      </c>
      <c r="AX14" s="540">
        <f ca="1">IFERROR(__xludf.DUMMYFUNCTION("IMPORTRANGE(""https://docs.google.com/spreadsheets/d/1jTcq05yEiRwXcBMLjiodW9e4biSGYWAHcDj22rKWQ3s/edit?usp=sharing"",""กำแพงเพชร!J753"")"),0)</f>
        <v>0</v>
      </c>
      <c r="AY14" s="540">
        <f ca="1">IFERROR(__xludf.DUMMYFUNCTION("IMPORTRANGE(""https://docs.google.com/spreadsheets/d/1jTcq05yEiRwXcBMLjiodW9e4biSGYWAHcDj22rKWQ3s/edit?usp=sharing"",""กำแพงเพชร!I755"")"),25)</f>
        <v>25</v>
      </c>
      <c r="AZ14" s="540">
        <f ca="1">IFERROR(__xludf.DUMMYFUNCTION("IMPORTRANGE(""https://docs.google.com/spreadsheets/d/1jTcq05yEiRwXcBMLjiodW9e4biSGYWAHcDj22rKWQ3s/edit?usp=sharing"",""กำแพงเพชร!J755"")"),0)</f>
        <v>0</v>
      </c>
      <c r="BA14" s="375">
        <f t="shared" ca="1" si="66"/>
        <v>0</v>
      </c>
      <c r="BB14" s="540">
        <f ca="1">IFERROR(__xludf.DUMMYFUNCTION("IMPORTRANGE(""https://docs.google.com/spreadsheets/d/1jTcq05yEiRwXcBMLjiodW9e4biSGYWAHcDj22rKWQ3s/edit?usp=sharing"",""กำแพงเพชร!J756"")"),0)</f>
        <v>0</v>
      </c>
    </row>
    <row r="15" spans="1:54" ht="23.25" customHeight="1" x14ac:dyDescent="0.3">
      <c r="A15" s="535">
        <v>2</v>
      </c>
      <c r="B15" s="536" t="s">
        <v>41</v>
      </c>
      <c r="C15" s="537">
        <f t="shared" si="39"/>
        <v>0</v>
      </c>
      <c r="D15" s="538">
        <f t="shared" si="67"/>
        <v>0</v>
      </c>
      <c r="E15" s="539">
        <v>0</v>
      </c>
      <c r="F15" s="539">
        <v>0</v>
      </c>
      <c r="G15" s="539">
        <v>0</v>
      </c>
      <c r="H15" s="539">
        <v>0</v>
      </c>
      <c r="I15" s="539">
        <v>0</v>
      </c>
      <c r="J15" s="545">
        <f t="shared" si="41"/>
        <v>0</v>
      </c>
      <c r="K15" s="546">
        <f t="shared" si="42"/>
        <v>0</v>
      </c>
      <c r="L15" s="539">
        <v>0</v>
      </c>
      <c r="M15" s="542">
        <f t="shared" si="43"/>
        <v>0</v>
      </c>
      <c r="N15" s="542">
        <f t="shared" si="44"/>
        <v>0</v>
      </c>
      <c r="O15" s="539">
        <v>0</v>
      </c>
      <c r="P15" s="543">
        <f t="shared" si="45"/>
        <v>0</v>
      </c>
      <c r="Q15" s="542">
        <f t="shared" si="46"/>
        <v>0</v>
      </c>
      <c r="R15" s="542">
        <f ca="1">IFERROR(__xludf.DUMMYFUNCTION("IMPORTRANGE(""https://docs.google.com/spreadsheets/d/1KS0zmDSZPk8KnTAbGN-Xk6MtX1YRZD0ldgdt20K4CRk/edit?usp=sharing"",""เชียงราย!Q728"")"),1008470)</f>
        <v>1008470</v>
      </c>
      <c r="S15" s="542">
        <f ca="1">IFERROR(__xludf.DUMMYFUNCTION("IMPORTRANGE(""https://docs.google.com/spreadsheets/d/1KS0zmDSZPk8KnTAbGN-Xk6MtX1YRZD0ldgdt20K4CRk/edit?usp=sharing"",""เชียงราย!R728"")"),0)</f>
        <v>0</v>
      </c>
      <c r="T15" s="542">
        <f ca="1">IFERROR(__xludf.DUMMYFUNCTION("IMPORTRANGE(""https://docs.google.com/spreadsheets/d/1KS0zmDSZPk8KnTAbGN-Xk6MtX1YRZD0ldgdt20K4CRk/edit?usp=sharing"",""เชียงราย!S728"")"),0)</f>
        <v>0</v>
      </c>
      <c r="U15" s="542">
        <f t="shared" ca="1" si="48"/>
        <v>0</v>
      </c>
      <c r="V15" s="542">
        <f t="shared" ca="1" si="49"/>
        <v>0</v>
      </c>
      <c r="W15" s="544">
        <f ca="1">IFERROR(__xludf.DUMMYFUNCTION("IMPORTRANGE(""https://docs.google.com/spreadsheets/d/1KS0zmDSZPk8KnTAbGN-Xk6MtX1YRZD0ldgdt20K4CRk/edit?usp=sharing"",""เชียงราย!I726"")"),128)</f>
        <v>128</v>
      </c>
      <c r="X15" s="540">
        <f ca="1">IFERROR(__xludf.DUMMYFUNCTION("IMPORTRANGE(""https://docs.google.com/spreadsheets/d/1KS0zmDSZPk8KnTAbGN-Xk6MtX1YRZD0ldgdt20K4CRk/edit?usp=sharing"",""เชียงราย!I727"")"),1250)</f>
        <v>1250</v>
      </c>
      <c r="Y15" s="540">
        <f ca="1">IFERROR(__xludf.DUMMYFUNCTION("IMPORTRANGE(""https://docs.google.com/spreadsheets/d/1KS0zmDSZPk8KnTAbGN-Xk6MtX1YRZD0ldgdt20K4CRk/edit?usp=sharing"",""เชียงราย!J726"")"),0)</f>
        <v>0</v>
      </c>
      <c r="Z15" s="375">
        <f t="shared" ca="1" si="51"/>
        <v>0</v>
      </c>
      <c r="AA15" s="540">
        <f ca="1">IFERROR(__xludf.DUMMYFUNCTION("IMPORTRANGE(""https://docs.google.com/spreadsheets/d/1KS0zmDSZPk8KnTAbGN-Xk6MtX1YRZD0ldgdt20K4CRk/edit?usp=sharing"",""เชียงราย!J727"")"),0)</f>
        <v>0</v>
      </c>
      <c r="AB15" s="375">
        <f t="shared" ca="1" si="52"/>
        <v>0</v>
      </c>
      <c r="AC15" s="540">
        <f ca="1">IFERROR(__xludf.DUMMYFUNCTION("IMPORTRANGE(""https://docs.google.com/spreadsheets/d/1KS0zmDSZPk8KnTAbGN-Xk6MtX1YRZD0ldgdt20K4CRk/edit?usp=sharing"",""เชียงราย!I740"")"),1000)</f>
        <v>1000</v>
      </c>
      <c r="AD15" s="540">
        <f ca="1">IFERROR(__xludf.DUMMYFUNCTION("IMPORTRANGE(""https://docs.google.com/spreadsheets/d/1KS0zmDSZPk8KnTAbGN-Xk6MtX1YRZD0ldgdt20K4CRk/edit?usp=sharing"",""เชียงราย!J740"")"),0)</f>
        <v>0</v>
      </c>
      <c r="AE15" s="375">
        <f t="shared" ca="1" si="54"/>
        <v>0</v>
      </c>
      <c r="AF15" s="540">
        <f ca="1">IFERROR(__xludf.DUMMYFUNCTION("IMPORTRANGE(""https://docs.google.com/spreadsheets/d/1KS0zmDSZPk8KnTAbGN-Xk6MtX1YRZD0ldgdt20K4CRk/edit?usp=sharing"",""เชียงราย!J741"")"),0)</f>
        <v>0</v>
      </c>
      <c r="AG15" s="540">
        <f ca="1">IFERROR(__xludf.DUMMYFUNCTION("IMPORTRANGE(""https://docs.google.com/spreadsheets/d/1KS0zmDSZPk8KnTAbGN-Xk6MtX1YRZD0ldgdt20K4CRk/edit?usp=sharing"",""เชียงราย!I742"")"),100)</f>
        <v>100</v>
      </c>
      <c r="AH15" s="540">
        <f ca="1">IFERROR(__xludf.DUMMYFUNCTION("IMPORTRANGE(""https://docs.google.com/spreadsheets/d/1KS0zmDSZPk8KnTAbGN-Xk6MtX1YRZD0ldgdt20K4CRk/edit?usp=sharing"",""เชียงราย!J742"")"),0)</f>
        <v>0</v>
      </c>
      <c r="AI15" s="375">
        <f t="shared" ca="1" si="56"/>
        <v>0</v>
      </c>
      <c r="AJ15" s="540">
        <f ca="1">IFERROR(__xludf.DUMMYFUNCTION("IMPORTRANGE(""https://docs.google.com/spreadsheets/d/1KS0zmDSZPk8KnTAbGN-Xk6MtX1YRZD0ldgdt20K4CRk/edit?usp=sharing"",""เชียงราย!I744"")"),250)</f>
        <v>250</v>
      </c>
      <c r="AK15" s="540">
        <f ca="1">IFERROR(__xludf.DUMMYFUNCTION("IMPORTRANGE(""https://docs.google.com/spreadsheets/d/1KS0zmDSZPk8KnTAbGN-Xk6MtX1YRZD0ldgdt20K4CRk/edit?usp=sharing"",""เชียงราย!J744"")"),0)</f>
        <v>0</v>
      </c>
      <c r="AL15" s="375">
        <f t="shared" ca="1" si="58"/>
        <v>0</v>
      </c>
      <c r="AM15" s="540">
        <f ca="1">IFERROR(__xludf.DUMMYFUNCTION("IMPORTRANGE(""https://docs.google.com/spreadsheets/d/1KS0zmDSZPk8KnTAbGN-Xk6MtX1YRZD0ldgdt20K4CRk/edit?usp=sharing"",""เชียงราย!J745"")"),0)</f>
        <v>0</v>
      </c>
      <c r="AN15" s="540">
        <f ca="1">IFERROR(__xludf.DUMMYFUNCTION("IMPORTRANGE(""https://docs.google.com/spreadsheets/d/1KS0zmDSZPk8KnTAbGN-Xk6MtX1YRZD0ldgdt20K4CRk/edit?usp=sharing"",""เชียงราย!I746"")"),25)</f>
        <v>25</v>
      </c>
      <c r="AO15" s="540">
        <f ca="1">IFERROR(__xludf.DUMMYFUNCTION("IMPORTRANGE(""https://docs.google.com/spreadsheets/d/1KS0zmDSZPk8KnTAbGN-Xk6MtX1YRZD0ldgdt20K4CRk/edit?usp=sharing"",""เชียงราย!J746"")"),0)</f>
        <v>0</v>
      </c>
      <c r="AP15" s="375">
        <f t="shared" ca="1" si="60"/>
        <v>0</v>
      </c>
      <c r="AQ15" s="540">
        <f ca="1">IFERROR(__xludf.DUMMYFUNCTION("IMPORTRANGE(""https://docs.google.com/spreadsheets/d/1KS0zmDSZPk8KnTAbGN-Xk6MtX1YRZD0ldgdt20K4CRk/edit?usp=sharing"",""เชียงราย!J748"")"),0)</f>
        <v>0</v>
      </c>
      <c r="AR15" s="540">
        <f ca="1">IFERROR(__xludf.DUMMYFUNCTION("IMPORTRANGE(""https://docs.google.com/spreadsheets/d/1KS0zmDSZPk8KnTAbGN-Xk6MtX1YRZD0ldgdt20K4CRk/edit?usp=sharing"",""เชียงราย!I749"")"),3)</f>
        <v>3</v>
      </c>
      <c r="AS15" s="540">
        <f ca="1">IFERROR(__xludf.DUMMYFUNCTION("IMPORTRANGE(""https://docs.google.com/spreadsheets/d/1KS0zmDSZPk8KnTAbGN-Xk6MtX1YRZD0ldgdt20K4CRk/edit?usp=sharing"",""เชียงราย!J749"")"),0)</f>
        <v>0</v>
      </c>
      <c r="AT15" s="375">
        <f t="shared" ca="1" si="62"/>
        <v>0</v>
      </c>
      <c r="AU15" s="540">
        <f ca="1">IFERROR(__xludf.DUMMYFUNCTION("IMPORTRANGE(""https://docs.google.com/spreadsheets/d/1KS0zmDSZPk8KnTAbGN-Xk6MtX1YRZD0ldgdt20K4CRk/edit?usp=sharing"",""เชียงราย!I752"")"),100)</f>
        <v>100</v>
      </c>
      <c r="AV15" s="540">
        <f ca="1">IFERROR(__xludf.DUMMYFUNCTION("IMPORTRANGE(""https://docs.google.com/spreadsheets/d/1KS0zmDSZPk8KnTAbGN-Xk6MtX1YRZD0ldgdt20K4CRk/edit?usp=sharing"",""เชียงราย!J752"")"),0)</f>
        <v>0</v>
      </c>
      <c r="AW15" s="375">
        <f t="shared" ca="1" si="64"/>
        <v>0</v>
      </c>
      <c r="AX15" s="540">
        <f ca="1">IFERROR(__xludf.DUMMYFUNCTION("IMPORTRANGE(""https://docs.google.com/spreadsheets/d/1KS0zmDSZPk8KnTAbGN-Xk6MtX1YRZD0ldgdt20K4CRk/edit?usp=sharing"",""เชียงราย!J753"")"),0)</f>
        <v>0</v>
      </c>
      <c r="AY15" s="540">
        <f ca="1">IFERROR(__xludf.DUMMYFUNCTION("IMPORTRANGE(""https://docs.google.com/spreadsheets/d/1KS0zmDSZPk8KnTAbGN-Xk6MtX1YRZD0ldgdt20K4CRk/edit?usp=sharing"",""เชียงราย!I755"")"),25)</f>
        <v>25</v>
      </c>
      <c r="AZ15" s="540">
        <f ca="1">IFERROR(__xludf.DUMMYFUNCTION("IMPORTRANGE(""https://docs.google.com/spreadsheets/d/1KS0zmDSZPk8KnTAbGN-Xk6MtX1YRZD0ldgdt20K4CRk/edit?usp=sharing"",""เชียงราย!J755"")"),0)</f>
        <v>0</v>
      </c>
      <c r="BA15" s="375">
        <f t="shared" ca="1" si="66"/>
        <v>0</v>
      </c>
      <c r="BB15" s="540">
        <f ca="1">IFERROR(__xludf.DUMMYFUNCTION("IMPORTRANGE(""https://docs.google.com/spreadsheets/d/1KS0zmDSZPk8KnTAbGN-Xk6MtX1YRZD0ldgdt20K4CRk/edit?usp=sharing"",""เชียงราย!J756"")"),0)</f>
        <v>0</v>
      </c>
    </row>
    <row r="16" spans="1:54" ht="23.25" customHeight="1" x14ac:dyDescent="0.3">
      <c r="A16" s="535">
        <v>3</v>
      </c>
      <c r="B16" s="536" t="s">
        <v>42</v>
      </c>
      <c r="C16" s="537">
        <f t="shared" si="39"/>
        <v>0</v>
      </c>
      <c r="D16" s="538">
        <f t="shared" si="67"/>
        <v>0</v>
      </c>
      <c r="E16" s="539">
        <v>0</v>
      </c>
      <c r="F16" s="539">
        <v>0</v>
      </c>
      <c r="G16" s="539">
        <v>0</v>
      </c>
      <c r="H16" s="539">
        <v>0</v>
      </c>
      <c r="I16" s="539">
        <v>0</v>
      </c>
      <c r="J16" s="545">
        <f t="shared" si="41"/>
        <v>0</v>
      </c>
      <c r="K16" s="546">
        <f t="shared" si="42"/>
        <v>0</v>
      </c>
      <c r="L16" s="539">
        <v>0</v>
      </c>
      <c r="M16" s="542">
        <f t="shared" si="43"/>
        <v>0</v>
      </c>
      <c r="N16" s="542">
        <f t="shared" si="44"/>
        <v>0</v>
      </c>
      <c r="O16" s="539">
        <v>0</v>
      </c>
      <c r="P16" s="543">
        <f t="shared" si="45"/>
        <v>0</v>
      </c>
      <c r="Q16" s="542">
        <f t="shared" si="46"/>
        <v>0</v>
      </c>
      <c r="R16" s="542">
        <f ca="1">IFERROR(__xludf.DUMMYFUNCTION("IMPORTRANGE(""https://docs.google.com/spreadsheets/d/1rEDxBtusbi64tE0zunoIbsTVV16HeL0oJ6trHQeQ7K8/edit?usp=sharing"",""เชียงใหม่!Q728"")"),1008470)</f>
        <v>1008470</v>
      </c>
      <c r="S16" s="542">
        <f ca="1">IFERROR(__xludf.DUMMYFUNCTION("IMPORTRANGE(""https://docs.google.com/spreadsheets/d/1rEDxBtusbi64tE0zunoIbsTVV16HeL0oJ6trHQeQ7K8/edit?usp=sharing"",""เชียงใหม่!R728"")"),0)</f>
        <v>0</v>
      </c>
      <c r="T16" s="542">
        <f ca="1">IFERROR(__xludf.DUMMYFUNCTION("IMPORTRANGE(""https://docs.google.com/spreadsheets/d/1rEDxBtusbi64tE0zunoIbsTVV16HeL0oJ6trHQeQ7K8/edit?usp=sharing"",""เชียงใหม่!S728"")"),1800)</f>
        <v>1800</v>
      </c>
      <c r="U16" s="542">
        <f t="shared" ca="1" si="48"/>
        <v>0.17848820490445924</v>
      </c>
      <c r="V16" s="542">
        <f t="shared" ca="1" si="49"/>
        <v>0</v>
      </c>
      <c r="W16" s="544">
        <f ca="1">IFERROR(__xludf.DUMMYFUNCTION("IMPORTRANGE(""https://docs.google.com/spreadsheets/d/1rEDxBtusbi64tE0zunoIbsTVV16HeL0oJ6trHQeQ7K8/edit?usp=sharing"",""เชียงใหม่!I726"")"),128)</f>
        <v>128</v>
      </c>
      <c r="X16" s="540">
        <f ca="1">IFERROR(__xludf.DUMMYFUNCTION("IMPORTRANGE(""https://docs.google.com/spreadsheets/d/1rEDxBtusbi64tE0zunoIbsTVV16HeL0oJ6trHQeQ7K8/edit?usp=sharing"",""เชียงใหม่!I727"")"),1250)</f>
        <v>1250</v>
      </c>
      <c r="Y16" s="540">
        <f ca="1">IFERROR(__xludf.DUMMYFUNCTION("IMPORTRANGE(""https://docs.google.com/spreadsheets/d/1rEDxBtusbi64tE0zunoIbsTVV16HeL0oJ6trHQeQ7K8/edit?usp=sharing"",""เชียงใหม่!J726"")"),0)</f>
        <v>0</v>
      </c>
      <c r="Z16" s="375">
        <f t="shared" ca="1" si="51"/>
        <v>0</v>
      </c>
      <c r="AA16" s="540">
        <f ca="1">IFERROR(__xludf.DUMMYFUNCTION("IMPORTRANGE(""https://docs.google.com/spreadsheets/d/1rEDxBtusbi64tE0zunoIbsTVV16HeL0oJ6trHQeQ7K8/edit?usp=sharing"",""เชียงใหม่!J727"")"),0)</f>
        <v>0</v>
      </c>
      <c r="AB16" s="375">
        <f t="shared" ca="1" si="52"/>
        <v>0</v>
      </c>
      <c r="AC16" s="540">
        <f ca="1">IFERROR(__xludf.DUMMYFUNCTION("IMPORTRANGE(""https://docs.google.com/spreadsheets/d/1rEDxBtusbi64tE0zunoIbsTVV16HeL0oJ6trHQeQ7K8/edit?usp=sharing"",""เชียงใหม่!I740"")"),1000)</f>
        <v>1000</v>
      </c>
      <c r="AD16" s="540">
        <f ca="1">IFERROR(__xludf.DUMMYFUNCTION("IMPORTRANGE(""https://docs.google.com/spreadsheets/d/1rEDxBtusbi64tE0zunoIbsTVV16HeL0oJ6trHQeQ7K8/edit?usp=sharing"",""เชียงใหม่!J740"")"),0)</f>
        <v>0</v>
      </c>
      <c r="AE16" s="375">
        <f t="shared" ca="1" si="54"/>
        <v>0</v>
      </c>
      <c r="AF16" s="540">
        <f ca="1">IFERROR(__xludf.DUMMYFUNCTION("IMPORTRANGE(""https://docs.google.com/spreadsheets/d/1rEDxBtusbi64tE0zunoIbsTVV16HeL0oJ6trHQeQ7K8/edit?usp=sharing"",""เชียงใหม่!J741"")"),0)</f>
        <v>0</v>
      </c>
      <c r="AG16" s="540">
        <f ca="1">IFERROR(__xludf.DUMMYFUNCTION("IMPORTRANGE(""https://docs.google.com/spreadsheets/d/1rEDxBtusbi64tE0zunoIbsTVV16HeL0oJ6trHQeQ7K8/edit?usp=sharing"",""เชียงใหม่!I742"")"),100)</f>
        <v>100</v>
      </c>
      <c r="AH16" s="540">
        <f ca="1">IFERROR(__xludf.DUMMYFUNCTION("IMPORTRANGE(""https://docs.google.com/spreadsheets/d/1rEDxBtusbi64tE0zunoIbsTVV16HeL0oJ6trHQeQ7K8/edit?usp=sharing"",""เชียงใหม่!J742"")"),0)</f>
        <v>0</v>
      </c>
      <c r="AI16" s="375">
        <f t="shared" ca="1" si="56"/>
        <v>0</v>
      </c>
      <c r="AJ16" s="540">
        <f ca="1">IFERROR(__xludf.DUMMYFUNCTION("IMPORTRANGE(""https://docs.google.com/spreadsheets/d/1rEDxBtusbi64tE0zunoIbsTVV16HeL0oJ6trHQeQ7K8/edit?usp=sharing"",""เชียงใหม่!I744"")"),250)</f>
        <v>250</v>
      </c>
      <c r="AK16" s="540">
        <f ca="1">IFERROR(__xludf.DUMMYFUNCTION("IMPORTRANGE(""https://docs.google.com/spreadsheets/d/1rEDxBtusbi64tE0zunoIbsTVV16HeL0oJ6trHQeQ7K8/edit?usp=sharing"",""เชียงใหม่!J744"")"),0)</f>
        <v>0</v>
      </c>
      <c r="AL16" s="375">
        <f t="shared" ca="1" si="58"/>
        <v>0</v>
      </c>
      <c r="AM16" s="540">
        <f ca="1">IFERROR(__xludf.DUMMYFUNCTION("IMPORTRANGE(""https://docs.google.com/spreadsheets/d/1rEDxBtusbi64tE0zunoIbsTVV16HeL0oJ6trHQeQ7K8/edit?usp=sharing"",""เชียงใหม่!J745"")"),0)</f>
        <v>0</v>
      </c>
      <c r="AN16" s="540">
        <f ca="1">IFERROR(__xludf.DUMMYFUNCTION("IMPORTRANGE(""https://docs.google.com/spreadsheets/d/1rEDxBtusbi64tE0zunoIbsTVV16HeL0oJ6trHQeQ7K8/edit?usp=sharing"",""เชียงใหม่!I746"")"),25)</f>
        <v>25</v>
      </c>
      <c r="AO16" s="540">
        <f ca="1">IFERROR(__xludf.DUMMYFUNCTION("IMPORTRANGE(""https://docs.google.com/spreadsheets/d/1rEDxBtusbi64tE0zunoIbsTVV16HeL0oJ6trHQeQ7K8/edit?usp=sharing"",""เชียงใหม่!J746"")"),0)</f>
        <v>0</v>
      </c>
      <c r="AP16" s="375">
        <f t="shared" ca="1" si="60"/>
        <v>0</v>
      </c>
      <c r="AQ16" s="540">
        <f ca="1">IFERROR(__xludf.DUMMYFUNCTION("IMPORTRANGE(""https://docs.google.com/spreadsheets/d/1rEDxBtusbi64tE0zunoIbsTVV16HeL0oJ6trHQeQ7K8/edit?usp=sharing"",""เชียงใหม่!J748"")"),0)</f>
        <v>0</v>
      </c>
      <c r="AR16" s="540">
        <f ca="1">IFERROR(__xludf.DUMMYFUNCTION("IMPORTRANGE(""https://docs.google.com/spreadsheets/d/1rEDxBtusbi64tE0zunoIbsTVV16HeL0oJ6trHQeQ7K8/edit?usp=sharing"",""เชียงใหม่!I749"")"),3)</f>
        <v>3</v>
      </c>
      <c r="AS16" s="540">
        <f ca="1">IFERROR(__xludf.DUMMYFUNCTION("IMPORTRANGE(""https://docs.google.com/spreadsheets/d/1rEDxBtusbi64tE0zunoIbsTVV16HeL0oJ6trHQeQ7K8/edit?usp=sharing"",""เชียงใหม่!J749"")"),0)</f>
        <v>0</v>
      </c>
      <c r="AT16" s="375">
        <f t="shared" ca="1" si="62"/>
        <v>0</v>
      </c>
      <c r="AU16" s="540">
        <f ca="1">IFERROR(__xludf.DUMMYFUNCTION("IMPORTRANGE(""https://docs.google.com/spreadsheets/d/1rEDxBtusbi64tE0zunoIbsTVV16HeL0oJ6trHQeQ7K8/edit?usp=sharing"",""เชียงใหม่!I752"")"),100)</f>
        <v>100</v>
      </c>
      <c r="AV16" s="540">
        <f ca="1">IFERROR(__xludf.DUMMYFUNCTION("IMPORTRANGE(""https://docs.google.com/spreadsheets/d/1rEDxBtusbi64tE0zunoIbsTVV16HeL0oJ6trHQeQ7K8/edit?usp=sharing"",""เชียงใหม่!J752"")"),0)</f>
        <v>0</v>
      </c>
      <c r="AW16" s="375">
        <f t="shared" ca="1" si="64"/>
        <v>0</v>
      </c>
      <c r="AX16" s="540">
        <f ca="1">IFERROR(__xludf.DUMMYFUNCTION("IMPORTRANGE(""https://docs.google.com/spreadsheets/d/1rEDxBtusbi64tE0zunoIbsTVV16HeL0oJ6trHQeQ7K8/edit?usp=sharing"",""เชียงใหม่!J753"")"),0)</f>
        <v>0</v>
      </c>
      <c r="AY16" s="540">
        <f ca="1">IFERROR(__xludf.DUMMYFUNCTION("IMPORTRANGE(""https://docs.google.com/spreadsheets/d/1rEDxBtusbi64tE0zunoIbsTVV16HeL0oJ6trHQeQ7K8/edit?usp=sharing"",""เชียงใหม่!I755"")"),25)</f>
        <v>25</v>
      </c>
      <c r="AZ16" s="540">
        <f ca="1">IFERROR(__xludf.DUMMYFUNCTION("IMPORTRANGE(""https://docs.google.com/spreadsheets/d/1rEDxBtusbi64tE0zunoIbsTVV16HeL0oJ6trHQeQ7K8/edit?usp=sharing"",""เชียงใหม่!J755"")"),0)</f>
        <v>0</v>
      </c>
      <c r="BA16" s="375">
        <f t="shared" ca="1" si="66"/>
        <v>0</v>
      </c>
      <c r="BB16" s="540">
        <f ca="1">IFERROR(__xludf.DUMMYFUNCTION("IMPORTRANGE(""https://docs.google.com/spreadsheets/d/1rEDxBtusbi64tE0zunoIbsTVV16HeL0oJ6trHQeQ7K8/edit?usp=sharing"",""เชียงใหม่!J756"")"),0)</f>
        <v>0</v>
      </c>
    </row>
    <row r="17" spans="1:54" ht="23.25" customHeight="1" x14ac:dyDescent="0.3">
      <c r="A17" s="535">
        <v>4</v>
      </c>
      <c r="B17" s="536" t="s">
        <v>43</v>
      </c>
      <c r="C17" s="537">
        <f t="shared" si="39"/>
        <v>0</v>
      </c>
      <c r="D17" s="538">
        <f t="shared" si="67"/>
        <v>0</v>
      </c>
      <c r="E17" s="539">
        <v>0</v>
      </c>
      <c r="F17" s="539">
        <v>0</v>
      </c>
      <c r="G17" s="539">
        <v>0</v>
      </c>
      <c r="H17" s="539">
        <v>0</v>
      </c>
      <c r="I17" s="539">
        <v>0</v>
      </c>
      <c r="J17" s="545">
        <f t="shared" si="41"/>
        <v>0</v>
      </c>
      <c r="K17" s="546">
        <f t="shared" si="42"/>
        <v>0</v>
      </c>
      <c r="L17" s="539">
        <v>0</v>
      </c>
      <c r="M17" s="542">
        <f t="shared" si="43"/>
        <v>0</v>
      </c>
      <c r="N17" s="542">
        <f t="shared" si="44"/>
        <v>0</v>
      </c>
      <c r="O17" s="539">
        <v>0</v>
      </c>
      <c r="P17" s="543">
        <f t="shared" si="45"/>
        <v>0</v>
      </c>
      <c r="Q17" s="542">
        <f t="shared" si="46"/>
        <v>0</v>
      </c>
      <c r="R17" s="542">
        <f ca="1">IFERROR(__xludf.DUMMYFUNCTION("IMPORTRANGE(""https://docs.google.com/spreadsheets/d/1W6MnUbDkMi6xHnHko_XkFDO9kkuL6Wqyc-6OCDFjW9I/edit?usp=sharing"",""ตาก!Q728"")"),242546)</f>
        <v>242546</v>
      </c>
      <c r="S17" s="542">
        <f ca="1">IFERROR(__xludf.DUMMYFUNCTION("IMPORTRANGE(""https://docs.google.com/spreadsheets/d/1W6MnUbDkMi6xHnHko_XkFDO9kkuL6Wqyc-6OCDFjW9I/edit?usp=sharing"",""ตาก!R728"")"),0)</f>
        <v>0</v>
      </c>
      <c r="T17" s="542">
        <f ca="1">IFERROR(__xludf.DUMMYFUNCTION("IMPORTRANGE(""https://docs.google.com/spreadsheets/d/1W6MnUbDkMi6xHnHko_XkFDO9kkuL6Wqyc-6OCDFjW9I/edit?usp=sharing"",""ตาก!S728"")"),0)</f>
        <v>0</v>
      </c>
      <c r="U17" s="542">
        <f t="shared" ca="1" si="48"/>
        <v>0</v>
      </c>
      <c r="V17" s="542">
        <f t="shared" ca="1" si="49"/>
        <v>0</v>
      </c>
      <c r="W17" s="544">
        <f ca="1">IFERROR(__xludf.DUMMYFUNCTION("IMPORTRANGE(""https://docs.google.com/spreadsheets/d/1W6MnUbDkMi6xHnHko_XkFDO9kkuL6Wqyc-6OCDFjW9I/edit?usp=sharing"",""ตาก!I726"")"),31)</f>
        <v>31</v>
      </c>
      <c r="X17" s="540">
        <f ca="1">IFERROR(__xludf.DUMMYFUNCTION("IMPORTRANGE(""https://docs.google.com/spreadsheets/d/1W6MnUbDkMi6xHnHko_XkFDO9kkuL6Wqyc-6OCDFjW9I/edit?usp=sharing"",""ตาก!I727"")"),300)</f>
        <v>300</v>
      </c>
      <c r="Y17" s="540">
        <f ca="1">IFERROR(__xludf.DUMMYFUNCTION("IMPORTRANGE(""https://docs.google.com/spreadsheets/d/1W6MnUbDkMi6xHnHko_XkFDO9kkuL6Wqyc-6OCDFjW9I/edit?usp=sharing"",""ตาก!J726"")"),0)</f>
        <v>0</v>
      </c>
      <c r="Z17" s="375">
        <f t="shared" ca="1" si="51"/>
        <v>0</v>
      </c>
      <c r="AA17" s="540">
        <f ca="1">IFERROR(__xludf.DUMMYFUNCTION("IMPORTRANGE(""https://docs.google.com/spreadsheets/d/1W6MnUbDkMi6xHnHko_XkFDO9kkuL6Wqyc-6OCDFjW9I/edit?usp=sharing"",""ตาก!J727"")"),0)</f>
        <v>0</v>
      </c>
      <c r="AB17" s="375">
        <f t="shared" ca="1" si="52"/>
        <v>0</v>
      </c>
      <c r="AC17" s="540">
        <f ca="1">IFERROR(__xludf.DUMMYFUNCTION("IMPORTRANGE(""https://docs.google.com/spreadsheets/d/1W6MnUbDkMi6xHnHko_XkFDO9kkuL6Wqyc-6OCDFjW9I/edit?usp=sharing"",""ตาก!I740"")"),240)</f>
        <v>240</v>
      </c>
      <c r="AD17" s="540">
        <f ca="1">IFERROR(__xludf.DUMMYFUNCTION("IMPORTRANGE(""https://docs.google.com/spreadsheets/d/1W6MnUbDkMi6xHnHko_XkFDO9kkuL6Wqyc-6OCDFjW9I/edit?usp=sharing"",""ตาก!J740"")"),0)</f>
        <v>0</v>
      </c>
      <c r="AE17" s="375">
        <f t="shared" ca="1" si="54"/>
        <v>0</v>
      </c>
      <c r="AF17" s="540">
        <f ca="1">IFERROR(__xludf.DUMMYFUNCTION("IMPORTRANGE(""https://docs.google.com/spreadsheets/d/1W6MnUbDkMi6xHnHko_XkFDO9kkuL6Wqyc-6OCDFjW9I/edit?usp=sharing"",""ตาก!J741"")"),0)</f>
        <v>0</v>
      </c>
      <c r="AG17" s="540">
        <f ca="1">IFERROR(__xludf.DUMMYFUNCTION("IMPORTRANGE(""https://docs.google.com/spreadsheets/d/1W6MnUbDkMi6xHnHko_XkFDO9kkuL6Wqyc-6OCDFjW9I/edit?usp=sharing"",""ตาก!I742"")"),24)</f>
        <v>24</v>
      </c>
      <c r="AH17" s="540">
        <f ca="1">IFERROR(__xludf.DUMMYFUNCTION("IMPORTRANGE(""https://docs.google.com/spreadsheets/d/1W6MnUbDkMi6xHnHko_XkFDO9kkuL6Wqyc-6OCDFjW9I/edit?usp=sharing"",""ตาก!J742"")"),0)</f>
        <v>0</v>
      </c>
      <c r="AI17" s="375">
        <f t="shared" ca="1" si="56"/>
        <v>0</v>
      </c>
      <c r="AJ17" s="540">
        <f ca="1">IFERROR(__xludf.DUMMYFUNCTION("IMPORTRANGE(""https://docs.google.com/spreadsheets/d/1W6MnUbDkMi6xHnHko_XkFDO9kkuL6Wqyc-6OCDFjW9I/edit?usp=sharing"",""ตาก!I744"")"),60)</f>
        <v>60</v>
      </c>
      <c r="AK17" s="540">
        <f ca="1">IFERROR(__xludf.DUMMYFUNCTION("IMPORTRANGE(""https://docs.google.com/spreadsheets/d/1W6MnUbDkMi6xHnHko_XkFDO9kkuL6Wqyc-6OCDFjW9I/edit?usp=sharing"",""ตาก!J744"")"),0)</f>
        <v>0</v>
      </c>
      <c r="AL17" s="375">
        <f t="shared" ca="1" si="58"/>
        <v>0</v>
      </c>
      <c r="AM17" s="540">
        <f ca="1">IFERROR(__xludf.DUMMYFUNCTION("IMPORTRANGE(""https://docs.google.com/spreadsheets/d/1W6MnUbDkMi6xHnHko_XkFDO9kkuL6Wqyc-6OCDFjW9I/edit?usp=sharing"",""ตาก!J745"")"),0)</f>
        <v>0</v>
      </c>
      <c r="AN17" s="540">
        <f ca="1">IFERROR(__xludf.DUMMYFUNCTION("IMPORTRANGE(""https://docs.google.com/spreadsheets/d/1W6MnUbDkMi6xHnHko_XkFDO9kkuL6Wqyc-6OCDFjW9I/edit?usp=sharing"",""ตาก!I746"")"),6)</f>
        <v>6</v>
      </c>
      <c r="AO17" s="540">
        <f ca="1">IFERROR(__xludf.DUMMYFUNCTION("IMPORTRANGE(""https://docs.google.com/spreadsheets/d/1W6MnUbDkMi6xHnHko_XkFDO9kkuL6Wqyc-6OCDFjW9I/edit?usp=sharing"",""ตาก!J746"")"),0)</f>
        <v>0</v>
      </c>
      <c r="AP17" s="375">
        <f t="shared" ca="1" si="60"/>
        <v>0</v>
      </c>
      <c r="AQ17" s="540">
        <f ca="1">IFERROR(__xludf.DUMMYFUNCTION("IMPORTRANGE(""https://docs.google.com/spreadsheets/d/1W6MnUbDkMi6xHnHko_XkFDO9kkuL6Wqyc-6OCDFjW9I/edit?usp=sharing"",""ตาก!J748"")"),0)</f>
        <v>0</v>
      </c>
      <c r="AR17" s="540">
        <f ca="1">IFERROR(__xludf.DUMMYFUNCTION("IMPORTRANGE(""https://docs.google.com/spreadsheets/d/1W6MnUbDkMi6xHnHko_XkFDO9kkuL6Wqyc-6OCDFjW9I/edit?usp=sharing"",""ตาก!I749"")"),1)</f>
        <v>1</v>
      </c>
      <c r="AS17" s="540">
        <f ca="1">IFERROR(__xludf.DUMMYFUNCTION("IMPORTRANGE(""https://docs.google.com/spreadsheets/d/1W6MnUbDkMi6xHnHko_XkFDO9kkuL6Wqyc-6OCDFjW9I/edit?usp=sharing"",""ตาก!J749"")"),0)</f>
        <v>0</v>
      </c>
      <c r="AT17" s="375">
        <f t="shared" ca="1" si="62"/>
        <v>0</v>
      </c>
      <c r="AU17" s="540">
        <f ca="1">IFERROR(__xludf.DUMMYFUNCTION("IMPORTRANGE(""https://docs.google.com/spreadsheets/d/1W6MnUbDkMi6xHnHko_XkFDO9kkuL6Wqyc-6OCDFjW9I/edit?usp=sharing"",""ตาก!I752"")"),24)</f>
        <v>24</v>
      </c>
      <c r="AV17" s="540">
        <f ca="1">IFERROR(__xludf.DUMMYFUNCTION("IMPORTRANGE(""https://docs.google.com/spreadsheets/d/1W6MnUbDkMi6xHnHko_XkFDO9kkuL6Wqyc-6OCDFjW9I/edit?usp=sharing"",""ตาก!J752"")"),0)</f>
        <v>0</v>
      </c>
      <c r="AW17" s="375">
        <f t="shared" ca="1" si="64"/>
        <v>0</v>
      </c>
      <c r="AX17" s="540">
        <f ca="1">IFERROR(__xludf.DUMMYFUNCTION("IMPORTRANGE(""https://docs.google.com/spreadsheets/d/1W6MnUbDkMi6xHnHko_XkFDO9kkuL6Wqyc-6OCDFjW9I/edit?usp=sharing"",""ตาก!J753"")"),0)</f>
        <v>0</v>
      </c>
      <c r="AY17" s="540">
        <f ca="1">IFERROR(__xludf.DUMMYFUNCTION("IMPORTRANGE(""https://docs.google.com/spreadsheets/d/1W6MnUbDkMi6xHnHko_XkFDO9kkuL6Wqyc-6OCDFjW9I/edit?usp=sharing"",""ตาก!I755"")"),6)</f>
        <v>6</v>
      </c>
      <c r="AZ17" s="540">
        <f ca="1">IFERROR(__xludf.DUMMYFUNCTION("IMPORTRANGE(""https://docs.google.com/spreadsheets/d/1W6MnUbDkMi6xHnHko_XkFDO9kkuL6Wqyc-6OCDFjW9I/edit?usp=sharing"",""ตาก!J755"")"),0)</f>
        <v>0</v>
      </c>
      <c r="BA17" s="375">
        <f t="shared" ca="1" si="66"/>
        <v>0</v>
      </c>
      <c r="BB17" s="540">
        <f ca="1">IFERROR(__xludf.DUMMYFUNCTION("IMPORTRANGE(""https://docs.google.com/spreadsheets/d/1W6MnUbDkMi6xHnHko_XkFDO9kkuL6Wqyc-6OCDFjW9I/edit?usp=sharing"",""ตาก!J756"")"),0)</f>
        <v>0</v>
      </c>
    </row>
    <row r="18" spans="1:54" ht="23.25" customHeight="1" x14ac:dyDescent="0.3">
      <c r="A18" s="535">
        <v>5</v>
      </c>
      <c r="B18" s="536" t="s">
        <v>44</v>
      </c>
      <c r="C18" s="537">
        <f t="shared" si="39"/>
        <v>0</v>
      </c>
      <c r="D18" s="538">
        <f t="shared" si="67"/>
        <v>0</v>
      </c>
      <c r="E18" s="539">
        <v>0</v>
      </c>
      <c r="F18" s="539">
        <v>0</v>
      </c>
      <c r="G18" s="539">
        <v>0</v>
      </c>
      <c r="H18" s="539">
        <v>0</v>
      </c>
      <c r="I18" s="539">
        <v>0</v>
      </c>
      <c r="J18" s="545">
        <f t="shared" si="41"/>
        <v>0</v>
      </c>
      <c r="K18" s="546">
        <f t="shared" si="42"/>
        <v>0</v>
      </c>
      <c r="L18" s="539">
        <v>0</v>
      </c>
      <c r="M18" s="542">
        <f t="shared" si="43"/>
        <v>0</v>
      </c>
      <c r="N18" s="542">
        <f t="shared" si="44"/>
        <v>0</v>
      </c>
      <c r="O18" s="539">
        <v>0</v>
      </c>
      <c r="P18" s="543">
        <f t="shared" si="45"/>
        <v>0</v>
      </c>
      <c r="Q18" s="542">
        <f t="shared" si="46"/>
        <v>0</v>
      </c>
      <c r="R18" s="542">
        <f ca="1">IFERROR(__xludf.DUMMYFUNCTION("IMPORTRANGE(""https://docs.google.com/spreadsheets/d/1IQAWArduLkta9LpYo4a_ULsyqdta6-6aDDiwpUnQT6c/edit?usp=sharing"",""นครสวรรค์!Q728"")"),1008470)</f>
        <v>1008470</v>
      </c>
      <c r="S18" s="542">
        <f ca="1">IFERROR(__xludf.DUMMYFUNCTION("IMPORTRANGE(""https://docs.google.com/spreadsheets/d/1IQAWArduLkta9LpYo4a_ULsyqdta6-6aDDiwpUnQT6c/edit?usp=sharing"",""นครสวรรค์!R728"")"),0)</f>
        <v>0</v>
      </c>
      <c r="T18" s="542">
        <f ca="1">IFERROR(__xludf.DUMMYFUNCTION("IMPORTRANGE(""https://docs.google.com/spreadsheets/d/1IQAWArduLkta9LpYo4a_ULsyqdta6-6aDDiwpUnQT6c/edit?usp=sharing"",""นครสวรรค์!S728"")"),0)</f>
        <v>0</v>
      </c>
      <c r="U18" s="542">
        <f t="shared" ca="1" si="48"/>
        <v>0</v>
      </c>
      <c r="V18" s="542">
        <f t="shared" ca="1" si="49"/>
        <v>0</v>
      </c>
      <c r="W18" s="544">
        <f ca="1">IFERROR(__xludf.DUMMYFUNCTION("IMPORTRANGE(""https://docs.google.com/spreadsheets/d/1IQAWArduLkta9LpYo4a_ULsyqdta6-6aDDiwpUnQT6c/edit?usp=sharing"",""นครสวรรค์!I726"")"),128)</f>
        <v>128</v>
      </c>
      <c r="X18" s="540">
        <f ca="1">IFERROR(__xludf.DUMMYFUNCTION("IMPORTRANGE(""https://docs.google.com/spreadsheets/d/1IQAWArduLkta9LpYo4a_ULsyqdta6-6aDDiwpUnQT6c/edit?usp=sharing"",""นครสวรรค์!I727"")"),1250)</f>
        <v>1250</v>
      </c>
      <c r="Y18" s="540">
        <f ca="1">IFERROR(__xludf.DUMMYFUNCTION("IMPORTRANGE(""https://docs.google.com/spreadsheets/d/1IQAWArduLkta9LpYo4a_ULsyqdta6-6aDDiwpUnQT6c/edit?usp=sharing"",""นครสวรรค์!J726"")"),0)</f>
        <v>0</v>
      </c>
      <c r="Z18" s="375">
        <f t="shared" ca="1" si="51"/>
        <v>0</v>
      </c>
      <c r="AA18" s="540">
        <f ca="1">IFERROR(__xludf.DUMMYFUNCTION("IMPORTRANGE(""https://docs.google.com/spreadsheets/d/1IQAWArduLkta9LpYo4a_ULsyqdta6-6aDDiwpUnQT6c/edit?usp=sharing"",""นครสวรรค์!J727"")"),0)</f>
        <v>0</v>
      </c>
      <c r="AB18" s="375">
        <f t="shared" ca="1" si="52"/>
        <v>0</v>
      </c>
      <c r="AC18" s="540">
        <f ca="1">IFERROR(__xludf.DUMMYFUNCTION("IMPORTRANGE(""https://docs.google.com/spreadsheets/d/1IQAWArduLkta9LpYo4a_ULsyqdta6-6aDDiwpUnQT6c/edit?usp=sharing"",""นครสวรรค์!I740"")"),1000)</f>
        <v>1000</v>
      </c>
      <c r="AD18" s="540">
        <f ca="1">IFERROR(__xludf.DUMMYFUNCTION("IMPORTRANGE(""https://docs.google.com/spreadsheets/d/1IQAWArduLkta9LpYo4a_ULsyqdta6-6aDDiwpUnQT6c/edit?usp=sharing"",""นครสวรรค์!J740"")"),0)</f>
        <v>0</v>
      </c>
      <c r="AE18" s="375">
        <f t="shared" ca="1" si="54"/>
        <v>0</v>
      </c>
      <c r="AF18" s="540">
        <f ca="1">IFERROR(__xludf.DUMMYFUNCTION("IMPORTRANGE(""https://docs.google.com/spreadsheets/d/1IQAWArduLkta9LpYo4a_ULsyqdta6-6aDDiwpUnQT6c/edit?usp=sharing"",""นครสวรรค์!J741"")"),0)</f>
        <v>0</v>
      </c>
      <c r="AG18" s="540">
        <f ca="1">IFERROR(__xludf.DUMMYFUNCTION("IMPORTRANGE(""https://docs.google.com/spreadsheets/d/1IQAWArduLkta9LpYo4a_ULsyqdta6-6aDDiwpUnQT6c/edit?usp=sharing"",""นครสวรรค์!I742"")"),100)</f>
        <v>100</v>
      </c>
      <c r="AH18" s="540">
        <f ca="1">IFERROR(__xludf.DUMMYFUNCTION("IMPORTRANGE(""https://docs.google.com/spreadsheets/d/1IQAWArduLkta9LpYo4a_ULsyqdta6-6aDDiwpUnQT6c/edit?usp=sharing"",""นครสวรรค์!J742"")"),0)</f>
        <v>0</v>
      </c>
      <c r="AI18" s="375">
        <f t="shared" ca="1" si="56"/>
        <v>0</v>
      </c>
      <c r="AJ18" s="540">
        <f ca="1">IFERROR(__xludf.DUMMYFUNCTION("IMPORTRANGE(""https://docs.google.com/spreadsheets/d/1IQAWArduLkta9LpYo4a_ULsyqdta6-6aDDiwpUnQT6c/edit?usp=sharing"",""นครสวรรค์!I744"")"),250)</f>
        <v>250</v>
      </c>
      <c r="AK18" s="540">
        <f ca="1">IFERROR(__xludf.DUMMYFUNCTION("IMPORTRANGE(""https://docs.google.com/spreadsheets/d/1IQAWArduLkta9LpYo4a_ULsyqdta6-6aDDiwpUnQT6c/edit?usp=sharing"",""นครสวรรค์!J744"")"),0)</f>
        <v>0</v>
      </c>
      <c r="AL18" s="375">
        <f t="shared" ca="1" si="58"/>
        <v>0</v>
      </c>
      <c r="AM18" s="540">
        <f ca="1">IFERROR(__xludf.DUMMYFUNCTION("IMPORTRANGE(""https://docs.google.com/spreadsheets/d/1IQAWArduLkta9LpYo4a_ULsyqdta6-6aDDiwpUnQT6c/edit?usp=sharing"",""นครสวรรค์!J745"")"),0)</f>
        <v>0</v>
      </c>
      <c r="AN18" s="540">
        <f ca="1">IFERROR(__xludf.DUMMYFUNCTION("IMPORTRANGE(""https://docs.google.com/spreadsheets/d/1IQAWArduLkta9LpYo4a_ULsyqdta6-6aDDiwpUnQT6c/edit?usp=sharing"",""นครสวรรค์!I746"")"),25)</f>
        <v>25</v>
      </c>
      <c r="AO18" s="540">
        <f ca="1">IFERROR(__xludf.DUMMYFUNCTION("IMPORTRANGE(""https://docs.google.com/spreadsheets/d/1IQAWArduLkta9LpYo4a_ULsyqdta6-6aDDiwpUnQT6c/edit?usp=sharing"",""นครสวรรค์!J746"")"),0)</f>
        <v>0</v>
      </c>
      <c r="AP18" s="375">
        <f t="shared" ca="1" si="60"/>
        <v>0</v>
      </c>
      <c r="AQ18" s="540">
        <f ca="1">IFERROR(__xludf.DUMMYFUNCTION("IMPORTRANGE(""https://docs.google.com/spreadsheets/d/1IQAWArduLkta9LpYo4a_ULsyqdta6-6aDDiwpUnQT6c/edit?usp=sharing"",""นครสวรรค์!J748"")"),0)</f>
        <v>0</v>
      </c>
      <c r="AR18" s="540">
        <f ca="1">IFERROR(__xludf.DUMMYFUNCTION("IMPORTRANGE(""https://docs.google.com/spreadsheets/d/1IQAWArduLkta9LpYo4a_ULsyqdta6-6aDDiwpUnQT6c/edit?usp=sharing"",""นครสวรรค์!I749"")"),3)</f>
        <v>3</v>
      </c>
      <c r="AS18" s="540">
        <f ca="1">IFERROR(__xludf.DUMMYFUNCTION("IMPORTRANGE(""https://docs.google.com/spreadsheets/d/1IQAWArduLkta9LpYo4a_ULsyqdta6-6aDDiwpUnQT6c/edit?usp=sharing"",""นครสวรรค์!J749"")"),0)</f>
        <v>0</v>
      </c>
      <c r="AT18" s="375">
        <f t="shared" ca="1" si="62"/>
        <v>0</v>
      </c>
      <c r="AU18" s="540">
        <f ca="1">IFERROR(__xludf.DUMMYFUNCTION("IMPORTRANGE(""https://docs.google.com/spreadsheets/d/1IQAWArduLkta9LpYo4a_ULsyqdta6-6aDDiwpUnQT6c/edit?usp=sharing"",""นครสวรรค์!I752"")"),100)</f>
        <v>100</v>
      </c>
      <c r="AV18" s="540">
        <f ca="1">IFERROR(__xludf.DUMMYFUNCTION("IMPORTRANGE(""https://docs.google.com/spreadsheets/d/1IQAWArduLkta9LpYo4a_ULsyqdta6-6aDDiwpUnQT6c/edit?usp=sharing"",""นครสวรรค์!J752"")"),0)</f>
        <v>0</v>
      </c>
      <c r="AW18" s="375">
        <f t="shared" ca="1" si="64"/>
        <v>0</v>
      </c>
      <c r="AX18" s="540">
        <f ca="1">IFERROR(__xludf.DUMMYFUNCTION("IMPORTRANGE(""https://docs.google.com/spreadsheets/d/1IQAWArduLkta9LpYo4a_ULsyqdta6-6aDDiwpUnQT6c/edit?usp=sharing"",""นครสวรรค์!J753"")"),0)</f>
        <v>0</v>
      </c>
      <c r="AY18" s="540">
        <f ca="1">IFERROR(__xludf.DUMMYFUNCTION("IMPORTRANGE(""https://docs.google.com/spreadsheets/d/1IQAWArduLkta9LpYo4a_ULsyqdta6-6aDDiwpUnQT6c/edit?usp=sharing"",""นครสวรรค์!I755"")"),25)</f>
        <v>25</v>
      </c>
      <c r="AZ18" s="540">
        <f ca="1">IFERROR(__xludf.DUMMYFUNCTION("IMPORTRANGE(""https://docs.google.com/spreadsheets/d/1IQAWArduLkta9LpYo4a_ULsyqdta6-6aDDiwpUnQT6c/edit?usp=sharing"",""นครสวรรค์!J755"")"),0)</f>
        <v>0</v>
      </c>
      <c r="BA18" s="375">
        <f t="shared" ca="1" si="66"/>
        <v>0</v>
      </c>
      <c r="BB18" s="540">
        <f ca="1">IFERROR(__xludf.DUMMYFUNCTION("IMPORTRANGE(""https://docs.google.com/spreadsheets/d/1IQAWArduLkta9LpYo4a_ULsyqdta6-6aDDiwpUnQT6c/edit?usp=sharing"",""นครสวรรค์!J756"")"),0)</f>
        <v>0</v>
      </c>
    </row>
    <row r="19" spans="1:54" ht="23.25" customHeight="1" x14ac:dyDescent="0.3">
      <c r="A19" s="535">
        <v>6</v>
      </c>
      <c r="B19" s="536" t="s">
        <v>45</v>
      </c>
      <c r="C19" s="537">
        <f t="shared" si="39"/>
        <v>0</v>
      </c>
      <c r="D19" s="538">
        <f t="shared" si="67"/>
        <v>0</v>
      </c>
      <c r="E19" s="539">
        <v>0</v>
      </c>
      <c r="F19" s="539">
        <v>0</v>
      </c>
      <c r="G19" s="539">
        <v>0</v>
      </c>
      <c r="H19" s="539">
        <v>0</v>
      </c>
      <c r="I19" s="539">
        <v>0</v>
      </c>
      <c r="J19" s="545">
        <f t="shared" si="41"/>
        <v>0</v>
      </c>
      <c r="K19" s="546">
        <f t="shared" si="42"/>
        <v>0</v>
      </c>
      <c r="L19" s="539">
        <v>0</v>
      </c>
      <c r="M19" s="542">
        <f t="shared" si="43"/>
        <v>0</v>
      </c>
      <c r="N19" s="542">
        <f t="shared" si="44"/>
        <v>0</v>
      </c>
      <c r="O19" s="539">
        <v>0</v>
      </c>
      <c r="P19" s="543">
        <f t="shared" si="45"/>
        <v>0</v>
      </c>
      <c r="Q19" s="542">
        <f t="shared" si="46"/>
        <v>0</v>
      </c>
      <c r="R19" s="542">
        <f ca="1">IFERROR(__xludf.DUMMYFUNCTION("IMPORTRANGE(""https://docs.google.com/spreadsheets/d/10s13Sk5xrltsiR-Zkbmk5DwIaDIKO8XlbJAfqyT7Gvg/edit?usp=sharing"",""น่าน!Q728"")"),1008470)</f>
        <v>1008470</v>
      </c>
      <c r="S19" s="542">
        <f ca="1">IFERROR(__xludf.DUMMYFUNCTION("IMPORTRANGE(""https://docs.google.com/spreadsheets/d/10s13Sk5xrltsiR-Zkbmk5DwIaDIKO8XlbJAfqyT7Gvg/edit?usp=sharing"",""น่าน!R728"")"),0)</f>
        <v>0</v>
      </c>
      <c r="T19" s="542">
        <f ca="1">IFERROR(__xludf.DUMMYFUNCTION("IMPORTRANGE(""https://docs.google.com/spreadsheets/d/10s13Sk5xrltsiR-Zkbmk5DwIaDIKO8XlbJAfqyT7Gvg/edit?usp=sharing"",""น่าน!S728"")"),0)</f>
        <v>0</v>
      </c>
      <c r="U19" s="542">
        <f t="shared" ca="1" si="48"/>
        <v>0</v>
      </c>
      <c r="V19" s="542">
        <f t="shared" ca="1" si="49"/>
        <v>0</v>
      </c>
      <c r="W19" s="544">
        <f ca="1">IFERROR(__xludf.DUMMYFUNCTION("IMPORTRANGE(""https://docs.google.com/spreadsheets/d/10s13Sk5xrltsiR-Zkbmk5DwIaDIKO8XlbJAfqyT7Gvg/edit?usp=sharing"",""น่าน!I726"")"),128)</f>
        <v>128</v>
      </c>
      <c r="X19" s="540">
        <f ca="1">IFERROR(__xludf.DUMMYFUNCTION("IMPORTRANGE(""https://docs.google.com/spreadsheets/d/10s13Sk5xrltsiR-Zkbmk5DwIaDIKO8XlbJAfqyT7Gvg/edit?usp=sharing"",""น่าน!I727"")"),1250)</f>
        <v>1250</v>
      </c>
      <c r="Y19" s="540">
        <f ca="1">IFERROR(__xludf.DUMMYFUNCTION("IMPORTRANGE(""https://docs.google.com/spreadsheets/d/10s13Sk5xrltsiR-Zkbmk5DwIaDIKO8XlbJAfqyT7Gvg/edit?usp=sharing"",""น่าน!J726"")"),0)</f>
        <v>0</v>
      </c>
      <c r="Z19" s="375">
        <f t="shared" ca="1" si="51"/>
        <v>0</v>
      </c>
      <c r="AA19" s="540">
        <f ca="1">IFERROR(__xludf.DUMMYFUNCTION("IMPORTRANGE(""https://docs.google.com/spreadsheets/d/10s13Sk5xrltsiR-Zkbmk5DwIaDIKO8XlbJAfqyT7Gvg/edit?usp=sharing"",""น่าน!J727"")"),0)</f>
        <v>0</v>
      </c>
      <c r="AB19" s="375">
        <f t="shared" ca="1" si="52"/>
        <v>0</v>
      </c>
      <c r="AC19" s="540">
        <f ca="1">IFERROR(__xludf.DUMMYFUNCTION("IMPORTRANGE(""https://docs.google.com/spreadsheets/d/10s13Sk5xrltsiR-Zkbmk5DwIaDIKO8XlbJAfqyT7Gvg/edit?usp=sharing"",""น่าน!I740"")"),1000)</f>
        <v>1000</v>
      </c>
      <c r="AD19" s="540">
        <f ca="1">IFERROR(__xludf.DUMMYFUNCTION("IMPORTRANGE(""https://docs.google.com/spreadsheets/d/10s13Sk5xrltsiR-Zkbmk5DwIaDIKO8XlbJAfqyT7Gvg/edit?usp=sharing"",""น่าน!J740"")"),0)</f>
        <v>0</v>
      </c>
      <c r="AE19" s="375">
        <f t="shared" ca="1" si="54"/>
        <v>0</v>
      </c>
      <c r="AF19" s="540">
        <f ca="1">IFERROR(__xludf.DUMMYFUNCTION("IMPORTRANGE(""https://docs.google.com/spreadsheets/d/10s13Sk5xrltsiR-Zkbmk5DwIaDIKO8XlbJAfqyT7Gvg/edit?usp=sharing"",""น่าน!J741"")"),0)</f>
        <v>0</v>
      </c>
      <c r="AG19" s="540">
        <f ca="1">IFERROR(__xludf.DUMMYFUNCTION("IMPORTRANGE(""https://docs.google.com/spreadsheets/d/10s13Sk5xrltsiR-Zkbmk5DwIaDIKO8XlbJAfqyT7Gvg/edit?usp=sharing"",""น่าน!I742"")"),100)</f>
        <v>100</v>
      </c>
      <c r="AH19" s="540">
        <f ca="1">IFERROR(__xludf.DUMMYFUNCTION("IMPORTRANGE(""https://docs.google.com/spreadsheets/d/10s13Sk5xrltsiR-Zkbmk5DwIaDIKO8XlbJAfqyT7Gvg/edit?usp=sharing"",""น่าน!J742"")"),0)</f>
        <v>0</v>
      </c>
      <c r="AI19" s="375">
        <f t="shared" ca="1" si="56"/>
        <v>0</v>
      </c>
      <c r="AJ19" s="540">
        <f ca="1">IFERROR(__xludf.DUMMYFUNCTION("IMPORTRANGE(""https://docs.google.com/spreadsheets/d/10s13Sk5xrltsiR-Zkbmk5DwIaDIKO8XlbJAfqyT7Gvg/edit?usp=sharing"",""น่าน!I744"")"),250)</f>
        <v>250</v>
      </c>
      <c r="AK19" s="540">
        <f ca="1">IFERROR(__xludf.DUMMYFUNCTION("IMPORTRANGE(""https://docs.google.com/spreadsheets/d/10s13Sk5xrltsiR-Zkbmk5DwIaDIKO8XlbJAfqyT7Gvg/edit?usp=sharing"",""น่าน!J744"")"),0)</f>
        <v>0</v>
      </c>
      <c r="AL19" s="375">
        <f t="shared" ca="1" si="58"/>
        <v>0</v>
      </c>
      <c r="AM19" s="540">
        <f ca="1">IFERROR(__xludf.DUMMYFUNCTION("IMPORTRANGE(""https://docs.google.com/spreadsheets/d/10s13Sk5xrltsiR-Zkbmk5DwIaDIKO8XlbJAfqyT7Gvg/edit?usp=sharing"",""น่าน!J745"")"),0)</f>
        <v>0</v>
      </c>
      <c r="AN19" s="540">
        <f ca="1">IFERROR(__xludf.DUMMYFUNCTION("IMPORTRANGE(""https://docs.google.com/spreadsheets/d/10s13Sk5xrltsiR-Zkbmk5DwIaDIKO8XlbJAfqyT7Gvg/edit?usp=sharing"",""น่าน!I746"")"),25)</f>
        <v>25</v>
      </c>
      <c r="AO19" s="540">
        <f ca="1">IFERROR(__xludf.DUMMYFUNCTION("IMPORTRANGE(""https://docs.google.com/spreadsheets/d/10s13Sk5xrltsiR-Zkbmk5DwIaDIKO8XlbJAfqyT7Gvg/edit?usp=sharing"",""น่าน!J746"")"),0)</f>
        <v>0</v>
      </c>
      <c r="AP19" s="375">
        <f t="shared" ca="1" si="60"/>
        <v>0</v>
      </c>
      <c r="AQ19" s="540">
        <f ca="1">IFERROR(__xludf.DUMMYFUNCTION("IMPORTRANGE(""https://docs.google.com/spreadsheets/d/10s13Sk5xrltsiR-Zkbmk5DwIaDIKO8XlbJAfqyT7Gvg/edit?usp=sharing"",""น่าน!J748"")"),0)</f>
        <v>0</v>
      </c>
      <c r="AR19" s="540">
        <f ca="1">IFERROR(__xludf.DUMMYFUNCTION("IMPORTRANGE(""https://docs.google.com/spreadsheets/d/10s13Sk5xrltsiR-Zkbmk5DwIaDIKO8XlbJAfqyT7Gvg/edit?usp=sharing"",""น่าน!I749"")"),3)</f>
        <v>3</v>
      </c>
      <c r="AS19" s="540">
        <f ca="1">IFERROR(__xludf.DUMMYFUNCTION("IMPORTRANGE(""https://docs.google.com/spreadsheets/d/10s13Sk5xrltsiR-Zkbmk5DwIaDIKO8XlbJAfqyT7Gvg/edit?usp=sharing"",""น่าน!J749"")"),0)</f>
        <v>0</v>
      </c>
      <c r="AT19" s="375">
        <f t="shared" ca="1" si="62"/>
        <v>0</v>
      </c>
      <c r="AU19" s="540">
        <f ca="1">IFERROR(__xludf.DUMMYFUNCTION("IMPORTRANGE(""https://docs.google.com/spreadsheets/d/10s13Sk5xrltsiR-Zkbmk5DwIaDIKO8XlbJAfqyT7Gvg/edit?usp=sharing"",""น่าน!I752"")"),100)</f>
        <v>100</v>
      </c>
      <c r="AV19" s="540">
        <f ca="1">IFERROR(__xludf.DUMMYFUNCTION("IMPORTRANGE(""https://docs.google.com/spreadsheets/d/10s13Sk5xrltsiR-Zkbmk5DwIaDIKO8XlbJAfqyT7Gvg/edit?usp=sharing"",""น่าน!J752"")"),0)</f>
        <v>0</v>
      </c>
      <c r="AW19" s="375">
        <f t="shared" ca="1" si="64"/>
        <v>0</v>
      </c>
      <c r="AX19" s="540">
        <f ca="1">IFERROR(__xludf.DUMMYFUNCTION("IMPORTRANGE(""https://docs.google.com/spreadsheets/d/10s13Sk5xrltsiR-Zkbmk5DwIaDIKO8XlbJAfqyT7Gvg/edit?usp=sharing"",""น่าน!J753"")"),0)</f>
        <v>0</v>
      </c>
      <c r="AY19" s="540">
        <f ca="1">IFERROR(__xludf.DUMMYFUNCTION("IMPORTRANGE(""https://docs.google.com/spreadsheets/d/10s13Sk5xrltsiR-Zkbmk5DwIaDIKO8XlbJAfqyT7Gvg/edit?usp=sharing"",""น่าน!I755"")"),25)</f>
        <v>25</v>
      </c>
      <c r="AZ19" s="540">
        <f ca="1">IFERROR(__xludf.DUMMYFUNCTION("IMPORTRANGE(""https://docs.google.com/spreadsheets/d/10s13Sk5xrltsiR-Zkbmk5DwIaDIKO8XlbJAfqyT7Gvg/edit?usp=sharing"",""น่าน!J755"")"),0)</f>
        <v>0</v>
      </c>
      <c r="BA19" s="375">
        <f t="shared" ca="1" si="66"/>
        <v>0</v>
      </c>
      <c r="BB19" s="540">
        <f ca="1">IFERROR(__xludf.DUMMYFUNCTION("IMPORTRANGE(""https://docs.google.com/spreadsheets/d/10s13Sk5xrltsiR-Zkbmk5DwIaDIKO8XlbJAfqyT7Gvg/edit?usp=sharing"",""น่าน!J756"")"),0)</f>
        <v>0</v>
      </c>
    </row>
    <row r="20" spans="1:54" ht="23.25" customHeight="1" x14ac:dyDescent="0.3">
      <c r="A20" s="535">
        <v>7</v>
      </c>
      <c r="B20" s="536" t="s">
        <v>46</v>
      </c>
      <c r="C20" s="537">
        <f t="shared" si="39"/>
        <v>0</v>
      </c>
      <c r="D20" s="538">
        <f t="shared" si="67"/>
        <v>0</v>
      </c>
      <c r="E20" s="539">
        <v>0</v>
      </c>
      <c r="F20" s="539">
        <v>0</v>
      </c>
      <c r="G20" s="539">
        <v>0</v>
      </c>
      <c r="H20" s="539">
        <v>0</v>
      </c>
      <c r="I20" s="539">
        <v>0</v>
      </c>
      <c r="J20" s="545">
        <f t="shared" si="41"/>
        <v>0</v>
      </c>
      <c r="K20" s="546">
        <f t="shared" si="42"/>
        <v>0</v>
      </c>
      <c r="L20" s="539">
        <v>0</v>
      </c>
      <c r="M20" s="542">
        <f t="shared" si="43"/>
        <v>0</v>
      </c>
      <c r="N20" s="542">
        <f t="shared" si="44"/>
        <v>0</v>
      </c>
      <c r="O20" s="539">
        <v>0</v>
      </c>
      <c r="P20" s="543">
        <f t="shared" si="45"/>
        <v>0</v>
      </c>
      <c r="Q20" s="542">
        <f t="shared" si="46"/>
        <v>0</v>
      </c>
      <c r="R20" s="542">
        <f ca="1">IFERROR(__xludf.DUMMYFUNCTION("IMPORTRANGE(""https://docs.google.com/spreadsheets/d/1uu4nAn4Dbi1XREnLKKotUANlKXa7yCgRcgq8HEzQYW8/edit?usp=sharing"",""พะเยา!Q728"")"),242546)</f>
        <v>242546</v>
      </c>
      <c r="S20" s="542">
        <f ca="1">IFERROR(__xludf.DUMMYFUNCTION("IMPORTRANGE(""https://docs.google.com/spreadsheets/d/1uu4nAn4Dbi1XREnLKKotUANlKXa7yCgRcgq8HEzQYW8/edit?usp=sharing"",""พะเยา!R728"")"),0)</f>
        <v>0</v>
      </c>
      <c r="T20" s="542">
        <f ca="1">IFERROR(__xludf.DUMMYFUNCTION("IMPORTRANGE(""https://docs.google.com/spreadsheets/d/1uu4nAn4Dbi1XREnLKKotUANlKXa7yCgRcgq8HEzQYW8/edit?usp=sharing"",""พะเยา!S728"")"),0)</f>
        <v>0</v>
      </c>
      <c r="U20" s="542">
        <f t="shared" ca="1" si="48"/>
        <v>0</v>
      </c>
      <c r="V20" s="542">
        <f t="shared" ca="1" si="49"/>
        <v>0</v>
      </c>
      <c r="W20" s="544">
        <f ca="1">IFERROR(__xludf.DUMMYFUNCTION("IMPORTRANGE(""https://docs.google.com/spreadsheets/d/1uu4nAn4Dbi1XREnLKKotUANlKXa7yCgRcgq8HEzQYW8/edit?usp=sharing"",""พะเยา!I726"")"),31)</f>
        <v>31</v>
      </c>
      <c r="X20" s="540">
        <f ca="1">IFERROR(__xludf.DUMMYFUNCTION("IMPORTRANGE(""https://docs.google.com/spreadsheets/d/1uu4nAn4Dbi1XREnLKKotUANlKXa7yCgRcgq8HEzQYW8/edit?usp=sharing"",""พะเยา!I727"")"),300)</f>
        <v>300</v>
      </c>
      <c r="Y20" s="540">
        <f ca="1">IFERROR(__xludf.DUMMYFUNCTION("IMPORTRANGE(""https://docs.google.com/spreadsheets/d/1uu4nAn4Dbi1XREnLKKotUANlKXa7yCgRcgq8HEzQYW8/edit?usp=sharing"",""พะเยา!J726"")"),0)</f>
        <v>0</v>
      </c>
      <c r="Z20" s="375">
        <f t="shared" ca="1" si="51"/>
        <v>0</v>
      </c>
      <c r="AA20" s="540">
        <f ca="1">IFERROR(__xludf.DUMMYFUNCTION("IMPORTRANGE(""https://docs.google.com/spreadsheets/d/1uu4nAn4Dbi1XREnLKKotUANlKXa7yCgRcgq8HEzQYW8/edit?usp=sharing"",""พะเยา!J727"")"),0)</f>
        <v>0</v>
      </c>
      <c r="AB20" s="375">
        <f t="shared" ca="1" si="52"/>
        <v>0</v>
      </c>
      <c r="AC20" s="540">
        <f ca="1">IFERROR(__xludf.DUMMYFUNCTION("IMPORTRANGE(""https://docs.google.com/spreadsheets/d/1uu4nAn4Dbi1XREnLKKotUANlKXa7yCgRcgq8HEzQYW8/edit?usp=sharing"",""พะเยา!I740"")"),240)</f>
        <v>240</v>
      </c>
      <c r="AD20" s="540">
        <f ca="1">IFERROR(__xludf.DUMMYFUNCTION("IMPORTRANGE(""https://docs.google.com/spreadsheets/d/1uu4nAn4Dbi1XREnLKKotUANlKXa7yCgRcgq8HEzQYW8/edit?usp=sharing"",""พะเยา!J740"")"),0)</f>
        <v>0</v>
      </c>
      <c r="AE20" s="375">
        <f t="shared" ca="1" si="54"/>
        <v>0</v>
      </c>
      <c r="AF20" s="540">
        <f ca="1">IFERROR(__xludf.DUMMYFUNCTION("IMPORTRANGE(""https://docs.google.com/spreadsheets/d/1uu4nAn4Dbi1XREnLKKotUANlKXa7yCgRcgq8HEzQYW8/edit?usp=sharing"",""พะเยา!J741"")"),0)</f>
        <v>0</v>
      </c>
      <c r="AG20" s="540">
        <f ca="1">IFERROR(__xludf.DUMMYFUNCTION("IMPORTRANGE(""https://docs.google.com/spreadsheets/d/1uu4nAn4Dbi1XREnLKKotUANlKXa7yCgRcgq8HEzQYW8/edit?usp=sharing"",""พะเยา!I742"")"),24)</f>
        <v>24</v>
      </c>
      <c r="AH20" s="540">
        <f ca="1">IFERROR(__xludf.DUMMYFUNCTION("IMPORTRANGE(""https://docs.google.com/spreadsheets/d/1uu4nAn4Dbi1XREnLKKotUANlKXa7yCgRcgq8HEzQYW8/edit?usp=sharing"",""พะเยา!J742"")"),0)</f>
        <v>0</v>
      </c>
      <c r="AI20" s="375">
        <f t="shared" ca="1" si="56"/>
        <v>0</v>
      </c>
      <c r="AJ20" s="540">
        <f ca="1">IFERROR(__xludf.DUMMYFUNCTION("IMPORTRANGE(""https://docs.google.com/spreadsheets/d/1uu4nAn4Dbi1XREnLKKotUANlKXa7yCgRcgq8HEzQYW8/edit?usp=sharing"",""พะเยา!I744"")"),60)</f>
        <v>60</v>
      </c>
      <c r="AK20" s="540">
        <f ca="1">IFERROR(__xludf.DUMMYFUNCTION("IMPORTRANGE(""https://docs.google.com/spreadsheets/d/1uu4nAn4Dbi1XREnLKKotUANlKXa7yCgRcgq8HEzQYW8/edit?usp=sharing"",""พะเยา!J744"")"),0)</f>
        <v>0</v>
      </c>
      <c r="AL20" s="375">
        <f t="shared" ca="1" si="58"/>
        <v>0</v>
      </c>
      <c r="AM20" s="540">
        <f ca="1">IFERROR(__xludf.DUMMYFUNCTION("IMPORTRANGE(""https://docs.google.com/spreadsheets/d/1uu4nAn4Dbi1XREnLKKotUANlKXa7yCgRcgq8HEzQYW8/edit?usp=sharing"",""พะเยา!J745"")"),0)</f>
        <v>0</v>
      </c>
      <c r="AN20" s="540">
        <f ca="1">IFERROR(__xludf.DUMMYFUNCTION("IMPORTRANGE(""https://docs.google.com/spreadsheets/d/1uu4nAn4Dbi1XREnLKKotUANlKXa7yCgRcgq8HEzQYW8/edit?usp=sharing"",""พะเยา!I746"")"),6)</f>
        <v>6</v>
      </c>
      <c r="AO20" s="540">
        <f ca="1">IFERROR(__xludf.DUMMYFUNCTION("IMPORTRANGE(""https://docs.google.com/spreadsheets/d/1uu4nAn4Dbi1XREnLKKotUANlKXa7yCgRcgq8HEzQYW8/edit?usp=sharing"",""พะเยา!J746"")"),0)</f>
        <v>0</v>
      </c>
      <c r="AP20" s="375">
        <f t="shared" ca="1" si="60"/>
        <v>0</v>
      </c>
      <c r="AQ20" s="540">
        <f ca="1">IFERROR(__xludf.DUMMYFUNCTION("IMPORTRANGE(""https://docs.google.com/spreadsheets/d/1uu4nAn4Dbi1XREnLKKotUANlKXa7yCgRcgq8HEzQYW8/edit?usp=sharing"",""พะเยา!J748"")"),0)</f>
        <v>0</v>
      </c>
      <c r="AR20" s="540">
        <f ca="1">IFERROR(__xludf.DUMMYFUNCTION("IMPORTRANGE(""https://docs.google.com/spreadsheets/d/1uu4nAn4Dbi1XREnLKKotUANlKXa7yCgRcgq8HEzQYW8/edit?usp=sharing"",""พะเยา!I749"")"),1)</f>
        <v>1</v>
      </c>
      <c r="AS20" s="540">
        <f ca="1">IFERROR(__xludf.DUMMYFUNCTION("IMPORTRANGE(""https://docs.google.com/spreadsheets/d/1uu4nAn4Dbi1XREnLKKotUANlKXa7yCgRcgq8HEzQYW8/edit?usp=sharing"",""พะเยา!J749"")"),0)</f>
        <v>0</v>
      </c>
      <c r="AT20" s="375">
        <f t="shared" ca="1" si="62"/>
        <v>0</v>
      </c>
      <c r="AU20" s="540">
        <f ca="1">IFERROR(__xludf.DUMMYFUNCTION("IMPORTRANGE(""https://docs.google.com/spreadsheets/d/1uu4nAn4Dbi1XREnLKKotUANlKXa7yCgRcgq8HEzQYW8/edit?usp=sharing"",""พะเยา!I752"")"),24)</f>
        <v>24</v>
      </c>
      <c r="AV20" s="540">
        <f ca="1">IFERROR(__xludf.DUMMYFUNCTION("IMPORTRANGE(""https://docs.google.com/spreadsheets/d/1uu4nAn4Dbi1XREnLKKotUANlKXa7yCgRcgq8HEzQYW8/edit?usp=sharing"",""พะเยา!J752"")"),0)</f>
        <v>0</v>
      </c>
      <c r="AW20" s="375">
        <f t="shared" ca="1" si="64"/>
        <v>0</v>
      </c>
      <c r="AX20" s="540">
        <f ca="1">IFERROR(__xludf.DUMMYFUNCTION("IMPORTRANGE(""https://docs.google.com/spreadsheets/d/1uu4nAn4Dbi1XREnLKKotUANlKXa7yCgRcgq8HEzQYW8/edit?usp=sharing"",""พะเยา!J753"")"),0)</f>
        <v>0</v>
      </c>
      <c r="AY20" s="540">
        <f ca="1">IFERROR(__xludf.DUMMYFUNCTION("IMPORTRANGE(""https://docs.google.com/spreadsheets/d/1uu4nAn4Dbi1XREnLKKotUANlKXa7yCgRcgq8HEzQYW8/edit?usp=sharing"",""พะเยา!I755"")"),6)</f>
        <v>6</v>
      </c>
      <c r="AZ20" s="540">
        <f ca="1">IFERROR(__xludf.DUMMYFUNCTION("IMPORTRANGE(""https://docs.google.com/spreadsheets/d/1uu4nAn4Dbi1XREnLKKotUANlKXa7yCgRcgq8HEzQYW8/edit?usp=sharing"",""พะเยา!J755"")"),0)</f>
        <v>0</v>
      </c>
      <c r="BA20" s="375">
        <f t="shared" ca="1" si="66"/>
        <v>0</v>
      </c>
      <c r="BB20" s="540">
        <f ca="1">IFERROR(__xludf.DUMMYFUNCTION("IMPORTRANGE(""https://docs.google.com/spreadsheets/d/1uu4nAn4Dbi1XREnLKKotUANlKXa7yCgRcgq8HEzQYW8/edit?usp=sharing"",""พะเยา!J756"")"),0)</f>
        <v>0</v>
      </c>
    </row>
    <row r="21" spans="1:54" ht="23.25" customHeight="1" x14ac:dyDescent="0.3">
      <c r="A21" s="535">
        <v>8</v>
      </c>
      <c r="B21" s="536" t="s">
        <v>47</v>
      </c>
      <c r="C21" s="537">
        <f t="shared" si="39"/>
        <v>0</v>
      </c>
      <c r="D21" s="538">
        <f t="shared" si="67"/>
        <v>0</v>
      </c>
      <c r="E21" s="539">
        <v>0</v>
      </c>
      <c r="F21" s="539">
        <v>0</v>
      </c>
      <c r="G21" s="539">
        <v>0</v>
      </c>
      <c r="H21" s="539">
        <v>0</v>
      </c>
      <c r="I21" s="539">
        <v>0</v>
      </c>
      <c r="J21" s="545">
        <f t="shared" si="41"/>
        <v>0</v>
      </c>
      <c r="K21" s="546">
        <f t="shared" si="42"/>
        <v>0</v>
      </c>
      <c r="L21" s="539">
        <v>0</v>
      </c>
      <c r="M21" s="542">
        <f t="shared" si="43"/>
        <v>0</v>
      </c>
      <c r="N21" s="542">
        <f t="shared" si="44"/>
        <v>0</v>
      </c>
      <c r="O21" s="539">
        <v>0</v>
      </c>
      <c r="P21" s="543">
        <f t="shared" si="45"/>
        <v>0</v>
      </c>
      <c r="Q21" s="542">
        <f t="shared" si="46"/>
        <v>0</v>
      </c>
      <c r="R21" s="542">
        <f ca="1">IFERROR(__xludf.DUMMYFUNCTION("IMPORTRANGE(""https://docs.google.com/spreadsheets/d/1xfJKIQxVOaPDIICqsflNlLu3JacTDk1FP9RH4phX7mI/edit?usp=sharing"",""พิจิตร!Q728"")"),242546)</f>
        <v>242546</v>
      </c>
      <c r="S21" s="542">
        <f ca="1">IFERROR(__xludf.DUMMYFUNCTION("IMPORTRANGE(""https://docs.google.com/spreadsheets/d/1xfJKIQxVOaPDIICqsflNlLu3JacTDk1FP9RH4phX7mI/edit?usp=sharing"",""พิจิตร!R728"")"),0)</f>
        <v>0</v>
      </c>
      <c r="T21" s="542">
        <f ca="1">IFERROR(__xludf.DUMMYFUNCTION("IMPORTRANGE(""https://docs.google.com/spreadsheets/d/1xfJKIQxVOaPDIICqsflNlLu3JacTDk1FP9RH4phX7mI/edit?usp=sharing"",""พิจิตร!S728"")"),0)</f>
        <v>0</v>
      </c>
      <c r="U21" s="542">
        <f t="shared" ca="1" si="48"/>
        <v>0</v>
      </c>
      <c r="V21" s="542">
        <f t="shared" ca="1" si="49"/>
        <v>0</v>
      </c>
      <c r="W21" s="544">
        <f ca="1">IFERROR(__xludf.DUMMYFUNCTION("IMPORTRANGE(""https://docs.google.com/spreadsheets/d/1xfJKIQxVOaPDIICqsflNlLu3JacTDk1FP9RH4phX7mI/edit?usp=sharing"",""พิจิตร!I726"")"),31)</f>
        <v>31</v>
      </c>
      <c r="X21" s="540">
        <f ca="1">IFERROR(__xludf.DUMMYFUNCTION("IMPORTRANGE(""https://docs.google.com/spreadsheets/d/1xfJKIQxVOaPDIICqsflNlLu3JacTDk1FP9RH4phX7mI/edit?usp=sharing"",""พิจิตร!I727"")"),300)</f>
        <v>300</v>
      </c>
      <c r="Y21" s="540">
        <f ca="1">IFERROR(__xludf.DUMMYFUNCTION("IMPORTRANGE(""https://docs.google.com/spreadsheets/d/1xfJKIQxVOaPDIICqsflNlLu3JacTDk1FP9RH4phX7mI/edit?usp=sharing"",""พิจิตร!J726"")"),0)</f>
        <v>0</v>
      </c>
      <c r="Z21" s="375">
        <f t="shared" ca="1" si="51"/>
        <v>0</v>
      </c>
      <c r="AA21" s="540">
        <f ca="1">IFERROR(__xludf.DUMMYFUNCTION("IMPORTRANGE(""https://docs.google.com/spreadsheets/d/1xfJKIQxVOaPDIICqsflNlLu3JacTDk1FP9RH4phX7mI/edit?usp=sharing"",""พิจิตร!J727"")"),0)</f>
        <v>0</v>
      </c>
      <c r="AB21" s="375">
        <f t="shared" ca="1" si="52"/>
        <v>0</v>
      </c>
      <c r="AC21" s="540">
        <f ca="1">IFERROR(__xludf.DUMMYFUNCTION("IMPORTRANGE(""https://docs.google.com/spreadsheets/d/1xfJKIQxVOaPDIICqsflNlLu3JacTDk1FP9RH4phX7mI/edit?usp=sharing"",""พิจิตร!I740"")"),240)</f>
        <v>240</v>
      </c>
      <c r="AD21" s="540">
        <f ca="1">IFERROR(__xludf.DUMMYFUNCTION("IMPORTRANGE(""https://docs.google.com/spreadsheets/d/1xfJKIQxVOaPDIICqsflNlLu3JacTDk1FP9RH4phX7mI/edit?usp=sharing"",""พิจิตร!J740"")"),0)</f>
        <v>0</v>
      </c>
      <c r="AE21" s="375">
        <f t="shared" ca="1" si="54"/>
        <v>0</v>
      </c>
      <c r="AF21" s="540">
        <f ca="1">IFERROR(__xludf.DUMMYFUNCTION("IMPORTRANGE(""https://docs.google.com/spreadsheets/d/1xfJKIQxVOaPDIICqsflNlLu3JacTDk1FP9RH4phX7mI/edit?usp=sharing"",""พิจิตร!J741"")"),0)</f>
        <v>0</v>
      </c>
      <c r="AG21" s="540">
        <f ca="1">IFERROR(__xludf.DUMMYFUNCTION("IMPORTRANGE(""https://docs.google.com/spreadsheets/d/1xfJKIQxVOaPDIICqsflNlLu3JacTDk1FP9RH4phX7mI/edit?usp=sharing"",""พิจิตร!I742"")"),24)</f>
        <v>24</v>
      </c>
      <c r="AH21" s="540">
        <f ca="1">IFERROR(__xludf.DUMMYFUNCTION("IMPORTRANGE(""https://docs.google.com/spreadsheets/d/1xfJKIQxVOaPDIICqsflNlLu3JacTDk1FP9RH4phX7mI/edit?usp=sharing"",""พิจิตร!J742"")"),0)</f>
        <v>0</v>
      </c>
      <c r="AI21" s="375">
        <f t="shared" ca="1" si="56"/>
        <v>0</v>
      </c>
      <c r="AJ21" s="540">
        <f ca="1">IFERROR(__xludf.DUMMYFUNCTION("IMPORTRANGE(""https://docs.google.com/spreadsheets/d/1xfJKIQxVOaPDIICqsflNlLu3JacTDk1FP9RH4phX7mI/edit?usp=sharing"",""พิจิตร!I744"")"),60)</f>
        <v>60</v>
      </c>
      <c r="AK21" s="540">
        <f ca="1">IFERROR(__xludf.DUMMYFUNCTION("IMPORTRANGE(""https://docs.google.com/spreadsheets/d/1xfJKIQxVOaPDIICqsflNlLu3JacTDk1FP9RH4phX7mI/edit?usp=sharing"",""พิจิตร!J744"")"),0)</f>
        <v>0</v>
      </c>
      <c r="AL21" s="375">
        <f t="shared" ca="1" si="58"/>
        <v>0</v>
      </c>
      <c r="AM21" s="540">
        <f ca="1">IFERROR(__xludf.DUMMYFUNCTION("IMPORTRANGE(""https://docs.google.com/spreadsheets/d/1xfJKIQxVOaPDIICqsflNlLu3JacTDk1FP9RH4phX7mI/edit?usp=sharing"",""พิจิตร!J745"")"),0)</f>
        <v>0</v>
      </c>
      <c r="AN21" s="540">
        <f ca="1">IFERROR(__xludf.DUMMYFUNCTION("IMPORTRANGE(""https://docs.google.com/spreadsheets/d/1xfJKIQxVOaPDIICqsflNlLu3JacTDk1FP9RH4phX7mI/edit?usp=sharing"",""พิจิตร!I746"")"),6)</f>
        <v>6</v>
      </c>
      <c r="AO21" s="540">
        <f ca="1">IFERROR(__xludf.DUMMYFUNCTION("IMPORTRANGE(""https://docs.google.com/spreadsheets/d/1xfJKIQxVOaPDIICqsflNlLu3JacTDk1FP9RH4phX7mI/edit?usp=sharing"",""พิจิตร!J746"")"),0)</f>
        <v>0</v>
      </c>
      <c r="AP21" s="375">
        <f t="shared" ca="1" si="60"/>
        <v>0</v>
      </c>
      <c r="AQ21" s="540">
        <f ca="1">IFERROR(__xludf.DUMMYFUNCTION("IMPORTRANGE(""https://docs.google.com/spreadsheets/d/1xfJKIQxVOaPDIICqsflNlLu3JacTDk1FP9RH4phX7mI/edit?usp=sharing"",""พิจิตร!J748"")"),0)</f>
        <v>0</v>
      </c>
      <c r="AR21" s="540">
        <f ca="1">IFERROR(__xludf.DUMMYFUNCTION("IMPORTRANGE(""https://docs.google.com/spreadsheets/d/1xfJKIQxVOaPDIICqsflNlLu3JacTDk1FP9RH4phX7mI/edit?usp=sharing"",""พิจิตร!I749"")"),1)</f>
        <v>1</v>
      </c>
      <c r="AS21" s="540">
        <f ca="1">IFERROR(__xludf.DUMMYFUNCTION("IMPORTRANGE(""https://docs.google.com/spreadsheets/d/1xfJKIQxVOaPDIICqsflNlLu3JacTDk1FP9RH4phX7mI/edit?usp=sharing"",""พิจิตร!J749"")"),0)</f>
        <v>0</v>
      </c>
      <c r="AT21" s="375">
        <f t="shared" ca="1" si="62"/>
        <v>0</v>
      </c>
      <c r="AU21" s="540">
        <f ca="1">IFERROR(__xludf.DUMMYFUNCTION("IMPORTRANGE(""https://docs.google.com/spreadsheets/d/1xfJKIQxVOaPDIICqsflNlLu3JacTDk1FP9RH4phX7mI/edit?usp=sharing"",""พิจิตร!I752"")"),24)</f>
        <v>24</v>
      </c>
      <c r="AV21" s="540">
        <f ca="1">IFERROR(__xludf.DUMMYFUNCTION("IMPORTRANGE(""https://docs.google.com/spreadsheets/d/1xfJKIQxVOaPDIICqsflNlLu3JacTDk1FP9RH4phX7mI/edit?usp=sharing"",""พิจิตร!J752"")"),0)</f>
        <v>0</v>
      </c>
      <c r="AW21" s="375">
        <f t="shared" ca="1" si="64"/>
        <v>0</v>
      </c>
      <c r="AX21" s="540">
        <f ca="1">IFERROR(__xludf.DUMMYFUNCTION("IMPORTRANGE(""https://docs.google.com/spreadsheets/d/1xfJKIQxVOaPDIICqsflNlLu3JacTDk1FP9RH4phX7mI/edit?usp=sharing"",""พิจิตร!J753"")"),0)</f>
        <v>0</v>
      </c>
      <c r="AY21" s="540">
        <f ca="1">IFERROR(__xludf.DUMMYFUNCTION("IMPORTRANGE(""https://docs.google.com/spreadsheets/d/1xfJKIQxVOaPDIICqsflNlLu3JacTDk1FP9RH4phX7mI/edit?usp=sharing"",""พิจิตร!I755"")"),6)</f>
        <v>6</v>
      </c>
      <c r="AZ21" s="540">
        <f ca="1">IFERROR(__xludf.DUMMYFUNCTION("IMPORTRANGE(""https://docs.google.com/spreadsheets/d/1xfJKIQxVOaPDIICqsflNlLu3JacTDk1FP9RH4phX7mI/edit?usp=sharing"",""พิจิตร!J755"")"),0)</f>
        <v>0</v>
      </c>
      <c r="BA21" s="375">
        <f t="shared" ca="1" si="66"/>
        <v>0</v>
      </c>
      <c r="BB21" s="540">
        <f ca="1">IFERROR(__xludf.DUMMYFUNCTION("IMPORTRANGE(""https://docs.google.com/spreadsheets/d/1xfJKIQxVOaPDIICqsflNlLu3JacTDk1FP9RH4phX7mI/edit?usp=sharing"",""พิจิตร!J756"")"),0)</f>
        <v>0</v>
      </c>
    </row>
    <row r="22" spans="1:54" ht="23.25" customHeight="1" x14ac:dyDescent="0.3">
      <c r="A22" s="535">
        <v>9</v>
      </c>
      <c r="B22" s="536" t="s">
        <v>48</v>
      </c>
      <c r="C22" s="537">
        <f t="shared" si="39"/>
        <v>0</v>
      </c>
      <c r="D22" s="538">
        <f t="shared" si="67"/>
        <v>0</v>
      </c>
      <c r="E22" s="539">
        <v>0</v>
      </c>
      <c r="F22" s="539">
        <v>0</v>
      </c>
      <c r="G22" s="539">
        <v>0</v>
      </c>
      <c r="H22" s="539">
        <v>0</v>
      </c>
      <c r="I22" s="539">
        <v>0</v>
      </c>
      <c r="J22" s="545">
        <f t="shared" si="41"/>
        <v>0</v>
      </c>
      <c r="K22" s="546">
        <f t="shared" si="42"/>
        <v>0</v>
      </c>
      <c r="L22" s="539">
        <v>0</v>
      </c>
      <c r="M22" s="542">
        <f t="shared" si="43"/>
        <v>0</v>
      </c>
      <c r="N22" s="542">
        <f t="shared" si="44"/>
        <v>0</v>
      </c>
      <c r="O22" s="539">
        <v>0</v>
      </c>
      <c r="P22" s="543">
        <f t="shared" si="45"/>
        <v>0</v>
      </c>
      <c r="Q22" s="542">
        <f t="shared" si="46"/>
        <v>0</v>
      </c>
      <c r="R22" s="542">
        <f ca="1">IFERROR(__xludf.DUMMYFUNCTION("IMPORTRANGE(""https://docs.google.com/spreadsheets/d/1JtRfZkJMHtEhI5RdRHxYUG4FIZHqKDpNyIuN7A1Q0_k/edit?usp=sharing"",""พิษณุโลก!Q728"")"),1008470)</f>
        <v>1008470</v>
      </c>
      <c r="S22" s="542">
        <f ca="1">IFERROR(__xludf.DUMMYFUNCTION("IMPORTRANGE(""https://docs.google.com/spreadsheets/d/1JtRfZkJMHtEhI5RdRHxYUG4FIZHqKDpNyIuN7A1Q0_k/edit?usp=sharing"",""พิษณุโลก!R728"")"),0)</f>
        <v>0</v>
      </c>
      <c r="T22" s="542">
        <f ca="1">IFERROR(__xludf.DUMMYFUNCTION("IMPORTRANGE(""https://docs.google.com/spreadsheets/d/1JtRfZkJMHtEhI5RdRHxYUG4FIZHqKDpNyIuN7A1Q0_k/edit?usp=sharing"",""พิษณุโลก!S728"")"),0)</f>
        <v>0</v>
      </c>
      <c r="U22" s="542">
        <f t="shared" ca="1" si="48"/>
        <v>0</v>
      </c>
      <c r="V22" s="542">
        <f t="shared" ca="1" si="49"/>
        <v>0</v>
      </c>
      <c r="W22" s="544">
        <f ca="1">IFERROR(__xludf.DUMMYFUNCTION("IMPORTRANGE(""https://docs.google.com/spreadsheets/d/1JtRfZkJMHtEhI5RdRHxYUG4FIZHqKDpNyIuN7A1Q0_k/edit?usp=sharing"",""พิษณุโลก!I726"")"),128)</f>
        <v>128</v>
      </c>
      <c r="X22" s="540">
        <f ca="1">IFERROR(__xludf.DUMMYFUNCTION("IMPORTRANGE(""https://docs.google.com/spreadsheets/d/1JtRfZkJMHtEhI5RdRHxYUG4FIZHqKDpNyIuN7A1Q0_k/edit?usp=sharing"",""พิษณุโลก!I727"")"),1250)</f>
        <v>1250</v>
      </c>
      <c r="Y22" s="540">
        <f ca="1">IFERROR(__xludf.DUMMYFUNCTION("IMPORTRANGE(""https://docs.google.com/spreadsheets/d/1JtRfZkJMHtEhI5RdRHxYUG4FIZHqKDpNyIuN7A1Q0_k/edit?usp=sharing"",""พิษณุโลก!J726"")"),0)</f>
        <v>0</v>
      </c>
      <c r="Z22" s="375">
        <f t="shared" ca="1" si="51"/>
        <v>0</v>
      </c>
      <c r="AA22" s="540">
        <f ca="1">IFERROR(__xludf.DUMMYFUNCTION("IMPORTRANGE(""https://docs.google.com/spreadsheets/d/1JtRfZkJMHtEhI5RdRHxYUG4FIZHqKDpNyIuN7A1Q0_k/edit?usp=sharing"",""พิษณุโลก!J727"")"),0)</f>
        <v>0</v>
      </c>
      <c r="AB22" s="375">
        <f t="shared" ca="1" si="52"/>
        <v>0</v>
      </c>
      <c r="AC22" s="540">
        <f ca="1">IFERROR(__xludf.DUMMYFUNCTION("IMPORTRANGE(""https://docs.google.com/spreadsheets/d/1JtRfZkJMHtEhI5RdRHxYUG4FIZHqKDpNyIuN7A1Q0_k/edit?usp=sharing"",""พิษณุโลก!I740"")"),1000)</f>
        <v>1000</v>
      </c>
      <c r="AD22" s="540">
        <f ca="1">IFERROR(__xludf.DUMMYFUNCTION("IMPORTRANGE(""https://docs.google.com/spreadsheets/d/1JtRfZkJMHtEhI5RdRHxYUG4FIZHqKDpNyIuN7A1Q0_k/edit?usp=sharing"",""พิษณุโลก!J740"")"),0)</f>
        <v>0</v>
      </c>
      <c r="AE22" s="375">
        <f t="shared" ca="1" si="54"/>
        <v>0</v>
      </c>
      <c r="AF22" s="540">
        <f ca="1">IFERROR(__xludf.DUMMYFUNCTION("IMPORTRANGE(""https://docs.google.com/spreadsheets/d/1JtRfZkJMHtEhI5RdRHxYUG4FIZHqKDpNyIuN7A1Q0_k/edit?usp=sharing"",""พิษณุโลก!J741"")"),0)</f>
        <v>0</v>
      </c>
      <c r="AG22" s="540">
        <f ca="1">IFERROR(__xludf.DUMMYFUNCTION("IMPORTRANGE(""https://docs.google.com/spreadsheets/d/1JtRfZkJMHtEhI5RdRHxYUG4FIZHqKDpNyIuN7A1Q0_k/edit?usp=sharing"",""พิษณุโลก!I742"")"),100)</f>
        <v>100</v>
      </c>
      <c r="AH22" s="540">
        <f ca="1">IFERROR(__xludf.DUMMYFUNCTION("IMPORTRANGE(""https://docs.google.com/spreadsheets/d/1JtRfZkJMHtEhI5RdRHxYUG4FIZHqKDpNyIuN7A1Q0_k/edit?usp=sharing"",""พิษณุโลก!J742"")"),0)</f>
        <v>0</v>
      </c>
      <c r="AI22" s="375">
        <f t="shared" ca="1" si="56"/>
        <v>0</v>
      </c>
      <c r="AJ22" s="540">
        <f ca="1">IFERROR(__xludf.DUMMYFUNCTION("IMPORTRANGE(""https://docs.google.com/spreadsheets/d/1JtRfZkJMHtEhI5RdRHxYUG4FIZHqKDpNyIuN7A1Q0_k/edit?usp=sharing"",""พิษณุโลก!I744"")"),250)</f>
        <v>250</v>
      </c>
      <c r="AK22" s="540">
        <f ca="1">IFERROR(__xludf.DUMMYFUNCTION("IMPORTRANGE(""https://docs.google.com/spreadsheets/d/1JtRfZkJMHtEhI5RdRHxYUG4FIZHqKDpNyIuN7A1Q0_k/edit?usp=sharing"",""พิษณุโลก!J744"")"),0)</f>
        <v>0</v>
      </c>
      <c r="AL22" s="375">
        <f t="shared" ca="1" si="58"/>
        <v>0</v>
      </c>
      <c r="AM22" s="540">
        <f ca="1">IFERROR(__xludf.DUMMYFUNCTION("IMPORTRANGE(""https://docs.google.com/spreadsheets/d/1JtRfZkJMHtEhI5RdRHxYUG4FIZHqKDpNyIuN7A1Q0_k/edit?usp=sharing"",""พิษณุโลก!J745"")"),0)</f>
        <v>0</v>
      </c>
      <c r="AN22" s="540">
        <f ca="1">IFERROR(__xludf.DUMMYFUNCTION("IMPORTRANGE(""https://docs.google.com/spreadsheets/d/1JtRfZkJMHtEhI5RdRHxYUG4FIZHqKDpNyIuN7A1Q0_k/edit?usp=sharing"",""พิษณุโลก!I746"")"),25)</f>
        <v>25</v>
      </c>
      <c r="AO22" s="540">
        <f ca="1">IFERROR(__xludf.DUMMYFUNCTION("IMPORTRANGE(""https://docs.google.com/spreadsheets/d/1JtRfZkJMHtEhI5RdRHxYUG4FIZHqKDpNyIuN7A1Q0_k/edit?usp=sharing"",""พิษณุโลก!J746"")"),0)</f>
        <v>0</v>
      </c>
      <c r="AP22" s="375">
        <f t="shared" ca="1" si="60"/>
        <v>0</v>
      </c>
      <c r="AQ22" s="540">
        <f ca="1">IFERROR(__xludf.DUMMYFUNCTION("IMPORTRANGE(""https://docs.google.com/spreadsheets/d/1JtRfZkJMHtEhI5RdRHxYUG4FIZHqKDpNyIuN7A1Q0_k/edit?usp=sharing"",""พิษณุโลก!J748"")"),0)</f>
        <v>0</v>
      </c>
      <c r="AR22" s="540">
        <f ca="1">IFERROR(__xludf.DUMMYFUNCTION("IMPORTRANGE(""https://docs.google.com/spreadsheets/d/1JtRfZkJMHtEhI5RdRHxYUG4FIZHqKDpNyIuN7A1Q0_k/edit?usp=sharing"",""พิษณุโลก!I749"")"),3)</f>
        <v>3</v>
      </c>
      <c r="AS22" s="540">
        <f ca="1">IFERROR(__xludf.DUMMYFUNCTION("IMPORTRANGE(""https://docs.google.com/spreadsheets/d/1JtRfZkJMHtEhI5RdRHxYUG4FIZHqKDpNyIuN7A1Q0_k/edit?usp=sharing"",""พิษณุโลก!J749"")"),0)</f>
        <v>0</v>
      </c>
      <c r="AT22" s="375">
        <f t="shared" ca="1" si="62"/>
        <v>0</v>
      </c>
      <c r="AU22" s="540">
        <f ca="1">IFERROR(__xludf.DUMMYFUNCTION("IMPORTRANGE(""https://docs.google.com/spreadsheets/d/1JtRfZkJMHtEhI5RdRHxYUG4FIZHqKDpNyIuN7A1Q0_k/edit?usp=sharing"",""พิษณุโลก!I752"")"),100)</f>
        <v>100</v>
      </c>
      <c r="AV22" s="540">
        <f ca="1">IFERROR(__xludf.DUMMYFUNCTION("IMPORTRANGE(""https://docs.google.com/spreadsheets/d/1JtRfZkJMHtEhI5RdRHxYUG4FIZHqKDpNyIuN7A1Q0_k/edit?usp=sharing"",""พิษณุโลก!J752"")"),0)</f>
        <v>0</v>
      </c>
      <c r="AW22" s="375">
        <f t="shared" ca="1" si="64"/>
        <v>0</v>
      </c>
      <c r="AX22" s="540">
        <f ca="1">IFERROR(__xludf.DUMMYFUNCTION("IMPORTRANGE(""https://docs.google.com/spreadsheets/d/1JtRfZkJMHtEhI5RdRHxYUG4FIZHqKDpNyIuN7A1Q0_k/edit?usp=sharing"",""พิษณุโลก!J753"")"),0)</f>
        <v>0</v>
      </c>
      <c r="AY22" s="540">
        <f ca="1">IFERROR(__xludf.DUMMYFUNCTION("IMPORTRANGE(""https://docs.google.com/spreadsheets/d/1JtRfZkJMHtEhI5RdRHxYUG4FIZHqKDpNyIuN7A1Q0_k/edit?usp=sharing"",""พิษณุโลก!I755"")"),25)</f>
        <v>25</v>
      </c>
      <c r="AZ22" s="540">
        <f ca="1">IFERROR(__xludf.DUMMYFUNCTION("IMPORTRANGE(""https://docs.google.com/spreadsheets/d/1JtRfZkJMHtEhI5RdRHxYUG4FIZHqKDpNyIuN7A1Q0_k/edit?usp=sharing"",""พิษณุโลก!J755"")"),0)</f>
        <v>0</v>
      </c>
      <c r="BA22" s="375">
        <f t="shared" ca="1" si="66"/>
        <v>0</v>
      </c>
      <c r="BB22" s="540">
        <f ca="1">IFERROR(__xludf.DUMMYFUNCTION("IMPORTRANGE(""https://docs.google.com/spreadsheets/d/1JtRfZkJMHtEhI5RdRHxYUG4FIZHqKDpNyIuN7A1Q0_k/edit?usp=sharing"",""พิษณุโลก!J756"")"),0)</f>
        <v>0</v>
      </c>
    </row>
    <row r="23" spans="1:54" ht="23.25" customHeight="1" x14ac:dyDescent="0.3">
      <c r="A23" s="535">
        <v>10</v>
      </c>
      <c r="B23" s="536" t="s">
        <v>49</v>
      </c>
      <c r="C23" s="537">
        <f t="shared" si="39"/>
        <v>0</v>
      </c>
      <c r="D23" s="538">
        <f t="shared" si="67"/>
        <v>0</v>
      </c>
      <c r="E23" s="539">
        <v>0</v>
      </c>
      <c r="F23" s="539">
        <v>0</v>
      </c>
      <c r="G23" s="539">
        <v>0</v>
      </c>
      <c r="H23" s="539">
        <v>0</v>
      </c>
      <c r="I23" s="539">
        <v>0</v>
      </c>
      <c r="J23" s="545">
        <f t="shared" si="41"/>
        <v>0</v>
      </c>
      <c r="K23" s="546">
        <f t="shared" si="42"/>
        <v>0</v>
      </c>
      <c r="L23" s="539">
        <v>0</v>
      </c>
      <c r="M23" s="542">
        <f t="shared" si="43"/>
        <v>0</v>
      </c>
      <c r="N23" s="542">
        <f t="shared" si="44"/>
        <v>0</v>
      </c>
      <c r="O23" s="539">
        <v>0</v>
      </c>
      <c r="P23" s="543">
        <f t="shared" si="45"/>
        <v>0</v>
      </c>
      <c r="Q23" s="542">
        <f t="shared" si="46"/>
        <v>0</v>
      </c>
      <c r="R23" s="542">
        <f ca="1">IFERROR(__xludf.DUMMYFUNCTION("IMPORTRANGE(""https://docs.google.com/spreadsheets/d/1xlcVZWUNn6SuWm0c307h32SiGkd9BaeQWlAktfD3KO8/edit?usp=sharing"",""เพชรบูรณ์!Q728"")"),379090)</f>
        <v>379090</v>
      </c>
      <c r="S23" s="542">
        <f ca="1">IFERROR(__xludf.DUMMYFUNCTION("IMPORTRANGE(""https://docs.google.com/spreadsheets/d/1xlcVZWUNn6SuWm0c307h32SiGkd9BaeQWlAktfD3KO8/edit?usp=sharing"",""เพชรบูรณ์!R728"")"),0)</f>
        <v>0</v>
      </c>
      <c r="T23" s="542">
        <f ca="1">IFERROR(__xludf.DUMMYFUNCTION("IMPORTRANGE(""https://docs.google.com/spreadsheets/d/1xlcVZWUNn6SuWm0c307h32SiGkd9BaeQWlAktfD3KO8/edit?usp=sharing"",""เพชรบูรณ์!S728"")"),0)</f>
        <v>0</v>
      </c>
      <c r="U23" s="542">
        <f t="shared" ca="1" si="48"/>
        <v>0</v>
      </c>
      <c r="V23" s="542">
        <f t="shared" ca="1" si="49"/>
        <v>0</v>
      </c>
      <c r="W23" s="544">
        <f ca="1">IFERROR(__xludf.DUMMYFUNCTION("IMPORTRANGE(""https://docs.google.com/spreadsheets/d/1xlcVZWUNn6SuWm0c307h32SiGkd9BaeQWlAktfD3KO8/edit?usp=sharing"",""เพชรบูรณ์!I726"")"),51)</f>
        <v>51</v>
      </c>
      <c r="X23" s="540">
        <f ca="1">IFERROR(__xludf.DUMMYFUNCTION("IMPORTRANGE(""https://docs.google.com/spreadsheets/d/1xlcVZWUNn6SuWm0c307h32SiGkd9BaeQWlAktfD3KO8/edit?usp=sharing"",""เพชรบูรณ์!I727"")"),500)</f>
        <v>500</v>
      </c>
      <c r="Y23" s="540">
        <f ca="1">IFERROR(__xludf.DUMMYFUNCTION("IMPORTRANGE(""https://docs.google.com/spreadsheets/d/1xlcVZWUNn6SuWm0c307h32SiGkd9BaeQWlAktfD3KO8/edit?usp=sharing"",""เพชรบูรณ์!J726"")"),0)</f>
        <v>0</v>
      </c>
      <c r="Z23" s="375">
        <f t="shared" ca="1" si="51"/>
        <v>0</v>
      </c>
      <c r="AA23" s="540">
        <f ca="1">IFERROR(__xludf.DUMMYFUNCTION("IMPORTRANGE(""https://docs.google.com/spreadsheets/d/1xlcVZWUNn6SuWm0c307h32SiGkd9BaeQWlAktfD3KO8/edit?usp=sharing"",""เพชรบูรณ์!J727"")"),0)</f>
        <v>0</v>
      </c>
      <c r="AB23" s="375">
        <f t="shared" ca="1" si="52"/>
        <v>0</v>
      </c>
      <c r="AC23" s="540">
        <f ca="1">IFERROR(__xludf.DUMMYFUNCTION("IMPORTRANGE(""https://docs.google.com/spreadsheets/d/1xlcVZWUNn6SuWm0c307h32SiGkd9BaeQWlAktfD3KO8/edit?usp=sharing"",""เพชรบูรณ์!I740"")"),400)</f>
        <v>400</v>
      </c>
      <c r="AD23" s="540">
        <f ca="1">IFERROR(__xludf.DUMMYFUNCTION("IMPORTRANGE(""https://docs.google.com/spreadsheets/d/1xlcVZWUNn6SuWm0c307h32SiGkd9BaeQWlAktfD3KO8/edit?usp=sharing"",""เพชรบูรณ์!J740"")"),0)</f>
        <v>0</v>
      </c>
      <c r="AE23" s="375">
        <f t="shared" ca="1" si="54"/>
        <v>0</v>
      </c>
      <c r="AF23" s="540">
        <f ca="1">IFERROR(__xludf.DUMMYFUNCTION("IMPORTRANGE(""https://docs.google.com/spreadsheets/d/1xlcVZWUNn6SuWm0c307h32SiGkd9BaeQWlAktfD3KO8/edit?usp=sharing"",""เพชรบูรณ์!J741"")"),0)</f>
        <v>0</v>
      </c>
      <c r="AG23" s="540">
        <f ca="1">IFERROR(__xludf.DUMMYFUNCTION("IMPORTRANGE(""https://docs.google.com/spreadsheets/d/1xlcVZWUNn6SuWm0c307h32SiGkd9BaeQWlAktfD3KO8/edit?usp=sharing"",""เพชรบูรณ์!I742"")"),40)</f>
        <v>40</v>
      </c>
      <c r="AH23" s="540">
        <f ca="1">IFERROR(__xludf.DUMMYFUNCTION("IMPORTRANGE(""https://docs.google.com/spreadsheets/d/1xlcVZWUNn6SuWm0c307h32SiGkd9BaeQWlAktfD3KO8/edit?usp=sharing"",""เพชรบูรณ์!J742"")"),0)</f>
        <v>0</v>
      </c>
      <c r="AI23" s="375">
        <f t="shared" ca="1" si="56"/>
        <v>0</v>
      </c>
      <c r="AJ23" s="540">
        <f ca="1">IFERROR(__xludf.DUMMYFUNCTION("IMPORTRANGE(""https://docs.google.com/spreadsheets/d/1xlcVZWUNn6SuWm0c307h32SiGkd9BaeQWlAktfD3KO8/edit?usp=sharing"",""เพชรบูรณ์!I744"")"),100)</f>
        <v>100</v>
      </c>
      <c r="AK23" s="540">
        <f ca="1">IFERROR(__xludf.DUMMYFUNCTION("IMPORTRANGE(""https://docs.google.com/spreadsheets/d/1xlcVZWUNn6SuWm0c307h32SiGkd9BaeQWlAktfD3KO8/edit?usp=sharing"",""เพชรบูรณ์!J744"")"),0)</f>
        <v>0</v>
      </c>
      <c r="AL23" s="375">
        <f t="shared" ca="1" si="58"/>
        <v>0</v>
      </c>
      <c r="AM23" s="540">
        <f ca="1">IFERROR(__xludf.DUMMYFUNCTION("IMPORTRANGE(""https://docs.google.com/spreadsheets/d/1xlcVZWUNn6SuWm0c307h32SiGkd9BaeQWlAktfD3KO8/edit?usp=sharing"",""เพชรบูรณ์!J745"")"),0)</f>
        <v>0</v>
      </c>
      <c r="AN23" s="540">
        <f ca="1">IFERROR(__xludf.DUMMYFUNCTION("IMPORTRANGE(""https://docs.google.com/spreadsheets/d/1xlcVZWUNn6SuWm0c307h32SiGkd9BaeQWlAktfD3KO8/edit?usp=sharing"",""เพชรบูรณ์!I746"")"),10)</f>
        <v>10</v>
      </c>
      <c r="AO23" s="540">
        <f ca="1">IFERROR(__xludf.DUMMYFUNCTION("IMPORTRANGE(""https://docs.google.com/spreadsheets/d/1xlcVZWUNn6SuWm0c307h32SiGkd9BaeQWlAktfD3KO8/edit?usp=sharing"",""เพชรบูรณ์!J746"")"),0)</f>
        <v>0</v>
      </c>
      <c r="AP23" s="375">
        <f t="shared" ca="1" si="60"/>
        <v>0</v>
      </c>
      <c r="AQ23" s="540">
        <f ca="1">IFERROR(__xludf.DUMMYFUNCTION("IMPORTRANGE(""https://docs.google.com/spreadsheets/d/1xlcVZWUNn6SuWm0c307h32SiGkd9BaeQWlAktfD3KO8/edit?usp=sharing"",""เพชรบูรณ์!J748"")"),0)</f>
        <v>0</v>
      </c>
      <c r="AR23" s="540">
        <f ca="1">IFERROR(__xludf.DUMMYFUNCTION("IMPORTRANGE(""https://docs.google.com/spreadsheets/d/1xlcVZWUNn6SuWm0c307h32SiGkd9BaeQWlAktfD3KO8/edit?usp=sharing"",""เพชรบูรณ์!I749"")"),1)</f>
        <v>1</v>
      </c>
      <c r="AS23" s="540">
        <f ca="1">IFERROR(__xludf.DUMMYFUNCTION("IMPORTRANGE(""https://docs.google.com/spreadsheets/d/1xlcVZWUNn6SuWm0c307h32SiGkd9BaeQWlAktfD3KO8/edit?usp=sharing"",""เพชรบูรณ์!J749"")"),0)</f>
        <v>0</v>
      </c>
      <c r="AT23" s="375">
        <f t="shared" ca="1" si="62"/>
        <v>0</v>
      </c>
      <c r="AU23" s="540">
        <f ca="1">IFERROR(__xludf.DUMMYFUNCTION("IMPORTRANGE(""https://docs.google.com/spreadsheets/d/1xlcVZWUNn6SuWm0c307h32SiGkd9BaeQWlAktfD3KO8/edit?usp=sharing"",""เพชรบูรณ์!I752"")"),40)</f>
        <v>40</v>
      </c>
      <c r="AV23" s="540">
        <f ca="1">IFERROR(__xludf.DUMMYFUNCTION("IMPORTRANGE(""https://docs.google.com/spreadsheets/d/1xlcVZWUNn6SuWm0c307h32SiGkd9BaeQWlAktfD3KO8/edit?usp=sharing"",""เพชรบูรณ์!J752"")"),0)</f>
        <v>0</v>
      </c>
      <c r="AW23" s="375">
        <f t="shared" ca="1" si="64"/>
        <v>0</v>
      </c>
      <c r="AX23" s="540">
        <f ca="1">IFERROR(__xludf.DUMMYFUNCTION("IMPORTRANGE(""https://docs.google.com/spreadsheets/d/1xlcVZWUNn6SuWm0c307h32SiGkd9BaeQWlAktfD3KO8/edit?usp=sharing"",""เพชรบูรณ์!J753"")"),0)</f>
        <v>0</v>
      </c>
      <c r="AY23" s="540">
        <f ca="1">IFERROR(__xludf.DUMMYFUNCTION("IMPORTRANGE(""https://docs.google.com/spreadsheets/d/1xlcVZWUNn6SuWm0c307h32SiGkd9BaeQWlAktfD3KO8/edit?usp=sharing"",""เพชรบูรณ์!I755"")"),10)</f>
        <v>10</v>
      </c>
      <c r="AZ23" s="540">
        <f ca="1">IFERROR(__xludf.DUMMYFUNCTION("IMPORTRANGE(""https://docs.google.com/spreadsheets/d/1xlcVZWUNn6SuWm0c307h32SiGkd9BaeQWlAktfD3KO8/edit?usp=sharing"",""เพชรบูรณ์!J755"")"),0)</f>
        <v>0</v>
      </c>
      <c r="BA23" s="375">
        <f t="shared" ca="1" si="66"/>
        <v>0</v>
      </c>
      <c r="BB23" s="540">
        <f ca="1">IFERROR(__xludf.DUMMYFUNCTION("IMPORTRANGE(""https://docs.google.com/spreadsheets/d/1xlcVZWUNn6SuWm0c307h32SiGkd9BaeQWlAktfD3KO8/edit?usp=sharing"",""เพชรบูรณ์!J756"")"),0)</f>
        <v>0</v>
      </c>
    </row>
    <row r="24" spans="1:54" ht="23.25" customHeight="1" x14ac:dyDescent="0.3">
      <c r="A24" s="535">
        <v>11</v>
      </c>
      <c r="B24" s="536" t="s">
        <v>50</v>
      </c>
      <c r="C24" s="537">
        <f t="shared" si="39"/>
        <v>0</v>
      </c>
      <c r="D24" s="538">
        <f t="shared" si="67"/>
        <v>0</v>
      </c>
      <c r="E24" s="539">
        <v>0</v>
      </c>
      <c r="F24" s="539">
        <v>0</v>
      </c>
      <c r="G24" s="539">
        <v>0</v>
      </c>
      <c r="H24" s="539">
        <v>0</v>
      </c>
      <c r="I24" s="539">
        <v>0</v>
      </c>
      <c r="J24" s="545">
        <f t="shared" si="41"/>
        <v>0</v>
      </c>
      <c r="K24" s="546">
        <f t="shared" si="42"/>
        <v>0</v>
      </c>
      <c r="L24" s="539">
        <v>0</v>
      </c>
      <c r="M24" s="542">
        <f t="shared" si="43"/>
        <v>0</v>
      </c>
      <c r="N24" s="542">
        <f t="shared" si="44"/>
        <v>0</v>
      </c>
      <c r="O24" s="539">
        <v>0</v>
      </c>
      <c r="P24" s="543">
        <f t="shared" si="45"/>
        <v>0</v>
      </c>
      <c r="Q24" s="542">
        <f t="shared" si="46"/>
        <v>0</v>
      </c>
      <c r="R24" s="542">
        <f ca="1">IFERROR(__xludf.DUMMYFUNCTION("IMPORTRANGE(""https://docs.google.com/spreadsheets/d/1lOVebEIsI9qjGXl6EX66luk7wiuP2tBaryw-wKvv4e0/edit?usp=sharing"",""แพร่!Q728"")"),1008470)</f>
        <v>1008470</v>
      </c>
      <c r="S24" s="542">
        <f ca="1">IFERROR(__xludf.DUMMYFUNCTION("IMPORTRANGE(""https://docs.google.com/spreadsheets/d/1lOVebEIsI9qjGXl6EX66luk7wiuP2tBaryw-wKvv4e0/edit?usp=sharing"",""แพร่!R728"")"),0)</f>
        <v>0</v>
      </c>
      <c r="T24" s="542">
        <f ca="1">IFERROR(__xludf.DUMMYFUNCTION("IMPORTRANGE(""https://docs.google.com/spreadsheets/d/1lOVebEIsI9qjGXl6EX66luk7wiuP2tBaryw-wKvv4e0/edit?usp=sharing"",""แพร่!S728"")"),0)</f>
        <v>0</v>
      </c>
      <c r="U24" s="542">
        <f t="shared" ca="1" si="48"/>
        <v>0</v>
      </c>
      <c r="V24" s="542">
        <f t="shared" ca="1" si="49"/>
        <v>0</v>
      </c>
      <c r="W24" s="544">
        <f ca="1">IFERROR(__xludf.DUMMYFUNCTION("IMPORTRANGE(""https://docs.google.com/spreadsheets/d/1lOVebEIsI9qjGXl6EX66luk7wiuP2tBaryw-wKvv4e0/edit?usp=sharing"",""แพร่!I726"")"),128)</f>
        <v>128</v>
      </c>
      <c r="X24" s="540">
        <f ca="1">IFERROR(__xludf.DUMMYFUNCTION("IMPORTRANGE(""https://docs.google.com/spreadsheets/d/1lOVebEIsI9qjGXl6EX66luk7wiuP2tBaryw-wKvv4e0/edit?usp=sharing"",""แพร่!I727"")"),1250)</f>
        <v>1250</v>
      </c>
      <c r="Y24" s="540">
        <f ca="1">IFERROR(__xludf.DUMMYFUNCTION("IMPORTRANGE(""https://docs.google.com/spreadsheets/d/1lOVebEIsI9qjGXl6EX66luk7wiuP2tBaryw-wKvv4e0/edit?usp=sharing"",""แพร่!J726"")"),0)</f>
        <v>0</v>
      </c>
      <c r="Z24" s="375">
        <f t="shared" ca="1" si="51"/>
        <v>0</v>
      </c>
      <c r="AA24" s="540">
        <f ca="1">IFERROR(__xludf.DUMMYFUNCTION("IMPORTRANGE(""https://docs.google.com/spreadsheets/d/1lOVebEIsI9qjGXl6EX66luk7wiuP2tBaryw-wKvv4e0/edit?usp=sharing"",""แพร่!J727"")"),0)</f>
        <v>0</v>
      </c>
      <c r="AB24" s="375">
        <f t="shared" ca="1" si="52"/>
        <v>0</v>
      </c>
      <c r="AC24" s="540">
        <f ca="1">IFERROR(__xludf.DUMMYFUNCTION("IMPORTRANGE(""https://docs.google.com/spreadsheets/d/1lOVebEIsI9qjGXl6EX66luk7wiuP2tBaryw-wKvv4e0/edit?usp=sharing"",""แพร่!I740"")"),1000)</f>
        <v>1000</v>
      </c>
      <c r="AD24" s="540">
        <f ca="1">IFERROR(__xludf.DUMMYFUNCTION("IMPORTRANGE(""https://docs.google.com/spreadsheets/d/1lOVebEIsI9qjGXl6EX66luk7wiuP2tBaryw-wKvv4e0/edit?usp=sharing"",""แพร่!J740"")"),0)</f>
        <v>0</v>
      </c>
      <c r="AE24" s="375">
        <f t="shared" ca="1" si="54"/>
        <v>0</v>
      </c>
      <c r="AF24" s="540">
        <f ca="1">IFERROR(__xludf.DUMMYFUNCTION("IMPORTRANGE(""https://docs.google.com/spreadsheets/d/1lOVebEIsI9qjGXl6EX66luk7wiuP2tBaryw-wKvv4e0/edit?usp=sharing"",""แพร่!J741"")"),0)</f>
        <v>0</v>
      </c>
      <c r="AG24" s="540">
        <f ca="1">IFERROR(__xludf.DUMMYFUNCTION("IMPORTRANGE(""https://docs.google.com/spreadsheets/d/1lOVebEIsI9qjGXl6EX66luk7wiuP2tBaryw-wKvv4e0/edit?usp=sharing"",""แพร่!I742"")"),100)</f>
        <v>100</v>
      </c>
      <c r="AH24" s="540">
        <f ca="1">IFERROR(__xludf.DUMMYFUNCTION("IMPORTRANGE(""https://docs.google.com/spreadsheets/d/1lOVebEIsI9qjGXl6EX66luk7wiuP2tBaryw-wKvv4e0/edit?usp=sharing"",""แพร่!J742"")"),0)</f>
        <v>0</v>
      </c>
      <c r="AI24" s="375">
        <f t="shared" ca="1" si="56"/>
        <v>0</v>
      </c>
      <c r="AJ24" s="540">
        <f ca="1">IFERROR(__xludf.DUMMYFUNCTION("IMPORTRANGE(""https://docs.google.com/spreadsheets/d/1lOVebEIsI9qjGXl6EX66luk7wiuP2tBaryw-wKvv4e0/edit?usp=sharing"",""แพร่!I744"")"),250)</f>
        <v>250</v>
      </c>
      <c r="AK24" s="540">
        <f ca="1">IFERROR(__xludf.DUMMYFUNCTION("IMPORTRANGE(""https://docs.google.com/spreadsheets/d/1lOVebEIsI9qjGXl6EX66luk7wiuP2tBaryw-wKvv4e0/edit?usp=sharing"",""แพร่!J744"")"),0)</f>
        <v>0</v>
      </c>
      <c r="AL24" s="375">
        <f t="shared" ca="1" si="58"/>
        <v>0</v>
      </c>
      <c r="AM24" s="540">
        <f ca="1">IFERROR(__xludf.DUMMYFUNCTION("IMPORTRANGE(""https://docs.google.com/spreadsheets/d/1lOVebEIsI9qjGXl6EX66luk7wiuP2tBaryw-wKvv4e0/edit?usp=sharing"",""แพร่!J745"")"),0)</f>
        <v>0</v>
      </c>
      <c r="AN24" s="540">
        <f ca="1">IFERROR(__xludf.DUMMYFUNCTION("IMPORTRANGE(""https://docs.google.com/spreadsheets/d/1lOVebEIsI9qjGXl6EX66luk7wiuP2tBaryw-wKvv4e0/edit?usp=sharing"",""แพร่!I746"")"),25)</f>
        <v>25</v>
      </c>
      <c r="AO24" s="540">
        <f ca="1">IFERROR(__xludf.DUMMYFUNCTION("IMPORTRANGE(""https://docs.google.com/spreadsheets/d/1lOVebEIsI9qjGXl6EX66luk7wiuP2tBaryw-wKvv4e0/edit?usp=sharing"",""แพร่!J746"")"),0)</f>
        <v>0</v>
      </c>
      <c r="AP24" s="375">
        <f t="shared" ca="1" si="60"/>
        <v>0</v>
      </c>
      <c r="AQ24" s="540">
        <f ca="1">IFERROR(__xludf.DUMMYFUNCTION("IMPORTRANGE(""https://docs.google.com/spreadsheets/d/1lOVebEIsI9qjGXl6EX66luk7wiuP2tBaryw-wKvv4e0/edit?usp=sharing"",""แพร่!J748"")"),0)</f>
        <v>0</v>
      </c>
      <c r="AR24" s="540">
        <f ca="1">IFERROR(__xludf.DUMMYFUNCTION("IMPORTRANGE(""https://docs.google.com/spreadsheets/d/1lOVebEIsI9qjGXl6EX66luk7wiuP2tBaryw-wKvv4e0/edit?usp=sharing"",""แพร่!I749"")"),3)</f>
        <v>3</v>
      </c>
      <c r="AS24" s="540">
        <f ca="1">IFERROR(__xludf.DUMMYFUNCTION("IMPORTRANGE(""https://docs.google.com/spreadsheets/d/1lOVebEIsI9qjGXl6EX66luk7wiuP2tBaryw-wKvv4e0/edit?usp=sharing"",""แพร่!J749"")"),0)</f>
        <v>0</v>
      </c>
      <c r="AT24" s="375">
        <f t="shared" ca="1" si="62"/>
        <v>0</v>
      </c>
      <c r="AU24" s="540">
        <f ca="1">IFERROR(__xludf.DUMMYFUNCTION("IMPORTRANGE(""https://docs.google.com/spreadsheets/d/1lOVebEIsI9qjGXl6EX66luk7wiuP2tBaryw-wKvv4e0/edit?usp=sharing"",""แพร่!I752"")"),100)</f>
        <v>100</v>
      </c>
      <c r="AV24" s="540">
        <f ca="1">IFERROR(__xludf.DUMMYFUNCTION("IMPORTRANGE(""https://docs.google.com/spreadsheets/d/1lOVebEIsI9qjGXl6EX66luk7wiuP2tBaryw-wKvv4e0/edit?usp=sharing"",""แพร่!J752"")"),0)</f>
        <v>0</v>
      </c>
      <c r="AW24" s="375">
        <f t="shared" ca="1" si="64"/>
        <v>0</v>
      </c>
      <c r="AX24" s="540">
        <f ca="1">IFERROR(__xludf.DUMMYFUNCTION("IMPORTRANGE(""https://docs.google.com/spreadsheets/d/1lOVebEIsI9qjGXl6EX66luk7wiuP2tBaryw-wKvv4e0/edit?usp=sharing"",""แพร่!J753"")"),0)</f>
        <v>0</v>
      </c>
      <c r="AY24" s="540">
        <f ca="1">IFERROR(__xludf.DUMMYFUNCTION("IMPORTRANGE(""https://docs.google.com/spreadsheets/d/1lOVebEIsI9qjGXl6EX66luk7wiuP2tBaryw-wKvv4e0/edit?usp=sharing"",""แพร่!I755"")"),25)</f>
        <v>25</v>
      </c>
      <c r="AZ24" s="540">
        <f ca="1">IFERROR(__xludf.DUMMYFUNCTION("IMPORTRANGE(""https://docs.google.com/spreadsheets/d/1lOVebEIsI9qjGXl6EX66luk7wiuP2tBaryw-wKvv4e0/edit?usp=sharing"",""แพร่!J755"")"),0)</f>
        <v>0</v>
      </c>
      <c r="BA24" s="375">
        <f t="shared" ca="1" si="66"/>
        <v>0</v>
      </c>
      <c r="BB24" s="540">
        <f ca="1">IFERROR(__xludf.DUMMYFUNCTION("IMPORTRANGE(""https://docs.google.com/spreadsheets/d/1lOVebEIsI9qjGXl6EX66luk7wiuP2tBaryw-wKvv4e0/edit?usp=sharing"",""แพร่!J756"")"),0)</f>
        <v>0</v>
      </c>
    </row>
    <row r="25" spans="1:54" ht="23.25" customHeight="1" x14ac:dyDescent="0.3">
      <c r="A25" s="535">
        <v>12</v>
      </c>
      <c r="B25" s="536" t="s">
        <v>51</v>
      </c>
      <c r="C25" s="537">
        <f t="shared" si="39"/>
        <v>0</v>
      </c>
      <c r="D25" s="538">
        <f t="shared" si="67"/>
        <v>0</v>
      </c>
      <c r="E25" s="539">
        <v>0</v>
      </c>
      <c r="F25" s="539">
        <v>0</v>
      </c>
      <c r="G25" s="539">
        <v>0</v>
      </c>
      <c r="H25" s="539">
        <v>0</v>
      </c>
      <c r="I25" s="539">
        <v>0</v>
      </c>
      <c r="J25" s="545">
        <f t="shared" si="41"/>
        <v>0</v>
      </c>
      <c r="K25" s="546">
        <f t="shared" si="42"/>
        <v>0</v>
      </c>
      <c r="L25" s="539">
        <v>0</v>
      </c>
      <c r="M25" s="542">
        <f t="shared" si="43"/>
        <v>0</v>
      </c>
      <c r="N25" s="542">
        <f t="shared" si="44"/>
        <v>0</v>
      </c>
      <c r="O25" s="539">
        <v>0</v>
      </c>
      <c r="P25" s="543">
        <f t="shared" si="45"/>
        <v>0</v>
      </c>
      <c r="Q25" s="542">
        <f t="shared" si="46"/>
        <v>0</v>
      </c>
      <c r="R25" s="542">
        <f ca="1">IFERROR(__xludf.DUMMYFUNCTION("IMPORTRANGE(""https://docs.google.com/spreadsheets/d/1dQrvX0vEcN7Gu0fnZ0B5S90AeR19zth4XlExFBeExMY/edit?usp=sharing"",""แม่ฮ่องสอน!Q728"")"),144438)</f>
        <v>144438</v>
      </c>
      <c r="S25" s="542">
        <f ca="1">IFERROR(__xludf.DUMMYFUNCTION("IMPORTRANGE(""https://docs.google.com/spreadsheets/d/1dQrvX0vEcN7Gu0fnZ0B5S90AeR19zth4XlExFBeExMY/edit?usp=sharing"",""แม่ฮ่องสอน!R728"")"),0)</f>
        <v>0</v>
      </c>
      <c r="T25" s="542">
        <f ca="1">IFERROR(__xludf.DUMMYFUNCTION("IMPORTRANGE(""https://docs.google.com/spreadsheets/d/1dQrvX0vEcN7Gu0fnZ0B5S90AeR19zth4XlExFBeExMY/edit?usp=sharing"",""แม่ฮ่องสอน!S728"")"),0)</f>
        <v>0</v>
      </c>
      <c r="U25" s="542">
        <f t="shared" ca="1" si="48"/>
        <v>0</v>
      </c>
      <c r="V25" s="542">
        <f t="shared" ca="1" si="49"/>
        <v>0</v>
      </c>
      <c r="W25" s="544">
        <f ca="1">IFERROR(__xludf.DUMMYFUNCTION("IMPORTRANGE(""https://docs.google.com/spreadsheets/d/1dQrvX0vEcN7Gu0fnZ0B5S90AeR19zth4XlExFBeExMY/edit?usp=sharing"",""แม่ฮ่องสอน!I726"")"),16)</f>
        <v>16</v>
      </c>
      <c r="X25" s="540">
        <f ca="1">IFERROR(__xludf.DUMMYFUNCTION("IMPORTRANGE(""https://docs.google.com/spreadsheets/d/1dQrvX0vEcN7Gu0fnZ0B5S90AeR19zth4XlExFBeExMY/edit?usp=sharing"",""แม่ฮ่องสอน!I727"")"),150)</f>
        <v>150</v>
      </c>
      <c r="Y25" s="540">
        <f ca="1">IFERROR(__xludf.DUMMYFUNCTION("IMPORTRANGE(""https://docs.google.com/spreadsheets/d/1dQrvX0vEcN7Gu0fnZ0B5S90AeR19zth4XlExFBeExMY/edit?usp=sharing"",""แม่ฮ่องสอน!J726"")"),0)</f>
        <v>0</v>
      </c>
      <c r="Z25" s="375">
        <f t="shared" ca="1" si="51"/>
        <v>0</v>
      </c>
      <c r="AA25" s="540">
        <f ca="1">IFERROR(__xludf.DUMMYFUNCTION("IMPORTRANGE(""https://docs.google.com/spreadsheets/d/1dQrvX0vEcN7Gu0fnZ0B5S90AeR19zth4XlExFBeExMY/edit?usp=sharing"",""แม่ฮ่องสอน!J727"")"),0)</f>
        <v>0</v>
      </c>
      <c r="AB25" s="375">
        <f t="shared" ca="1" si="52"/>
        <v>0</v>
      </c>
      <c r="AC25" s="540">
        <f ca="1">IFERROR(__xludf.DUMMYFUNCTION("IMPORTRANGE(""https://docs.google.com/spreadsheets/d/1dQrvX0vEcN7Gu0fnZ0B5S90AeR19zth4XlExFBeExMY/edit?usp=sharing"",""แม่ฮ่องสอน!I740"")"),120)</f>
        <v>120</v>
      </c>
      <c r="AD25" s="540">
        <f ca="1">IFERROR(__xludf.DUMMYFUNCTION("IMPORTRANGE(""https://docs.google.com/spreadsheets/d/1dQrvX0vEcN7Gu0fnZ0B5S90AeR19zth4XlExFBeExMY/edit?usp=sharing"",""แม่ฮ่องสอน!J740"")"),0)</f>
        <v>0</v>
      </c>
      <c r="AE25" s="375">
        <f t="shared" ca="1" si="54"/>
        <v>0</v>
      </c>
      <c r="AF25" s="540">
        <f ca="1">IFERROR(__xludf.DUMMYFUNCTION("IMPORTRANGE(""https://docs.google.com/spreadsheets/d/1dQrvX0vEcN7Gu0fnZ0B5S90AeR19zth4XlExFBeExMY/edit?usp=sharing"",""แม่ฮ่องสอน!J741"")"),0)</f>
        <v>0</v>
      </c>
      <c r="AG25" s="540">
        <f ca="1">IFERROR(__xludf.DUMMYFUNCTION("IMPORTRANGE(""https://docs.google.com/spreadsheets/d/1dQrvX0vEcN7Gu0fnZ0B5S90AeR19zth4XlExFBeExMY/edit?usp=sharing"",""แม่ฮ่องสอน!I742"")"),12)</f>
        <v>12</v>
      </c>
      <c r="AH25" s="540">
        <f ca="1">IFERROR(__xludf.DUMMYFUNCTION("IMPORTRANGE(""https://docs.google.com/spreadsheets/d/1dQrvX0vEcN7Gu0fnZ0B5S90AeR19zth4XlExFBeExMY/edit?usp=sharing"",""แม่ฮ่องสอน!J742"")"),0)</f>
        <v>0</v>
      </c>
      <c r="AI25" s="375">
        <f t="shared" ca="1" si="56"/>
        <v>0</v>
      </c>
      <c r="AJ25" s="540">
        <f ca="1">IFERROR(__xludf.DUMMYFUNCTION("IMPORTRANGE(""https://docs.google.com/spreadsheets/d/1dQrvX0vEcN7Gu0fnZ0B5S90AeR19zth4XlExFBeExMY/edit?usp=sharing"",""แม่ฮ่องสอน!I744"")"),30)</f>
        <v>30</v>
      </c>
      <c r="AK25" s="540">
        <f ca="1">IFERROR(__xludf.DUMMYFUNCTION("IMPORTRANGE(""https://docs.google.com/spreadsheets/d/1dQrvX0vEcN7Gu0fnZ0B5S90AeR19zth4XlExFBeExMY/edit?usp=sharing"",""แม่ฮ่องสอน!J744"")"),0)</f>
        <v>0</v>
      </c>
      <c r="AL25" s="375">
        <f t="shared" ca="1" si="58"/>
        <v>0</v>
      </c>
      <c r="AM25" s="540">
        <f ca="1">IFERROR(__xludf.DUMMYFUNCTION("IMPORTRANGE(""https://docs.google.com/spreadsheets/d/1dQrvX0vEcN7Gu0fnZ0B5S90AeR19zth4XlExFBeExMY/edit?usp=sharing"",""แม่ฮ่องสอน!J745"")"),0)</f>
        <v>0</v>
      </c>
      <c r="AN25" s="540">
        <f ca="1">IFERROR(__xludf.DUMMYFUNCTION("IMPORTRANGE(""https://docs.google.com/spreadsheets/d/1dQrvX0vEcN7Gu0fnZ0B5S90AeR19zth4XlExFBeExMY/edit?usp=sharing"",""แม่ฮ่องสอน!I746"")"),3)</f>
        <v>3</v>
      </c>
      <c r="AO25" s="540">
        <f ca="1">IFERROR(__xludf.DUMMYFUNCTION("IMPORTRANGE(""https://docs.google.com/spreadsheets/d/1dQrvX0vEcN7Gu0fnZ0B5S90AeR19zth4XlExFBeExMY/edit?usp=sharing"",""แม่ฮ่องสอน!J746"")"),0)</f>
        <v>0</v>
      </c>
      <c r="AP25" s="375">
        <f t="shared" ca="1" si="60"/>
        <v>0</v>
      </c>
      <c r="AQ25" s="540">
        <f ca="1">IFERROR(__xludf.DUMMYFUNCTION("IMPORTRANGE(""https://docs.google.com/spreadsheets/d/1dQrvX0vEcN7Gu0fnZ0B5S90AeR19zth4XlExFBeExMY/edit?usp=sharing"",""แม่ฮ่องสอน!J748"")"),0)</f>
        <v>0</v>
      </c>
      <c r="AR25" s="540">
        <f ca="1">IFERROR(__xludf.DUMMYFUNCTION("IMPORTRANGE(""https://docs.google.com/spreadsheets/d/1dQrvX0vEcN7Gu0fnZ0B5S90AeR19zth4XlExFBeExMY/edit?usp=sharing"",""แม่ฮ่องสอน!I749"")"),1)</f>
        <v>1</v>
      </c>
      <c r="AS25" s="540">
        <f ca="1">IFERROR(__xludf.DUMMYFUNCTION("IMPORTRANGE(""https://docs.google.com/spreadsheets/d/1dQrvX0vEcN7Gu0fnZ0B5S90AeR19zth4XlExFBeExMY/edit?usp=sharing"",""แม่ฮ่องสอน!J749"")"),0)</f>
        <v>0</v>
      </c>
      <c r="AT25" s="375">
        <f t="shared" ca="1" si="62"/>
        <v>0</v>
      </c>
      <c r="AU25" s="540">
        <f ca="1">IFERROR(__xludf.DUMMYFUNCTION("IMPORTRANGE(""https://docs.google.com/spreadsheets/d/1dQrvX0vEcN7Gu0fnZ0B5S90AeR19zth4XlExFBeExMY/edit?usp=sharing"",""แม่ฮ่องสอน!I752"")"),12)</f>
        <v>12</v>
      </c>
      <c r="AV25" s="540">
        <f ca="1">IFERROR(__xludf.DUMMYFUNCTION("IMPORTRANGE(""https://docs.google.com/spreadsheets/d/1dQrvX0vEcN7Gu0fnZ0B5S90AeR19zth4XlExFBeExMY/edit?usp=sharing"",""แม่ฮ่องสอน!J752"")"),0)</f>
        <v>0</v>
      </c>
      <c r="AW25" s="375">
        <f t="shared" ca="1" si="64"/>
        <v>0</v>
      </c>
      <c r="AX25" s="540">
        <f ca="1">IFERROR(__xludf.DUMMYFUNCTION("IMPORTRANGE(""https://docs.google.com/spreadsheets/d/1dQrvX0vEcN7Gu0fnZ0B5S90AeR19zth4XlExFBeExMY/edit?usp=sharing"",""แม่ฮ่องสอน!J753"")"),0)</f>
        <v>0</v>
      </c>
      <c r="AY25" s="540">
        <f ca="1">IFERROR(__xludf.DUMMYFUNCTION("IMPORTRANGE(""https://docs.google.com/spreadsheets/d/1dQrvX0vEcN7Gu0fnZ0B5S90AeR19zth4XlExFBeExMY/edit?usp=sharing"",""แม่ฮ่องสอน!I755"")"),3)</f>
        <v>3</v>
      </c>
      <c r="AZ25" s="540">
        <f ca="1">IFERROR(__xludf.DUMMYFUNCTION("IMPORTRANGE(""https://docs.google.com/spreadsheets/d/1dQrvX0vEcN7Gu0fnZ0B5S90AeR19zth4XlExFBeExMY/edit?usp=sharing"",""แม่ฮ่องสอน!J755"")"),0)</f>
        <v>0</v>
      </c>
      <c r="BA25" s="375">
        <f t="shared" ca="1" si="66"/>
        <v>0</v>
      </c>
      <c r="BB25" s="540">
        <f ca="1">IFERROR(__xludf.DUMMYFUNCTION("IMPORTRANGE(""https://docs.google.com/spreadsheets/d/1dQrvX0vEcN7Gu0fnZ0B5S90AeR19zth4XlExFBeExMY/edit?usp=sharing"",""แม่ฮ่องสอน!J756"")"),0)</f>
        <v>0</v>
      </c>
    </row>
    <row r="26" spans="1:54" ht="23.25" customHeight="1" x14ac:dyDescent="0.3">
      <c r="A26" s="535">
        <v>13</v>
      </c>
      <c r="B26" s="536" t="s">
        <v>52</v>
      </c>
      <c r="C26" s="537">
        <f t="shared" si="39"/>
        <v>0</v>
      </c>
      <c r="D26" s="538">
        <f t="shared" si="67"/>
        <v>0</v>
      </c>
      <c r="E26" s="539">
        <v>0</v>
      </c>
      <c r="F26" s="539">
        <v>0</v>
      </c>
      <c r="G26" s="539">
        <v>0</v>
      </c>
      <c r="H26" s="539">
        <v>0</v>
      </c>
      <c r="I26" s="539">
        <v>0</v>
      </c>
      <c r="J26" s="545">
        <f t="shared" si="41"/>
        <v>0</v>
      </c>
      <c r="K26" s="546">
        <f t="shared" si="42"/>
        <v>0</v>
      </c>
      <c r="L26" s="539">
        <v>0</v>
      </c>
      <c r="M26" s="542">
        <f t="shared" si="43"/>
        <v>0</v>
      </c>
      <c r="N26" s="542">
        <f t="shared" si="44"/>
        <v>0</v>
      </c>
      <c r="O26" s="539">
        <v>0</v>
      </c>
      <c r="P26" s="543">
        <f t="shared" si="45"/>
        <v>0</v>
      </c>
      <c r="Q26" s="542">
        <f t="shared" si="46"/>
        <v>0</v>
      </c>
      <c r="R26" s="542">
        <f ca="1">IFERROR(__xludf.DUMMYFUNCTION("IMPORTRANGE(""https://docs.google.com/spreadsheets/d/1DY4XTNNwjluuxqdfdn6qvOSlMRrZqUtmYcZR0ttFiG4/edit?usp=sharing"",""ลำปาง!Q728"")"),379090)</f>
        <v>379090</v>
      </c>
      <c r="S26" s="542">
        <f ca="1">IFERROR(__xludf.DUMMYFUNCTION("IMPORTRANGE(""https://docs.google.com/spreadsheets/d/1DY4XTNNwjluuxqdfdn6qvOSlMRrZqUtmYcZR0ttFiG4/edit?usp=sharing"",""ลำปาง!R728"")"),0)</f>
        <v>0</v>
      </c>
      <c r="T26" s="542">
        <f ca="1">IFERROR(__xludf.DUMMYFUNCTION("IMPORTRANGE(""https://docs.google.com/spreadsheets/d/1DY4XTNNwjluuxqdfdn6qvOSlMRrZqUtmYcZR0ttFiG4/edit?usp=sharing"",""ลำปาง!S728"")"),1240)</f>
        <v>1240</v>
      </c>
      <c r="U26" s="542">
        <f t="shared" ca="1" si="48"/>
        <v>0.32709910575325118</v>
      </c>
      <c r="V26" s="542">
        <f t="shared" ca="1" si="49"/>
        <v>0</v>
      </c>
      <c r="W26" s="544">
        <f ca="1">IFERROR(__xludf.DUMMYFUNCTION("IMPORTRANGE(""https://docs.google.com/spreadsheets/d/1DY4XTNNwjluuxqdfdn6qvOSlMRrZqUtmYcZR0ttFiG4/edit?usp=sharing"",""ลำปาง!I726"")"),51)</f>
        <v>51</v>
      </c>
      <c r="X26" s="540">
        <f ca="1">IFERROR(__xludf.DUMMYFUNCTION("IMPORTRANGE(""https://docs.google.com/spreadsheets/d/1DY4XTNNwjluuxqdfdn6qvOSlMRrZqUtmYcZR0ttFiG4/edit?usp=sharing"",""ลำปาง!I727"")"),500)</f>
        <v>500</v>
      </c>
      <c r="Y26" s="540">
        <f ca="1">IFERROR(__xludf.DUMMYFUNCTION("IMPORTRANGE(""https://docs.google.com/spreadsheets/d/1DY4XTNNwjluuxqdfdn6qvOSlMRrZqUtmYcZR0ttFiG4/edit?usp=sharing"",""ลำปาง!J726"")"),0)</f>
        <v>0</v>
      </c>
      <c r="Z26" s="375">
        <f t="shared" ca="1" si="51"/>
        <v>0</v>
      </c>
      <c r="AA26" s="540">
        <f ca="1">IFERROR(__xludf.DUMMYFUNCTION("IMPORTRANGE(""https://docs.google.com/spreadsheets/d/1DY4XTNNwjluuxqdfdn6qvOSlMRrZqUtmYcZR0ttFiG4/edit?usp=sharing"",""ลำปาง!J727"")"),0)</f>
        <v>0</v>
      </c>
      <c r="AB26" s="375">
        <f t="shared" ca="1" si="52"/>
        <v>0</v>
      </c>
      <c r="AC26" s="540">
        <f ca="1">IFERROR(__xludf.DUMMYFUNCTION("IMPORTRANGE(""https://docs.google.com/spreadsheets/d/1DY4XTNNwjluuxqdfdn6qvOSlMRrZqUtmYcZR0ttFiG4/edit?usp=sharing"",""ลำปาง!I740"")"),400)</f>
        <v>400</v>
      </c>
      <c r="AD26" s="540">
        <f ca="1">IFERROR(__xludf.DUMMYFUNCTION("IMPORTRANGE(""https://docs.google.com/spreadsheets/d/1DY4XTNNwjluuxqdfdn6qvOSlMRrZqUtmYcZR0ttFiG4/edit?usp=sharing"",""ลำปาง!J740"")"),0)</f>
        <v>0</v>
      </c>
      <c r="AE26" s="375">
        <f t="shared" ca="1" si="54"/>
        <v>0</v>
      </c>
      <c r="AF26" s="540">
        <f ca="1">IFERROR(__xludf.DUMMYFUNCTION("IMPORTRANGE(""https://docs.google.com/spreadsheets/d/1DY4XTNNwjluuxqdfdn6qvOSlMRrZqUtmYcZR0ttFiG4/edit?usp=sharing"",""ลำปาง!J741"")"),0)</f>
        <v>0</v>
      </c>
      <c r="AG26" s="540">
        <f ca="1">IFERROR(__xludf.DUMMYFUNCTION("IMPORTRANGE(""https://docs.google.com/spreadsheets/d/1DY4XTNNwjluuxqdfdn6qvOSlMRrZqUtmYcZR0ttFiG4/edit?usp=sharing"",""ลำปาง!I742"")"),40)</f>
        <v>40</v>
      </c>
      <c r="AH26" s="540">
        <f ca="1">IFERROR(__xludf.DUMMYFUNCTION("IMPORTRANGE(""https://docs.google.com/spreadsheets/d/1DY4XTNNwjluuxqdfdn6qvOSlMRrZqUtmYcZR0ttFiG4/edit?usp=sharing"",""ลำปาง!J742"")"),0)</f>
        <v>0</v>
      </c>
      <c r="AI26" s="375">
        <f t="shared" ca="1" si="56"/>
        <v>0</v>
      </c>
      <c r="AJ26" s="540">
        <f ca="1">IFERROR(__xludf.DUMMYFUNCTION("IMPORTRANGE(""https://docs.google.com/spreadsheets/d/1DY4XTNNwjluuxqdfdn6qvOSlMRrZqUtmYcZR0ttFiG4/edit?usp=sharing"",""ลำปาง!I744"")"),100)</f>
        <v>100</v>
      </c>
      <c r="AK26" s="540">
        <f ca="1">IFERROR(__xludf.DUMMYFUNCTION("IMPORTRANGE(""https://docs.google.com/spreadsheets/d/1DY4XTNNwjluuxqdfdn6qvOSlMRrZqUtmYcZR0ttFiG4/edit?usp=sharing"",""ลำปาง!J744"")"),0)</f>
        <v>0</v>
      </c>
      <c r="AL26" s="375">
        <f t="shared" ca="1" si="58"/>
        <v>0</v>
      </c>
      <c r="AM26" s="540">
        <f ca="1">IFERROR(__xludf.DUMMYFUNCTION("IMPORTRANGE(""https://docs.google.com/spreadsheets/d/1DY4XTNNwjluuxqdfdn6qvOSlMRrZqUtmYcZR0ttFiG4/edit?usp=sharing"",""ลำปาง!J745"")"),0)</f>
        <v>0</v>
      </c>
      <c r="AN26" s="540">
        <f ca="1">IFERROR(__xludf.DUMMYFUNCTION("IMPORTRANGE(""https://docs.google.com/spreadsheets/d/1DY4XTNNwjluuxqdfdn6qvOSlMRrZqUtmYcZR0ttFiG4/edit?usp=sharing"",""ลำปาง!I746"")"),10)</f>
        <v>10</v>
      </c>
      <c r="AO26" s="540">
        <f ca="1">IFERROR(__xludf.DUMMYFUNCTION("IMPORTRANGE(""https://docs.google.com/spreadsheets/d/1DY4XTNNwjluuxqdfdn6qvOSlMRrZqUtmYcZR0ttFiG4/edit?usp=sharing"",""ลำปาง!J746"")"),0)</f>
        <v>0</v>
      </c>
      <c r="AP26" s="375">
        <f t="shared" ca="1" si="60"/>
        <v>0</v>
      </c>
      <c r="AQ26" s="547">
        <f ca="1">IFERROR(__xludf.DUMMYFUNCTION("IMPORTRANGE(""https://docs.google.com/spreadsheets/d/1DY4XTNNwjluuxqdfdn6qvOSlMRrZqUtmYcZR0ttFiG4/edit?usp=sharing"",""ลำปาง!J748"")"),0)</f>
        <v>0</v>
      </c>
      <c r="AR26" s="540">
        <f ca="1">IFERROR(__xludf.DUMMYFUNCTION("IMPORTRANGE(""https://docs.google.com/spreadsheets/d/1DY4XTNNwjluuxqdfdn6qvOSlMRrZqUtmYcZR0ttFiG4/edit?usp=sharing"",""ลำปาง!I749"")"),1)</f>
        <v>1</v>
      </c>
      <c r="AS26" s="540">
        <f ca="1">IFERROR(__xludf.DUMMYFUNCTION("IMPORTRANGE(""https://docs.google.com/spreadsheets/d/1DY4XTNNwjluuxqdfdn6qvOSlMRrZqUtmYcZR0ttFiG4/edit?usp=sharing"",""ลำปาง!J749"")"),0)</f>
        <v>0</v>
      </c>
      <c r="AT26" s="375">
        <f t="shared" ca="1" si="62"/>
        <v>0</v>
      </c>
      <c r="AU26" s="540">
        <f ca="1">IFERROR(__xludf.DUMMYFUNCTION("IMPORTRANGE(""https://docs.google.com/spreadsheets/d/1DY4XTNNwjluuxqdfdn6qvOSlMRrZqUtmYcZR0ttFiG4/edit?usp=sharing"",""ลำปาง!I752"")"),40)</f>
        <v>40</v>
      </c>
      <c r="AV26" s="540">
        <f ca="1">IFERROR(__xludf.DUMMYFUNCTION("IMPORTRANGE(""https://docs.google.com/spreadsheets/d/1DY4XTNNwjluuxqdfdn6qvOSlMRrZqUtmYcZR0ttFiG4/edit?usp=sharing"",""ลำปาง!J752"")"),0)</f>
        <v>0</v>
      </c>
      <c r="AW26" s="375">
        <f t="shared" ca="1" si="64"/>
        <v>0</v>
      </c>
      <c r="AX26" s="540">
        <f ca="1">IFERROR(__xludf.DUMMYFUNCTION("IMPORTRANGE(""https://docs.google.com/spreadsheets/d/1DY4XTNNwjluuxqdfdn6qvOSlMRrZqUtmYcZR0ttFiG4/edit?usp=sharing"",""ลำปาง!J753"")"),0)</f>
        <v>0</v>
      </c>
      <c r="AY26" s="540">
        <f ca="1">IFERROR(__xludf.DUMMYFUNCTION("IMPORTRANGE(""https://docs.google.com/spreadsheets/d/1DY4XTNNwjluuxqdfdn6qvOSlMRrZqUtmYcZR0ttFiG4/edit?usp=sharing"",""ลำปาง!I755"")"),10)</f>
        <v>10</v>
      </c>
      <c r="AZ26" s="540">
        <f ca="1">IFERROR(__xludf.DUMMYFUNCTION("IMPORTRANGE(""https://docs.google.com/spreadsheets/d/1DY4XTNNwjluuxqdfdn6qvOSlMRrZqUtmYcZR0ttFiG4/edit?usp=sharing"",""ลำปาง!J755"")"),0)</f>
        <v>0</v>
      </c>
      <c r="BA26" s="375">
        <f t="shared" ca="1" si="66"/>
        <v>0</v>
      </c>
      <c r="BB26" s="540">
        <f ca="1">IFERROR(__xludf.DUMMYFUNCTION("IMPORTRANGE(""https://docs.google.com/spreadsheets/d/1DY4XTNNwjluuxqdfdn6qvOSlMRrZqUtmYcZR0ttFiG4/edit?usp=sharing"",""ลำปาง!J756"")"),0)</f>
        <v>0</v>
      </c>
    </row>
    <row r="27" spans="1:54" ht="23.25" customHeight="1" x14ac:dyDescent="0.3">
      <c r="A27" s="535">
        <v>14</v>
      </c>
      <c r="B27" s="536" t="s">
        <v>53</v>
      </c>
      <c r="C27" s="537">
        <f t="shared" si="39"/>
        <v>0</v>
      </c>
      <c r="D27" s="538">
        <f t="shared" si="67"/>
        <v>0</v>
      </c>
      <c r="E27" s="539">
        <v>0</v>
      </c>
      <c r="F27" s="539">
        <v>0</v>
      </c>
      <c r="G27" s="539">
        <v>0</v>
      </c>
      <c r="H27" s="539">
        <v>0</v>
      </c>
      <c r="I27" s="539">
        <v>0</v>
      </c>
      <c r="J27" s="545">
        <f t="shared" si="41"/>
        <v>0</v>
      </c>
      <c r="K27" s="546">
        <f t="shared" si="42"/>
        <v>0</v>
      </c>
      <c r="L27" s="539">
        <v>0</v>
      </c>
      <c r="M27" s="542">
        <f t="shared" si="43"/>
        <v>0</v>
      </c>
      <c r="N27" s="542">
        <f t="shared" si="44"/>
        <v>0</v>
      </c>
      <c r="O27" s="539">
        <v>0</v>
      </c>
      <c r="P27" s="543">
        <f t="shared" si="45"/>
        <v>0</v>
      </c>
      <c r="Q27" s="542">
        <f t="shared" si="46"/>
        <v>0</v>
      </c>
      <c r="R27" s="542">
        <f ca="1">IFERROR(__xludf.DUMMYFUNCTION("IMPORTRANGE(""https://docs.google.com/spreadsheets/d/1ICwG78r0OFT8biBlxnBF8r7she7gNSzOvJ958PWT09c/edit?usp=sharing"",""ลำพูน!Q728"")"),322458)</f>
        <v>322458</v>
      </c>
      <c r="S27" s="542">
        <f ca="1">IFERROR(__xludf.DUMMYFUNCTION("IMPORTRANGE(""https://docs.google.com/spreadsheets/d/1ICwG78r0OFT8biBlxnBF8r7she7gNSzOvJ958PWT09c/edit?usp=sharing"",""ลำพูน!R728"")"),0)</f>
        <v>0</v>
      </c>
      <c r="T27" s="542">
        <f ca="1">IFERROR(__xludf.DUMMYFUNCTION("IMPORTRANGE(""https://docs.google.com/spreadsheets/d/1ICwG78r0OFT8biBlxnBF8r7she7gNSzOvJ958PWT09c/edit?usp=sharing"",""ลำพูน!S728"")"),0)</f>
        <v>0</v>
      </c>
      <c r="U27" s="542">
        <f t="shared" ca="1" si="48"/>
        <v>0</v>
      </c>
      <c r="V27" s="542">
        <f t="shared" ca="1" si="49"/>
        <v>0</v>
      </c>
      <c r="W27" s="544">
        <f ca="1">IFERROR(__xludf.DUMMYFUNCTION("IMPORTRANGE(""https://docs.google.com/spreadsheets/d/1ICwG78r0OFT8biBlxnBF8r7she7gNSzOvJ958PWT09c/edit?usp=sharing"",""ลำพูน!I726"")"),42)</f>
        <v>42</v>
      </c>
      <c r="X27" s="540">
        <f ca="1">IFERROR(__xludf.DUMMYFUNCTION("IMPORTRANGE(""https://docs.google.com/spreadsheets/d/1ICwG78r0OFT8biBlxnBF8r7she7gNSzOvJ958PWT09c/edit?usp=sharing"",""ลำพูน!I727"")"),400)</f>
        <v>400</v>
      </c>
      <c r="Y27" s="540">
        <f ca="1">IFERROR(__xludf.DUMMYFUNCTION("IMPORTRANGE(""https://docs.google.com/spreadsheets/d/1ICwG78r0OFT8biBlxnBF8r7she7gNSzOvJ958PWT09c/edit?usp=sharing"",""ลำพูน!J726"")"),0)</f>
        <v>0</v>
      </c>
      <c r="Z27" s="375">
        <f t="shared" ca="1" si="51"/>
        <v>0</v>
      </c>
      <c r="AA27" s="540">
        <f ca="1">IFERROR(__xludf.DUMMYFUNCTION("IMPORTRANGE(""https://docs.google.com/spreadsheets/d/1ICwG78r0OFT8biBlxnBF8r7she7gNSzOvJ958PWT09c/edit?usp=sharing"",""ลำพูน!J727"")"),0)</f>
        <v>0</v>
      </c>
      <c r="AB27" s="375">
        <f t="shared" ca="1" si="52"/>
        <v>0</v>
      </c>
      <c r="AC27" s="540">
        <f ca="1">IFERROR(__xludf.DUMMYFUNCTION("IMPORTRANGE(""https://docs.google.com/spreadsheets/d/1ICwG78r0OFT8biBlxnBF8r7she7gNSzOvJ958PWT09c/edit?usp=sharing"",""ลำพูน!I740"")"),320)</f>
        <v>320</v>
      </c>
      <c r="AD27" s="540">
        <f ca="1">IFERROR(__xludf.DUMMYFUNCTION("IMPORTRANGE(""https://docs.google.com/spreadsheets/d/1ICwG78r0OFT8biBlxnBF8r7she7gNSzOvJ958PWT09c/edit?usp=sharing"",""ลำพูน!J740"")"),0)</f>
        <v>0</v>
      </c>
      <c r="AE27" s="375">
        <f t="shared" ca="1" si="54"/>
        <v>0</v>
      </c>
      <c r="AF27" s="540">
        <f ca="1">IFERROR(__xludf.DUMMYFUNCTION("IMPORTRANGE(""https://docs.google.com/spreadsheets/d/1ICwG78r0OFT8biBlxnBF8r7she7gNSzOvJ958PWT09c/edit?usp=sharing"",""ลำพูน!J741"")"),0)</f>
        <v>0</v>
      </c>
      <c r="AG27" s="540">
        <f ca="1">IFERROR(__xludf.DUMMYFUNCTION("IMPORTRANGE(""https://docs.google.com/spreadsheets/d/1ICwG78r0OFT8biBlxnBF8r7she7gNSzOvJ958PWT09c/edit?usp=sharing"",""ลำพูน!I742"")"),32)</f>
        <v>32</v>
      </c>
      <c r="AH27" s="540">
        <f ca="1">IFERROR(__xludf.DUMMYFUNCTION("IMPORTRANGE(""https://docs.google.com/spreadsheets/d/1ICwG78r0OFT8biBlxnBF8r7she7gNSzOvJ958PWT09c/edit?usp=sharing"",""ลำพูน!J742"")"),0)</f>
        <v>0</v>
      </c>
      <c r="AI27" s="375">
        <f t="shared" ca="1" si="56"/>
        <v>0</v>
      </c>
      <c r="AJ27" s="540">
        <f ca="1">IFERROR(__xludf.DUMMYFUNCTION("IMPORTRANGE(""https://docs.google.com/spreadsheets/d/1ICwG78r0OFT8biBlxnBF8r7she7gNSzOvJ958PWT09c/edit?usp=sharing"",""ลำพูน!I744"")"),80)</f>
        <v>80</v>
      </c>
      <c r="AK27" s="540">
        <f ca="1">IFERROR(__xludf.DUMMYFUNCTION("IMPORTRANGE(""https://docs.google.com/spreadsheets/d/1ICwG78r0OFT8biBlxnBF8r7she7gNSzOvJ958PWT09c/edit?usp=sharing"",""ลำพูน!J744"")"),0)</f>
        <v>0</v>
      </c>
      <c r="AL27" s="375">
        <f t="shared" ca="1" si="58"/>
        <v>0</v>
      </c>
      <c r="AM27" s="540">
        <f ca="1">IFERROR(__xludf.DUMMYFUNCTION("IMPORTRANGE(""https://docs.google.com/spreadsheets/d/1ICwG78r0OFT8biBlxnBF8r7she7gNSzOvJ958PWT09c/edit?usp=sharing"",""ลำพูน!J745"")"),0)</f>
        <v>0</v>
      </c>
      <c r="AN27" s="540">
        <f ca="1">IFERROR(__xludf.DUMMYFUNCTION("IMPORTRANGE(""https://docs.google.com/spreadsheets/d/1ICwG78r0OFT8biBlxnBF8r7she7gNSzOvJ958PWT09c/edit?usp=sharing"",""ลำพูน!I746"")"),8)</f>
        <v>8</v>
      </c>
      <c r="AO27" s="540">
        <f ca="1">IFERROR(__xludf.DUMMYFUNCTION("IMPORTRANGE(""https://docs.google.com/spreadsheets/d/1ICwG78r0OFT8biBlxnBF8r7she7gNSzOvJ958PWT09c/edit?usp=sharing"",""ลำพูน!J746"")"),0)</f>
        <v>0</v>
      </c>
      <c r="AP27" s="375">
        <f t="shared" ca="1" si="60"/>
        <v>0</v>
      </c>
      <c r="AQ27" s="540">
        <f ca="1">IFERROR(__xludf.DUMMYFUNCTION("IMPORTRANGE(""https://docs.google.com/spreadsheets/d/1ICwG78r0OFT8biBlxnBF8r7she7gNSzOvJ958PWT09c/edit?usp=sharing"",""ลำพูน!J748"")"),0)</f>
        <v>0</v>
      </c>
      <c r="AR27" s="540">
        <f ca="1">IFERROR(__xludf.DUMMYFUNCTION("IMPORTRANGE(""https://docs.google.com/spreadsheets/d/1ICwG78r0OFT8biBlxnBF8r7she7gNSzOvJ958PWT09c/edit?usp=sharing"",""ลำพูน!I749"")"),2)</f>
        <v>2</v>
      </c>
      <c r="AS27" s="540">
        <f ca="1">IFERROR(__xludf.DUMMYFUNCTION("IMPORTRANGE(""https://docs.google.com/spreadsheets/d/1ICwG78r0OFT8biBlxnBF8r7she7gNSzOvJ958PWT09c/edit?usp=sharing"",""ลำพูน!J749"")"),0)</f>
        <v>0</v>
      </c>
      <c r="AT27" s="375">
        <f t="shared" ca="1" si="62"/>
        <v>0</v>
      </c>
      <c r="AU27" s="540">
        <f ca="1">IFERROR(__xludf.DUMMYFUNCTION("IMPORTRANGE(""https://docs.google.com/spreadsheets/d/1ICwG78r0OFT8biBlxnBF8r7she7gNSzOvJ958PWT09c/edit?usp=sharing"",""ลำพูน!I752"")"),32)</f>
        <v>32</v>
      </c>
      <c r="AV27" s="540">
        <f ca="1">IFERROR(__xludf.DUMMYFUNCTION("IMPORTRANGE(""https://docs.google.com/spreadsheets/d/1ICwG78r0OFT8biBlxnBF8r7she7gNSzOvJ958PWT09c/edit?usp=sharing"",""ลำพูน!J752"")"),0)</f>
        <v>0</v>
      </c>
      <c r="AW27" s="375">
        <f t="shared" ca="1" si="64"/>
        <v>0</v>
      </c>
      <c r="AX27" s="540">
        <f ca="1">IFERROR(__xludf.DUMMYFUNCTION("IMPORTRANGE(""https://docs.google.com/spreadsheets/d/1ICwG78r0OFT8biBlxnBF8r7she7gNSzOvJ958PWT09c/edit?usp=sharing"",""ลำพูน!J753"")"),0)</f>
        <v>0</v>
      </c>
      <c r="AY27" s="540">
        <f ca="1">IFERROR(__xludf.DUMMYFUNCTION("IMPORTRANGE(""https://docs.google.com/spreadsheets/d/1ICwG78r0OFT8biBlxnBF8r7she7gNSzOvJ958PWT09c/edit?usp=sharing"",""ลำพูน!I755"")"),8)</f>
        <v>8</v>
      </c>
      <c r="AZ27" s="540">
        <f ca="1">IFERROR(__xludf.DUMMYFUNCTION("IMPORTRANGE(""https://docs.google.com/spreadsheets/d/1ICwG78r0OFT8biBlxnBF8r7she7gNSzOvJ958PWT09c/edit?usp=sharing"",""ลำพูน!J755"")"),0)</f>
        <v>0</v>
      </c>
      <c r="BA27" s="375">
        <f t="shared" ca="1" si="66"/>
        <v>0</v>
      </c>
      <c r="BB27" s="540">
        <f ca="1">IFERROR(__xludf.DUMMYFUNCTION("IMPORTRANGE(""https://docs.google.com/spreadsheets/d/1ICwG78r0OFT8biBlxnBF8r7she7gNSzOvJ958PWT09c/edit?usp=sharing"",""ลำพูน!J756"")"),0)</f>
        <v>0</v>
      </c>
    </row>
    <row r="28" spans="1:54" ht="23.25" customHeight="1" x14ac:dyDescent="0.3">
      <c r="A28" s="535">
        <v>15</v>
      </c>
      <c r="B28" s="536" t="s">
        <v>54</v>
      </c>
      <c r="C28" s="537">
        <f t="shared" si="39"/>
        <v>0</v>
      </c>
      <c r="D28" s="538">
        <f t="shared" si="67"/>
        <v>0</v>
      </c>
      <c r="E28" s="539">
        <v>0</v>
      </c>
      <c r="F28" s="539">
        <v>0</v>
      </c>
      <c r="G28" s="539">
        <v>0</v>
      </c>
      <c r="H28" s="539">
        <v>0</v>
      </c>
      <c r="I28" s="539">
        <v>0</v>
      </c>
      <c r="J28" s="545">
        <f t="shared" si="41"/>
        <v>0</v>
      </c>
      <c r="K28" s="546">
        <f t="shared" si="42"/>
        <v>0</v>
      </c>
      <c r="L28" s="539">
        <v>0</v>
      </c>
      <c r="M28" s="542">
        <f t="shared" si="43"/>
        <v>0</v>
      </c>
      <c r="N28" s="542">
        <f t="shared" si="44"/>
        <v>0</v>
      </c>
      <c r="O28" s="539">
        <v>0</v>
      </c>
      <c r="P28" s="543">
        <f t="shared" si="45"/>
        <v>0</v>
      </c>
      <c r="Q28" s="542">
        <f t="shared" si="46"/>
        <v>0</v>
      </c>
      <c r="R28" s="542">
        <f ca="1">IFERROR(__xludf.DUMMYFUNCTION("IMPORTRANGE(""https://docs.google.com/spreadsheets/d/1B0f2xJpZUC6Z0xXnqKlZtEPzsf6L84eP1r1Q15seqRM/edit?usp=sharing"",""สุโขทัย!Q728"")"),242546)</f>
        <v>242546</v>
      </c>
      <c r="S28" s="542">
        <f ca="1">IFERROR(__xludf.DUMMYFUNCTION("IMPORTRANGE(""https://docs.google.com/spreadsheets/d/1B0f2xJpZUC6Z0xXnqKlZtEPzsf6L84eP1r1Q15seqRM/edit?usp=sharing"",""สุโขทัย!R728"")"),0)</f>
        <v>0</v>
      </c>
      <c r="T28" s="542">
        <f ca="1">IFERROR(__xludf.DUMMYFUNCTION("IMPORTRANGE(""https://docs.google.com/spreadsheets/d/1B0f2xJpZUC6Z0xXnqKlZtEPzsf6L84eP1r1Q15seqRM/edit?usp=sharing"",""สุโขทัย!S728"")"),0)</f>
        <v>0</v>
      </c>
      <c r="U28" s="542">
        <f t="shared" ca="1" si="48"/>
        <v>0</v>
      </c>
      <c r="V28" s="542">
        <f t="shared" ca="1" si="49"/>
        <v>0</v>
      </c>
      <c r="W28" s="544">
        <f ca="1">IFERROR(__xludf.DUMMYFUNCTION("IMPORTRANGE(""https://docs.google.com/spreadsheets/d/1B0f2xJpZUC6Z0xXnqKlZtEPzsf6L84eP1r1Q15seqRM/edit?usp=sharing"",""สุโขทัย!I726"")"),31)</f>
        <v>31</v>
      </c>
      <c r="X28" s="540">
        <f ca="1">IFERROR(__xludf.DUMMYFUNCTION("IMPORTRANGE(""https://docs.google.com/spreadsheets/d/1B0f2xJpZUC6Z0xXnqKlZtEPzsf6L84eP1r1Q15seqRM/edit?usp=sharing"",""สุโขทัย!I727"")"),300)</f>
        <v>300</v>
      </c>
      <c r="Y28" s="540">
        <f ca="1">IFERROR(__xludf.DUMMYFUNCTION("IMPORTRANGE(""https://docs.google.com/spreadsheets/d/1B0f2xJpZUC6Z0xXnqKlZtEPzsf6L84eP1r1Q15seqRM/edit?usp=sharing"",""สุโขทัย!J726"")"),0)</f>
        <v>0</v>
      </c>
      <c r="Z28" s="375">
        <f t="shared" ca="1" si="51"/>
        <v>0</v>
      </c>
      <c r="AA28" s="540">
        <f ca="1">IFERROR(__xludf.DUMMYFUNCTION("IMPORTRANGE(""https://docs.google.com/spreadsheets/d/1B0f2xJpZUC6Z0xXnqKlZtEPzsf6L84eP1r1Q15seqRM/edit?usp=sharing"",""สุโขทัย!J727"")"),0)</f>
        <v>0</v>
      </c>
      <c r="AB28" s="375">
        <f t="shared" ca="1" si="52"/>
        <v>0</v>
      </c>
      <c r="AC28" s="540">
        <f ca="1">IFERROR(__xludf.DUMMYFUNCTION("IMPORTRANGE(""https://docs.google.com/spreadsheets/d/1B0f2xJpZUC6Z0xXnqKlZtEPzsf6L84eP1r1Q15seqRM/edit?usp=sharing"",""สุโขทัย!I740"")"),240)</f>
        <v>240</v>
      </c>
      <c r="AD28" s="540">
        <f ca="1">IFERROR(__xludf.DUMMYFUNCTION("IMPORTRANGE(""https://docs.google.com/spreadsheets/d/1B0f2xJpZUC6Z0xXnqKlZtEPzsf6L84eP1r1Q15seqRM/edit?usp=sharing"",""สุโขทัย!J740"")"),0)</f>
        <v>0</v>
      </c>
      <c r="AE28" s="375">
        <f t="shared" ca="1" si="54"/>
        <v>0</v>
      </c>
      <c r="AF28" s="540">
        <f ca="1">IFERROR(__xludf.DUMMYFUNCTION("IMPORTRANGE(""https://docs.google.com/spreadsheets/d/1B0f2xJpZUC6Z0xXnqKlZtEPzsf6L84eP1r1Q15seqRM/edit?usp=sharing"",""สุโขทัย!J741"")"),0)</f>
        <v>0</v>
      </c>
      <c r="AG28" s="540">
        <f ca="1">IFERROR(__xludf.DUMMYFUNCTION("IMPORTRANGE(""https://docs.google.com/spreadsheets/d/1B0f2xJpZUC6Z0xXnqKlZtEPzsf6L84eP1r1Q15seqRM/edit?usp=sharing"",""สุโขทัย!I742"")"),24)</f>
        <v>24</v>
      </c>
      <c r="AH28" s="540">
        <f ca="1">IFERROR(__xludf.DUMMYFUNCTION("IMPORTRANGE(""https://docs.google.com/spreadsheets/d/1B0f2xJpZUC6Z0xXnqKlZtEPzsf6L84eP1r1Q15seqRM/edit?usp=sharing"",""สุโขทัย!J742"")"),0)</f>
        <v>0</v>
      </c>
      <c r="AI28" s="375">
        <f t="shared" ca="1" si="56"/>
        <v>0</v>
      </c>
      <c r="AJ28" s="540">
        <f ca="1">IFERROR(__xludf.DUMMYFUNCTION("IMPORTRANGE(""https://docs.google.com/spreadsheets/d/1B0f2xJpZUC6Z0xXnqKlZtEPzsf6L84eP1r1Q15seqRM/edit?usp=sharing"",""สุโขทัย!I744"")"),60)</f>
        <v>60</v>
      </c>
      <c r="AK28" s="540">
        <f ca="1">IFERROR(__xludf.DUMMYFUNCTION("IMPORTRANGE(""https://docs.google.com/spreadsheets/d/1B0f2xJpZUC6Z0xXnqKlZtEPzsf6L84eP1r1Q15seqRM/edit?usp=sharing"",""สุโขทัย!J744"")"),0)</f>
        <v>0</v>
      </c>
      <c r="AL28" s="375">
        <f t="shared" ca="1" si="58"/>
        <v>0</v>
      </c>
      <c r="AM28" s="540">
        <f ca="1">IFERROR(__xludf.DUMMYFUNCTION("IMPORTRANGE(""https://docs.google.com/spreadsheets/d/1B0f2xJpZUC6Z0xXnqKlZtEPzsf6L84eP1r1Q15seqRM/edit?usp=sharing"",""สุโขทัย!J745"")"),0)</f>
        <v>0</v>
      </c>
      <c r="AN28" s="540">
        <f ca="1">IFERROR(__xludf.DUMMYFUNCTION("IMPORTRANGE(""https://docs.google.com/spreadsheets/d/1B0f2xJpZUC6Z0xXnqKlZtEPzsf6L84eP1r1Q15seqRM/edit?usp=sharing"",""สุโขทัย!I746"")"),6)</f>
        <v>6</v>
      </c>
      <c r="AO28" s="540">
        <f ca="1">IFERROR(__xludf.DUMMYFUNCTION("IMPORTRANGE(""https://docs.google.com/spreadsheets/d/1B0f2xJpZUC6Z0xXnqKlZtEPzsf6L84eP1r1Q15seqRM/edit?usp=sharing"",""สุโขทัย!J746"")"),0)</f>
        <v>0</v>
      </c>
      <c r="AP28" s="375">
        <f t="shared" ca="1" si="60"/>
        <v>0</v>
      </c>
      <c r="AQ28" s="540">
        <f ca="1">IFERROR(__xludf.DUMMYFUNCTION("IMPORTRANGE(""https://docs.google.com/spreadsheets/d/1B0f2xJpZUC6Z0xXnqKlZtEPzsf6L84eP1r1Q15seqRM/edit?usp=sharing"",""สุโขทัย!J748"")"),0)</f>
        <v>0</v>
      </c>
      <c r="AR28" s="540">
        <f ca="1">IFERROR(__xludf.DUMMYFUNCTION("IMPORTRANGE(""https://docs.google.com/spreadsheets/d/1B0f2xJpZUC6Z0xXnqKlZtEPzsf6L84eP1r1Q15seqRM/edit?usp=sharing"",""สุโขทัย!I749"")"),1)</f>
        <v>1</v>
      </c>
      <c r="AS28" s="540">
        <f ca="1">IFERROR(__xludf.DUMMYFUNCTION("IMPORTRANGE(""https://docs.google.com/spreadsheets/d/1B0f2xJpZUC6Z0xXnqKlZtEPzsf6L84eP1r1Q15seqRM/edit?usp=sharing"",""สุโขทัย!J749"")"),0)</f>
        <v>0</v>
      </c>
      <c r="AT28" s="375">
        <f t="shared" ca="1" si="62"/>
        <v>0</v>
      </c>
      <c r="AU28" s="540">
        <f ca="1">IFERROR(__xludf.DUMMYFUNCTION("IMPORTRANGE(""https://docs.google.com/spreadsheets/d/1B0f2xJpZUC6Z0xXnqKlZtEPzsf6L84eP1r1Q15seqRM/edit?usp=sharing"",""สุโขทัย!I752"")"),24)</f>
        <v>24</v>
      </c>
      <c r="AV28" s="540">
        <f ca="1">IFERROR(__xludf.DUMMYFUNCTION("IMPORTRANGE(""https://docs.google.com/spreadsheets/d/1B0f2xJpZUC6Z0xXnqKlZtEPzsf6L84eP1r1Q15seqRM/edit?usp=sharing"",""สุโขทัย!J752"")"),0)</f>
        <v>0</v>
      </c>
      <c r="AW28" s="375">
        <f t="shared" ca="1" si="64"/>
        <v>0</v>
      </c>
      <c r="AX28" s="540">
        <f ca="1">IFERROR(__xludf.DUMMYFUNCTION("IMPORTRANGE(""https://docs.google.com/spreadsheets/d/1B0f2xJpZUC6Z0xXnqKlZtEPzsf6L84eP1r1Q15seqRM/edit?usp=sharing"",""สุโขทัย!J753"")"),0)</f>
        <v>0</v>
      </c>
      <c r="AY28" s="540">
        <f ca="1">IFERROR(__xludf.DUMMYFUNCTION("IMPORTRANGE(""https://docs.google.com/spreadsheets/d/1B0f2xJpZUC6Z0xXnqKlZtEPzsf6L84eP1r1Q15seqRM/edit?usp=sharing"",""สุโขทัย!I755"")"),6)</f>
        <v>6</v>
      </c>
      <c r="AZ28" s="540">
        <f ca="1">IFERROR(__xludf.DUMMYFUNCTION("IMPORTRANGE(""https://docs.google.com/spreadsheets/d/1B0f2xJpZUC6Z0xXnqKlZtEPzsf6L84eP1r1Q15seqRM/edit?usp=sharing"",""สุโขทัย!J755"")"),0)</f>
        <v>0</v>
      </c>
      <c r="BA28" s="375">
        <f t="shared" ca="1" si="66"/>
        <v>0</v>
      </c>
      <c r="BB28" s="540">
        <f ca="1">IFERROR(__xludf.DUMMYFUNCTION("IMPORTRANGE(""https://docs.google.com/spreadsheets/d/1B0f2xJpZUC6Z0xXnqKlZtEPzsf6L84eP1r1Q15seqRM/edit?usp=sharing"",""สุโขทัย!J756"")"),0)</f>
        <v>0</v>
      </c>
    </row>
    <row r="29" spans="1:54" ht="23.25" customHeight="1" x14ac:dyDescent="0.3">
      <c r="A29" s="535">
        <v>16</v>
      </c>
      <c r="B29" s="536" t="s">
        <v>55</v>
      </c>
      <c r="C29" s="537">
        <f t="shared" si="39"/>
        <v>0</v>
      </c>
      <c r="D29" s="538">
        <f t="shared" si="67"/>
        <v>0</v>
      </c>
      <c r="E29" s="539">
        <v>0</v>
      </c>
      <c r="F29" s="539">
        <v>0</v>
      </c>
      <c r="G29" s="539">
        <v>0</v>
      </c>
      <c r="H29" s="539">
        <v>0</v>
      </c>
      <c r="I29" s="539">
        <v>0</v>
      </c>
      <c r="J29" s="545">
        <f t="shared" si="41"/>
        <v>0</v>
      </c>
      <c r="K29" s="546">
        <f t="shared" si="42"/>
        <v>0</v>
      </c>
      <c r="L29" s="539">
        <v>0</v>
      </c>
      <c r="M29" s="542">
        <f t="shared" si="43"/>
        <v>0</v>
      </c>
      <c r="N29" s="542">
        <f t="shared" si="44"/>
        <v>0</v>
      </c>
      <c r="O29" s="539">
        <v>0</v>
      </c>
      <c r="P29" s="543">
        <f t="shared" si="45"/>
        <v>0</v>
      </c>
      <c r="Q29" s="542">
        <f t="shared" si="46"/>
        <v>0</v>
      </c>
      <c r="R29" s="542">
        <f ca="1">IFERROR(__xludf.DUMMYFUNCTION("IMPORTRANGE(""https://docs.google.com/spreadsheets/d/1v0b9pFQCsKUVExMei7AgY2yQkdeNQvtOssygGsXbiKo/edit?usp=sharing"",""อุตรดิตถ์!Q728"")"),1008470)</f>
        <v>1008470</v>
      </c>
      <c r="S29" s="542">
        <f ca="1">IFERROR(__xludf.DUMMYFUNCTION("IMPORTRANGE(""https://docs.google.com/spreadsheets/d/1v0b9pFQCsKUVExMei7AgY2yQkdeNQvtOssygGsXbiKo/edit?usp=sharing"",""อุตรดิตถ์!R728"")"),0)</f>
        <v>0</v>
      </c>
      <c r="T29" s="542">
        <f ca="1">IFERROR(__xludf.DUMMYFUNCTION("IMPORTRANGE(""https://docs.google.com/spreadsheets/d/1v0b9pFQCsKUVExMei7AgY2yQkdeNQvtOssygGsXbiKo/edit?usp=sharing"",""อุตรดิตถ์!S728"")"),0)</f>
        <v>0</v>
      </c>
      <c r="U29" s="542">
        <f t="shared" ca="1" si="48"/>
        <v>0</v>
      </c>
      <c r="V29" s="542">
        <f t="shared" ca="1" si="49"/>
        <v>0</v>
      </c>
      <c r="W29" s="544">
        <f ca="1">IFERROR(__xludf.DUMMYFUNCTION("IMPORTRANGE(""https://docs.google.com/spreadsheets/d/1v0b9pFQCsKUVExMei7AgY2yQkdeNQvtOssygGsXbiKo/edit?usp=sharing"",""อุตรดิตถ์!I726"")"),128)</f>
        <v>128</v>
      </c>
      <c r="X29" s="540">
        <f ca="1">IFERROR(__xludf.DUMMYFUNCTION("IMPORTRANGE(""https://docs.google.com/spreadsheets/d/1v0b9pFQCsKUVExMei7AgY2yQkdeNQvtOssygGsXbiKo/edit?usp=sharing"",""อุตรดิตถ์!I727"")"),1250)</f>
        <v>1250</v>
      </c>
      <c r="Y29" s="540">
        <f ca="1">IFERROR(__xludf.DUMMYFUNCTION("IMPORTRANGE(""https://docs.google.com/spreadsheets/d/1v0b9pFQCsKUVExMei7AgY2yQkdeNQvtOssygGsXbiKo/edit?usp=sharing"",""อุตรดิตถ์!J726"")"),0)</f>
        <v>0</v>
      </c>
      <c r="Z29" s="375">
        <f t="shared" ca="1" si="51"/>
        <v>0</v>
      </c>
      <c r="AA29" s="540">
        <f ca="1">IFERROR(__xludf.DUMMYFUNCTION("IMPORTRANGE(""https://docs.google.com/spreadsheets/d/1v0b9pFQCsKUVExMei7AgY2yQkdeNQvtOssygGsXbiKo/edit?usp=sharing"",""อุตรดิตถ์!J727"")"),0)</f>
        <v>0</v>
      </c>
      <c r="AB29" s="375">
        <f t="shared" ca="1" si="52"/>
        <v>0</v>
      </c>
      <c r="AC29" s="540">
        <f ca="1">IFERROR(__xludf.DUMMYFUNCTION("IMPORTRANGE(""https://docs.google.com/spreadsheets/d/1v0b9pFQCsKUVExMei7AgY2yQkdeNQvtOssygGsXbiKo/edit?usp=sharing"",""อุตรดิตถ์!I740"")"),1000)</f>
        <v>1000</v>
      </c>
      <c r="AD29" s="540">
        <f ca="1">IFERROR(__xludf.DUMMYFUNCTION("IMPORTRANGE(""https://docs.google.com/spreadsheets/d/1v0b9pFQCsKUVExMei7AgY2yQkdeNQvtOssygGsXbiKo/edit?usp=sharing"",""อุตรดิตถ์!J740"")"),0)</f>
        <v>0</v>
      </c>
      <c r="AE29" s="375">
        <f t="shared" ca="1" si="54"/>
        <v>0</v>
      </c>
      <c r="AF29" s="540">
        <f ca="1">IFERROR(__xludf.DUMMYFUNCTION("IMPORTRANGE(""https://docs.google.com/spreadsheets/d/1v0b9pFQCsKUVExMei7AgY2yQkdeNQvtOssygGsXbiKo/edit?usp=sharing"",""อุตรดิตถ์!J741"")"),0)</f>
        <v>0</v>
      </c>
      <c r="AG29" s="540">
        <f ca="1">IFERROR(__xludf.DUMMYFUNCTION("IMPORTRANGE(""https://docs.google.com/spreadsheets/d/1v0b9pFQCsKUVExMei7AgY2yQkdeNQvtOssygGsXbiKo/edit?usp=sharing"",""อุตรดิตถ์!I742"")"),100)</f>
        <v>100</v>
      </c>
      <c r="AH29" s="540">
        <f ca="1">IFERROR(__xludf.DUMMYFUNCTION("IMPORTRANGE(""https://docs.google.com/spreadsheets/d/1v0b9pFQCsKUVExMei7AgY2yQkdeNQvtOssygGsXbiKo/edit?usp=sharing"",""อุตรดิตถ์!J742"")"),0)</f>
        <v>0</v>
      </c>
      <c r="AI29" s="375">
        <f t="shared" ca="1" si="56"/>
        <v>0</v>
      </c>
      <c r="AJ29" s="540">
        <f ca="1">IFERROR(__xludf.DUMMYFUNCTION("IMPORTRANGE(""https://docs.google.com/spreadsheets/d/1v0b9pFQCsKUVExMei7AgY2yQkdeNQvtOssygGsXbiKo/edit?usp=sharing"",""อุตรดิตถ์!I744"")"),250)</f>
        <v>250</v>
      </c>
      <c r="AK29" s="540">
        <f ca="1">IFERROR(__xludf.DUMMYFUNCTION("IMPORTRANGE(""https://docs.google.com/spreadsheets/d/1v0b9pFQCsKUVExMei7AgY2yQkdeNQvtOssygGsXbiKo/edit?usp=sharing"",""อุตรดิตถ์!J744"")"),0)</f>
        <v>0</v>
      </c>
      <c r="AL29" s="375">
        <f t="shared" ca="1" si="58"/>
        <v>0</v>
      </c>
      <c r="AM29" s="540">
        <f ca="1">IFERROR(__xludf.DUMMYFUNCTION("IMPORTRANGE(""https://docs.google.com/spreadsheets/d/1v0b9pFQCsKUVExMei7AgY2yQkdeNQvtOssygGsXbiKo/edit?usp=sharing"",""อุตรดิตถ์!J745"")"),0)</f>
        <v>0</v>
      </c>
      <c r="AN29" s="540">
        <f ca="1">IFERROR(__xludf.DUMMYFUNCTION("IMPORTRANGE(""https://docs.google.com/spreadsheets/d/1v0b9pFQCsKUVExMei7AgY2yQkdeNQvtOssygGsXbiKo/edit?usp=sharing"",""อุตรดิตถ์!I746"")"),25)</f>
        <v>25</v>
      </c>
      <c r="AO29" s="540">
        <f ca="1">IFERROR(__xludf.DUMMYFUNCTION("IMPORTRANGE(""https://docs.google.com/spreadsheets/d/1v0b9pFQCsKUVExMei7AgY2yQkdeNQvtOssygGsXbiKo/edit?usp=sharing"",""อุตรดิตถ์!J746"")"),0)</f>
        <v>0</v>
      </c>
      <c r="AP29" s="375">
        <f t="shared" ca="1" si="60"/>
        <v>0</v>
      </c>
      <c r="AQ29" s="540">
        <f ca="1">IFERROR(__xludf.DUMMYFUNCTION("IMPORTRANGE(""https://docs.google.com/spreadsheets/d/1v0b9pFQCsKUVExMei7AgY2yQkdeNQvtOssygGsXbiKo/edit?usp=sharing"",""อุตรดิตถ์!J748"")"),0)</f>
        <v>0</v>
      </c>
      <c r="AR29" s="540">
        <f ca="1">IFERROR(__xludf.DUMMYFUNCTION("IMPORTRANGE(""https://docs.google.com/spreadsheets/d/1v0b9pFQCsKUVExMei7AgY2yQkdeNQvtOssygGsXbiKo/edit?usp=sharing"",""อุตรดิตถ์!I749"")"),3)</f>
        <v>3</v>
      </c>
      <c r="AS29" s="540">
        <f ca="1">IFERROR(__xludf.DUMMYFUNCTION("IMPORTRANGE(""https://docs.google.com/spreadsheets/d/1v0b9pFQCsKUVExMei7AgY2yQkdeNQvtOssygGsXbiKo/edit?usp=sharing"",""อุตรดิตถ์!J749"")"),0)</f>
        <v>0</v>
      </c>
      <c r="AT29" s="375">
        <f t="shared" ca="1" si="62"/>
        <v>0</v>
      </c>
      <c r="AU29" s="540">
        <f ca="1">IFERROR(__xludf.DUMMYFUNCTION("IMPORTRANGE(""https://docs.google.com/spreadsheets/d/1v0b9pFQCsKUVExMei7AgY2yQkdeNQvtOssygGsXbiKo/edit?usp=sharing"",""อุตรดิตถ์!I752"")"),100)</f>
        <v>100</v>
      </c>
      <c r="AV29" s="540">
        <f ca="1">IFERROR(__xludf.DUMMYFUNCTION("IMPORTRANGE(""https://docs.google.com/spreadsheets/d/1v0b9pFQCsKUVExMei7AgY2yQkdeNQvtOssygGsXbiKo/edit?usp=sharing"",""อุตรดิตถ์!J752"")"),0)</f>
        <v>0</v>
      </c>
      <c r="AW29" s="375">
        <f t="shared" ca="1" si="64"/>
        <v>0</v>
      </c>
      <c r="AX29" s="540">
        <f ca="1">IFERROR(__xludf.DUMMYFUNCTION("IMPORTRANGE(""https://docs.google.com/spreadsheets/d/1v0b9pFQCsKUVExMei7AgY2yQkdeNQvtOssygGsXbiKo/edit?usp=sharing"",""อุตรดิตถ์!J753"")"),0)</f>
        <v>0</v>
      </c>
      <c r="AY29" s="540">
        <f ca="1">IFERROR(__xludf.DUMMYFUNCTION("IMPORTRANGE(""https://docs.google.com/spreadsheets/d/1v0b9pFQCsKUVExMei7AgY2yQkdeNQvtOssygGsXbiKo/edit?usp=sharing"",""อุตรดิตถ์!I755"")"),25)</f>
        <v>25</v>
      </c>
      <c r="AZ29" s="540">
        <f ca="1">IFERROR(__xludf.DUMMYFUNCTION("IMPORTRANGE(""https://docs.google.com/spreadsheets/d/1v0b9pFQCsKUVExMei7AgY2yQkdeNQvtOssygGsXbiKo/edit?usp=sharing"",""อุตรดิตถ์!J755"")"),0)</f>
        <v>0</v>
      </c>
      <c r="BA29" s="375">
        <f t="shared" ca="1" si="66"/>
        <v>0</v>
      </c>
      <c r="BB29" s="540">
        <f ca="1">IFERROR(__xludf.DUMMYFUNCTION("IMPORTRANGE(""https://docs.google.com/spreadsheets/d/1v0b9pFQCsKUVExMei7AgY2yQkdeNQvtOssygGsXbiKo/edit?usp=sharing"",""อุตรดิตถ์!J756"")"),0)</f>
        <v>0</v>
      </c>
    </row>
    <row r="30" spans="1:54" ht="23.25" customHeight="1" x14ac:dyDescent="0.3">
      <c r="A30" s="548">
        <v>17</v>
      </c>
      <c r="B30" s="549" t="s">
        <v>56</v>
      </c>
      <c r="C30" s="550">
        <f t="shared" si="39"/>
        <v>0</v>
      </c>
      <c r="D30" s="551">
        <f t="shared" si="67"/>
        <v>0</v>
      </c>
      <c r="E30" s="552">
        <v>0</v>
      </c>
      <c r="F30" s="552">
        <v>0</v>
      </c>
      <c r="G30" s="552">
        <v>0</v>
      </c>
      <c r="H30" s="552">
        <v>0</v>
      </c>
      <c r="I30" s="552">
        <v>0</v>
      </c>
      <c r="J30" s="553">
        <f t="shared" si="41"/>
        <v>0</v>
      </c>
      <c r="K30" s="554">
        <f t="shared" si="42"/>
        <v>0</v>
      </c>
      <c r="L30" s="552">
        <v>0</v>
      </c>
      <c r="M30" s="555">
        <f t="shared" si="43"/>
        <v>0</v>
      </c>
      <c r="N30" s="555">
        <f t="shared" si="44"/>
        <v>0</v>
      </c>
      <c r="O30" s="552">
        <v>0</v>
      </c>
      <c r="P30" s="556">
        <f t="shared" si="45"/>
        <v>0</v>
      </c>
      <c r="Q30" s="555">
        <f t="shared" si="46"/>
        <v>0</v>
      </c>
      <c r="R30" s="555">
        <f ca="1">IFERROR(__xludf.DUMMYFUNCTION("IMPORTRANGE(""https://docs.google.com/spreadsheets/d/1UsNK1e-WWiCo2PvGqdNfdme4m17_Ezd3J69EeeiQPD0/edit?usp=sharing"",""อุทัยธานี!Q728"")"),1008470)</f>
        <v>1008470</v>
      </c>
      <c r="S30" s="555">
        <f ca="1">IFERROR(__xludf.DUMMYFUNCTION("IMPORTRANGE(""https://docs.google.com/spreadsheets/d/1UsNK1e-WWiCo2PvGqdNfdme4m17_Ezd3J69EeeiQPD0/edit?usp=sharing"",""อุทัยธานี!R728"")"),0)</f>
        <v>0</v>
      </c>
      <c r="T30" s="555">
        <f ca="1">IFERROR(__xludf.DUMMYFUNCTION("IMPORTRANGE(""https://docs.google.com/spreadsheets/d/1UsNK1e-WWiCo2PvGqdNfdme4m17_Ezd3J69EeeiQPD0/edit?usp=sharing"",""อุทัยธานี!S728"")"),0)</f>
        <v>0</v>
      </c>
      <c r="U30" s="555">
        <f t="shared" ca="1" si="48"/>
        <v>0</v>
      </c>
      <c r="V30" s="555">
        <f t="shared" ca="1" si="49"/>
        <v>0</v>
      </c>
      <c r="W30" s="557">
        <f ca="1">IFERROR(__xludf.DUMMYFUNCTION("IMPORTRANGE(""https://docs.google.com/spreadsheets/d/1UsNK1e-WWiCo2PvGqdNfdme4m17_Ezd3J69EeeiQPD0/edit?usp=sharing"",""อุทัยธานี!I726"")"),128)</f>
        <v>128</v>
      </c>
      <c r="X30" s="558">
        <f ca="1">IFERROR(__xludf.DUMMYFUNCTION("IMPORTRANGE(""https://docs.google.com/spreadsheets/d/1UsNK1e-WWiCo2PvGqdNfdme4m17_Ezd3J69EeeiQPD0/edit?usp=sharing"",""อุทัยธานี!I727"")"),1250)</f>
        <v>1250</v>
      </c>
      <c r="Y30" s="558">
        <f ca="1">IFERROR(__xludf.DUMMYFUNCTION("IMPORTRANGE(""https://docs.google.com/spreadsheets/d/1UsNK1e-WWiCo2PvGqdNfdme4m17_Ezd3J69EeeiQPD0/edit?usp=sharing"",""อุทัยธานี!J726"")"),0)</f>
        <v>0</v>
      </c>
      <c r="Z30" s="376">
        <f t="shared" ca="1" si="51"/>
        <v>0</v>
      </c>
      <c r="AA30" s="558">
        <f ca="1">IFERROR(__xludf.DUMMYFUNCTION("IMPORTRANGE(""https://docs.google.com/spreadsheets/d/1UsNK1e-WWiCo2PvGqdNfdme4m17_Ezd3J69EeeiQPD0/edit?usp=sharing"",""อุทัยธานี!J727"")"),0)</f>
        <v>0</v>
      </c>
      <c r="AB30" s="376">
        <f t="shared" ca="1" si="52"/>
        <v>0</v>
      </c>
      <c r="AC30" s="558">
        <f ca="1">IFERROR(__xludf.DUMMYFUNCTION("IMPORTRANGE(""https://docs.google.com/spreadsheets/d/1UsNK1e-WWiCo2PvGqdNfdme4m17_Ezd3J69EeeiQPD0/edit?usp=sharing"",""อุทัยธานี!I740"")"),1000)</f>
        <v>1000</v>
      </c>
      <c r="AD30" s="558">
        <f ca="1">IFERROR(__xludf.DUMMYFUNCTION("IMPORTRANGE(""https://docs.google.com/spreadsheets/d/1UsNK1e-WWiCo2PvGqdNfdme4m17_Ezd3J69EeeiQPD0/edit?usp=sharing"",""อุทัยธานี!J740"")"),0)</f>
        <v>0</v>
      </c>
      <c r="AE30" s="376">
        <f t="shared" ca="1" si="54"/>
        <v>0</v>
      </c>
      <c r="AF30" s="558">
        <f ca="1">IFERROR(__xludf.DUMMYFUNCTION("IMPORTRANGE(""https://docs.google.com/spreadsheets/d/1UsNK1e-WWiCo2PvGqdNfdme4m17_Ezd3J69EeeiQPD0/edit?usp=sharing"",""อุทัยธานี!J741"")"),0)</f>
        <v>0</v>
      </c>
      <c r="AG30" s="558">
        <f ca="1">IFERROR(__xludf.DUMMYFUNCTION("IMPORTRANGE(""https://docs.google.com/spreadsheets/d/1UsNK1e-WWiCo2PvGqdNfdme4m17_Ezd3J69EeeiQPD0/edit?usp=sharing"",""อุทัยธานี!I742"")"),100)</f>
        <v>100</v>
      </c>
      <c r="AH30" s="558">
        <f ca="1">IFERROR(__xludf.DUMMYFUNCTION("IMPORTRANGE(""https://docs.google.com/spreadsheets/d/1UsNK1e-WWiCo2PvGqdNfdme4m17_Ezd3J69EeeiQPD0/edit?usp=sharing"",""อุทัยธานี!J742"")"),0)</f>
        <v>0</v>
      </c>
      <c r="AI30" s="376">
        <f t="shared" ca="1" si="56"/>
        <v>0</v>
      </c>
      <c r="AJ30" s="558">
        <f ca="1">IFERROR(__xludf.DUMMYFUNCTION("IMPORTRANGE(""https://docs.google.com/spreadsheets/d/1UsNK1e-WWiCo2PvGqdNfdme4m17_Ezd3J69EeeiQPD0/edit?usp=sharing"",""อุทัยธานี!I744"")"),250)</f>
        <v>250</v>
      </c>
      <c r="AK30" s="558">
        <f ca="1">IFERROR(__xludf.DUMMYFUNCTION("IMPORTRANGE(""https://docs.google.com/spreadsheets/d/1UsNK1e-WWiCo2PvGqdNfdme4m17_Ezd3J69EeeiQPD0/edit?usp=sharing"",""อุทัยธานี!J744"")"),0)</f>
        <v>0</v>
      </c>
      <c r="AL30" s="376">
        <f t="shared" ca="1" si="58"/>
        <v>0</v>
      </c>
      <c r="AM30" s="558">
        <f ca="1">IFERROR(__xludf.DUMMYFUNCTION("IMPORTRANGE(""https://docs.google.com/spreadsheets/d/1UsNK1e-WWiCo2PvGqdNfdme4m17_Ezd3J69EeeiQPD0/edit?usp=sharing"",""อุทัยธานี!J745"")"),0)</f>
        <v>0</v>
      </c>
      <c r="AN30" s="558">
        <f ca="1">IFERROR(__xludf.DUMMYFUNCTION("IMPORTRANGE(""https://docs.google.com/spreadsheets/d/1UsNK1e-WWiCo2PvGqdNfdme4m17_Ezd3J69EeeiQPD0/edit?usp=sharing"",""อุทัยธานี!I746"")"),25)</f>
        <v>25</v>
      </c>
      <c r="AO30" s="558">
        <f ca="1">IFERROR(__xludf.DUMMYFUNCTION("IMPORTRANGE(""https://docs.google.com/spreadsheets/d/1UsNK1e-WWiCo2PvGqdNfdme4m17_Ezd3J69EeeiQPD0/edit?usp=sharing"",""อุทัยธานี!J746"")"),0)</f>
        <v>0</v>
      </c>
      <c r="AP30" s="376">
        <f t="shared" ca="1" si="60"/>
        <v>0</v>
      </c>
      <c r="AQ30" s="558">
        <f ca="1">IFERROR(__xludf.DUMMYFUNCTION("IMPORTRANGE(""https://docs.google.com/spreadsheets/d/1UsNK1e-WWiCo2PvGqdNfdme4m17_Ezd3J69EeeiQPD0/edit?usp=sharing"",""อุทัยธานี!J748"")"),0)</f>
        <v>0</v>
      </c>
      <c r="AR30" s="558">
        <f ca="1">IFERROR(__xludf.DUMMYFUNCTION("IMPORTRANGE(""https://docs.google.com/spreadsheets/d/1UsNK1e-WWiCo2PvGqdNfdme4m17_Ezd3J69EeeiQPD0/edit?usp=sharing"",""อุทัยธานี!I749"")"),3)</f>
        <v>3</v>
      </c>
      <c r="AS30" s="558">
        <f ca="1">IFERROR(__xludf.DUMMYFUNCTION("IMPORTRANGE(""https://docs.google.com/spreadsheets/d/1UsNK1e-WWiCo2PvGqdNfdme4m17_Ezd3J69EeeiQPD0/edit?usp=sharing"",""อุทัยธานี!J749"")"),0)</f>
        <v>0</v>
      </c>
      <c r="AT30" s="376">
        <f t="shared" ca="1" si="62"/>
        <v>0</v>
      </c>
      <c r="AU30" s="558">
        <f ca="1">IFERROR(__xludf.DUMMYFUNCTION("IMPORTRANGE(""https://docs.google.com/spreadsheets/d/1UsNK1e-WWiCo2PvGqdNfdme4m17_Ezd3J69EeeiQPD0/edit?usp=sharing"",""อุทัยธานี!I752"")"),100)</f>
        <v>100</v>
      </c>
      <c r="AV30" s="558">
        <f ca="1">IFERROR(__xludf.DUMMYFUNCTION("IMPORTRANGE(""https://docs.google.com/spreadsheets/d/1UsNK1e-WWiCo2PvGqdNfdme4m17_Ezd3J69EeeiQPD0/edit?usp=sharing"",""อุทัยธานี!J752"")"),0)</f>
        <v>0</v>
      </c>
      <c r="AW30" s="376">
        <f t="shared" ca="1" si="64"/>
        <v>0</v>
      </c>
      <c r="AX30" s="558">
        <f ca="1">IFERROR(__xludf.DUMMYFUNCTION("IMPORTRANGE(""https://docs.google.com/spreadsheets/d/1UsNK1e-WWiCo2PvGqdNfdme4m17_Ezd3J69EeeiQPD0/edit?usp=sharing"",""อุทัยธานี!J753"")"),0)</f>
        <v>0</v>
      </c>
      <c r="AY30" s="558">
        <f ca="1">IFERROR(__xludf.DUMMYFUNCTION("IMPORTRANGE(""https://docs.google.com/spreadsheets/d/1UsNK1e-WWiCo2PvGqdNfdme4m17_Ezd3J69EeeiQPD0/edit?usp=sharing"",""อุทัยธานี!I755"")"),25)</f>
        <v>25</v>
      </c>
      <c r="AZ30" s="558">
        <f ca="1">IFERROR(__xludf.DUMMYFUNCTION("IMPORTRANGE(""https://docs.google.com/spreadsheets/d/1UsNK1e-WWiCo2PvGqdNfdme4m17_Ezd3J69EeeiQPD0/edit?usp=sharing"",""อุทัยธานี!J755"")"),0)</f>
        <v>0</v>
      </c>
      <c r="BA30" s="376">
        <f t="shared" ca="1" si="66"/>
        <v>0</v>
      </c>
      <c r="BB30" s="558">
        <f ca="1">IFERROR(__xludf.DUMMYFUNCTION("IMPORTRANGE(""https://docs.google.com/spreadsheets/d/1UsNK1e-WWiCo2PvGqdNfdme4m17_Ezd3J69EeeiQPD0/edit?usp=sharing"",""อุทัยธานี!J756"")"),0)</f>
        <v>0</v>
      </c>
    </row>
    <row r="31" spans="1:54" ht="23.25" customHeight="1" x14ac:dyDescent="0.3">
      <c r="A31" s="636" t="s">
        <v>57</v>
      </c>
      <c r="B31" s="633"/>
      <c r="C31" s="490">
        <f t="shared" si="39"/>
        <v>0</v>
      </c>
      <c r="D31" s="490">
        <f t="shared" ref="D31:I31" si="68">SUM(D32:D51)</f>
        <v>0</v>
      </c>
      <c r="E31" s="490">
        <f t="shared" si="68"/>
        <v>0</v>
      </c>
      <c r="F31" s="490">
        <f t="shared" si="68"/>
        <v>0</v>
      </c>
      <c r="G31" s="490">
        <f t="shared" si="68"/>
        <v>0</v>
      </c>
      <c r="H31" s="490">
        <f t="shared" si="68"/>
        <v>0</v>
      </c>
      <c r="I31" s="490">
        <f t="shared" si="68"/>
        <v>0</v>
      </c>
      <c r="J31" s="490">
        <f t="shared" si="41"/>
        <v>0</v>
      </c>
      <c r="K31" s="522">
        <f t="shared" si="42"/>
        <v>0</v>
      </c>
      <c r="L31" s="490">
        <f>SUM(L32:L51)</f>
        <v>0</v>
      </c>
      <c r="M31" s="491">
        <f t="shared" si="43"/>
        <v>0</v>
      </c>
      <c r="N31" s="491">
        <f t="shared" si="44"/>
        <v>0</v>
      </c>
      <c r="O31" s="523">
        <f>SUM(O32:O51)</f>
        <v>0</v>
      </c>
      <c r="P31" s="523">
        <f t="shared" si="45"/>
        <v>0</v>
      </c>
      <c r="Q31" s="491">
        <f t="shared" si="46"/>
        <v>0</v>
      </c>
      <c r="R31" s="491">
        <f t="shared" ref="R31:T31" ca="1" si="69">SUM(R32:R51)</f>
        <v>17312240</v>
      </c>
      <c r="S31" s="491">
        <f t="shared" ca="1" si="69"/>
        <v>0</v>
      </c>
      <c r="T31" s="491">
        <f t="shared" ca="1" si="69"/>
        <v>78200</v>
      </c>
      <c r="U31" s="491">
        <f t="shared" ca="1" si="48"/>
        <v>0.45170353460903961</v>
      </c>
      <c r="V31" s="491">
        <f t="shared" ca="1" si="49"/>
        <v>0</v>
      </c>
      <c r="W31" s="524">
        <f t="shared" ref="W31:Y31" ca="1" si="70">SUM(W32:W51)</f>
        <v>2202</v>
      </c>
      <c r="X31" s="262">
        <f t="shared" ca="1" si="70"/>
        <v>21500</v>
      </c>
      <c r="Y31" s="262">
        <f t="shared" ca="1" si="70"/>
        <v>0</v>
      </c>
      <c r="Z31" s="234">
        <f t="shared" ca="1" si="51"/>
        <v>0</v>
      </c>
      <c r="AA31" s="262">
        <f ca="1">SUM(AA32:AA51)</f>
        <v>0</v>
      </c>
      <c r="AB31" s="234">
        <f t="shared" ca="1" si="52"/>
        <v>0</v>
      </c>
      <c r="AC31" s="262">
        <f t="shared" ref="AC31:AD31" ca="1" si="71">SUM(AC32:AC51)</f>
        <v>17200</v>
      </c>
      <c r="AD31" s="262">
        <f t="shared" ca="1" si="71"/>
        <v>0</v>
      </c>
      <c r="AE31" s="234">
        <f t="shared" ca="1" si="54"/>
        <v>0</v>
      </c>
      <c r="AF31" s="262">
        <f t="shared" ref="AF31:AH31" ca="1" si="72">SUM(AF32:AF51)</f>
        <v>0</v>
      </c>
      <c r="AG31" s="262">
        <f t="shared" ca="1" si="72"/>
        <v>1720</v>
      </c>
      <c r="AH31" s="262">
        <f t="shared" ca="1" si="72"/>
        <v>0</v>
      </c>
      <c r="AI31" s="234">
        <f t="shared" ca="1" si="56"/>
        <v>0</v>
      </c>
      <c r="AJ31" s="262">
        <f t="shared" ref="AJ31:AK31" ca="1" si="73">SUM(AJ32:AJ51)</f>
        <v>4300</v>
      </c>
      <c r="AK31" s="262">
        <f t="shared" ca="1" si="73"/>
        <v>0</v>
      </c>
      <c r="AL31" s="234">
        <f t="shared" ca="1" si="58"/>
        <v>0</v>
      </c>
      <c r="AM31" s="262">
        <f t="shared" ref="AM31:AO31" ca="1" si="74">SUM(AM32:AM51)</f>
        <v>0</v>
      </c>
      <c r="AN31" s="262">
        <f t="shared" ca="1" si="74"/>
        <v>430</v>
      </c>
      <c r="AO31" s="262">
        <f t="shared" ca="1" si="74"/>
        <v>0</v>
      </c>
      <c r="AP31" s="234">
        <f t="shared" ca="1" si="60"/>
        <v>0</v>
      </c>
      <c r="AQ31" s="262">
        <f t="shared" ref="AQ31:AS31" ca="1" si="75">SUM(AQ32:AQ51)</f>
        <v>0</v>
      </c>
      <c r="AR31" s="262">
        <f t="shared" ca="1" si="75"/>
        <v>52</v>
      </c>
      <c r="AS31" s="262">
        <f t="shared" ca="1" si="75"/>
        <v>0</v>
      </c>
      <c r="AT31" s="234">
        <f t="shared" ca="1" si="62"/>
        <v>0</v>
      </c>
      <c r="AU31" s="262">
        <f t="shared" ref="AU31:AV31" ca="1" si="76">SUM(AU32:AU51)</f>
        <v>1720</v>
      </c>
      <c r="AV31" s="262">
        <f t="shared" ca="1" si="76"/>
        <v>0</v>
      </c>
      <c r="AW31" s="234">
        <f t="shared" ca="1" si="64"/>
        <v>0</v>
      </c>
      <c r="AX31" s="262">
        <f t="shared" ref="AX31:AZ31" ca="1" si="77">SUM(AX32:AX51)</f>
        <v>0</v>
      </c>
      <c r="AY31" s="262">
        <f t="shared" ca="1" si="77"/>
        <v>430</v>
      </c>
      <c r="AZ31" s="262">
        <f t="shared" ca="1" si="77"/>
        <v>0</v>
      </c>
      <c r="BA31" s="234">
        <f t="shared" ca="1" si="66"/>
        <v>0</v>
      </c>
      <c r="BB31" s="262">
        <f ca="1">SUM(BB32:BB51)</f>
        <v>0</v>
      </c>
    </row>
    <row r="32" spans="1:54" ht="23.25" customHeight="1" x14ac:dyDescent="0.3">
      <c r="A32" s="535">
        <v>1</v>
      </c>
      <c r="B32" s="536" t="s">
        <v>58</v>
      </c>
      <c r="C32" s="537">
        <f t="shared" si="39"/>
        <v>0</v>
      </c>
      <c r="D32" s="538">
        <f t="shared" ref="D32:D51" si="78">+E32+F32</f>
        <v>0</v>
      </c>
      <c r="E32" s="539">
        <v>0</v>
      </c>
      <c r="F32" s="539">
        <v>0</v>
      </c>
      <c r="G32" s="540">
        <v>0</v>
      </c>
      <c r="H32" s="540">
        <v>0</v>
      </c>
      <c r="I32" s="540">
        <v>0</v>
      </c>
      <c r="J32" s="496">
        <f t="shared" si="41"/>
        <v>0</v>
      </c>
      <c r="K32" s="541">
        <f t="shared" si="42"/>
        <v>0</v>
      </c>
      <c r="L32" s="540">
        <v>0</v>
      </c>
      <c r="M32" s="542">
        <f t="shared" si="43"/>
        <v>0</v>
      </c>
      <c r="N32" s="542">
        <f t="shared" si="44"/>
        <v>0</v>
      </c>
      <c r="O32" s="539">
        <v>0</v>
      </c>
      <c r="P32" s="543">
        <f t="shared" si="45"/>
        <v>0</v>
      </c>
      <c r="Q32" s="542">
        <f t="shared" si="46"/>
        <v>0</v>
      </c>
      <c r="R32" s="542">
        <f ca="1">IFERROR(__xludf.DUMMYFUNCTION("IMPORTRANGE(""https://docs.google.com/spreadsheets/d/1yhBcrRPreicbMKl9Bu_Snb2-OcQAF62RKfhTLhJ2eAA/edit?usp=sharing"",""กาฬสินธุ์!Q728"")"),1008470)</f>
        <v>1008470</v>
      </c>
      <c r="S32" s="542">
        <f ca="1">IFERROR(__xludf.DUMMYFUNCTION("IMPORTRANGE(""https://docs.google.com/spreadsheets/d/1yhBcrRPreicbMKl9Bu_Snb2-OcQAF62RKfhTLhJ2eAA/edit?usp=sharing"",""กาฬสินธุ์!R728"")"),0)</f>
        <v>0</v>
      </c>
      <c r="T32" s="542">
        <f ca="1">IFERROR(__xludf.DUMMYFUNCTION("IMPORTRANGE(""https://docs.google.com/spreadsheets/d/1yhBcrRPreicbMKl9Bu_Snb2-OcQAF62RKfhTLhJ2eAA/edit?usp=sharing"",""กาฬสินธุ์!S728"")"),0)</f>
        <v>0</v>
      </c>
      <c r="U32" s="542">
        <f t="shared" ca="1" si="48"/>
        <v>0</v>
      </c>
      <c r="V32" s="542">
        <f t="shared" ca="1" si="49"/>
        <v>0</v>
      </c>
      <c r="W32" s="544">
        <f ca="1">IFERROR(__xludf.DUMMYFUNCTION("IMPORTRANGE(""https://docs.google.com/spreadsheets/d/1yhBcrRPreicbMKl9Bu_Snb2-OcQAF62RKfhTLhJ2eAA/edit?usp=sharing"",""กาฬสินธุ์!I726"")"),128)</f>
        <v>128</v>
      </c>
      <c r="X32" s="540">
        <f ca="1">IFERROR(__xludf.DUMMYFUNCTION("IMPORTRANGE(""https://docs.google.com/spreadsheets/d/1yhBcrRPreicbMKl9Bu_Snb2-OcQAF62RKfhTLhJ2eAA/edit?usp=sharing"",""กาฬสินธุ์!I727"")"),1250)</f>
        <v>1250</v>
      </c>
      <c r="Y32" s="540">
        <f ca="1">IFERROR(__xludf.DUMMYFUNCTION("IMPORTRANGE(""https://docs.google.com/spreadsheets/d/1yhBcrRPreicbMKl9Bu_Snb2-OcQAF62RKfhTLhJ2eAA/edit?usp=sharing"",""กาฬสินธุ์!J726"")"),0)</f>
        <v>0</v>
      </c>
      <c r="Z32" s="375">
        <f t="shared" ca="1" si="51"/>
        <v>0</v>
      </c>
      <c r="AA32" s="540">
        <f ca="1">IFERROR(__xludf.DUMMYFUNCTION("IMPORTRANGE(""https://docs.google.com/spreadsheets/d/1yhBcrRPreicbMKl9Bu_Snb2-OcQAF62RKfhTLhJ2eAA/edit?usp=sharing"",""กาฬสินธุ์!J727"")"),0)</f>
        <v>0</v>
      </c>
      <c r="AB32" s="375">
        <f t="shared" ca="1" si="52"/>
        <v>0</v>
      </c>
      <c r="AC32" s="540">
        <f ca="1">IFERROR(__xludf.DUMMYFUNCTION("IMPORTRANGE(""https://docs.google.com/spreadsheets/d/1yhBcrRPreicbMKl9Bu_Snb2-OcQAF62RKfhTLhJ2eAA/edit?usp=sharing"",""กาฬสินธุ์!I740"")"),1000)</f>
        <v>1000</v>
      </c>
      <c r="AD32" s="540">
        <f ca="1">IFERROR(__xludf.DUMMYFUNCTION("IMPORTRANGE(""https://docs.google.com/spreadsheets/d/1yhBcrRPreicbMKl9Bu_Snb2-OcQAF62RKfhTLhJ2eAA/edit?usp=sharing"",""กาฬสินธุ์!J740"")"),0)</f>
        <v>0</v>
      </c>
      <c r="AE32" s="375">
        <f t="shared" ca="1" si="54"/>
        <v>0</v>
      </c>
      <c r="AF32" s="540">
        <f ca="1">IFERROR(__xludf.DUMMYFUNCTION("IMPORTRANGE(""https://docs.google.com/spreadsheets/d/1yhBcrRPreicbMKl9Bu_Snb2-OcQAF62RKfhTLhJ2eAA/edit?usp=sharing"",""กาฬสินธุ์!J741"")"),0)</f>
        <v>0</v>
      </c>
      <c r="AG32" s="540">
        <f ca="1">IFERROR(__xludf.DUMMYFUNCTION("IMPORTRANGE(""https://docs.google.com/spreadsheets/d/1yhBcrRPreicbMKl9Bu_Snb2-OcQAF62RKfhTLhJ2eAA/edit?usp=sharing"",""กาฬสินธุ์!I742"")"),100)</f>
        <v>100</v>
      </c>
      <c r="AH32" s="540">
        <f ca="1">IFERROR(__xludf.DUMMYFUNCTION("IMPORTRANGE(""https://docs.google.com/spreadsheets/d/1yhBcrRPreicbMKl9Bu_Snb2-OcQAF62RKfhTLhJ2eAA/edit?usp=sharing"",""กาฬสินธุ์!J742"")"),0)</f>
        <v>0</v>
      </c>
      <c r="AI32" s="375">
        <f t="shared" ca="1" si="56"/>
        <v>0</v>
      </c>
      <c r="AJ32" s="540">
        <f ca="1">IFERROR(__xludf.DUMMYFUNCTION("IMPORTRANGE(""https://docs.google.com/spreadsheets/d/1yhBcrRPreicbMKl9Bu_Snb2-OcQAF62RKfhTLhJ2eAA/edit?usp=sharing"",""กาฬสินธุ์!I744"")"),250)</f>
        <v>250</v>
      </c>
      <c r="AK32" s="540">
        <f ca="1">IFERROR(__xludf.DUMMYFUNCTION("IMPORTRANGE(""https://docs.google.com/spreadsheets/d/1yhBcrRPreicbMKl9Bu_Snb2-OcQAF62RKfhTLhJ2eAA/edit?usp=sharing"",""กาฬสินธุ์!J744"")"),0)</f>
        <v>0</v>
      </c>
      <c r="AL32" s="375">
        <f t="shared" ca="1" si="58"/>
        <v>0</v>
      </c>
      <c r="AM32" s="540">
        <f ca="1">IFERROR(__xludf.DUMMYFUNCTION("IMPORTRANGE(""https://docs.google.com/spreadsheets/d/1yhBcrRPreicbMKl9Bu_Snb2-OcQAF62RKfhTLhJ2eAA/edit?usp=sharing"",""กาฬสินธุ์!J745"")"),0)</f>
        <v>0</v>
      </c>
      <c r="AN32" s="540">
        <f ca="1">IFERROR(__xludf.DUMMYFUNCTION("IMPORTRANGE(""https://docs.google.com/spreadsheets/d/1yhBcrRPreicbMKl9Bu_Snb2-OcQAF62RKfhTLhJ2eAA/edit?usp=sharing"",""กาฬสินธุ์!I746"")"),25)</f>
        <v>25</v>
      </c>
      <c r="AO32" s="540">
        <f ca="1">IFERROR(__xludf.DUMMYFUNCTION("IMPORTRANGE(""https://docs.google.com/spreadsheets/d/1yhBcrRPreicbMKl9Bu_Snb2-OcQAF62RKfhTLhJ2eAA/edit?usp=sharing"",""กาฬสินธุ์!J746"")"),0)</f>
        <v>0</v>
      </c>
      <c r="AP32" s="375">
        <f t="shared" ca="1" si="60"/>
        <v>0</v>
      </c>
      <c r="AQ32" s="540">
        <f ca="1">IFERROR(__xludf.DUMMYFUNCTION("IMPORTRANGE(""https://docs.google.com/spreadsheets/d/1yhBcrRPreicbMKl9Bu_Snb2-OcQAF62RKfhTLhJ2eAA/edit?usp=sharing"",""กาฬสินธุ์!J748"")"),0)</f>
        <v>0</v>
      </c>
      <c r="AR32" s="540">
        <f ca="1">IFERROR(__xludf.DUMMYFUNCTION("IMPORTRANGE(""https://docs.google.com/spreadsheets/d/1yhBcrRPreicbMKl9Bu_Snb2-OcQAF62RKfhTLhJ2eAA/edit?usp=sharing"",""กาฬสินธุ์!I749"")"),3)</f>
        <v>3</v>
      </c>
      <c r="AS32" s="540">
        <f ca="1">IFERROR(__xludf.DUMMYFUNCTION("IMPORTRANGE(""https://docs.google.com/spreadsheets/d/1yhBcrRPreicbMKl9Bu_Snb2-OcQAF62RKfhTLhJ2eAA/edit?usp=sharing"",""กาฬสินธุ์!J749"")"),0)</f>
        <v>0</v>
      </c>
      <c r="AT32" s="375">
        <f t="shared" ca="1" si="62"/>
        <v>0</v>
      </c>
      <c r="AU32" s="540">
        <f ca="1">IFERROR(__xludf.DUMMYFUNCTION("IMPORTRANGE(""https://docs.google.com/spreadsheets/d/1yhBcrRPreicbMKl9Bu_Snb2-OcQAF62RKfhTLhJ2eAA/edit?usp=sharing"",""กาฬสินธุ์!I752"")"),100)</f>
        <v>100</v>
      </c>
      <c r="AV32" s="540">
        <f ca="1">IFERROR(__xludf.DUMMYFUNCTION("IMPORTRANGE(""https://docs.google.com/spreadsheets/d/1yhBcrRPreicbMKl9Bu_Snb2-OcQAF62RKfhTLhJ2eAA/edit?usp=sharing"",""กาฬสินธุ์!J752"")"),0)</f>
        <v>0</v>
      </c>
      <c r="AW32" s="375">
        <f t="shared" ca="1" si="64"/>
        <v>0</v>
      </c>
      <c r="AX32" s="540">
        <f ca="1">IFERROR(__xludf.DUMMYFUNCTION("IMPORTRANGE(""https://docs.google.com/spreadsheets/d/1yhBcrRPreicbMKl9Bu_Snb2-OcQAF62RKfhTLhJ2eAA/edit?usp=sharing"",""กาฬสินธุ์!J753"")"),0)</f>
        <v>0</v>
      </c>
      <c r="AY32" s="540">
        <f ca="1">IFERROR(__xludf.DUMMYFUNCTION("IMPORTRANGE(""https://docs.google.com/spreadsheets/d/1yhBcrRPreicbMKl9Bu_Snb2-OcQAF62RKfhTLhJ2eAA/edit?usp=sharing"",""กาฬสินธุ์!I755"")"),25)</f>
        <v>25</v>
      </c>
      <c r="AZ32" s="540">
        <f ca="1">IFERROR(__xludf.DUMMYFUNCTION("IMPORTRANGE(""https://docs.google.com/spreadsheets/d/1yhBcrRPreicbMKl9Bu_Snb2-OcQAF62RKfhTLhJ2eAA/edit?usp=sharing"",""กาฬสินธุ์!J755"")"),0)</f>
        <v>0</v>
      </c>
      <c r="BA32" s="375">
        <f t="shared" ca="1" si="66"/>
        <v>0</v>
      </c>
      <c r="BB32" s="540">
        <f ca="1">IFERROR(__xludf.DUMMYFUNCTION("IMPORTRANGE(""https://docs.google.com/spreadsheets/d/1yhBcrRPreicbMKl9Bu_Snb2-OcQAF62RKfhTLhJ2eAA/edit?usp=sharing"",""กาฬสินธุ์!J756"")"),0)</f>
        <v>0</v>
      </c>
    </row>
    <row r="33" spans="1:54" ht="23.25" customHeight="1" x14ac:dyDescent="0.3">
      <c r="A33" s="535">
        <v>2</v>
      </c>
      <c r="B33" s="536" t="s">
        <v>59</v>
      </c>
      <c r="C33" s="537">
        <f t="shared" si="39"/>
        <v>0</v>
      </c>
      <c r="D33" s="538">
        <f t="shared" si="78"/>
        <v>0</v>
      </c>
      <c r="E33" s="539">
        <v>0</v>
      </c>
      <c r="F33" s="539">
        <v>0</v>
      </c>
      <c r="G33" s="539">
        <v>0</v>
      </c>
      <c r="H33" s="539">
        <v>0</v>
      </c>
      <c r="I33" s="539">
        <v>0</v>
      </c>
      <c r="J33" s="545">
        <f t="shared" si="41"/>
        <v>0</v>
      </c>
      <c r="K33" s="546">
        <f t="shared" si="42"/>
        <v>0</v>
      </c>
      <c r="L33" s="539">
        <v>0</v>
      </c>
      <c r="M33" s="542">
        <f t="shared" si="43"/>
        <v>0</v>
      </c>
      <c r="N33" s="542">
        <f t="shared" si="44"/>
        <v>0</v>
      </c>
      <c r="O33" s="539">
        <v>0</v>
      </c>
      <c r="P33" s="543">
        <f t="shared" si="45"/>
        <v>0</v>
      </c>
      <c r="Q33" s="542">
        <f t="shared" si="46"/>
        <v>0</v>
      </c>
      <c r="R33" s="542">
        <f ca="1">IFERROR(__xludf.DUMMYFUNCTION("IMPORTRANGE(""https://docs.google.com/spreadsheets/d/1aHkj4IaQMThhwWwevcOymEh837vdxeC_PycurhTbGFA/edit?usp=sharing"",""ขอนแก่น!Q728"")"),1008470)</f>
        <v>1008470</v>
      </c>
      <c r="S33" s="542">
        <f ca="1">IFERROR(__xludf.DUMMYFUNCTION("IMPORTRANGE(""https://docs.google.com/spreadsheets/d/1aHkj4IaQMThhwWwevcOymEh837vdxeC_PycurhTbGFA/edit?usp=sharing"",""ขอนแก่น!R728"")"),0)</f>
        <v>0</v>
      </c>
      <c r="T33" s="542">
        <f ca="1">IFERROR(__xludf.DUMMYFUNCTION("IMPORTRANGE(""https://docs.google.com/spreadsheets/d/1aHkj4IaQMThhwWwevcOymEh837vdxeC_PycurhTbGFA/edit?usp=sharing"",""ขอนแก่น!S728"")"),0)</f>
        <v>0</v>
      </c>
      <c r="U33" s="542">
        <f t="shared" ca="1" si="48"/>
        <v>0</v>
      </c>
      <c r="V33" s="542">
        <f t="shared" ca="1" si="49"/>
        <v>0</v>
      </c>
      <c r="W33" s="544">
        <f ca="1">IFERROR(__xludf.DUMMYFUNCTION("IMPORTRANGE(""https://docs.google.com/spreadsheets/d/1aHkj4IaQMThhwWwevcOymEh837vdxeC_PycurhTbGFA/edit?usp=sharing"",""ขอนแก่น!I726"")"),128)</f>
        <v>128</v>
      </c>
      <c r="X33" s="540">
        <f ca="1">IFERROR(__xludf.DUMMYFUNCTION("IMPORTRANGE(""https://docs.google.com/spreadsheets/d/1aHkj4IaQMThhwWwevcOymEh837vdxeC_PycurhTbGFA/edit?usp=sharing"",""ขอนแก่น!I727"")"),1250)</f>
        <v>1250</v>
      </c>
      <c r="Y33" s="540">
        <f ca="1">IFERROR(__xludf.DUMMYFUNCTION("IMPORTRANGE(""https://docs.google.com/spreadsheets/d/1aHkj4IaQMThhwWwevcOymEh837vdxeC_PycurhTbGFA/edit?usp=sharing"",""ขอนแก่น!J726"")"),0)</f>
        <v>0</v>
      </c>
      <c r="Z33" s="375">
        <f t="shared" ca="1" si="51"/>
        <v>0</v>
      </c>
      <c r="AA33" s="540">
        <f ca="1">IFERROR(__xludf.DUMMYFUNCTION("IMPORTRANGE(""https://docs.google.com/spreadsheets/d/1aHkj4IaQMThhwWwevcOymEh837vdxeC_PycurhTbGFA/edit?usp=sharing"",""ขอนแก่น!J727"")"),0)</f>
        <v>0</v>
      </c>
      <c r="AB33" s="375">
        <f t="shared" ca="1" si="52"/>
        <v>0</v>
      </c>
      <c r="AC33" s="540">
        <f ca="1">IFERROR(__xludf.DUMMYFUNCTION("IMPORTRANGE(""https://docs.google.com/spreadsheets/d/1aHkj4IaQMThhwWwevcOymEh837vdxeC_PycurhTbGFA/edit?usp=sharing"",""ขอนแก่น!I740"")"),1000)</f>
        <v>1000</v>
      </c>
      <c r="AD33" s="540">
        <f ca="1">IFERROR(__xludf.DUMMYFUNCTION("IMPORTRANGE(""https://docs.google.com/spreadsheets/d/1aHkj4IaQMThhwWwevcOymEh837vdxeC_PycurhTbGFA/edit?usp=sharing"",""ขอนแก่น!J740"")"),0)</f>
        <v>0</v>
      </c>
      <c r="AE33" s="375">
        <f t="shared" ca="1" si="54"/>
        <v>0</v>
      </c>
      <c r="AF33" s="540">
        <f ca="1">IFERROR(__xludf.DUMMYFUNCTION("IMPORTRANGE(""https://docs.google.com/spreadsheets/d/1aHkj4IaQMThhwWwevcOymEh837vdxeC_PycurhTbGFA/edit?usp=sharing"",""ขอนแก่น!J741"")"),0)</f>
        <v>0</v>
      </c>
      <c r="AG33" s="540">
        <f ca="1">IFERROR(__xludf.DUMMYFUNCTION("IMPORTRANGE(""https://docs.google.com/spreadsheets/d/1aHkj4IaQMThhwWwevcOymEh837vdxeC_PycurhTbGFA/edit?usp=sharing"",""ขอนแก่น!I742"")"),100)</f>
        <v>100</v>
      </c>
      <c r="AH33" s="540">
        <f ca="1">IFERROR(__xludf.DUMMYFUNCTION("IMPORTRANGE(""https://docs.google.com/spreadsheets/d/1aHkj4IaQMThhwWwevcOymEh837vdxeC_PycurhTbGFA/edit?usp=sharing"",""ขอนแก่น!J742"")"),0)</f>
        <v>0</v>
      </c>
      <c r="AI33" s="375">
        <f t="shared" ca="1" si="56"/>
        <v>0</v>
      </c>
      <c r="AJ33" s="540">
        <f ca="1">IFERROR(__xludf.DUMMYFUNCTION("IMPORTRANGE(""https://docs.google.com/spreadsheets/d/1aHkj4IaQMThhwWwevcOymEh837vdxeC_PycurhTbGFA/edit?usp=sharing"",""ขอนแก่น!I744"")"),250)</f>
        <v>250</v>
      </c>
      <c r="AK33" s="540">
        <f ca="1">IFERROR(__xludf.DUMMYFUNCTION("IMPORTRANGE(""https://docs.google.com/spreadsheets/d/1aHkj4IaQMThhwWwevcOymEh837vdxeC_PycurhTbGFA/edit?usp=sharing"",""ขอนแก่น!J744"")"),0)</f>
        <v>0</v>
      </c>
      <c r="AL33" s="375">
        <f t="shared" ca="1" si="58"/>
        <v>0</v>
      </c>
      <c r="AM33" s="540">
        <f ca="1">IFERROR(__xludf.DUMMYFUNCTION("IMPORTRANGE(""https://docs.google.com/spreadsheets/d/1aHkj4IaQMThhwWwevcOymEh837vdxeC_PycurhTbGFA/edit?usp=sharing"",""ขอนแก่น!J745"")"),0)</f>
        <v>0</v>
      </c>
      <c r="AN33" s="540">
        <f ca="1">IFERROR(__xludf.DUMMYFUNCTION("IMPORTRANGE(""https://docs.google.com/spreadsheets/d/1aHkj4IaQMThhwWwevcOymEh837vdxeC_PycurhTbGFA/edit?usp=sharing"",""ขอนแก่น!I746"")"),25)</f>
        <v>25</v>
      </c>
      <c r="AO33" s="540">
        <f ca="1">IFERROR(__xludf.DUMMYFUNCTION("IMPORTRANGE(""https://docs.google.com/spreadsheets/d/1aHkj4IaQMThhwWwevcOymEh837vdxeC_PycurhTbGFA/edit?usp=sharing"",""ขอนแก่น!J746"")"),0)</f>
        <v>0</v>
      </c>
      <c r="AP33" s="375">
        <f t="shared" ca="1" si="60"/>
        <v>0</v>
      </c>
      <c r="AQ33" s="540">
        <f ca="1">IFERROR(__xludf.DUMMYFUNCTION("IMPORTRANGE(""https://docs.google.com/spreadsheets/d/1aHkj4IaQMThhwWwevcOymEh837vdxeC_PycurhTbGFA/edit?usp=sharing"",""ขอนแก่น!J748"")"),0)</f>
        <v>0</v>
      </c>
      <c r="AR33" s="540">
        <f ca="1">IFERROR(__xludf.DUMMYFUNCTION("IMPORTRANGE(""https://docs.google.com/spreadsheets/d/1aHkj4IaQMThhwWwevcOymEh837vdxeC_PycurhTbGFA/edit?usp=sharing"",""ขอนแก่น!I749"")"),3)</f>
        <v>3</v>
      </c>
      <c r="AS33" s="540">
        <f ca="1">IFERROR(__xludf.DUMMYFUNCTION("IMPORTRANGE(""https://docs.google.com/spreadsheets/d/1aHkj4IaQMThhwWwevcOymEh837vdxeC_PycurhTbGFA/edit?usp=sharing"",""ขอนแก่น!J749"")"),0)</f>
        <v>0</v>
      </c>
      <c r="AT33" s="375">
        <f t="shared" ca="1" si="62"/>
        <v>0</v>
      </c>
      <c r="AU33" s="540">
        <f ca="1">IFERROR(__xludf.DUMMYFUNCTION("IMPORTRANGE(""https://docs.google.com/spreadsheets/d/1aHkj4IaQMThhwWwevcOymEh837vdxeC_PycurhTbGFA/edit?usp=sharing"",""ขอนแก่น!I752"")"),100)</f>
        <v>100</v>
      </c>
      <c r="AV33" s="540">
        <f ca="1">IFERROR(__xludf.DUMMYFUNCTION("IMPORTRANGE(""https://docs.google.com/spreadsheets/d/1aHkj4IaQMThhwWwevcOymEh837vdxeC_PycurhTbGFA/edit?usp=sharing"",""ขอนแก่น!J752"")"),0)</f>
        <v>0</v>
      </c>
      <c r="AW33" s="375">
        <f t="shared" ca="1" si="64"/>
        <v>0</v>
      </c>
      <c r="AX33" s="540">
        <f ca="1">IFERROR(__xludf.DUMMYFUNCTION("IMPORTRANGE(""https://docs.google.com/spreadsheets/d/1aHkj4IaQMThhwWwevcOymEh837vdxeC_PycurhTbGFA/edit?usp=sharing"",""ขอนแก่น!J753"")"),0)</f>
        <v>0</v>
      </c>
      <c r="AY33" s="540">
        <f ca="1">IFERROR(__xludf.DUMMYFUNCTION("IMPORTRANGE(""https://docs.google.com/spreadsheets/d/1aHkj4IaQMThhwWwevcOymEh837vdxeC_PycurhTbGFA/edit?usp=sharing"",""ขอนแก่น!I755"")"),25)</f>
        <v>25</v>
      </c>
      <c r="AZ33" s="540">
        <f ca="1">IFERROR(__xludf.DUMMYFUNCTION("IMPORTRANGE(""https://docs.google.com/spreadsheets/d/1aHkj4IaQMThhwWwevcOymEh837vdxeC_PycurhTbGFA/edit?usp=sharing"",""ขอนแก่น!J755"")"),0)</f>
        <v>0</v>
      </c>
      <c r="BA33" s="375">
        <f t="shared" ca="1" si="66"/>
        <v>0</v>
      </c>
      <c r="BB33" s="540">
        <f ca="1">IFERROR(__xludf.DUMMYFUNCTION("IMPORTRANGE(""https://docs.google.com/spreadsheets/d/1aHkj4IaQMThhwWwevcOymEh837vdxeC_PycurhTbGFA/edit?usp=sharing"",""ขอนแก่น!J756"")"),0)</f>
        <v>0</v>
      </c>
    </row>
    <row r="34" spans="1:54" ht="23.25" customHeight="1" x14ac:dyDescent="0.3">
      <c r="A34" s="535">
        <v>3</v>
      </c>
      <c r="B34" s="536" t="s">
        <v>60</v>
      </c>
      <c r="C34" s="537">
        <f t="shared" si="39"/>
        <v>0</v>
      </c>
      <c r="D34" s="538">
        <f t="shared" si="78"/>
        <v>0</v>
      </c>
      <c r="E34" s="539">
        <v>0</v>
      </c>
      <c r="F34" s="539">
        <v>0</v>
      </c>
      <c r="G34" s="539">
        <v>0</v>
      </c>
      <c r="H34" s="539">
        <v>0</v>
      </c>
      <c r="I34" s="539">
        <v>0</v>
      </c>
      <c r="J34" s="545">
        <f t="shared" si="41"/>
        <v>0</v>
      </c>
      <c r="K34" s="546">
        <f t="shared" si="42"/>
        <v>0</v>
      </c>
      <c r="L34" s="539">
        <v>0</v>
      </c>
      <c r="M34" s="542">
        <f t="shared" si="43"/>
        <v>0</v>
      </c>
      <c r="N34" s="542">
        <f t="shared" si="44"/>
        <v>0</v>
      </c>
      <c r="O34" s="539">
        <v>0</v>
      </c>
      <c r="P34" s="543">
        <f t="shared" si="45"/>
        <v>0</v>
      </c>
      <c r="Q34" s="542">
        <f t="shared" si="46"/>
        <v>0</v>
      </c>
      <c r="R34" s="542">
        <f ca="1">IFERROR(__xludf.DUMMYFUNCTION("IMPORTRANGE(""https://docs.google.com/spreadsheets/d/1FvTu2DsIWUjP6WCWra38Bkj_oOl_sOMf14r5Fg5srxU/edit?usp=sharing"",""ชัยภูมิ!Q728"")"),1008470)</f>
        <v>1008470</v>
      </c>
      <c r="S34" s="542">
        <f ca="1">IFERROR(__xludf.DUMMYFUNCTION("IMPORTRANGE(""https://docs.google.com/spreadsheets/d/1FvTu2DsIWUjP6WCWra38Bkj_oOl_sOMf14r5Fg5srxU/edit?usp=sharing"",""ชัยภูมิ!R728"")"),0)</f>
        <v>0</v>
      </c>
      <c r="T34" s="542">
        <f ca="1">IFERROR(__xludf.DUMMYFUNCTION("IMPORTRANGE(""https://docs.google.com/spreadsheets/d/1FvTu2DsIWUjP6WCWra38Bkj_oOl_sOMf14r5Fg5srxU/edit?usp=sharing"",""ชัยภูมิ!S728"")"),1860)</f>
        <v>1860</v>
      </c>
      <c r="U34" s="542">
        <f t="shared" ca="1" si="48"/>
        <v>0.18443781173460788</v>
      </c>
      <c r="V34" s="542">
        <f t="shared" ca="1" si="49"/>
        <v>0</v>
      </c>
      <c r="W34" s="544">
        <f ca="1">IFERROR(__xludf.DUMMYFUNCTION("IMPORTRANGE(""https://docs.google.com/spreadsheets/d/1FvTu2DsIWUjP6WCWra38Bkj_oOl_sOMf14r5Fg5srxU/edit?usp=sharing"",""ชัยภูมิ!I726"")"),128)</f>
        <v>128</v>
      </c>
      <c r="X34" s="540">
        <f ca="1">IFERROR(__xludf.DUMMYFUNCTION("IMPORTRANGE(""https://docs.google.com/spreadsheets/d/1FvTu2DsIWUjP6WCWra38Bkj_oOl_sOMf14r5Fg5srxU/edit?usp=sharing"",""ชัยภูมิ!I727"")"),1250)</f>
        <v>1250</v>
      </c>
      <c r="Y34" s="540">
        <f ca="1">IFERROR(__xludf.DUMMYFUNCTION("IMPORTRANGE(""https://docs.google.com/spreadsheets/d/1FvTu2DsIWUjP6WCWra38Bkj_oOl_sOMf14r5Fg5srxU/edit?usp=sharing"",""ชัยภูมิ!J726"")"),0)</f>
        <v>0</v>
      </c>
      <c r="Z34" s="375">
        <f t="shared" ca="1" si="51"/>
        <v>0</v>
      </c>
      <c r="AA34" s="540">
        <f ca="1">IFERROR(__xludf.DUMMYFUNCTION("IMPORTRANGE(""https://docs.google.com/spreadsheets/d/1FvTu2DsIWUjP6WCWra38Bkj_oOl_sOMf14r5Fg5srxU/edit?usp=sharing"",""ชัยภูมิ!J727"")"),0)</f>
        <v>0</v>
      </c>
      <c r="AB34" s="375">
        <f t="shared" ca="1" si="52"/>
        <v>0</v>
      </c>
      <c r="AC34" s="540">
        <f ca="1">IFERROR(__xludf.DUMMYFUNCTION("IMPORTRANGE(""https://docs.google.com/spreadsheets/d/1FvTu2DsIWUjP6WCWra38Bkj_oOl_sOMf14r5Fg5srxU/edit?usp=sharing"",""ชัยภูมิ!I740"")"),1000)</f>
        <v>1000</v>
      </c>
      <c r="AD34" s="540">
        <f ca="1">IFERROR(__xludf.DUMMYFUNCTION("IMPORTRANGE(""https://docs.google.com/spreadsheets/d/1FvTu2DsIWUjP6WCWra38Bkj_oOl_sOMf14r5Fg5srxU/edit?usp=sharing"",""ชัยภูมิ!J740"")"),0)</f>
        <v>0</v>
      </c>
      <c r="AE34" s="375">
        <f t="shared" ca="1" si="54"/>
        <v>0</v>
      </c>
      <c r="AF34" s="540">
        <f ca="1">IFERROR(__xludf.DUMMYFUNCTION("IMPORTRANGE(""https://docs.google.com/spreadsheets/d/1FvTu2DsIWUjP6WCWra38Bkj_oOl_sOMf14r5Fg5srxU/edit?usp=sharing"",""ชัยภูมิ!J741"")"),0)</f>
        <v>0</v>
      </c>
      <c r="AG34" s="540">
        <f ca="1">IFERROR(__xludf.DUMMYFUNCTION("IMPORTRANGE(""https://docs.google.com/spreadsheets/d/1FvTu2DsIWUjP6WCWra38Bkj_oOl_sOMf14r5Fg5srxU/edit?usp=sharing"",""ชัยภูมิ!I742"")"),100)</f>
        <v>100</v>
      </c>
      <c r="AH34" s="540">
        <f ca="1">IFERROR(__xludf.DUMMYFUNCTION("IMPORTRANGE(""https://docs.google.com/spreadsheets/d/1FvTu2DsIWUjP6WCWra38Bkj_oOl_sOMf14r5Fg5srxU/edit?usp=sharing"",""ชัยภูมิ!J742"")"),0)</f>
        <v>0</v>
      </c>
      <c r="AI34" s="375">
        <f t="shared" ca="1" si="56"/>
        <v>0</v>
      </c>
      <c r="AJ34" s="540">
        <f ca="1">IFERROR(__xludf.DUMMYFUNCTION("IMPORTRANGE(""https://docs.google.com/spreadsheets/d/1FvTu2DsIWUjP6WCWra38Bkj_oOl_sOMf14r5Fg5srxU/edit?usp=sharing"",""ชัยภูมิ!I744"")"),250)</f>
        <v>250</v>
      </c>
      <c r="AK34" s="540">
        <f ca="1">IFERROR(__xludf.DUMMYFUNCTION("IMPORTRANGE(""https://docs.google.com/spreadsheets/d/1FvTu2DsIWUjP6WCWra38Bkj_oOl_sOMf14r5Fg5srxU/edit?usp=sharing"",""ชัยภูมิ!J744"")"),0)</f>
        <v>0</v>
      </c>
      <c r="AL34" s="375">
        <f t="shared" ca="1" si="58"/>
        <v>0</v>
      </c>
      <c r="AM34" s="540">
        <f ca="1">IFERROR(__xludf.DUMMYFUNCTION("IMPORTRANGE(""https://docs.google.com/spreadsheets/d/1FvTu2DsIWUjP6WCWra38Bkj_oOl_sOMf14r5Fg5srxU/edit?usp=sharing"",""ชัยภูมิ!J745"")"),0)</f>
        <v>0</v>
      </c>
      <c r="AN34" s="540">
        <f ca="1">IFERROR(__xludf.DUMMYFUNCTION("IMPORTRANGE(""https://docs.google.com/spreadsheets/d/1FvTu2DsIWUjP6WCWra38Bkj_oOl_sOMf14r5Fg5srxU/edit?usp=sharing"",""ชัยภูมิ!I746"")"),25)</f>
        <v>25</v>
      </c>
      <c r="AO34" s="540">
        <f ca="1">IFERROR(__xludf.DUMMYFUNCTION("IMPORTRANGE(""https://docs.google.com/spreadsheets/d/1FvTu2DsIWUjP6WCWra38Bkj_oOl_sOMf14r5Fg5srxU/edit?usp=sharing"",""ชัยภูมิ!J746"")"),0)</f>
        <v>0</v>
      </c>
      <c r="AP34" s="375">
        <f t="shared" ca="1" si="60"/>
        <v>0</v>
      </c>
      <c r="AQ34" s="540">
        <f ca="1">IFERROR(__xludf.DUMMYFUNCTION("IMPORTRANGE(""https://docs.google.com/spreadsheets/d/1FvTu2DsIWUjP6WCWra38Bkj_oOl_sOMf14r5Fg5srxU/edit?usp=sharing"",""ชัยภูมิ!J748"")"),0)</f>
        <v>0</v>
      </c>
      <c r="AR34" s="540">
        <f ca="1">IFERROR(__xludf.DUMMYFUNCTION("IMPORTRANGE(""https://docs.google.com/spreadsheets/d/1FvTu2DsIWUjP6WCWra38Bkj_oOl_sOMf14r5Fg5srxU/edit?usp=sharing"",""ชัยภูมิ!I749"")"),3)</f>
        <v>3</v>
      </c>
      <c r="AS34" s="540">
        <f ca="1">IFERROR(__xludf.DUMMYFUNCTION("IMPORTRANGE(""https://docs.google.com/spreadsheets/d/1FvTu2DsIWUjP6WCWra38Bkj_oOl_sOMf14r5Fg5srxU/edit?usp=sharing"",""ชัยภูมิ!J749"")"),0)</f>
        <v>0</v>
      </c>
      <c r="AT34" s="375">
        <f t="shared" ca="1" si="62"/>
        <v>0</v>
      </c>
      <c r="AU34" s="540">
        <f ca="1">IFERROR(__xludf.DUMMYFUNCTION("IMPORTRANGE(""https://docs.google.com/spreadsheets/d/1FvTu2DsIWUjP6WCWra38Bkj_oOl_sOMf14r5Fg5srxU/edit?usp=sharing"",""ชัยภูมิ!I752"")"),100)</f>
        <v>100</v>
      </c>
      <c r="AV34" s="540">
        <f ca="1">IFERROR(__xludf.DUMMYFUNCTION("IMPORTRANGE(""https://docs.google.com/spreadsheets/d/1FvTu2DsIWUjP6WCWra38Bkj_oOl_sOMf14r5Fg5srxU/edit?usp=sharing"",""ชัยภูมิ!J752"")"),0)</f>
        <v>0</v>
      </c>
      <c r="AW34" s="375">
        <f t="shared" ca="1" si="64"/>
        <v>0</v>
      </c>
      <c r="AX34" s="559">
        <f ca="1">IFERROR(__xludf.DUMMYFUNCTION("IMPORTRANGE(""https://docs.google.com/spreadsheets/d/1FvTu2DsIWUjP6WCWra38Bkj_oOl_sOMf14r5Fg5srxU/edit?usp=sharing"",""ชัยภูมิ!J753"")"),0)</f>
        <v>0</v>
      </c>
      <c r="AY34" s="540">
        <f ca="1">IFERROR(__xludf.DUMMYFUNCTION("IMPORTRANGE(""https://docs.google.com/spreadsheets/d/1FvTu2DsIWUjP6WCWra38Bkj_oOl_sOMf14r5Fg5srxU/edit?usp=sharing"",""ชัยภูมิ!I755"")"),25)</f>
        <v>25</v>
      </c>
      <c r="AZ34" s="540">
        <f ca="1">IFERROR(__xludf.DUMMYFUNCTION("IMPORTRANGE(""https://docs.google.com/spreadsheets/d/1FvTu2DsIWUjP6WCWra38Bkj_oOl_sOMf14r5Fg5srxU/edit?usp=sharing"",""ชัยภูมิ!J755"")"),0)</f>
        <v>0</v>
      </c>
      <c r="BA34" s="375">
        <f t="shared" ca="1" si="66"/>
        <v>0</v>
      </c>
      <c r="BB34" s="540">
        <f ca="1">IFERROR(__xludf.DUMMYFUNCTION("IMPORTRANGE(""https://docs.google.com/spreadsheets/d/1FvTu2DsIWUjP6WCWra38Bkj_oOl_sOMf14r5Fg5srxU/edit?usp=sharing"",""ชัยภูมิ!J756"")"),0)</f>
        <v>0</v>
      </c>
    </row>
    <row r="35" spans="1:54" ht="23.25" customHeight="1" x14ac:dyDescent="0.3">
      <c r="A35" s="535">
        <v>4</v>
      </c>
      <c r="B35" s="536" t="s">
        <v>61</v>
      </c>
      <c r="C35" s="537">
        <f t="shared" si="39"/>
        <v>0</v>
      </c>
      <c r="D35" s="538">
        <f t="shared" si="78"/>
        <v>0</v>
      </c>
      <c r="E35" s="539">
        <v>0</v>
      </c>
      <c r="F35" s="539">
        <v>0</v>
      </c>
      <c r="G35" s="539">
        <v>0</v>
      </c>
      <c r="H35" s="539">
        <v>0</v>
      </c>
      <c r="I35" s="539">
        <v>0</v>
      </c>
      <c r="J35" s="545">
        <f t="shared" si="41"/>
        <v>0</v>
      </c>
      <c r="K35" s="546">
        <f t="shared" si="42"/>
        <v>0</v>
      </c>
      <c r="L35" s="539">
        <v>0</v>
      </c>
      <c r="M35" s="542">
        <f t="shared" si="43"/>
        <v>0</v>
      </c>
      <c r="N35" s="542">
        <f t="shared" si="44"/>
        <v>0</v>
      </c>
      <c r="O35" s="539">
        <v>0</v>
      </c>
      <c r="P35" s="543">
        <f t="shared" si="45"/>
        <v>0</v>
      </c>
      <c r="Q35" s="542">
        <f t="shared" si="46"/>
        <v>0</v>
      </c>
      <c r="R35" s="542">
        <f ca="1">IFERROR(__xludf.DUMMYFUNCTION("IMPORTRANGE(""https://docs.google.com/spreadsheets/d/1XVB7oCJ3pr-vBUdflwPQ8Z2LlzhnCvZaaYjAfP-647E/edit?usp=sharing"",""นครพนม!Q728"")"),1008470)</f>
        <v>1008470</v>
      </c>
      <c r="S35" s="542">
        <f ca="1">IFERROR(__xludf.DUMMYFUNCTION("IMPORTRANGE(""https://docs.google.com/spreadsheets/d/1XVB7oCJ3pr-vBUdflwPQ8Z2LlzhnCvZaaYjAfP-647E/edit?usp=sharing"",""นครพนม!R728"")"),0)</f>
        <v>0</v>
      </c>
      <c r="T35" s="542">
        <f ca="1">IFERROR(__xludf.DUMMYFUNCTION("IMPORTRANGE(""https://docs.google.com/spreadsheets/d/1XVB7oCJ3pr-vBUdflwPQ8Z2LlzhnCvZaaYjAfP-647E/edit?usp=sharing"",""นครพนม!S728"")"),0)</f>
        <v>0</v>
      </c>
      <c r="U35" s="542">
        <f t="shared" ca="1" si="48"/>
        <v>0</v>
      </c>
      <c r="V35" s="542">
        <f t="shared" ca="1" si="49"/>
        <v>0</v>
      </c>
      <c r="W35" s="544">
        <f ca="1">IFERROR(__xludf.DUMMYFUNCTION("IMPORTRANGE(""https://docs.google.com/spreadsheets/d/1XVB7oCJ3pr-vBUdflwPQ8Z2LlzhnCvZaaYjAfP-647E/edit?usp=sharing"",""นครพนม!I726"")"),128)</f>
        <v>128</v>
      </c>
      <c r="X35" s="540">
        <f ca="1">IFERROR(__xludf.DUMMYFUNCTION("IMPORTRANGE(""https://docs.google.com/spreadsheets/d/1XVB7oCJ3pr-vBUdflwPQ8Z2LlzhnCvZaaYjAfP-647E/edit?usp=sharing"",""นครพนม!I727"")"),1250)</f>
        <v>1250</v>
      </c>
      <c r="Y35" s="540">
        <f ca="1">IFERROR(__xludf.DUMMYFUNCTION("IMPORTRANGE(""https://docs.google.com/spreadsheets/d/1XVB7oCJ3pr-vBUdflwPQ8Z2LlzhnCvZaaYjAfP-647E/edit?usp=sharing"",""นครพนม!J726"")"),0)</f>
        <v>0</v>
      </c>
      <c r="Z35" s="375">
        <f t="shared" ca="1" si="51"/>
        <v>0</v>
      </c>
      <c r="AA35" s="540">
        <f ca="1">IFERROR(__xludf.DUMMYFUNCTION("IMPORTRANGE(""https://docs.google.com/spreadsheets/d/1XVB7oCJ3pr-vBUdflwPQ8Z2LlzhnCvZaaYjAfP-647E/edit?usp=sharing"",""นครพนม!J727"")"),0)</f>
        <v>0</v>
      </c>
      <c r="AB35" s="375">
        <f t="shared" ca="1" si="52"/>
        <v>0</v>
      </c>
      <c r="AC35" s="540">
        <f ca="1">IFERROR(__xludf.DUMMYFUNCTION("IMPORTRANGE(""https://docs.google.com/spreadsheets/d/1XVB7oCJ3pr-vBUdflwPQ8Z2LlzhnCvZaaYjAfP-647E/edit?usp=sharing"",""นครพนม!I740"")"),1000)</f>
        <v>1000</v>
      </c>
      <c r="AD35" s="540">
        <f ca="1">IFERROR(__xludf.DUMMYFUNCTION("IMPORTRANGE(""https://docs.google.com/spreadsheets/d/1XVB7oCJ3pr-vBUdflwPQ8Z2LlzhnCvZaaYjAfP-647E/edit?usp=sharing"",""นครพนม!J740"")"),0)</f>
        <v>0</v>
      </c>
      <c r="AE35" s="375">
        <f t="shared" ca="1" si="54"/>
        <v>0</v>
      </c>
      <c r="AF35" s="540">
        <f ca="1">IFERROR(__xludf.DUMMYFUNCTION("IMPORTRANGE(""https://docs.google.com/spreadsheets/d/1XVB7oCJ3pr-vBUdflwPQ8Z2LlzhnCvZaaYjAfP-647E/edit?usp=sharing"",""นครพนม!J741"")"),0)</f>
        <v>0</v>
      </c>
      <c r="AG35" s="540">
        <f ca="1">IFERROR(__xludf.DUMMYFUNCTION("IMPORTRANGE(""https://docs.google.com/spreadsheets/d/1XVB7oCJ3pr-vBUdflwPQ8Z2LlzhnCvZaaYjAfP-647E/edit?usp=sharing"",""นครพนม!I742"")"),100)</f>
        <v>100</v>
      </c>
      <c r="AH35" s="540">
        <f ca="1">IFERROR(__xludf.DUMMYFUNCTION("IMPORTRANGE(""https://docs.google.com/spreadsheets/d/1XVB7oCJ3pr-vBUdflwPQ8Z2LlzhnCvZaaYjAfP-647E/edit?usp=sharing"",""นครพนม!J742"")"),0)</f>
        <v>0</v>
      </c>
      <c r="AI35" s="375">
        <f t="shared" ca="1" si="56"/>
        <v>0</v>
      </c>
      <c r="AJ35" s="540">
        <f ca="1">IFERROR(__xludf.DUMMYFUNCTION("IMPORTRANGE(""https://docs.google.com/spreadsheets/d/1XVB7oCJ3pr-vBUdflwPQ8Z2LlzhnCvZaaYjAfP-647E/edit?usp=sharing"",""นครพนม!I744"")"),250)</f>
        <v>250</v>
      </c>
      <c r="AK35" s="540">
        <f ca="1">IFERROR(__xludf.DUMMYFUNCTION("IMPORTRANGE(""https://docs.google.com/spreadsheets/d/1XVB7oCJ3pr-vBUdflwPQ8Z2LlzhnCvZaaYjAfP-647E/edit?usp=sharing"",""นครพนม!J744"")"),0)</f>
        <v>0</v>
      </c>
      <c r="AL35" s="375">
        <f t="shared" ca="1" si="58"/>
        <v>0</v>
      </c>
      <c r="AM35" s="540">
        <f ca="1">IFERROR(__xludf.DUMMYFUNCTION("IMPORTRANGE(""https://docs.google.com/spreadsheets/d/1XVB7oCJ3pr-vBUdflwPQ8Z2LlzhnCvZaaYjAfP-647E/edit?usp=sharing"",""นครพนม!J745"")"),0)</f>
        <v>0</v>
      </c>
      <c r="AN35" s="540">
        <f ca="1">IFERROR(__xludf.DUMMYFUNCTION("IMPORTRANGE(""https://docs.google.com/spreadsheets/d/1XVB7oCJ3pr-vBUdflwPQ8Z2LlzhnCvZaaYjAfP-647E/edit?usp=sharing"",""นครพนม!I746"")"),25)</f>
        <v>25</v>
      </c>
      <c r="AO35" s="540">
        <f ca="1">IFERROR(__xludf.DUMMYFUNCTION("IMPORTRANGE(""https://docs.google.com/spreadsheets/d/1XVB7oCJ3pr-vBUdflwPQ8Z2LlzhnCvZaaYjAfP-647E/edit?usp=sharing"",""นครพนม!J746"")"),0)</f>
        <v>0</v>
      </c>
      <c r="AP35" s="375">
        <f t="shared" ca="1" si="60"/>
        <v>0</v>
      </c>
      <c r="AQ35" s="540">
        <f ca="1">IFERROR(__xludf.DUMMYFUNCTION("IMPORTRANGE(""https://docs.google.com/spreadsheets/d/1XVB7oCJ3pr-vBUdflwPQ8Z2LlzhnCvZaaYjAfP-647E/edit?usp=sharing"",""นครพนม!J748"")"),0)</f>
        <v>0</v>
      </c>
      <c r="AR35" s="540">
        <f ca="1">IFERROR(__xludf.DUMMYFUNCTION("IMPORTRANGE(""https://docs.google.com/spreadsheets/d/1XVB7oCJ3pr-vBUdflwPQ8Z2LlzhnCvZaaYjAfP-647E/edit?usp=sharing"",""นครพนม!I749"")"),3)</f>
        <v>3</v>
      </c>
      <c r="AS35" s="540">
        <f ca="1">IFERROR(__xludf.DUMMYFUNCTION("IMPORTRANGE(""https://docs.google.com/spreadsheets/d/1XVB7oCJ3pr-vBUdflwPQ8Z2LlzhnCvZaaYjAfP-647E/edit?usp=sharing"",""นครพนม!J749"")"),0)</f>
        <v>0</v>
      </c>
      <c r="AT35" s="375">
        <f t="shared" ca="1" si="62"/>
        <v>0</v>
      </c>
      <c r="AU35" s="540">
        <f ca="1">IFERROR(__xludf.DUMMYFUNCTION("IMPORTRANGE(""https://docs.google.com/spreadsheets/d/1XVB7oCJ3pr-vBUdflwPQ8Z2LlzhnCvZaaYjAfP-647E/edit?usp=sharing"",""นครพนม!I752"")"),100)</f>
        <v>100</v>
      </c>
      <c r="AV35" s="540">
        <f ca="1">IFERROR(__xludf.DUMMYFUNCTION("IMPORTRANGE(""https://docs.google.com/spreadsheets/d/1XVB7oCJ3pr-vBUdflwPQ8Z2LlzhnCvZaaYjAfP-647E/edit?usp=sharing"",""นครพนม!J752"")"),0)</f>
        <v>0</v>
      </c>
      <c r="AW35" s="375">
        <f t="shared" ca="1" si="64"/>
        <v>0</v>
      </c>
      <c r="AX35" s="540">
        <f ca="1">IFERROR(__xludf.DUMMYFUNCTION("IMPORTRANGE(""https://docs.google.com/spreadsheets/d/1XVB7oCJ3pr-vBUdflwPQ8Z2LlzhnCvZaaYjAfP-647E/edit?usp=sharing"",""นครพนม!J753"")"),0)</f>
        <v>0</v>
      </c>
      <c r="AY35" s="540">
        <f ca="1">IFERROR(__xludf.DUMMYFUNCTION("IMPORTRANGE(""https://docs.google.com/spreadsheets/d/1XVB7oCJ3pr-vBUdflwPQ8Z2LlzhnCvZaaYjAfP-647E/edit?usp=sharing"",""นครพนม!I755"")"),25)</f>
        <v>25</v>
      </c>
      <c r="AZ35" s="540">
        <f ca="1">IFERROR(__xludf.DUMMYFUNCTION("IMPORTRANGE(""https://docs.google.com/spreadsheets/d/1XVB7oCJ3pr-vBUdflwPQ8Z2LlzhnCvZaaYjAfP-647E/edit?usp=sharing"",""นครพนม!J755"")"),0)</f>
        <v>0</v>
      </c>
      <c r="BA35" s="375">
        <f t="shared" ca="1" si="66"/>
        <v>0</v>
      </c>
      <c r="BB35" s="540">
        <f ca="1">IFERROR(__xludf.DUMMYFUNCTION("IMPORTRANGE(""https://docs.google.com/spreadsheets/d/1XVB7oCJ3pr-vBUdflwPQ8Z2LlzhnCvZaaYjAfP-647E/edit?usp=sharing"",""นครพนม!J756"")"),0)</f>
        <v>0</v>
      </c>
    </row>
    <row r="36" spans="1:54" ht="23.25" customHeight="1" x14ac:dyDescent="0.3">
      <c r="A36" s="535">
        <v>5</v>
      </c>
      <c r="B36" s="536" t="s">
        <v>62</v>
      </c>
      <c r="C36" s="537">
        <f t="shared" si="39"/>
        <v>0</v>
      </c>
      <c r="D36" s="538">
        <f t="shared" si="78"/>
        <v>0</v>
      </c>
      <c r="E36" s="539">
        <v>0</v>
      </c>
      <c r="F36" s="539">
        <v>0</v>
      </c>
      <c r="G36" s="539">
        <v>0</v>
      </c>
      <c r="H36" s="539">
        <v>0</v>
      </c>
      <c r="I36" s="539">
        <v>0</v>
      </c>
      <c r="J36" s="545">
        <f t="shared" si="41"/>
        <v>0</v>
      </c>
      <c r="K36" s="546">
        <f t="shared" si="42"/>
        <v>0</v>
      </c>
      <c r="L36" s="539">
        <v>0</v>
      </c>
      <c r="M36" s="542">
        <f t="shared" si="43"/>
        <v>0</v>
      </c>
      <c r="N36" s="542">
        <f t="shared" si="44"/>
        <v>0</v>
      </c>
      <c r="O36" s="539">
        <v>0</v>
      </c>
      <c r="P36" s="543">
        <f t="shared" si="45"/>
        <v>0</v>
      </c>
      <c r="Q36" s="542">
        <f t="shared" si="46"/>
        <v>0</v>
      </c>
      <c r="R36" s="542">
        <f ca="1">IFERROR(__xludf.DUMMYFUNCTION("IMPORTRANGE(""https://docs.google.com/spreadsheets/d/1Mnpb-8PYAgn85W6KOTD40hc_Xc55CaLfHoGAbrZ8tls/edit?usp=sharing"",""นครราชสีมา!Q728"")"),1008470)</f>
        <v>1008470</v>
      </c>
      <c r="S36" s="542">
        <f ca="1">IFERROR(__xludf.DUMMYFUNCTION("IMPORTRANGE(""https://docs.google.com/spreadsheets/d/1Mnpb-8PYAgn85W6KOTD40hc_Xc55CaLfHoGAbrZ8tls/edit?usp=sharing"",""นครราชสีมา!R728"")"),0)</f>
        <v>0</v>
      </c>
      <c r="T36" s="542">
        <f ca="1">IFERROR(__xludf.DUMMYFUNCTION("IMPORTRANGE(""https://docs.google.com/spreadsheets/d/1Mnpb-8PYAgn85W6KOTD40hc_Xc55CaLfHoGAbrZ8tls/edit?usp=sharing"",""นครราชสีมา!S728"")"),11500)</f>
        <v>11500</v>
      </c>
      <c r="U36" s="542">
        <f t="shared" ca="1" si="48"/>
        <v>1.1403413091118229</v>
      </c>
      <c r="V36" s="542">
        <f t="shared" ca="1" si="49"/>
        <v>0</v>
      </c>
      <c r="W36" s="544">
        <f ca="1">IFERROR(__xludf.DUMMYFUNCTION("IMPORTRANGE(""https://docs.google.com/spreadsheets/d/1Mnpb-8PYAgn85W6KOTD40hc_Xc55CaLfHoGAbrZ8tls/edit?usp=sharing"",""นครราชสีมา!I726"")"),128)</f>
        <v>128</v>
      </c>
      <c r="X36" s="540">
        <f ca="1">IFERROR(__xludf.DUMMYFUNCTION("IMPORTRANGE(""https://docs.google.com/spreadsheets/d/1Mnpb-8PYAgn85W6KOTD40hc_Xc55CaLfHoGAbrZ8tls/edit?usp=sharing"",""นครราชสีมา!I727"")"),1250)</f>
        <v>1250</v>
      </c>
      <c r="Y36" s="540">
        <f ca="1">IFERROR(__xludf.DUMMYFUNCTION("IMPORTRANGE(""https://docs.google.com/spreadsheets/d/1Mnpb-8PYAgn85W6KOTD40hc_Xc55CaLfHoGAbrZ8tls/edit?usp=sharing"",""นครราชสีมา!J726"")"),0)</f>
        <v>0</v>
      </c>
      <c r="Z36" s="375">
        <f t="shared" ca="1" si="51"/>
        <v>0</v>
      </c>
      <c r="AA36" s="540">
        <f ca="1">IFERROR(__xludf.DUMMYFUNCTION("IMPORTRANGE(""https://docs.google.com/spreadsheets/d/1Mnpb-8PYAgn85W6KOTD40hc_Xc55CaLfHoGAbrZ8tls/edit?usp=sharing"",""นครราชสีมา!J727"")"),0)</f>
        <v>0</v>
      </c>
      <c r="AB36" s="375">
        <f t="shared" ca="1" si="52"/>
        <v>0</v>
      </c>
      <c r="AC36" s="540">
        <f ca="1">IFERROR(__xludf.DUMMYFUNCTION("IMPORTRANGE(""https://docs.google.com/spreadsheets/d/1Mnpb-8PYAgn85W6KOTD40hc_Xc55CaLfHoGAbrZ8tls/edit?usp=sharing"",""นครราชสีมา!I740"")"),1000)</f>
        <v>1000</v>
      </c>
      <c r="AD36" s="540">
        <f ca="1">IFERROR(__xludf.DUMMYFUNCTION("IMPORTRANGE(""https://docs.google.com/spreadsheets/d/1Mnpb-8PYAgn85W6KOTD40hc_Xc55CaLfHoGAbrZ8tls/edit?usp=sharing"",""นครราชสีมา!J740"")"),0)</f>
        <v>0</v>
      </c>
      <c r="AE36" s="375">
        <f t="shared" ca="1" si="54"/>
        <v>0</v>
      </c>
      <c r="AF36" s="540">
        <f ca="1">IFERROR(__xludf.DUMMYFUNCTION("IMPORTRANGE(""https://docs.google.com/spreadsheets/d/1Mnpb-8PYAgn85W6KOTD40hc_Xc55CaLfHoGAbrZ8tls/edit?usp=sharing"",""นครราชสีมา!J741"")"),0)</f>
        <v>0</v>
      </c>
      <c r="AG36" s="540">
        <f ca="1">IFERROR(__xludf.DUMMYFUNCTION("IMPORTRANGE(""https://docs.google.com/spreadsheets/d/1Mnpb-8PYAgn85W6KOTD40hc_Xc55CaLfHoGAbrZ8tls/edit?usp=sharing"",""นครราชสีมา!I742"")"),100)</f>
        <v>100</v>
      </c>
      <c r="AH36" s="540">
        <f ca="1">IFERROR(__xludf.DUMMYFUNCTION("IMPORTRANGE(""https://docs.google.com/spreadsheets/d/1Mnpb-8PYAgn85W6KOTD40hc_Xc55CaLfHoGAbrZ8tls/edit?usp=sharing"",""นครราชสีมา!J742"")"),0)</f>
        <v>0</v>
      </c>
      <c r="AI36" s="375">
        <f t="shared" ca="1" si="56"/>
        <v>0</v>
      </c>
      <c r="AJ36" s="540">
        <f ca="1">IFERROR(__xludf.DUMMYFUNCTION("IMPORTRANGE(""https://docs.google.com/spreadsheets/d/1Mnpb-8PYAgn85W6KOTD40hc_Xc55CaLfHoGAbrZ8tls/edit?usp=sharing"",""นครราชสีมา!I744"")"),250)</f>
        <v>250</v>
      </c>
      <c r="AK36" s="540">
        <f ca="1">IFERROR(__xludf.DUMMYFUNCTION("IMPORTRANGE(""https://docs.google.com/spreadsheets/d/1Mnpb-8PYAgn85W6KOTD40hc_Xc55CaLfHoGAbrZ8tls/edit?usp=sharing"",""นครราชสีมา!J744"")"),0)</f>
        <v>0</v>
      </c>
      <c r="AL36" s="375">
        <f t="shared" ca="1" si="58"/>
        <v>0</v>
      </c>
      <c r="AM36" s="540">
        <f ca="1">IFERROR(__xludf.DUMMYFUNCTION("IMPORTRANGE(""https://docs.google.com/spreadsheets/d/1Mnpb-8PYAgn85W6KOTD40hc_Xc55CaLfHoGAbrZ8tls/edit?usp=sharing"",""นครราชสีมา!J745"")"),0)</f>
        <v>0</v>
      </c>
      <c r="AN36" s="540">
        <f ca="1">IFERROR(__xludf.DUMMYFUNCTION("IMPORTRANGE(""https://docs.google.com/spreadsheets/d/1Mnpb-8PYAgn85W6KOTD40hc_Xc55CaLfHoGAbrZ8tls/edit?usp=sharing"",""นครราชสีมา!I746"")"),25)</f>
        <v>25</v>
      </c>
      <c r="AO36" s="540">
        <f ca="1">IFERROR(__xludf.DUMMYFUNCTION("IMPORTRANGE(""https://docs.google.com/spreadsheets/d/1Mnpb-8PYAgn85W6KOTD40hc_Xc55CaLfHoGAbrZ8tls/edit?usp=sharing"",""นครราชสีมา!J746"")"),0)</f>
        <v>0</v>
      </c>
      <c r="AP36" s="375">
        <f t="shared" ca="1" si="60"/>
        <v>0</v>
      </c>
      <c r="AQ36" s="540">
        <f ca="1">IFERROR(__xludf.DUMMYFUNCTION("IMPORTRANGE(""https://docs.google.com/spreadsheets/d/1Mnpb-8PYAgn85W6KOTD40hc_Xc55CaLfHoGAbrZ8tls/edit?usp=sharing"",""นครราชสีมา!J748"")"),0)</f>
        <v>0</v>
      </c>
      <c r="AR36" s="540">
        <f ca="1">IFERROR(__xludf.DUMMYFUNCTION("IMPORTRANGE(""https://docs.google.com/spreadsheets/d/1Mnpb-8PYAgn85W6KOTD40hc_Xc55CaLfHoGAbrZ8tls/edit?usp=sharing"",""นครราชสีมา!I749"")"),3)</f>
        <v>3</v>
      </c>
      <c r="AS36" s="540">
        <f ca="1">IFERROR(__xludf.DUMMYFUNCTION("IMPORTRANGE(""https://docs.google.com/spreadsheets/d/1Mnpb-8PYAgn85W6KOTD40hc_Xc55CaLfHoGAbrZ8tls/edit?usp=sharing"",""นครราชสีมา!J749"")"),0)</f>
        <v>0</v>
      </c>
      <c r="AT36" s="375">
        <f t="shared" ca="1" si="62"/>
        <v>0</v>
      </c>
      <c r="AU36" s="540">
        <f ca="1">IFERROR(__xludf.DUMMYFUNCTION("IMPORTRANGE(""https://docs.google.com/spreadsheets/d/1Mnpb-8PYAgn85W6KOTD40hc_Xc55CaLfHoGAbrZ8tls/edit?usp=sharing"",""นครราชสีมา!I752"")"),100)</f>
        <v>100</v>
      </c>
      <c r="AV36" s="540">
        <f ca="1">IFERROR(__xludf.DUMMYFUNCTION("IMPORTRANGE(""https://docs.google.com/spreadsheets/d/1Mnpb-8PYAgn85W6KOTD40hc_Xc55CaLfHoGAbrZ8tls/edit?usp=sharing"",""นครราชสีมา!J752"")"),0)</f>
        <v>0</v>
      </c>
      <c r="AW36" s="375">
        <f t="shared" ca="1" si="64"/>
        <v>0</v>
      </c>
      <c r="AX36" s="540">
        <f ca="1">IFERROR(__xludf.DUMMYFUNCTION("IMPORTRANGE(""https://docs.google.com/spreadsheets/d/1Mnpb-8PYAgn85W6KOTD40hc_Xc55CaLfHoGAbrZ8tls/edit?usp=sharing"",""นครราชสีมา!J753"")"),0)</f>
        <v>0</v>
      </c>
      <c r="AY36" s="540">
        <f ca="1">IFERROR(__xludf.DUMMYFUNCTION("IMPORTRANGE(""https://docs.google.com/spreadsheets/d/1Mnpb-8PYAgn85W6KOTD40hc_Xc55CaLfHoGAbrZ8tls/edit?usp=sharing"",""นครราชสีมา!I755"")"),25)</f>
        <v>25</v>
      </c>
      <c r="AZ36" s="540">
        <f ca="1">IFERROR(__xludf.DUMMYFUNCTION("IMPORTRANGE(""https://docs.google.com/spreadsheets/d/1Mnpb-8PYAgn85W6KOTD40hc_Xc55CaLfHoGAbrZ8tls/edit?usp=sharing"",""นครราชสีมา!J755"")"),0)</f>
        <v>0</v>
      </c>
      <c r="BA36" s="375">
        <f t="shared" ca="1" si="66"/>
        <v>0</v>
      </c>
      <c r="BB36" s="540">
        <f ca="1">IFERROR(__xludf.DUMMYFUNCTION("IMPORTRANGE(""https://docs.google.com/spreadsheets/d/1Mnpb-8PYAgn85W6KOTD40hc_Xc55CaLfHoGAbrZ8tls/edit?usp=sharing"",""นครราชสีมา!J756"")"),0)</f>
        <v>0</v>
      </c>
    </row>
    <row r="37" spans="1:54" ht="23.25" customHeight="1" x14ac:dyDescent="0.3">
      <c r="A37" s="535">
        <v>6</v>
      </c>
      <c r="B37" s="536" t="s">
        <v>63</v>
      </c>
      <c r="C37" s="537">
        <f t="shared" si="39"/>
        <v>0</v>
      </c>
      <c r="D37" s="538">
        <f t="shared" si="78"/>
        <v>0</v>
      </c>
      <c r="E37" s="539">
        <v>0</v>
      </c>
      <c r="F37" s="539">
        <v>0</v>
      </c>
      <c r="G37" s="539">
        <v>0</v>
      </c>
      <c r="H37" s="539">
        <v>0</v>
      </c>
      <c r="I37" s="539">
        <v>0</v>
      </c>
      <c r="J37" s="545">
        <f t="shared" si="41"/>
        <v>0</v>
      </c>
      <c r="K37" s="546">
        <f t="shared" si="42"/>
        <v>0</v>
      </c>
      <c r="L37" s="539">
        <v>0</v>
      </c>
      <c r="M37" s="542">
        <f t="shared" si="43"/>
        <v>0</v>
      </c>
      <c r="N37" s="542">
        <f t="shared" si="44"/>
        <v>0</v>
      </c>
      <c r="O37" s="539">
        <v>0</v>
      </c>
      <c r="P37" s="543">
        <f t="shared" si="45"/>
        <v>0</v>
      </c>
      <c r="Q37" s="542">
        <f t="shared" si="46"/>
        <v>0</v>
      </c>
      <c r="R37" s="542">
        <f ca="1">IFERROR(__xludf.DUMMYFUNCTION("IMPORTRANGE(""https://docs.google.com/spreadsheets/d/1xoDLGBv9CYbyosIhki0kTq6IpYNj-gpjxfobnaDiut0/edit?usp=sharing"",""บึงกาฬ!Q728"")"),1008470)</f>
        <v>1008470</v>
      </c>
      <c r="S37" s="542">
        <f ca="1">IFERROR(__xludf.DUMMYFUNCTION("IMPORTRANGE(""https://docs.google.com/spreadsheets/d/1xoDLGBv9CYbyosIhki0kTq6IpYNj-gpjxfobnaDiut0/edit?usp=sharing"",""บึงกาฬ!R728"")"),0)</f>
        <v>0</v>
      </c>
      <c r="T37" s="542">
        <f ca="1">IFERROR(__xludf.DUMMYFUNCTION("IMPORTRANGE(""https://docs.google.com/spreadsheets/d/1xoDLGBv9CYbyosIhki0kTq6IpYNj-gpjxfobnaDiut0/edit?usp=sharing"",""บึงกาฬ!S728"")"),0)</f>
        <v>0</v>
      </c>
      <c r="U37" s="542">
        <f t="shared" ca="1" si="48"/>
        <v>0</v>
      </c>
      <c r="V37" s="542">
        <f t="shared" ca="1" si="49"/>
        <v>0</v>
      </c>
      <c r="W37" s="544">
        <f ca="1">IFERROR(__xludf.DUMMYFUNCTION("IMPORTRANGE(""https://docs.google.com/spreadsheets/d/1xoDLGBv9CYbyosIhki0kTq6IpYNj-gpjxfobnaDiut0/edit?usp=sharing"",""บึงกาฬ!I726"")"),128)</f>
        <v>128</v>
      </c>
      <c r="X37" s="540">
        <f ca="1">IFERROR(__xludf.DUMMYFUNCTION("IMPORTRANGE(""https://docs.google.com/spreadsheets/d/1xoDLGBv9CYbyosIhki0kTq6IpYNj-gpjxfobnaDiut0/edit?usp=sharing"",""บึงกาฬ!I727"")"),1250)</f>
        <v>1250</v>
      </c>
      <c r="Y37" s="540">
        <f ca="1">IFERROR(__xludf.DUMMYFUNCTION("IMPORTRANGE(""https://docs.google.com/spreadsheets/d/1xoDLGBv9CYbyosIhki0kTq6IpYNj-gpjxfobnaDiut0/edit?usp=sharing"",""บึงกาฬ!J726"")"),0)</f>
        <v>0</v>
      </c>
      <c r="Z37" s="375">
        <f t="shared" ca="1" si="51"/>
        <v>0</v>
      </c>
      <c r="AA37" s="540">
        <f ca="1">IFERROR(__xludf.DUMMYFUNCTION("IMPORTRANGE(""https://docs.google.com/spreadsheets/d/1xoDLGBv9CYbyosIhki0kTq6IpYNj-gpjxfobnaDiut0/edit?usp=sharing"",""บึงกาฬ!J727"")"),0)</f>
        <v>0</v>
      </c>
      <c r="AB37" s="375">
        <f t="shared" ca="1" si="52"/>
        <v>0</v>
      </c>
      <c r="AC37" s="540">
        <f ca="1">IFERROR(__xludf.DUMMYFUNCTION("IMPORTRANGE(""https://docs.google.com/spreadsheets/d/1xoDLGBv9CYbyosIhki0kTq6IpYNj-gpjxfobnaDiut0/edit?usp=sharing"",""บึงกาฬ!I740"")"),1000)</f>
        <v>1000</v>
      </c>
      <c r="AD37" s="540">
        <f ca="1">IFERROR(__xludf.DUMMYFUNCTION("IMPORTRANGE(""https://docs.google.com/spreadsheets/d/1xoDLGBv9CYbyosIhki0kTq6IpYNj-gpjxfobnaDiut0/edit?usp=sharing"",""บึงกาฬ!J740"")"),0)</f>
        <v>0</v>
      </c>
      <c r="AE37" s="375">
        <f t="shared" ca="1" si="54"/>
        <v>0</v>
      </c>
      <c r="AF37" s="540">
        <f ca="1">IFERROR(__xludf.DUMMYFUNCTION("IMPORTRANGE(""https://docs.google.com/spreadsheets/d/1xoDLGBv9CYbyosIhki0kTq6IpYNj-gpjxfobnaDiut0/edit?usp=sharing"",""บึงกาฬ!J741"")"),0)</f>
        <v>0</v>
      </c>
      <c r="AG37" s="540">
        <f ca="1">IFERROR(__xludf.DUMMYFUNCTION("IMPORTRANGE(""https://docs.google.com/spreadsheets/d/1xoDLGBv9CYbyosIhki0kTq6IpYNj-gpjxfobnaDiut0/edit?usp=sharing"",""บึงกาฬ!I742"")"),100)</f>
        <v>100</v>
      </c>
      <c r="AH37" s="540">
        <f ca="1">IFERROR(__xludf.DUMMYFUNCTION("IMPORTRANGE(""https://docs.google.com/spreadsheets/d/1xoDLGBv9CYbyosIhki0kTq6IpYNj-gpjxfobnaDiut0/edit?usp=sharing"",""บึงกาฬ!J742"")"),0)</f>
        <v>0</v>
      </c>
      <c r="AI37" s="375">
        <f t="shared" ca="1" si="56"/>
        <v>0</v>
      </c>
      <c r="AJ37" s="540">
        <f ca="1">IFERROR(__xludf.DUMMYFUNCTION("IMPORTRANGE(""https://docs.google.com/spreadsheets/d/1xoDLGBv9CYbyosIhki0kTq6IpYNj-gpjxfobnaDiut0/edit?usp=sharing"",""บึงกาฬ!I744"")"),250)</f>
        <v>250</v>
      </c>
      <c r="AK37" s="540">
        <f ca="1">IFERROR(__xludf.DUMMYFUNCTION("IMPORTRANGE(""https://docs.google.com/spreadsheets/d/1xoDLGBv9CYbyosIhki0kTq6IpYNj-gpjxfobnaDiut0/edit?usp=sharing"",""บึงกาฬ!J744"")"),0)</f>
        <v>0</v>
      </c>
      <c r="AL37" s="375">
        <f t="shared" ca="1" si="58"/>
        <v>0</v>
      </c>
      <c r="AM37" s="540">
        <f ca="1">IFERROR(__xludf.DUMMYFUNCTION("IMPORTRANGE(""https://docs.google.com/spreadsheets/d/1xoDLGBv9CYbyosIhki0kTq6IpYNj-gpjxfobnaDiut0/edit?usp=sharing"",""บึงกาฬ!J745"")"),0)</f>
        <v>0</v>
      </c>
      <c r="AN37" s="540">
        <f ca="1">IFERROR(__xludf.DUMMYFUNCTION("IMPORTRANGE(""https://docs.google.com/spreadsheets/d/1xoDLGBv9CYbyosIhki0kTq6IpYNj-gpjxfobnaDiut0/edit?usp=sharing"",""บึงกาฬ!I746"")"),25)</f>
        <v>25</v>
      </c>
      <c r="AO37" s="540">
        <f ca="1">IFERROR(__xludf.DUMMYFUNCTION("IMPORTRANGE(""https://docs.google.com/spreadsheets/d/1xoDLGBv9CYbyosIhki0kTq6IpYNj-gpjxfobnaDiut0/edit?usp=sharing"",""บึงกาฬ!J746"")"),0)</f>
        <v>0</v>
      </c>
      <c r="AP37" s="375">
        <f t="shared" ca="1" si="60"/>
        <v>0</v>
      </c>
      <c r="AQ37" s="540">
        <f ca="1">IFERROR(__xludf.DUMMYFUNCTION("IMPORTRANGE(""https://docs.google.com/spreadsheets/d/1xoDLGBv9CYbyosIhki0kTq6IpYNj-gpjxfobnaDiut0/edit?usp=sharing"",""บึงกาฬ!J748"")"),0)</f>
        <v>0</v>
      </c>
      <c r="AR37" s="540">
        <f ca="1">IFERROR(__xludf.DUMMYFUNCTION("IMPORTRANGE(""https://docs.google.com/spreadsheets/d/1xoDLGBv9CYbyosIhki0kTq6IpYNj-gpjxfobnaDiut0/edit?usp=sharing"",""บึงกาฬ!I749"")"),3)</f>
        <v>3</v>
      </c>
      <c r="AS37" s="540">
        <f ca="1">IFERROR(__xludf.DUMMYFUNCTION("IMPORTRANGE(""https://docs.google.com/spreadsheets/d/1xoDLGBv9CYbyosIhki0kTq6IpYNj-gpjxfobnaDiut0/edit?usp=sharing"",""บึงกาฬ!J749"")"),0)</f>
        <v>0</v>
      </c>
      <c r="AT37" s="375">
        <f t="shared" ca="1" si="62"/>
        <v>0</v>
      </c>
      <c r="AU37" s="540">
        <f ca="1">IFERROR(__xludf.DUMMYFUNCTION("IMPORTRANGE(""https://docs.google.com/spreadsheets/d/1xoDLGBv9CYbyosIhki0kTq6IpYNj-gpjxfobnaDiut0/edit?usp=sharing"",""บึงกาฬ!I752"")"),100)</f>
        <v>100</v>
      </c>
      <c r="AV37" s="540">
        <f ca="1">IFERROR(__xludf.DUMMYFUNCTION("IMPORTRANGE(""https://docs.google.com/spreadsheets/d/1xoDLGBv9CYbyosIhki0kTq6IpYNj-gpjxfobnaDiut0/edit?usp=sharing"",""บึงกาฬ!J752"")"),0)</f>
        <v>0</v>
      </c>
      <c r="AW37" s="375">
        <f t="shared" ca="1" si="64"/>
        <v>0</v>
      </c>
      <c r="AX37" s="540">
        <f ca="1">IFERROR(__xludf.DUMMYFUNCTION("IMPORTRANGE(""https://docs.google.com/spreadsheets/d/1xoDLGBv9CYbyosIhki0kTq6IpYNj-gpjxfobnaDiut0/edit?usp=sharing"",""บึงกาฬ!J753"")"),0)</f>
        <v>0</v>
      </c>
      <c r="AY37" s="540">
        <f ca="1">IFERROR(__xludf.DUMMYFUNCTION("IMPORTRANGE(""https://docs.google.com/spreadsheets/d/1xoDLGBv9CYbyosIhki0kTq6IpYNj-gpjxfobnaDiut0/edit?usp=sharing"",""บึงกาฬ!I755"")"),25)</f>
        <v>25</v>
      </c>
      <c r="AZ37" s="540">
        <f ca="1">IFERROR(__xludf.DUMMYFUNCTION("IMPORTRANGE(""https://docs.google.com/spreadsheets/d/1xoDLGBv9CYbyosIhki0kTq6IpYNj-gpjxfobnaDiut0/edit?usp=sharing"",""บึงกาฬ!J755"")"),0)</f>
        <v>0</v>
      </c>
      <c r="BA37" s="375">
        <f t="shared" ca="1" si="66"/>
        <v>0</v>
      </c>
      <c r="BB37" s="540">
        <f ca="1">IFERROR(__xludf.DUMMYFUNCTION("IMPORTRANGE(""https://docs.google.com/spreadsheets/d/1xoDLGBv9CYbyosIhki0kTq6IpYNj-gpjxfobnaDiut0/edit?usp=sharing"",""บึงกาฬ!J756"")"),0)</f>
        <v>0</v>
      </c>
    </row>
    <row r="38" spans="1:54" ht="23.25" customHeight="1" x14ac:dyDescent="0.3">
      <c r="A38" s="535">
        <v>7</v>
      </c>
      <c r="B38" s="536" t="s">
        <v>64</v>
      </c>
      <c r="C38" s="537">
        <f t="shared" si="39"/>
        <v>0</v>
      </c>
      <c r="D38" s="538">
        <f t="shared" si="78"/>
        <v>0</v>
      </c>
      <c r="E38" s="539">
        <v>0</v>
      </c>
      <c r="F38" s="539">
        <v>0</v>
      </c>
      <c r="G38" s="539">
        <v>0</v>
      </c>
      <c r="H38" s="539">
        <v>0</v>
      </c>
      <c r="I38" s="539">
        <v>0</v>
      </c>
      <c r="J38" s="545">
        <f t="shared" si="41"/>
        <v>0</v>
      </c>
      <c r="K38" s="546">
        <f t="shared" si="42"/>
        <v>0</v>
      </c>
      <c r="L38" s="539">
        <v>0</v>
      </c>
      <c r="M38" s="542">
        <f t="shared" si="43"/>
        <v>0</v>
      </c>
      <c r="N38" s="542">
        <f t="shared" si="44"/>
        <v>0</v>
      </c>
      <c r="O38" s="539">
        <v>0</v>
      </c>
      <c r="P38" s="543">
        <f t="shared" si="45"/>
        <v>0</v>
      </c>
      <c r="Q38" s="542">
        <f t="shared" si="46"/>
        <v>0</v>
      </c>
      <c r="R38" s="542">
        <f ca="1">IFERROR(__xludf.DUMMYFUNCTION("IMPORTRANGE(""https://docs.google.com/spreadsheets/d/1MMPq-JyI6DSgQETxuSiXkesP-P7JHuemnE6QJIa-Nlw/edit?usp=sharing"",""บุรีรัมย์!Q728"")"),1008470)</f>
        <v>1008470</v>
      </c>
      <c r="S38" s="542">
        <f ca="1">IFERROR(__xludf.DUMMYFUNCTION("IMPORTRANGE(""https://docs.google.com/spreadsheets/d/1MMPq-JyI6DSgQETxuSiXkesP-P7JHuemnE6QJIa-Nlw/edit?usp=sharing"",""บุรีรัมย์!R728"")"),0)</f>
        <v>0</v>
      </c>
      <c r="T38" s="542">
        <f ca="1">IFERROR(__xludf.DUMMYFUNCTION("IMPORTRANGE(""https://docs.google.com/spreadsheets/d/1MMPq-JyI6DSgQETxuSiXkesP-P7JHuemnE6QJIa-Nlw/edit?usp=sharing"",""บุรีรัมย์!S728"")"),0)</f>
        <v>0</v>
      </c>
      <c r="U38" s="542">
        <f t="shared" ca="1" si="48"/>
        <v>0</v>
      </c>
      <c r="V38" s="542">
        <f t="shared" ca="1" si="49"/>
        <v>0</v>
      </c>
      <c r="W38" s="544">
        <f ca="1">IFERROR(__xludf.DUMMYFUNCTION("IMPORTRANGE(""https://docs.google.com/spreadsheets/d/1MMPq-JyI6DSgQETxuSiXkesP-P7JHuemnE6QJIa-Nlw/edit?usp=sharing"",""บุรีรัมย์!I726"")"),128)</f>
        <v>128</v>
      </c>
      <c r="X38" s="540">
        <f ca="1">IFERROR(__xludf.DUMMYFUNCTION("IMPORTRANGE(""https://docs.google.com/spreadsheets/d/1MMPq-JyI6DSgQETxuSiXkesP-P7JHuemnE6QJIa-Nlw/edit?usp=sharing"",""บุรีรัมย์!I727"")"),1250)</f>
        <v>1250</v>
      </c>
      <c r="Y38" s="540">
        <f ca="1">IFERROR(__xludf.DUMMYFUNCTION("IMPORTRANGE(""https://docs.google.com/spreadsheets/d/1MMPq-JyI6DSgQETxuSiXkesP-P7JHuemnE6QJIa-Nlw/edit?usp=sharing"",""บุรีรัมย์!J726"")"),0)</f>
        <v>0</v>
      </c>
      <c r="Z38" s="375">
        <f t="shared" ca="1" si="51"/>
        <v>0</v>
      </c>
      <c r="AA38" s="540">
        <f ca="1">IFERROR(__xludf.DUMMYFUNCTION("IMPORTRANGE(""https://docs.google.com/spreadsheets/d/1MMPq-JyI6DSgQETxuSiXkesP-P7JHuemnE6QJIa-Nlw/edit?usp=sharing"",""บุรีรัมย์!J727"")"),0)</f>
        <v>0</v>
      </c>
      <c r="AB38" s="375">
        <f t="shared" ca="1" si="52"/>
        <v>0</v>
      </c>
      <c r="AC38" s="540">
        <f ca="1">IFERROR(__xludf.DUMMYFUNCTION("IMPORTRANGE(""https://docs.google.com/spreadsheets/d/1MMPq-JyI6DSgQETxuSiXkesP-P7JHuemnE6QJIa-Nlw/edit?usp=sharing"",""บุรีรัมย์!I740"")"),1000)</f>
        <v>1000</v>
      </c>
      <c r="AD38" s="540">
        <f ca="1">IFERROR(__xludf.DUMMYFUNCTION("IMPORTRANGE(""https://docs.google.com/spreadsheets/d/1MMPq-JyI6DSgQETxuSiXkesP-P7JHuemnE6QJIa-Nlw/edit?usp=sharing"",""บุรีรัมย์!J740"")"),0)</f>
        <v>0</v>
      </c>
      <c r="AE38" s="375">
        <f t="shared" ca="1" si="54"/>
        <v>0</v>
      </c>
      <c r="AF38" s="540">
        <f ca="1">IFERROR(__xludf.DUMMYFUNCTION("IMPORTRANGE(""https://docs.google.com/spreadsheets/d/1MMPq-JyI6DSgQETxuSiXkesP-P7JHuemnE6QJIa-Nlw/edit?usp=sharing"",""บุรีรัมย์!J741"")"),0)</f>
        <v>0</v>
      </c>
      <c r="AG38" s="540">
        <f ca="1">IFERROR(__xludf.DUMMYFUNCTION("IMPORTRANGE(""https://docs.google.com/spreadsheets/d/1MMPq-JyI6DSgQETxuSiXkesP-P7JHuemnE6QJIa-Nlw/edit?usp=sharing"",""บุรีรัมย์!I742"")"),100)</f>
        <v>100</v>
      </c>
      <c r="AH38" s="540">
        <f ca="1">IFERROR(__xludf.DUMMYFUNCTION("IMPORTRANGE(""https://docs.google.com/spreadsheets/d/1MMPq-JyI6DSgQETxuSiXkesP-P7JHuemnE6QJIa-Nlw/edit?usp=sharing"",""บุรีรัมย์!J742"")"),0)</f>
        <v>0</v>
      </c>
      <c r="AI38" s="375">
        <f t="shared" ca="1" si="56"/>
        <v>0</v>
      </c>
      <c r="AJ38" s="540">
        <f ca="1">IFERROR(__xludf.DUMMYFUNCTION("IMPORTRANGE(""https://docs.google.com/spreadsheets/d/1MMPq-JyI6DSgQETxuSiXkesP-P7JHuemnE6QJIa-Nlw/edit?usp=sharing"",""บุรีรัมย์!I744"")"),250)</f>
        <v>250</v>
      </c>
      <c r="AK38" s="540">
        <f ca="1">IFERROR(__xludf.DUMMYFUNCTION("IMPORTRANGE(""https://docs.google.com/spreadsheets/d/1MMPq-JyI6DSgQETxuSiXkesP-P7JHuemnE6QJIa-Nlw/edit?usp=sharing"",""บุรีรัมย์!J744"")"),0)</f>
        <v>0</v>
      </c>
      <c r="AL38" s="375">
        <f t="shared" ca="1" si="58"/>
        <v>0</v>
      </c>
      <c r="AM38" s="540">
        <f ca="1">IFERROR(__xludf.DUMMYFUNCTION("IMPORTRANGE(""https://docs.google.com/spreadsheets/d/1MMPq-JyI6DSgQETxuSiXkesP-P7JHuemnE6QJIa-Nlw/edit?usp=sharing"",""บุรีรัมย์!J745"")"),0)</f>
        <v>0</v>
      </c>
      <c r="AN38" s="540">
        <f ca="1">IFERROR(__xludf.DUMMYFUNCTION("IMPORTRANGE(""https://docs.google.com/spreadsheets/d/1MMPq-JyI6DSgQETxuSiXkesP-P7JHuemnE6QJIa-Nlw/edit?usp=sharing"",""บุรีรัมย์!I746"")"),25)</f>
        <v>25</v>
      </c>
      <c r="AO38" s="540">
        <f ca="1">IFERROR(__xludf.DUMMYFUNCTION("IMPORTRANGE(""https://docs.google.com/spreadsheets/d/1MMPq-JyI6DSgQETxuSiXkesP-P7JHuemnE6QJIa-Nlw/edit?usp=sharing"",""บุรีรัมย์!J746"")"),0)</f>
        <v>0</v>
      </c>
      <c r="AP38" s="375">
        <f t="shared" ca="1" si="60"/>
        <v>0</v>
      </c>
      <c r="AQ38" s="540">
        <f ca="1">IFERROR(__xludf.DUMMYFUNCTION("IMPORTRANGE(""https://docs.google.com/spreadsheets/d/1MMPq-JyI6DSgQETxuSiXkesP-P7JHuemnE6QJIa-Nlw/edit?usp=sharing"",""บุรีรัมย์!J748"")"),0)</f>
        <v>0</v>
      </c>
      <c r="AR38" s="540">
        <f ca="1">IFERROR(__xludf.DUMMYFUNCTION("IMPORTRANGE(""https://docs.google.com/spreadsheets/d/1MMPq-JyI6DSgQETxuSiXkesP-P7JHuemnE6QJIa-Nlw/edit?usp=sharing"",""บุรีรัมย์!I749"")"),3)</f>
        <v>3</v>
      </c>
      <c r="AS38" s="540">
        <f ca="1">IFERROR(__xludf.DUMMYFUNCTION("IMPORTRANGE(""https://docs.google.com/spreadsheets/d/1MMPq-JyI6DSgQETxuSiXkesP-P7JHuemnE6QJIa-Nlw/edit?usp=sharing"",""บุรีรัมย์!J749"")"),0)</f>
        <v>0</v>
      </c>
      <c r="AT38" s="375">
        <f t="shared" ca="1" si="62"/>
        <v>0</v>
      </c>
      <c r="AU38" s="540">
        <f ca="1">IFERROR(__xludf.DUMMYFUNCTION("IMPORTRANGE(""https://docs.google.com/spreadsheets/d/1MMPq-JyI6DSgQETxuSiXkesP-P7JHuemnE6QJIa-Nlw/edit?usp=sharing"",""บุรีรัมย์!I752"")"),100)</f>
        <v>100</v>
      </c>
      <c r="AV38" s="540">
        <f ca="1">IFERROR(__xludf.DUMMYFUNCTION("IMPORTRANGE(""https://docs.google.com/spreadsheets/d/1MMPq-JyI6DSgQETxuSiXkesP-P7JHuemnE6QJIa-Nlw/edit?usp=sharing"",""บุรีรัมย์!J752"")"),0)</f>
        <v>0</v>
      </c>
      <c r="AW38" s="375">
        <f t="shared" ca="1" si="64"/>
        <v>0</v>
      </c>
      <c r="AX38" s="540">
        <f ca="1">IFERROR(__xludf.DUMMYFUNCTION("IMPORTRANGE(""https://docs.google.com/spreadsheets/d/1MMPq-JyI6DSgQETxuSiXkesP-P7JHuemnE6QJIa-Nlw/edit?usp=sharing"",""บุรีรัมย์!J753"")"),0)</f>
        <v>0</v>
      </c>
      <c r="AY38" s="540">
        <f ca="1">IFERROR(__xludf.DUMMYFUNCTION("IMPORTRANGE(""https://docs.google.com/spreadsheets/d/1MMPq-JyI6DSgQETxuSiXkesP-P7JHuemnE6QJIa-Nlw/edit?usp=sharing"",""บุรีรัมย์!I755"")"),25)</f>
        <v>25</v>
      </c>
      <c r="AZ38" s="540">
        <f ca="1">IFERROR(__xludf.DUMMYFUNCTION("IMPORTRANGE(""https://docs.google.com/spreadsheets/d/1MMPq-JyI6DSgQETxuSiXkesP-P7JHuemnE6QJIa-Nlw/edit?usp=sharing"",""บุรีรัมย์!J755"")"),0)</f>
        <v>0</v>
      </c>
      <c r="BA38" s="375">
        <f t="shared" ca="1" si="66"/>
        <v>0</v>
      </c>
      <c r="BB38" s="540">
        <f ca="1">IFERROR(__xludf.DUMMYFUNCTION("IMPORTRANGE(""https://docs.google.com/spreadsheets/d/1MMPq-JyI6DSgQETxuSiXkesP-P7JHuemnE6QJIa-Nlw/edit?usp=sharing"",""บุรีรัมย์!J756"")"),0)</f>
        <v>0</v>
      </c>
    </row>
    <row r="39" spans="1:54" ht="23.25" customHeight="1" x14ac:dyDescent="0.3">
      <c r="A39" s="535">
        <v>8</v>
      </c>
      <c r="B39" s="536" t="s">
        <v>65</v>
      </c>
      <c r="C39" s="537">
        <f t="shared" si="39"/>
        <v>0</v>
      </c>
      <c r="D39" s="538">
        <f t="shared" si="78"/>
        <v>0</v>
      </c>
      <c r="E39" s="539">
        <v>0</v>
      </c>
      <c r="F39" s="539">
        <v>0</v>
      </c>
      <c r="G39" s="539">
        <v>0</v>
      </c>
      <c r="H39" s="539">
        <v>0</v>
      </c>
      <c r="I39" s="539">
        <v>0</v>
      </c>
      <c r="J39" s="545">
        <f t="shared" si="41"/>
        <v>0</v>
      </c>
      <c r="K39" s="546">
        <f t="shared" si="42"/>
        <v>0</v>
      </c>
      <c r="L39" s="539">
        <v>0</v>
      </c>
      <c r="M39" s="542">
        <f t="shared" si="43"/>
        <v>0</v>
      </c>
      <c r="N39" s="542">
        <f t="shared" si="44"/>
        <v>0</v>
      </c>
      <c r="O39" s="539">
        <v>0</v>
      </c>
      <c r="P39" s="543">
        <f t="shared" si="45"/>
        <v>0</v>
      </c>
      <c r="Q39" s="542">
        <f t="shared" si="46"/>
        <v>0</v>
      </c>
      <c r="R39" s="542">
        <f ca="1">IFERROR(__xludf.DUMMYFUNCTION("IMPORTRANGE(""https://docs.google.com/spreadsheets/d/1l6IZ8xUPgMrESzcTYwhA1k_tPjeQjJPTqlm8Gd9eU5g/edit?usp=sharing"",""มหาสารคาม!Q728"")"),1008470)</f>
        <v>1008470</v>
      </c>
      <c r="S39" s="542">
        <f ca="1">IFERROR(__xludf.DUMMYFUNCTION("IMPORTRANGE(""https://docs.google.com/spreadsheets/d/1l6IZ8xUPgMrESzcTYwhA1k_tPjeQjJPTqlm8Gd9eU5g/edit?usp=sharing"",""มหาสารคาม!R728"")"),0)</f>
        <v>0</v>
      </c>
      <c r="T39" s="542">
        <f ca="1">IFERROR(__xludf.DUMMYFUNCTION("IMPORTRANGE(""https://docs.google.com/spreadsheets/d/1l6IZ8xUPgMrESzcTYwhA1k_tPjeQjJPTqlm8Gd9eU5g/edit?usp=sharing"",""มหาสารคาม!S728"")"),0)</f>
        <v>0</v>
      </c>
      <c r="U39" s="542">
        <f t="shared" ca="1" si="48"/>
        <v>0</v>
      </c>
      <c r="V39" s="542">
        <f t="shared" ca="1" si="49"/>
        <v>0</v>
      </c>
      <c r="W39" s="544">
        <f ca="1">IFERROR(__xludf.DUMMYFUNCTION("IMPORTRANGE(""https://docs.google.com/spreadsheets/d/1l6IZ8xUPgMrESzcTYwhA1k_tPjeQjJPTqlm8Gd9eU5g/edit?usp=sharing"",""มหาสารคาม!I726"")"),128)</f>
        <v>128</v>
      </c>
      <c r="X39" s="540">
        <f ca="1">IFERROR(__xludf.DUMMYFUNCTION("IMPORTRANGE(""https://docs.google.com/spreadsheets/d/1l6IZ8xUPgMrESzcTYwhA1k_tPjeQjJPTqlm8Gd9eU5g/edit?usp=sharing"",""มหาสารคาม!I727"")"),1250)</f>
        <v>1250</v>
      </c>
      <c r="Y39" s="540">
        <f ca="1">IFERROR(__xludf.DUMMYFUNCTION("IMPORTRANGE(""https://docs.google.com/spreadsheets/d/1l6IZ8xUPgMrESzcTYwhA1k_tPjeQjJPTqlm8Gd9eU5g/edit?usp=sharing"",""มหาสารคาม!J726"")"),0)</f>
        <v>0</v>
      </c>
      <c r="Z39" s="375">
        <f t="shared" ca="1" si="51"/>
        <v>0</v>
      </c>
      <c r="AA39" s="540">
        <f ca="1">IFERROR(__xludf.DUMMYFUNCTION("IMPORTRANGE(""https://docs.google.com/spreadsheets/d/1l6IZ8xUPgMrESzcTYwhA1k_tPjeQjJPTqlm8Gd9eU5g/edit?usp=sharing"",""มหาสารคาม!J727"")"),0)</f>
        <v>0</v>
      </c>
      <c r="AB39" s="375">
        <f t="shared" ca="1" si="52"/>
        <v>0</v>
      </c>
      <c r="AC39" s="540">
        <f ca="1">IFERROR(__xludf.DUMMYFUNCTION("IMPORTRANGE(""https://docs.google.com/spreadsheets/d/1l6IZ8xUPgMrESzcTYwhA1k_tPjeQjJPTqlm8Gd9eU5g/edit?usp=sharing"",""มหาสารคาม!I740"")"),1000)</f>
        <v>1000</v>
      </c>
      <c r="AD39" s="540">
        <f ca="1">IFERROR(__xludf.DUMMYFUNCTION("IMPORTRANGE(""https://docs.google.com/spreadsheets/d/1l6IZ8xUPgMrESzcTYwhA1k_tPjeQjJPTqlm8Gd9eU5g/edit?usp=sharing"",""มหาสารคาม!J740"")"),0)</f>
        <v>0</v>
      </c>
      <c r="AE39" s="375">
        <f t="shared" ca="1" si="54"/>
        <v>0</v>
      </c>
      <c r="AF39" s="540">
        <f ca="1">IFERROR(__xludf.DUMMYFUNCTION("IMPORTRANGE(""https://docs.google.com/spreadsheets/d/1l6IZ8xUPgMrESzcTYwhA1k_tPjeQjJPTqlm8Gd9eU5g/edit?usp=sharing"",""มหาสารคาม!J741"")"),0)</f>
        <v>0</v>
      </c>
      <c r="AG39" s="540">
        <f ca="1">IFERROR(__xludf.DUMMYFUNCTION("IMPORTRANGE(""https://docs.google.com/spreadsheets/d/1l6IZ8xUPgMrESzcTYwhA1k_tPjeQjJPTqlm8Gd9eU5g/edit?usp=sharing"",""มหาสารคาม!I742"")"),100)</f>
        <v>100</v>
      </c>
      <c r="AH39" s="540">
        <f ca="1">IFERROR(__xludf.DUMMYFUNCTION("IMPORTRANGE(""https://docs.google.com/spreadsheets/d/1l6IZ8xUPgMrESzcTYwhA1k_tPjeQjJPTqlm8Gd9eU5g/edit?usp=sharing"",""มหาสารคาม!J742"")"),0)</f>
        <v>0</v>
      </c>
      <c r="AI39" s="375">
        <f t="shared" ca="1" si="56"/>
        <v>0</v>
      </c>
      <c r="AJ39" s="540">
        <f ca="1">IFERROR(__xludf.DUMMYFUNCTION("IMPORTRANGE(""https://docs.google.com/spreadsheets/d/1l6IZ8xUPgMrESzcTYwhA1k_tPjeQjJPTqlm8Gd9eU5g/edit?usp=sharing"",""มหาสารคาม!I744"")"),250)</f>
        <v>250</v>
      </c>
      <c r="AK39" s="540">
        <f ca="1">IFERROR(__xludf.DUMMYFUNCTION("IMPORTRANGE(""https://docs.google.com/spreadsheets/d/1l6IZ8xUPgMrESzcTYwhA1k_tPjeQjJPTqlm8Gd9eU5g/edit?usp=sharing"",""มหาสารคาม!J744"")"),0)</f>
        <v>0</v>
      </c>
      <c r="AL39" s="375">
        <f t="shared" ca="1" si="58"/>
        <v>0</v>
      </c>
      <c r="AM39" s="540">
        <f ca="1">IFERROR(__xludf.DUMMYFUNCTION("IMPORTRANGE(""https://docs.google.com/spreadsheets/d/1l6IZ8xUPgMrESzcTYwhA1k_tPjeQjJPTqlm8Gd9eU5g/edit?usp=sharing"",""มหาสารคาม!J745"")"),0)</f>
        <v>0</v>
      </c>
      <c r="AN39" s="540">
        <f ca="1">IFERROR(__xludf.DUMMYFUNCTION("IMPORTRANGE(""https://docs.google.com/spreadsheets/d/1l6IZ8xUPgMrESzcTYwhA1k_tPjeQjJPTqlm8Gd9eU5g/edit?usp=sharing"",""มหาสารคาม!I746"")"),25)</f>
        <v>25</v>
      </c>
      <c r="AO39" s="540">
        <f ca="1">IFERROR(__xludf.DUMMYFUNCTION("IMPORTRANGE(""https://docs.google.com/spreadsheets/d/1l6IZ8xUPgMrESzcTYwhA1k_tPjeQjJPTqlm8Gd9eU5g/edit?usp=sharing"",""มหาสารคาม!J746"")"),0)</f>
        <v>0</v>
      </c>
      <c r="AP39" s="375">
        <f t="shared" ca="1" si="60"/>
        <v>0</v>
      </c>
      <c r="AQ39" s="540">
        <f ca="1">IFERROR(__xludf.DUMMYFUNCTION("IMPORTRANGE(""https://docs.google.com/spreadsheets/d/1l6IZ8xUPgMrESzcTYwhA1k_tPjeQjJPTqlm8Gd9eU5g/edit?usp=sharing"",""มหาสารคาม!J748"")"),0)</f>
        <v>0</v>
      </c>
      <c r="AR39" s="540">
        <f ca="1">IFERROR(__xludf.DUMMYFUNCTION("IMPORTRANGE(""https://docs.google.com/spreadsheets/d/1l6IZ8xUPgMrESzcTYwhA1k_tPjeQjJPTqlm8Gd9eU5g/edit?usp=sharing"",""มหาสารคาม!I749"")"),3)</f>
        <v>3</v>
      </c>
      <c r="AS39" s="540">
        <f ca="1">IFERROR(__xludf.DUMMYFUNCTION("IMPORTRANGE(""https://docs.google.com/spreadsheets/d/1l6IZ8xUPgMrESzcTYwhA1k_tPjeQjJPTqlm8Gd9eU5g/edit?usp=sharing"",""มหาสารคาม!J749"")"),0)</f>
        <v>0</v>
      </c>
      <c r="AT39" s="375">
        <f t="shared" ca="1" si="62"/>
        <v>0</v>
      </c>
      <c r="AU39" s="540">
        <f ca="1">IFERROR(__xludf.DUMMYFUNCTION("IMPORTRANGE(""https://docs.google.com/spreadsheets/d/1l6IZ8xUPgMrESzcTYwhA1k_tPjeQjJPTqlm8Gd9eU5g/edit?usp=sharing"",""มหาสารคาม!I752"")"),100)</f>
        <v>100</v>
      </c>
      <c r="AV39" s="540">
        <f ca="1">IFERROR(__xludf.DUMMYFUNCTION("IMPORTRANGE(""https://docs.google.com/spreadsheets/d/1l6IZ8xUPgMrESzcTYwhA1k_tPjeQjJPTqlm8Gd9eU5g/edit?usp=sharing"",""มหาสารคาม!J752"")"),0)</f>
        <v>0</v>
      </c>
      <c r="AW39" s="375">
        <f t="shared" ca="1" si="64"/>
        <v>0</v>
      </c>
      <c r="AX39" s="540">
        <f ca="1">IFERROR(__xludf.DUMMYFUNCTION("IMPORTRANGE(""https://docs.google.com/spreadsheets/d/1l6IZ8xUPgMrESzcTYwhA1k_tPjeQjJPTqlm8Gd9eU5g/edit?usp=sharing"",""มหาสารคาม!J753"")"),0)</f>
        <v>0</v>
      </c>
      <c r="AY39" s="540">
        <f ca="1">IFERROR(__xludf.DUMMYFUNCTION("IMPORTRANGE(""https://docs.google.com/spreadsheets/d/1l6IZ8xUPgMrESzcTYwhA1k_tPjeQjJPTqlm8Gd9eU5g/edit?usp=sharing"",""มหาสารคาม!I755"")"),25)</f>
        <v>25</v>
      </c>
      <c r="AZ39" s="540">
        <f ca="1">IFERROR(__xludf.DUMMYFUNCTION("IMPORTRANGE(""https://docs.google.com/spreadsheets/d/1l6IZ8xUPgMrESzcTYwhA1k_tPjeQjJPTqlm8Gd9eU5g/edit?usp=sharing"",""มหาสารคาม!J755"")"),0)</f>
        <v>0</v>
      </c>
      <c r="BA39" s="375">
        <f t="shared" ca="1" si="66"/>
        <v>0</v>
      </c>
      <c r="BB39" s="540">
        <f ca="1">IFERROR(__xludf.DUMMYFUNCTION("IMPORTRANGE(""https://docs.google.com/spreadsheets/d/1l6IZ8xUPgMrESzcTYwhA1k_tPjeQjJPTqlm8Gd9eU5g/edit?usp=sharing"",""มหาสารคาม!J756"")"),0)</f>
        <v>0</v>
      </c>
    </row>
    <row r="40" spans="1:54" ht="23.25" customHeight="1" x14ac:dyDescent="0.3">
      <c r="A40" s="535">
        <v>9</v>
      </c>
      <c r="B40" s="536" t="s">
        <v>66</v>
      </c>
      <c r="C40" s="537">
        <f t="shared" si="39"/>
        <v>0</v>
      </c>
      <c r="D40" s="538">
        <f t="shared" si="78"/>
        <v>0</v>
      </c>
      <c r="E40" s="539">
        <v>0</v>
      </c>
      <c r="F40" s="539">
        <v>0</v>
      </c>
      <c r="G40" s="539">
        <v>0</v>
      </c>
      <c r="H40" s="539">
        <v>0</v>
      </c>
      <c r="I40" s="539">
        <v>0</v>
      </c>
      <c r="J40" s="545">
        <f t="shared" si="41"/>
        <v>0</v>
      </c>
      <c r="K40" s="546">
        <f t="shared" si="42"/>
        <v>0</v>
      </c>
      <c r="L40" s="539">
        <v>0</v>
      </c>
      <c r="M40" s="542">
        <f t="shared" si="43"/>
        <v>0</v>
      </c>
      <c r="N40" s="542">
        <f t="shared" si="44"/>
        <v>0</v>
      </c>
      <c r="O40" s="539">
        <v>0</v>
      </c>
      <c r="P40" s="543">
        <f t="shared" si="45"/>
        <v>0</v>
      </c>
      <c r="Q40" s="542">
        <f t="shared" si="46"/>
        <v>0</v>
      </c>
      <c r="R40" s="542">
        <f ca="1">IFERROR(__xludf.DUMMYFUNCTION("IMPORTRANGE(""https://docs.google.com/spreadsheets/d/1uB74YLqNjWX6FObjekfB2NtSYigTQyR2rq9u4Ub2Sq4/edit?usp=sharing"",""มุกดาหาร!Q728"")"),1008470)</f>
        <v>1008470</v>
      </c>
      <c r="S40" s="542">
        <f ca="1">IFERROR(__xludf.DUMMYFUNCTION("IMPORTRANGE(""https://docs.google.com/spreadsheets/d/1uB74YLqNjWX6FObjekfB2NtSYigTQyR2rq9u4Ub2Sq4/edit?usp=sharing"",""มุกดาหาร!R728"")"),0)</f>
        <v>0</v>
      </c>
      <c r="T40" s="542">
        <f ca="1">IFERROR(__xludf.DUMMYFUNCTION("IMPORTRANGE(""https://docs.google.com/spreadsheets/d/1uB74YLqNjWX6FObjekfB2NtSYigTQyR2rq9u4Ub2Sq4/edit?usp=sharing"",""มุกดาหาร!S728"")"),0)</f>
        <v>0</v>
      </c>
      <c r="U40" s="542">
        <f t="shared" ca="1" si="48"/>
        <v>0</v>
      </c>
      <c r="V40" s="542">
        <f t="shared" ca="1" si="49"/>
        <v>0</v>
      </c>
      <c r="W40" s="544">
        <f ca="1">IFERROR(__xludf.DUMMYFUNCTION("IMPORTRANGE(""https://docs.google.com/spreadsheets/d/1uB74YLqNjWX6FObjekfB2NtSYigTQyR2rq9u4Ub2Sq4/edit?usp=sharing"",""มุกดาหาร!I726"")"),128)</f>
        <v>128</v>
      </c>
      <c r="X40" s="540">
        <f ca="1">IFERROR(__xludf.DUMMYFUNCTION("IMPORTRANGE(""https://docs.google.com/spreadsheets/d/1uB74YLqNjWX6FObjekfB2NtSYigTQyR2rq9u4Ub2Sq4/edit?usp=sharing"",""มุกดาหาร!I727"")"),1250)</f>
        <v>1250</v>
      </c>
      <c r="Y40" s="540">
        <f ca="1">IFERROR(__xludf.DUMMYFUNCTION("IMPORTRANGE(""https://docs.google.com/spreadsheets/d/1uB74YLqNjWX6FObjekfB2NtSYigTQyR2rq9u4Ub2Sq4/edit?usp=sharing"",""มุกดาหาร!J726"")"),0)</f>
        <v>0</v>
      </c>
      <c r="Z40" s="375">
        <f t="shared" ca="1" si="51"/>
        <v>0</v>
      </c>
      <c r="AA40" s="540">
        <f ca="1">IFERROR(__xludf.DUMMYFUNCTION("IMPORTRANGE(""https://docs.google.com/spreadsheets/d/1uB74YLqNjWX6FObjekfB2NtSYigTQyR2rq9u4Ub2Sq4/edit?usp=sharing"",""มุกดาหาร!J727"")"),0)</f>
        <v>0</v>
      </c>
      <c r="AB40" s="375">
        <f t="shared" ca="1" si="52"/>
        <v>0</v>
      </c>
      <c r="AC40" s="540">
        <f ca="1">IFERROR(__xludf.DUMMYFUNCTION("IMPORTRANGE(""https://docs.google.com/spreadsheets/d/1uB74YLqNjWX6FObjekfB2NtSYigTQyR2rq9u4Ub2Sq4/edit?usp=sharing"",""มุกดาหาร!I740"")"),1000)</f>
        <v>1000</v>
      </c>
      <c r="AD40" s="540">
        <f ca="1">IFERROR(__xludf.DUMMYFUNCTION("IMPORTRANGE(""https://docs.google.com/spreadsheets/d/1uB74YLqNjWX6FObjekfB2NtSYigTQyR2rq9u4Ub2Sq4/edit?usp=sharing"",""มุกดาหาร!J740"")"),0)</f>
        <v>0</v>
      </c>
      <c r="AE40" s="375">
        <f t="shared" ca="1" si="54"/>
        <v>0</v>
      </c>
      <c r="AF40" s="540">
        <f ca="1">IFERROR(__xludf.DUMMYFUNCTION("IMPORTRANGE(""https://docs.google.com/spreadsheets/d/1uB74YLqNjWX6FObjekfB2NtSYigTQyR2rq9u4Ub2Sq4/edit?usp=sharing"",""มุกดาหาร!J741"")"),0)</f>
        <v>0</v>
      </c>
      <c r="AG40" s="540">
        <f ca="1">IFERROR(__xludf.DUMMYFUNCTION("IMPORTRANGE(""https://docs.google.com/spreadsheets/d/1uB74YLqNjWX6FObjekfB2NtSYigTQyR2rq9u4Ub2Sq4/edit?usp=sharing"",""มุกดาหาร!I742"")"),100)</f>
        <v>100</v>
      </c>
      <c r="AH40" s="540">
        <f ca="1">IFERROR(__xludf.DUMMYFUNCTION("IMPORTRANGE(""https://docs.google.com/spreadsheets/d/1uB74YLqNjWX6FObjekfB2NtSYigTQyR2rq9u4Ub2Sq4/edit?usp=sharing"",""มุกดาหาร!J742"")"),0)</f>
        <v>0</v>
      </c>
      <c r="AI40" s="375">
        <f t="shared" ca="1" si="56"/>
        <v>0</v>
      </c>
      <c r="AJ40" s="540">
        <f ca="1">IFERROR(__xludf.DUMMYFUNCTION("IMPORTRANGE(""https://docs.google.com/spreadsheets/d/1uB74YLqNjWX6FObjekfB2NtSYigTQyR2rq9u4Ub2Sq4/edit?usp=sharing"",""มุกดาหาร!I744"")"),250)</f>
        <v>250</v>
      </c>
      <c r="AK40" s="540">
        <f ca="1">IFERROR(__xludf.DUMMYFUNCTION("IMPORTRANGE(""https://docs.google.com/spreadsheets/d/1uB74YLqNjWX6FObjekfB2NtSYigTQyR2rq9u4Ub2Sq4/edit?usp=sharing"",""มุกดาหาร!J744"")"),0)</f>
        <v>0</v>
      </c>
      <c r="AL40" s="375">
        <f t="shared" ca="1" si="58"/>
        <v>0</v>
      </c>
      <c r="AM40" s="540">
        <f ca="1">IFERROR(__xludf.DUMMYFUNCTION("IMPORTRANGE(""https://docs.google.com/spreadsheets/d/1uB74YLqNjWX6FObjekfB2NtSYigTQyR2rq9u4Ub2Sq4/edit?usp=sharing"",""มุกดาหาร!J745"")"),0)</f>
        <v>0</v>
      </c>
      <c r="AN40" s="540">
        <f ca="1">IFERROR(__xludf.DUMMYFUNCTION("IMPORTRANGE(""https://docs.google.com/spreadsheets/d/1uB74YLqNjWX6FObjekfB2NtSYigTQyR2rq9u4Ub2Sq4/edit?usp=sharing"",""มุกดาหาร!I746"")"),25)</f>
        <v>25</v>
      </c>
      <c r="AO40" s="540">
        <f ca="1">IFERROR(__xludf.DUMMYFUNCTION("IMPORTRANGE(""https://docs.google.com/spreadsheets/d/1uB74YLqNjWX6FObjekfB2NtSYigTQyR2rq9u4Ub2Sq4/edit?usp=sharing"",""มุกดาหาร!J746"")"),0)</f>
        <v>0</v>
      </c>
      <c r="AP40" s="375">
        <f t="shared" ca="1" si="60"/>
        <v>0</v>
      </c>
      <c r="AQ40" s="540">
        <f ca="1">IFERROR(__xludf.DUMMYFUNCTION("IMPORTRANGE(""https://docs.google.com/spreadsheets/d/1uB74YLqNjWX6FObjekfB2NtSYigTQyR2rq9u4Ub2Sq4/edit?usp=sharing"",""มุกดาหาร!J748"")"),0)</f>
        <v>0</v>
      </c>
      <c r="AR40" s="540">
        <f ca="1">IFERROR(__xludf.DUMMYFUNCTION("IMPORTRANGE(""https://docs.google.com/spreadsheets/d/1uB74YLqNjWX6FObjekfB2NtSYigTQyR2rq9u4Ub2Sq4/edit?usp=sharing"",""มุกดาหาร!I749"")"),3)</f>
        <v>3</v>
      </c>
      <c r="AS40" s="540">
        <f ca="1">IFERROR(__xludf.DUMMYFUNCTION("IMPORTRANGE(""https://docs.google.com/spreadsheets/d/1uB74YLqNjWX6FObjekfB2NtSYigTQyR2rq9u4Ub2Sq4/edit?usp=sharing"",""มุกดาหาร!J749"")"),0)</f>
        <v>0</v>
      </c>
      <c r="AT40" s="375">
        <f t="shared" ca="1" si="62"/>
        <v>0</v>
      </c>
      <c r="AU40" s="540">
        <f ca="1">IFERROR(__xludf.DUMMYFUNCTION("IMPORTRANGE(""https://docs.google.com/spreadsheets/d/1uB74YLqNjWX6FObjekfB2NtSYigTQyR2rq9u4Ub2Sq4/edit?usp=sharing"",""มุกดาหาร!I752"")"),100)</f>
        <v>100</v>
      </c>
      <c r="AV40" s="540">
        <f ca="1">IFERROR(__xludf.DUMMYFUNCTION("IMPORTRANGE(""https://docs.google.com/spreadsheets/d/1uB74YLqNjWX6FObjekfB2NtSYigTQyR2rq9u4Ub2Sq4/edit?usp=sharing"",""มุกดาหาร!J752"")"),0)</f>
        <v>0</v>
      </c>
      <c r="AW40" s="375">
        <f t="shared" ca="1" si="64"/>
        <v>0</v>
      </c>
      <c r="AX40" s="540">
        <f ca="1">IFERROR(__xludf.DUMMYFUNCTION("IMPORTRANGE(""https://docs.google.com/spreadsheets/d/1uB74YLqNjWX6FObjekfB2NtSYigTQyR2rq9u4Ub2Sq4/edit?usp=sharing"",""มุกดาหาร!J753"")"),0)</f>
        <v>0</v>
      </c>
      <c r="AY40" s="540">
        <f ca="1">IFERROR(__xludf.DUMMYFUNCTION("IMPORTRANGE(""https://docs.google.com/spreadsheets/d/1uB74YLqNjWX6FObjekfB2NtSYigTQyR2rq9u4Ub2Sq4/edit?usp=sharing"",""มุกดาหาร!I755"")"),25)</f>
        <v>25</v>
      </c>
      <c r="AZ40" s="540">
        <f ca="1">IFERROR(__xludf.DUMMYFUNCTION("IMPORTRANGE(""https://docs.google.com/spreadsheets/d/1uB74YLqNjWX6FObjekfB2NtSYigTQyR2rq9u4Ub2Sq4/edit?usp=sharing"",""มุกดาหาร!J755"")"),0)</f>
        <v>0</v>
      </c>
      <c r="BA40" s="375">
        <f t="shared" ca="1" si="66"/>
        <v>0</v>
      </c>
      <c r="BB40" s="540">
        <f ca="1">IFERROR(__xludf.DUMMYFUNCTION("IMPORTRANGE(""https://docs.google.com/spreadsheets/d/1uB74YLqNjWX6FObjekfB2NtSYigTQyR2rq9u4Ub2Sq4/edit?usp=sharing"",""มุกดาหาร!J756"")"),0)</f>
        <v>0</v>
      </c>
    </row>
    <row r="41" spans="1:54" ht="23.25" customHeight="1" x14ac:dyDescent="0.3">
      <c r="A41" s="535">
        <v>10</v>
      </c>
      <c r="B41" s="536" t="s">
        <v>67</v>
      </c>
      <c r="C41" s="537">
        <f t="shared" si="39"/>
        <v>0</v>
      </c>
      <c r="D41" s="538">
        <f t="shared" si="78"/>
        <v>0</v>
      </c>
      <c r="E41" s="539">
        <v>0</v>
      </c>
      <c r="F41" s="539">
        <v>0</v>
      </c>
      <c r="G41" s="539">
        <v>0</v>
      </c>
      <c r="H41" s="539">
        <v>0</v>
      </c>
      <c r="I41" s="539">
        <v>0</v>
      </c>
      <c r="J41" s="545">
        <f t="shared" si="41"/>
        <v>0</v>
      </c>
      <c r="K41" s="546">
        <f t="shared" si="42"/>
        <v>0</v>
      </c>
      <c r="L41" s="539">
        <v>0</v>
      </c>
      <c r="M41" s="542">
        <f t="shared" si="43"/>
        <v>0</v>
      </c>
      <c r="N41" s="542">
        <f t="shared" si="44"/>
        <v>0</v>
      </c>
      <c r="O41" s="539">
        <v>0</v>
      </c>
      <c r="P41" s="543">
        <f t="shared" si="45"/>
        <v>0</v>
      </c>
      <c r="Q41" s="542">
        <f t="shared" si="46"/>
        <v>0</v>
      </c>
      <c r="R41" s="542">
        <f ca="1">IFERROR(__xludf.DUMMYFUNCTION("IMPORTRANGE(""https://docs.google.com/spreadsheets/d/1NexK3geCPxCTO1fzNF8dPec7yZyUx3OaWkFBC9HsQOo/edit?usp=sharing"",""ยโสธร!Q728"")"),379090)</f>
        <v>379090</v>
      </c>
      <c r="S41" s="542">
        <f ca="1">IFERROR(__xludf.DUMMYFUNCTION("IMPORTRANGE(""https://docs.google.com/spreadsheets/d/1NexK3geCPxCTO1fzNF8dPec7yZyUx3OaWkFBC9HsQOo/edit?usp=sharing"",""ยโสธร!R728"")"),0)</f>
        <v>0</v>
      </c>
      <c r="T41" s="542">
        <f ca="1">IFERROR(__xludf.DUMMYFUNCTION("IMPORTRANGE(""https://docs.google.com/spreadsheets/d/1NexK3geCPxCTO1fzNF8dPec7yZyUx3OaWkFBC9HsQOo/edit?usp=sharing"",""ยโสธร!S728"")"),8800)</f>
        <v>8800</v>
      </c>
      <c r="U41" s="542">
        <f t="shared" ca="1" si="48"/>
        <v>2.3213484924424281</v>
      </c>
      <c r="V41" s="542">
        <f t="shared" ca="1" si="49"/>
        <v>0</v>
      </c>
      <c r="W41" s="544">
        <f ca="1">IFERROR(__xludf.DUMMYFUNCTION("IMPORTRANGE(""https://docs.google.com/spreadsheets/d/1NexK3geCPxCTO1fzNF8dPec7yZyUx3OaWkFBC9HsQOo/edit?usp=sharing"",""ยโสธร!I726"")"),51)</f>
        <v>51</v>
      </c>
      <c r="X41" s="540">
        <f ca="1">IFERROR(__xludf.DUMMYFUNCTION("IMPORTRANGE(""https://docs.google.com/spreadsheets/d/1NexK3geCPxCTO1fzNF8dPec7yZyUx3OaWkFBC9HsQOo/edit?usp=sharing"",""ยโสธร!I727"")"),500)</f>
        <v>500</v>
      </c>
      <c r="Y41" s="540">
        <f ca="1">IFERROR(__xludf.DUMMYFUNCTION("IMPORTRANGE(""https://docs.google.com/spreadsheets/d/1NexK3geCPxCTO1fzNF8dPec7yZyUx3OaWkFBC9HsQOo/edit?usp=sharing"",""ยโสธร!J726"")"),0)</f>
        <v>0</v>
      </c>
      <c r="Z41" s="375">
        <f t="shared" ca="1" si="51"/>
        <v>0</v>
      </c>
      <c r="AA41" s="540">
        <f ca="1">IFERROR(__xludf.DUMMYFUNCTION("IMPORTRANGE(""https://docs.google.com/spreadsheets/d/1NexK3geCPxCTO1fzNF8dPec7yZyUx3OaWkFBC9HsQOo/edit?usp=sharing"",""ยโสธร!J727"")"),0)</f>
        <v>0</v>
      </c>
      <c r="AB41" s="375">
        <f t="shared" ca="1" si="52"/>
        <v>0</v>
      </c>
      <c r="AC41" s="540">
        <f ca="1">IFERROR(__xludf.DUMMYFUNCTION("IMPORTRANGE(""https://docs.google.com/spreadsheets/d/1NexK3geCPxCTO1fzNF8dPec7yZyUx3OaWkFBC9HsQOo/edit?usp=sharing"",""ยโสธร!I740"")"),400)</f>
        <v>400</v>
      </c>
      <c r="AD41" s="540">
        <f ca="1">IFERROR(__xludf.DUMMYFUNCTION("IMPORTRANGE(""https://docs.google.com/spreadsheets/d/1NexK3geCPxCTO1fzNF8dPec7yZyUx3OaWkFBC9HsQOo/edit?usp=sharing"",""ยโสธร!J740"")"),0)</f>
        <v>0</v>
      </c>
      <c r="AE41" s="375">
        <f t="shared" ca="1" si="54"/>
        <v>0</v>
      </c>
      <c r="AF41" s="559">
        <f ca="1">IFERROR(__xludf.DUMMYFUNCTION("IMPORTRANGE(""https://docs.google.com/spreadsheets/d/1NexK3geCPxCTO1fzNF8dPec7yZyUx3OaWkFBC9HsQOo/edit?usp=sharing"",""ยโสธร!J741"")"),0)</f>
        <v>0</v>
      </c>
      <c r="AG41" s="540">
        <f ca="1">IFERROR(__xludf.DUMMYFUNCTION("IMPORTRANGE(""https://docs.google.com/spreadsheets/d/1NexK3geCPxCTO1fzNF8dPec7yZyUx3OaWkFBC9HsQOo/edit?usp=sharing"",""ยโสธร!I742"")"),40)</f>
        <v>40</v>
      </c>
      <c r="AH41" s="540">
        <f ca="1">IFERROR(__xludf.DUMMYFUNCTION("IMPORTRANGE(""https://docs.google.com/spreadsheets/d/1NexK3geCPxCTO1fzNF8dPec7yZyUx3OaWkFBC9HsQOo/edit?usp=sharing"",""ยโสธร!J742"")"),0)</f>
        <v>0</v>
      </c>
      <c r="AI41" s="375">
        <f t="shared" ca="1" si="56"/>
        <v>0</v>
      </c>
      <c r="AJ41" s="540">
        <f ca="1">IFERROR(__xludf.DUMMYFUNCTION("IMPORTRANGE(""https://docs.google.com/spreadsheets/d/1NexK3geCPxCTO1fzNF8dPec7yZyUx3OaWkFBC9HsQOo/edit?usp=sharing"",""ยโสธร!I744"")"),100)</f>
        <v>100</v>
      </c>
      <c r="AK41" s="540">
        <f ca="1">IFERROR(__xludf.DUMMYFUNCTION("IMPORTRANGE(""https://docs.google.com/spreadsheets/d/1NexK3geCPxCTO1fzNF8dPec7yZyUx3OaWkFBC9HsQOo/edit?usp=sharing"",""ยโสธร!J744"")"),0)</f>
        <v>0</v>
      </c>
      <c r="AL41" s="375">
        <f t="shared" ca="1" si="58"/>
        <v>0</v>
      </c>
      <c r="AM41" s="540">
        <f ca="1">IFERROR(__xludf.DUMMYFUNCTION("IMPORTRANGE(""https://docs.google.com/spreadsheets/d/1NexK3geCPxCTO1fzNF8dPec7yZyUx3OaWkFBC9HsQOo/edit?usp=sharing"",""ยโสธร!J745"")"),0)</f>
        <v>0</v>
      </c>
      <c r="AN41" s="540">
        <f ca="1">IFERROR(__xludf.DUMMYFUNCTION("IMPORTRANGE(""https://docs.google.com/spreadsheets/d/1NexK3geCPxCTO1fzNF8dPec7yZyUx3OaWkFBC9HsQOo/edit?usp=sharing"",""ยโสธร!I746"")"),10)</f>
        <v>10</v>
      </c>
      <c r="AO41" s="540">
        <f ca="1">IFERROR(__xludf.DUMMYFUNCTION("IMPORTRANGE(""https://docs.google.com/spreadsheets/d/1NexK3geCPxCTO1fzNF8dPec7yZyUx3OaWkFBC9HsQOo/edit?usp=sharing"",""ยโสธร!J746"")"),0)</f>
        <v>0</v>
      </c>
      <c r="AP41" s="375">
        <f t="shared" ca="1" si="60"/>
        <v>0</v>
      </c>
      <c r="AQ41" s="540">
        <f ca="1">IFERROR(__xludf.DUMMYFUNCTION("IMPORTRANGE(""https://docs.google.com/spreadsheets/d/1NexK3geCPxCTO1fzNF8dPec7yZyUx3OaWkFBC9HsQOo/edit?usp=sharing"",""ยโสธร!J748"")"),0)</f>
        <v>0</v>
      </c>
      <c r="AR41" s="540">
        <f ca="1">IFERROR(__xludf.DUMMYFUNCTION("IMPORTRANGE(""https://docs.google.com/spreadsheets/d/1NexK3geCPxCTO1fzNF8dPec7yZyUx3OaWkFBC9HsQOo/edit?usp=sharing"",""ยโสธร!I749"")"),1)</f>
        <v>1</v>
      </c>
      <c r="AS41" s="540">
        <f ca="1">IFERROR(__xludf.DUMMYFUNCTION("IMPORTRANGE(""https://docs.google.com/spreadsheets/d/1NexK3geCPxCTO1fzNF8dPec7yZyUx3OaWkFBC9HsQOo/edit?usp=sharing"",""ยโสธร!J749"")"),0)</f>
        <v>0</v>
      </c>
      <c r="AT41" s="375">
        <f t="shared" ca="1" si="62"/>
        <v>0</v>
      </c>
      <c r="AU41" s="540">
        <f ca="1">IFERROR(__xludf.DUMMYFUNCTION("IMPORTRANGE(""https://docs.google.com/spreadsheets/d/1NexK3geCPxCTO1fzNF8dPec7yZyUx3OaWkFBC9HsQOo/edit?usp=sharing"",""ยโสธร!I752"")"),40)</f>
        <v>40</v>
      </c>
      <c r="AV41" s="540">
        <f ca="1">IFERROR(__xludf.DUMMYFUNCTION("IMPORTRANGE(""https://docs.google.com/spreadsheets/d/1NexK3geCPxCTO1fzNF8dPec7yZyUx3OaWkFBC9HsQOo/edit?usp=sharing"",""ยโสธร!J752"")"),0)</f>
        <v>0</v>
      </c>
      <c r="AW41" s="375">
        <f t="shared" ca="1" si="64"/>
        <v>0</v>
      </c>
      <c r="AX41" s="540">
        <f ca="1">IFERROR(__xludf.DUMMYFUNCTION("IMPORTRANGE(""https://docs.google.com/spreadsheets/d/1NexK3geCPxCTO1fzNF8dPec7yZyUx3OaWkFBC9HsQOo/edit?usp=sharing"",""ยโสธร!J753"")"),0)</f>
        <v>0</v>
      </c>
      <c r="AY41" s="540">
        <f ca="1">IFERROR(__xludf.DUMMYFUNCTION("IMPORTRANGE(""https://docs.google.com/spreadsheets/d/1NexK3geCPxCTO1fzNF8dPec7yZyUx3OaWkFBC9HsQOo/edit?usp=sharing"",""ยโสธร!I755"")"),10)</f>
        <v>10</v>
      </c>
      <c r="AZ41" s="540">
        <f ca="1">IFERROR(__xludf.DUMMYFUNCTION("IMPORTRANGE(""https://docs.google.com/spreadsheets/d/1NexK3geCPxCTO1fzNF8dPec7yZyUx3OaWkFBC9HsQOo/edit?usp=sharing"",""ยโสธร!J755"")"),0)</f>
        <v>0</v>
      </c>
      <c r="BA41" s="375">
        <f t="shared" ca="1" si="66"/>
        <v>0</v>
      </c>
      <c r="BB41" s="540">
        <f ca="1">IFERROR(__xludf.DUMMYFUNCTION("IMPORTRANGE(""https://docs.google.com/spreadsheets/d/1NexK3geCPxCTO1fzNF8dPec7yZyUx3OaWkFBC9HsQOo/edit?usp=sharing"",""ยโสธร!J756"")"),0)</f>
        <v>0</v>
      </c>
    </row>
    <row r="42" spans="1:54" ht="23.25" customHeight="1" x14ac:dyDescent="0.3">
      <c r="A42" s="535">
        <v>11</v>
      </c>
      <c r="B42" s="536" t="s">
        <v>68</v>
      </c>
      <c r="C42" s="537">
        <f t="shared" si="39"/>
        <v>0</v>
      </c>
      <c r="D42" s="538">
        <f t="shared" si="78"/>
        <v>0</v>
      </c>
      <c r="E42" s="539">
        <v>0</v>
      </c>
      <c r="F42" s="539">
        <v>0</v>
      </c>
      <c r="G42" s="539">
        <v>0</v>
      </c>
      <c r="H42" s="539">
        <v>0</v>
      </c>
      <c r="I42" s="539">
        <v>0</v>
      </c>
      <c r="J42" s="545">
        <f t="shared" si="41"/>
        <v>0</v>
      </c>
      <c r="K42" s="546">
        <f t="shared" si="42"/>
        <v>0</v>
      </c>
      <c r="L42" s="539">
        <v>0</v>
      </c>
      <c r="M42" s="542">
        <f t="shared" si="43"/>
        <v>0</v>
      </c>
      <c r="N42" s="542">
        <f t="shared" si="44"/>
        <v>0</v>
      </c>
      <c r="O42" s="539">
        <v>0</v>
      </c>
      <c r="P42" s="543">
        <f t="shared" si="45"/>
        <v>0</v>
      </c>
      <c r="Q42" s="542">
        <f t="shared" si="46"/>
        <v>0</v>
      </c>
      <c r="R42" s="542">
        <f ca="1">IFERROR(__xludf.DUMMYFUNCTION("IMPORTRANGE(""https://docs.google.com/spreadsheets/d/1v_cJrbBlyqmnHPReHk44g9NrMRdENNlSy_E_c5M9fIg/edit?usp=sharing"",""ร้อยเอ็ด!Q728"")"),1008470)</f>
        <v>1008470</v>
      </c>
      <c r="S42" s="542">
        <f ca="1">IFERROR(__xludf.DUMMYFUNCTION("IMPORTRANGE(""https://docs.google.com/spreadsheets/d/1v_cJrbBlyqmnHPReHk44g9NrMRdENNlSy_E_c5M9fIg/edit?usp=sharing"",""ร้อยเอ็ด!R728"")"),0)</f>
        <v>0</v>
      </c>
      <c r="T42" s="542">
        <f ca="1">IFERROR(__xludf.DUMMYFUNCTION("IMPORTRANGE(""https://docs.google.com/spreadsheets/d/1v_cJrbBlyqmnHPReHk44g9NrMRdENNlSy_E_c5M9fIg/edit?usp=sharing"",""ร้อยเอ็ด!S728"")"),41080)</f>
        <v>41080</v>
      </c>
      <c r="U42" s="542">
        <f t="shared" ca="1" si="48"/>
        <v>4.0734974763751026</v>
      </c>
      <c r="V42" s="542">
        <f t="shared" ca="1" si="49"/>
        <v>0</v>
      </c>
      <c r="W42" s="544">
        <f ca="1">IFERROR(__xludf.DUMMYFUNCTION("IMPORTRANGE(""https://docs.google.com/spreadsheets/d/1v_cJrbBlyqmnHPReHk44g9NrMRdENNlSy_E_c5M9fIg/edit?usp=sharing"",""ร้อยเอ็ด!I726"")"),128)</f>
        <v>128</v>
      </c>
      <c r="X42" s="540">
        <f ca="1">IFERROR(__xludf.DUMMYFUNCTION("IMPORTRANGE(""https://docs.google.com/spreadsheets/d/1v_cJrbBlyqmnHPReHk44g9NrMRdENNlSy_E_c5M9fIg/edit?usp=sharing"",""ร้อยเอ็ด!I727"")"),1250)</f>
        <v>1250</v>
      </c>
      <c r="Y42" s="540">
        <f ca="1">IFERROR(__xludf.DUMMYFUNCTION("IMPORTRANGE(""https://docs.google.com/spreadsheets/d/1v_cJrbBlyqmnHPReHk44g9NrMRdENNlSy_E_c5M9fIg/edit?usp=sharing"",""ร้อยเอ็ด!J726"")"),0)</f>
        <v>0</v>
      </c>
      <c r="Z42" s="375">
        <f t="shared" ca="1" si="51"/>
        <v>0</v>
      </c>
      <c r="AA42" s="540">
        <f ca="1">IFERROR(__xludf.DUMMYFUNCTION("IMPORTRANGE(""https://docs.google.com/spreadsheets/d/1v_cJrbBlyqmnHPReHk44g9NrMRdENNlSy_E_c5M9fIg/edit?usp=sharing"",""ร้อยเอ็ด!J727"")"),0)</f>
        <v>0</v>
      </c>
      <c r="AB42" s="375">
        <f t="shared" ca="1" si="52"/>
        <v>0</v>
      </c>
      <c r="AC42" s="540">
        <f ca="1">IFERROR(__xludf.DUMMYFUNCTION("IMPORTRANGE(""https://docs.google.com/spreadsheets/d/1v_cJrbBlyqmnHPReHk44g9NrMRdENNlSy_E_c5M9fIg/edit?usp=sharing"",""ร้อยเอ็ด!I740"")"),1000)</f>
        <v>1000</v>
      </c>
      <c r="AD42" s="540">
        <f ca="1">IFERROR(__xludf.DUMMYFUNCTION("IMPORTRANGE(""https://docs.google.com/spreadsheets/d/1v_cJrbBlyqmnHPReHk44g9NrMRdENNlSy_E_c5M9fIg/edit?usp=sharing"",""ร้อยเอ็ด!J740"")"),0)</f>
        <v>0</v>
      </c>
      <c r="AE42" s="375">
        <f t="shared" ca="1" si="54"/>
        <v>0</v>
      </c>
      <c r="AF42" s="540">
        <f ca="1">IFERROR(__xludf.DUMMYFUNCTION("IMPORTRANGE(""https://docs.google.com/spreadsheets/d/1v_cJrbBlyqmnHPReHk44g9NrMRdENNlSy_E_c5M9fIg/edit?usp=sharing"",""ร้อยเอ็ด!J741"")"),0)</f>
        <v>0</v>
      </c>
      <c r="AG42" s="540">
        <f ca="1">IFERROR(__xludf.DUMMYFUNCTION("IMPORTRANGE(""https://docs.google.com/spreadsheets/d/1v_cJrbBlyqmnHPReHk44g9NrMRdENNlSy_E_c5M9fIg/edit?usp=sharing"",""ร้อยเอ็ด!I742"")"),100)</f>
        <v>100</v>
      </c>
      <c r="AH42" s="540">
        <f ca="1">IFERROR(__xludf.DUMMYFUNCTION("IMPORTRANGE(""https://docs.google.com/spreadsheets/d/1v_cJrbBlyqmnHPReHk44g9NrMRdENNlSy_E_c5M9fIg/edit?usp=sharing"",""ร้อยเอ็ด!J742"")"),0)</f>
        <v>0</v>
      </c>
      <c r="AI42" s="375">
        <f t="shared" ca="1" si="56"/>
        <v>0</v>
      </c>
      <c r="AJ42" s="540">
        <f ca="1">IFERROR(__xludf.DUMMYFUNCTION("IMPORTRANGE(""https://docs.google.com/spreadsheets/d/1v_cJrbBlyqmnHPReHk44g9NrMRdENNlSy_E_c5M9fIg/edit?usp=sharing"",""ร้อยเอ็ด!I744"")"),250)</f>
        <v>250</v>
      </c>
      <c r="AK42" s="540">
        <f ca="1">IFERROR(__xludf.DUMMYFUNCTION("IMPORTRANGE(""https://docs.google.com/spreadsheets/d/1v_cJrbBlyqmnHPReHk44g9NrMRdENNlSy_E_c5M9fIg/edit?usp=sharing"",""ร้อยเอ็ด!J744"")"),0)</f>
        <v>0</v>
      </c>
      <c r="AL42" s="375">
        <f t="shared" ca="1" si="58"/>
        <v>0</v>
      </c>
      <c r="AM42" s="540">
        <f ca="1">IFERROR(__xludf.DUMMYFUNCTION("IMPORTRANGE(""https://docs.google.com/spreadsheets/d/1v_cJrbBlyqmnHPReHk44g9NrMRdENNlSy_E_c5M9fIg/edit?usp=sharing"",""ร้อยเอ็ด!J745"")"),0)</f>
        <v>0</v>
      </c>
      <c r="AN42" s="540">
        <f ca="1">IFERROR(__xludf.DUMMYFUNCTION("IMPORTRANGE(""https://docs.google.com/spreadsheets/d/1v_cJrbBlyqmnHPReHk44g9NrMRdENNlSy_E_c5M9fIg/edit?usp=sharing"",""ร้อยเอ็ด!I746"")"),25)</f>
        <v>25</v>
      </c>
      <c r="AO42" s="540">
        <f ca="1">IFERROR(__xludf.DUMMYFUNCTION("IMPORTRANGE(""https://docs.google.com/spreadsheets/d/1v_cJrbBlyqmnHPReHk44g9NrMRdENNlSy_E_c5M9fIg/edit?usp=sharing"",""ร้อยเอ็ด!J746"")"),0)</f>
        <v>0</v>
      </c>
      <c r="AP42" s="375">
        <f t="shared" ca="1" si="60"/>
        <v>0</v>
      </c>
      <c r="AQ42" s="540">
        <f ca="1">IFERROR(__xludf.DUMMYFUNCTION("IMPORTRANGE(""https://docs.google.com/spreadsheets/d/1v_cJrbBlyqmnHPReHk44g9NrMRdENNlSy_E_c5M9fIg/edit?usp=sharing"",""ร้อยเอ็ด!J748"")"),0)</f>
        <v>0</v>
      </c>
      <c r="AR42" s="540">
        <f ca="1">IFERROR(__xludf.DUMMYFUNCTION("IMPORTRANGE(""https://docs.google.com/spreadsheets/d/1v_cJrbBlyqmnHPReHk44g9NrMRdENNlSy_E_c5M9fIg/edit?usp=sharing"",""ร้อยเอ็ด!I749"")"),3)</f>
        <v>3</v>
      </c>
      <c r="AS42" s="540">
        <f ca="1">IFERROR(__xludf.DUMMYFUNCTION("IMPORTRANGE(""https://docs.google.com/spreadsheets/d/1v_cJrbBlyqmnHPReHk44g9NrMRdENNlSy_E_c5M9fIg/edit?usp=sharing"",""ร้อยเอ็ด!J749"")"),0)</f>
        <v>0</v>
      </c>
      <c r="AT42" s="375">
        <f t="shared" ca="1" si="62"/>
        <v>0</v>
      </c>
      <c r="AU42" s="540">
        <f ca="1">IFERROR(__xludf.DUMMYFUNCTION("IMPORTRANGE(""https://docs.google.com/spreadsheets/d/1v_cJrbBlyqmnHPReHk44g9NrMRdENNlSy_E_c5M9fIg/edit?usp=sharing"",""ร้อยเอ็ด!I752"")"),100)</f>
        <v>100</v>
      </c>
      <c r="AV42" s="540">
        <f ca="1">IFERROR(__xludf.DUMMYFUNCTION("IMPORTRANGE(""https://docs.google.com/spreadsheets/d/1v_cJrbBlyqmnHPReHk44g9NrMRdENNlSy_E_c5M9fIg/edit?usp=sharing"",""ร้อยเอ็ด!J752"")"),0)</f>
        <v>0</v>
      </c>
      <c r="AW42" s="375">
        <f t="shared" ca="1" si="64"/>
        <v>0</v>
      </c>
      <c r="AX42" s="540">
        <f ca="1">IFERROR(__xludf.DUMMYFUNCTION("IMPORTRANGE(""https://docs.google.com/spreadsheets/d/1v_cJrbBlyqmnHPReHk44g9NrMRdENNlSy_E_c5M9fIg/edit?usp=sharing"",""ร้อยเอ็ด!J753"")"),0)</f>
        <v>0</v>
      </c>
      <c r="AY42" s="540">
        <f ca="1">IFERROR(__xludf.DUMMYFUNCTION("IMPORTRANGE(""https://docs.google.com/spreadsheets/d/1v_cJrbBlyqmnHPReHk44g9NrMRdENNlSy_E_c5M9fIg/edit?usp=sharing"",""ร้อยเอ็ด!I755"")"),25)</f>
        <v>25</v>
      </c>
      <c r="AZ42" s="540">
        <f ca="1">IFERROR(__xludf.DUMMYFUNCTION("IMPORTRANGE(""https://docs.google.com/spreadsheets/d/1v_cJrbBlyqmnHPReHk44g9NrMRdENNlSy_E_c5M9fIg/edit?usp=sharing"",""ร้อยเอ็ด!J755"")"),0)</f>
        <v>0</v>
      </c>
      <c r="BA42" s="375">
        <f t="shared" ca="1" si="66"/>
        <v>0</v>
      </c>
      <c r="BB42" s="540">
        <f ca="1">IFERROR(__xludf.DUMMYFUNCTION("IMPORTRANGE(""https://docs.google.com/spreadsheets/d/1v_cJrbBlyqmnHPReHk44g9NrMRdENNlSy_E_c5M9fIg/edit?usp=sharing"",""ร้อยเอ็ด!J756"")"),0)</f>
        <v>0</v>
      </c>
    </row>
    <row r="43" spans="1:54" ht="23.25" customHeight="1" x14ac:dyDescent="0.3">
      <c r="A43" s="535">
        <v>12</v>
      </c>
      <c r="B43" s="536" t="s">
        <v>69</v>
      </c>
      <c r="C43" s="537">
        <f t="shared" si="39"/>
        <v>0</v>
      </c>
      <c r="D43" s="538">
        <f t="shared" si="78"/>
        <v>0</v>
      </c>
      <c r="E43" s="539">
        <v>0</v>
      </c>
      <c r="F43" s="539">
        <v>0</v>
      </c>
      <c r="G43" s="539">
        <v>0</v>
      </c>
      <c r="H43" s="539">
        <v>0</v>
      </c>
      <c r="I43" s="539">
        <v>0</v>
      </c>
      <c r="J43" s="545">
        <f t="shared" si="41"/>
        <v>0</v>
      </c>
      <c r="K43" s="546">
        <f t="shared" si="42"/>
        <v>0</v>
      </c>
      <c r="L43" s="539">
        <v>0</v>
      </c>
      <c r="M43" s="542">
        <f t="shared" si="43"/>
        <v>0</v>
      </c>
      <c r="N43" s="542">
        <f t="shared" si="44"/>
        <v>0</v>
      </c>
      <c r="O43" s="539">
        <v>0</v>
      </c>
      <c r="P43" s="543">
        <f t="shared" si="45"/>
        <v>0</v>
      </c>
      <c r="Q43" s="542">
        <f t="shared" si="46"/>
        <v>0</v>
      </c>
      <c r="R43" s="542">
        <f ca="1">IFERROR(__xludf.DUMMYFUNCTION("IMPORTRANGE(""https://docs.google.com/spreadsheets/d/1Ul4RCpCX66NxYADU1QpwAPjOmBzW64SsT11s1wzXw_c/edit?usp=sharing"",""เลย!Q728"")"),175994)</f>
        <v>175994</v>
      </c>
      <c r="S43" s="542">
        <f ca="1">IFERROR(__xludf.DUMMYFUNCTION("IMPORTRANGE(""https://docs.google.com/spreadsheets/d/1Ul4RCpCX66NxYADU1QpwAPjOmBzW64SsT11s1wzXw_c/edit?usp=sharing"",""เลย!R728"")"),0)</f>
        <v>0</v>
      </c>
      <c r="T43" s="542">
        <f ca="1">IFERROR(__xludf.DUMMYFUNCTION("IMPORTRANGE(""https://docs.google.com/spreadsheets/d/1Ul4RCpCX66NxYADU1QpwAPjOmBzW64SsT11s1wzXw_c/edit?usp=sharing"",""เลย!S728"")"),0)</f>
        <v>0</v>
      </c>
      <c r="U43" s="542">
        <f t="shared" ca="1" si="48"/>
        <v>0</v>
      </c>
      <c r="V43" s="542">
        <f t="shared" ca="1" si="49"/>
        <v>0</v>
      </c>
      <c r="W43" s="544">
        <f ca="1">IFERROR(__xludf.DUMMYFUNCTION("IMPORTRANGE(""https://docs.google.com/spreadsheets/d/1Ul4RCpCX66NxYADU1QpwAPjOmBzW64SsT11s1wzXw_c/edit?usp=sharing"",""เลย!I726"")"),21)</f>
        <v>21</v>
      </c>
      <c r="X43" s="540">
        <f ca="1">IFERROR(__xludf.DUMMYFUNCTION("IMPORTRANGE(""https://docs.google.com/spreadsheets/d/1Ul4RCpCX66NxYADU1QpwAPjOmBzW64SsT11s1wzXw_c/edit?usp=sharing"",""เลย!I727"")"),200)</f>
        <v>200</v>
      </c>
      <c r="Y43" s="540">
        <f ca="1">IFERROR(__xludf.DUMMYFUNCTION("IMPORTRANGE(""https://docs.google.com/spreadsheets/d/1Ul4RCpCX66NxYADU1QpwAPjOmBzW64SsT11s1wzXw_c/edit?usp=sharing"",""เลย!J726"")"),0)</f>
        <v>0</v>
      </c>
      <c r="Z43" s="375">
        <f t="shared" ca="1" si="51"/>
        <v>0</v>
      </c>
      <c r="AA43" s="540">
        <f ca="1">IFERROR(__xludf.DUMMYFUNCTION("IMPORTRANGE(""https://docs.google.com/spreadsheets/d/1Ul4RCpCX66NxYADU1QpwAPjOmBzW64SsT11s1wzXw_c/edit?usp=sharing"",""เลย!J727"")"),0)</f>
        <v>0</v>
      </c>
      <c r="AB43" s="375">
        <f t="shared" ca="1" si="52"/>
        <v>0</v>
      </c>
      <c r="AC43" s="540">
        <f ca="1">IFERROR(__xludf.DUMMYFUNCTION("IMPORTRANGE(""https://docs.google.com/spreadsheets/d/1Ul4RCpCX66NxYADU1QpwAPjOmBzW64SsT11s1wzXw_c/edit?usp=sharing"",""เลย!I740"")"),160)</f>
        <v>160</v>
      </c>
      <c r="AD43" s="540">
        <f ca="1">IFERROR(__xludf.DUMMYFUNCTION("IMPORTRANGE(""https://docs.google.com/spreadsheets/d/1Ul4RCpCX66NxYADU1QpwAPjOmBzW64SsT11s1wzXw_c/edit?usp=sharing"",""เลย!J740"")"),0)</f>
        <v>0</v>
      </c>
      <c r="AE43" s="375">
        <f t="shared" ca="1" si="54"/>
        <v>0</v>
      </c>
      <c r="AF43" s="540">
        <f ca="1">IFERROR(__xludf.DUMMYFUNCTION("IMPORTRANGE(""https://docs.google.com/spreadsheets/d/1Ul4RCpCX66NxYADU1QpwAPjOmBzW64SsT11s1wzXw_c/edit?usp=sharing"",""เลย!J741"")"),0)</f>
        <v>0</v>
      </c>
      <c r="AG43" s="540">
        <f ca="1">IFERROR(__xludf.DUMMYFUNCTION("IMPORTRANGE(""https://docs.google.com/spreadsheets/d/1Ul4RCpCX66NxYADU1QpwAPjOmBzW64SsT11s1wzXw_c/edit?usp=sharing"",""เลย!I742"")"),16)</f>
        <v>16</v>
      </c>
      <c r="AH43" s="540">
        <f ca="1">IFERROR(__xludf.DUMMYFUNCTION("IMPORTRANGE(""https://docs.google.com/spreadsheets/d/1Ul4RCpCX66NxYADU1QpwAPjOmBzW64SsT11s1wzXw_c/edit?usp=sharing"",""เลย!J742"")"),0)</f>
        <v>0</v>
      </c>
      <c r="AI43" s="375">
        <f t="shared" ca="1" si="56"/>
        <v>0</v>
      </c>
      <c r="AJ43" s="540">
        <f ca="1">IFERROR(__xludf.DUMMYFUNCTION("IMPORTRANGE(""https://docs.google.com/spreadsheets/d/1Ul4RCpCX66NxYADU1QpwAPjOmBzW64SsT11s1wzXw_c/edit?usp=sharing"",""เลย!I744"")"),40)</f>
        <v>40</v>
      </c>
      <c r="AK43" s="540">
        <f ca="1">IFERROR(__xludf.DUMMYFUNCTION("IMPORTRANGE(""https://docs.google.com/spreadsheets/d/1Ul4RCpCX66NxYADU1QpwAPjOmBzW64SsT11s1wzXw_c/edit?usp=sharing"",""เลย!J744"")"),0)</f>
        <v>0</v>
      </c>
      <c r="AL43" s="375">
        <f t="shared" ca="1" si="58"/>
        <v>0</v>
      </c>
      <c r="AM43" s="540">
        <f ca="1">IFERROR(__xludf.DUMMYFUNCTION("IMPORTRANGE(""https://docs.google.com/spreadsheets/d/1Ul4RCpCX66NxYADU1QpwAPjOmBzW64SsT11s1wzXw_c/edit?usp=sharing"",""เลย!J745"")"),0)</f>
        <v>0</v>
      </c>
      <c r="AN43" s="540">
        <f ca="1">IFERROR(__xludf.DUMMYFUNCTION("IMPORTRANGE(""https://docs.google.com/spreadsheets/d/1Ul4RCpCX66NxYADU1QpwAPjOmBzW64SsT11s1wzXw_c/edit?usp=sharing"",""เลย!I746"")"),4)</f>
        <v>4</v>
      </c>
      <c r="AO43" s="540">
        <f ca="1">IFERROR(__xludf.DUMMYFUNCTION("IMPORTRANGE(""https://docs.google.com/spreadsheets/d/1Ul4RCpCX66NxYADU1QpwAPjOmBzW64SsT11s1wzXw_c/edit?usp=sharing"",""เลย!J746"")"),0)</f>
        <v>0</v>
      </c>
      <c r="AP43" s="375">
        <f t="shared" ca="1" si="60"/>
        <v>0</v>
      </c>
      <c r="AQ43" s="540">
        <f ca="1">IFERROR(__xludf.DUMMYFUNCTION("IMPORTRANGE(""https://docs.google.com/spreadsheets/d/1Ul4RCpCX66NxYADU1QpwAPjOmBzW64SsT11s1wzXw_c/edit?usp=sharing"",""เลย!J748"")"),0)</f>
        <v>0</v>
      </c>
      <c r="AR43" s="540">
        <f ca="1">IFERROR(__xludf.DUMMYFUNCTION("IMPORTRANGE(""https://docs.google.com/spreadsheets/d/1Ul4RCpCX66NxYADU1QpwAPjOmBzW64SsT11s1wzXw_c/edit?usp=sharing"",""เลย!I749"")"),1)</f>
        <v>1</v>
      </c>
      <c r="AS43" s="540">
        <f ca="1">IFERROR(__xludf.DUMMYFUNCTION("IMPORTRANGE(""https://docs.google.com/spreadsheets/d/1Ul4RCpCX66NxYADU1QpwAPjOmBzW64SsT11s1wzXw_c/edit?usp=sharing"",""เลย!J749"")"),0)</f>
        <v>0</v>
      </c>
      <c r="AT43" s="375">
        <f t="shared" ca="1" si="62"/>
        <v>0</v>
      </c>
      <c r="AU43" s="540">
        <f ca="1">IFERROR(__xludf.DUMMYFUNCTION("IMPORTRANGE(""https://docs.google.com/spreadsheets/d/1Ul4RCpCX66NxYADU1QpwAPjOmBzW64SsT11s1wzXw_c/edit?usp=sharing"",""เลย!I752"")"),16)</f>
        <v>16</v>
      </c>
      <c r="AV43" s="540">
        <f ca="1">IFERROR(__xludf.DUMMYFUNCTION("IMPORTRANGE(""https://docs.google.com/spreadsheets/d/1Ul4RCpCX66NxYADU1QpwAPjOmBzW64SsT11s1wzXw_c/edit?usp=sharing"",""เลย!J752"")"),0)</f>
        <v>0</v>
      </c>
      <c r="AW43" s="375">
        <f t="shared" ca="1" si="64"/>
        <v>0</v>
      </c>
      <c r="AX43" s="540">
        <f ca="1">IFERROR(__xludf.DUMMYFUNCTION("IMPORTRANGE(""https://docs.google.com/spreadsheets/d/1Ul4RCpCX66NxYADU1QpwAPjOmBzW64SsT11s1wzXw_c/edit?usp=sharing"",""เลย!J753"")"),0)</f>
        <v>0</v>
      </c>
      <c r="AY43" s="540">
        <f ca="1">IFERROR(__xludf.DUMMYFUNCTION("IMPORTRANGE(""https://docs.google.com/spreadsheets/d/1Ul4RCpCX66NxYADU1QpwAPjOmBzW64SsT11s1wzXw_c/edit?usp=sharing"",""เลย!I755"")"),4)</f>
        <v>4</v>
      </c>
      <c r="AZ43" s="540">
        <f ca="1">IFERROR(__xludf.DUMMYFUNCTION("IMPORTRANGE(""https://docs.google.com/spreadsheets/d/1Ul4RCpCX66NxYADU1QpwAPjOmBzW64SsT11s1wzXw_c/edit?usp=sharing"",""เลย!J755"")"),0)</f>
        <v>0</v>
      </c>
      <c r="BA43" s="375">
        <f t="shared" ca="1" si="66"/>
        <v>0</v>
      </c>
      <c r="BB43" s="540">
        <f ca="1">IFERROR(__xludf.DUMMYFUNCTION("IMPORTRANGE(""https://docs.google.com/spreadsheets/d/1Ul4RCpCX66NxYADU1QpwAPjOmBzW64SsT11s1wzXw_c/edit?usp=sharing"",""เลย!J756"")"),0)</f>
        <v>0</v>
      </c>
    </row>
    <row r="44" spans="1:54" ht="23.25" customHeight="1" x14ac:dyDescent="0.3">
      <c r="A44" s="535">
        <v>13</v>
      </c>
      <c r="B44" s="536" t="s">
        <v>70</v>
      </c>
      <c r="C44" s="537">
        <f t="shared" si="39"/>
        <v>0</v>
      </c>
      <c r="D44" s="538">
        <f t="shared" si="78"/>
        <v>0</v>
      </c>
      <c r="E44" s="539">
        <v>0</v>
      </c>
      <c r="F44" s="539">
        <v>0</v>
      </c>
      <c r="G44" s="539">
        <v>0</v>
      </c>
      <c r="H44" s="539">
        <v>0</v>
      </c>
      <c r="I44" s="539">
        <v>0</v>
      </c>
      <c r="J44" s="545">
        <f t="shared" si="41"/>
        <v>0</v>
      </c>
      <c r="K44" s="546">
        <f t="shared" si="42"/>
        <v>0</v>
      </c>
      <c r="L44" s="539">
        <v>0</v>
      </c>
      <c r="M44" s="542">
        <f t="shared" si="43"/>
        <v>0</v>
      </c>
      <c r="N44" s="542">
        <f t="shared" si="44"/>
        <v>0</v>
      </c>
      <c r="O44" s="539">
        <v>0</v>
      </c>
      <c r="P44" s="543">
        <f t="shared" si="45"/>
        <v>0</v>
      </c>
      <c r="Q44" s="542">
        <f t="shared" si="46"/>
        <v>0</v>
      </c>
      <c r="R44" s="542">
        <f ca="1">IFERROR(__xludf.DUMMYFUNCTION("IMPORTRANGE(""https://docs.google.com/spreadsheets/d/1bRrNKwbHDVktQG10isr5vbWRtt5spIZPpkOSWgbT5ug/edit?usp=sharing"",""ศรีสะเกษ!Q728"")"),1008470)</f>
        <v>1008470</v>
      </c>
      <c r="S44" s="542">
        <f ca="1">IFERROR(__xludf.DUMMYFUNCTION("IMPORTRANGE(""https://docs.google.com/spreadsheets/d/1bRrNKwbHDVktQG10isr5vbWRtt5spIZPpkOSWgbT5ug/edit?usp=sharing"",""ศรีสะเกษ!R728"")"),0)</f>
        <v>0</v>
      </c>
      <c r="T44" s="542">
        <f ca="1">IFERROR(__xludf.DUMMYFUNCTION("IMPORTRANGE(""https://docs.google.com/spreadsheets/d/1bRrNKwbHDVktQG10isr5vbWRtt5spIZPpkOSWgbT5ug/edit?usp=sharing"",""ศรีสะเกษ!S728"")"),0)</f>
        <v>0</v>
      </c>
      <c r="U44" s="542">
        <f t="shared" ca="1" si="48"/>
        <v>0</v>
      </c>
      <c r="V44" s="542">
        <f t="shared" ca="1" si="49"/>
        <v>0</v>
      </c>
      <c r="W44" s="544">
        <f ca="1">IFERROR(__xludf.DUMMYFUNCTION("IMPORTRANGE(""https://docs.google.com/spreadsheets/d/1bRrNKwbHDVktQG10isr5vbWRtt5spIZPpkOSWgbT5ug/edit?usp=sharing"",""ศรีสะเกษ!I726"")"),128)</f>
        <v>128</v>
      </c>
      <c r="X44" s="540">
        <f ca="1">IFERROR(__xludf.DUMMYFUNCTION("IMPORTRANGE(""https://docs.google.com/spreadsheets/d/1bRrNKwbHDVktQG10isr5vbWRtt5spIZPpkOSWgbT5ug/edit?usp=sharing"",""ศรีสะเกษ!I727"")"),1250)</f>
        <v>1250</v>
      </c>
      <c r="Y44" s="540">
        <f ca="1">IFERROR(__xludf.DUMMYFUNCTION("IMPORTRANGE(""https://docs.google.com/spreadsheets/d/1bRrNKwbHDVktQG10isr5vbWRtt5spIZPpkOSWgbT5ug/edit?usp=sharing"",""ศรีสะเกษ!J726"")"),0)</f>
        <v>0</v>
      </c>
      <c r="Z44" s="375">
        <f t="shared" ca="1" si="51"/>
        <v>0</v>
      </c>
      <c r="AA44" s="540">
        <f ca="1">IFERROR(__xludf.DUMMYFUNCTION("IMPORTRANGE(""https://docs.google.com/spreadsheets/d/1bRrNKwbHDVktQG10isr5vbWRtt5spIZPpkOSWgbT5ug/edit?usp=sharing"",""ศรีสะเกษ!J727"")"),0)</f>
        <v>0</v>
      </c>
      <c r="AB44" s="375">
        <f t="shared" ca="1" si="52"/>
        <v>0</v>
      </c>
      <c r="AC44" s="540">
        <f ca="1">IFERROR(__xludf.DUMMYFUNCTION("IMPORTRANGE(""https://docs.google.com/spreadsheets/d/1bRrNKwbHDVktQG10isr5vbWRtt5spIZPpkOSWgbT5ug/edit?usp=sharing"",""ศรีสะเกษ!I740"")"),1000)</f>
        <v>1000</v>
      </c>
      <c r="AD44" s="540">
        <f ca="1">IFERROR(__xludf.DUMMYFUNCTION("IMPORTRANGE(""https://docs.google.com/spreadsheets/d/1bRrNKwbHDVktQG10isr5vbWRtt5spIZPpkOSWgbT5ug/edit?usp=sharing"",""ศรีสะเกษ!J740"")"),0)</f>
        <v>0</v>
      </c>
      <c r="AE44" s="375">
        <f t="shared" ca="1" si="54"/>
        <v>0</v>
      </c>
      <c r="AF44" s="540">
        <f ca="1">IFERROR(__xludf.DUMMYFUNCTION("IMPORTRANGE(""https://docs.google.com/spreadsheets/d/1bRrNKwbHDVktQG10isr5vbWRtt5spIZPpkOSWgbT5ug/edit?usp=sharing"",""ศรีสะเกษ!J741"")"),0)</f>
        <v>0</v>
      </c>
      <c r="AG44" s="540">
        <f ca="1">IFERROR(__xludf.DUMMYFUNCTION("IMPORTRANGE(""https://docs.google.com/spreadsheets/d/1bRrNKwbHDVktQG10isr5vbWRtt5spIZPpkOSWgbT5ug/edit?usp=sharing"",""ศรีสะเกษ!I742"")"),100)</f>
        <v>100</v>
      </c>
      <c r="AH44" s="540">
        <f ca="1">IFERROR(__xludf.DUMMYFUNCTION("IMPORTRANGE(""https://docs.google.com/spreadsheets/d/1bRrNKwbHDVktQG10isr5vbWRtt5spIZPpkOSWgbT5ug/edit?usp=sharing"",""ศรีสะเกษ!J742"")"),0)</f>
        <v>0</v>
      </c>
      <c r="AI44" s="375">
        <f t="shared" ca="1" si="56"/>
        <v>0</v>
      </c>
      <c r="AJ44" s="540">
        <f ca="1">IFERROR(__xludf.DUMMYFUNCTION("IMPORTRANGE(""https://docs.google.com/spreadsheets/d/1bRrNKwbHDVktQG10isr5vbWRtt5spIZPpkOSWgbT5ug/edit?usp=sharing"",""ศรีสะเกษ!I744"")"),250)</f>
        <v>250</v>
      </c>
      <c r="AK44" s="540">
        <f ca="1">IFERROR(__xludf.DUMMYFUNCTION("IMPORTRANGE(""https://docs.google.com/spreadsheets/d/1bRrNKwbHDVktQG10isr5vbWRtt5spIZPpkOSWgbT5ug/edit?usp=sharing"",""ศรีสะเกษ!J744"")"),0)</f>
        <v>0</v>
      </c>
      <c r="AL44" s="375">
        <f t="shared" ca="1" si="58"/>
        <v>0</v>
      </c>
      <c r="AM44" s="540">
        <f ca="1">IFERROR(__xludf.DUMMYFUNCTION("IMPORTRANGE(""https://docs.google.com/spreadsheets/d/1bRrNKwbHDVktQG10isr5vbWRtt5spIZPpkOSWgbT5ug/edit?usp=sharing"",""ศรีสะเกษ!J745"")"),0)</f>
        <v>0</v>
      </c>
      <c r="AN44" s="540">
        <f ca="1">IFERROR(__xludf.DUMMYFUNCTION("IMPORTRANGE(""https://docs.google.com/spreadsheets/d/1bRrNKwbHDVktQG10isr5vbWRtt5spIZPpkOSWgbT5ug/edit?usp=sharing"",""ศรีสะเกษ!I746"")"),25)</f>
        <v>25</v>
      </c>
      <c r="AO44" s="540">
        <f ca="1">IFERROR(__xludf.DUMMYFUNCTION("IMPORTRANGE(""https://docs.google.com/spreadsheets/d/1bRrNKwbHDVktQG10isr5vbWRtt5spIZPpkOSWgbT5ug/edit?usp=sharing"",""ศรีสะเกษ!J746"")"),0)</f>
        <v>0</v>
      </c>
      <c r="AP44" s="375">
        <f t="shared" ca="1" si="60"/>
        <v>0</v>
      </c>
      <c r="AQ44" s="540">
        <f ca="1">IFERROR(__xludf.DUMMYFUNCTION("IMPORTRANGE(""https://docs.google.com/spreadsheets/d/1bRrNKwbHDVktQG10isr5vbWRtt5spIZPpkOSWgbT5ug/edit?usp=sharing"",""ศรีสะเกษ!J748"")"),0)</f>
        <v>0</v>
      </c>
      <c r="AR44" s="540">
        <f ca="1">IFERROR(__xludf.DUMMYFUNCTION("IMPORTRANGE(""https://docs.google.com/spreadsheets/d/1bRrNKwbHDVktQG10isr5vbWRtt5spIZPpkOSWgbT5ug/edit?usp=sharing"",""ศรีสะเกษ!I749"")"),3)</f>
        <v>3</v>
      </c>
      <c r="AS44" s="540">
        <f ca="1">IFERROR(__xludf.DUMMYFUNCTION("IMPORTRANGE(""https://docs.google.com/spreadsheets/d/1bRrNKwbHDVktQG10isr5vbWRtt5spIZPpkOSWgbT5ug/edit?usp=sharing"",""ศรีสะเกษ!J749"")"),0)</f>
        <v>0</v>
      </c>
      <c r="AT44" s="375">
        <f t="shared" ca="1" si="62"/>
        <v>0</v>
      </c>
      <c r="AU44" s="540">
        <f ca="1">IFERROR(__xludf.DUMMYFUNCTION("IMPORTRANGE(""https://docs.google.com/spreadsheets/d/1bRrNKwbHDVktQG10isr5vbWRtt5spIZPpkOSWgbT5ug/edit?usp=sharing"",""ศรีสะเกษ!I752"")"),100)</f>
        <v>100</v>
      </c>
      <c r="AV44" s="540">
        <f ca="1">IFERROR(__xludf.DUMMYFUNCTION("IMPORTRANGE(""https://docs.google.com/spreadsheets/d/1bRrNKwbHDVktQG10isr5vbWRtt5spIZPpkOSWgbT5ug/edit?usp=sharing"",""ศรีสะเกษ!J752"")"),0)</f>
        <v>0</v>
      </c>
      <c r="AW44" s="375">
        <f t="shared" ca="1" si="64"/>
        <v>0</v>
      </c>
      <c r="AX44" s="540">
        <f ca="1">IFERROR(__xludf.DUMMYFUNCTION("IMPORTRANGE(""https://docs.google.com/spreadsheets/d/1bRrNKwbHDVktQG10isr5vbWRtt5spIZPpkOSWgbT5ug/edit?usp=sharing"",""ศรีสะเกษ!J753"")"),0)</f>
        <v>0</v>
      </c>
      <c r="AY44" s="540">
        <f ca="1">IFERROR(__xludf.DUMMYFUNCTION("IMPORTRANGE(""https://docs.google.com/spreadsheets/d/1bRrNKwbHDVktQG10isr5vbWRtt5spIZPpkOSWgbT5ug/edit?usp=sharing"",""ศรีสะเกษ!I755"")"),25)</f>
        <v>25</v>
      </c>
      <c r="AZ44" s="540">
        <f ca="1">IFERROR(__xludf.DUMMYFUNCTION("IMPORTRANGE(""https://docs.google.com/spreadsheets/d/1bRrNKwbHDVktQG10isr5vbWRtt5spIZPpkOSWgbT5ug/edit?usp=sharing"",""ศรีสะเกษ!J755"")"),0)</f>
        <v>0</v>
      </c>
      <c r="BA44" s="375">
        <f t="shared" ca="1" si="66"/>
        <v>0</v>
      </c>
      <c r="BB44" s="540">
        <f ca="1">IFERROR(__xludf.DUMMYFUNCTION("IMPORTRANGE(""https://docs.google.com/spreadsheets/d/1bRrNKwbHDVktQG10isr5vbWRtt5spIZPpkOSWgbT5ug/edit?usp=sharing"",""ศรีสะเกษ!J756"")"),0)</f>
        <v>0</v>
      </c>
    </row>
    <row r="45" spans="1:54" ht="23.25" customHeight="1" x14ac:dyDescent="0.3">
      <c r="A45" s="535">
        <v>14</v>
      </c>
      <c r="B45" s="536" t="s">
        <v>71</v>
      </c>
      <c r="C45" s="537">
        <f t="shared" si="39"/>
        <v>0</v>
      </c>
      <c r="D45" s="538">
        <f t="shared" si="78"/>
        <v>0</v>
      </c>
      <c r="E45" s="539">
        <v>0</v>
      </c>
      <c r="F45" s="539">
        <v>0</v>
      </c>
      <c r="G45" s="539">
        <v>0</v>
      </c>
      <c r="H45" s="539">
        <v>0</v>
      </c>
      <c r="I45" s="539">
        <v>0</v>
      </c>
      <c r="J45" s="545">
        <f t="shared" si="41"/>
        <v>0</v>
      </c>
      <c r="K45" s="546">
        <f t="shared" si="42"/>
        <v>0</v>
      </c>
      <c r="L45" s="539">
        <v>0</v>
      </c>
      <c r="M45" s="542">
        <f t="shared" si="43"/>
        <v>0</v>
      </c>
      <c r="N45" s="542">
        <f t="shared" si="44"/>
        <v>0</v>
      </c>
      <c r="O45" s="539">
        <v>0</v>
      </c>
      <c r="P45" s="543">
        <f t="shared" si="45"/>
        <v>0</v>
      </c>
      <c r="Q45" s="542">
        <f t="shared" si="46"/>
        <v>0</v>
      </c>
      <c r="R45" s="542">
        <f ca="1">IFERROR(__xludf.DUMMYFUNCTION("IMPORTRANGE(""https://docs.google.com/spreadsheets/d/17P34_Ow5kFBfdQD0qspb2UuPX5zpi6WMrQzslghyvrI/edit?usp=sharing"",""สกลนคร!Q728"")"),1008470)</f>
        <v>1008470</v>
      </c>
      <c r="S45" s="542">
        <f ca="1">IFERROR(__xludf.DUMMYFUNCTION("IMPORTRANGE(""https://docs.google.com/spreadsheets/d/17P34_Ow5kFBfdQD0qspb2UuPX5zpi6WMrQzslghyvrI/edit?usp=sharing"",""สกลนคร!R728"")"),0)</f>
        <v>0</v>
      </c>
      <c r="T45" s="542">
        <f ca="1">IFERROR(__xludf.DUMMYFUNCTION("IMPORTRANGE(""https://docs.google.com/spreadsheets/d/17P34_Ow5kFBfdQD0qspb2UuPX5zpi6WMrQzslghyvrI/edit?usp=sharing"",""สกลนคร!S728"")"),480)</f>
        <v>480</v>
      </c>
      <c r="U45" s="542">
        <f t="shared" ca="1" si="48"/>
        <v>4.7596854641189131E-2</v>
      </c>
      <c r="V45" s="542">
        <f t="shared" ca="1" si="49"/>
        <v>0</v>
      </c>
      <c r="W45" s="544">
        <f ca="1">IFERROR(__xludf.DUMMYFUNCTION("IMPORTRANGE(""https://docs.google.com/spreadsheets/d/17P34_Ow5kFBfdQD0qspb2UuPX5zpi6WMrQzslghyvrI/edit?usp=sharing"",""สกลนคร!I726"")"),128)</f>
        <v>128</v>
      </c>
      <c r="X45" s="540">
        <f ca="1">IFERROR(__xludf.DUMMYFUNCTION("IMPORTRANGE(""https://docs.google.com/spreadsheets/d/17P34_Ow5kFBfdQD0qspb2UuPX5zpi6WMrQzslghyvrI/edit?usp=sharing"",""สกลนคร!I727"")"),1250)</f>
        <v>1250</v>
      </c>
      <c r="Y45" s="540">
        <f ca="1">IFERROR(__xludf.DUMMYFUNCTION("IMPORTRANGE(""https://docs.google.com/spreadsheets/d/17P34_Ow5kFBfdQD0qspb2UuPX5zpi6WMrQzslghyvrI/edit?usp=sharing"",""สกลนคร!J726"")"),0)</f>
        <v>0</v>
      </c>
      <c r="Z45" s="375">
        <f t="shared" ca="1" si="51"/>
        <v>0</v>
      </c>
      <c r="AA45" s="540">
        <f ca="1">IFERROR(__xludf.DUMMYFUNCTION("IMPORTRANGE(""https://docs.google.com/spreadsheets/d/17P34_Ow5kFBfdQD0qspb2UuPX5zpi6WMrQzslghyvrI/edit?usp=sharing"",""สกลนคร!J727"")"),0)</f>
        <v>0</v>
      </c>
      <c r="AB45" s="375">
        <f t="shared" ca="1" si="52"/>
        <v>0</v>
      </c>
      <c r="AC45" s="540">
        <f ca="1">IFERROR(__xludf.DUMMYFUNCTION("IMPORTRANGE(""https://docs.google.com/spreadsheets/d/17P34_Ow5kFBfdQD0qspb2UuPX5zpi6WMrQzslghyvrI/edit?usp=sharing"",""สกลนคร!I740"")"),1000)</f>
        <v>1000</v>
      </c>
      <c r="AD45" s="540">
        <f ca="1">IFERROR(__xludf.DUMMYFUNCTION("IMPORTRANGE(""https://docs.google.com/spreadsheets/d/17P34_Ow5kFBfdQD0qspb2UuPX5zpi6WMrQzslghyvrI/edit?usp=sharing"",""สกลนคร!J740"")"),0)</f>
        <v>0</v>
      </c>
      <c r="AE45" s="375">
        <f t="shared" ca="1" si="54"/>
        <v>0</v>
      </c>
      <c r="AF45" s="540">
        <f ca="1">IFERROR(__xludf.DUMMYFUNCTION("IMPORTRANGE(""https://docs.google.com/spreadsheets/d/17P34_Ow5kFBfdQD0qspb2UuPX5zpi6WMrQzslghyvrI/edit?usp=sharing"",""สกลนคร!J741"")"),0)</f>
        <v>0</v>
      </c>
      <c r="AG45" s="540">
        <f ca="1">IFERROR(__xludf.DUMMYFUNCTION("IMPORTRANGE(""https://docs.google.com/spreadsheets/d/17P34_Ow5kFBfdQD0qspb2UuPX5zpi6WMrQzslghyvrI/edit?usp=sharing"",""สกลนคร!I742"")"),100)</f>
        <v>100</v>
      </c>
      <c r="AH45" s="540">
        <f ca="1">IFERROR(__xludf.DUMMYFUNCTION("IMPORTRANGE(""https://docs.google.com/spreadsheets/d/17P34_Ow5kFBfdQD0qspb2UuPX5zpi6WMrQzslghyvrI/edit?usp=sharing"",""สกลนคร!J742"")"),0)</f>
        <v>0</v>
      </c>
      <c r="AI45" s="375">
        <f t="shared" ca="1" si="56"/>
        <v>0</v>
      </c>
      <c r="AJ45" s="540">
        <f ca="1">IFERROR(__xludf.DUMMYFUNCTION("IMPORTRANGE(""https://docs.google.com/spreadsheets/d/17P34_Ow5kFBfdQD0qspb2UuPX5zpi6WMrQzslghyvrI/edit?usp=sharing"",""สกลนคร!I744"")"),250)</f>
        <v>250</v>
      </c>
      <c r="AK45" s="540">
        <f ca="1">IFERROR(__xludf.DUMMYFUNCTION("IMPORTRANGE(""https://docs.google.com/spreadsheets/d/17P34_Ow5kFBfdQD0qspb2UuPX5zpi6WMrQzslghyvrI/edit?usp=sharing"",""สกลนคร!J744"")"),0)</f>
        <v>0</v>
      </c>
      <c r="AL45" s="375">
        <f t="shared" ca="1" si="58"/>
        <v>0</v>
      </c>
      <c r="AM45" s="540">
        <f ca="1">IFERROR(__xludf.DUMMYFUNCTION("IMPORTRANGE(""https://docs.google.com/spreadsheets/d/17P34_Ow5kFBfdQD0qspb2UuPX5zpi6WMrQzslghyvrI/edit?usp=sharing"",""สกลนคร!J745"")"),0)</f>
        <v>0</v>
      </c>
      <c r="AN45" s="540">
        <f ca="1">IFERROR(__xludf.DUMMYFUNCTION("IMPORTRANGE(""https://docs.google.com/spreadsheets/d/17P34_Ow5kFBfdQD0qspb2UuPX5zpi6WMrQzslghyvrI/edit?usp=sharing"",""สกลนคร!I746"")"),25)</f>
        <v>25</v>
      </c>
      <c r="AO45" s="540">
        <f ca="1">IFERROR(__xludf.DUMMYFUNCTION("IMPORTRANGE(""https://docs.google.com/spreadsheets/d/17P34_Ow5kFBfdQD0qspb2UuPX5zpi6WMrQzslghyvrI/edit?usp=sharing"",""สกลนคร!J746"")"),0)</f>
        <v>0</v>
      </c>
      <c r="AP45" s="375">
        <f t="shared" ca="1" si="60"/>
        <v>0</v>
      </c>
      <c r="AQ45" s="540">
        <f ca="1">IFERROR(__xludf.DUMMYFUNCTION("IMPORTRANGE(""https://docs.google.com/spreadsheets/d/17P34_Ow5kFBfdQD0qspb2UuPX5zpi6WMrQzslghyvrI/edit?usp=sharing"",""สกลนคร!J748"")"),0)</f>
        <v>0</v>
      </c>
      <c r="AR45" s="540">
        <f ca="1">IFERROR(__xludf.DUMMYFUNCTION("IMPORTRANGE(""https://docs.google.com/spreadsheets/d/17P34_Ow5kFBfdQD0qspb2UuPX5zpi6WMrQzslghyvrI/edit?usp=sharing"",""สกลนคร!I749"")"),3)</f>
        <v>3</v>
      </c>
      <c r="AS45" s="540">
        <f ca="1">IFERROR(__xludf.DUMMYFUNCTION("IMPORTRANGE(""https://docs.google.com/spreadsheets/d/17P34_Ow5kFBfdQD0qspb2UuPX5zpi6WMrQzslghyvrI/edit?usp=sharing"",""สกลนคร!J749"")"),0)</f>
        <v>0</v>
      </c>
      <c r="AT45" s="375">
        <f t="shared" ca="1" si="62"/>
        <v>0</v>
      </c>
      <c r="AU45" s="540">
        <f ca="1">IFERROR(__xludf.DUMMYFUNCTION("IMPORTRANGE(""https://docs.google.com/spreadsheets/d/17P34_Ow5kFBfdQD0qspb2UuPX5zpi6WMrQzslghyvrI/edit?usp=sharing"",""สกลนคร!I752"")"),100)</f>
        <v>100</v>
      </c>
      <c r="AV45" s="540">
        <f ca="1">IFERROR(__xludf.DUMMYFUNCTION("IMPORTRANGE(""https://docs.google.com/spreadsheets/d/17P34_Ow5kFBfdQD0qspb2UuPX5zpi6WMrQzslghyvrI/edit?usp=sharing"",""สกลนคร!J752"")"),0)</f>
        <v>0</v>
      </c>
      <c r="AW45" s="375">
        <f t="shared" ca="1" si="64"/>
        <v>0</v>
      </c>
      <c r="AX45" s="540">
        <f ca="1">IFERROR(__xludf.DUMMYFUNCTION("IMPORTRANGE(""https://docs.google.com/spreadsheets/d/17P34_Ow5kFBfdQD0qspb2UuPX5zpi6WMrQzslghyvrI/edit?usp=sharing"",""สกลนคร!J753"")"),0)</f>
        <v>0</v>
      </c>
      <c r="AY45" s="540">
        <f ca="1">IFERROR(__xludf.DUMMYFUNCTION("IMPORTRANGE(""https://docs.google.com/spreadsheets/d/17P34_Ow5kFBfdQD0qspb2UuPX5zpi6WMrQzslghyvrI/edit?usp=sharing"",""สกลนคร!I755"")"),25)</f>
        <v>25</v>
      </c>
      <c r="AZ45" s="540">
        <f ca="1">IFERROR(__xludf.DUMMYFUNCTION("IMPORTRANGE(""https://docs.google.com/spreadsheets/d/17P34_Ow5kFBfdQD0qspb2UuPX5zpi6WMrQzslghyvrI/edit?usp=sharing"",""สกลนคร!J755"")"),0)</f>
        <v>0</v>
      </c>
      <c r="BA45" s="375">
        <f t="shared" ca="1" si="66"/>
        <v>0</v>
      </c>
      <c r="BB45" s="540">
        <f ca="1">IFERROR(__xludf.DUMMYFUNCTION("IMPORTRANGE(""https://docs.google.com/spreadsheets/d/17P34_Ow5kFBfdQD0qspb2UuPX5zpi6WMrQzslghyvrI/edit?usp=sharing"",""สกลนคร!J756"")"),0)</f>
        <v>0</v>
      </c>
    </row>
    <row r="46" spans="1:54" ht="23.25" customHeight="1" x14ac:dyDescent="0.3">
      <c r="A46" s="535">
        <v>15</v>
      </c>
      <c r="B46" s="536" t="s">
        <v>72</v>
      </c>
      <c r="C46" s="537">
        <f t="shared" si="39"/>
        <v>0</v>
      </c>
      <c r="D46" s="538">
        <f t="shared" si="78"/>
        <v>0</v>
      </c>
      <c r="E46" s="539">
        <v>0</v>
      </c>
      <c r="F46" s="539">
        <v>0</v>
      </c>
      <c r="G46" s="539">
        <v>0</v>
      </c>
      <c r="H46" s="539">
        <v>0</v>
      </c>
      <c r="I46" s="539">
        <v>0</v>
      </c>
      <c r="J46" s="545">
        <f t="shared" si="41"/>
        <v>0</v>
      </c>
      <c r="K46" s="546">
        <f t="shared" si="42"/>
        <v>0</v>
      </c>
      <c r="L46" s="539">
        <v>0</v>
      </c>
      <c r="M46" s="542">
        <f t="shared" si="43"/>
        <v>0</v>
      </c>
      <c r="N46" s="542">
        <f t="shared" si="44"/>
        <v>0</v>
      </c>
      <c r="O46" s="539">
        <v>0</v>
      </c>
      <c r="P46" s="543">
        <f t="shared" si="45"/>
        <v>0</v>
      </c>
      <c r="Q46" s="542">
        <f t="shared" si="46"/>
        <v>0</v>
      </c>
      <c r="R46" s="542">
        <f ca="1">IFERROR(__xludf.DUMMYFUNCTION("IMPORTRANGE(""https://docs.google.com/spreadsheets/d/1yswqbM3-AEpThF3ZSUa1AcmHnmRTF1vlJ1CZGcJ8YuU/edit?usp=sharing"",""สุรินทร์!Q728"")"),1008470)</f>
        <v>1008470</v>
      </c>
      <c r="S46" s="542">
        <f ca="1">IFERROR(__xludf.DUMMYFUNCTION("IMPORTRANGE(""https://docs.google.com/spreadsheets/d/1yswqbM3-AEpThF3ZSUa1AcmHnmRTF1vlJ1CZGcJ8YuU/edit?usp=sharing"",""สุรินทร์!R728"")"),0)</f>
        <v>0</v>
      </c>
      <c r="T46" s="542">
        <f ca="1">IFERROR(__xludf.DUMMYFUNCTION("IMPORTRANGE(""https://docs.google.com/spreadsheets/d/1yswqbM3-AEpThF3ZSUa1AcmHnmRTF1vlJ1CZGcJ8YuU/edit?usp=sharing"",""สุรินทร์!S728"")"),13000)</f>
        <v>13000</v>
      </c>
      <c r="U46" s="542">
        <f t="shared" ca="1" si="48"/>
        <v>1.2890814798655388</v>
      </c>
      <c r="V46" s="542">
        <f t="shared" ca="1" si="49"/>
        <v>0</v>
      </c>
      <c r="W46" s="544">
        <f ca="1">IFERROR(__xludf.DUMMYFUNCTION("IMPORTRANGE(""https://docs.google.com/spreadsheets/d/1yswqbM3-AEpThF3ZSUa1AcmHnmRTF1vlJ1CZGcJ8YuU/edit?usp=sharing"",""สุรินทร์!I726"")"),128)</f>
        <v>128</v>
      </c>
      <c r="X46" s="540">
        <f ca="1">IFERROR(__xludf.DUMMYFUNCTION("IMPORTRANGE(""https://docs.google.com/spreadsheets/d/1yswqbM3-AEpThF3ZSUa1AcmHnmRTF1vlJ1CZGcJ8YuU/edit?usp=sharing"",""สุรินทร์!I727"")"),1250)</f>
        <v>1250</v>
      </c>
      <c r="Y46" s="540">
        <f ca="1">IFERROR(__xludf.DUMMYFUNCTION("IMPORTRANGE(""https://docs.google.com/spreadsheets/d/1yswqbM3-AEpThF3ZSUa1AcmHnmRTF1vlJ1CZGcJ8YuU/edit?usp=sharing"",""สุรินทร์!J726"")"),0)</f>
        <v>0</v>
      </c>
      <c r="Z46" s="375">
        <f t="shared" ca="1" si="51"/>
        <v>0</v>
      </c>
      <c r="AA46" s="540">
        <f ca="1">IFERROR(__xludf.DUMMYFUNCTION("IMPORTRANGE(""https://docs.google.com/spreadsheets/d/1yswqbM3-AEpThF3ZSUa1AcmHnmRTF1vlJ1CZGcJ8YuU/edit?usp=sharing"",""สุรินทร์!J727"")"),0)</f>
        <v>0</v>
      </c>
      <c r="AB46" s="375">
        <f t="shared" ca="1" si="52"/>
        <v>0</v>
      </c>
      <c r="AC46" s="540">
        <f ca="1">IFERROR(__xludf.DUMMYFUNCTION("IMPORTRANGE(""https://docs.google.com/spreadsheets/d/1yswqbM3-AEpThF3ZSUa1AcmHnmRTF1vlJ1CZGcJ8YuU/edit?usp=sharing"",""สุรินทร์!I740"")"),1000)</f>
        <v>1000</v>
      </c>
      <c r="AD46" s="540">
        <f ca="1">IFERROR(__xludf.DUMMYFUNCTION("IMPORTRANGE(""https://docs.google.com/spreadsheets/d/1yswqbM3-AEpThF3ZSUa1AcmHnmRTF1vlJ1CZGcJ8YuU/edit?usp=sharing"",""สุรินทร์!J740"")"),0)</f>
        <v>0</v>
      </c>
      <c r="AE46" s="375">
        <f t="shared" ca="1" si="54"/>
        <v>0</v>
      </c>
      <c r="AF46" s="540">
        <f ca="1">IFERROR(__xludf.DUMMYFUNCTION("IMPORTRANGE(""https://docs.google.com/spreadsheets/d/1yswqbM3-AEpThF3ZSUa1AcmHnmRTF1vlJ1CZGcJ8YuU/edit?usp=sharing"",""สุรินทร์!J741"")"),0)</f>
        <v>0</v>
      </c>
      <c r="AG46" s="540">
        <f ca="1">IFERROR(__xludf.DUMMYFUNCTION("IMPORTRANGE(""https://docs.google.com/spreadsheets/d/1yswqbM3-AEpThF3ZSUa1AcmHnmRTF1vlJ1CZGcJ8YuU/edit?usp=sharing"",""สุรินทร์!I742"")"),100)</f>
        <v>100</v>
      </c>
      <c r="AH46" s="540">
        <f ca="1">IFERROR(__xludf.DUMMYFUNCTION("IMPORTRANGE(""https://docs.google.com/spreadsheets/d/1yswqbM3-AEpThF3ZSUa1AcmHnmRTF1vlJ1CZGcJ8YuU/edit?usp=sharing"",""สุรินทร์!J742"")"),0)</f>
        <v>0</v>
      </c>
      <c r="AI46" s="375">
        <f t="shared" ca="1" si="56"/>
        <v>0</v>
      </c>
      <c r="AJ46" s="540">
        <f ca="1">IFERROR(__xludf.DUMMYFUNCTION("IMPORTRANGE(""https://docs.google.com/spreadsheets/d/1yswqbM3-AEpThF3ZSUa1AcmHnmRTF1vlJ1CZGcJ8YuU/edit?usp=sharing"",""สุรินทร์!I744"")"),250)</f>
        <v>250</v>
      </c>
      <c r="AK46" s="540">
        <f ca="1">IFERROR(__xludf.DUMMYFUNCTION("IMPORTRANGE(""https://docs.google.com/spreadsheets/d/1yswqbM3-AEpThF3ZSUa1AcmHnmRTF1vlJ1CZGcJ8YuU/edit?usp=sharing"",""สุรินทร์!J744"")"),0)</f>
        <v>0</v>
      </c>
      <c r="AL46" s="375">
        <f t="shared" ca="1" si="58"/>
        <v>0</v>
      </c>
      <c r="AM46" s="540">
        <f ca="1">IFERROR(__xludf.DUMMYFUNCTION("IMPORTRANGE(""https://docs.google.com/spreadsheets/d/1yswqbM3-AEpThF3ZSUa1AcmHnmRTF1vlJ1CZGcJ8YuU/edit?usp=sharing"",""สุรินทร์!J745"")"),0)</f>
        <v>0</v>
      </c>
      <c r="AN46" s="540">
        <f ca="1">IFERROR(__xludf.DUMMYFUNCTION("IMPORTRANGE(""https://docs.google.com/spreadsheets/d/1yswqbM3-AEpThF3ZSUa1AcmHnmRTF1vlJ1CZGcJ8YuU/edit?usp=sharing"",""สุรินทร์!I746"")"),25)</f>
        <v>25</v>
      </c>
      <c r="AO46" s="540">
        <f ca="1">IFERROR(__xludf.DUMMYFUNCTION("IMPORTRANGE(""https://docs.google.com/spreadsheets/d/1yswqbM3-AEpThF3ZSUa1AcmHnmRTF1vlJ1CZGcJ8YuU/edit?usp=sharing"",""สุรินทร์!J746"")"),0)</f>
        <v>0</v>
      </c>
      <c r="AP46" s="375">
        <f t="shared" ca="1" si="60"/>
        <v>0</v>
      </c>
      <c r="AQ46" s="540">
        <f ca="1">IFERROR(__xludf.DUMMYFUNCTION("IMPORTRANGE(""https://docs.google.com/spreadsheets/d/1yswqbM3-AEpThF3ZSUa1AcmHnmRTF1vlJ1CZGcJ8YuU/edit?usp=sharing"",""สุรินทร์!J748"")"),0)</f>
        <v>0</v>
      </c>
      <c r="AR46" s="540">
        <f ca="1">IFERROR(__xludf.DUMMYFUNCTION("IMPORTRANGE(""https://docs.google.com/spreadsheets/d/1yswqbM3-AEpThF3ZSUa1AcmHnmRTF1vlJ1CZGcJ8YuU/edit?usp=sharing"",""สุรินทร์!I749"")"),3)</f>
        <v>3</v>
      </c>
      <c r="AS46" s="540">
        <f ca="1">IFERROR(__xludf.DUMMYFUNCTION("IMPORTRANGE(""https://docs.google.com/spreadsheets/d/1yswqbM3-AEpThF3ZSUa1AcmHnmRTF1vlJ1CZGcJ8YuU/edit?usp=sharing"",""สุรินทร์!J749"")"),0)</f>
        <v>0</v>
      </c>
      <c r="AT46" s="375">
        <f t="shared" ca="1" si="62"/>
        <v>0</v>
      </c>
      <c r="AU46" s="540">
        <f ca="1">IFERROR(__xludf.DUMMYFUNCTION("IMPORTRANGE(""https://docs.google.com/spreadsheets/d/1yswqbM3-AEpThF3ZSUa1AcmHnmRTF1vlJ1CZGcJ8YuU/edit?usp=sharing"",""สุรินทร์!I752"")"),100)</f>
        <v>100</v>
      </c>
      <c r="AV46" s="540">
        <f ca="1">IFERROR(__xludf.DUMMYFUNCTION("IMPORTRANGE(""https://docs.google.com/spreadsheets/d/1yswqbM3-AEpThF3ZSUa1AcmHnmRTF1vlJ1CZGcJ8YuU/edit?usp=sharing"",""สุรินทร์!J752"")"),0)</f>
        <v>0</v>
      </c>
      <c r="AW46" s="375">
        <f t="shared" ca="1" si="64"/>
        <v>0</v>
      </c>
      <c r="AX46" s="540">
        <f ca="1">IFERROR(__xludf.DUMMYFUNCTION("IMPORTRANGE(""https://docs.google.com/spreadsheets/d/1yswqbM3-AEpThF3ZSUa1AcmHnmRTF1vlJ1CZGcJ8YuU/edit?usp=sharing"",""สุรินทร์!J753"")"),0)</f>
        <v>0</v>
      </c>
      <c r="AY46" s="540">
        <f ca="1">IFERROR(__xludf.DUMMYFUNCTION("IMPORTRANGE(""https://docs.google.com/spreadsheets/d/1yswqbM3-AEpThF3ZSUa1AcmHnmRTF1vlJ1CZGcJ8YuU/edit?usp=sharing"",""สุรินทร์!I755"")"),25)</f>
        <v>25</v>
      </c>
      <c r="AZ46" s="540">
        <f ca="1">IFERROR(__xludf.DUMMYFUNCTION("IMPORTRANGE(""https://docs.google.com/spreadsheets/d/1yswqbM3-AEpThF3ZSUa1AcmHnmRTF1vlJ1CZGcJ8YuU/edit?usp=sharing"",""สุรินทร์!J755"")"),0)</f>
        <v>0</v>
      </c>
      <c r="BA46" s="375">
        <f t="shared" ca="1" si="66"/>
        <v>0</v>
      </c>
      <c r="BB46" s="540">
        <f ca="1">IFERROR(__xludf.DUMMYFUNCTION("IMPORTRANGE(""https://docs.google.com/spreadsheets/d/1yswqbM3-AEpThF3ZSUa1AcmHnmRTF1vlJ1CZGcJ8YuU/edit?usp=sharing"",""สุรินทร์!J756"")"),0)</f>
        <v>0</v>
      </c>
    </row>
    <row r="47" spans="1:54" ht="23.25" customHeight="1" x14ac:dyDescent="0.3">
      <c r="A47" s="535">
        <v>16</v>
      </c>
      <c r="B47" s="536" t="s">
        <v>73</v>
      </c>
      <c r="C47" s="537">
        <f t="shared" si="39"/>
        <v>0</v>
      </c>
      <c r="D47" s="538">
        <f t="shared" si="78"/>
        <v>0</v>
      </c>
      <c r="E47" s="539">
        <v>0</v>
      </c>
      <c r="F47" s="539">
        <v>0</v>
      </c>
      <c r="G47" s="539">
        <v>0</v>
      </c>
      <c r="H47" s="539">
        <v>0</v>
      </c>
      <c r="I47" s="539">
        <v>0</v>
      </c>
      <c r="J47" s="545">
        <f t="shared" si="41"/>
        <v>0</v>
      </c>
      <c r="K47" s="546">
        <f t="shared" si="42"/>
        <v>0</v>
      </c>
      <c r="L47" s="539">
        <v>0</v>
      </c>
      <c r="M47" s="542">
        <f t="shared" si="43"/>
        <v>0</v>
      </c>
      <c r="N47" s="542">
        <f t="shared" si="44"/>
        <v>0</v>
      </c>
      <c r="O47" s="539">
        <v>0</v>
      </c>
      <c r="P47" s="543">
        <f t="shared" si="45"/>
        <v>0</v>
      </c>
      <c r="Q47" s="542">
        <f t="shared" si="46"/>
        <v>0</v>
      </c>
      <c r="R47" s="542">
        <f ca="1">IFERROR(__xludf.DUMMYFUNCTION("IMPORTRANGE(""https://docs.google.com/spreadsheets/d/13JHU_EFbsQOUQ0JSQ3dWy1VTRosIWcDq6Nc99z2qzdc/edit?usp=sharing"",""หนองคาย!Q728"")"),379090)</f>
        <v>379090</v>
      </c>
      <c r="S47" s="542">
        <f ca="1">IFERROR(__xludf.DUMMYFUNCTION("IMPORTRANGE(""https://docs.google.com/spreadsheets/d/13JHU_EFbsQOUQ0JSQ3dWy1VTRosIWcDq6Nc99z2qzdc/edit?usp=sharing"",""หนองคาย!R728"")"),0)</f>
        <v>0</v>
      </c>
      <c r="T47" s="542">
        <f ca="1">IFERROR(__xludf.DUMMYFUNCTION("IMPORTRANGE(""https://docs.google.com/spreadsheets/d/13JHU_EFbsQOUQ0JSQ3dWy1VTRosIWcDq6Nc99z2qzdc/edit?usp=sharing"",""หนองคาย!S728"")"),0)</f>
        <v>0</v>
      </c>
      <c r="U47" s="542">
        <f t="shared" ca="1" si="48"/>
        <v>0</v>
      </c>
      <c r="V47" s="542">
        <f t="shared" ca="1" si="49"/>
        <v>0</v>
      </c>
      <c r="W47" s="544">
        <f ca="1">IFERROR(__xludf.DUMMYFUNCTION("IMPORTRANGE(""https://docs.google.com/spreadsheets/d/13JHU_EFbsQOUQ0JSQ3dWy1VTRosIWcDq6Nc99z2qzdc/edit?usp=sharing"",""หนองคาย!I726"")"),51)</f>
        <v>51</v>
      </c>
      <c r="X47" s="540">
        <f ca="1">IFERROR(__xludf.DUMMYFUNCTION("IMPORTRANGE(""https://docs.google.com/spreadsheets/d/13JHU_EFbsQOUQ0JSQ3dWy1VTRosIWcDq6Nc99z2qzdc/edit?usp=sharing"",""หนองคาย!I727"")"),500)</f>
        <v>500</v>
      </c>
      <c r="Y47" s="540">
        <f ca="1">IFERROR(__xludf.DUMMYFUNCTION("IMPORTRANGE(""https://docs.google.com/spreadsheets/d/13JHU_EFbsQOUQ0JSQ3dWy1VTRosIWcDq6Nc99z2qzdc/edit?usp=sharing"",""หนองคาย!J726"")"),0)</f>
        <v>0</v>
      </c>
      <c r="Z47" s="375">
        <f t="shared" ca="1" si="51"/>
        <v>0</v>
      </c>
      <c r="AA47" s="540">
        <f ca="1">IFERROR(__xludf.DUMMYFUNCTION("IMPORTRANGE(""https://docs.google.com/spreadsheets/d/13JHU_EFbsQOUQ0JSQ3dWy1VTRosIWcDq6Nc99z2qzdc/edit?usp=sharing"",""หนองคาย!J727"")"),0)</f>
        <v>0</v>
      </c>
      <c r="AB47" s="375">
        <f t="shared" ca="1" si="52"/>
        <v>0</v>
      </c>
      <c r="AC47" s="540">
        <f ca="1">IFERROR(__xludf.DUMMYFUNCTION("IMPORTRANGE(""https://docs.google.com/spreadsheets/d/13JHU_EFbsQOUQ0JSQ3dWy1VTRosIWcDq6Nc99z2qzdc/edit?usp=sharing"",""หนองคาย!I740"")"),400)</f>
        <v>400</v>
      </c>
      <c r="AD47" s="540">
        <f ca="1">IFERROR(__xludf.DUMMYFUNCTION("IMPORTRANGE(""https://docs.google.com/spreadsheets/d/13JHU_EFbsQOUQ0JSQ3dWy1VTRosIWcDq6Nc99z2qzdc/edit?usp=sharing"",""หนองคาย!J740"")"),0)</f>
        <v>0</v>
      </c>
      <c r="AE47" s="375">
        <f t="shared" ca="1" si="54"/>
        <v>0</v>
      </c>
      <c r="AF47" s="540">
        <f ca="1">IFERROR(__xludf.DUMMYFUNCTION("IMPORTRANGE(""https://docs.google.com/spreadsheets/d/13JHU_EFbsQOUQ0JSQ3dWy1VTRosIWcDq6Nc99z2qzdc/edit?usp=sharing"",""หนองคาย!J741"")"),0)</f>
        <v>0</v>
      </c>
      <c r="AG47" s="540">
        <f ca="1">IFERROR(__xludf.DUMMYFUNCTION("IMPORTRANGE(""https://docs.google.com/spreadsheets/d/13JHU_EFbsQOUQ0JSQ3dWy1VTRosIWcDq6Nc99z2qzdc/edit?usp=sharing"",""หนองคาย!I742"")"),40)</f>
        <v>40</v>
      </c>
      <c r="AH47" s="540">
        <f ca="1">IFERROR(__xludf.DUMMYFUNCTION("IMPORTRANGE(""https://docs.google.com/spreadsheets/d/13JHU_EFbsQOUQ0JSQ3dWy1VTRosIWcDq6Nc99z2qzdc/edit?usp=sharing"",""หนองคาย!J742"")"),0)</f>
        <v>0</v>
      </c>
      <c r="AI47" s="375">
        <f t="shared" ca="1" si="56"/>
        <v>0</v>
      </c>
      <c r="AJ47" s="540">
        <f ca="1">IFERROR(__xludf.DUMMYFUNCTION("IMPORTRANGE(""https://docs.google.com/spreadsheets/d/13JHU_EFbsQOUQ0JSQ3dWy1VTRosIWcDq6Nc99z2qzdc/edit?usp=sharing"",""หนองคาย!I744"")"),100)</f>
        <v>100</v>
      </c>
      <c r="AK47" s="540">
        <f ca="1">IFERROR(__xludf.DUMMYFUNCTION("IMPORTRANGE(""https://docs.google.com/spreadsheets/d/13JHU_EFbsQOUQ0JSQ3dWy1VTRosIWcDq6Nc99z2qzdc/edit?usp=sharing"",""หนองคาย!J744"")"),0)</f>
        <v>0</v>
      </c>
      <c r="AL47" s="375">
        <f t="shared" ca="1" si="58"/>
        <v>0</v>
      </c>
      <c r="AM47" s="540">
        <f ca="1">IFERROR(__xludf.DUMMYFUNCTION("IMPORTRANGE(""https://docs.google.com/spreadsheets/d/13JHU_EFbsQOUQ0JSQ3dWy1VTRosIWcDq6Nc99z2qzdc/edit?usp=sharing"",""หนองคาย!J745"")"),0)</f>
        <v>0</v>
      </c>
      <c r="AN47" s="540">
        <f ca="1">IFERROR(__xludf.DUMMYFUNCTION("IMPORTRANGE(""https://docs.google.com/spreadsheets/d/13JHU_EFbsQOUQ0JSQ3dWy1VTRosIWcDq6Nc99z2qzdc/edit?usp=sharing"",""หนองคาย!I746"")"),10)</f>
        <v>10</v>
      </c>
      <c r="AO47" s="540">
        <f ca="1">IFERROR(__xludf.DUMMYFUNCTION("IMPORTRANGE(""https://docs.google.com/spreadsheets/d/13JHU_EFbsQOUQ0JSQ3dWy1VTRosIWcDq6Nc99z2qzdc/edit?usp=sharing"",""หนองคาย!J746"")"),0)</f>
        <v>0</v>
      </c>
      <c r="AP47" s="375">
        <f t="shared" ca="1" si="60"/>
        <v>0</v>
      </c>
      <c r="AQ47" s="540">
        <f ca="1">IFERROR(__xludf.DUMMYFUNCTION("IMPORTRANGE(""https://docs.google.com/spreadsheets/d/13JHU_EFbsQOUQ0JSQ3dWy1VTRosIWcDq6Nc99z2qzdc/edit?usp=sharing"",""หนองคาย!J748"")"),0)</f>
        <v>0</v>
      </c>
      <c r="AR47" s="540">
        <f ca="1">IFERROR(__xludf.DUMMYFUNCTION("IMPORTRANGE(""https://docs.google.com/spreadsheets/d/13JHU_EFbsQOUQ0JSQ3dWy1VTRosIWcDq6Nc99z2qzdc/edit?usp=sharing"",""หนองคาย!I749"")"),1)</f>
        <v>1</v>
      </c>
      <c r="AS47" s="540">
        <f ca="1">IFERROR(__xludf.DUMMYFUNCTION("IMPORTRANGE(""https://docs.google.com/spreadsheets/d/13JHU_EFbsQOUQ0JSQ3dWy1VTRosIWcDq6Nc99z2qzdc/edit?usp=sharing"",""หนองคาย!J749"")"),0)</f>
        <v>0</v>
      </c>
      <c r="AT47" s="375">
        <f t="shared" ca="1" si="62"/>
        <v>0</v>
      </c>
      <c r="AU47" s="540">
        <f ca="1">IFERROR(__xludf.DUMMYFUNCTION("IMPORTRANGE(""https://docs.google.com/spreadsheets/d/13JHU_EFbsQOUQ0JSQ3dWy1VTRosIWcDq6Nc99z2qzdc/edit?usp=sharing"",""หนองคาย!I752"")"),40)</f>
        <v>40</v>
      </c>
      <c r="AV47" s="540">
        <f ca="1">IFERROR(__xludf.DUMMYFUNCTION("IMPORTRANGE(""https://docs.google.com/spreadsheets/d/13JHU_EFbsQOUQ0JSQ3dWy1VTRosIWcDq6Nc99z2qzdc/edit?usp=sharing"",""หนองคาย!J752"")"),0)</f>
        <v>0</v>
      </c>
      <c r="AW47" s="375">
        <f t="shared" ca="1" si="64"/>
        <v>0</v>
      </c>
      <c r="AX47" s="540">
        <f ca="1">IFERROR(__xludf.DUMMYFUNCTION("IMPORTRANGE(""https://docs.google.com/spreadsheets/d/13JHU_EFbsQOUQ0JSQ3dWy1VTRosIWcDq6Nc99z2qzdc/edit?usp=sharing"",""หนองคาย!J753"")"),0)</f>
        <v>0</v>
      </c>
      <c r="AY47" s="540">
        <f ca="1">IFERROR(__xludf.DUMMYFUNCTION("IMPORTRANGE(""https://docs.google.com/spreadsheets/d/13JHU_EFbsQOUQ0JSQ3dWy1VTRosIWcDq6Nc99z2qzdc/edit?usp=sharing"",""หนองคาย!I755"")"),10)</f>
        <v>10</v>
      </c>
      <c r="AZ47" s="540">
        <f ca="1">IFERROR(__xludf.DUMMYFUNCTION("IMPORTRANGE(""https://docs.google.com/spreadsheets/d/13JHU_EFbsQOUQ0JSQ3dWy1VTRosIWcDq6Nc99z2qzdc/edit?usp=sharing"",""หนองคาย!J755"")"),0)</f>
        <v>0</v>
      </c>
      <c r="BA47" s="375">
        <f t="shared" ca="1" si="66"/>
        <v>0</v>
      </c>
      <c r="BB47" s="540">
        <f ca="1">IFERROR(__xludf.DUMMYFUNCTION("IMPORTRANGE(""https://docs.google.com/spreadsheets/d/13JHU_EFbsQOUQ0JSQ3dWy1VTRosIWcDq6Nc99z2qzdc/edit?usp=sharing"",""หนองคาย!J756"")"),0)</f>
        <v>0</v>
      </c>
    </row>
    <row r="48" spans="1:54" ht="23.25" customHeight="1" x14ac:dyDescent="0.3">
      <c r="A48" s="535">
        <v>17</v>
      </c>
      <c r="B48" s="536" t="s">
        <v>74</v>
      </c>
      <c r="C48" s="537">
        <f t="shared" si="39"/>
        <v>0</v>
      </c>
      <c r="D48" s="538">
        <f t="shared" si="78"/>
        <v>0</v>
      </c>
      <c r="E48" s="539">
        <v>0</v>
      </c>
      <c r="F48" s="539">
        <v>0</v>
      </c>
      <c r="G48" s="539">
        <v>0</v>
      </c>
      <c r="H48" s="539">
        <v>0</v>
      </c>
      <c r="I48" s="539">
        <v>0</v>
      </c>
      <c r="J48" s="545">
        <f t="shared" si="41"/>
        <v>0</v>
      </c>
      <c r="K48" s="546">
        <f t="shared" si="42"/>
        <v>0</v>
      </c>
      <c r="L48" s="539">
        <v>0</v>
      </c>
      <c r="M48" s="542">
        <f t="shared" si="43"/>
        <v>0</v>
      </c>
      <c r="N48" s="542">
        <f t="shared" si="44"/>
        <v>0</v>
      </c>
      <c r="O48" s="539">
        <v>0</v>
      </c>
      <c r="P48" s="543">
        <f t="shared" si="45"/>
        <v>0</v>
      </c>
      <c r="Q48" s="542">
        <f t="shared" si="46"/>
        <v>0</v>
      </c>
      <c r="R48" s="542">
        <f ca="1">IFERROR(__xludf.DUMMYFUNCTION("IMPORTRANGE(""https://docs.google.com/spreadsheets/d/1Hx73zIEgVdDZZaYSTc46Dqv64atFhpr3GelxLbaIN8A/edit?usp=sharing"",""หนองบัวลำภู!Q728"")"),1008470)</f>
        <v>1008470</v>
      </c>
      <c r="S48" s="542">
        <f ca="1">IFERROR(__xludf.DUMMYFUNCTION("IMPORTRANGE(""https://docs.google.com/spreadsheets/d/1Hx73zIEgVdDZZaYSTc46Dqv64atFhpr3GelxLbaIN8A/edit?usp=sharing"",""หนองบัวลำภู!R728"")"),0)</f>
        <v>0</v>
      </c>
      <c r="T48" s="542">
        <f ca="1">IFERROR(__xludf.DUMMYFUNCTION("IMPORTRANGE(""https://docs.google.com/spreadsheets/d/1Hx73zIEgVdDZZaYSTc46Dqv64atFhpr3GelxLbaIN8A/edit?usp=sharing"",""หนองบัวลำภู!S728"")"),1480)</f>
        <v>1480</v>
      </c>
      <c r="U48" s="542">
        <f t="shared" ca="1" si="48"/>
        <v>0.14675696847699982</v>
      </c>
      <c r="V48" s="542">
        <f t="shared" ca="1" si="49"/>
        <v>0</v>
      </c>
      <c r="W48" s="544">
        <f ca="1">IFERROR(__xludf.DUMMYFUNCTION("IMPORTRANGE(""https://docs.google.com/spreadsheets/d/1Hx73zIEgVdDZZaYSTc46Dqv64atFhpr3GelxLbaIN8A/edit?usp=sharing"",""หนองบัวลำภู!I726"")"),128)</f>
        <v>128</v>
      </c>
      <c r="X48" s="540">
        <f ca="1">IFERROR(__xludf.DUMMYFUNCTION("IMPORTRANGE(""https://docs.google.com/spreadsheets/d/1Hx73zIEgVdDZZaYSTc46Dqv64atFhpr3GelxLbaIN8A/edit?usp=sharing"",""หนองบัวลำภู!I727"")"),1250)</f>
        <v>1250</v>
      </c>
      <c r="Y48" s="540">
        <f ca="1">IFERROR(__xludf.DUMMYFUNCTION("IMPORTRANGE(""https://docs.google.com/spreadsheets/d/1Hx73zIEgVdDZZaYSTc46Dqv64atFhpr3GelxLbaIN8A/edit?usp=sharing"",""หนองบัวลำภู!J726"")"),0)</f>
        <v>0</v>
      </c>
      <c r="Z48" s="375">
        <f t="shared" ca="1" si="51"/>
        <v>0</v>
      </c>
      <c r="AA48" s="540">
        <f ca="1">IFERROR(__xludf.DUMMYFUNCTION("IMPORTRANGE(""https://docs.google.com/spreadsheets/d/1Hx73zIEgVdDZZaYSTc46Dqv64atFhpr3GelxLbaIN8A/edit?usp=sharing"",""หนองบัวลำภู!J727"")"),0)</f>
        <v>0</v>
      </c>
      <c r="AB48" s="375">
        <f t="shared" ca="1" si="52"/>
        <v>0</v>
      </c>
      <c r="AC48" s="540">
        <f ca="1">IFERROR(__xludf.DUMMYFUNCTION("IMPORTRANGE(""https://docs.google.com/spreadsheets/d/1Hx73zIEgVdDZZaYSTc46Dqv64atFhpr3GelxLbaIN8A/edit?usp=sharing"",""หนองบัวลำภู!I740"")"),1000)</f>
        <v>1000</v>
      </c>
      <c r="AD48" s="540">
        <f ca="1">IFERROR(__xludf.DUMMYFUNCTION("IMPORTRANGE(""https://docs.google.com/spreadsheets/d/1Hx73zIEgVdDZZaYSTc46Dqv64atFhpr3GelxLbaIN8A/edit?usp=sharing"",""หนองบัวลำภู!J740"")"),0)</f>
        <v>0</v>
      </c>
      <c r="AE48" s="375">
        <f t="shared" ca="1" si="54"/>
        <v>0</v>
      </c>
      <c r="AF48" s="540">
        <f ca="1">IFERROR(__xludf.DUMMYFUNCTION("IMPORTRANGE(""https://docs.google.com/spreadsheets/d/1Hx73zIEgVdDZZaYSTc46Dqv64atFhpr3GelxLbaIN8A/edit?usp=sharing"",""หนองบัวลำภู!J741"")"),0)</f>
        <v>0</v>
      </c>
      <c r="AG48" s="540">
        <f ca="1">IFERROR(__xludf.DUMMYFUNCTION("IMPORTRANGE(""https://docs.google.com/spreadsheets/d/1Hx73zIEgVdDZZaYSTc46Dqv64atFhpr3GelxLbaIN8A/edit?usp=sharing"",""หนองบัวลำภู!I742"")"),100)</f>
        <v>100</v>
      </c>
      <c r="AH48" s="540">
        <f ca="1">IFERROR(__xludf.DUMMYFUNCTION("IMPORTRANGE(""https://docs.google.com/spreadsheets/d/1Hx73zIEgVdDZZaYSTc46Dqv64atFhpr3GelxLbaIN8A/edit?usp=sharing"",""หนองบัวลำภู!J742"")"),0)</f>
        <v>0</v>
      </c>
      <c r="AI48" s="375">
        <f t="shared" ca="1" si="56"/>
        <v>0</v>
      </c>
      <c r="AJ48" s="540">
        <f ca="1">IFERROR(__xludf.DUMMYFUNCTION("IMPORTRANGE(""https://docs.google.com/spreadsheets/d/1Hx73zIEgVdDZZaYSTc46Dqv64atFhpr3GelxLbaIN8A/edit?usp=sharing"",""หนองบัวลำภู!I744"")"),250)</f>
        <v>250</v>
      </c>
      <c r="AK48" s="540">
        <f ca="1">IFERROR(__xludf.DUMMYFUNCTION("IMPORTRANGE(""https://docs.google.com/spreadsheets/d/1Hx73zIEgVdDZZaYSTc46Dqv64atFhpr3GelxLbaIN8A/edit?usp=sharing"",""หนองบัวลำภู!J744"")"),0)</f>
        <v>0</v>
      </c>
      <c r="AL48" s="375">
        <f t="shared" ca="1" si="58"/>
        <v>0</v>
      </c>
      <c r="AM48" s="540">
        <f ca="1">IFERROR(__xludf.DUMMYFUNCTION("IMPORTRANGE(""https://docs.google.com/spreadsheets/d/1Hx73zIEgVdDZZaYSTc46Dqv64atFhpr3GelxLbaIN8A/edit?usp=sharing"",""หนองบัวลำภู!J745"")"),0)</f>
        <v>0</v>
      </c>
      <c r="AN48" s="540">
        <f ca="1">IFERROR(__xludf.DUMMYFUNCTION("IMPORTRANGE(""https://docs.google.com/spreadsheets/d/1Hx73zIEgVdDZZaYSTc46Dqv64atFhpr3GelxLbaIN8A/edit?usp=sharing"",""หนองบัวลำภู!I746"")"),25)</f>
        <v>25</v>
      </c>
      <c r="AO48" s="540">
        <f ca="1">IFERROR(__xludf.DUMMYFUNCTION("IMPORTRANGE(""https://docs.google.com/spreadsheets/d/1Hx73zIEgVdDZZaYSTc46Dqv64atFhpr3GelxLbaIN8A/edit?usp=sharing"",""หนองบัวลำภู!J746"")"),0)</f>
        <v>0</v>
      </c>
      <c r="AP48" s="375">
        <f t="shared" ca="1" si="60"/>
        <v>0</v>
      </c>
      <c r="AQ48" s="540">
        <f ca="1">IFERROR(__xludf.DUMMYFUNCTION("IMPORTRANGE(""https://docs.google.com/spreadsheets/d/1Hx73zIEgVdDZZaYSTc46Dqv64atFhpr3GelxLbaIN8A/edit?usp=sharing"",""หนองบัวลำภู!J748"")"),0)</f>
        <v>0</v>
      </c>
      <c r="AR48" s="540">
        <f ca="1">IFERROR(__xludf.DUMMYFUNCTION("IMPORTRANGE(""https://docs.google.com/spreadsheets/d/1Hx73zIEgVdDZZaYSTc46Dqv64atFhpr3GelxLbaIN8A/edit?usp=sharing"",""หนองบัวลำภู!I749"")"),3)</f>
        <v>3</v>
      </c>
      <c r="AS48" s="540">
        <f ca="1">IFERROR(__xludf.DUMMYFUNCTION("IMPORTRANGE(""https://docs.google.com/spreadsheets/d/1Hx73zIEgVdDZZaYSTc46Dqv64atFhpr3GelxLbaIN8A/edit?usp=sharing"",""หนองบัวลำภู!J749"")"),0)</f>
        <v>0</v>
      </c>
      <c r="AT48" s="375">
        <f t="shared" ca="1" si="62"/>
        <v>0</v>
      </c>
      <c r="AU48" s="540">
        <f ca="1">IFERROR(__xludf.DUMMYFUNCTION("IMPORTRANGE(""https://docs.google.com/spreadsheets/d/1Hx73zIEgVdDZZaYSTc46Dqv64atFhpr3GelxLbaIN8A/edit?usp=sharing"",""หนองบัวลำภู!I752"")"),100)</f>
        <v>100</v>
      </c>
      <c r="AV48" s="540">
        <f ca="1">IFERROR(__xludf.DUMMYFUNCTION("IMPORTRANGE(""https://docs.google.com/spreadsheets/d/1Hx73zIEgVdDZZaYSTc46Dqv64atFhpr3GelxLbaIN8A/edit?usp=sharing"",""หนองบัวลำภู!J752"")"),0)</f>
        <v>0</v>
      </c>
      <c r="AW48" s="375">
        <f t="shared" ca="1" si="64"/>
        <v>0</v>
      </c>
      <c r="AX48" s="540">
        <f ca="1">IFERROR(__xludf.DUMMYFUNCTION("IMPORTRANGE(""https://docs.google.com/spreadsheets/d/1Hx73zIEgVdDZZaYSTc46Dqv64atFhpr3GelxLbaIN8A/edit?usp=sharing"",""หนองบัวลำภู!J753"")"),0)</f>
        <v>0</v>
      </c>
      <c r="AY48" s="540">
        <f ca="1">IFERROR(__xludf.DUMMYFUNCTION("IMPORTRANGE(""https://docs.google.com/spreadsheets/d/1Hx73zIEgVdDZZaYSTc46Dqv64atFhpr3GelxLbaIN8A/edit?usp=sharing"",""หนองบัวลำภู!I755"")"),25)</f>
        <v>25</v>
      </c>
      <c r="AZ48" s="540">
        <f ca="1">IFERROR(__xludf.DUMMYFUNCTION("IMPORTRANGE(""https://docs.google.com/spreadsheets/d/1Hx73zIEgVdDZZaYSTc46Dqv64atFhpr3GelxLbaIN8A/edit?usp=sharing"",""หนองบัวลำภู!J755"")"),0)</f>
        <v>0</v>
      </c>
      <c r="BA48" s="375">
        <f t="shared" ca="1" si="66"/>
        <v>0</v>
      </c>
      <c r="BB48" s="540">
        <f ca="1">IFERROR(__xludf.DUMMYFUNCTION("IMPORTRANGE(""https://docs.google.com/spreadsheets/d/1Hx73zIEgVdDZZaYSTc46Dqv64atFhpr3GelxLbaIN8A/edit?usp=sharing"",""หนองบัวลำภู!J756"")"),0)</f>
        <v>0</v>
      </c>
    </row>
    <row r="49" spans="1:54" ht="23.25" customHeight="1" x14ac:dyDescent="0.3">
      <c r="A49" s="535">
        <v>18</v>
      </c>
      <c r="B49" s="536" t="s">
        <v>75</v>
      </c>
      <c r="C49" s="537">
        <f t="shared" si="39"/>
        <v>0</v>
      </c>
      <c r="D49" s="538">
        <f t="shared" si="78"/>
        <v>0</v>
      </c>
      <c r="E49" s="539">
        <v>0</v>
      </c>
      <c r="F49" s="539">
        <v>0</v>
      </c>
      <c r="G49" s="539">
        <v>0</v>
      </c>
      <c r="H49" s="539">
        <v>0</v>
      </c>
      <c r="I49" s="539">
        <v>0</v>
      </c>
      <c r="J49" s="545">
        <f t="shared" si="41"/>
        <v>0</v>
      </c>
      <c r="K49" s="546">
        <f t="shared" si="42"/>
        <v>0</v>
      </c>
      <c r="L49" s="539">
        <v>0</v>
      </c>
      <c r="M49" s="542">
        <f t="shared" si="43"/>
        <v>0</v>
      </c>
      <c r="N49" s="542">
        <f t="shared" si="44"/>
        <v>0</v>
      </c>
      <c r="O49" s="539">
        <v>0</v>
      </c>
      <c r="P49" s="543">
        <f t="shared" si="45"/>
        <v>0</v>
      </c>
      <c r="Q49" s="542">
        <f t="shared" si="46"/>
        <v>0</v>
      </c>
      <c r="R49" s="542">
        <f ca="1">IFERROR(__xludf.DUMMYFUNCTION("IMPORTRANGE(""https://docs.google.com/spreadsheets/d/1lFxr3ctmjFN90yc-xV6jrQ9Ty8BKYVBWnAZ15wcNIJc/edit?usp=sharing"",""อำนาจเจริญ!Q728"")"),242546)</f>
        <v>242546</v>
      </c>
      <c r="S49" s="542">
        <f ca="1">IFERROR(__xludf.DUMMYFUNCTION("IMPORTRANGE(""https://docs.google.com/spreadsheets/d/1lFxr3ctmjFN90yc-xV6jrQ9Ty8BKYVBWnAZ15wcNIJc/edit?usp=sharing"",""อำนาจเจริญ!R728"")"),0)</f>
        <v>0</v>
      </c>
      <c r="T49" s="542">
        <f ca="1">IFERROR(__xludf.DUMMYFUNCTION("IMPORTRANGE(""https://docs.google.com/spreadsheets/d/1lFxr3ctmjFN90yc-xV6jrQ9Ty8BKYVBWnAZ15wcNIJc/edit?usp=sharing"",""อำนาจเจริญ!S728"")"),0)</f>
        <v>0</v>
      </c>
      <c r="U49" s="542">
        <f t="shared" ca="1" si="48"/>
        <v>0</v>
      </c>
      <c r="V49" s="542">
        <f t="shared" ca="1" si="49"/>
        <v>0</v>
      </c>
      <c r="W49" s="544">
        <f ca="1">IFERROR(__xludf.DUMMYFUNCTION("IMPORTRANGE(""https://docs.google.com/spreadsheets/d/1lFxr3ctmjFN90yc-xV6jrQ9Ty8BKYVBWnAZ15wcNIJc/edit?usp=sharing"",""อำนาจเจริญ!I726"")"),31)</f>
        <v>31</v>
      </c>
      <c r="X49" s="540">
        <f ca="1">IFERROR(__xludf.DUMMYFUNCTION("IMPORTRANGE(""https://docs.google.com/spreadsheets/d/1lFxr3ctmjFN90yc-xV6jrQ9Ty8BKYVBWnAZ15wcNIJc/edit?usp=sharing"",""อำนาจเจริญ!I727"")"),300)</f>
        <v>300</v>
      </c>
      <c r="Y49" s="540">
        <f ca="1">IFERROR(__xludf.DUMMYFUNCTION("IMPORTRANGE(""https://docs.google.com/spreadsheets/d/1lFxr3ctmjFN90yc-xV6jrQ9Ty8BKYVBWnAZ15wcNIJc/edit?usp=sharing"",""อำนาจเจริญ!J726"")"),0)</f>
        <v>0</v>
      </c>
      <c r="Z49" s="375">
        <f t="shared" ca="1" si="51"/>
        <v>0</v>
      </c>
      <c r="AA49" s="540">
        <f ca="1">IFERROR(__xludf.DUMMYFUNCTION("IMPORTRANGE(""https://docs.google.com/spreadsheets/d/1lFxr3ctmjFN90yc-xV6jrQ9Ty8BKYVBWnAZ15wcNIJc/edit?usp=sharing"",""อำนาจเจริญ!J727"")"),0)</f>
        <v>0</v>
      </c>
      <c r="AB49" s="375">
        <f t="shared" ca="1" si="52"/>
        <v>0</v>
      </c>
      <c r="AC49" s="540">
        <f ca="1">IFERROR(__xludf.DUMMYFUNCTION("IMPORTRANGE(""https://docs.google.com/spreadsheets/d/1lFxr3ctmjFN90yc-xV6jrQ9Ty8BKYVBWnAZ15wcNIJc/edit?usp=sharing"",""อำนาจเจริญ!I740"")"),240)</f>
        <v>240</v>
      </c>
      <c r="AD49" s="540">
        <f ca="1">IFERROR(__xludf.DUMMYFUNCTION("IMPORTRANGE(""https://docs.google.com/spreadsheets/d/1lFxr3ctmjFN90yc-xV6jrQ9Ty8BKYVBWnAZ15wcNIJc/edit?usp=sharing"",""อำนาจเจริญ!J740"")"),0)</f>
        <v>0</v>
      </c>
      <c r="AE49" s="375">
        <f t="shared" ca="1" si="54"/>
        <v>0</v>
      </c>
      <c r="AF49" s="540">
        <f ca="1">IFERROR(__xludf.DUMMYFUNCTION("IMPORTRANGE(""https://docs.google.com/spreadsheets/d/1lFxr3ctmjFN90yc-xV6jrQ9Ty8BKYVBWnAZ15wcNIJc/edit?usp=sharing"",""อำนาจเจริญ!J741"")"),0)</f>
        <v>0</v>
      </c>
      <c r="AG49" s="540">
        <f ca="1">IFERROR(__xludf.DUMMYFUNCTION("IMPORTRANGE(""https://docs.google.com/spreadsheets/d/1lFxr3ctmjFN90yc-xV6jrQ9Ty8BKYVBWnAZ15wcNIJc/edit?usp=sharing"",""อำนาจเจริญ!I742"")"),24)</f>
        <v>24</v>
      </c>
      <c r="AH49" s="540">
        <f ca="1">IFERROR(__xludf.DUMMYFUNCTION("IMPORTRANGE(""https://docs.google.com/spreadsheets/d/1lFxr3ctmjFN90yc-xV6jrQ9Ty8BKYVBWnAZ15wcNIJc/edit?usp=sharing"",""อำนาจเจริญ!J742"")"),0)</f>
        <v>0</v>
      </c>
      <c r="AI49" s="375">
        <f t="shared" ca="1" si="56"/>
        <v>0</v>
      </c>
      <c r="AJ49" s="540">
        <f ca="1">IFERROR(__xludf.DUMMYFUNCTION("IMPORTRANGE(""https://docs.google.com/spreadsheets/d/1lFxr3ctmjFN90yc-xV6jrQ9Ty8BKYVBWnAZ15wcNIJc/edit?usp=sharing"",""อำนาจเจริญ!I744"")"),60)</f>
        <v>60</v>
      </c>
      <c r="AK49" s="540">
        <f ca="1">IFERROR(__xludf.DUMMYFUNCTION("IMPORTRANGE(""https://docs.google.com/spreadsheets/d/1lFxr3ctmjFN90yc-xV6jrQ9Ty8BKYVBWnAZ15wcNIJc/edit?usp=sharing"",""อำนาจเจริญ!J744"")"),0)</f>
        <v>0</v>
      </c>
      <c r="AL49" s="375">
        <f t="shared" ca="1" si="58"/>
        <v>0</v>
      </c>
      <c r="AM49" s="540">
        <f ca="1">IFERROR(__xludf.DUMMYFUNCTION("IMPORTRANGE(""https://docs.google.com/spreadsheets/d/1lFxr3ctmjFN90yc-xV6jrQ9Ty8BKYVBWnAZ15wcNIJc/edit?usp=sharing"",""อำนาจเจริญ!J745"")"),0)</f>
        <v>0</v>
      </c>
      <c r="AN49" s="540">
        <f ca="1">IFERROR(__xludf.DUMMYFUNCTION("IMPORTRANGE(""https://docs.google.com/spreadsheets/d/1lFxr3ctmjFN90yc-xV6jrQ9Ty8BKYVBWnAZ15wcNIJc/edit?usp=sharing"",""อำนาจเจริญ!I746"")"),6)</f>
        <v>6</v>
      </c>
      <c r="AO49" s="540">
        <f ca="1">IFERROR(__xludf.DUMMYFUNCTION("IMPORTRANGE(""https://docs.google.com/spreadsheets/d/1lFxr3ctmjFN90yc-xV6jrQ9Ty8BKYVBWnAZ15wcNIJc/edit?usp=sharing"",""อำนาจเจริญ!J746"")"),0)</f>
        <v>0</v>
      </c>
      <c r="AP49" s="375">
        <f t="shared" ca="1" si="60"/>
        <v>0</v>
      </c>
      <c r="AQ49" s="540">
        <f ca="1">IFERROR(__xludf.DUMMYFUNCTION("IMPORTRANGE(""https://docs.google.com/spreadsheets/d/1lFxr3ctmjFN90yc-xV6jrQ9Ty8BKYVBWnAZ15wcNIJc/edit?usp=sharing"",""อำนาจเจริญ!J748"")"),0)</f>
        <v>0</v>
      </c>
      <c r="AR49" s="540">
        <f ca="1">IFERROR(__xludf.DUMMYFUNCTION("IMPORTRANGE(""https://docs.google.com/spreadsheets/d/1lFxr3ctmjFN90yc-xV6jrQ9Ty8BKYVBWnAZ15wcNIJc/edit?usp=sharing"",""อำนาจเจริญ!I749"")"),1)</f>
        <v>1</v>
      </c>
      <c r="AS49" s="540">
        <f ca="1">IFERROR(__xludf.DUMMYFUNCTION("IMPORTRANGE(""https://docs.google.com/spreadsheets/d/1lFxr3ctmjFN90yc-xV6jrQ9Ty8BKYVBWnAZ15wcNIJc/edit?usp=sharing"",""อำนาจเจริญ!J749"")"),0)</f>
        <v>0</v>
      </c>
      <c r="AT49" s="375">
        <f t="shared" ca="1" si="62"/>
        <v>0</v>
      </c>
      <c r="AU49" s="540">
        <f ca="1">IFERROR(__xludf.DUMMYFUNCTION("IMPORTRANGE(""https://docs.google.com/spreadsheets/d/1lFxr3ctmjFN90yc-xV6jrQ9Ty8BKYVBWnAZ15wcNIJc/edit?usp=sharing"",""อำนาจเจริญ!I752"")"),24)</f>
        <v>24</v>
      </c>
      <c r="AV49" s="540">
        <f ca="1">IFERROR(__xludf.DUMMYFUNCTION("IMPORTRANGE(""https://docs.google.com/spreadsheets/d/1lFxr3ctmjFN90yc-xV6jrQ9Ty8BKYVBWnAZ15wcNIJc/edit?usp=sharing"",""อำนาจเจริญ!J752"")"),0)</f>
        <v>0</v>
      </c>
      <c r="AW49" s="375">
        <f t="shared" ca="1" si="64"/>
        <v>0</v>
      </c>
      <c r="AX49" s="540">
        <f ca="1">IFERROR(__xludf.DUMMYFUNCTION("IMPORTRANGE(""https://docs.google.com/spreadsheets/d/1lFxr3ctmjFN90yc-xV6jrQ9Ty8BKYVBWnAZ15wcNIJc/edit?usp=sharing"",""อำนาจเจริญ!J753"")"),0)</f>
        <v>0</v>
      </c>
      <c r="AY49" s="540">
        <f ca="1">IFERROR(__xludf.DUMMYFUNCTION("IMPORTRANGE(""https://docs.google.com/spreadsheets/d/1lFxr3ctmjFN90yc-xV6jrQ9Ty8BKYVBWnAZ15wcNIJc/edit?usp=sharing"",""อำนาจเจริญ!I755"")"),6)</f>
        <v>6</v>
      </c>
      <c r="AZ49" s="540">
        <f ca="1">IFERROR(__xludf.DUMMYFUNCTION("IMPORTRANGE(""https://docs.google.com/spreadsheets/d/1lFxr3ctmjFN90yc-xV6jrQ9Ty8BKYVBWnAZ15wcNIJc/edit?usp=sharing"",""อำนาจเจริญ!J755"")"),0)</f>
        <v>0</v>
      </c>
      <c r="BA49" s="375">
        <f t="shared" ca="1" si="66"/>
        <v>0</v>
      </c>
      <c r="BB49" s="540">
        <f ca="1">IFERROR(__xludf.DUMMYFUNCTION("IMPORTRANGE(""https://docs.google.com/spreadsheets/d/1lFxr3ctmjFN90yc-xV6jrQ9Ty8BKYVBWnAZ15wcNIJc/edit?usp=sharing"",""อำนาจเจริญ!J756"")"),0)</f>
        <v>0</v>
      </c>
    </row>
    <row r="50" spans="1:54" ht="23.25" customHeight="1" x14ac:dyDescent="0.3">
      <c r="A50" s="535">
        <v>19</v>
      </c>
      <c r="B50" s="536" t="s">
        <v>76</v>
      </c>
      <c r="C50" s="537">
        <f t="shared" si="39"/>
        <v>0</v>
      </c>
      <c r="D50" s="538">
        <f t="shared" si="78"/>
        <v>0</v>
      </c>
      <c r="E50" s="539">
        <v>0</v>
      </c>
      <c r="F50" s="539">
        <v>0</v>
      </c>
      <c r="G50" s="539">
        <v>0</v>
      </c>
      <c r="H50" s="539">
        <v>0</v>
      </c>
      <c r="I50" s="539">
        <v>0</v>
      </c>
      <c r="J50" s="545">
        <f t="shared" si="41"/>
        <v>0</v>
      </c>
      <c r="K50" s="546">
        <f t="shared" si="42"/>
        <v>0</v>
      </c>
      <c r="L50" s="539">
        <v>0</v>
      </c>
      <c r="M50" s="542">
        <f t="shared" si="43"/>
        <v>0</v>
      </c>
      <c r="N50" s="542">
        <f t="shared" si="44"/>
        <v>0</v>
      </c>
      <c r="O50" s="539">
        <v>0</v>
      </c>
      <c r="P50" s="543">
        <f t="shared" si="45"/>
        <v>0</v>
      </c>
      <c r="Q50" s="542">
        <f t="shared" si="46"/>
        <v>0</v>
      </c>
      <c r="R50" s="542">
        <f ca="1">IFERROR(__xludf.DUMMYFUNCTION("IMPORTRANGE(""https://docs.google.com/spreadsheets/d/1gF7RJpRnL-1oyjyeWxs5SFWEH7y8ahOZsQlyp2A2e-A/edit?usp=sharing"",""อุดรธานี!Q728"")"),1008470)</f>
        <v>1008470</v>
      </c>
      <c r="S50" s="542">
        <f ca="1">IFERROR(__xludf.DUMMYFUNCTION("IMPORTRANGE(""https://docs.google.com/spreadsheets/d/1gF7RJpRnL-1oyjyeWxs5SFWEH7y8ahOZsQlyp2A2e-A/edit?usp=sharing"",""อุดรธานี!R728"")"),0)</f>
        <v>0</v>
      </c>
      <c r="T50" s="542">
        <f ca="1">IFERROR(__xludf.DUMMYFUNCTION("IMPORTRANGE(""https://docs.google.com/spreadsheets/d/1gF7RJpRnL-1oyjyeWxs5SFWEH7y8ahOZsQlyp2A2e-A/edit?usp=sharing"",""อุดรธานี!S728"")"),0)</f>
        <v>0</v>
      </c>
      <c r="U50" s="542">
        <f t="shared" ca="1" si="48"/>
        <v>0</v>
      </c>
      <c r="V50" s="542">
        <f t="shared" ca="1" si="49"/>
        <v>0</v>
      </c>
      <c r="W50" s="544">
        <f ca="1">IFERROR(__xludf.DUMMYFUNCTION("IMPORTRANGE(""https://docs.google.com/spreadsheets/d/1gF7RJpRnL-1oyjyeWxs5SFWEH7y8ahOZsQlyp2A2e-A/edit?usp=sharing"",""อุดรธานี!I726"")"),128)</f>
        <v>128</v>
      </c>
      <c r="X50" s="540">
        <f ca="1">IFERROR(__xludf.DUMMYFUNCTION("IMPORTRANGE(""https://docs.google.com/spreadsheets/d/1gF7RJpRnL-1oyjyeWxs5SFWEH7y8ahOZsQlyp2A2e-A/edit?usp=sharing"",""อุดรธานี!I727"")"),1250)</f>
        <v>1250</v>
      </c>
      <c r="Y50" s="540">
        <f ca="1">IFERROR(__xludf.DUMMYFUNCTION("IMPORTRANGE(""https://docs.google.com/spreadsheets/d/1gF7RJpRnL-1oyjyeWxs5SFWEH7y8ahOZsQlyp2A2e-A/edit?usp=sharing"",""อุดรธานี!J726"")"),0)</f>
        <v>0</v>
      </c>
      <c r="Z50" s="375">
        <f t="shared" ca="1" si="51"/>
        <v>0</v>
      </c>
      <c r="AA50" s="540">
        <f ca="1">IFERROR(__xludf.DUMMYFUNCTION("IMPORTRANGE(""https://docs.google.com/spreadsheets/d/1gF7RJpRnL-1oyjyeWxs5SFWEH7y8ahOZsQlyp2A2e-A/edit?usp=sharing"",""อุดรธานี!J727"")"),0)</f>
        <v>0</v>
      </c>
      <c r="AB50" s="375">
        <f t="shared" ca="1" si="52"/>
        <v>0</v>
      </c>
      <c r="AC50" s="540">
        <f ca="1">IFERROR(__xludf.DUMMYFUNCTION("IMPORTRANGE(""https://docs.google.com/spreadsheets/d/1gF7RJpRnL-1oyjyeWxs5SFWEH7y8ahOZsQlyp2A2e-A/edit?usp=sharing"",""อุดรธานี!I740"")"),1000)</f>
        <v>1000</v>
      </c>
      <c r="AD50" s="540">
        <f ca="1">IFERROR(__xludf.DUMMYFUNCTION("IMPORTRANGE(""https://docs.google.com/spreadsheets/d/1gF7RJpRnL-1oyjyeWxs5SFWEH7y8ahOZsQlyp2A2e-A/edit?usp=sharing"",""อุดรธานี!J740"")"),0)</f>
        <v>0</v>
      </c>
      <c r="AE50" s="375">
        <f t="shared" ca="1" si="54"/>
        <v>0</v>
      </c>
      <c r="AF50" s="540">
        <f ca="1">IFERROR(__xludf.DUMMYFUNCTION("IMPORTRANGE(""https://docs.google.com/spreadsheets/d/1gF7RJpRnL-1oyjyeWxs5SFWEH7y8ahOZsQlyp2A2e-A/edit?usp=sharing"",""อุดรธานี!J741"")"),0)</f>
        <v>0</v>
      </c>
      <c r="AG50" s="540">
        <f ca="1">IFERROR(__xludf.DUMMYFUNCTION("IMPORTRANGE(""https://docs.google.com/spreadsheets/d/1gF7RJpRnL-1oyjyeWxs5SFWEH7y8ahOZsQlyp2A2e-A/edit?usp=sharing"",""อุดรธานี!I742"")"),100)</f>
        <v>100</v>
      </c>
      <c r="AH50" s="540">
        <f ca="1">IFERROR(__xludf.DUMMYFUNCTION("IMPORTRANGE(""https://docs.google.com/spreadsheets/d/1gF7RJpRnL-1oyjyeWxs5SFWEH7y8ahOZsQlyp2A2e-A/edit?usp=sharing"",""อุดรธานี!J742"")"),0)</f>
        <v>0</v>
      </c>
      <c r="AI50" s="375">
        <f t="shared" ca="1" si="56"/>
        <v>0</v>
      </c>
      <c r="AJ50" s="540">
        <f ca="1">IFERROR(__xludf.DUMMYFUNCTION("IMPORTRANGE(""https://docs.google.com/spreadsheets/d/1gF7RJpRnL-1oyjyeWxs5SFWEH7y8ahOZsQlyp2A2e-A/edit?usp=sharing"",""อุดรธานี!I744"")"),250)</f>
        <v>250</v>
      </c>
      <c r="AK50" s="540">
        <f ca="1">IFERROR(__xludf.DUMMYFUNCTION("IMPORTRANGE(""https://docs.google.com/spreadsheets/d/1gF7RJpRnL-1oyjyeWxs5SFWEH7y8ahOZsQlyp2A2e-A/edit?usp=sharing"",""อุดรธานี!J744"")"),0)</f>
        <v>0</v>
      </c>
      <c r="AL50" s="375">
        <f t="shared" ca="1" si="58"/>
        <v>0</v>
      </c>
      <c r="AM50" s="540">
        <f ca="1">IFERROR(__xludf.DUMMYFUNCTION("IMPORTRANGE(""https://docs.google.com/spreadsheets/d/1gF7RJpRnL-1oyjyeWxs5SFWEH7y8ahOZsQlyp2A2e-A/edit?usp=sharing"",""อุดรธานี!J745"")"),0)</f>
        <v>0</v>
      </c>
      <c r="AN50" s="540">
        <f ca="1">IFERROR(__xludf.DUMMYFUNCTION("IMPORTRANGE(""https://docs.google.com/spreadsheets/d/1gF7RJpRnL-1oyjyeWxs5SFWEH7y8ahOZsQlyp2A2e-A/edit?usp=sharing"",""อุดรธานี!I746"")"),25)</f>
        <v>25</v>
      </c>
      <c r="AO50" s="540">
        <f ca="1">IFERROR(__xludf.DUMMYFUNCTION("IMPORTRANGE(""https://docs.google.com/spreadsheets/d/1gF7RJpRnL-1oyjyeWxs5SFWEH7y8ahOZsQlyp2A2e-A/edit?usp=sharing"",""อุดรธานี!J746"")"),0)</f>
        <v>0</v>
      </c>
      <c r="AP50" s="375">
        <f t="shared" ca="1" si="60"/>
        <v>0</v>
      </c>
      <c r="AQ50" s="540">
        <f ca="1">IFERROR(__xludf.DUMMYFUNCTION("IMPORTRANGE(""https://docs.google.com/spreadsheets/d/1gF7RJpRnL-1oyjyeWxs5SFWEH7y8ahOZsQlyp2A2e-A/edit?usp=sharing"",""อุดรธานี!J748"")"),0)</f>
        <v>0</v>
      </c>
      <c r="AR50" s="540">
        <f ca="1">IFERROR(__xludf.DUMMYFUNCTION("IMPORTRANGE(""https://docs.google.com/spreadsheets/d/1gF7RJpRnL-1oyjyeWxs5SFWEH7y8ahOZsQlyp2A2e-A/edit?usp=sharing"",""อุดรธานี!I749"")"),3)</f>
        <v>3</v>
      </c>
      <c r="AS50" s="540">
        <f ca="1">IFERROR(__xludf.DUMMYFUNCTION("IMPORTRANGE(""https://docs.google.com/spreadsheets/d/1gF7RJpRnL-1oyjyeWxs5SFWEH7y8ahOZsQlyp2A2e-A/edit?usp=sharing"",""อุดรธานี!J749"")"),0)</f>
        <v>0</v>
      </c>
      <c r="AT50" s="375">
        <f t="shared" ca="1" si="62"/>
        <v>0</v>
      </c>
      <c r="AU50" s="540">
        <f ca="1">IFERROR(__xludf.DUMMYFUNCTION("IMPORTRANGE(""https://docs.google.com/spreadsheets/d/1gF7RJpRnL-1oyjyeWxs5SFWEH7y8ahOZsQlyp2A2e-A/edit?usp=sharing"",""อุดรธานี!I752"")"),100)</f>
        <v>100</v>
      </c>
      <c r="AV50" s="540">
        <f ca="1">IFERROR(__xludf.DUMMYFUNCTION("IMPORTRANGE(""https://docs.google.com/spreadsheets/d/1gF7RJpRnL-1oyjyeWxs5SFWEH7y8ahOZsQlyp2A2e-A/edit?usp=sharing"",""อุดรธานี!J752"")"),0)</f>
        <v>0</v>
      </c>
      <c r="AW50" s="375">
        <f t="shared" ca="1" si="64"/>
        <v>0</v>
      </c>
      <c r="AX50" s="540">
        <f ca="1">IFERROR(__xludf.DUMMYFUNCTION("IMPORTRANGE(""https://docs.google.com/spreadsheets/d/1gF7RJpRnL-1oyjyeWxs5SFWEH7y8ahOZsQlyp2A2e-A/edit?usp=sharing"",""อุดรธานี!J753"")"),0)</f>
        <v>0</v>
      </c>
      <c r="AY50" s="540">
        <f ca="1">IFERROR(__xludf.DUMMYFUNCTION("IMPORTRANGE(""https://docs.google.com/spreadsheets/d/1gF7RJpRnL-1oyjyeWxs5SFWEH7y8ahOZsQlyp2A2e-A/edit?usp=sharing"",""อุดรธานี!I755"")"),25)</f>
        <v>25</v>
      </c>
      <c r="AZ50" s="540">
        <f ca="1">IFERROR(__xludf.DUMMYFUNCTION("IMPORTRANGE(""https://docs.google.com/spreadsheets/d/1gF7RJpRnL-1oyjyeWxs5SFWEH7y8ahOZsQlyp2A2e-A/edit?usp=sharing"",""อุดรธานี!J755"")"),0)</f>
        <v>0</v>
      </c>
      <c r="BA50" s="375">
        <f t="shared" ca="1" si="66"/>
        <v>0</v>
      </c>
      <c r="BB50" s="540">
        <f ca="1">IFERROR(__xludf.DUMMYFUNCTION("IMPORTRANGE(""https://docs.google.com/spreadsheets/d/1gF7RJpRnL-1oyjyeWxs5SFWEH7y8ahOZsQlyp2A2e-A/edit?usp=sharing"",""อุดรธานี!J756"")"),0)</f>
        <v>0</v>
      </c>
    </row>
    <row r="51" spans="1:54" ht="23.25" customHeight="1" x14ac:dyDescent="0.3">
      <c r="A51" s="548">
        <v>20</v>
      </c>
      <c r="B51" s="549" t="s">
        <v>77</v>
      </c>
      <c r="C51" s="550">
        <f t="shared" si="39"/>
        <v>0</v>
      </c>
      <c r="D51" s="551">
        <f t="shared" si="78"/>
        <v>0</v>
      </c>
      <c r="E51" s="552">
        <v>0</v>
      </c>
      <c r="F51" s="552">
        <v>0</v>
      </c>
      <c r="G51" s="552">
        <v>0</v>
      </c>
      <c r="H51" s="552">
        <v>0</v>
      </c>
      <c r="I51" s="552">
        <v>0</v>
      </c>
      <c r="J51" s="553">
        <f t="shared" si="41"/>
        <v>0</v>
      </c>
      <c r="K51" s="554">
        <f t="shared" si="42"/>
        <v>0</v>
      </c>
      <c r="L51" s="552">
        <v>0</v>
      </c>
      <c r="M51" s="555">
        <f t="shared" si="43"/>
        <v>0</v>
      </c>
      <c r="N51" s="555">
        <f t="shared" si="44"/>
        <v>0</v>
      </c>
      <c r="O51" s="552">
        <v>0</v>
      </c>
      <c r="P51" s="556">
        <f t="shared" si="45"/>
        <v>0</v>
      </c>
      <c r="Q51" s="555">
        <f t="shared" si="46"/>
        <v>0</v>
      </c>
      <c r="R51" s="555">
        <f ca="1">IFERROR(__xludf.DUMMYFUNCTION("IMPORTRANGE(""https://docs.google.com/spreadsheets/d/1kfLP0j3INXRa8bTDpcEmoWewMBV61jlFlfzczfjWIgc/edit?usp=sharing"",""อุบลราชธานี!Q728"")"),1008470)</f>
        <v>1008470</v>
      </c>
      <c r="S51" s="555">
        <f ca="1">IFERROR(__xludf.DUMMYFUNCTION("IMPORTRANGE(""https://docs.google.com/spreadsheets/d/1kfLP0j3INXRa8bTDpcEmoWewMBV61jlFlfzczfjWIgc/edit?usp=sharing"",""อุบลราชธานี!R728"")"),0)</f>
        <v>0</v>
      </c>
      <c r="T51" s="555">
        <f ca="1">IFERROR(__xludf.DUMMYFUNCTION("IMPORTRANGE(""https://docs.google.com/spreadsheets/d/1kfLP0j3INXRa8bTDpcEmoWewMBV61jlFlfzczfjWIgc/edit?usp=sharing"",""อุบลราชธานี!S728"")"),0)</f>
        <v>0</v>
      </c>
      <c r="U51" s="555">
        <f t="shared" ca="1" si="48"/>
        <v>0</v>
      </c>
      <c r="V51" s="555">
        <f t="shared" ca="1" si="49"/>
        <v>0</v>
      </c>
      <c r="W51" s="557">
        <f ca="1">IFERROR(__xludf.DUMMYFUNCTION("IMPORTRANGE(""https://docs.google.com/spreadsheets/d/1kfLP0j3INXRa8bTDpcEmoWewMBV61jlFlfzczfjWIgc/edit?usp=sharing"",""อุบลราชธานี!I726"")"),128)</f>
        <v>128</v>
      </c>
      <c r="X51" s="558">
        <f ca="1">IFERROR(__xludf.DUMMYFUNCTION("IMPORTRANGE(""https://docs.google.com/spreadsheets/d/1kfLP0j3INXRa8bTDpcEmoWewMBV61jlFlfzczfjWIgc/edit?usp=sharing"",""อุบลราชธานี!I727"")"),1250)</f>
        <v>1250</v>
      </c>
      <c r="Y51" s="558">
        <f ca="1">IFERROR(__xludf.DUMMYFUNCTION("IMPORTRANGE(""https://docs.google.com/spreadsheets/d/1kfLP0j3INXRa8bTDpcEmoWewMBV61jlFlfzczfjWIgc/edit?usp=sharing"",""อุบลราชธานี!J726"")"),0)</f>
        <v>0</v>
      </c>
      <c r="Z51" s="376">
        <f t="shared" ca="1" si="51"/>
        <v>0</v>
      </c>
      <c r="AA51" s="558">
        <f ca="1">IFERROR(__xludf.DUMMYFUNCTION("IMPORTRANGE(""https://docs.google.com/spreadsheets/d/1kfLP0j3INXRa8bTDpcEmoWewMBV61jlFlfzczfjWIgc/edit?usp=sharing"",""อุบลราชธานี!J727"")"),0)</f>
        <v>0</v>
      </c>
      <c r="AB51" s="376">
        <f t="shared" ca="1" si="52"/>
        <v>0</v>
      </c>
      <c r="AC51" s="558">
        <f ca="1">IFERROR(__xludf.DUMMYFUNCTION("IMPORTRANGE(""https://docs.google.com/spreadsheets/d/1kfLP0j3INXRa8bTDpcEmoWewMBV61jlFlfzczfjWIgc/edit?usp=sharing"",""อุบลราชธานี!I740"")"),1000)</f>
        <v>1000</v>
      </c>
      <c r="AD51" s="558">
        <f ca="1">IFERROR(__xludf.DUMMYFUNCTION("IMPORTRANGE(""https://docs.google.com/spreadsheets/d/1kfLP0j3INXRa8bTDpcEmoWewMBV61jlFlfzczfjWIgc/edit?usp=sharing"",""อุบลราชธานี!J740"")"),0)</f>
        <v>0</v>
      </c>
      <c r="AE51" s="376">
        <f t="shared" ca="1" si="54"/>
        <v>0</v>
      </c>
      <c r="AF51" s="558">
        <f ca="1">IFERROR(__xludf.DUMMYFUNCTION("IMPORTRANGE(""https://docs.google.com/spreadsheets/d/1kfLP0j3INXRa8bTDpcEmoWewMBV61jlFlfzczfjWIgc/edit?usp=sharing"",""อุบลราชธานี!J741"")"),0)</f>
        <v>0</v>
      </c>
      <c r="AG51" s="558">
        <f ca="1">IFERROR(__xludf.DUMMYFUNCTION("IMPORTRANGE(""https://docs.google.com/spreadsheets/d/1kfLP0j3INXRa8bTDpcEmoWewMBV61jlFlfzczfjWIgc/edit?usp=sharing"",""อุบลราชธานี!I742"")"),100)</f>
        <v>100</v>
      </c>
      <c r="AH51" s="558">
        <f ca="1">IFERROR(__xludf.DUMMYFUNCTION("IMPORTRANGE(""https://docs.google.com/spreadsheets/d/1kfLP0j3INXRa8bTDpcEmoWewMBV61jlFlfzczfjWIgc/edit?usp=sharing"",""อุบลราชธานี!J742"")"),0)</f>
        <v>0</v>
      </c>
      <c r="AI51" s="376">
        <f t="shared" ca="1" si="56"/>
        <v>0</v>
      </c>
      <c r="AJ51" s="558">
        <f ca="1">IFERROR(__xludf.DUMMYFUNCTION("IMPORTRANGE(""https://docs.google.com/spreadsheets/d/1kfLP0j3INXRa8bTDpcEmoWewMBV61jlFlfzczfjWIgc/edit?usp=sharing"",""อุบลราชธานี!I744"")"),250)</f>
        <v>250</v>
      </c>
      <c r="AK51" s="558">
        <f ca="1">IFERROR(__xludf.DUMMYFUNCTION("IMPORTRANGE(""https://docs.google.com/spreadsheets/d/1kfLP0j3INXRa8bTDpcEmoWewMBV61jlFlfzczfjWIgc/edit?usp=sharing"",""อุบลราชธานี!J744"")"),0)</f>
        <v>0</v>
      </c>
      <c r="AL51" s="376">
        <f t="shared" ca="1" si="58"/>
        <v>0</v>
      </c>
      <c r="AM51" s="558">
        <f ca="1">IFERROR(__xludf.DUMMYFUNCTION("IMPORTRANGE(""https://docs.google.com/spreadsheets/d/1kfLP0j3INXRa8bTDpcEmoWewMBV61jlFlfzczfjWIgc/edit?usp=sharing"",""อุบลราชธานี!J745"")"),0)</f>
        <v>0</v>
      </c>
      <c r="AN51" s="558">
        <f ca="1">IFERROR(__xludf.DUMMYFUNCTION("IMPORTRANGE(""https://docs.google.com/spreadsheets/d/1kfLP0j3INXRa8bTDpcEmoWewMBV61jlFlfzczfjWIgc/edit?usp=sharing"",""อุบลราชธานี!I746"")"),25)</f>
        <v>25</v>
      </c>
      <c r="AO51" s="558">
        <f ca="1">IFERROR(__xludf.DUMMYFUNCTION("IMPORTRANGE(""https://docs.google.com/spreadsheets/d/1kfLP0j3INXRa8bTDpcEmoWewMBV61jlFlfzczfjWIgc/edit?usp=sharing"",""อุบลราชธานี!J746"")"),0)</f>
        <v>0</v>
      </c>
      <c r="AP51" s="376">
        <f t="shared" ca="1" si="60"/>
        <v>0</v>
      </c>
      <c r="AQ51" s="558">
        <f ca="1">IFERROR(__xludf.DUMMYFUNCTION("IMPORTRANGE(""https://docs.google.com/spreadsheets/d/1kfLP0j3INXRa8bTDpcEmoWewMBV61jlFlfzczfjWIgc/edit?usp=sharing"",""อุบลราชธานี!J748"")"),0)</f>
        <v>0</v>
      </c>
      <c r="AR51" s="558">
        <f ca="1">IFERROR(__xludf.DUMMYFUNCTION("IMPORTRANGE(""https://docs.google.com/spreadsheets/d/1kfLP0j3INXRa8bTDpcEmoWewMBV61jlFlfzczfjWIgc/edit?usp=sharing"",""อุบลราชธานี!I749"")"),3)</f>
        <v>3</v>
      </c>
      <c r="AS51" s="558">
        <f ca="1">IFERROR(__xludf.DUMMYFUNCTION("IMPORTRANGE(""https://docs.google.com/spreadsheets/d/1kfLP0j3INXRa8bTDpcEmoWewMBV61jlFlfzczfjWIgc/edit?usp=sharing"",""อุบลราชธานี!J749"")"),0)</f>
        <v>0</v>
      </c>
      <c r="AT51" s="376">
        <f t="shared" ca="1" si="62"/>
        <v>0</v>
      </c>
      <c r="AU51" s="558">
        <f ca="1">IFERROR(__xludf.DUMMYFUNCTION("IMPORTRANGE(""https://docs.google.com/spreadsheets/d/1kfLP0j3INXRa8bTDpcEmoWewMBV61jlFlfzczfjWIgc/edit?usp=sharing"",""อุบลราชธานี!I752"")"),100)</f>
        <v>100</v>
      </c>
      <c r="AV51" s="558">
        <f ca="1">IFERROR(__xludf.DUMMYFUNCTION("IMPORTRANGE(""https://docs.google.com/spreadsheets/d/1kfLP0j3INXRa8bTDpcEmoWewMBV61jlFlfzczfjWIgc/edit?usp=sharing"",""อุบลราชธานี!J752"")"),0)</f>
        <v>0</v>
      </c>
      <c r="AW51" s="376">
        <f t="shared" ca="1" si="64"/>
        <v>0</v>
      </c>
      <c r="AX51" s="558">
        <f ca="1">IFERROR(__xludf.DUMMYFUNCTION("IMPORTRANGE(""https://docs.google.com/spreadsheets/d/1kfLP0j3INXRa8bTDpcEmoWewMBV61jlFlfzczfjWIgc/edit?usp=sharing"",""อุบลราชธานี!J753"")"),0)</f>
        <v>0</v>
      </c>
      <c r="AY51" s="558">
        <f ca="1">IFERROR(__xludf.DUMMYFUNCTION("IMPORTRANGE(""https://docs.google.com/spreadsheets/d/1kfLP0j3INXRa8bTDpcEmoWewMBV61jlFlfzczfjWIgc/edit?usp=sharing"",""อุบลราชธานี!I755"")"),25)</f>
        <v>25</v>
      </c>
      <c r="AZ51" s="558">
        <f ca="1">IFERROR(__xludf.DUMMYFUNCTION("IMPORTRANGE(""https://docs.google.com/spreadsheets/d/1kfLP0j3INXRa8bTDpcEmoWewMBV61jlFlfzczfjWIgc/edit?usp=sharing"",""อุบลราชธานี!J755"")"),0)</f>
        <v>0</v>
      </c>
      <c r="BA51" s="376">
        <f t="shared" ca="1" si="66"/>
        <v>0</v>
      </c>
      <c r="BB51" s="558">
        <f ca="1">IFERROR(__xludf.DUMMYFUNCTION("IMPORTRANGE(""https://docs.google.com/spreadsheets/d/1kfLP0j3INXRa8bTDpcEmoWewMBV61jlFlfzczfjWIgc/edit?usp=sharing"",""อุบลราชธานี!J756"")"),0)</f>
        <v>0</v>
      </c>
    </row>
    <row r="52" spans="1:54" ht="23.25" customHeight="1" x14ac:dyDescent="0.3">
      <c r="A52" s="720" t="s">
        <v>78</v>
      </c>
      <c r="B52" s="593"/>
      <c r="C52" s="490">
        <f t="shared" si="39"/>
        <v>0</v>
      </c>
      <c r="D52" s="490">
        <f t="shared" ref="D52:I52" si="79">SUM(D53:D73)</f>
        <v>0</v>
      </c>
      <c r="E52" s="490">
        <f t="shared" si="79"/>
        <v>0</v>
      </c>
      <c r="F52" s="490">
        <f t="shared" si="79"/>
        <v>0</v>
      </c>
      <c r="G52" s="490">
        <f t="shared" si="79"/>
        <v>0</v>
      </c>
      <c r="H52" s="490">
        <f t="shared" si="79"/>
        <v>0</v>
      </c>
      <c r="I52" s="490">
        <f t="shared" si="79"/>
        <v>0</v>
      </c>
      <c r="J52" s="490">
        <f t="shared" si="41"/>
        <v>0</v>
      </c>
      <c r="K52" s="522">
        <f t="shared" si="42"/>
        <v>0</v>
      </c>
      <c r="L52" s="490">
        <f>SUM(L53:L73)</f>
        <v>0</v>
      </c>
      <c r="M52" s="491">
        <f t="shared" si="43"/>
        <v>0</v>
      </c>
      <c r="N52" s="491">
        <f t="shared" si="44"/>
        <v>0</v>
      </c>
      <c r="O52" s="523">
        <f>SUM(O53:O73)</f>
        <v>0</v>
      </c>
      <c r="P52" s="523">
        <f t="shared" si="45"/>
        <v>0</v>
      </c>
      <c r="Q52" s="491">
        <f t="shared" si="46"/>
        <v>0</v>
      </c>
      <c r="R52" s="491">
        <f t="shared" ref="R52:T52" ca="1" si="80">SUM(R53:R73)</f>
        <v>5615326</v>
      </c>
      <c r="S52" s="491">
        <f t="shared" ca="1" si="80"/>
        <v>0</v>
      </c>
      <c r="T52" s="491">
        <f t="shared" ca="1" si="80"/>
        <v>22020</v>
      </c>
      <c r="U52" s="491">
        <f t="shared" ca="1" si="48"/>
        <v>0.39214107960962552</v>
      </c>
      <c r="V52" s="491">
        <f t="shared" ca="1" si="49"/>
        <v>0</v>
      </c>
      <c r="W52" s="524">
        <f t="shared" ref="W52:Y52" ca="1" si="81">SUM(W53:W73)</f>
        <v>703</v>
      </c>
      <c r="X52" s="262">
        <f t="shared" ca="1" si="81"/>
        <v>6800</v>
      </c>
      <c r="Y52" s="262">
        <f t="shared" ca="1" si="81"/>
        <v>0</v>
      </c>
      <c r="Z52" s="234">
        <f t="shared" ca="1" si="51"/>
        <v>0</v>
      </c>
      <c r="AA52" s="262">
        <f ca="1">SUM(AA53:AA73)</f>
        <v>0</v>
      </c>
      <c r="AB52" s="234">
        <f t="shared" ca="1" si="52"/>
        <v>0</v>
      </c>
      <c r="AC52" s="262">
        <f t="shared" ref="AC52:AD52" ca="1" si="82">SUM(AC53:AC73)</f>
        <v>5440</v>
      </c>
      <c r="AD52" s="262">
        <f t="shared" ca="1" si="82"/>
        <v>0</v>
      </c>
      <c r="AE52" s="234">
        <f t="shared" ca="1" si="54"/>
        <v>0</v>
      </c>
      <c r="AF52" s="262">
        <f t="shared" ref="AF52:AH52" ca="1" si="83">SUM(AF53:AF73)</f>
        <v>0</v>
      </c>
      <c r="AG52" s="262">
        <f t="shared" ca="1" si="83"/>
        <v>544</v>
      </c>
      <c r="AH52" s="262">
        <f t="shared" ca="1" si="83"/>
        <v>0</v>
      </c>
      <c r="AI52" s="234">
        <f t="shared" ca="1" si="56"/>
        <v>0</v>
      </c>
      <c r="AJ52" s="262">
        <f t="shared" ref="AJ52:AK52" ca="1" si="84">SUM(AJ53:AJ73)</f>
        <v>1360</v>
      </c>
      <c r="AK52" s="262">
        <f t="shared" ca="1" si="84"/>
        <v>0</v>
      </c>
      <c r="AL52" s="234">
        <f t="shared" ca="1" si="58"/>
        <v>0</v>
      </c>
      <c r="AM52" s="262">
        <f t="shared" ref="AM52:AO52" ca="1" si="85">SUM(AM53:AM73)</f>
        <v>0</v>
      </c>
      <c r="AN52" s="262">
        <f t="shared" ca="1" si="85"/>
        <v>136</v>
      </c>
      <c r="AO52" s="262">
        <f t="shared" ca="1" si="85"/>
        <v>0</v>
      </c>
      <c r="AP52" s="234">
        <f t="shared" ca="1" si="60"/>
        <v>0</v>
      </c>
      <c r="AQ52" s="262">
        <f t="shared" ref="AQ52:AS52" ca="1" si="86">SUM(AQ53:AQ73)</f>
        <v>0</v>
      </c>
      <c r="AR52" s="262">
        <f t="shared" ca="1" si="86"/>
        <v>23</v>
      </c>
      <c r="AS52" s="262">
        <f t="shared" ca="1" si="86"/>
        <v>0</v>
      </c>
      <c r="AT52" s="234">
        <f t="shared" ca="1" si="62"/>
        <v>0</v>
      </c>
      <c r="AU52" s="262">
        <f t="shared" ref="AU52:AV52" ca="1" si="87">SUM(AU53:AU73)</f>
        <v>544</v>
      </c>
      <c r="AV52" s="262">
        <f t="shared" ca="1" si="87"/>
        <v>0</v>
      </c>
      <c r="AW52" s="234">
        <f t="shared" ca="1" si="64"/>
        <v>0</v>
      </c>
      <c r="AX52" s="262">
        <f t="shared" ref="AX52:AZ52" ca="1" si="88">SUM(AX53:AX73)</f>
        <v>0</v>
      </c>
      <c r="AY52" s="262">
        <f t="shared" ca="1" si="88"/>
        <v>136</v>
      </c>
      <c r="AZ52" s="262">
        <f t="shared" ca="1" si="88"/>
        <v>0</v>
      </c>
      <c r="BA52" s="234">
        <f t="shared" ca="1" si="66"/>
        <v>0</v>
      </c>
      <c r="BB52" s="262">
        <f ca="1">SUM(BB53:BB73)</f>
        <v>0</v>
      </c>
    </row>
    <row r="53" spans="1:54" ht="23.25" customHeight="1" x14ac:dyDescent="0.3">
      <c r="A53" s="535">
        <v>1</v>
      </c>
      <c r="B53" s="536" t="s">
        <v>79</v>
      </c>
      <c r="C53" s="537">
        <f t="shared" si="39"/>
        <v>0</v>
      </c>
      <c r="D53" s="538">
        <f t="shared" ref="D53:D73" si="89">+E53+F53</f>
        <v>0</v>
      </c>
      <c r="E53" s="539">
        <v>0</v>
      </c>
      <c r="F53" s="539">
        <v>0</v>
      </c>
      <c r="G53" s="540">
        <v>0</v>
      </c>
      <c r="H53" s="540">
        <v>0</v>
      </c>
      <c r="I53" s="540">
        <v>0</v>
      </c>
      <c r="J53" s="496">
        <f t="shared" si="41"/>
        <v>0</v>
      </c>
      <c r="K53" s="541">
        <f t="shared" si="42"/>
        <v>0</v>
      </c>
      <c r="L53" s="540">
        <v>0</v>
      </c>
      <c r="M53" s="542">
        <f t="shared" si="43"/>
        <v>0</v>
      </c>
      <c r="N53" s="542">
        <f t="shared" si="44"/>
        <v>0</v>
      </c>
      <c r="O53" s="539">
        <v>0</v>
      </c>
      <c r="P53" s="543">
        <f t="shared" si="45"/>
        <v>0</v>
      </c>
      <c r="Q53" s="542">
        <f t="shared" si="46"/>
        <v>0</v>
      </c>
      <c r="R53" s="542">
        <f ca="1">IFERROR(__xludf.DUMMYFUNCTION("IMPORTRANGE(""https://docs.google.com/spreadsheets/d/13wPX838HrBrQMCywv1BsuMkt4PEKTChp52zj44s2izQ/edit?usp=sharing"",""กาญจนบุรี!Q728"")"),1008470)</f>
        <v>1008470</v>
      </c>
      <c r="S53" s="542">
        <f ca="1">IFERROR(__xludf.DUMMYFUNCTION("IMPORTRANGE(""https://docs.google.com/spreadsheets/d/13wPX838HrBrQMCywv1BsuMkt4PEKTChp52zj44s2izQ/edit?usp=sharing"",""กาญจนบุรี!R728"")"),0)</f>
        <v>0</v>
      </c>
      <c r="T53" s="542">
        <f ca="1">IFERROR(__xludf.DUMMYFUNCTION("IMPORTRANGE(""https://docs.google.com/spreadsheets/d/13wPX838HrBrQMCywv1BsuMkt4PEKTChp52zj44s2izQ/edit?usp=sharing"",""กาญจนบุรี!S728"")"),3000)</f>
        <v>3000</v>
      </c>
      <c r="U53" s="542">
        <f t="shared" ca="1" si="48"/>
        <v>0.29748034150743208</v>
      </c>
      <c r="V53" s="542">
        <f t="shared" ca="1" si="49"/>
        <v>0</v>
      </c>
      <c r="W53" s="544">
        <f ca="1">IFERROR(__xludf.DUMMYFUNCTION("IMPORTRANGE(""https://docs.google.com/spreadsheets/d/13wPX838HrBrQMCywv1BsuMkt4PEKTChp52zj44s2izQ/edit?usp=sharing"",""กาญจนบุรี!I726"")"),128)</f>
        <v>128</v>
      </c>
      <c r="X53" s="540">
        <f ca="1">IFERROR(__xludf.DUMMYFUNCTION("IMPORTRANGE(""https://docs.google.com/spreadsheets/d/13wPX838HrBrQMCywv1BsuMkt4PEKTChp52zj44s2izQ/edit?usp=sharing"",""กาญจนบุรี!I727"")"),1250)</f>
        <v>1250</v>
      </c>
      <c r="Y53" s="540">
        <f ca="1">IFERROR(__xludf.DUMMYFUNCTION("IMPORTRANGE(""https://docs.google.com/spreadsheets/d/13wPX838HrBrQMCywv1BsuMkt4PEKTChp52zj44s2izQ/edit?usp=sharing"",""กาญจนบุรี!J726"")"),0)</f>
        <v>0</v>
      </c>
      <c r="Z53" s="375">
        <f t="shared" ca="1" si="51"/>
        <v>0</v>
      </c>
      <c r="AA53" s="540">
        <f ca="1">IFERROR(__xludf.DUMMYFUNCTION("IMPORTRANGE(""https://docs.google.com/spreadsheets/d/13wPX838HrBrQMCywv1BsuMkt4PEKTChp52zj44s2izQ/edit?usp=sharing"",""กาญจนบุรี!J727"")"),0)</f>
        <v>0</v>
      </c>
      <c r="AB53" s="375">
        <f t="shared" ca="1" si="52"/>
        <v>0</v>
      </c>
      <c r="AC53" s="540">
        <f ca="1">IFERROR(__xludf.DUMMYFUNCTION("IMPORTRANGE(""https://docs.google.com/spreadsheets/d/13wPX838HrBrQMCywv1BsuMkt4PEKTChp52zj44s2izQ/edit?usp=sharing"",""กาญจนบุรี!I740"")"),1000)</f>
        <v>1000</v>
      </c>
      <c r="AD53" s="540">
        <f ca="1">IFERROR(__xludf.DUMMYFUNCTION("IMPORTRANGE(""https://docs.google.com/spreadsheets/d/13wPX838HrBrQMCywv1BsuMkt4PEKTChp52zj44s2izQ/edit?usp=sharing"",""กาญจนบุรี!J740"")"),0)</f>
        <v>0</v>
      </c>
      <c r="AE53" s="375">
        <f t="shared" ca="1" si="54"/>
        <v>0</v>
      </c>
      <c r="AF53" s="540">
        <f ca="1">IFERROR(__xludf.DUMMYFUNCTION("IMPORTRANGE(""https://docs.google.com/spreadsheets/d/13wPX838HrBrQMCywv1BsuMkt4PEKTChp52zj44s2izQ/edit?usp=sharing"",""กาญจนบุรี!J741"")"),0)</f>
        <v>0</v>
      </c>
      <c r="AG53" s="540">
        <f ca="1">IFERROR(__xludf.DUMMYFUNCTION("IMPORTRANGE(""https://docs.google.com/spreadsheets/d/13wPX838HrBrQMCywv1BsuMkt4PEKTChp52zj44s2izQ/edit?usp=sharing"",""กาญจนบุรี!I742"")"),100)</f>
        <v>100</v>
      </c>
      <c r="AH53" s="540">
        <f ca="1">IFERROR(__xludf.DUMMYFUNCTION("IMPORTRANGE(""https://docs.google.com/spreadsheets/d/13wPX838HrBrQMCywv1BsuMkt4PEKTChp52zj44s2izQ/edit?usp=sharing"",""กาญจนบุรี!J742"")"),0)</f>
        <v>0</v>
      </c>
      <c r="AI53" s="375">
        <f t="shared" ca="1" si="56"/>
        <v>0</v>
      </c>
      <c r="AJ53" s="540">
        <f ca="1">IFERROR(__xludf.DUMMYFUNCTION("IMPORTRANGE(""https://docs.google.com/spreadsheets/d/13wPX838HrBrQMCywv1BsuMkt4PEKTChp52zj44s2izQ/edit?usp=sharing"",""กาญจนบุรี!I744"")"),250)</f>
        <v>250</v>
      </c>
      <c r="AK53" s="540">
        <f ca="1">IFERROR(__xludf.DUMMYFUNCTION("IMPORTRANGE(""https://docs.google.com/spreadsheets/d/13wPX838HrBrQMCywv1BsuMkt4PEKTChp52zj44s2izQ/edit?usp=sharing"",""กาญจนบุรี!J744"")"),0)</f>
        <v>0</v>
      </c>
      <c r="AL53" s="375">
        <f t="shared" ca="1" si="58"/>
        <v>0</v>
      </c>
      <c r="AM53" s="540">
        <f ca="1">IFERROR(__xludf.DUMMYFUNCTION("IMPORTRANGE(""https://docs.google.com/spreadsheets/d/13wPX838HrBrQMCywv1BsuMkt4PEKTChp52zj44s2izQ/edit?usp=sharing"",""กาญจนบุรี!J745"")"),0)</f>
        <v>0</v>
      </c>
      <c r="AN53" s="540">
        <f ca="1">IFERROR(__xludf.DUMMYFUNCTION("IMPORTRANGE(""https://docs.google.com/spreadsheets/d/13wPX838HrBrQMCywv1BsuMkt4PEKTChp52zj44s2izQ/edit?usp=sharing"",""กาญจนบุรี!I746"")"),25)</f>
        <v>25</v>
      </c>
      <c r="AO53" s="540">
        <f ca="1">IFERROR(__xludf.DUMMYFUNCTION("IMPORTRANGE(""https://docs.google.com/spreadsheets/d/13wPX838HrBrQMCywv1BsuMkt4PEKTChp52zj44s2izQ/edit?usp=sharing"",""กาญจนบุรี!J746"")"),0)</f>
        <v>0</v>
      </c>
      <c r="AP53" s="375">
        <f t="shared" ca="1" si="60"/>
        <v>0</v>
      </c>
      <c r="AQ53" s="540">
        <f ca="1">IFERROR(__xludf.DUMMYFUNCTION("IMPORTRANGE(""https://docs.google.com/spreadsheets/d/13wPX838HrBrQMCywv1BsuMkt4PEKTChp52zj44s2izQ/edit?usp=sharing"",""กาญจนบุรี!J748"")"),0)</f>
        <v>0</v>
      </c>
      <c r="AR53" s="540">
        <f ca="1">IFERROR(__xludf.DUMMYFUNCTION("IMPORTRANGE(""https://docs.google.com/spreadsheets/d/13wPX838HrBrQMCywv1BsuMkt4PEKTChp52zj44s2izQ/edit?usp=sharing"",""กาญจนบุรี!I749"")"),3)</f>
        <v>3</v>
      </c>
      <c r="AS53" s="540">
        <f ca="1">IFERROR(__xludf.DUMMYFUNCTION("IMPORTRANGE(""https://docs.google.com/spreadsheets/d/13wPX838HrBrQMCywv1BsuMkt4PEKTChp52zj44s2izQ/edit?usp=sharing"",""กาญจนบุรี!J749"")"),0)</f>
        <v>0</v>
      </c>
      <c r="AT53" s="375">
        <f t="shared" ca="1" si="62"/>
        <v>0</v>
      </c>
      <c r="AU53" s="540">
        <f ca="1">IFERROR(__xludf.DUMMYFUNCTION("IMPORTRANGE(""https://docs.google.com/spreadsheets/d/13wPX838HrBrQMCywv1BsuMkt4PEKTChp52zj44s2izQ/edit?usp=sharing"",""กาญจนบุรี!I752"")"),100)</f>
        <v>100</v>
      </c>
      <c r="AV53" s="540">
        <f ca="1">IFERROR(__xludf.DUMMYFUNCTION("IMPORTRANGE(""https://docs.google.com/spreadsheets/d/13wPX838HrBrQMCywv1BsuMkt4PEKTChp52zj44s2izQ/edit?usp=sharing"",""กาญจนบุรี!J752"")"),0)</f>
        <v>0</v>
      </c>
      <c r="AW53" s="375">
        <f t="shared" ca="1" si="64"/>
        <v>0</v>
      </c>
      <c r="AX53" s="540">
        <f ca="1">IFERROR(__xludf.DUMMYFUNCTION("IMPORTRANGE(""https://docs.google.com/spreadsheets/d/13wPX838HrBrQMCywv1BsuMkt4PEKTChp52zj44s2izQ/edit?usp=sharing"",""กาญจนบุรี!J753"")"),0)</f>
        <v>0</v>
      </c>
      <c r="AY53" s="540">
        <f ca="1">IFERROR(__xludf.DUMMYFUNCTION("IMPORTRANGE(""https://docs.google.com/spreadsheets/d/13wPX838HrBrQMCywv1BsuMkt4PEKTChp52zj44s2izQ/edit?usp=sharing"",""กาญจนบุรี!I755"")"),25)</f>
        <v>25</v>
      </c>
      <c r="AZ53" s="540">
        <f ca="1">IFERROR(__xludf.DUMMYFUNCTION("IMPORTRANGE(""https://docs.google.com/spreadsheets/d/13wPX838HrBrQMCywv1BsuMkt4PEKTChp52zj44s2izQ/edit?usp=sharing"",""กาญจนบุรี!J755"")"),0)</f>
        <v>0</v>
      </c>
      <c r="BA53" s="375">
        <f t="shared" ca="1" si="66"/>
        <v>0</v>
      </c>
      <c r="BB53" s="540">
        <f ca="1">IFERROR(__xludf.DUMMYFUNCTION("IMPORTRANGE(""https://docs.google.com/spreadsheets/d/13wPX838HrBrQMCywv1BsuMkt4PEKTChp52zj44s2izQ/edit?usp=sharing"",""กาญจนบุรี!J756"")"),0)</f>
        <v>0</v>
      </c>
    </row>
    <row r="54" spans="1:54" ht="23.25" customHeight="1" x14ac:dyDescent="0.3">
      <c r="A54" s="535">
        <v>2</v>
      </c>
      <c r="B54" s="536" t="s">
        <v>80</v>
      </c>
      <c r="C54" s="537">
        <f t="shared" si="39"/>
        <v>0</v>
      </c>
      <c r="D54" s="538">
        <f t="shared" si="89"/>
        <v>0</v>
      </c>
      <c r="E54" s="539">
        <v>0</v>
      </c>
      <c r="F54" s="539">
        <v>0</v>
      </c>
      <c r="G54" s="539">
        <v>0</v>
      </c>
      <c r="H54" s="539">
        <v>0</v>
      </c>
      <c r="I54" s="539">
        <v>0</v>
      </c>
      <c r="J54" s="545">
        <f t="shared" si="41"/>
        <v>0</v>
      </c>
      <c r="K54" s="546">
        <f t="shared" si="42"/>
        <v>0</v>
      </c>
      <c r="L54" s="539">
        <v>0</v>
      </c>
      <c r="M54" s="542">
        <f t="shared" si="43"/>
        <v>0</v>
      </c>
      <c r="N54" s="542">
        <f t="shared" si="44"/>
        <v>0</v>
      </c>
      <c r="O54" s="539">
        <v>0</v>
      </c>
      <c r="P54" s="543">
        <f t="shared" si="45"/>
        <v>0</v>
      </c>
      <c r="Q54" s="542">
        <f t="shared" si="46"/>
        <v>0</v>
      </c>
      <c r="R54" s="542">
        <f ca="1">IFERROR(__xludf.DUMMYFUNCTION("IMPORTRANGE(""https://docs.google.com/spreadsheets/d/1ddFKvqj1W1NEiWytbGlB1zMx_ykJDVtmfEQ-6-lIUBA/edit?usp=sharing"",""จันทบุรี!Q728"")"),391730)</f>
        <v>391730</v>
      </c>
      <c r="S54" s="542">
        <f ca="1">IFERROR(__xludf.DUMMYFUNCTION("IMPORTRANGE(""https://docs.google.com/spreadsheets/d/1ddFKvqj1W1NEiWytbGlB1zMx_ykJDVtmfEQ-6-lIUBA/edit?usp=sharing"",""จันทบุรี!R728"")"),0)</f>
        <v>0</v>
      </c>
      <c r="T54" s="542">
        <f ca="1">IFERROR(__xludf.DUMMYFUNCTION("IMPORTRANGE(""https://docs.google.com/spreadsheets/d/1ddFKvqj1W1NEiWytbGlB1zMx_ykJDVtmfEQ-6-lIUBA/edit?usp=sharing"",""จันทบุรี!S728"")"),10680)</f>
        <v>10680</v>
      </c>
      <c r="U54" s="542">
        <f t="shared" ca="1" si="48"/>
        <v>2.7263676511883186</v>
      </c>
      <c r="V54" s="542">
        <f t="shared" ca="1" si="49"/>
        <v>0</v>
      </c>
      <c r="W54" s="544">
        <f ca="1">IFERROR(__xludf.DUMMYFUNCTION("IMPORTRANGE(""https://docs.google.com/spreadsheets/d/1ddFKvqj1W1NEiWytbGlB1zMx_ykJDVtmfEQ-6-lIUBA/edit?usp=sharing"",""จันทบุรี!I726"")"),52)</f>
        <v>52</v>
      </c>
      <c r="X54" s="540">
        <f ca="1">IFERROR(__xludf.DUMMYFUNCTION("IMPORTRANGE(""https://docs.google.com/spreadsheets/d/1ddFKvqj1W1NEiWytbGlB1zMx_ykJDVtmfEQ-6-lIUBA/edit?usp=sharing"",""จันทบุรี!I727"")"),500)</f>
        <v>500</v>
      </c>
      <c r="Y54" s="540">
        <f ca="1">IFERROR(__xludf.DUMMYFUNCTION("IMPORTRANGE(""https://docs.google.com/spreadsheets/d/1ddFKvqj1W1NEiWytbGlB1zMx_ykJDVtmfEQ-6-lIUBA/edit?usp=sharing"",""จันทบุรี!J726"")"),0)</f>
        <v>0</v>
      </c>
      <c r="Z54" s="375">
        <f t="shared" ca="1" si="51"/>
        <v>0</v>
      </c>
      <c r="AA54" s="540">
        <f ca="1">IFERROR(__xludf.DUMMYFUNCTION("IMPORTRANGE(""https://docs.google.com/spreadsheets/d/1ddFKvqj1W1NEiWytbGlB1zMx_ykJDVtmfEQ-6-lIUBA/edit?usp=sharing"",""จันทบุรี!J727"")"),0)</f>
        <v>0</v>
      </c>
      <c r="AB54" s="375">
        <f t="shared" ca="1" si="52"/>
        <v>0</v>
      </c>
      <c r="AC54" s="540">
        <f ca="1">IFERROR(__xludf.DUMMYFUNCTION("IMPORTRANGE(""https://docs.google.com/spreadsheets/d/1ddFKvqj1W1NEiWytbGlB1zMx_ykJDVtmfEQ-6-lIUBA/edit?usp=sharing"",""จันทบุรี!I740"")"),400)</f>
        <v>400</v>
      </c>
      <c r="AD54" s="540">
        <f ca="1">IFERROR(__xludf.DUMMYFUNCTION("IMPORTRANGE(""https://docs.google.com/spreadsheets/d/1ddFKvqj1W1NEiWytbGlB1zMx_ykJDVtmfEQ-6-lIUBA/edit?usp=sharing"",""จันทบุรี!J740"")"),0)</f>
        <v>0</v>
      </c>
      <c r="AE54" s="375">
        <f t="shared" ca="1" si="54"/>
        <v>0</v>
      </c>
      <c r="AF54" s="540">
        <f ca="1">IFERROR(__xludf.DUMMYFUNCTION("IMPORTRANGE(""https://docs.google.com/spreadsheets/d/1ddFKvqj1W1NEiWytbGlB1zMx_ykJDVtmfEQ-6-lIUBA/edit?usp=sharing"",""จันทบุรี!J741"")"),0)</f>
        <v>0</v>
      </c>
      <c r="AG54" s="540">
        <f ca="1">IFERROR(__xludf.DUMMYFUNCTION("IMPORTRANGE(""https://docs.google.com/spreadsheets/d/1ddFKvqj1W1NEiWytbGlB1zMx_ykJDVtmfEQ-6-lIUBA/edit?usp=sharing"",""จันทบุรี!I742"")"),40)</f>
        <v>40</v>
      </c>
      <c r="AH54" s="540">
        <f ca="1">IFERROR(__xludf.DUMMYFUNCTION("IMPORTRANGE(""https://docs.google.com/spreadsheets/d/1ddFKvqj1W1NEiWytbGlB1zMx_ykJDVtmfEQ-6-lIUBA/edit?usp=sharing"",""จันทบุรี!J742"")"),0)</f>
        <v>0</v>
      </c>
      <c r="AI54" s="375">
        <f t="shared" ca="1" si="56"/>
        <v>0</v>
      </c>
      <c r="AJ54" s="540">
        <f ca="1">IFERROR(__xludf.DUMMYFUNCTION("IMPORTRANGE(""https://docs.google.com/spreadsheets/d/1ddFKvqj1W1NEiWytbGlB1zMx_ykJDVtmfEQ-6-lIUBA/edit?usp=sharing"",""จันทบุรี!I744"")"),100)</f>
        <v>100</v>
      </c>
      <c r="AK54" s="540">
        <f ca="1">IFERROR(__xludf.DUMMYFUNCTION("IMPORTRANGE(""https://docs.google.com/spreadsheets/d/1ddFKvqj1W1NEiWytbGlB1zMx_ykJDVtmfEQ-6-lIUBA/edit?usp=sharing"",""จันทบุรี!J744"")"),0)</f>
        <v>0</v>
      </c>
      <c r="AL54" s="375">
        <f t="shared" ca="1" si="58"/>
        <v>0</v>
      </c>
      <c r="AM54" s="540">
        <f ca="1">IFERROR(__xludf.DUMMYFUNCTION("IMPORTRANGE(""https://docs.google.com/spreadsheets/d/1ddFKvqj1W1NEiWytbGlB1zMx_ykJDVtmfEQ-6-lIUBA/edit?usp=sharing"",""จันทบุรี!J745"")"),0)</f>
        <v>0</v>
      </c>
      <c r="AN54" s="540">
        <f ca="1">IFERROR(__xludf.DUMMYFUNCTION("IMPORTRANGE(""https://docs.google.com/spreadsheets/d/1ddFKvqj1W1NEiWytbGlB1zMx_ykJDVtmfEQ-6-lIUBA/edit?usp=sharing"",""จันทบุรี!I746"")"),10)</f>
        <v>10</v>
      </c>
      <c r="AO54" s="540">
        <f ca="1">IFERROR(__xludf.DUMMYFUNCTION("IMPORTRANGE(""https://docs.google.com/spreadsheets/d/1ddFKvqj1W1NEiWytbGlB1zMx_ykJDVtmfEQ-6-lIUBA/edit?usp=sharing"",""จันทบุรี!J746"")"),0)</f>
        <v>0</v>
      </c>
      <c r="AP54" s="375">
        <f t="shared" ca="1" si="60"/>
        <v>0</v>
      </c>
      <c r="AQ54" s="540">
        <f ca="1">IFERROR(__xludf.DUMMYFUNCTION("IMPORTRANGE(""https://docs.google.com/spreadsheets/d/1ddFKvqj1W1NEiWytbGlB1zMx_ykJDVtmfEQ-6-lIUBA/edit?usp=sharing"",""จันทบุรี!J748"")"),0)</f>
        <v>0</v>
      </c>
      <c r="AR54" s="540">
        <f ca="1">IFERROR(__xludf.DUMMYFUNCTION("IMPORTRANGE(""https://docs.google.com/spreadsheets/d/1ddFKvqj1W1NEiWytbGlB1zMx_ykJDVtmfEQ-6-lIUBA/edit?usp=sharing"",""จันทบุรี!I749"")"),2)</f>
        <v>2</v>
      </c>
      <c r="AS54" s="540">
        <f ca="1">IFERROR(__xludf.DUMMYFUNCTION("IMPORTRANGE(""https://docs.google.com/spreadsheets/d/1ddFKvqj1W1NEiWytbGlB1zMx_ykJDVtmfEQ-6-lIUBA/edit?usp=sharing"",""จันทบุรี!J749"")"),0)</f>
        <v>0</v>
      </c>
      <c r="AT54" s="375">
        <f t="shared" ca="1" si="62"/>
        <v>0</v>
      </c>
      <c r="AU54" s="540">
        <f ca="1">IFERROR(__xludf.DUMMYFUNCTION("IMPORTRANGE(""https://docs.google.com/spreadsheets/d/1ddFKvqj1W1NEiWytbGlB1zMx_ykJDVtmfEQ-6-lIUBA/edit?usp=sharing"",""จันทบุรี!I752"")"),40)</f>
        <v>40</v>
      </c>
      <c r="AV54" s="540">
        <f ca="1">IFERROR(__xludf.DUMMYFUNCTION("IMPORTRANGE(""https://docs.google.com/spreadsheets/d/1ddFKvqj1W1NEiWytbGlB1zMx_ykJDVtmfEQ-6-lIUBA/edit?usp=sharing"",""จันทบุรี!J752"")"),0)</f>
        <v>0</v>
      </c>
      <c r="AW54" s="375">
        <f t="shared" ca="1" si="64"/>
        <v>0</v>
      </c>
      <c r="AX54" s="540">
        <f ca="1">IFERROR(__xludf.DUMMYFUNCTION("IMPORTRANGE(""https://docs.google.com/spreadsheets/d/1ddFKvqj1W1NEiWytbGlB1zMx_ykJDVtmfEQ-6-lIUBA/edit?usp=sharing"",""จันทบุรี!J753"")"),0)</f>
        <v>0</v>
      </c>
      <c r="AY54" s="540">
        <f ca="1">IFERROR(__xludf.DUMMYFUNCTION("IMPORTRANGE(""https://docs.google.com/spreadsheets/d/1ddFKvqj1W1NEiWytbGlB1zMx_ykJDVtmfEQ-6-lIUBA/edit?usp=sharing"",""จันทบุรี!I755"")"),10)</f>
        <v>10</v>
      </c>
      <c r="AZ54" s="540">
        <f ca="1">IFERROR(__xludf.DUMMYFUNCTION("IMPORTRANGE(""https://docs.google.com/spreadsheets/d/1ddFKvqj1W1NEiWytbGlB1zMx_ykJDVtmfEQ-6-lIUBA/edit?usp=sharing"",""จันทบุรี!J755"")"),0)</f>
        <v>0</v>
      </c>
      <c r="BA54" s="375">
        <f t="shared" ca="1" si="66"/>
        <v>0</v>
      </c>
      <c r="BB54" s="540">
        <f ca="1">IFERROR(__xludf.DUMMYFUNCTION("IMPORTRANGE(""https://docs.google.com/spreadsheets/d/1ddFKvqj1W1NEiWytbGlB1zMx_ykJDVtmfEQ-6-lIUBA/edit?usp=sharing"",""จันทบุรี!J756"")"),0)</f>
        <v>0</v>
      </c>
    </row>
    <row r="55" spans="1:54" ht="23.25" customHeight="1" x14ac:dyDescent="0.3">
      <c r="A55" s="535">
        <v>3</v>
      </c>
      <c r="B55" s="536" t="s">
        <v>81</v>
      </c>
      <c r="C55" s="537">
        <f t="shared" si="39"/>
        <v>0</v>
      </c>
      <c r="D55" s="538">
        <f t="shared" si="89"/>
        <v>0</v>
      </c>
      <c r="E55" s="539">
        <v>0</v>
      </c>
      <c r="F55" s="539">
        <v>0</v>
      </c>
      <c r="G55" s="539">
        <v>0</v>
      </c>
      <c r="H55" s="539">
        <v>0</v>
      </c>
      <c r="I55" s="539">
        <v>0</v>
      </c>
      <c r="J55" s="545">
        <f t="shared" si="41"/>
        <v>0</v>
      </c>
      <c r="K55" s="546">
        <f t="shared" si="42"/>
        <v>0</v>
      </c>
      <c r="L55" s="539">
        <v>0</v>
      </c>
      <c r="M55" s="542">
        <f t="shared" si="43"/>
        <v>0</v>
      </c>
      <c r="N55" s="542">
        <f t="shared" si="44"/>
        <v>0</v>
      </c>
      <c r="O55" s="539">
        <v>0</v>
      </c>
      <c r="P55" s="543">
        <f t="shared" si="45"/>
        <v>0</v>
      </c>
      <c r="Q55" s="542">
        <f t="shared" si="46"/>
        <v>0</v>
      </c>
      <c r="R55" s="542">
        <f ca="1">IFERROR(__xludf.DUMMYFUNCTION("IMPORTRANGE(""https://docs.google.com/spreadsheets/d/1T1PQvRODqOBZk8BRht_U031fIS1beLA0Ub2CEytj2q0/edit?usp=sharing"",""ฉะเชิงเทรา!Q728"")"),1008470)</f>
        <v>1008470</v>
      </c>
      <c r="S55" s="542">
        <f ca="1">IFERROR(__xludf.DUMMYFUNCTION("IMPORTRANGE(""https://docs.google.com/spreadsheets/d/1T1PQvRODqOBZk8BRht_U031fIS1beLA0Ub2CEytj2q0/edit?usp=sharing"",""ฉะเชิงเทรา!R728"")"),0)</f>
        <v>0</v>
      </c>
      <c r="T55" s="542">
        <f ca="1">IFERROR(__xludf.DUMMYFUNCTION("IMPORTRANGE(""https://docs.google.com/spreadsheets/d/1T1PQvRODqOBZk8BRht_U031fIS1beLA0Ub2CEytj2q0/edit?usp=sharing"",""ฉะเชิงเทรา!S728"")"),0)</f>
        <v>0</v>
      </c>
      <c r="U55" s="542">
        <f t="shared" ca="1" si="48"/>
        <v>0</v>
      </c>
      <c r="V55" s="542">
        <f t="shared" ca="1" si="49"/>
        <v>0</v>
      </c>
      <c r="W55" s="544">
        <f ca="1">IFERROR(__xludf.DUMMYFUNCTION("IMPORTRANGE(""https://docs.google.com/spreadsheets/d/1T1PQvRODqOBZk8BRht_U031fIS1beLA0Ub2CEytj2q0/edit?usp=sharing"",""ฉะเชิงเทรา!I726"")"),128)</f>
        <v>128</v>
      </c>
      <c r="X55" s="540">
        <f ca="1">IFERROR(__xludf.DUMMYFUNCTION("IMPORTRANGE(""https://docs.google.com/spreadsheets/d/1T1PQvRODqOBZk8BRht_U031fIS1beLA0Ub2CEytj2q0/edit?usp=sharing"",""ฉะเชิงเทรา!I727"")"),1250)</f>
        <v>1250</v>
      </c>
      <c r="Y55" s="540">
        <f ca="1">IFERROR(__xludf.DUMMYFUNCTION("IMPORTRANGE(""https://docs.google.com/spreadsheets/d/1T1PQvRODqOBZk8BRht_U031fIS1beLA0Ub2CEytj2q0/edit?usp=sharing"",""ฉะเชิงเทรา!J726"")"),0)</f>
        <v>0</v>
      </c>
      <c r="Z55" s="375">
        <f t="shared" ca="1" si="51"/>
        <v>0</v>
      </c>
      <c r="AA55" s="540">
        <f ca="1">IFERROR(__xludf.DUMMYFUNCTION("IMPORTRANGE(""https://docs.google.com/spreadsheets/d/1T1PQvRODqOBZk8BRht_U031fIS1beLA0Ub2CEytj2q0/edit?usp=sharing"",""ฉะเชิงเทรา!J727"")"),0)</f>
        <v>0</v>
      </c>
      <c r="AB55" s="375">
        <f t="shared" ca="1" si="52"/>
        <v>0</v>
      </c>
      <c r="AC55" s="540">
        <f ca="1">IFERROR(__xludf.DUMMYFUNCTION("IMPORTRANGE(""https://docs.google.com/spreadsheets/d/1T1PQvRODqOBZk8BRht_U031fIS1beLA0Ub2CEytj2q0/edit?usp=sharing"",""ฉะเชิงเทรา!I740"")"),1000)</f>
        <v>1000</v>
      </c>
      <c r="AD55" s="540">
        <f ca="1">IFERROR(__xludf.DUMMYFUNCTION("IMPORTRANGE(""https://docs.google.com/spreadsheets/d/1T1PQvRODqOBZk8BRht_U031fIS1beLA0Ub2CEytj2q0/edit?usp=sharing"",""ฉะเชิงเทรา!J740"")"),0)</f>
        <v>0</v>
      </c>
      <c r="AE55" s="375">
        <f t="shared" ca="1" si="54"/>
        <v>0</v>
      </c>
      <c r="AF55" s="540">
        <f ca="1">IFERROR(__xludf.DUMMYFUNCTION("IMPORTRANGE(""https://docs.google.com/spreadsheets/d/1T1PQvRODqOBZk8BRht_U031fIS1beLA0Ub2CEytj2q0/edit?usp=sharing"",""ฉะเชิงเทรา!J741"")"),0)</f>
        <v>0</v>
      </c>
      <c r="AG55" s="540">
        <f ca="1">IFERROR(__xludf.DUMMYFUNCTION("IMPORTRANGE(""https://docs.google.com/spreadsheets/d/1T1PQvRODqOBZk8BRht_U031fIS1beLA0Ub2CEytj2q0/edit?usp=sharing"",""ฉะเชิงเทรา!I742"")"),100)</f>
        <v>100</v>
      </c>
      <c r="AH55" s="540">
        <f ca="1">IFERROR(__xludf.DUMMYFUNCTION("IMPORTRANGE(""https://docs.google.com/spreadsheets/d/1T1PQvRODqOBZk8BRht_U031fIS1beLA0Ub2CEytj2q0/edit?usp=sharing"",""ฉะเชิงเทรา!J742"")"),0)</f>
        <v>0</v>
      </c>
      <c r="AI55" s="375">
        <f t="shared" ca="1" si="56"/>
        <v>0</v>
      </c>
      <c r="AJ55" s="540">
        <f ca="1">IFERROR(__xludf.DUMMYFUNCTION("IMPORTRANGE(""https://docs.google.com/spreadsheets/d/1T1PQvRODqOBZk8BRht_U031fIS1beLA0Ub2CEytj2q0/edit?usp=sharing"",""ฉะเชิงเทรา!I744"")"),250)</f>
        <v>250</v>
      </c>
      <c r="AK55" s="540">
        <f ca="1">IFERROR(__xludf.DUMMYFUNCTION("IMPORTRANGE(""https://docs.google.com/spreadsheets/d/1T1PQvRODqOBZk8BRht_U031fIS1beLA0Ub2CEytj2q0/edit?usp=sharing"",""ฉะเชิงเทรา!J744"")"),0)</f>
        <v>0</v>
      </c>
      <c r="AL55" s="375">
        <f t="shared" ca="1" si="58"/>
        <v>0</v>
      </c>
      <c r="AM55" s="540">
        <f ca="1">IFERROR(__xludf.DUMMYFUNCTION("IMPORTRANGE(""https://docs.google.com/spreadsheets/d/1T1PQvRODqOBZk8BRht_U031fIS1beLA0Ub2CEytj2q0/edit?usp=sharing"",""ฉะเชิงเทรา!J745"")"),0)</f>
        <v>0</v>
      </c>
      <c r="AN55" s="540">
        <f ca="1">IFERROR(__xludf.DUMMYFUNCTION("IMPORTRANGE(""https://docs.google.com/spreadsheets/d/1T1PQvRODqOBZk8BRht_U031fIS1beLA0Ub2CEytj2q0/edit?usp=sharing"",""ฉะเชิงเทรา!I746"")"),25)</f>
        <v>25</v>
      </c>
      <c r="AO55" s="540">
        <f ca="1">IFERROR(__xludf.DUMMYFUNCTION("IMPORTRANGE(""https://docs.google.com/spreadsheets/d/1T1PQvRODqOBZk8BRht_U031fIS1beLA0Ub2CEytj2q0/edit?usp=sharing"",""ฉะเชิงเทรา!J746"")"),0)</f>
        <v>0</v>
      </c>
      <c r="AP55" s="375">
        <f t="shared" ca="1" si="60"/>
        <v>0</v>
      </c>
      <c r="AQ55" s="540">
        <f ca="1">IFERROR(__xludf.DUMMYFUNCTION("IMPORTRANGE(""https://docs.google.com/spreadsheets/d/1T1PQvRODqOBZk8BRht_U031fIS1beLA0Ub2CEytj2q0/edit?usp=sharing"",""ฉะเชิงเทรา!J748"")"),0)</f>
        <v>0</v>
      </c>
      <c r="AR55" s="540">
        <f ca="1">IFERROR(__xludf.DUMMYFUNCTION("IMPORTRANGE(""https://docs.google.com/spreadsheets/d/1T1PQvRODqOBZk8BRht_U031fIS1beLA0Ub2CEytj2q0/edit?usp=sharing"",""ฉะเชิงเทรา!I749"")"),3)</f>
        <v>3</v>
      </c>
      <c r="AS55" s="540">
        <f ca="1">IFERROR(__xludf.DUMMYFUNCTION("IMPORTRANGE(""https://docs.google.com/spreadsheets/d/1T1PQvRODqOBZk8BRht_U031fIS1beLA0Ub2CEytj2q0/edit?usp=sharing"",""ฉะเชิงเทรา!J749"")"),0)</f>
        <v>0</v>
      </c>
      <c r="AT55" s="375">
        <f t="shared" ca="1" si="62"/>
        <v>0</v>
      </c>
      <c r="AU55" s="540">
        <f ca="1">IFERROR(__xludf.DUMMYFUNCTION("IMPORTRANGE(""https://docs.google.com/spreadsheets/d/1T1PQvRODqOBZk8BRht_U031fIS1beLA0Ub2CEytj2q0/edit?usp=sharing"",""ฉะเชิงเทรา!I752"")"),100)</f>
        <v>100</v>
      </c>
      <c r="AV55" s="540">
        <f ca="1">IFERROR(__xludf.DUMMYFUNCTION("IMPORTRANGE(""https://docs.google.com/spreadsheets/d/1T1PQvRODqOBZk8BRht_U031fIS1beLA0Ub2CEytj2q0/edit?usp=sharing"",""ฉะเชิงเทรา!J752"")"),0)</f>
        <v>0</v>
      </c>
      <c r="AW55" s="375">
        <f t="shared" ca="1" si="64"/>
        <v>0</v>
      </c>
      <c r="AX55" s="540">
        <f ca="1">IFERROR(__xludf.DUMMYFUNCTION("IMPORTRANGE(""https://docs.google.com/spreadsheets/d/1T1PQvRODqOBZk8BRht_U031fIS1beLA0Ub2CEytj2q0/edit?usp=sharing"",""ฉะเชิงเทรา!J753"")"),0)</f>
        <v>0</v>
      </c>
      <c r="AY55" s="540">
        <f ca="1">IFERROR(__xludf.DUMMYFUNCTION("IMPORTRANGE(""https://docs.google.com/spreadsheets/d/1T1PQvRODqOBZk8BRht_U031fIS1beLA0Ub2CEytj2q0/edit?usp=sharing"",""ฉะเชิงเทรา!I755"")"),25)</f>
        <v>25</v>
      </c>
      <c r="AZ55" s="540">
        <f ca="1">IFERROR(__xludf.DUMMYFUNCTION("IMPORTRANGE(""https://docs.google.com/spreadsheets/d/1T1PQvRODqOBZk8BRht_U031fIS1beLA0Ub2CEytj2q0/edit?usp=sharing"",""ฉะเชิงเทรา!J755"")"),0)</f>
        <v>0</v>
      </c>
      <c r="BA55" s="375">
        <f t="shared" ca="1" si="66"/>
        <v>0</v>
      </c>
      <c r="BB55" s="540">
        <f ca="1">IFERROR(__xludf.DUMMYFUNCTION("IMPORTRANGE(""https://docs.google.com/spreadsheets/d/1T1PQvRODqOBZk8BRht_U031fIS1beLA0Ub2CEytj2q0/edit?usp=sharing"",""ฉะเชิงเทรา!J756"")"),0)</f>
        <v>0</v>
      </c>
    </row>
    <row r="56" spans="1:54" ht="23.25" customHeight="1" x14ac:dyDescent="0.3">
      <c r="A56" s="535">
        <v>4</v>
      </c>
      <c r="B56" s="536" t="s">
        <v>82</v>
      </c>
      <c r="C56" s="537">
        <f t="shared" si="39"/>
        <v>0</v>
      </c>
      <c r="D56" s="538">
        <f t="shared" si="89"/>
        <v>0</v>
      </c>
      <c r="E56" s="539">
        <v>0</v>
      </c>
      <c r="F56" s="539">
        <v>0</v>
      </c>
      <c r="G56" s="539">
        <v>0</v>
      </c>
      <c r="H56" s="539">
        <v>0</v>
      </c>
      <c r="I56" s="539">
        <v>0</v>
      </c>
      <c r="J56" s="545">
        <f t="shared" si="41"/>
        <v>0</v>
      </c>
      <c r="K56" s="546">
        <f t="shared" si="42"/>
        <v>0</v>
      </c>
      <c r="L56" s="539">
        <v>0</v>
      </c>
      <c r="M56" s="542">
        <f t="shared" si="43"/>
        <v>0</v>
      </c>
      <c r="N56" s="542">
        <f t="shared" si="44"/>
        <v>0</v>
      </c>
      <c r="O56" s="539">
        <v>0</v>
      </c>
      <c r="P56" s="543">
        <f t="shared" si="45"/>
        <v>0</v>
      </c>
      <c r="Q56" s="542">
        <f t="shared" si="46"/>
        <v>0</v>
      </c>
      <c r="R56" s="542">
        <f ca="1">IFERROR(__xludf.DUMMYFUNCTION("IMPORTRANGE(""https://docs.google.com/spreadsheets/d/11tr1B-Bhyr79v2bkwVh5h_fR-PStkgjlZtkrZpYurG0/edit?usp=sharing"",""ชลบุรี!Q728"")"),175994)</f>
        <v>175994</v>
      </c>
      <c r="S56" s="542">
        <f ca="1">IFERROR(__xludf.DUMMYFUNCTION("IMPORTRANGE(""https://docs.google.com/spreadsheets/d/11tr1B-Bhyr79v2bkwVh5h_fR-PStkgjlZtkrZpYurG0/edit?usp=sharing"",""ชลบุรี!R728"")"),0)</f>
        <v>0</v>
      </c>
      <c r="T56" s="542">
        <f ca="1">IFERROR(__xludf.DUMMYFUNCTION("IMPORTRANGE(""https://docs.google.com/spreadsheets/d/11tr1B-Bhyr79v2bkwVh5h_fR-PStkgjlZtkrZpYurG0/edit?usp=sharing"",""ชลบุรี!S728"")"),0)</f>
        <v>0</v>
      </c>
      <c r="U56" s="542">
        <f t="shared" ca="1" si="48"/>
        <v>0</v>
      </c>
      <c r="V56" s="542">
        <f t="shared" ca="1" si="49"/>
        <v>0</v>
      </c>
      <c r="W56" s="544">
        <f ca="1">IFERROR(__xludf.DUMMYFUNCTION("IMPORTRANGE(""https://docs.google.com/spreadsheets/d/11tr1B-Bhyr79v2bkwVh5h_fR-PStkgjlZtkrZpYurG0/edit?usp=sharing"",""ชลบุรี!I726"")"),21)</f>
        <v>21</v>
      </c>
      <c r="X56" s="540">
        <f ca="1">IFERROR(__xludf.DUMMYFUNCTION("IMPORTRANGE(""https://docs.google.com/spreadsheets/d/11tr1B-Bhyr79v2bkwVh5h_fR-PStkgjlZtkrZpYurG0/edit?usp=sharing"",""ชลบุรี!I727"")"),200)</f>
        <v>200</v>
      </c>
      <c r="Y56" s="540">
        <f ca="1">IFERROR(__xludf.DUMMYFUNCTION("IMPORTRANGE(""https://docs.google.com/spreadsheets/d/11tr1B-Bhyr79v2bkwVh5h_fR-PStkgjlZtkrZpYurG0/edit?usp=sharing"",""ชลบุรี!J726"")"),0)</f>
        <v>0</v>
      </c>
      <c r="Z56" s="375">
        <f t="shared" ca="1" si="51"/>
        <v>0</v>
      </c>
      <c r="AA56" s="540">
        <f ca="1">IFERROR(__xludf.DUMMYFUNCTION("IMPORTRANGE(""https://docs.google.com/spreadsheets/d/11tr1B-Bhyr79v2bkwVh5h_fR-PStkgjlZtkrZpYurG0/edit?usp=sharing"",""ชลบุรี!J727"")"),0)</f>
        <v>0</v>
      </c>
      <c r="AB56" s="375">
        <f t="shared" ca="1" si="52"/>
        <v>0</v>
      </c>
      <c r="AC56" s="540">
        <f ca="1">IFERROR(__xludf.DUMMYFUNCTION("IMPORTRANGE(""https://docs.google.com/spreadsheets/d/11tr1B-Bhyr79v2bkwVh5h_fR-PStkgjlZtkrZpYurG0/edit?usp=sharing"",""ชลบุรี!I740"")"),160)</f>
        <v>160</v>
      </c>
      <c r="AD56" s="540">
        <f ca="1">IFERROR(__xludf.DUMMYFUNCTION("IMPORTRANGE(""https://docs.google.com/spreadsheets/d/11tr1B-Bhyr79v2bkwVh5h_fR-PStkgjlZtkrZpYurG0/edit?usp=sharing"",""ชลบุรี!J740"")"),0)</f>
        <v>0</v>
      </c>
      <c r="AE56" s="375">
        <f t="shared" ca="1" si="54"/>
        <v>0</v>
      </c>
      <c r="AF56" s="540">
        <f ca="1">IFERROR(__xludf.DUMMYFUNCTION("IMPORTRANGE(""https://docs.google.com/spreadsheets/d/11tr1B-Bhyr79v2bkwVh5h_fR-PStkgjlZtkrZpYurG0/edit?usp=sharing"",""ชลบุรี!J741"")"),0)</f>
        <v>0</v>
      </c>
      <c r="AG56" s="540">
        <f ca="1">IFERROR(__xludf.DUMMYFUNCTION("IMPORTRANGE(""https://docs.google.com/spreadsheets/d/11tr1B-Bhyr79v2bkwVh5h_fR-PStkgjlZtkrZpYurG0/edit?usp=sharing"",""ชลบุรี!I742"")"),16)</f>
        <v>16</v>
      </c>
      <c r="AH56" s="540">
        <f ca="1">IFERROR(__xludf.DUMMYFUNCTION("IMPORTRANGE(""https://docs.google.com/spreadsheets/d/11tr1B-Bhyr79v2bkwVh5h_fR-PStkgjlZtkrZpYurG0/edit?usp=sharing"",""ชลบุรี!J742"")"),0)</f>
        <v>0</v>
      </c>
      <c r="AI56" s="375">
        <f t="shared" ca="1" si="56"/>
        <v>0</v>
      </c>
      <c r="AJ56" s="540">
        <f ca="1">IFERROR(__xludf.DUMMYFUNCTION("IMPORTRANGE(""https://docs.google.com/spreadsheets/d/11tr1B-Bhyr79v2bkwVh5h_fR-PStkgjlZtkrZpYurG0/edit?usp=sharing"",""ชลบุรี!I744"")"),40)</f>
        <v>40</v>
      </c>
      <c r="AK56" s="540">
        <f ca="1">IFERROR(__xludf.DUMMYFUNCTION("IMPORTRANGE(""https://docs.google.com/spreadsheets/d/11tr1B-Bhyr79v2bkwVh5h_fR-PStkgjlZtkrZpYurG0/edit?usp=sharing"",""ชลบุรี!J744"")"),0)</f>
        <v>0</v>
      </c>
      <c r="AL56" s="375">
        <f t="shared" ca="1" si="58"/>
        <v>0</v>
      </c>
      <c r="AM56" s="540">
        <f ca="1">IFERROR(__xludf.DUMMYFUNCTION("IMPORTRANGE(""https://docs.google.com/spreadsheets/d/11tr1B-Bhyr79v2bkwVh5h_fR-PStkgjlZtkrZpYurG0/edit?usp=sharing"",""ชลบุรี!J745"")"),0)</f>
        <v>0</v>
      </c>
      <c r="AN56" s="540">
        <f ca="1">IFERROR(__xludf.DUMMYFUNCTION("IMPORTRANGE(""https://docs.google.com/spreadsheets/d/11tr1B-Bhyr79v2bkwVh5h_fR-PStkgjlZtkrZpYurG0/edit?usp=sharing"",""ชลบุรี!I746"")"),4)</f>
        <v>4</v>
      </c>
      <c r="AO56" s="540">
        <f ca="1">IFERROR(__xludf.DUMMYFUNCTION("IMPORTRANGE(""https://docs.google.com/spreadsheets/d/11tr1B-Bhyr79v2bkwVh5h_fR-PStkgjlZtkrZpYurG0/edit?usp=sharing"",""ชลบุรี!J746"")"),0)</f>
        <v>0</v>
      </c>
      <c r="AP56" s="375">
        <f t="shared" ca="1" si="60"/>
        <v>0</v>
      </c>
      <c r="AQ56" s="540">
        <f ca="1">IFERROR(__xludf.DUMMYFUNCTION("IMPORTRANGE(""https://docs.google.com/spreadsheets/d/11tr1B-Bhyr79v2bkwVh5h_fR-PStkgjlZtkrZpYurG0/edit?usp=sharing"",""ชลบุรี!J748"")"),0)</f>
        <v>0</v>
      </c>
      <c r="AR56" s="540">
        <f ca="1">IFERROR(__xludf.DUMMYFUNCTION("IMPORTRANGE(""https://docs.google.com/spreadsheets/d/11tr1B-Bhyr79v2bkwVh5h_fR-PStkgjlZtkrZpYurG0/edit?usp=sharing"",""ชลบุรี!I749"")"),1)</f>
        <v>1</v>
      </c>
      <c r="AS56" s="540">
        <f ca="1">IFERROR(__xludf.DUMMYFUNCTION("IMPORTRANGE(""https://docs.google.com/spreadsheets/d/11tr1B-Bhyr79v2bkwVh5h_fR-PStkgjlZtkrZpYurG0/edit?usp=sharing"",""ชลบุรี!J749"")"),0)</f>
        <v>0</v>
      </c>
      <c r="AT56" s="375">
        <f t="shared" ca="1" si="62"/>
        <v>0</v>
      </c>
      <c r="AU56" s="540">
        <f ca="1">IFERROR(__xludf.DUMMYFUNCTION("IMPORTRANGE(""https://docs.google.com/spreadsheets/d/11tr1B-Bhyr79v2bkwVh5h_fR-PStkgjlZtkrZpYurG0/edit?usp=sharing"",""ชลบุรี!I752"")"),16)</f>
        <v>16</v>
      </c>
      <c r="AV56" s="540">
        <f ca="1">IFERROR(__xludf.DUMMYFUNCTION("IMPORTRANGE(""https://docs.google.com/spreadsheets/d/11tr1B-Bhyr79v2bkwVh5h_fR-PStkgjlZtkrZpYurG0/edit?usp=sharing"",""ชลบุรี!J752"")"),0)</f>
        <v>0</v>
      </c>
      <c r="AW56" s="375">
        <f t="shared" ca="1" si="64"/>
        <v>0</v>
      </c>
      <c r="AX56" s="540">
        <f ca="1">IFERROR(__xludf.DUMMYFUNCTION("IMPORTRANGE(""https://docs.google.com/spreadsheets/d/11tr1B-Bhyr79v2bkwVh5h_fR-PStkgjlZtkrZpYurG0/edit?usp=sharing"",""ชลบุรี!J753"")"),0)</f>
        <v>0</v>
      </c>
      <c r="AY56" s="540">
        <f ca="1">IFERROR(__xludf.DUMMYFUNCTION("IMPORTRANGE(""https://docs.google.com/spreadsheets/d/11tr1B-Bhyr79v2bkwVh5h_fR-PStkgjlZtkrZpYurG0/edit?usp=sharing"",""ชลบุรี!I755"")"),4)</f>
        <v>4</v>
      </c>
      <c r="AZ56" s="540">
        <f ca="1">IFERROR(__xludf.DUMMYFUNCTION("IMPORTRANGE(""https://docs.google.com/spreadsheets/d/11tr1B-Bhyr79v2bkwVh5h_fR-PStkgjlZtkrZpYurG0/edit?usp=sharing"",""ชลบุรี!J755"")"),0)</f>
        <v>0</v>
      </c>
      <c r="BA56" s="375">
        <f t="shared" ca="1" si="66"/>
        <v>0</v>
      </c>
      <c r="BB56" s="540">
        <f ca="1">IFERROR(__xludf.DUMMYFUNCTION("IMPORTRANGE(""https://docs.google.com/spreadsheets/d/11tr1B-Bhyr79v2bkwVh5h_fR-PStkgjlZtkrZpYurG0/edit?usp=sharing"",""ชลบุรี!J756"")"),0)</f>
        <v>0</v>
      </c>
    </row>
    <row r="57" spans="1:54" ht="23.25" customHeight="1" x14ac:dyDescent="0.3">
      <c r="A57" s="535">
        <v>5</v>
      </c>
      <c r="B57" s="536" t="s">
        <v>83</v>
      </c>
      <c r="C57" s="537">
        <f t="shared" si="39"/>
        <v>0</v>
      </c>
      <c r="D57" s="538">
        <f t="shared" si="89"/>
        <v>0</v>
      </c>
      <c r="E57" s="539">
        <v>0</v>
      </c>
      <c r="F57" s="539">
        <v>0</v>
      </c>
      <c r="G57" s="539">
        <v>0</v>
      </c>
      <c r="H57" s="539">
        <v>0</v>
      </c>
      <c r="I57" s="539">
        <v>0</v>
      </c>
      <c r="J57" s="545">
        <f t="shared" si="41"/>
        <v>0</v>
      </c>
      <c r="K57" s="546">
        <f t="shared" si="42"/>
        <v>0</v>
      </c>
      <c r="L57" s="539">
        <v>0</v>
      </c>
      <c r="M57" s="542">
        <f t="shared" si="43"/>
        <v>0</v>
      </c>
      <c r="N57" s="542">
        <f t="shared" si="44"/>
        <v>0</v>
      </c>
      <c r="O57" s="539">
        <v>0</v>
      </c>
      <c r="P57" s="543">
        <f t="shared" si="45"/>
        <v>0</v>
      </c>
      <c r="Q57" s="542">
        <f t="shared" si="46"/>
        <v>0</v>
      </c>
      <c r="R57" s="542">
        <f ca="1">IFERROR(__xludf.DUMMYFUNCTION("IMPORTRANGE(""https://docs.google.com/spreadsheets/d/1hh-FVnSX0vozXhGluamEcS54Dw9_zqW0N7qJUWgJ0Sw/edit?usp=sharing"",""ชัยนาท!Q728"")"),111162)</f>
        <v>111162</v>
      </c>
      <c r="S57" s="542">
        <f ca="1">IFERROR(__xludf.DUMMYFUNCTION("IMPORTRANGE(""https://docs.google.com/spreadsheets/d/1hh-FVnSX0vozXhGluamEcS54Dw9_zqW0N7qJUWgJ0Sw/edit?usp=sharing"",""ชัยนาท!R728"")"),0)</f>
        <v>0</v>
      </c>
      <c r="T57" s="542">
        <f ca="1">IFERROR(__xludf.DUMMYFUNCTION("IMPORTRANGE(""https://docs.google.com/spreadsheets/d/1hh-FVnSX0vozXhGluamEcS54Dw9_zqW0N7qJUWgJ0Sw/edit?usp=sharing"",""ชัยนาท!S728"")"),0)</f>
        <v>0</v>
      </c>
      <c r="U57" s="542">
        <f t="shared" ca="1" si="48"/>
        <v>0</v>
      </c>
      <c r="V57" s="542">
        <f t="shared" ca="1" si="49"/>
        <v>0</v>
      </c>
      <c r="W57" s="544">
        <f ca="1">IFERROR(__xludf.DUMMYFUNCTION("IMPORTRANGE(""https://docs.google.com/spreadsheets/d/1hh-FVnSX0vozXhGluamEcS54Dw9_zqW0N7qJUWgJ0Sw/edit?usp=sharing"",""ชัยนาท!I726"")"),11)</f>
        <v>11</v>
      </c>
      <c r="X57" s="540">
        <f ca="1">IFERROR(__xludf.DUMMYFUNCTION("IMPORTRANGE(""https://docs.google.com/spreadsheets/d/1hh-FVnSX0vozXhGluamEcS54Dw9_zqW0N7qJUWgJ0Sw/edit?usp=sharing"",""ชัยนาท!I727"")"),100)</f>
        <v>100</v>
      </c>
      <c r="Y57" s="540">
        <f ca="1">IFERROR(__xludf.DUMMYFUNCTION("IMPORTRANGE(""https://docs.google.com/spreadsheets/d/1hh-FVnSX0vozXhGluamEcS54Dw9_zqW0N7qJUWgJ0Sw/edit?usp=sharing"",""ชัยนาท!J726"")"),0)</f>
        <v>0</v>
      </c>
      <c r="Z57" s="375">
        <f t="shared" ca="1" si="51"/>
        <v>0</v>
      </c>
      <c r="AA57" s="540">
        <f ca="1">IFERROR(__xludf.DUMMYFUNCTION("IMPORTRANGE(""https://docs.google.com/spreadsheets/d/1hh-FVnSX0vozXhGluamEcS54Dw9_zqW0N7qJUWgJ0Sw/edit?usp=sharing"",""ชัยนาท!J727"")"),0)</f>
        <v>0</v>
      </c>
      <c r="AB57" s="375">
        <f t="shared" ca="1" si="52"/>
        <v>0</v>
      </c>
      <c r="AC57" s="540">
        <f ca="1">IFERROR(__xludf.DUMMYFUNCTION("IMPORTRANGE(""https://docs.google.com/spreadsheets/d/1hh-FVnSX0vozXhGluamEcS54Dw9_zqW0N7qJUWgJ0Sw/edit?usp=sharing"",""ชัยนาท!I740"")"),80)</f>
        <v>80</v>
      </c>
      <c r="AD57" s="540">
        <f ca="1">IFERROR(__xludf.DUMMYFUNCTION("IMPORTRANGE(""https://docs.google.com/spreadsheets/d/1hh-FVnSX0vozXhGluamEcS54Dw9_zqW0N7qJUWgJ0Sw/edit?usp=sharing"",""ชัยนาท!J740"")"),0)</f>
        <v>0</v>
      </c>
      <c r="AE57" s="375">
        <f t="shared" ca="1" si="54"/>
        <v>0</v>
      </c>
      <c r="AF57" s="540">
        <f ca="1">IFERROR(__xludf.DUMMYFUNCTION("IMPORTRANGE(""https://docs.google.com/spreadsheets/d/1hh-FVnSX0vozXhGluamEcS54Dw9_zqW0N7qJUWgJ0Sw/edit?usp=sharing"",""ชัยนาท!J741"")"),0)</f>
        <v>0</v>
      </c>
      <c r="AG57" s="540">
        <f ca="1">IFERROR(__xludf.DUMMYFUNCTION("IMPORTRANGE(""https://docs.google.com/spreadsheets/d/1hh-FVnSX0vozXhGluamEcS54Dw9_zqW0N7qJUWgJ0Sw/edit?usp=sharing"",""ชัยนาท!I742"")"),8)</f>
        <v>8</v>
      </c>
      <c r="AH57" s="540">
        <f ca="1">IFERROR(__xludf.DUMMYFUNCTION("IMPORTRANGE(""https://docs.google.com/spreadsheets/d/1hh-FVnSX0vozXhGluamEcS54Dw9_zqW0N7qJUWgJ0Sw/edit?usp=sharing"",""ชัยนาท!J742"")"),0)</f>
        <v>0</v>
      </c>
      <c r="AI57" s="375">
        <f t="shared" ca="1" si="56"/>
        <v>0</v>
      </c>
      <c r="AJ57" s="540">
        <f ca="1">IFERROR(__xludf.DUMMYFUNCTION("IMPORTRANGE(""https://docs.google.com/spreadsheets/d/1hh-FVnSX0vozXhGluamEcS54Dw9_zqW0N7qJUWgJ0Sw/edit?usp=sharing"",""ชัยนาท!I744"")"),20)</f>
        <v>20</v>
      </c>
      <c r="AK57" s="540">
        <f ca="1">IFERROR(__xludf.DUMMYFUNCTION("IMPORTRANGE(""https://docs.google.com/spreadsheets/d/1hh-FVnSX0vozXhGluamEcS54Dw9_zqW0N7qJUWgJ0Sw/edit?usp=sharing"",""ชัยนาท!J744"")"),0)</f>
        <v>0</v>
      </c>
      <c r="AL57" s="375">
        <f t="shared" ca="1" si="58"/>
        <v>0</v>
      </c>
      <c r="AM57" s="540">
        <f ca="1">IFERROR(__xludf.DUMMYFUNCTION("IMPORTRANGE(""https://docs.google.com/spreadsheets/d/1hh-FVnSX0vozXhGluamEcS54Dw9_zqW0N7qJUWgJ0Sw/edit?usp=sharing"",""ชัยนาท!J745"")"),0)</f>
        <v>0</v>
      </c>
      <c r="AN57" s="540">
        <f ca="1">IFERROR(__xludf.DUMMYFUNCTION("IMPORTRANGE(""https://docs.google.com/spreadsheets/d/1hh-FVnSX0vozXhGluamEcS54Dw9_zqW0N7qJUWgJ0Sw/edit?usp=sharing"",""ชัยนาท!I746"")"),2)</f>
        <v>2</v>
      </c>
      <c r="AO57" s="540">
        <f ca="1">IFERROR(__xludf.DUMMYFUNCTION("IMPORTRANGE(""https://docs.google.com/spreadsheets/d/1hh-FVnSX0vozXhGluamEcS54Dw9_zqW0N7qJUWgJ0Sw/edit?usp=sharing"",""ชัยนาท!J746"")"),0)</f>
        <v>0</v>
      </c>
      <c r="AP57" s="375">
        <f t="shared" ca="1" si="60"/>
        <v>0</v>
      </c>
      <c r="AQ57" s="540">
        <f ca="1">IFERROR(__xludf.DUMMYFUNCTION("IMPORTRANGE(""https://docs.google.com/spreadsheets/d/1hh-FVnSX0vozXhGluamEcS54Dw9_zqW0N7qJUWgJ0Sw/edit?usp=sharing"",""ชัยนาท!J748"")"),0)</f>
        <v>0</v>
      </c>
      <c r="AR57" s="540">
        <f ca="1">IFERROR(__xludf.DUMMYFUNCTION("IMPORTRANGE(""https://docs.google.com/spreadsheets/d/1hh-FVnSX0vozXhGluamEcS54Dw9_zqW0N7qJUWgJ0Sw/edit?usp=sharing"",""ชัยนาท!I749"")"),1)</f>
        <v>1</v>
      </c>
      <c r="AS57" s="540">
        <f ca="1">IFERROR(__xludf.DUMMYFUNCTION("IMPORTRANGE(""https://docs.google.com/spreadsheets/d/1hh-FVnSX0vozXhGluamEcS54Dw9_zqW0N7qJUWgJ0Sw/edit?usp=sharing"",""ชัยนาท!J749"")"),0)</f>
        <v>0</v>
      </c>
      <c r="AT57" s="375">
        <f t="shared" ca="1" si="62"/>
        <v>0</v>
      </c>
      <c r="AU57" s="540">
        <f ca="1">IFERROR(__xludf.DUMMYFUNCTION("IMPORTRANGE(""https://docs.google.com/spreadsheets/d/1hh-FVnSX0vozXhGluamEcS54Dw9_zqW0N7qJUWgJ0Sw/edit?usp=sharing"",""ชัยนาท!I752"")"),8)</f>
        <v>8</v>
      </c>
      <c r="AV57" s="540">
        <f ca="1">IFERROR(__xludf.DUMMYFUNCTION("IMPORTRANGE(""https://docs.google.com/spreadsheets/d/1hh-FVnSX0vozXhGluamEcS54Dw9_zqW0N7qJUWgJ0Sw/edit?usp=sharing"",""ชัยนาท!J752"")"),0)</f>
        <v>0</v>
      </c>
      <c r="AW57" s="375">
        <f t="shared" ca="1" si="64"/>
        <v>0</v>
      </c>
      <c r="AX57" s="540">
        <f ca="1">IFERROR(__xludf.DUMMYFUNCTION("IMPORTRANGE(""https://docs.google.com/spreadsheets/d/1hh-FVnSX0vozXhGluamEcS54Dw9_zqW0N7qJUWgJ0Sw/edit?usp=sharing"",""ชัยนาท!J753"")"),0)</f>
        <v>0</v>
      </c>
      <c r="AY57" s="540">
        <f ca="1">IFERROR(__xludf.DUMMYFUNCTION("IMPORTRANGE(""https://docs.google.com/spreadsheets/d/1hh-FVnSX0vozXhGluamEcS54Dw9_zqW0N7qJUWgJ0Sw/edit?usp=sharing"",""ชัยนาท!I755"")"),2)</f>
        <v>2</v>
      </c>
      <c r="AZ57" s="540">
        <f ca="1">IFERROR(__xludf.DUMMYFUNCTION("IMPORTRANGE(""https://docs.google.com/spreadsheets/d/1hh-FVnSX0vozXhGluamEcS54Dw9_zqW0N7qJUWgJ0Sw/edit?usp=sharing"",""ชัยนาท!J755"")"),0)</f>
        <v>0</v>
      </c>
      <c r="BA57" s="375">
        <f t="shared" ca="1" si="66"/>
        <v>0</v>
      </c>
      <c r="BB57" s="540">
        <f ca="1">IFERROR(__xludf.DUMMYFUNCTION("IMPORTRANGE(""https://docs.google.com/spreadsheets/d/1hh-FVnSX0vozXhGluamEcS54Dw9_zqW0N7qJUWgJ0Sw/edit?usp=sharing"",""ชัยนาท!J756"")"),0)</f>
        <v>0</v>
      </c>
    </row>
    <row r="58" spans="1:54" ht="23.25" customHeight="1" x14ac:dyDescent="0.3">
      <c r="A58" s="535">
        <v>6</v>
      </c>
      <c r="B58" s="536" t="s">
        <v>84</v>
      </c>
      <c r="C58" s="537">
        <f t="shared" si="39"/>
        <v>0</v>
      </c>
      <c r="D58" s="538">
        <f t="shared" si="89"/>
        <v>0</v>
      </c>
      <c r="E58" s="539">
        <v>0</v>
      </c>
      <c r="F58" s="539">
        <v>0</v>
      </c>
      <c r="G58" s="539">
        <v>0</v>
      </c>
      <c r="H58" s="539">
        <v>0</v>
      </c>
      <c r="I58" s="539">
        <v>0</v>
      </c>
      <c r="J58" s="545">
        <f t="shared" si="41"/>
        <v>0</v>
      </c>
      <c r="K58" s="546">
        <f t="shared" si="42"/>
        <v>0</v>
      </c>
      <c r="L58" s="539">
        <v>0</v>
      </c>
      <c r="M58" s="542">
        <f t="shared" si="43"/>
        <v>0</v>
      </c>
      <c r="N58" s="542">
        <f t="shared" si="44"/>
        <v>0</v>
      </c>
      <c r="O58" s="539">
        <v>0</v>
      </c>
      <c r="P58" s="543">
        <f t="shared" si="45"/>
        <v>0</v>
      </c>
      <c r="Q58" s="542">
        <f t="shared" si="46"/>
        <v>0</v>
      </c>
      <c r="R58" s="542">
        <f ca="1">IFERROR(__xludf.DUMMYFUNCTION("IMPORTRANGE(""https://docs.google.com/spreadsheets/d/1jkqa6GXxSacMcY1eN8AHjMNJ_7dDXMJVRLDlaFSOdPM/edit?usp=sharing"",""ตราด!Q728"")"),175994)</f>
        <v>175994</v>
      </c>
      <c r="S58" s="542">
        <f ca="1">IFERROR(__xludf.DUMMYFUNCTION("IMPORTRANGE(""https://docs.google.com/spreadsheets/d/1jkqa6GXxSacMcY1eN8AHjMNJ_7dDXMJVRLDlaFSOdPM/edit?usp=sharing"",""ตราด!R728"")"),0)</f>
        <v>0</v>
      </c>
      <c r="T58" s="542">
        <f ca="1">IFERROR(__xludf.DUMMYFUNCTION("IMPORTRANGE(""https://docs.google.com/spreadsheets/d/1jkqa6GXxSacMcY1eN8AHjMNJ_7dDXMJVRLDlaFSOdPM/edit?usp=sharing"",""ตราด!S728"")"),0)</f>
        <v>0</v>
      </c>
      <c r="U58" s="542">
        <f t="shared" ca="1" si="48"/>
        <v>0</v>
      </c>
      <c r="V58" s="542">
        <f t="shared" ca="1" si="49"/>
        <v>0</v>
      </c>
      <c r="W58" s="544">
        <f ca="1">IFERROR(__xludf.DUMMYFUNCTION("IMPORTRANGE(""https://docs.google.com/spreadsheets/d/1jkqa6GXxSacMcY1eN8AHjMNJ_7dDXMJVRLDlaFSOdPM/edit?usp=sharing"",""ตราด!I726"")"),21)</f>
        <v>21</v>
      </c>
      <c r="X58" s="540">
        <f ca="1">IFERROR(__xludf.DUMMYFUNCTION("IMPORTRANGE(""https://docs.google.com/spreadsheets/d/1jkqa6GXxSacMcY1eN8AHjMNJ_7dDXMJVRLDlaFSOdPM/edit?usp=sharing"",""ตราด!I727"")"),200)</f>
        <v>200</v>
      </c>
      <c r="Y58" s="540">
        <f ca="1">IFERROR(__xludf.DUMMYFUNCTION("IMPORTRANGE(""https://docs.google.com/spreadsheets/d/1jkqa6GXxSacMcY1eN8AHjMNJ_7dDXMJVRLDlaFSOdPM/edit?usp=sharing"",""ตราด!J726"")"),0)</f>
        <v>0</v>
      </c>
      <c r="Z58" s="375">
        <f t="shared" ca="1" si="51"/>
        <v>0</v>
      </c>
      <c r="AA58" s="540">
        <f ca="1">IFERROR(__xludf.DUMMYFUNCTION("IMPORTRANGE(""https://docs.google.com/spreadsheets/d/1jkqa6GXxSacMcY1eN8AHjMNJ_7dDXMJVRLDlaFSOdPM/edit?usp=sharing"",""ตราด!J727"")"),0)</f>
        <v>0</v>
      </c>
      <c r="AB58" s="375">
        <f t="shared" ca="1" si="52"/>
        <v>0</v>
      </c>
      <c r="AC58" s="540">
        <f ca="1">IFERROR(__xludf.DUMMYFUNCTION("IMPORTRANGE(""https://docs.google.com/spreadsheets/d/1jkqa6GXxSacMcY1eN8AHjMNJ_7dDXMJVRLDlaFSOdPM/edit?usp=sharing"",""ตราด!I740"")"),160)</f>
        <v>160</v>
      </c>
      <c r="AD58" s="540">
        <f ca="1">IFERROR(__xludf.DUMMYFUNCTION("IMPORTRANGE(""https://docs.google.com/spreadsheets/d/1jkqa6GXxSacMcY1eN8AHjMNJ_7dDXMJVRLDlaFSOdPM/edit?usp=sharing"",""ตราด!J740"")"),0)</f>
        <v>0</v>
      </c>
      <c r="AE58" s="375">
        <f t="shared" ca="1" si="54"/>
        <v>0</v>
      </c>
      <c r="AF58" s="540">
        <f ca="1">IFERROR(__xludf.DUMMYFUNCTION("IMPORTRANGE(""https://docs.google.com/spreadsheets/d/1jkqa6GXxSacMcY1eN8AHjMNJ_7dDXMJVRLDlaFSOdPM/edit?usp=sharing"",""ตราด!J741"")"),0)</f>
        <v>0</v>
      </c>
      <c r="AG58" s="540">
        <f ca="1">IFERROR(__xludf.DUMMYFUNCTION("IMPORTRANGE(""https://docs.google.com/spreadsheets/d/1jkqa6GXxSacMcY1eN8AHjMNJ_7dDXMJVRLDlaFSOdPM/edit?usp=sharing"",""ตราด!I742"")"),16)</f>
        <v>16</v>
      </c>
      <c r="AH58" s="540">
        <f ca="1">IFERROR(__xludf.DUMMYFUNCTION("IMPORTRANGE(""https://docs.google.com/spreadsheets/d/1jkqa6GXxSacMcY1eN8AHjMNJ_7dDXMJVRLDlaFSOdPM/edit?usp=sharing"",""ตราด!J742"")"),0)</f>
        <v>0</v>
      </c>
      <c r="AI58" s="375">
        <f t="shared" ca="1" si="56"/>
        <v>0</v>
      </c>
      <c r="AJ58" s="540">
        <f ca="1">IFERROR(__xludf.DUMMYFUNCTION("IMPORTRANGE(""https://docs.google.com/spreadsheets/d/1jkqa6GXxSacMcY1eN8AHjMNJ_7dDXMJVRLDlaFSOdPM/edit?usp=sharing"",""ตราด!I744"")"),40)</f>
        <v>40</v>
      </c>
      <c r="AK58" s="540">
        <f ca="1">IFERROR(__xludf.DUMMYFUNCTION("IMPORTRANGE(""https://docs.google.com/spreadsheets/d/1jkqa6GXxSacMcY1eN8AHjMNJ_7dDXMJVRLDlaFSOdPM/edit?usp=sharing"",""ตราด!J744"")"),0)</f>
        <v>0</v>
      </c>
      <c r="AL58" s="375">
        <f t="shared" ca="1" si="58"/>
        <v>0</v>
      </c>
      <c r="AM58" s="540">
        <f ca="1">IFERROR(__xludf.DUMMYFUNCTION("IMPORTRANGE(""https://docs.google.com/spreadsheets/d/1jkqa6GXxSacMcY1eN8AHjMNJ_7dDXMJVRLDlaFSOdPM/edit?usp=sharing"",""ตราด!J745"")"),0)</f>
        <v>0</v>
      </c>
      <c r="AN58" s="540">
        <f ca="1">IFERROR(__xludf.DUMMYFUNCTION("IMPORTRANGE(""https://docs.google.com/spreadsheets/d/1jkqa6GXxSacMcY1eN8AHjMNJ_7dDXMJVRLDlaFSOdPM/edit?usp=sharing"",""ตราด!I746"")"),4)</f>
        <v>4</v>
      </c>
      <c r="AO58" s="540">
        <f ca="1">IFERROR(__xludf.DUMMYFUNCTION("IMPORTRANGE(""https://docs.google.com/spreadsheets/d/1jkqa6GXxSacMcY1eN8AHjMNJ_7dDXMJVRLDlaFSOdPM/edit?usp=sharing"",""ตราด!J746"")"),0)</f>
        <v>0</v>
      </c>
      <c r="AP58" s="375">
        <f t="shared" ca="1" si="60"/>
        <v>0</v>
      </c>
      <c r="AQ58" s="540">
        <f ca="1">IFERROR(__xludf.DUMMYFUNCTION("IMPORTRANGE(""https://docs.google.com/spreadsheets/d/1jkqa6GXxSacMcY1eN8AHjMNJ_7dDXMJVRLDlaFSOdPM/edit?usp=sharing"",""ตราด!J748"")"),0)</f>
        <v>0</v>
      </c>
      <c r="AR58" s="540">
        <f ca="1">IFERROR(__xludf.DUMMYFUNCTION("IMPORTRANGE(""https://docs.google.com/spreadsheets/d/1jkqa6GXxSacMcY1eN8AHjMNJ_7dDXMJVRLDlaFSOdPM/edit?usp=sharing"",""ตราด!I749"")"),1)</f>
        <v>1</v>
      </c>
      <c r="AS58" s="540">
        <f ca="1">IFERROR(__xludf.DUMMYFUNCTION("IMPORTRANGE(""https://docs.google.com/spreadsheets/d/1jkqa6GXxSacMcY1eN8AHjMNJ_7dDXMJVRLDlaFSOdPM/edit?usp=sharing"",""ตราด!J749"")"),0)</f>
        <v>0</v>
      </c>
      <c r="AT58" s="375">
        <f t="shared" ca="1" si="62"/>
        <v>0</v>
      </c>
      <c r="AU58" s="540">
        <f ca="1">IFERROR(__xludf.DUMMYFUNCTION("IMPORTRANGE(""https://docs.google.com/spreadsheets/d/1jkqa6GXxSacMcY1eN8AHjMNJ_7dDXMJVRLDlaFSOdPM/edit?usp=sharing"",""ตราด!I752"")"),16)</f>
        <v>16</v>
      </c>
      <c r="AV58" s="540">
        <f ca="1">IFERROR(__xludf.DUMMYFUNCTION("IMPORTRANGE(""https://docs.google.com/spreadsheets/d/1jkqa6GXxSacMcY1eN8AHjMNJ_7dDXMJVRLDlaFSOdPM/edit?usp=sharing"",""ตราด!J752"")"),0)</f>
        <v>0</v>
      </c>
      <c r="AW58" s="375">
        <f t="shared" ca="1" si="64"/>
        <v>0</v>
      </c>
      <c r="AX58" s="540">
        <f ca="1">IFERROR(__xludf.DUMMYFUNCTION("IMPORTRANGE(""https://docs.google.com/spreadsheets/d/1jkqa6GXxSacMcY1eN8AHjMNJ_7dDXMJVRLDlaFSOdPM/edit?usp=sharing"",""ตราด!J753"")"),0)</f>
        <v>0</v>
      </c>
      <c r="AY58" s="540">
        <f ca="1">IFERROR(__xludf.DUMMYFUNCTION("IMPORTRANGE(""https://docs.google.com/spreadsheets/d/1jkqa6GXxSacMcY1eN8AHjMNJ_7dDXMJVRLDlaFSOdPM/edit?usp=sharing"",""ตราด!I755"")"),4)</f>
        <v>4</v>
      </c>
      <c r="AZ58" s="540">
        <f ca="1">IFERROR(__xludf.DUMMYFUNCTION("IMPORTRANGE(""https://docs.google.com/spreadsheets/d/1jkqa6GXxSacMcY1eN8AHjMNJ_7dDXMJVRLDlaFSOdPM/edit?usp=sharing"",""ตราด!J755"")"),0)</f>
        <v>0</v>
      </c>
      <c r="BA58" s="375">
        <f t="shared" ca="1" si="66"/>
        <v>0</v>
      </c>
      <c r="BB58" s="540">
        <f ca="1">IFERROR(__xludf.DUMMYFUNCTION("IMPORTRANGE(""https://docs.google.com/spreadsheets/d/1jkqa6GXxSacMcY1eN8AHjMNJ_7dDXMJVRLDlaFSOdPM/edit?usp=sharing"",""ตราด!J756"")"),0)</f>
        <v>0</v>
      </c>
    </row>
    <row r="59" spans="1:54" ht="23.25" customHeight="1" x14ac:dyDescent="0.3">
      <c r="A59" s="535">
        <v>7</v>
      </c>
      <c r="B59" s="536" t="s">
        <v>85</v>
      </c>
      <c r="C59" s="537">
        <f t="shared" si="39"/>
        <v>0</v>
      </c>
      <c r="D59" s="538">
        <f t="shared" si="89"/>
        <v>0</v>
      </c>
      <c r="E59" s="539">
        <v>0</v>
      </c>
      <c r="F59" s="539">
        <v>0</v>
      </c>
      <c r="G59" s="539">
        <v>0</v>
      </c>
      <c r="H59" s="539">
        <v>0</v>
      </c>
      <c r="I59" s="539">
        <v>0</v>
      </c>
      <c r="J59" s="545">
        <f t="shared" si="41"/>
        <v>0</v>
      </c>
      <c r="K59" s="546">
        <f t="shared" si="42"/>
        <v>0</v>
      </c>
      <c r="L59" s="539">
        <v>0</v>
      </c>
      <c r="M59" s="542">
        <f t="shared" si="43"/>
        <v>0</v>
      </c>
      <c r="N59" s="542">
        <f t="shared" si="44"/>
        <v>0</v>
      </c>
      <c r="O59" s="539">
        <v>0</v>
      </c>
      <c r="P59" s="543">
        <f t="shared" si="45"/>
        <v>0</v>
      </c>
      <c r="Q59" s="542">
        <f t="shared" si="46"/>
        <v>0</v>
      </c>
      <c r="R59" s="542">
        <f ca="1">IFERROR(__xludf.DUMMYFUNCTION("IMPORTRANGE(""https://docs.google.com/spreadsheets/d/18hSgUJ3VwClqi_qtULmmW3cLr0oe3OKaSYoKzdpTsYQ/edit?usp=sharing"",""นครนายก!Q728"")"),0)</f>
        <v>0</v>
      </c>
      <c r="S59" s="542">
        <f ca="1">IFERROR(__xludf.DUMMYFUNCTION("IMPORTRANGE(""https://docs.google.com/spreadsheets/d/18hSgUJ3VwClqi_qtULmmW3cLr0oe3OKaSYoKzdpTsYQ/edit?usp=sharing"",""นครนายก!R728"")"),0)</f>
        <v>0</v>
      </c>
      <c r="T59" s="542">
        <f ca="1">IFERROR(__xludf.DUMMYFUNCTION("IMPORTRANGE(""https://docs.google.com/spreadsheets/d/18hSgUJ3VwClqi_qtULmmW3cLr0oe3OKaSYoKzdpTsYQ/edit?usp=sharing"",""นครนายก!S728"")"),0)</f>
        <v>0</v>
      </c>
      <c r="U59" s="542">
        <f t="shared" ca="1" si="48"/>
        <v>0</v>
      </c>
      <c r="V59" s="542">
        <f t="shared" ca="1" si="49"/>
        <v>0</v>
      </c>
      <c r="W59" s="544">
        <f ca="1">IFERROR(__xludf.DUMMYFUNCTION("IMPORTRANGE(""https://docs.google.com/spreadsheets/d/18hSgUJ3VwClqi_qtULmmW3cLr0oe3OKaSYoKzdpTsYQ/edit?usp=sharing"",""นครนายก!I726"")"),0)</f>
        <v>0</v>
      </c>
      <c r="X59" s="540">
        <f ca="1">IFERROR(__xludf.DUMMYFUNCTION("IMPORTRANGE(""https://docs.google.com/spreadsheets/d/18hSgUJ3VwClqi_qtULmmW3cLr0oe3OKaSYoKzdpTsYQ/edit?usp=sharing"",""นครนายก!I727"")"),0)</f>
        <v>0</v>
      </c>
      <c r="Y59" s="540">
        <f ca="1">IFERROR(__xludf.DUMMYFUNCTION("IMPORTRANGE(""https://docs.google.com/spreadsheets/d/18hSgUJ3VwClqi_qtULmmW3cLr0oe3OKaSYoKzdpTsYQ/edit?usp=sharing"",""นครนายก!J726"")"),0)</f>
        <v>0</v>
      </c>
      <c r="Z59" s="375">
        <f t="shared" ca="1" si="51"/>
        <v>0</v>
      </c>
      <c r="AA59" s="540">
        <f ca="1">IFERROR(__xludf.DUMMYFUNCTION("IMPORTRANGE(""https://docs.google.com/spreadsheets/d/18hSgUJ3VwClqi_qtULmmW3cLr0oe3OKaSYoKzdpTsYQ/edit?usp=sharing"",""นครนายก!J727"")"),0)</f>
        <v>0</v>
      </c>
      <c r="AB59" s="375">
        <f t="shared" ca="1" si="52"/>
        <v>0</v>
      </c>
      <c r="AC59" s="540">
        <f ca="1">IFERROR(__xludf.DUMMYFUNCTION("IMPORTRANGE(""https://docs.google.com/spreadsheets/d/18hSgUJ3VwClqi_qtULmmW3cLr0oe3OKaSYoKzdpTsYQ/edit?usp=sharing"",""นครนายก!I740"")"),0)</f>
        <v>0</v>
      </c>
      <c r="AD59" s="540">
        <f ca="1">IFERROR(__xludf.DUMMYFUNCTION("IMPORTRANGE(""https://docs.google.com/spreadsheets/d/18hSgUJ3VwClqi_qtULmmW3cLr0oe3OKaSYoKzdpTsYQ/edit?usp=sharing"",""นครนายก!J740"")"),0)</f>
        <v>0</v>
      </c>
      <c r="AE59" s="375">
        <f t="shared" ca="1" si="54"/>
        <v>0</v>
      </c>
      <c r="AF59" s="540">
        <f ca="1">IFERROR(__xludf.DUMMYFUNCTION("IMPORTRANGE(""https://docs.google.com/spreadsheets/d/18hSgUJ3VwClqi_qtULmmW3cLr0oe3OKaSYoKzdpTsYQ/edit?usp=sharing"",""นครนายก!J741"")"),0)</f>
        <v>0</v>
      </c>
      <c r="AG59" s="540">
        <f ca="1">IFERROR(__xludf.DUMMYFUNCTION("IMPORTRANGE(""https://docs.google.com/spreadsheets/d/18hSgUJ3VwClqi_qtULmmW3cLr0oe3OKaSYoKzdpTsYQ/edit?usp=sharing"",""นครนายก!I742"")"),0)</f>
        <v>0</v>
      </c>
      <c r="AH59" s="540">
        <f ca="1">IFERROR(__xludf.DUMMYFUNCTION("IMPORTRANGE(""https://docs.google.com/spreadsheets/d/18hSgUJ3VwClqi_qtULmmW3cLr0oe3OKaSYoKzdpTsYQ/edit?usp=sharing"",""นครนายก!J742"")"),0)</f>
        <v>0</v>
      </c>
      <c r="AI59" s="375">
        <f t="shared" ca="1" si="56"/>
        <v>0</v>
      </c>
      <c r="AJ59" s="540">
        <f ca="1">IFERROR(__xludf.DUMMYFUNCTION("IMPORTRANGE(""https://docs.google.com/spreadsheets/d/18hSgUJ3VwClqi_qtULmmW3cLr0oe3OKaSYoKzdpTsYQ/edit?usp=sharing"",""นครนายก!I744"")"),0)</f>
        <v>0</v>
      </c>
      <c r="AK59" s="540">
        <f ca="1">IFERROR(__xludf.DUMMYFUNCTION("IMPORTRANGE(""https://docs.google.com/spreadsheets/d/18hSgUJ3VwClqi_qtULmmW3cLr0oe3OKaSYoKzdpTsYQ/edit?usp=sharing"",""นครนายก!J744"")"),0)</f>
        <v>0</v>
      </c>
      <c r="AL59" s="375">
        <f t="shared" ca="1" si="58"/>
        <v>0</v>
      </c>
      <c r="AM59" s="540">
        <f ca="1">IFERROR(__xludf.DUMMYFUNCTION("IMPORTRANGE(""https://docs.google.com/spreadsheets/d/18hSgUJ3VwClqi_qtULmmW3cLr0oe3OKaSYoKzdpTsYQ/edit?usp=sharing"",""นครนายก!J745"")"),0)</f>
        <v>0</v>
      </c>
      <c r="AN59" s="540">
        <f ca="1">IFERROR(__xludf.DUMMYFUNCTION("IMPORTRANGE(""https://docs.google.com/spreadsheets/d/18hSgUJ3VwClqi_qtULmmW3cLr0oe3OKaSYoKzdpTsYQ/edit?usp=sharing"",""นครนายก!I746"")"),0)</f>
        <v>0</v>
      </c>
      <c r="AO59" s="540">
        <f ca="1">IFERROR(__xludf.DUMMYFUNCTION("IMPORTRANGE(""https://docs.google.com/spreadsheets/d/18hSgUJ3VwClqi_qtULmmW3cLr0oe3OKaSYoKzdpTsYQ/edit?usp=sharing"",""นครนายก!J746"")"),0)</f>
        <v>0</v>
      </c>
      <c r="AP59" s="375">
        <f t="shared" ca="1" si="60"/>
        <v>0</v>
      </c>
      <c r="AQ59" s="540">
        <f ca="1">IFERROR(__xludf.DUMMYFUNCTION("IMPORTRANGE(""https://docs.google.com/spreadsheets/d/18hSgUJ3VwClqi_qtULmmW3cLr0oe3OKaSYoKzdpTsYQ/edit?usp=sharing"",""นครนายก!J748"")"),0)</f>
        <v>0</v>
      </c>
      <c r="AR59" s="540">
        <f ca="1">IFERROR(__xludf.DUMMYFUNCTION("IMPORTRANGE(""https://docs.google.com/spreadsheets/d/18hSgUJ3VwClqi_qtULmmW3cLr0oe3OKaSYoKzdpTsYQ/edit?usp=sharing"",""นครนายก!I749"")"),0)</f>
        <v>0</v>
      </c>
      <c r="AS59" s="540">
        <f ca="1">IFERROR(__xludf.DUMMYFUNCTION("IMPORTRANGE(""https://docs.google.com/spreadsheets/d/18hSgUJ3VwClqi_qtULmmW3cLr0oe3OKaSYoKzdpTsYQ/edit?usp=sharing"",""นครนายก!J749"")"),0)</f>
        <v>0</v>
      </c>
      <c r="AT59" s="375">
        <f t="shared" ca="1" si="62"/>
        <v>0</v>
      </c>
      <c r="AU59" s="540">
        <f ca="1">IFERROR(__xludf.DUMMYFUNCTION("IMPORTRANGE(""https://docs.google.com/spreadsheets/d/18hSgUJ3VwClqi_qtULmmW3cLr0oe3OKaSYoKzdpTsYQ/edit?usp=sharing"",""นครนายก!I752"")"),0)</f>
        <v>0</v>
      </c>
      <c r="AV59" s="540">
        <f ca="1">IFERROR(__xludf.DUMMYFUNCTION("IMPORTRANGE(""https://docs.google.com/spreadsheets/d/18hSgUJ3VwClqi_qtULmmW3cLr0oe3OKaSYoKzdpTsYQ/edit?usp=sharing"",""นครนายก!J752"")"),0)</f>
        <v>0</v>
      </c>
      <c r="AW59" s="375">
        <f t="shared" ca="1" si="64"/>
        <v>0</v>
      </c>
      <c r="AX59" s="540">
        <f ca="1">IFERROR(__xludf.DUMMYFUNCTION("IMPORTRANGE(""https://docs.google.com/spreadsheets/d/18hSgUJ3VwClqi_qtULmmW3cLr0oe3OKaSYoKzdpTsYQ/edit?usp=sharing"",""นครนายก!J753"")"),0)</f>
        <v>0</v>
      </c>
      <c r="AY59" s="540">
        <f ca="1">IFERROR(__xludf.DUMMYFUNCTION("IMPORTRANGE(""https://docs.google.com/spreadsheets/d/18hSgUJ3VwClqi_qtULmmW3cLr0oe3OKaSYoKzdpTsYQ/edit?usp=sharing"",""นครนายก!I755"")"),0)</f>
        <v>0</v>
      </c>
      <c r="AZ59" s="540">
        <f ca="1">IFERROR(__xludf.DUMMYFUNCTION("IMPORTRANGE(""https://docs.google.com/spreadsheets/d/18hSgUJ3VwClqi_qtULmmW3cLr0oe3OKaSYoKzdpTsYQ/edit?usp=sharing"",""นครนายก!J755"")"),0)</f>
        <v>0</v>
      </c>
      <c r="BA59" s="375">
        <f t="shared" ca="1" si="66"/>
        <v>0</v>
      </c>
      <c r="BB59" s="540">
        <f ca="1">IFERROR(__xludf.DUMMYFUNCTION("IMPORTRANGE(""https://docs.google.com/spreadsheets/d/18hSgUJ3VwClqi_qtULmmW3cLr0oe3OKaSYoKzdpTsYQ/edit?usp=sharing"",""นครนายก!J756"")"),0)</f>
        <v>0</v>
      </c>
    </row>
    <row r="60" spans="1:54" ht="23.25" customHeight="1" x14ac:dyDescent="0.3">
      <c r="A60" s="535">
        <v>8</v>
      </c>
      <c r="B60" s="536" t="s">
        <v>86</v>
      </c>
      <c r="C60" s="537">
        <f t="shared" si="39"/>
        <v>0</v>
      </c>
      <c r="D60" s="538">
        <f t="shared" si="89"/>
        <v>0</v>
      </c>
      <c r="E60" s="539">
        <v>0</v>
      </c>
      <c r="F60" s="539">
        <v>0</v>
      </c>
      <c r="G60" s="539">
        <v>0</v>
      </c>
      <c r="H60" s="539">
        <v>0</v>
      </c>
      <c r="I60" s="539">
        <v>0</v>
      </c>
      <c r="J60" s="545">
        <f t="shared" si="41"/>
        <v>0</v>
      </c>
      <c r="K60" s="546">
        <f t="shared" si="42"/>
        <v>0</v>
      </c>
      <c r="L60" s="539">
        <v>0</v>
      </c>
      <c r="M60" s="542">
        <f t="shared" si="43"/>
        <v>0</v>
      </c>
      <c r="N60" s="542">
        <f t="shared" si="44"/>
        <v>0</v>
      </c>
      <c r="O60" s="539">
        <v>0</v>
      </c>
      <c r="P60" s="543">
        <f t="shared" si="45"/>
        <v>0</v>
      </c>
      <c r="Q60" s="542">
        <f t="shared" si="46"/>
        <v>0</v>
      </c>
      <c r="R60" s="542">
        <f ca="1">IFERROR(__xludf.DUMMYFUNCTION("IMPORTRANGE(""https://docs.google.com/spreadsheets/d/1YTZo6WM2dQ6Ix6FSdnL5P7uVnVKu40sxZu975tgG10E/edit?usp=sharing"",""นครปฐม!Q728"")"),0)</f>
        <v>0</v>
      </c>
      <c r="S60" s="542">
        <f ca="1">IFERROR(__xludf.DUMMYFUNCTION("IMPORTRANGE(""https://docs.google.com/spreadsheets/d/1YTZo6WM2dQ6Ix6FSdnL5P7uVnVKu40sxZu975tgG10E/edit?usp=sharing"",""นครปฐม!R728"")"),0)</f>
        <v>0</v>
      </c>
      <c r="T60" s="542">
        <f ca="1">IFERROR(__xludf.DUMMYFUNCTION("IMPORTRANGE(""https://docs.google.com/spreadsheets/d/1YTZo6WM2dQ6Ix6FSdnL5P7uVnVKu40sxZu975tgG10E/edit?usp=sharing"",""นครปฐม!S728"")"),0)</f>
        <v>0</v>
      </c>
      <c r="U60" s="542">
        <f t="shared" ca="1" si="48"/>
        <v>0</v>
      </c>
      <c r="V60" s="542">
        <f t="shared" ca="1" si="49"/>
        <v>0</v>
      </c>
      <c r="W60" s="544">
        <f ca="1">IFERROR(__xludf.DUMMYFUNCTION("IMPORTRANGE(""https://docs.google.com/spreadsheets/d/1YTZo6WM2dQ6Ix6FSdnL5P7uVnVKu40sxZu975tgG10E/edit?usp=sharing"",""นครปฐม!I726"")"),0)</f>
        <v>0</v>
      </c>
      <c r="X60" s="540">
        <f ca="1">IFERROR(__xludf.DUMMYFUNCTION("IMPORTRANGE(""https://docs.google.com/spreadsheets/d/1YTZo6WM2dQ6Ix6FSdnL5P7uVnVKu40sxZu975tgG10E/edit?usp=sharing"",""นครปฐม!I727"")"),0)</f>
        <v>0</v>
      </c>
      <c r="Y60" s="540">
        <f ca="1">IFERROR(__xludf.DUMMYFUNCTION("IMPORTRANGE(""https://docs.google.com/spreadsheets/d/1YTZo6WM2dQ6Ix6FSdnL5P7uVnVKu40sxZu975tgG10E/edit?usp=sharing"",""นครปฐม!J726"")"),0)</f>
        <v>0</v>
      </c>
      <c r="Z60" s="375">
        <f t="shared" ca="1" si="51"/>
        <v>0</v>
      </c>
      <c r="AA60" s="540">
        <f ca="1">IFERROR(__xludf.DUMMYFUNCTION("IMPORTRANGE(""https://docs.google.com/spreadsheets/d/1YTZo6WM2dQ6Ix6FSdnL5P7uVnVKu40sxZu975tgG10E/edit?usp=sharing"",""นครปฐม!J727"")"),0)</f>
        <v>0</v>
      </c>
      <c r="AB60" s="375">
        <f t="shared" ca="1" si="52"/>
        <v>0</v>
      </c>
      <c r="AC60" s="540">
        <f ca="1">IFERROR(__xludf.DUMMYFUNCTION("IMPORTRANGE(""https://docs.google.com/spreadsheets/d/1YTZo6WM2dQ6Ix6FSdnL5P7uVnVKu40sxZu975tgG10E/edit?usp=sharing"",""นครปฐม!I740"")"),0)</f>
        <v>0</v>
      </c>
      <c r="AD60" s="540">
        <f ca="1">IFERROR(__xludf.DUMMYFUNCTION("IMPORTRANGE(""https://docs.google.com/spreadsheets/d/1YTZo6WM2dQ6Ix6FSdnL5P7uVnVKu40sxZu975tgG10E/edit?usp=sharing"",""นครปฐม!J740"")"),0)</f>
        <v>0</v>
      </c>
      <c r="AE60" s="375">
        <f t="shared" ca="1" si="54"/>
        <v>0</v>
      </c>
      <c r="AF60" s="540">
        <f ca="1">IFERROR(__xludf.DUMMYFUNCTION("IMPORTRANGE(""https://docs.google.com/spreadsheets/d/1YTZo6WM2dQ6Ix6FSdnL5P7uVnVKu40sxZu975tgG10E/edit?usp=sharing"",""นครปฐม!J741"")"),0)</f>
        <v>0</v>
      </c>
      <c r="AG60" s="540">
        <f ca="1">IFERROR(__xludf.DUMMYFUNCTION("IMPORTRANGE(""https://docs.google.com/spreadsheets/d/1YTZo6WM2dQ6Ix6FSdnL5P7uVnVKu40sxZu975tgG10E/edit?usp=sharing"",""นครปฐม!I742"")"),0)</f>
        <v>0</v>
      </c>
      <c r="AH60" s="540">
        <f ca="1">IFERROR(__xludf.DUMMYFUNCTION("IMPORTRANGE(""https://docs.google.com/spreadsheets/d/1YTZo6WM2dQ6Ix6FSdnL5P7uVnVKu40sxZu975tgG10E/edit?usp=sharing"",""นครปฐม!J742"")"),0)</f>
        <v>0</v>
      </c>
      <c r="AI60" s="375">
        <f t="shared" ca="1" si="56"/>
        <v>0</v>
      </c>
      <c r="AJ60" s="540">
        <f ca="1">IFERROR(__xludf.DUMMYFUNCTION("IMPORTRANGE(""https://docs.google.com/spreadsheets/d/1YTZo6WM2dQ6Ix6FSdnL5P7uVnVKu40sxZu975tgG10E/edit?usp=sharing"",""นครปฐม!I744"")"),0)</f>
        <v>0</v>
      </c>
      <c r="AK60" s="540">
        <f ca="1">IFERROR(__xludf.DUMMYFUNCTION("IMPORTRANGE(""https://docs.google.com/spreadsheets/d/1YTZo6WM2dQ6Ix6FSdnL5P7uVnVKu40sxZu975tgG10E/edit?usp=sharing"",""นครปฐม!J744"")"),0)</f>
        <v>0</v>
      </c>
      <c r="AL60" s="375">
        <f t="shared" ca="1" si="58"/>
        <v>0</v>
      </c>
      <c r="AM60" s="540">
        <f ca="1">IFERROR(__xludf.DUMMYFUNCTION("IMPORTRANGE(""https://docs.google.com/spreadsheets/d/1YTZo6WM2dQ6Ix6FSdnL5P7uVnVKu40sxZu975tgG10E/edit?usp=sharing"",""นครปฐม!J745"")"),0)</f>
        <v>0</v>
      </c>
      <c r="AN60" s="540">
        <f ca="1">IFERROR(__xludf.DUMMYFUNCTION("IMPORTRANGE(""https://docs.google.com/spreadsheets/d/1YTZo6WM2dQ6Ix6FSdnL5P7uVnVKu40sxZu975tgG10E/edit?usp=sharing"",""นครปฐม!I746"")"),0)</f>
        <v>0</v>
      </c>
      <c r="AO60" s="540">
        <f ca="1">IFERROR(__xludf.DUMMYFUNCTION("IMPORTRANGE(""https://docs.google.com/spreadsheets/d/1YTZo6WM2dQ6Ix6FSdnL5P7uVnVKu40sxZu975tgG10E/edit?usp=sharing"",""นครปฐม!J746"")"),0)</f>
        <v>0</v>
      </c>
      <c r="AP60" s="375">
        <f t="shared" ca="1" si="60"/>
        <v>0</v>
      </c>
      <c r="AQ60" s="540">
        <f ca="1">IFERROR(__xludf.DUMMYFUNCTION("IMPORTRANGE(""https://docs.google.com/spreadsheets/d/1YTZo6WM2dQ6Ix6FSdnL5P7uVnVKu40sxZu975tgG10E/edit?usp=sharing"",""นครปฐม!J748"")"),0)</f>
        <v>0</v>
      </c>
      <c r="AR60" s="540">
        <f ca="1">IFERROR(__xludf.DUMMYFUNCTION("IMPORTRANGE(""https://docs.google.com/spreadsheets/d/1YTZo6WM2dQ6Ix6FSdnL5P7uVnVKu40sxZu975tgG10E/edit?usp=sharing"",""นครปฐม!I749"")"),0)</f>
        <v>0</v>
      </c>
      <c r="AS60" s="540">
        <f ca="1">IFERROR(__xludf.DUMMYFUNCTION("IMPORTRANGE(""https://docs.google.com/spreadsheets/d/1YTZo6WM2dQ6Ix6FSdnL5P7uVnVKu40sxZu975tgG10E/edit?usp=sharing"",""นครปฐม!J749"")"),0)</f>
        <v>0</v>
      </c>
      <c r="AT60" s="375">
        <f t="shared" ca="1" si="62"/>
        <v>0</v>
      </c>
      <c r="AU60" s="540">
        <f ca="1">IFERROR(__xludf.DUMMYFUNCTION("IMPORTRANGE(""https://docs.google.com/spreadsheets/d/1YTZo6WM2dQ6Ix6FSdnL5P7uVnVKu40sxZu975tgG10E/edit?usp=sharing"",""นครปฐม!I752"")"),0)</f>
        <v>0</v>
      </c>
      <c r="AV60" s="540">
        <f ca="1">IFERROR(__xludf.DUMMYFUNCTION("IMPORTRANGE(""https://docs.google.com/spreadsheets/d/1YTZo6WM2dQ6Ix6FSdnL5P7uVnVKu40sxZu975tgG10E/edit?usp=sharing"",""นครปฐม!J752"")"),0)</f>
        <v>0</v>
      </c>
      <c r="AW60" s="375">
        <f t="shared" ca="1" si="64"/>
        <v>0</v>
      </c>
      <c r="AX60" s="540">
        <f ca="1">IFERROR(__xludf.DUMMYFUNCTION("IMPORTRANGE(""https://docs.google.com/spreadsheets/d/1YTZo6WM2dQ6Ix6FSdnL5P7uVnVKu40sxZu975tgG10E/edit?usp=sharing"",""นครปฐม!J753"")"),0)</f>
        <v>0</v>
      </c>
      <c r="AY60" s="540">
        <f ca="1">IFERROR(__xludf.DUMMYFUNCTION("IMPORTRANGE(""https://docs.google.com/spreadsheets/d/1YTZo6WM2dQ6Ix6FSdnL5P7uVnVKu40sxZu975tgG10E/edit?usp=sharing"",""นครปฐม!I755"")"),0)</f>
        <v>0</v>
      </c>
      <c r="AZ60" s="540">
        <f ca="1">IFERROR(__xludf.DUMMYFUNCTION("IMPORTRANGE(""https://docs.google.com/spreadsheets/d/1YTZo6WM2dQ6Ix6FSdnL5P7uVnVKu40sxZu975tgG10E/edit?usp=sharing"",""นครปฐม!J755"")"),0)</f>
        <v>0</v>
      </c>
      <c r="BA60" s="375">
        <f t="shared" ca="1" si="66"/>
        <v>0</v>
      </c>
      <c r="BB60" s="540">
        <f ca="1">IFERROR(__xludf.DUMMYFUNCTION("IMPORTRANGE(""https://docs.google.com/spreadsheets/d/1YTZo6WM2dQ6Ix6FSdnL5P7uVnVKu40sxZu975tgG10E/edit?usp=sharing"",""นครปฐม!J756"")"),0)</f>
        <v>0</v>
      </c>
    </row>
    <row r="61" spans="1:54" ht="23.25" customHeight="1" x14ac:dyDescent="0.3">
      <c r="A61" s="535">
        <v>9</v>
      </c>
      <c r="B61" s="536" t="s">
        <v>87</v>
      </c>
      <c r="C61" s="537">
        <f t="shared" si="39"/>
        <v>0</v>
      </c>
      <c r="D61" s="538">
        <f t="shared" si="89"/>
        <v>0</v>
      </c>
      <c r="E61" s="539">
        <v>0</v>
      </c>
      <c r="F61" s="539">
        <v>0</v>
      </c>
      <c r="G61" s="539">
        <v>0</v>
      </c>
      <c r="H61" s="539">
        <v>0</v>
      </c>
      <c r="I61" s="539">
        <v>0</v>
      </c>
      <c r="J61" s="545">
        <f t="shared" si="41"/>
        <v>0</v>
      </c>
      <c r="K61" s="546">
        <f t="shared" si="42"/>
        <v>0</v>
      </c>
      <c r="L61" s="539">
        <v>0</v>
      </c>
      <c r="M61" s="542">
        <f t="shared" si="43"/>
        <v>0</v>
      </c>
      <c r="N61" s="542">
        <f t="shared" si="44"/>
        <v>0</v>
      </c>
      <c r="O61" s="539">
        <v>0</v>
      </c>
      <c r="P61" s="543">
        <f t="shared" si="45"/>
        <v>0</v>
      </c>
      <c r="Q61" s="542">
        <f t="shared" si="46"/>
        <v>0</v>
      </c>
      <c r="R61" s="542">
        <f ca="1">IFERROR(__xludf.DUMMYFUNCTION("IMPORTRANGE(""https://docs.google.com/spreadsheets/d/1OYoGg4WDg5RIzwGeB10padOxJF9E_Vljuvvct_M7RDo/edit?usp=sharing"",""ปทุมธานี!Q728"")"),0)</f>
        <v>0</v>
      </c>
      <c r="S61" s="542">
        <f ca="1">IFERROR(__xludf.DUMMYFUNCTION("IMPORTRANGE(""https://docs.google.com/spreadsheets/d/1OYoGg4WDg5RIzwGeB10padOxJF9E_Vljuvvct_M7RDo/edit?usp=sharing"",""ปทุมธานี!R728"")"),0)</f>
        <v>0</v>
      </c>
      <c r="T61" s="542">
        <f ca="1">IFERROR(__xludf.DUMMYFUNCTION("IMPORTRANGE(""https://docs.google.com/spreadsheets/d/1OYoGg4WDg5RIzwGeB10padOxJF9E_Vljuvvct_M7RDo/edit?usp=sharing"",""ปทุมธานี!S728"")"),0)</f>
        <v>0</v>
      </c>
      <c r="U61" s="542">
        <f t="shared" ca="1" si="48"/>
        <v>0</v>
      </c>
      <c r="V61" s="542">
        <f t="shared" ca="1" si="49"/>
        <v>0</v>
      </c>
      <c r="W61" s="544">
        <f ca="1">IFERROR(__xludf.DUMMYFUNCTION("IMPORTRANGE(""https://docs.google.com/spreadsheets/d/1OYoGg4WDg5RIzwGeB10padOxJF9E_Vljuvvct_M7RDo/edit?usp=sharing"",""ปทุมธานี!I726"")"),0)</f>
        <v>0</v>
      </c>
      <c r="X61" s="540">
        <f ca="1">IFERROR(__xludf.DUMMYFUNCTION("IMPORTRANGE(""https://docs.google.com/spreadsheets/d/1OYoGg4WDg5RIzwGeB10padOxJF9E_Vljuvvct_M7RDo/edit?usp=sharing"",""ปทุมธานี!I727"")"),0)</f>
        <v>0</v>
      </c>
      <c r="Y61" s="540">
        <f ca="1">IFERROR(__xludf.DUMMYFUNCTION("IMPORTRANGE(""https://docs.google.com/spreadsheets/d/1OYoGg4WDg5RIzwGeB10padOxJF9E_Vljuvvct_M7RDo/edit?usp=sharing"",""ปทุมธานี!J726"")"),0)</f>
        <v>0</v>
      </c>
      <c r="Z61" s="375">
        <f t="shared" ca="1" si="51"/>
        <v>0</v>
      </c>
      <c r="AA61" s="540">
        <f ca="1">IFERROR(__xludf.DUMMYFUNCTION("IMPORTRANGE(""https://docs.google.com/spreadsheets/d/1OYoGg4WDg5RIzwGeB10padOxJF9E_Vljuvvct_M7RDo/edit?usp=sharing"",""ปทุมธานี!J727"")"),0)</f>
        <v>0</v>
      </c>
      <c r="AB61" s="375">
        <f t="shared" ca="1" si="52"/>
        <v>0</v>
      </c>
      <c r="AC61" s="540">
        <f ca="1">IFERROR(__xludf.DUMMYFUNCTION("IMPORTRANGE(""https://docs.google.com/spreadsheets/d/1OYoGg4WDg5RIzwGeB10padOxJF9E_Vljuvvct_M7RDo/edit?usp=sharing"",""ปทุมธานี!I740"")"),0)</f>
        <v>0</v>
      </c>
      <c r="AD61" s="540">
        <f ca="1">IFERROR(__xludf.DUMMYFUNCTION("IMPORTRANGE(""https://docs.google.com/spreadsheets/d/1OYoGg4WDg5RIzwGeB10padOxJF9E_Vljuvvct_M7RDo/edit?usp=sharing"",""ปทุมธานี!J740"")"),0)</f>
        <v>0</v>
      </c>
      <c r="AE61" s="375">
        <f t="shared" ca="1" si="54"/>
        <v>0</v>
      </c>
      <c r="AF61" s="540">
        <f ca="1">IFERROR(__xludf.DUMMYFUNCTION("IMPORTRANGE(""https://docs.google.com/spreadsheets/d/1OYoGg4WDg5RIzwGeB10padOxJF9E_Vljuvvct_M7RDo/edit?usp=sharing"",""ปทุมธานี!J741"")"),0)</f>
        <v>0</v>
      </c>
      <c r="AG61" s="540">
        <f ca="1">IFERROR(__xludf.DUMMYFUNCTION("IMPORTRANGE(""https://docs.google.com/spreadsheets/d/1OYoGg4WDg5RIzwGeB10padOxJF9E_Vljuvvct_M7RDo/edit?usp=sharing"",""ปทุมธานี!I742"")"),0)</f>
        <v>0</v>
      </c>
      <c r="AH61" s="540">
        <f ca="1">IFERROR(__xludf.DUMMYFUNCTION("IMPORTRANGE(""https://docs.google.com/spreadsheets/d/1OYoGg4WDg5RIzwGeB10padOxJF9E_Vljuvvct_M7RDo/edit?usp=sharing"",""ปทุมธานี!J742"")"),0)</f>
        <v>0</v>
      </c>
      <c r="AI61" s="375">
        <f t="shared" ca="1" si="56"/>
        <v>0</v>
      </c>
      <c r="AJ61" s="540">
        <f ca="1">IFERROR(__xludf.DUMMYFUNCTION("IMPORTRANGE(""https://docs.google.com/spreadsheets/d/1OYoGg4WDg5RIzwGeB10padOxJF9E_Vljuvvct_M7RDo/edit?usp=sharing"",""ปทุมธานี!I744"")"),0)</f>
        <v>0</v>
      </c>
      <c r="AK61" s="540">
        <f ca="1">IFERROR(__xludf.DUMMYFUNCTION("IMPORTRANGE(""https://docs.google.com/spreadsheets/d/1OYoGg4WDg5RIzwGeB10padOxJF9E_Vljuvvct_M7RDo/edit?usp=sharing"",""ปทุมธานี!J744"")"),0)</f>
        <v>0</v>
      </c>
      <c r="AL61" s="375">
        <f t="shared" ca="1" si="58"/>
        <v>0</v>
      </c>
      <c r="AM61" s="540">
        <f ca="1">IFERROR(__xludf.DUMMYFUNCTION("IMPORTRANGE(""https://docs.google.com/spreadsheets/d/1OYoGg4WDg5RIzwGeB10padOxJF9E_Vljuvvct_M7RDo/edit?usp=sharing"",""ปทุมธานี!J745"")"),0)</f>
        <v>0</v>
      </c>
      <c r="AN61" s="540">
        <f ca="1">IFERROR(__xludf.DUMMYFUNCTION("IMPORTRANGE(""https://docs.google.com/spreadsheets/d/1OYoGg4WDg5RIzwGeB10padOxJF9E_Vljuvvct_M7RDo/edit?usp=sharing"",""ปทุมธานี!I746"")"),0)</f>
        <v>0</v>
      </c>
      <c r="AO61" s="540">
        <f ca="1">IFERROR(__xludf.DUMMYFUNCTION("IMPORTRANGE(""https://docs.google.com/spreadsheets/d/1OYoGg4WDg5RIzwGeB10padOxJF9E_Vljuvvct_M7RDo/edit?usp=sharing"",""ปทุมธานี!J746"")"),0)</f>
        <v>0</v>
      </c>
      <c r="AP61" s="375">
        <f t="shared" ca="1" si="60"/>
        <v>0</v>
      </c>
      <c r="AQ61" s="540">
        <f ca="1">IFERROR(__xludf.DUMMYFUNCTION("IMPORTRANGE(""https://docs.google.com/spreadsheets/d/1OYoGg4WDg5RIzwGeB10padOxJF9E_Vljuvvct_M7RDo/edit?usp=sharing"",""ปทุมธานี!J748"")"),0)</f>
        <v>0</v>
      </c>
      <c r="AR61" s="540">
        <f ca="1">IFERROR(__xludf.DUMMYFUNCTION("IMPORTRANGE(""https://docs.google.com/spreadsheets/d/1OYoGg4WDg5RIzwGeB10padOxJF9E_Vljuvvct_M7RDo/edit?usp=sharing"",""ปทุมธานี!I749"")"),0)</f>
        <v>0</v>
      </c>
      <c r="AS61" s="540">
        <f ca="1">IFERROR(__xludf.DUMMYFUNCTION("IMPORTRANGE(""https://docs.google.com/spreadsheets/d/1OYoGg4WDg5RIzwGeB10padOxJF9E_Vljuvvct_M7RDo/edit?usp=sharing"",""ปทุมธานี!J749"")"),0)</f>
        <v>0</v>
      </c>
      <c r="AT61" s="375">
        <f t="shared" ca="1" si="62"/>
        <v>0</v>
      </c>
      <c r="AU61" s="540">
        <f ca="1">IFERROR(__xludf.DUMMYFUNCTION("IMPORTRANGE(""https://docs.google.com/spreadsheets/d/1OYoGg4WDg5RIzwGeB10padOxJF9E_Vljuvvct_M7RDo/edit?usp=sharing"",""ปทุมธานี!I752"")"),0)</f>
        <v>0</v>
      </c>
      <c r="AV61" s="540">
        <f ca="1">IFERROR(__xludf.DUMMYFUNCTION("IMPORTRANGE(""https://docs.google.com/spreadsheets/d/1OYoGg4WDg5RIzwGeB10padOxJF9E_Vljuvvct_M7RDo/edit?usp=sharing"",""ปทุมธานี!J752"")"),0)</f>
        <v>0</v>
      </c>
      <c r="AW61" s="375">
        <f t="shared" ca="1" si="64"/>
        <v>0</v>
      </c>
      <c r="AX61" s="540">
        <f ca="1">IFERROR(__xludf.DUMMYFUNCTION("IMPORTRANGE(""https://docs.google.com/spreadsheets/d/1OYoGg4WDg5RIzwGeB10padOxJF9E_Vljuvvct_M7RDo/edit?usp=sharing"",""ปทุมธานี!J753"")"),0)</f>
        <v>0</v>
      </c>
      <c r="AY61" s="540">
        <f ca="1">IFERROR(__xludf.DUMMYFUNCTION("IMPORTRANGE(""https://docs.google.com/spreadsheets/d/1OYoGg4WDg5RIzwGeB10padOxJF9E_Vljuvvct_M7RDo/edit?usp=sharing"",""ปทุมธานี!I755"")"),0)</f>
        <v>0</v>
      </c>
      <c r="AZ61" s="540">
        <f ca="1">IFERROR(__xludf.DUMMYFUNCTION("IMPORTRANGE(""https://docs.google.com/spreadsheets/d/1OYoGg4WDg5RIzwGeB10padOxJF9E_Vljuvvct_M7RDo/edit?usp=sharing"",""ปทุมธานี!J755"")"),0)</f>
        <v>0</v>
      </c>
      <c r="BA61" s="375">
        <f t="shared" ca="1" si="66"/>
        <v>0</v>
      </c>
      <c r="BB61" s="540">
        <f ca="1">IFERROR(__xludf.DUMMYFUNCTION("IMPORTRANGE(""https://docs.google.com/spreadsheets/d/1OYoGg4WDg5RIzwGeB10padOxJF9E_Vljuvvct_M7RDo/edit?usp=sharing"",""ปทุมธานี!J756"")"),0)</f>
        <v>0</v>
      </c>
    </row>
    <row r="62" spans="1:54" ht="23.25" customHeight="1" x14ac:dyDescent="0.3">
      <c r="A62" s="535">
        <v>10</v>
      </c>
      <c r="B62" s="536" t="s">
        <v>88</v>
      </c>
      <c r="C62" s="537">
        <f t="shared" si="39"/>
        <v>0</v>
      </c>
      <c r="D62" s="538">
        <f t="shared" si="89"/>
        <v>0</v>
      </c>
      <c r="E62" s="539">
        <v>0</v>
      </c>
      <c r="F62" s="539">
        <v>0</v>
      </c>
      <c r="G62" s="539">
        <v>0</v>
      </c>
      <c r="H62" s="539">
        <v>0</v>
      </c>
      <c r="I62" s="539">
        <v>0</v>
      </c>
      <c r="J62" s="545">
        <f t="shared" si="41"/>
        <v>0</v>
      </c>
      <c r="K62" s="546">
        <f t="shared" si="42"/>
        <v>0</v>
      </c>
      <c r="L62" s="539">
        <v>0</v>
      </c>
      <c r="M62" s="542">
        <f t="shared" si="43"/>
        <v>0</v>
      </c>
      <c r="N62" s="542">
        <f t="shared" si="44"/>
        <v>0</v>
      </c>
      <c r="O62" s="539">
        <v>0</v>
      </c>
      <c r="P62" s="543">
        <f t="shared" si="45"/>
        <v>0</v>
      </c>
      <c r="Q62" s="542">
        <f t="shared" si="46"/>
        <v>0</v>
      </c>
      <c r="R62" s="542">
        <f ca="1">IFERROR(__xludf.DUMMYFUNCTION("IMPORTRANGE(""https://docs.google.com/spreadsheets/d/1GbCIE4D4wk9FUozzqk7SxfDMxDVBwVmI5zcaVUSzKAc/edit?usp=sharing"",""ประจวบคีรีขันธ์!Q728"")"),379090)</f>
        <v>379090</v>
      </c>
      <c r="S62" s="542">
        <f ca="1">IFERROR(__xludf.DUMMYFUNCTION("IMPORTRANGE(""https://docs.google.com/spreadsheets/d/1GbCIE4D4wk9FUozzqk7SxfDMxDVBwVmI5zcaVUSzKAc/edit?usp=sharing"",""ประจวบคีรีขันธ์!R728"")"),0)</f>
        <v>0</v>
      </c>
      <c r="T62" s="542">
        <f ca="1">IFERROR(__xludf.DUMMYFUNCTION("IMPORTRANGE(""https://docs.google.com/spreadsheets/d/1GbCIE4D4wk9FUozzqk7SxfDMxDVBwVmI5zcaVUSzKAc/edit?usp=sharing"",""ประจวบคีรีขันธ์!S728"")"),0)</f>
        <v>0</v>
      </c>
      <c r="U62" s="542">
        <f t="shared" ca="1" si="48"/>
        <v>0</v>
      </c>
      <c r="V62" s="542">
        <f t="shared" ca="1" si="49"/>
        <v>0</v>
      </c>
      <c r="W62" s="544">
        <f ca="1">IFERROR(__xludf.DUMMYFUNCTION("IMPORTRANGE(""https://docs.google.com/spreadsheets/d/1GbCIE4D4wk9FUozzqk7SxfDMxDVBwVmI5zcaVUSzKAc/edit?usp=sharing"",""ประจวบคีรีขันธ์!I726"")"),51)</f>
        <v>51</v>
      </c>
      <c r="X62" s="540">
        <f ca="1">IFERROR(__xludf.DUMMYFUNCTION("IMPORTRANGE(""https://docs.google.com/spreadsheets/d/1GbCIE4D4wk9FUozzqk7SxfDMxDVBwVmI5zcaVUSzKAc/edit?usp=sharing"",""ประจวบคีรีขันธ์!I727"")"),500)</f>
        <v>500</v>
      </c>
      <c r="Y62" s="540">
        <f ca="1">IFERROR(__xludf.DUMMYFUNCTION("IMPORTRANGE(""https://docs.google.com/spreadsheets/d/1GbCIE4D4wk9FUozzqk7SxfDMxDVBwVmI5zcaVUSzKAc/edit?usp=sharing"",""ประจวบคีรีขันธ์!J726"")"),0)</f>
        <v>0</v>
      </c>
      <c r="Z62" s="375">
        <f t="shared" ca="1" si="51"/>
        <v>0</v>
      </c>
      <c r="AA62" s="540">
        <f ca="1">IFERROR(__xludf.DUMMYFUNCTION("IMPORTRANGE(""https://docs.google.com/spreadsheets/d/1GbCIE4D4wk9FUozzqk7SxfDMxDVBwVmI5zcaVUSzKAc/edit?usp=sharing"",""ประจวบคีรีขันธ์!J727"")"),0)</f>
        <v>0</v>
      </c>
      <c r="AB62" s="375">
        <f t="shared" ca="1" si="52"/>
        <v>0</v>
      </c>
      <c r="AC62" s="540">
        <f ca="1">IFERROR(__xludf.DUMMYFUNCTION("IMPORTRANGE(""https://docs.google.com/spreadsheets/d/1GbCIE4D4wk9FUozzqk7SxfDMxDVBwVmI5zcaVUSzKAc/edit?usp=sharing"",""ประจวบคีรีขันธ์!I740"")"),400)</f>
        <v>400</v>
      </c>
      <c r="AD62" s="540">
        <f ca="1">IFERROR(__xludf.DUMMYFUNCTION("IMPORTRANGE(""https://docs.google.com/spreadsheets/d/1GbCIE4D4wk9FUozzqk7SxfDMxDVBwVmI5zcaVUSzKAc/edit?usp=sharing"",""ประจวบคีรีขันธ์!J740"")"),0)</f>
        <v>0</v>
      </c>
      <c r="AE62" s="375">
        <f t="shared" ca="1" si="54"/>
        <v>0</v>
      </c>
      <c r="AF62" s="540">
        <f ca="1">IFERROR(__xludf.DUMMYFUNCTION("IMPORTRANGE(""https://docs.google.com/spreadsheets/d/1GbCIE4D4wk9FUozzqk7SxfDMxDVBwVmI5zcaVUSzKAc/edit?usp=sharing"",""ประจวบคีรีขันธ์!J741"")"),0)</f>
        <v>0</v>
      </c>
      <c r="AG62" s="540">
        <f ca="1">IFERROR(__xludf.DUMMYFUNCTION("IMPORTRANGE(""https://docs.google.com/spreadsheets/d/1GbCIE4D4wk9FUozzqk7SxfDMxDVBwVmI5zcaVUSzKAc/edit?usp=sharing"",""ประจวบคีรีขันธ์!I742"")"),40)</f>
        <v>40</v>
      </c>
      <c r="AH62" s="540">
        <f ca="1">IFERROR(__xludf.DUMMYFUNCTION("IMPORTRANGE(""https://docs.google.com/spreadsheets/d/1GbCIE4D4wk9FUozzqk7SxfDMxDVBwVmI5zcaVUSzKAc/edit?usp=sharing"",""ประจวบคีรีขันธ์!J742"")"),0)</f>
        <v>0</v>
      </c>
      <c r="AI62" s="375">
        <f t="shared" ca="1" si="56"/>
        <v>0</v>
      </c>
      <c r="AJ62" s="540">
        <f ca="1">IFERROR(__xludf.DUMMYFUNCTION("IMPORTRANGE(""https://docs.google.com/spreadsheets/d/1GbCIE4D4wk9FUozzqk7SxfDMxDVBwVmI5zcaVUSzKAc/edit?usp=sharing"",""ประจวบคีรีขันธ์!I744"")"),100)</f>
        <v>100</v>
      </c>
      <c r="AK62" s="540">
        <f ca="1">IFERROR(__xludf.DUMMYFUNCTION("IMPORTRANGE(""https://docs.google.com/spreadsheets/d/1GbCIE4D4wk9FUozzqk7SxfDMxDVBwVmI5zcaVUSzKAc/edit?usp=sharing"",""ประจวบคีรีขันธ์!J744"")"),0)</f>
        <v>0</v>
      </c>
      <c r="AL62" s="375">
        <f t="shared" ca="1" si="58"/>
        <v>0</v>
      </c>
      <c r="AM62" s="540">
        <f ca="1">IFERROR(__xludf.DUMMYFUNCTION("IMPORTRANGE(""https://docs.google.com/spreadsheets/d/1GbCIE4D4wk9FUozzqk7SxfDMxDVBwVmI5zcaVUSzKAc/edit?usp=sharing"",""ประจวบคีรีขันธ์!J745"")"),0)</f>
        <v>0</v>
      </c>
      <c r="AN62" s="540">
        <f ca="1">IFERROR(__xludf.DUMMYFUNCTION("IMPORTRANGE(""https://docs.google.com/spreadsheets/d/1GbCIE4D4wk9FUozzqk7SxfDMxDVBwVmI5zcaVUSzKAc/edit?usp=sharing"",""ประจวบคีรีขันธ์!I746"")"),10)</f>
        <v>10</v>
      </c>
      <c r="AO62" s="540">
        <f ca="1">IFERROR(__xludf.DUMMYFUNCTION("IMPORTRANGE(""https://docs.google.com/spreadsheets/d/1GbCIE4D4wk9FUozzqk7SxfDMxDVBwVmI5zcaVUSzKAc/edit?usp=sharing"",""ประจวบคีรีขันธ์!J746"")"),0)</f>
        <v>0</v>
      </c>
      <c r="AP62" s="375">
        <f t="shared" ca="1" si="60"/>
        <v>0</v>
      </c>
      <c r="AQ62" s="540">
        <f ca="1">IFERROR(__xludf.DUMMYFUNCTION("IMPORTRANGE(""https://docs.google.com/spreadsheets/d/1GbCIE4D4wk9FUozzqk7SxfDMxDVBwVmI5zcaVUSzKAc/edit?usp=sharing"",""ประจวบคีรีขันธ์!J748"")"),0)</f>
        <v>0</v>
      </c>
      <c r="AR62" s="540">
        <f ca="1">IFERROR(__xludf.DUMMYFUNCTION("IMPORTRANGE(""https://docs.google.com/spreadsheets/d/1GbCIE4D4wk9FUozzqk7SxfDMxDVBwVmI5zcaVUSzKAc/edit?usp=sharing"",""ประจวบคีรีขันธ์!I749"")"),1)</f>
        <v>1</v>
      </c>
      <c r="AS62" s="540">
        <f ca="1">IFERROR(__xludf.DUMMYFUNCTION("IMPORTRANGE(""https://docs.google.com/spreadsheets/d/1GbCIE4D4wk9FUozzqk7SxfDMxDVBwVmI5zcaVUSzKAc/edit?usp=sharing"",""ประจวบคีรีขันธ์!J749"")"),0)</f>
        <v>0</v>
      </c>
      <c r="AT62" s="375">
        <f t="shared" ca="1" si="62"/>
        <v>0</v>
      </c>
      <c r="AU62" s="540">
        <f ca="1">IFERROR(__xludf.DUMMYFUNCTION("IMPORTRANGE(""https://docs.google.com/spreadsheets/d/1GbCIE4D4wk9FUozzqk7SxfDMxDVBwVmI5zcaVUSzKAc/edit?usp=sharing"",""ประจวบคีรีขันธ์!I752"")"),40)</f>
        <v>40</v>
      </c>
      <c r="AV62" s="540">
        <f ca="1">IFERROR(__xludf.DUMMYFUNCTION("IMPORTRANGE(""https://docs.google.com/spreadsheets/d/1GbCIE4D4wk9FUozzqk7SxfDMxDVBwVmI5zcaVUSzKAc/edit?usp=sharing"",""ประจวบคีรีขันธ์!J752"")"),0)</f>
        <v>0</v>
      </c>
      <c r="AW62" s="375">
        <f t="shared" ca="1" si="64"/>
        <v>0</v>
      </c>
      <c r="AX62" s="540">
        <f ca="1">IFERROR(__xludf.DUMMYFUNCTION("IMPORTRANGE(""https://docs.google.com/spreadsheets/d/1GbCIE4D4wk9FUozzqk7SxfDMxDVBwVmI5zcaVUSzKAc/edit?usp=sharing"",""ประจวบคีรีขันธ์!J753"")"),0)</f>
        <v>0</v>
      </c>
      <c r="AY62" s="540">
        <f ca="1">IFERROR(__xludf.DUMMYFUNCTION("IMPORTRANGE(""https://docs.google.com/spreadsheets/d/1GbCIE4D4wk9FUozzqk7SxfDMxDVBwVmI5zcaVUSzKAc/edit?usp=sharing"",""ประจวบคีรีขันธ์!I755"")"),10)</f>
        <v>10</v>
      </c>
      <c r="AZ62" s="540">
        <f ca="1">IFERROR(__xludf.DUMMYFUNCTION("IMPORTRANGE(""https://docs.google.com/spreadsheets/d/1GbCIE4D4wk9FUozzqk7SxfDMxDVBwVmI5zcaVUSzKAc/edit?usp=sharing"",""ประจวบคีรีขันธ์!J755"")"),0)</f>
        <v>0</v>
      </c>
      <c r="BA62" s="375">
        <f t="shared" ca="1" si="66"/>
        <v>0</v>
      </c>
      <c r="BB62" s="540">
        <f ca="1">IFERROR(__xludf.DUMMYFUNCTION("IMPORTRANGE(""https://docs.google.com/spreadsheets/d/1GbCIE4D4wk9FUozzqk7SxfDMxDVBwVmI5zcaVUSzKAc/edit?usp=sharing"",""ประจวบคีรีขันธ์!J756"")"),0)</f>
        <v>0</v>
      </c>
    </row>
    <row r="63" spans="1:54" ht="23.25" customHeight="1" x14ac:dyDescent="0.3">
      <c r="A63" s="535">
        <v>11</v>
      </c>
      <c r="B63" s="536" t="s">
        <v>89</v>
      </c>
      <c r="C63" s="537">
        <f t="shared" si="39"/>
        <v>0</v>
      </c>
      <c r="D63" s="538">
        <f t="shared" si="89"/>
        <v>0</v>
      </c>
      <c r="E63" s="539">
        <v>0</v>
      </c>
      <c r="F63" s="539">
        <v>0</v>
      </c>
      <c r="G63" s="539">
        <v>0</v>
      </c>
      <c r="H63" s="539">
        <v>0</v>
      </c>
      <c r="I63" s="539">
        <v>0</v>
      </c>
      <c r="J63" s="545">
        <f t="shared" si="41"/>
        <v>0</v>
      </c>
      <c r="K63" s="546">
        <f t="shared" si="42"/>
        <v>0</v>
      </c>
      <c r="L63" s="539">
        <v>0</v>
      </c>
      <c r="M63" s="542">
        <f t="shared" si="43"/>
        <v>0</v>
      </c>
      <c r="N63" s="542">
        <f t="shared" si="44"/>
        <v>0</v>
      </c>
      <c r="O63" s="539">
        <v>0</v>
      </c>
      <c r="P63" s="543">
        <f t="shared" si="45"/>
        <v>0</v>
      </c>
      <c r="Q63" s="542">
        <f t="shared" si="46"/>
        <v>0</v>
      </c>
      <c r="R63" s="542">
        <f ca="1">IFERROR(__xludf.DUMMYFUNCTION("IMPORTRANGE(""https://docs.google.com/spreadsheets/d/1vVf6wykvW_lAyu7Yo9L4hUTqHqIeP_qcVuxCtosJEbg/edit?usp=sharing"",""ปราจีนบุรี!Q728"")"),175994)</f>
        <v>175994</v>
      </c>
      <c r="S63" s="542">
        <f ca="1">IFERROR(__xludf.DUMMYFUNCTION("IMPORTRANGE(""https://docs.google.com/spreadsheets/d/1vVf6wykvW_lAyu7Yo9L4hUTqHqIeP_qcVuxCtosJEbg/edit?usp=sharing"",""ปราจีนบุรี!R728"")"),0)</f>
        <v>0</v>
      </c>
      <c r="T63" s="542">
        <f ca="1">IFERROR(__xludf.DUMMYFUNCTION("IMPORTRANGE(""https://docs.google.com/spreadsheets/d/1vVf6wykvW_lAyu7Yo9L4hUTqHqIeP_qcVuxCtosJEbg/edit?usp=sharing"",""ปราจีนบุรี!S728"")"),0)</f>
        <v>0</v>
      </c>
      <c r="U63" s="542">
        <f t="shared" ca="1" si="48"/>
        <v>0</v>
      </c>
      <c r="V63" s="542">
        <f t="shared" ca="1" si="49"/>
        <v>0</v>
      </c>
      <c r="W63" s="544">
        <f ca="1">IFERROR(__xludf.DUMMYFUNCTION("IMPORTRANGE(""https://docs.google.com/spreadsheets/d/1vVf6wykvW_lAyu7Yo9L4hUTqHqIeP_qcVuxCtosJEbg/edit?usp=sharing"",""ปราจีนบุรี!I726"")"),21)</f>
        <v>21</v>
      </c>
      <c r="X63" s="540">
        <f ca="1">IFERROR(__xludf.DUMMYFUNCTION("IMPORTRANGE(""https://docs.google.com/spreadsheets/d/1vVf6wykvW_lAyu7Yo9L4hUTqHqIeP_qcVuxCtosJEbg/edit?usp=sharing"",""ปราจีนบุรี!I727"")"),200)</f>
        <v>200</v>
      </c>
      <c r="Y63" s="540">
        <f ca="1">IFERROR(__xludf.DUMMYFUNCTION("IMPORTRANGE(""https://docs.google.com/spreadsheets/d/1vVf6wykvW_lAyu7Yo9L4hUTqHqIeP_qcVuxCtosJEbg/edit?usp=sharing"",""ปราจีนบุรี!J726"")"),0)</f>
        <v>0</v>
      </c>
      <c r="Z63" s="375">
        <f t="shared" ca="1" si="51"/>
        <v>0</v>
      </c>
      <c r="AA63" s="540">
        <f ca="1">IFERROR(__xludf.DUMMYFUNCTION("IMPORTRANGE(""https://docs.google.com/spreadsheets/d/1vVf6wykvW_lAyu7Yo9L4hUTqHqIeP_qcVuxCtosJEbg/edit?usp=sharing"",""ปราจีนบุรี!J727"")"),0)</f>
        <v>0</v>
      </c>
      <c r="AB63" s="375">
        <f t="shared" ca="1" si="52"/>
        <v>0</v>
      </c>
      <c r="AC63" s="540">
        <f ca="1">IFERROR(__xludf.DUMMYFUNCTION("IMPORTRANGE(""https://docs.google.com/spreadsheets/d/1vVf6wykvW_lAyu7Yo9L4hUTqHqIeP_qcVuxCtosJEbg/edit?usp=sharing"",""ปราจีนบุรี!I740"")"),160)</f>
        <v>160</v>
      </c>
      <c r="AD63" s="540">
        <f ca="1">IFERROR(__xludf.DUMMYFUNCTION("IMPORTRANGE(""https://docs.google.com/spreadsheets/d/1vVf6wykvW_lAyu7Yo9L4hUTqHqIeP_qcVuxCtosJEbg/edit?usp=sharing"",""ปราจีนบุรี!J740"")"),0)</f>
        <v>0</v>
      </c>
      <c r="AE63" s="375">
        <f t="shared" ca="1" si="54"/>
        <v>0</v>
      </c>
      <c r="AF63" s="540">
        <f ca="1">IFERROR(__xludf.DUMMYFUNCTION("IMPORTRANGE(""https://docs.google.com/spreadsheets/d/1vVf6wykvW_lAyu7Yo9L4hUTqHqIeP_qcVuxCtosJEbg/edit?usp=sharing"",""ปราจีนบุรี!J741"")"),0)</f>
        <v>0</v>
      </c>
      <c r="AG63" s="540">
        <f ca="1">IFERROR(__xludf.DUMMYFUNCTION("IMPORTRANGE(""https://docs.google.com/spreadsheets/d/1vVf6wykvW_lAyu7Yo9L4hUTqHqIeP_qcVuxCtosJEbg/edit?usp=sharing"",""ปราจีนบุรี!I742"")"),16)</f>
        <v>16</v>
      </c>
      <c r="AH63" s="540">
        <f ca="1">IFERROR(__xludf.DUMMYFUNCTION("IMPORTRANGE(""https://docs.google.com/spreadsheets/d/1vVf6wykvW_lAyu7Yo9L4hUTqHqIeP_qcVuxCtosJEbg/edit?usp=sharing"",""ปราจีนบุรี!J742"")"),0)</f>
        <v>0</v>
      </c>
      <c r="AI63" s="375">
        <f t="shared" ca="1" si="56"/>
        <v>0</v>
      </c>
      <c r="AJ63" s="540">
        <f ca="1">IFERROR(__xludf.DUMMYFUNCTION("IMPORTRANGE(""https://docs.google.com/spreadsheets/d/1vVf6wykvW_lAyu7Yo9L4hUTqHqIeP_qcVuxCtosJEbg/edit?usp=sharing"",""ปราจีนบุรี!I744"")"),40)</f>
        <v>40</v>
      </c>
      <c r="AK63" s="540">
        <f ca="1">IFERROR(__xludf.DUMMYFUNCTION("IMPORTRANGE(""https://docs.google.com/spreadsheets/d/1vVf6wykvW_lAyu7Yo9L4hUTqHqIeP_qcVuxCtosJEbg/edit?usp=sharing"",""ปราจีนบุรี!J744"")"),0)</f>
        <v>0</v>
      </c>
      <c r="AL63" s="375">
        <f t="shared" ca="1" si="58"/>
        <v>0</v>
      </c>
      <c r="AM63" s="540">
        <f ca="1">IFERROR(__xludf.DUMMYFUNCTION("IMPORTRANGE(""https://docs.google.com/spreadsheets/d/1vVf6wykvW_lAyu7Yo9L4hUTqHqIeP_qcVuxCtosJEbg/edit?usp=sharing"",""ปราจีนบุรี!J745"")"),0)</f>
        <v>0</v>
      </c>
      <c r="AN63" s="540">
        <f ca="1">IFERROR(__xludf.DUMMYFUNCTION("IMPORTRANGE(""https://docs.google.com/spreadsheets/d/1vVf6wykvW_lAyu7Yo9L4hUTqHqIeP_qcVuxCtosJEbg/edit?usp=sharing"",""ปราจีนบุรี!I746"")"),4)</f>
        <v>4</v>
      </c>
      <c r="AO63" s="540">
        <f ca="1">IFERROR(__xludf.DUMMYFUNCTION("IMPORTRANGE(""https://docs.google.com/spreadsheets/d/1vVf6wykvW_lAyu7Yo9L4hUTqHqIeP_qcVuxCtosJEbg/edit?usp=sharing"",""ปราจีนบุรี!J746"")"),0)</f>
        <v>0</v>
      </c>
      <c r="AP63" s="375">
        <f t="shared" ca="1" si="60"/>
        <v>0</v>
      </c>
      <c r="AQ63" s="540">
        <f ca="1">IFERROR(__xludf.DUMMYFUNCTION("IMPORTRANGE(""https://docs.google.com/spreadsheets/d/1vVf6wykvW_lAyu7Yo9L4hUTqHqIeP_qcVuxCtosJEbg/edit?usp=sharing"",""ปราจีนบุรี!J748"")"),0)</f>
        <v>0</v>
      </c>
      <c r="AR63" s="540">
        <f ca="1">IFERROR(__xludf.DUMMYFUNCTION("IMPORTRANGE(""https://docs.google.com/spreadsheets/d/1vVf6wykvW_lAyu7Yo9L4hUTqHqIeP_qcVuxCtosJEbg/edit?usp=sharing"",""ปราจีนบุรี!I749"")"),1)</f>
        <v>1</v>
      </c>
      <c r="AS63" s="540">
        <f ca="1">IFERROR(__xludf.DUMMYFUNCTION("IMPORTRANGE(""https://docs.google.com/spreadsheets/d/1vVf6wykvW_lAyu7Yo9L4hUTqHqIeP_qcVuxCtosJEbg/edit?usp=sharing"",""ปราจีนบุรี!J749"")"),0)</f>
        <v>0</v>
      </c>
      <c r="AT63" s="375">
        <f t="shared" ca="1" si="62"/>
        <v>0</v>
      </c>
      <c r="AU63" s="540">
        <f ca="1">IFERROR(__xludf.DUMMYFUNCTION("IMPORTRANGE(""https://docs.google.com/spreadsheets/d/1vVf6wykvW_lAyu7Yo9L4hUTqHqIeP_qcVuxCtosJEbg/edit?usp=sharing"",""ปราจีนบุรี!I752"")"),16)</f>
        <v>16</v>
      </c>
      <c r="AV63" s="540">
        <f ca="1">IFERROR(__xludf.DUMMYFUNCTION("IMPORTRANGE(""https://docs.google.com/spreadsheets/d/1vVf6wykvW_lAyu7Yo9L4hUTqHqIeP_qcVuxCtosJEbg/edit?usp=sharing"",""ปราจีนบุรี!J752"")"),0)</f>
        <v>0</v>
      </c>
      <c r="AW63" s="375">
        <f t="shared" ca="1" si="64"/>
        <v>0</v>
      </c>
      <c r="AX63" s="540">
        <f ca="1">IFERROR(__xludf.DUMMYFUNCTION("IMPORTRANGE(""https://docs.google.com/spreadsheets/d/1vVf6wykvW_lAyu7Yo9L4hUTqHqIeP_qcVuxCtosJEbg/edit?usp=sharing"",""ปราจีนบุรี!J753"")"),0)</f>
        <v>0</v>
      </c>
      <c r="AY63" s="540">
        <f ca="1">IFERROR(__xludf.DUMMYFUNCTION("IMPORTRANGE(""https://docs.google.com/spreadsheets/d/1vVf6wykvW_lAyu7Yo9L4hUTqHqIeP_qcVuxCtosJEbg/edit?usp=sharing"",""ปราจีนบุรี!I755"")"),4)</f>
        <v>4</v>
      </c>
      <c r="AZ63" s="540">
        <f ca="1">IFERROR(__xludf.DUMMYFUNCTION("IMPORTRANGE(""https://docs.google.com/spreadsheets/d/1vVf6wykvW_lAyu7Yo9L4hUTqHqIeP_qcVuxCtosJEbg/edit?usp=sharing"",""ปราจีนบุรี!J755"")"),0)</f>
        <v>0</v>
      </c>
      <c r="BA63" s="375">
        <f t="shared" ca="1" si="66"/>
        <v>0</v>
      </c>
      <c r="BB63" s="540">
        <f ca="1">IFERROR(__xludf.DUMMYFUNCTION("IMPORTRANGE(""https://docs.google.com/spreadsheets/d/1vVf6wykvW_lAyu7Yo9L4hUTqHqIeP_qcVuxCtosJEbg/edit?usp=sharing"",""ปราจีนบุรี!J756"")"),0)</f>
        <v>0</v>
      </c>
    </row>
    <row r="64" spans="1:54" ht="23.25" customHeight="1" x14ac:dyDescent="0.3">
      <c r="A64" s="535">
        <v>12</v>
      </c>
      <c r="B64" s="536" t="s">
        <v>90</v>
      </c>
      <c r="C64" s="537">
        <f t="shared" si="39"/>
        <v>0</v>
      </c>
      <c r="D64" s="538">
        <f t="shared" si="89"/>
        <v>0</v>
      </c>
      <c r="E64" s="539">
        <v>0</v>
      </c>
      <c r="F64" s="539">
        <v>0</v>
      </c>
      <c r="G64" s="539">
        <v>0</v>
      </c>
      <c r="H64" s="539">
        <v>0</v>
      </c>
      <c r="I64" s="539">
        <v>0</v>
      </c>
      <c r="J64" s="545">
        <f t="shared" si="41"/>
        <v>0</v>
      </c>
      <c r="K64" s="546">
        <f t="shared" si="42"/>
        <v>0</v>
      </c>
      <c r="L64" s="539">
        <v>0</v>
      </c>
      <c r="M64" s="542">
        <f t="shared" si="43"/>
        <v>0</v>
      </c>
      <c r="N64" s="542">
        <f t="shared" si="44"/>
        <v>0</v>
      </c>
      <c r="O64" s="539">
        <v>0</v>
      </c>
      <c r="P64" s="543">
        <f t="shared" si="45"/>
        <v>0</v>
      </c>
      <c r="Q64" s="542">
        <f t="shared" si="46"/>
        <v>0</v>
      </c>
      <c r="R64" s="542">
        <f ca="1">IFERROR(__xludf.DUMMYFUNCTION("IMPORTRANGE(""https://docs.google.com/spreadsheets/d/1BIDqLLg5jk3v59G8NlR8rk5xfQDKne0sAvZHSj7TI6I/edit?usp=sharing"",""พระนครศรีอยุธยา!Q728"")"),0)</f>
        <v>0</v>
      </c>
      <c r="S64" s="542">
        <f ca="1">IFERROR(__xludf.DUMMYFUNCTION("IMPORTRANGE(""https://docs.google.com/spreadsheets/d/1BIDqLLg5jk3v59G8NlR8rk5xfQDKne0sAvZHSj7TI6I/edit?usp=sharing"",""พระนครศรีอยุธยา!R728"")"),0)</f>
        <v>0</v>
      </c>
      <c r="T64" s="542">
        <f ca="1">IFERROR(__xludf.DUMMYFUNCTION("IMPORTRANGE(""https://docs.google.com/spreadsheets/d/1BIDqLLg5jk3v59G8NlR8rk5xfQDKne0sAvZHSj7TI6I/edit?usp=sharing"",""พระนครศรีอยุธยา!S728"")"),0)</f>
        <v>0</v>
      </c>
      <c r="U64" s="542">
        <f t="shared" ca="1" si="48"/>
        <v>0</v>
      </c>
      <c r="V64" s="542">
        <f t="shared" ca="1" si="49"/>
        <v>0</v>
      </c>
      <c r="W64" s="544">
        <f ca="1">IFERROR(__xludf.DUMMYFUNCTION("IMPORTRANGE(""https://docs.google.com/spreadsheets/d/1BIDqLLg5jk3v59G8NlR8rk5xfQDKne0sAvZHSj7TI6I/edit?usp=sharing"",""พระนครศรีอยุธยา!I726"")"),0)</f>
        <v>0</v>
      </c>
      <c r="X64" s="540">
        <f ca="1">IFERROR(__xludf.DUMMYFUNCTION("IMPORTRANGE(""https://docs.google.com/spreadsheets/d/1BIDqLLg5jk3v59G8NlR8rk5xfQDKne0sAvZHSj7TI6I/edit?usp=sharing"",""พระนครศรีอยุธยา!I727"")"),0)</f>
        <v>0</v>
      </c>
      <c r="Y64" s="540">
        <f ca="1">IFERROR(__xludf.DUMMYFUNCTION("IMPORTRANGE(""https://docs.google.com/spreadsheets/d/1BIDqLLg5jk3v59G8NlR8rk5xfQDKne0sAvZHSj7TI6I/edit?usp=sharing"",""พระนครศรีอยุธยา!J726"")"),0)</f>
        <v>0</v>
      </c>
      <c r="Z64" s="375">
        <f t="shared" ca="1" si="51"/>
        <v>0</v>
      </c>
      <c r="AA64" s="540">
        <f ca="1">IFERROR(__xludf.DUMMYFUNCTION("IMPORTRANGE(""https://docs.google.com/spreadsheets/d/1BIDqLLg5jk3v59G8NlR8rk5xfQDKne0sAvZHSj7TI6I/edit?usp=sharing"",""พระนครศรีอยุธยา!J727"")"),0)</f>
        <v>0</v>
      </c>
      <c r="AB64" s="375">
        <f t="shared" ca="1" si="52"/>
        <v>0</v>
      </c>
      <c r="AC64" s="540">
        <f ca="1">IFERROR(__xludf.DUMMYFUNCTION("IMPORTRANGE(""https://docs.google.com/spreadsheets/d/1BIDqLLg5jk3v59G8NlR8rk5xfQDKne0sAvZHSj7TI6I/edit?usp=sharing"",""พระนครศรีอยุธยา!I740"")"),0)</f>
        <v>0</v>
      </c>
      <c r="AD64" s="540">
        <f ca="1">IFERROR(__xludf.DUMMYFUNCTION("IMPORTRANGE(""https://docs.google.com/spreadsheets/d/1BIDqLLg5jk3v59G8NlR8rk5xfQDKne0sAvZHSj7TI6I/edit?usp=sharing"",""พระนครศรีอยุธยา!J740"")"),0)</f>
        <v>0</v>
      </c>
      <c r="AE64" s="375">
        <f t="shared" ca="1" si="54"/>
        <v>0</v>
      </c>
      <c r="AF64" s="540">
        <f ca="1">IFERROR(__xludf.DUMMYFUNCTION("IMPORTRANGE(""https://docs.google.com/spreadsheets/d/1BIDqLLg5jk3v59G8NlR8rk5xfQDKne0sAvZHSj7TI6I/edit?usp=sharing"",""พระนครศรีอยุธยา!J741"")"),0)</f>
        <v>0</v>
      </c>
      <c r="AG64" s="540">
        <f ca="1">IFERROR(__xludf.DUMMYFUNCTION("IMPORTRANGE(""https://docs.google.com/spreadsheets/d/1BIDqLLg5jk3v59G8NlR8rk5xfQDKne0sAvZHSj7TI6I/edit?usp=sharing"",""พระนครศรีอยุธยา!I742"")"),0)</f>
        <v>0</v>
      </c>
      <c r="AH64" s="540">
        <f ca="1">IFERROR(__xludf.DUMMYFUNCTION("IMPORTRANGE(""https://docs.google.com/spreadsheets/d/1BIDqLLg5jk3v59G8NlR8rk5xfQDKne0sAvZHSj7TI6I/edit?usp=sharing"",""พระนครศรีอยุธยา!J742"")"),0)</f>
        <v>0</v>
      </c>
      <c r="AI64" s="375">
        <f t="shared" ca="1" si="56"/>
        <v>0</v>
      </c>
      <c r="AJ64" s="540">
        <f ca="1">IFERROR(__xludf.DUMMYFUNCTION("IMPORTRANGE(""https://docs.google.com/spreadsheets/d/1BIDqLLg5jk3v59G8NlR8rk5xfQDKne0sAvZHSj7TI6I/edit?usp=sharing"",""พระนครศรีอยุธยา!I744"")"),0)</f>
        <v>0</v>
      </c>
      <c r="AK64" s="540">
        <f ca="1">IFERROR(__xludf.DUMMYFUNCTION("IMPORTRANGE(""https://docs.google.com/spreadsheets/d/1BIDqLLg5jk3v59G8NlR8rk5xfQDKne0sAvZHSj7TI6I/edit?usp=sharing"",""พระนครศรีอยุธยา!J744"")"),0)</f>
        <v>0</v>
      </c>
      <c r="AL64" s="375">
        <f t="shared" ca="1" si="58"/>
        <v>0</v>
      </c>
      <c r="AM64" s="540">
        <f ca="1">IFERROR(__xludf.DUMMYFUNCTION("IMPORTRANGE(""https://docs.google.com/spreadsheets/d/1BIDqLLg5jk3v59G8NlR8rk5xfQDKne0sAvZHSj7TI6I/edit?usp=sharing"",""พระนครศรีอยุธยา!J745"")"),0)</f>
        <v>0</v>
      </c>
      <c r="AN64" s="540">
        <f ca="1">IFERROR(__xludf.DUMMYFUNCTION("IMPORTRANGE(""https://docs.google.com/spreadsheets/d/1BIDqLLg5jk3v59G8NlR8rk5xfQDKne0sAvZHSj7TI6I/edit?usp=sharing"",""พระนครศรีอยุธยา!I746"")"),0)</f>
        <v>0</v>
      </c>
      <c r="AO64" s="540">
        <f ca="1">IFERROR(__xludf.DUMMYFUNCTION("IMPORTRANGE(""https://docs.google.com/spreadsheets/d/1BIDqLLg5jk3v59G8NlR8rk5xfQDKne0sAvZHSj7TI6I/edit?usp=sharing"",""พระนครศรีอยุธยา!J746"")"),0)</f>
        <v>0</v>
      </c>
      <c r="AP64" s="375">
        <f t="shared" ca="1" si="60"/>
        <v>0</v>
      </c>
      <c r="AQ64" s="540">
        <f ca="1">IFERROR(__xludf.DUMMYFUNCTION("IMPORTRANGE(""https://docs.google.com/spreadsheets/d/1BIDqLLg5jk3v59G8NlR8rk5xfQDKne0sAvZHSj7TI6I/edit?usp=sharing"",""พระนครศรีอยุธยา!J748"")"),0)</f>
        <v>0</v>
      </c>
      <c r="AR64" s="540">
        <f ca="1">IFERROR(__xludf.DUMMYFUNCTION("IMPORTRANGE(""https://docs.google.com/spreadsheets/d/1BIDqLLg5jk3v59G8NlR8rk5xfQDKne0sAvZHSj7TI6I/edit?usp=sharing"",""พระนครศรีอยุธยา!I749"")"),0)</f>
        <v>0</v>
      </c>
      <c r="AS64" s="540">
        <f ca="1">IFERROR(__xludf.DUMMYFUNCTION("IMPORTRANGE(""https://docs.google.com/spreadsheets/d/1BIDqLLg5jk3v59G8NlR8rk5xfQDKne0sAvZHSj7TI6I/edit?usp=sharing"",""พระนครศรีอยุธยา!J749"")"),0)</f>
        <v>0</v>
      </c>
      <c r="AT64" s="375">
        <f t="shared" ca="1" si="62"/>
        <v>0</v>
      </c>
      <c r="AU64" s="540">
        <f ca="1">IFERROR(__xludf.DUMMYFUNCTION("IMPORTRANGE(""https://docs.google.com/spreadsheets/d/1BIDqLLg5jk3v59G8NlR8rk5xfQDKne0sAvZHSj7TI6I/edit?usp=sharing"",""พระนครศรีอยุธยา!I752"")"),0)</f>
        <v>0</v>
      </c>
      <c r="AV64" s="540">
        <f ca="1">IFERROR(__xludf.DUMMYFUNCTION("IMPORTRANGE(""https://docs.google.com/spreadsheets/d/1BIDqLLg5jk3v59G8NlR8rk5xfQDKne0sAvZHSj7TI6I/edit?usp=sharing"",""พระนครศรีอยุธยา!J752"")"),0)</f>
        <v>0</v>
      </c>
      <c r="AW64" s="375">
        <f t="shared" ca="1" si="64"/>
        <v>0</v>
      </c>
      <c r="AX64" s="540">
        <f ca="1">IFERROR(__xludf.DUMMYFUNCTION("IMPORTRANGE(""https://docs.google.com/spreadsheets/d/1BIDqLLg5jk3v59G8NlR8rk5xfQDKne0sAvZHSj7TI6I/edit?usp=sharing"",""พระนครศรีอยุธยา!J753"")"),0)</f>
        <v>0</v>
      </c>
      <c r="AY64" s="540">
        <f ca="1">IFERROR(__xludf.DUMMYFUNCTION("IMPORTRANGE(""https://docs.google.com/spreadsheets/d/1BIDqLLg5jk3v59G8NlR8rk5xfQDKne0sAvZHSj7TI6I/edit?usp=sharing"",""พระนครศรีอยุธยา!I755"")"),0)</f>
        <v>0</v>
      </c>
      <c r="AZ64" s="540">
        <f ca="1">IFERROR(__xludf.DUMMYFUNCTION("IMPORTRANGE(""https://docs.google.com/spreadsheets/d/1BIDqLLg5jk3v59G8NlR8rk5xfQDKne0sAvZHSj7TI6I/edit?usp=sharing"",""พระนครศรีอยุธยา!J755"")"),0)</f>
        <v>0</v>
      </c>
      <c r="BA64" s="375">
        <f t="shared" ca="1" si="66"/>
        <v>0</v>
      </c>
      <c r="BB64" s="540">
        <f ca="1">IFERROR(__xludf.DUMMYFUNCTION("IMPORTRANGE(""https://docs.google.com/spreadsheets/d/1BIDqLLg5jk3v59G8NlR8rk5xfQDKne0sAvZHSj7TI6I/edit?usp=sharing"",""พระนครศรีอยุธยา!J756"")"),0)</f>
        <v>0</v>
      </c>
    </row>
    <row r="65" spans="1:54" ht="23.25" customHeight="1" x14ac:dyDescent="0.3">
      <c r="A65" s="535">
        <v>13</v>
      </c>
      <c r="B65" s="536" t="s">
        <v>91</v>
      </c>
      <c r="C65" s="537">
        <f t="shared" si="39"/>
        <v>0</v>
      </c>
      <c r="D65" s="538">
        <f t="shared" si="89"/>
        <v>0</v>
      </c>
      <c r="E65" s="539">
        <v>0</v>
      </c>
      <c r="F65" s="539">
        <v>0</v>
      </c>
      <c r="G65" s="539">
        <v>0</v>
      </c>
      <c r="H65" s="539">
        <v>0</v>
      </c>
      <c r="I65" s="539">
        <v>0</v>
      </c>
      <c r="J65" s="545">
        <f t="shared" si="41"/>
        <v>0</v>
      </c>
      <c r="K65" s="546">
        <f t="shared" si="42"/>
        <v>0</v>
      </c>
      <c r="L65" s="539">
        <v>0</v>
      </c>
      <c r="M65" s="542">
        <f t="shared" si="43"/>
        <v>0</v>
      </c>
      <c r="N65" s="542">
        <f t="shared" si="44"/>
        <v>0</v>
      </c>
      <c r="O65" s="539">
        <v>0</v>
      </c>
      <c r="P65" s="543">
        <f t="shared" si="45"/>
        <v>0</v>
      </c>
      <c r="Q65" s="542">
        <f t="shared" si="46"/>
        <v>0</v>
      </c>
      <c r="R65" s="542">
        <f ca="1">IFERROR(__xludf.DUMMYFUNCTION("IMPORTRANGE(""https://docs.google.com/spreadsheets/d/1YXvxf8Yu6_rV4hTBrwMqAcAnv6DfhUxh5emyM3CJp_w/edit?usp=sharing"",""เพชรบุรี!Q728"")"),111642)</f>
        <v>111642</v>
      </c>
      <c r="S65" s="542">
        <f ca="1">IFERROR(__xludf.DUMMYFUNCTION("IMPORTRANGE(""https://docs.google.com/spreadsheets/d/1YXvxf8Yu6_rV4hTBrwMqAcAnv6DfhUxh5emyM3CJp_w/edit?usp=sharing"",""เพชรบุรี!R728"")"),0)</f>
        <v>0</v>
      </c>
      <c r="T65" s="542">
        <f ca="1">IFERROR(__xludf.DUMMYFUNCTION("IMPORTRANGE(""https://docs.google.com/spreadsheets/d/1YXvxf8Yu6_rV4hTBrwMqAcAnv6DfhUxh5emyM3CJp_w/edit?usp=sharing"",""เพชรบุรี!S728"")"),0)</f>
        <v>0</v>
      </c>
      <c r="U65" s="542">
        <f t="shared" ca="1" si="48"/>
        <v>0</v>
      </c>
      <c r="V65" s="542">
        <f t="shared" ca="1" si="49"/>
        <v>0</v>
      </c>
      <c r="W65" s="544">
        <f ca="1">IFERROR(__xludf.DUMMYFUNCTION("IMPORTRANGE(""https://docs.google.com/spreadsheets/d/1YXvxf8Yu6_rV4hTBrwMqAcAnv6DfhUxh5emyM3CJp_w/edit?usp=sharing"",""เพชรบุรี!I726"")"),11)</f>
        <v>11</v>
      </c>
      <c r="X65" s="540">
        <f ca="1">IFERROR(__xludf.DUMMYFUNCTION("IMPORTRANGE(""https://docs.google.com/spreadsheets/d/1YXvxf8Yu6_rV4hTBrwMqAcAnv6DfhUxh5emyM3CJp_w/edit?usp=sharing"",""เพชรบุรี!I727"")"),100)</f>
        <v>100</v>
      </c>
      <c r="Y65" s="540">
        <f ca="1">IFERROR(__xludf.DUMMYFUNCTION("IMPORTRANGE(""https://docs.google.com/spreadsheets/d/1YXvxf8Yu6_rV4hTBrwMqAcAnv6DfhUxh5emyM3CJp_w/edit?usp=sharing"",""เพชรบุรี!J726"")"),0)</f>
        <v>0</v>
      </c>
      <c r="Z65" s="375">
        <f t="shared" ca="1" si="51"/>
        <v>0</v>
      </c>
      <c r="AA65" s="540">
        <f ca="1">IFERROR(__xludf.DUMMYFUNCTION("IMPORTRANGE(""https://docs.google.com/spreadsheets/d/1YXvxf8Yu6_rV4hTBrwMqAcAnv6DfhUxh5emyM3CJp_w/edit?usp=sharing"",""เพชรบุรี!J727"")"),0)</f>
        <v>0</v>
      </c>
      <c r="AB65" s="375">
        <f t="shared" ca="1" si="52"/>
        <v>0</v>
      </c>
      <c r="AC65" s="540">
        <f ca="1">IFERROR(__xludf.DUMMYFUNCTION("IMPORTRANGE(""https://docs.google.com/spreadsheets/d/1YXvxf8Yu6_rV4hTBrwMqAcAnv6DfhUxh5emyM3CJp_w/edit?usp=sharing"",""เพชรบุรี!I740"")"),80)</f>
        <v>80</v>
      </c>
      <c r="AD65" s="540">
        <f ca="1">IFERROR(__xludf.DUMMYFUNCTION("IMPORTRANGE(""https://docs.google.com/spreadsheets/d/1YXvxf8Yu6_rV4hTBrwMqAcAnv6DfhUxh5emyM3CJp_w/edit?usp=sharing"",""เพชรบุรี!J740"")"),0)</f>
        <v>0</v>
      </c>
      <c r="AE65" s="375">
        <f t="shared" ca="1" si="54"/>
        <v>0</v>
      </c>
      <c r="AF65" s="540">
        <f ca="1">IFERROR(__xludf.DUMMYFUNCTION("IMPORTRANGE(""https://docs.google.com/spreadsheets/d/1YXvxf8Yu6_rV4hTBrwMqAcAnv6DfhUxh5emyM3CJp_w/edit?usp=sharing"",""เพชรบุรี!J741"")"),0)</f>
        <v>0</v>
      </c>
      <c r="AG65" s="540">
        <f ca="1">IFERROR(__xludf.DUMMYFUNCTION("IMPORTRANGE(""https://docs.google.com/spreadsheets/d/1YXvxf8Yu6_rV4hTBrwMqAcAnv6DfhUxh5emyM3CJp_w/edit?usp=sharing"",""เพชรบุรี!I742"")"),8)</f>
        <v>8</v>
      </c>
      <c r="AH65" s="540">
        <f ca="1">IFERROR(__xludf.DUMMYFUNCTION("IMPORTRANGE(""https://docs.google.com/spreadsheets/d/1YXvxf8Yu6_rV4hTBrwMqAcAnv6DfhUxh5emyM3CJp_w/edit?usp=sharing"",""เพชรบุรี!J742"")"),0)</f>
        <v>0</v>
      </c>
      <c r="AI65" s="375">
        <f t="shared" ca="1" si="56"/>
        <v>0</v>
      </c>
      <c r="AJ65" s="540">
        <f ca="1">IFERROR(__xludf.DUMMYFUNCTION("IMPORTRANGE(""https://docs.google.com/spreadsheets/d/1YXvxf8Yu6_rV4hTBrwMqAcAnv6DfhUxh5emyM3CJp_w/edit?usp=sharing"",""เพชรบุรี!I744"")"),20)</f>
        <v>20</v>
      </c>
      <c r="AK65" s="559">
        <f ca="1">IFERROR(__xludf.DUMMYFUNCTION("IMPORTRANGE(""https://docs.google.com/spreadsheets/d/1YXvxf8Yu6_rV4hTBrwMqAcAnv6DfhUxh5emyM3CJp_w/edit?usp=sharing"",""เพชรบุรี!J744"")"),0)</f>
        <v>0</v>
      </c>
      <c r="AL65" s="375">
        <f t="shared" ca="1" si="58"/>
        <v>0</v>
      </c>
      <c r="AM65" s="540">
        <f ca="1">IFERROR(__xludf.DUMMYFUNCTION("IMPORTRANGE(""https://docs.google.com/spreadsheets/d/1YXvxf8Yu6_rV4hTBrwMqAcAnv6DfhUxh5emyM3CJp_w/edit?usp=sharing"",""เพชรบุรี!J745"")"),0)</f>
        <v>0</v>
      </c>
      <c r="AN65" s="540">
        <f ca="1">IFERROR(__xludf.DUMMYFUNCTION("IMPORTRANGE(""https://docs.google.com/spreadsheets/d/1YXvxf8Yu6_rV4hTBrwMqAcAnv6DfhUxh5emyM3CJp_w/edit?usp=sharing"",""เพชรบุรี!I746"")"),2)</f>
        <v>2</v>
      </c>
      <c r="AO65" s="540">
        <f ca="1">IFERROR(__xludf.DUMMYFUNCTION("IMPORTRANGE(""https://docs.google.com/spreadsheets/d/1YXvxf8Yu6_rV4hTBrwMqAcAnv6DfhUxh5emyM3CJp_w/edit?usp=sharing"",""เพชรบุรี!J746"")"),0)</f>
        <v>0</v>
      </c>
      <c r="AP65" s="375">
        <f t="shared" ca="1" si="60"/>
        <v>0</v>
      </c>
      <c r="AQ65" s="540">
        <f ca="1">IFERROR(__xludf.DUMMYFUNCTION("IMPORTRANGE(""https://docs.google.com/spreadsheets/d/1YXvxf8Yu6_rV4hTBrwMqAcAnv6DfhUxh5emyM3CJp_w/edit?usp=sharing"",""เพชรบุรี!J748"")"),0)</f>
        <v>0</v>
      </c>
      <c r="AR65" s="540">
        <f ca="1">IFERROR(__xludf.DUMMYFUNCTION("IMPORTRANGE(""https://docs.google.com/spreadsheets/d/1YXvxf8Yu6_rV4hTBrwMqAcAnv6DfhUxh5emyM3CJp_w/edit?usp=sharing"",""เพชรบุรี!I749"")"),1)</f>
        <v>1</v>
      </c>
      <c r="AS65" s="540">
        <f ca="1">IFERROR(__xludf.DUMMYFUNCTION("IMPORTRANGE(""https://docs.google.com/spreadsheets/d/1YXvxf8Yu6_rV4hTBrwMqAcAnv6DfhUxh5emyM3CJp_w/edit?usp=sharing"",""เพชรบุรี!J749"")"),0)</f>
        <v>0</v>
      </c>
      <c r="AT65" s="375">
        <f t="shared" ca="1" si="62"/>
        <v>0</v>
      </c>
      <c r="AU65" s="540">
        <f ca="1">IFERROR(__xludf.DUMMYFUNCTION("IMPORTRANGE(""https://docs.google.com/spreadsheets/d/1YXvxf8Yu6_rV4hTBrwMqAcAnv6DfhUxh5emyM3CJp_w/edit?usp=sharing"",""เพชรบุรี!I752"")"),8)</f>
        <v>8</v>
      </c>
      <c r="AV65" s="540">
        <f ca="1">IFERROR(__xludf.DUMMYFUNCTION("IMPORTRANGE(""https://docs.google.com/spreadsheets/d/1YXvxf8Yu6_rV4hTBrwMqAcAnv6DfhUxh5emyM3CJp_w/edit?usp=sharing"",""เพชรบุรี!J752"")"),0)</f>
        <v>0</v>
      </c>
      <c r="AW65" s="375">
        <f t="shared" ca="1" si="64"/>
        <v>0</v>
      </c>
      <c r="AX65" s="540">
        <f ca="1">IFERROR(__xludf.DUMMYFUNCTION("IMPORTRANGE(""https://docs.google.com/spreadsheets/d/1YXvxf8Yu6_rV4hTBrwMqAcAnv6DfhUxh5emyM3CJp_w/edit?usp=sharing"",""เพชรบุรี!J753"")"),0)</f>
        <v>0</v>
      </c>
      <c r="AY65" s="540">
        <f ca="1">IFERROR(__xludf.DUMMYFUNCTION("IMPORTRANGE(""https://docs.google.com/spreadsheets/d/1YXvxf8Yu6_rV4hTBrwMqAcAnv6DfhUxh5emyM3CJp_w/edit?usp=sharing"",""เพชรบุรี!I755"")"),2)</f>
        <v>2</v>
      </c>
      <c r="AZ65" s="540">
        <f ca="1">IFERROR(__xludf.DUMMYFUNCTION("IMPORTRANGE(""https://docs.google.com/spreadsheets/d/1YXvxf8Yu6_rV4hTBrwMqAcAnv6DfhUxh5emyM3CJp_w/edit?usp=sharing"",""เพชรบุรี!J755"")"),0)</f>
        <v>0</v>
      </c>
      <c r="BA65" s="375">
        <f t="shared" ca="1" si="66"/>
        <v>0</v>
      </c>
      <c r="BB65" s="540">
        <f ca="1">IFERROR(__xludf.DUMMYFUNCTION("IMPORTRANGE(""https://docs.google.com/spreadsheets/d/1YXvxf8Yu6_rV4hTBrwMqAcAnv6DfhUxh5emyM3CJp_w/edit?usp=sharing"",""เพชรบุรี!J756"")"),0)</f>
        <v>0</v>
      </c>
    </row>
    <row r="66" spans="1:54" ht="23.25" customHeight="1" x14ac:dyDescent="0.3">
      <c r="A66" s="535">
        <v>14</v>
      </c>
      <c r="B66" s="536" t="s">
        <v>92</v>
      </c>
      <c r="C66" s="537">
        <f t="shared" si="39"/>
        <v>0</v>
      </c>
      <c r="D66" s="538">
        <f t="shared" si="89"/>
        <v>0</v>
      </c>
      <c r="E66" s="539">
        <v>0</v>
      </c>
      <c r="F66" s="539">
        <v>0</v>
      </c>
      <c r="G66" s="539">
        <v>0</v>
      </c>
      <c r="H66" s="539">
        <v>0</v>
      </c>
      <c r="I66" s="539">
        <v>0</v>
      </c>
      <c r="J66" s="545">
        <f t="shared" si="41"/>
        <v>0</v>
      </c>
      <c r="K66" s="546">
        <f t="shared" si="42"/>
        <v>0</v>
      </c>
      <c r="L66" s="539">
        <v>0</v>
      </c>
      <c r="M66" s="542">
        <f t="shared" si="43"/>
        <v>0</v>
      </c>
      <c r="N66" s="542">
        <f t="shared" si="44"/>
        <v>0</v>
      </c>
      <c r="O66" s="539">
        <v>0</v>
      </c>
      <c r="P66" s="543">
        <f t="shared" si="45"/>
        <v>0</v>
      </c>
      <c r="Q66" s="542">
        <f t="shared" si="46"/>
        <v>0</v>
      </c>
      <c r="R66" s="542">
        <f ca="1">IFERROR(__xludf.DUMMYFUNCTION("IMPORTRANGE(""https://docs.google.com/spreadsheets/d/19KBlQQs7uwvsao6t2n-KvW3Ax8J8uRRfZPq1zPbXgKc/edit?usp=sharing"",""ระยอง!Q728"")"),79606)</f>
        <v>79606</v>
      </c>
      <c r="S66" s="542">
        <f ca="1">IFERROR(__xludf.DUMMYFUNCTION("IMPORTRANGE(""https://docs.google.com/spreadsheets/d/19KBlQQs7uwvsao6t2n-KvW3Ax8J8uRRfZPq1zPbXgKc/edit?usp=sharing"",""ระยอง!R728"")"),0)</f>
        <v>0</v>
      </c>
      <c r="T66" s="542">
        <f ca="1">IFERROR(__xludf.DUMMYFUNCTION("IMPORTRANGE(""https://docs.google.com/spreadsheets/d/19KBlQQs7uwvsao6t2n-KvW3Ax8J8uRRfZPq1zPbXgKc/edit?usp=sharing"",""ระยอง!S728"")"),0)</f>
        <v>0</v>
      </c>
      <c r="U66" s="542">
        <f t="shared" ca="1" si="48"/>
        <v>0</v>
      </c>
      <c r="V66" s="542">
        <f t="shared" ca="1" si="49"/>
        <v>0</v>
      </c>
      <c r="W66" s="544">
        <f ca="1">IFERROR(__xludf.DUMMYFUNCTION("IMPORTRANGE(""https://docs.google.com/spreadsheets/d/19KBlQQs7uwvsao6t2n-KvW3Ax8J8uRRfZPq1zPbXgKc/edit?usp=sharing"",""ระยอง!I726"")"),6)</f>
        <v>6</v>
      </c>
      <c r="X66" s="540">
        <f ca="1">IFERROR(__xludf.DUMMYFUNCTION("IMPORTRANGE(""https://docs.google.com/spreadsheets/d/19KBlQQs7uwvsao6t2n-KvW3Ax8J8uRRfZPq1zPbXgKc/edit?usp=sharing"",""ระยอง!I727"")"),50)</f>
        <v>50</v>
      </c>
      <c r="Y66" s="540">
        <f ca="1">IFERROR(__xludf.DUMMYFUNCTION("IMPORTRANGE(""https://docs.google.com/spreadsheets/d/19KBlQQs7uwvsao6t2n-KvW3Ax8J8uRRfZPq1zPbXgKc/edit?usp=sharing"",""ระยอง!J726"")"),0)</f>
        <v>0</v>
      </c>
      <c r="Z66" s="375">
        <f t="shared" ca="1" si="51"/>
        <v>0</v>
      </c>
      <c r="AA66" s="540">
        <f ca="1">IFERROR(__xludf.DUMMYFUNCTION("IMPORTRANGE(""https://docs.google.com/spreadsheets/d/19KBlQQs7uwvsao6t2n-KvW3Ax8J8uRRfZPq1zPbXgKc/edit?usp=sharing"",""ระยอง!J727"")"),0)</f>
        <v>0</v>
      </c>
      <c r="AB66" s="375">
        <f t="shared" ca="1" si="52"/>
        <v>0</v>
      </c>
      <c r="AC66" s="540">
        <f ca="1">IFERROR(__xludf.DUMMYFUNCTION("IMPORTRANGE(""https://docs.google.com/spreadsheets/d/19KBlQQs7uwvsao6t2n-KvW3Ax8J8uRRfZPq1zPbXgKc/edit?usp=sharing"",""ระยอง!I740"")"),40)</f>
        <v>40</v>
      </c>
      <c r="AD66" s="540">
        <f ca="1">IFERROR(__xludf.DUMMYFUNCTION("IMPORTRANGE(""https://docs.google.com/spreadsheets/d/19KBlQQs7uwvsao6t2n-KvW3Ax8J8uRRfZPq1zPbXgKc/edit?usp=sharing"",""ระยอง!J740"")"),0)</f>
        <v>0</v>
      </c>
      <c r="AE66" s="375">
        <f t="shared" ca="1" si="54"/>
        <v>0</v>
      </c>
      <c r="AF66" s="540">
        <f ca="1">IFERROR(__xludf.DUMMYFUNCTION("IMPORTRANGE(""https://docs.google.com/spreadsheets/d/19KBlQQs7uwvsao6t2n-KvW3Ax8J8uRRfZPq1zPbXgKc/edit?usp=sharing"",""ระยอง!J741"")"),0)</f>
        <v>0</v>
      </c>
      <c r="AG66" s="540">
        <f ca="1">IFERROR(__xludf.DUMMYFUNCTION("IMPORTRANGE(""https://docs.google.com/spreadsheets/d/19KBlQQs7uwvsao6t2n-KvW3Ax8J8uRRfZPq1zPbXgKc/edit?usp=sharing"",""ระยอง!I742"")"),4)</f>
        <v>4</v>
      </c>
      <c r="AH66" s="540">
        <f ca="1">IFERROR(__xludf.DUMMYFUNCTION("IMPORTRANGE(""https://docs.google.com/spreadsheets/d/19KBlQQs7uwvsao6t2n-KvW3Ax8J8uRRfZPq1zPbXgKc/edit?usp=sharing"",""ระยอง!J742"")"),0)</f>
        <v>0</v>
      </c>
      <c r="AI66" s="375">
        <f t="shared" ca="1" si="56"/>
        <v>0</v>
      </c>
      <c r="AJ66" s="540">
        <f ca="1">IFERROR(__xludf.DUMMYFUNCTION("IMPORTRANGE(""https://docs.google.com/spreadsheets/d/19KBlQQs7uwvsao6t2n-KvW3Ax8J8uRRfZPq1zPbXgKc/edit?usp=sharing"",""ระยอง!I744"")"),10)</f>
        <v>10</v>
      </c>
      <c r="AK66" s="540">
        <f ca="1">IFERROR(__xludf.DUMMYFUNCTION("IMPORTRANGE(""https://docs.google.com/spreadsheets/d/19KBlQQs7uwvsao6t2n-KvW3Ax8J8uRRfZPq1zPbXgKc/edit?usp=sharing"",""ระยอง!J744"")"),0)</f>
        <v>0</v>
      </c>
      <c r="AL66" s="375">
        <f t="shared" ca="1" si="58"/>
        <v>0</v>
      </c>
      <c r="AM66" s="540">
        <f ca="1">IFERROR(__xludf.DUMMYFUNCTION("IMPORTRANGE(""https://docs.google.com/spreadsheets/d/19KBlQQs7uwvsao6t2n-KvW3Ax8J8uRRfZPq1zPbXgKc/edit?usp=sharing"",""ระยอง!J745"")"),0)</f>
        <v>0</v>
      </c>
      <c r="AN66" s="540">
        <f ca="1">IFERROR(__xludf.DUMMYFUNCTION("IMPORTRANGE(""https://docs.google.com/spreadsheets/d/19KBlQQs7uwvsao6t2n-KvW3Ax8J8uRRfZPq1zPbXgKc/edit?usp=sharing"",""ระยอง!I746"")"),1)</f>
        <v>1</v>
      </c>
      <c r="AO66" s="540">
        <f ca="1">IFERROR(__xludf.DUMMYFUNCTION("IMPORTRANGE(""https://docs.google.com/spreadsheets/d/19KBlQQs7uwvsao6t2n-KvW3Ax8J8uRRfZPq1zPbXgKc/edit?usp=sharing"",""ระยอง!J746"")"),0)</f>
        <v>0</v>
      </c>
      <c r="AP66" s="375">
        <f t="shared" ca="1" si="60"/>
        <v>0</v>
      </c>
      <c r="AQ66" s="540">
        <f ca="1">IFERROR(__xludf.DUMMYFUNCTION("IMPORTRANGE(""https://docs.google.com/spreadsheets/d/19KBlQQs7uwvsao6t2n-KvW3Ax8J8uRRfZPq1zPbXgKc/edit?usp=sharing"",""ระยอง!J748"")"),0)</f>
        <v>0</v>
      </c>
      <c r="AR66" s="540">
        <f ca="1">IFERROR(__xludf.DUMMYFUNCTION("IMPORTRANGE(""https://docs.google.com/spreadsheets/d/19KBlQQs7uwvsao6t2n-KvW3Ax8J8uRRfZPq1zPbXgKc/edit?usp=sharing"",""ระยอง!I749"")"),1)</f>
        <v>1</v>
      </c>
      <c r="AS66" s="540">
        <f ca="1">IFERROR(__xludf.DUMMYFUNCTION("IMPORTRANGE(""https://docs.google.com/spreadsheets/d/19KBlQQs7uwvsao6t2n-KvW3Ax8J8uRRfZPq1zPbXgKc/edit?usp=sharing"",""ระยอง!J749"")"),0)</f>
        <v>0</v>
      </c>
      <c r="AT66" s="375">
        <f t="shared" ca="1" si="62"/>
        <v>0</v>
      </c>
      <c r="AU66" s="540">
        <f ca="1">IFERROR(__xludf.DUMMYFUNCTION("IMPORTRANGE(""https://docs.google.com/spreadsheets/d/19KBlQQs7uwvsao6t2n-KvW3Ax8J8uRRfZPq1zPbXgKc/edit?usp=sharing"",""ระยอง!I752"")"),4)</f>
        <v>4</v>
      </c>
      <c r="AV66" s="540">
        <f ca="1">IFERROR(__xludf.DUMMYFUNCTION("IMPORTRANGE(""https://docs.google.com/spreadsheets/d/19KBlQQs7uwvsao6t2n-KvW3Ax8J8uRRfZPq1zPbXgKc/edit?usp=sharing"",""ระยอง!J752"")"),0)</f>
        <v>0</v>
      </c>
      <c r="AW66" s="375">
        <f t="shared" ca="1" si="64"/>
        <v>0</v>
      </c>
      <c r="AX66" s="540">
        <f ca="1">IFERROR(__xludf.DUMMYFUNCTION("IMPORTRANGE(""https://docs.google.com/spreadsheets/d/19KBlQQs7uwvsao6t2n-KvW3Ax8J8uRRfZPq1zPbXgKc/edit?usp=sharing"",""ระยอง!J753"")"),0)</f>
        <v>0</v>
      </c>
      <c r="AY66" s="540">
        <f ca="1">IFERROR(__xludf.DUMMYFUNCTION("IMPORTRANGE(""https://docs.google.com/spreadsheets/d/19KBlQQs7uwvsao6t2n-KvW3Ax8J8uRRfZPq1zPbXgKc/edit?usp=sharing"",""ระยอง!I755"")"),1)</f>
        <v>1</v>
      </c>
      <c r="AZ66" s="540">
        <f ca="1">IFERROR(__xludf.DUMMYFUNCTION("IMPORTRANGE(""https://docs.google.com/spreadsheets/d/19KBlQQs7uwvsao6t2n-KvW3Ax8J8uRRfZPq1zPbXgKc/edit?usp=sharing"",""ระยอง!J755"")"),0)</f>
        <v>0</v>
      </c>
      <c r="BA66" s="375">
        <f t="shared" ca="1" si="66"/>
        <v>0</v>
      </c>
      <c r="BB66" s="540">
        <f ca="1">IFERROR(__xludf.DUMMYFUNCTION("IMPORTRANGE(""https://docs.google.com/spreadsheets/d/19KBlQQs7uwvsao6t2n-KvW3Ax8J8uRRfZPq1zPbXgKc/edit?usp=sharing"",""ระยอง!J756"")"),0)</f>
        <v>0</v>
      </c>
    </row>
    <row r="67" spans="1:54" ht="23.25" customHeight="1" x14ac:dyDescent="0.3">
      <c r="A67" s="535">
        <v>15</v>
      </c>
      <c r="B67" s="536" t="s">
        <v>93</v>
      </c>
      <c r="C67" s="537">
        <f t="shared" si="39"/>
        <v>0</v>
      </c>
      <c r="D67" s="538">
        <f t="shared" si="89"/>
        <v>0</v>
      </c>
      <c r="E67" s="539">
        <v>0</v>
      </c>
      <c r="F67" s="539">
        <v>0</v>
      </c>
      <c r="G67" s="539">
        <v>0</v>
      </c>
      <c r="H67" s="539">
        <v>0</v>
      </c>
      <c r="I67" s="539">
        <v>0</v>
      </c>
      <c r="J67" s="545">
        <f t="shared" si="41"/>
        <v>0</v>
      </c>
      <c r="K67" s="546">
        <f t="shared" si="42"/>
        <v>0</v>
      </c>
      <c r="L67" s="539">
        <v>0</v>
      </c>
      <c r="M67" s="542">
        <f t="shared" si="43"/>
        <v>0</v>
      </c>
      <c r="N67" s="542">
        <f t="shared" si="44"/>
        <v>0</v>
      </c>
      <c r="O67" s="539">
        <v>0</v>
      </c>
      <c r="P67" s="543">
        <f t="shared" si="45"/>
        <v>0</v>
      </c>
      <c r="Q67" s="542">
        <f t="shared" si="46"/>
        <v>0</v>
      </c>
      <c r="R67" s="542">
        <f ca="1">IFERROR(__xludf.DUMMYFUNCTION("IMPORTRANGE(""https://docs.google.com/spreadsheets/d/1jQ6P4QcrGM89YfqcC_PxOHGCMq5ezhucwJd8ci-NHng/edit?usp=sharing"",""ราชบุรี!Q728"")"),242546)</f>
        <v>242546</v>
      </c>
      <c r="S67" s="542">
        <f ca="1">IFERROR(__xludf.DUMMYFUNCTION("IMPORTRANGE(""https://docs.google.com/spreadsheets/d/1jQ6P4QcrGM89YfqcC_PxOHGCMq5ezhucwJd8ci-NHng/edit?usp=sharing"",""ราชบุรี!R728"")"),0)</f>
        <v>0</v>
      </c>
      <c r="T67" s="542">
        <f ca="1">IFERROR(__xludf.DUMMYFUNCTION("IMPORTRANGE(""https://docs.google.com/spreadsheets/d/1jQ6P4QcrGM89YfqcC_PxOHGCMq5ezhucwJd8ci-NHng/edit?usp=sharing"",""ราชบุรี!S728"")"),0)</f>
        <v>0</v>
      </c>
      <c r="U67" s="542">
        <f t="shared" ca="1" si="48"/>
        <v>0</v>
      </c>
      <c r="V67" s="542">
        <f t="shared" ca="1" si="49"/>
        <v>0</v>
      </c>
      <c r="W67" s="544">
        <f ca="1">IFERROR(__xludf.DUMMYFUNCTION("IMPORTRANGE(""https://docs.google.com/spreadsheets/d/1jQ6P4QcrGM89YfqcC_PxOHGCMq5ezhucwJd8ci-NHng/edit?usp=sharing"",""ราชบุรี!I726"")"),31)</f>
        <v>31</v>
      </c>
      <c r="X67" s="540">
        <f ca="1">IFERROR(__xludf.DUMMYFUNCTION("IMPORTRANGE(""https://docs.google.com/spreadsheets/d/1jQ6P4QcrGM89YfqcC_PxOHGCMq5ezhucwJd8ci-NHng/edit?usp=sharing"",""ราชบุรี!I727"")"),300)</f>
        <v>300</v>
      </c>
      <c r="Y67" s="540">
        <f ca="1">IFERROR(__xludf.DUMMYFUNCTION("IMPORTRANGE(""https://docs.google.com/spreadsheets/d/1jQ6P4QcrGM89YfqcC_PxOHGCMq5ezhucwJd8ci-NHng/edit?usp=sharing"",""ราชบุรี!J726"")"),0)</f>
        <v>0</v>
      </c>
      <c r="Z67" s="375">
        <f t="shared" ca="1" si="51"/>
        <v>0</v>
      </c>
      <c r="AA67" s="540">
        <f ca="1">IFERROR(__xludf.DUMMYFUNCTION("IMPORTRANGE(""https://docs.google.com/spreadsheets/d/1jQ6P4QcrGM89YfqcC_PxOHGCMq5ezhucwJd8ci-NHng/edit?usp=sharing"",""ราชบุรี!J727"")"),0)</f>
        <v>0</v>
      </c>
      <c r="AB67" s="375">
        <f t="shared" ca="1" si="52"/>
        <v>0</v>
      </c>
      <c r="AC67" s="540">
        <f ca="1">IFERROR(__xludf.DUMMYFUNCTION("IMPORTRANGE(""https://docs.google.com/spreadsheets/d/1jQ6P4QcrGM89YfqcC_PxOHGCMq5ezhucwJd8ci-NHng/edit?usp=sharing"",""ราชบุรี!I740"")"),240)</f>
        <v>240</v>
      </c>
      <c r="AD67" s="540">
        <f ca="1">IFERROR(__xludf.DUMMYFUNCTION("IMPORTRANGE(""https://docs.google.com/spreadsheets/d/1jQ6P4QcrGM89YfqcC_PxOHGCMq5ezhucwJd8ci-NHng/edit?usp=sharing"",""ราชบุรี!J740"")"),0)</f>
        <v>0</v>
      </c>
      <c r="AE67" s="375">
        <f t="shared" ca="1" si="54"/>
        <v>0</v>
      </c>
      <c r="AF67" s="540">
        <f ca="1">IFERROR(__xludf.DUMMYFUNCTION("IMPORTRANGE(""https://docs.google.com/spreadsheets/d/1jQ6P4QcrGM89YfqcC_PxOHGCMq5ezhucwJd8ci-NHng/edit?usp=sharing"",""ราชบุรี!J741"")"),0)</f>
        <v>0</v>
      </c>
      <c r="AG67" s="540">
        <f ca="1">IFERROR(__xludf.DUMMYFUNCTION("IMPORTRANGE(""https://docs.google.com/spreadsheets/d/1jQ6P4QcrGM89YfqcC_PxOHGCMq5ezhucwJd8ci-NHng/edit?usp=sharing"",""ราชบุรี!I742"")"),24)</f>
        <v>24</v>
      </c>
      <c r="AH67" s="540">
        <f ca="1">IFERROR(__xludf.DUMMYFUNCTION("IMPORTRANGE(""https://docs.google.com/spreadsheets/d/1jQ6P4QcrGM89YfqcC_PxOHGCMq5ezhucwJd8ci-NHng/edit?usp=sharing"",""ราชบุรี!J742"")"),0)</f>
        <v>0</v>
      </c>
      <c r="AI67" s="375">
        <f t="shared" ca="1" si="56"/>
        <v>0</v>
      </c>
      <c r="AJ67" s="540">
        <f ca="1">IFERROR(__xludf.DUMMYFUNCTION("IMPORTRANGE(""https://docs.google.com/spreadsheets/d/1jQ6P4QcrGM89YfqcC_PxOHGCMq5ezhucwJd8ci-NHng/edit?usp=sharing"",""ราชบุรี!I744"")"),60)</f>
        <v>60</v>
      </c>
      <c r="AK67" s="540">
        <f ca="1">IFERROR(__xludf.DUMMYFUNCTION("IMPORTRANGE(""https://docs.google.com/spreadsheets/d/1jQ6P4QcrGM89YfqcC_PxOHGCMq5ezhucwJd8ci-NHng/edit?usp=sharing"",""ราชบุรี!J744"")"),0)</f>
        <v>0</v>
      </c>
      <c r="AL67" s="375">
        <f t="shared" ca="1" si="58"/>
        <v>0</v>
      </c>
      <c r="AM67" s="540">
        <f ca="1">IFERROR(__xludf.DUMMYFUNCTION("IMPORTRANGE(""https://docs.google.com/spreadsheets/d/1jQ6P4QcrGM89YfqcC_PxOHGCMq5ezhucwJd8ci-NHng/edit?usp=sharing"",""ราชบุรี!J745"")"),0)</f>
        <v>0</v>
      </c>
      <c r="AN67" s="540">
        <f ca="1">IFERROR(__xludf.DUMMYFUNCTION("IMPORTRANGE(""https://docs.google.com/spreadsheets/d/1jQ6P4QcrGM89YfqcC_PxOHGCMq5ezhucwJd8ci-NHng/edit?usp=sharing"",""ราชบุรี!I746"")"),6)</f>
        <v>6</v>
      </c>
      <c r="AO67" s="540">
        <f ca="1">IFERROR(__xludf.DUMMYFUNCTION("IMPORTRANGE(""https://docs.google.com/spreadsheets/d/1jQ6P4QcrGM89YfqcC_PxOHGCMq5ezhucwJd8ci-NHng/edit?usp=sharing"",""ราชบุรี!J746"")"),0)</f>
        <v>0</v>
      </c>
      <c r="AP67" s="375">
        <f t="shared" ca="1" si="60"/>
        <v>0</v>
      </c>
      <c r="AQ67" s="540">
        <f ca="1">IFERROR(__xludf.DUMMYFUNCTION("IMPORTRANGE(""https://docs.google.com/spreadsheets/d/1jQ6P4QcrGM89YfqcC_PxOHGCMq5ezhucwJd8ci-NHng/edit?usp=sharing"",""ราชบุรี!J748"")"),0)</f>
        <v>0</v>
      </c>
      <c r="AR67" s="540">
        <f ca="1">IFERROR(__xludf.DUMMYFUNCTION("IMPORTRANGE(""https://docs.google.com/spreadsheets/d/1jQ6P4QcrGM89YfqcC_PxOHGCMq5ezhucwJd8ci-NHng/edit?usp=sharing"",""ราชบุรี!I749"")"),1)</f>
        <v>1</v>
      </c>
      <c r="AS67" s="540">
        <f ca="1">IFERROR(__xludf.DUMMYFUNCTION("IMPORTRANGE(""https://docs.google.com/spreadsheets/d/1jQ6P4QcrGM89YfqcC_PxOHGCMq5ezhucwJd8ci-NHng/edit?usp=sharing"",""ราชบุรี!J749"")"),0)</f>
        <v>0</v>
      </c>
      <c r="AT67" s="375">
        <f t="shared" ca="1" si="62"/>
        <v>0</v>
      </c>
      <c r="AU67" s="540">
        <f ca="1">IFERROR(__xludf.DUMMYFUNCTION("IMPORTRANGE(""https://docs.google.com/spreadsheets/d/1jQ6P4QcrGM89YfqcC_PxOHGCMq5ezhucwJd8ci-NHng/edit?usp=sharing"",""ราชบุรี!I752"")"),24)</f>
        <v>24</v>
      </c>
      <c r="AV67" s="540">
        <f ca="1">IFERROR(__xludf.DUMMYFUNCTION("IMPORTRANGE(""https://docs.google.com/spreadsheets/d/1jQ6P4QcrGM89YfqcC_PxOHGCMq5ezhucwJd8ci-NHng/edit?usp=sharing"",""ราชบุรี!J752"")"),0)</f>
        <v>0</v>
      </c>
      <c r="AW67" s="375">
        <f t="shared" ca="1" si="64"/>
        <v>0</v>
      </c>
      <c r="AX67" s="540">
        <f ca="1">IFERROR(__xludf.DUMMYFUNCTION("IMPORTRANGE(""https://docs.google.com/spreadsheets/d/1jQ6P4QcrGM89YfqcC_PxOHGCMq5ezhucwJd8ci-NHng/edit?usp=sharing"",""ราชบุรี!J753"")"),0)</f>
        <v>0</v>
      </c>
      <c r="AY67" s="540">
        <f ca="1">IFERROR(__xludf.DUMMYFUNCTION("IMPORTRANGE(""https://docs.google.com/spreadsheets/d/1jQ6P4QcrGM89YfqcC_PxOHGCMq5ezhucwJd8ci-NHng/edit?usp=sharing"",""ราชบุรี!I755"")"),6)</f>
        <v>6</v>
      </c>
      <c r="AZ67" s="540">
        <f ca="1">IFERROR(__xludf.DUMMYFUNCTION("IMPORTRANGE(""https://docs.google.com/spreadsheets/d/1jQ6P4QcrGM89YfqcC_PxOHGCMq5ezhucwJd8ci-NHng/edit?usp=sharing"",""ราชบุรี!J755"")"),0)</f>
        <v>0</v>
      </c>
      <c r="BA67" s="375">
        <f t="shared" ca="1" si="66"/>
        <v>0</v>
      </c>
      <c r="BB67" s="540">
        <f ca="1">IFERROR(__xludf.DUMMYFUNCTION("IMPORTRANGE(""https://docs.google.com/spreadsheets/d/1jQ6P4QcrGM89YfqcC_PxOHGCMq5ezhucwJd8ci-NHng/edit?usp=sharing"",""ราชบุรี!J756"")"),0)</f>
        <v>0</v>
      </c>
    </row>
    <row r="68" spans="1:54" ht="23.25" customHeight="1" x14ac:dyDescent="0.3">
      <c r="A68" s="535">
        <v>16</v>
      </c>
      <c r="B68" s="536" t="s">
        <v>94</v>
      </c>
      <c r="C68" s="537">
        <f t="shared" si="39"/>
        <v>0</v>
      </c>
      <c r="D68" s="538">
        <f t="shared" si="89"/>
        <v>0</v>
      </c>
      <c r="E68" s="539">
        <v>0</v>
      </c>
      <c r="F68" s="539">
        <v>0</v>
      </c>
      <c r="G68" s="539">
        <v>0</v>
      </c>
      <c r="H68" s="539">
        <v>0</v>
      </c>
      <c r="I68" s="539">
        <v>0</v>
      </c>
      <c r="J68" s="545">
        <f t="shared" si="41"/>
        <v>0</v>
      </c>
      <c r="K68" s="546">
        <f t="shared" si="42"/>
        <v>0</v>
      </c>
      <c r="L68" s="539">
        <v>0</v>
      </c>
      <c r="M68" s="542">
        <f t="shared" si="43"/>
        <v>0</v>
      </c>
      <c r="N68" s="542">
        <f t="shared" si="44"/>
        <v>0</v>
      </c>
      <c r="O68" s="539">
        <v>0</v>
      </c>
      <c r="P68" s="543">
        <f t="shared" si="45"/>
        <v>0</v>
      </c>
      <c r="Q68" s="542">
        <f t="shared" si="46"/>
        <v>0</v>
      </c>
      <c r="R68" s="542">
        <f ca="1">IFERROR(__xludf.DUMMYFUNCTION("IMPORTRANGE(""https://docs.google.com/spreadsheets/d/1lufeA2cfFqM-elVq2hznhDzC6Pr7wkJ9ZG_sYNGCMCU/edit?usp=sharing"",""ลพบุรี!Q728"")"),1008470)</f>
        <v>1008470</v>
      </c>
      <c r="S68" s="542">
        <f ca="1">IFERROR(__xludf.DUMMYFUNCTION("IMPORTRANGE(""https://docs.google.com/spreadsheets/d/1lufeA2cfFqM-elVq2hznhDzC6Pr7wkJ9ZG_sYNGCMCU/edit?usp=sharing"",""ลพบุรี!R728"")"),0)</f>
        <v>0</v>
      </c>
      <c r="T68" s="542">
        <f ca="1">IFERROR(__xludf.DUMMYFUNCTION("IMPORTRANGE(""https://docs.google.com/spreadsheets/d/1lufeA2cfFqM-elVq2hznhDzC6Pr7wkJ9ZG_sYNGCMCU/edit?usp=sharing"",""ลพบุรี!S728"")"),8340)</f>
        <v>8340</v>
      </c>
      <c r="U68" s="542">
        <f t="shared" ca="1" si="48"/>
        <v>0.82699534939066111</v>
      </c>
      <c r="V68" s="542">
        <f t="shared" ca="1" si="49"/>
        <v>0</v>
      </c>
      <c r="W68" s="544">
        <f ca="1">IFERROR(__xludf.DUMMYFUNCTION("IMPORTRANGE(""https://docs.google.com/spreadsheets/d/1lufeA2cfFqM-elVq2hznhDzC6Pr7wkJ9ZG_sYNGCMCU/edit?usp=sharing"",""ลพบุรี!I726"")"),128)</f>
        <v>128</v>
      </c>
      <c r="X68" s="540">
        <f ca="1">IFERROR(__xludf.DUMMYFUNCTION("IMPORTRANGE(""https://docs.google.com/spreadsheets/d/1lufeA2cfFqM-elVq2hznhDzC6Pr7wkJ9ZG_sYNGCMCU/edit?usp=sharing"",""ลพบุรี!I727"")"),1250)</f>
        <v>1250</v>
      </c>
      <c r="Y68" s="540">
        <f ca="1">IFERROR(__xludf.DUMMYFUNCTION("IMPORTRANGE(""https://docs.google.com/spreadsheets/d/1lufeA2cfFqM-elVq2hznhDzC6Pr7wkJ9ZG_sYNGCMCU/edit?usp=sharing"",""ลพบุรี!J726"")"),0)</f>
        <v>0</v>
      </c>
      <c r="Z68" s="375">
        <f t="shared" ca="1" si="51"/>
        <v>0</v>
      </c>
      <c r="AA68" s="540">
        <f ca="1">IFERROR(__xludf.DUMMYFUNCTION("IMPORTRANGE(""https://docs.google.com/spreadsheets/d/1lufeA2cfFqM-elVq2hznhDzC6Pr7wkJ9ZG_sYNGCMCU/edit?usp=sharing"",""ลพบุรี!J727"")"),0)</f>
        <v>0</v>
      </c>
      <c r="AB68" s="375">
        <f t="shared" ca="1" si="52"/>
        <v>0</v>
      </c>
      <c r="AC68" s="540">
        <f ca="1">IFERROR(__xludf.DUMMYFUNCTION("IMPORTRANGE(""https://docs.google.com/spreadsheets/d/1lufeA2cfFqM-elVq2hznhDzC6Pr7wkJ9ZG_sYNGCMCU/edit?usp=sharing"",""ลพบุรี!I740"")"),1000)</f>
        <v>1000</v>
      </c>
      <c r="AD68" s="540">
        <f ca="1">IFERROR(__xludf.DUMMYFUNCTION("IMPORTRANGE(""https://docs.google.com/spreadsheets/d/1lufeA2cfFqM-elVq2hznhDzC6Pr7wkJ9ZG_sYNGCMCU/edit?usp=sharing"",""ลพบุรี!J740"")"),0)</f>
        <v>0</v>
      </c>
      <c r="AE68" s="375">
        <f t="shared" ca="1" si="54"/>
        <v>0</v>
      </c>
      <c r="AF68" s="540">
        <f ca="1">IFERROR(__xludf.DUMMYFUNCTION("IMPORTRANGE(""https://docs.google.com/spreadsheets/d/1lufeA2cfFqM-elVq2hznhDzC6Pr7wkJ9ZG_sYNGCMCU/edit?usp=sharing"",""ลพบุรี!J741"")"),0)</f>
        <v>0</v>
      </c>
      <c r="AG68" s="540">
        <f ca="1">IFERROR(__xludf.DUMMYFUNCTION("IMPORTRANGE(""https://docs.google.com/spreadsheets/d/1lufeA2cfFqM-elVq2hznhDzC6Pr7wkJ9ZG_sYNGCMCU/edit?usp=sharing"",""ลพบุรี!I742"")"),100)</f>
        <v>100</v>
      </c>
      <c r="AH68" s="540">
        <f ca="1">IFERROR(__xludf.DUMMYFUNCTION("IMPORTRANGE(""https://docs.google.com/spreadsheets/d/1lufeA2cfFqM-elVq2hznhDzC6Pr7wkJ9ZG_sYNGCMCU/edit?usp=sharing"",""ลพบุรี!J742"")"),0)</f>
        <v>0</v>
      </c>
      <c r="AI68" s="375">
        <f t="shared" ca="1" si="56"/>
        <v>0</v>
      </c>
      <c r="AJ68" s="540">
        <f ca="1">IFERROR(__xludf.DUMMYFUNCTION("IMPORTRANGE(""https://docs.google.com/spreadsheets/d/1lufeA2cfFqM-elVq2hznhDzC6Pr7wkJ9ZG_sYNGCMCU/edit?usp=sharing"",""ลพบุรี!I744"")"),250)</f>
        <v>250</v>
      </c>
      <c r="AK68" s="540">
        <f ca="1">IFERROR(__xludf.DUMMYFUNCTION("IMPORTRANGE(""https://docs.google.com/spreadsheets/d/1lufeA2cfFqM-elVq2hznhDzC6Pr7wkJ9ZG_sYNGCMCU/edit?usp=sharing"",""ลพบุรี!J744"")"),0)</f>
        <v>0</v>
      </c>
      <c r="AL68" s="375">
        <f t="shared" ca="1" si="58"/>
        <v>0</v>
      </c>
      <c r="AM68" s="540">
        <f ca="1">IFERROR(__xludf.DUMMYFUNCTION("IMPORTRANGE(""https://docs.google.com/spreadsheets/d/1lufeA2cfFqM-elVq2hznhDzC6Pr7wkJ9ZG_sYNGCMCU/edit?usp=sharing"",""ลพบุรี!J745"")"),0)</f>
        <v>0</v>
      </c>
      <c r="AN68" s="540">
        <f ca="1">IFERROR(__xludf.DUMMYFUNCTION("IMPORTRANGE(""https://docs.google.com/spreadsheets/d/1lufeA2cfFqM-elVq2hznhDzC6Pr7wkJ9ZG_sYNGCMCU/edit?usp=sharing"",""ลพบุรี!I746"")"),25)</f>
        <v>25</v>
      </c>
      <c r="AO68" s="540">
        <f ca="1">IFERROR(__xludf.DUMMYFUNCTION("IMPORTRANGE(""https://docs.google.com/spreadsheets/d/1lufeA2cfFqM-elVq2hznhDzC6Pr7wkJ9ZG_sYNGCMCU/edit?usp=sharing"",""ลพบุรี!J746"")"),0)</f>
        <v>0</v>
      </c>
      <c r="AP68" s="375">
        <f t="shared" ca="1" si="60"/>
        <v>0</v>
      </c>
      <c r="AQ68" s="540">
        <f ca="1">IFERROR(__xludf.DUMMYFUNCTION("IMPORTRANGE(""https://docs.google.com/spreadsheets/d/1lufeA2cfFqM-elVq2hznhDzC6Pr7wkJ9ZG_sYNGCMCU/edit?usp=sharing"",""ลพบุรี!J748"")"),0)</f>
        <v>0</v>
      </c>
      <c r="AR68" s="540">
        <f ca="1">IFERROR(__xludf.DUMMYFUNCTION("IMPORTRANGE(""https://docs.google.com/spreadsheets/d/1lufeA2cfFqM-elVq2hznhDzC6Pr7wkJ9ZG_sYNGCMCU/edit?usp=sharing"",""ลพบุรี!I749"")"),3)</f>
        <v>3</v>
      </c>
      <c r="AS68" s="540">
        <f ca="1">IFERROR(__xludf.DUMMYFUNCTION("IMPORTRANGE(""https://docs.google.com/spreadsheets/d/1lufeA2cfFqM-elVq2hznhDzC6Pr7wkJ9ZG_sYNGCMCU/edit?usp=sharing"",""ลพบุรี!J749"")"),0)</f>
        <v>0</v>
      </c>
      <c r="AT68" s="375">
        <f t="shared" ca="1" si="62"/>
        <v>0</v>
      </c>
      <c r="AU68" s="540">
        <f ca="1">IFERROR(__xludf.DUMMYFUNCTION("IMPORTRANGE(""https://docs.google.com/spreadsheets/d/1lufeA2cfFqM-elVq2hznhDzC6Pr7wkJ9ZG_sYNGCMCU/edit?usp=sharing"",""ลพบุรี!I752"")"),100)</f>
        <v>100</v>
      </c>
      <c r="AV68" s="540">
        <f ca="1">IFERROR(__xludf.DUMMYFUNCTION("IMPORTRANGE(""https://docs.google.com/spreadsheets/d/1lufeA2cfFqM-elVq2hznhDzC6Pr7wkJ9ZG_sYNGCMCU/edit?usp=sharing"",""ลพบุรี!J752"")"),0)</f>
        <v>0</v>
      </c>
      <c r="AW68" s="375">
        <f t="shared" ca="1" si="64"/>
        <v>0</v>
      </c>
      <c r="AX68" s="540">
        <f ca="1">IFERROR(__xludf.DUMMYFUNCTION("IMPORTRANGE(""https://docs.google.com/spreadsheets/d/1lufeA2cfFqM-elVq2hznhDzC6Pr7wkJ9ZG_sYNGCMCU/edit?usp=sharing"",""ลพบุรี!J753"")"),0)</f>
        <v>0</v>
      </c>
      <c r="AY68" s="540">
        <f ca="1">IFERROR(__xludf.DUMMYFUNCTION("IMPORTRANGE(""https://docs.google.com/spreadsheets/d/1lufeA2cfFqM-elVq2hznhDzC6Pr7wkJ9ZG_sYNGCMCU/edit?usp=sharing"",""ลพบุรี!I755"")"),25)</f>
        <v>25</v>
      </c>
      <c r="AZ68" s="540">
        <f ca="1">IFERROR(__xludf.DUMMYFUNCTION("IMPORTRANGE(""https://docs.google.com/spreadsheets/d/1lufeA2cfFqM-elVq2hznhDzC6Pr7wkJ9ZG_sYNGCMCU/edit?usp=sharing"",""ลพบุรี!J755"")"),0)</f>
        <v>0</v>
      </c>
      <c r="BA68" s="375">
        <f t="shared" ca="1" si="66"/>
        <v>0</v>
      </c>
      <c r="BB68" s="540">
        <f ca="1">IFERROR(__xludf.DUMMYFUNCTION("IMPORTRANGE(""https://docs.google.com/spreadsheets/d/1lufeA2cfFqM-elVq2hznhDzC6Pr7wkJ9ZG_sYNGCMCU/edit?usp=sharing"",""ลพบุรี!J756"")"),0)</f>
        <v>0</v>
      </c>
    </row>
    <row r="69" spans="1:54" ht="23.25" customHeight="1" x14ac:dyDescent="0.3">
      <c r="A69" s="535">
        <v>17</v>
      </c>
      <c r="B69" s="536" t="s">
        <v>95</v>
      </c>
      <c r="C69" s="537">
        <f t="shared" si="39"/>
        <v>0</v>
      </c>
      <c r="D69" s="538">
        <f t="shared" si="89"/>
        <v>0</v>
      </c>
      <c r="E69" s="539">
        <v>0</v>
      </c>
      <c r="F69" s="539">
        <v>0</v>
      </c>
      <c r="G69" s="539">
        <v>0</v>
      </c>
      <c r="H69" s="539">
        <v>0</v>
      </c>
      <c r="I69" s="539">
        <v>0</v>
      </c>
      <c r="J69" s="545">
        <f t="shared" si="41"/>
        <v>0</v>
      </c>
      <c r="K69" s="546">
        <f t="shared" si="42"/>
        <v>0</v>
      </c>
      <c r="L69" s="539">
        <v>0</v>
      </c>
      <c r="M69" s="542">
        <f t="shared" si="43"/>
        <v>0</v>
      </c>
      <c r="N69" s="542">
        <f t="shared" si="44"/>
        <v>0</v>
      </c>
      <c r="O69" s="539">
        <v>0</v>
      </c>
      <c r="P69" s="543">
        <f t="shared" si="45"/>
        <v>0</v>
      </c>
      <c r="Q69" s="542">
        <f t="shared" si="46"/>
        <v>0</v>
      </c>
      <c r="R69" s="542">
        <f ca="1">IFERROR(__xludf.DUMMYFUNCTION("IMPORTRANGE(""https://docs.google.com/spreadsheets/d/10oOiF7loTyfsTkbd4MpaIm0HQ9SwB7IYHdIUvt-U1Uc/edit?usp=sharing"",""สระแก้ว!Q728"")"),391730)</f>
        <v>391730</v>
      </c>
      <c r="S69" s="542">
        <f ca="1">IFERROR(__xludf.DUMMYFUNCTION("IMPORTRANGE(""https://docs.google.com/spreadsheets/d/10oOiF7loTyfsTkbd4MpaIm0HQ9SwB7IYHdIUvt-U1Uc/edit?usp=sharing"",""สระแก้ว!R728"")"),0)</f>
        <v>0</v>
      </c>
      <c r="T69" s="542">
        <f ca="1">IFERROR(__xludf.DUMMYFUNCTION("IMPORTRANGE(""https://docs.google.com/spreadsheets/d/10oOiF7loTyfsTkbd4MpaIm0HQ9SwB7IYHdIUvt-U1Uc/edit?usp=sharing"",""สระแก้ว!S728"")"),0)</f>
        <v>0</v>
      </c>
      <c r="U69" s="542">
        <f t="shared" ca="1" si="48"/>
        <v>0</v>
      </c>
      <c r="V69" s="542">
        <f t="shared" ca="1" si="49"/>
        <v>0</v>
      </c>
      <c r="W69" s="544">
        <f ca="1">IFERROR(__xludf.DUMMYFUNCTION("IMPORTRANGE(""https://docs.google.com/spreadsheets/d/10oOiF7loTyfsTkbd4MpaIm0HQ9SwB7IYHdIUvt-U1Uc/edit?usp=sharing"",""สระแก้ว!I726"")"),52)</f>
        <v>52</v>
      </c>
      <c r="X69" s="540">
        <f ca="1">IFERROR(__xludf.DUMMYFUNCTION("IMPORTRANGE(""https://docs.google.com/spreadsheets/d/10oOiF7loTyfsTkbd4MpaIm0HQ9SwB7IYHdIUvt-U1Uc/edit?usp=sharing"",""สระแก้ว!I727"")"),500)</f>
        <v>500</v>
      </c>
      <c r="Y69" s="540">
        <f ca="1">IFERROR(__xludf.DUMMYFUNCTION("IMPORTRANGE(""https://docs.google.com/spreadsheets/d/10oOiF7loTyfsTkbd4MpaIm0HQ9SwB7IYHdIUvt-U1Uc/edit?usp=sharing"",""สระแก้ว!J726"")"),0)</f>
        <v>0</v>
      </c>
      <c r="Z69" s="375">
        <f t="shared" ca="1" si="51"/>
        <v>0</v>
      </c>
      <c r="AA69" s="540">
        <f ca="1">IFERROR(__xludf.DUMMYFUNCTION("IMPORTRANGE(""https://docs.google.com/spreadsheets/d/10oOiF7loTyfsTkbd4MpaIm0HQ9SwB7IYHdIUvt-U1Uc/edit?usp=sharing"",""สระแก้ว!J727"")"),0)</f>
        <v>0</v>
      </c>
      <c r="AB69" s="375">
        <f t="shared" ca="1" si="52"/>
        <v>0</v>
      </c>
      <c r="AC69" s="540">
        <f ca="1">IFERROR(__xludf.DUMMYFUNCTION("IMPORTRANGE(""https://docs.google.com/spreadsheets/d/10oOiF7loTyfsTkbd4MpaIm0HQ9SwB7IYHdIUvt-U1Uc/edit?usp=sharing"",""สระแก้ว!I740"")"),400)</f>
        <v>400</v>
      </c>
      <c r="AD69" s="540">
        <f ca="1">IFERROR(__xludf.DUMMYFUNCTION("IMPORTRANGE(""https://docs.google.com/spreadsheets/d/10oOiF7loTyfsTkbd4MpaIm0HQ9SwB7IYHdIUvt-U1Uc/edit?usp=sharing"",""สระแก้ว!J740"")"),0)</f>
        <v>0</v>
      </c>
      <c r="AE69" s="375">
        <f t="shared" ca="1" si="54"/>
        <v>0</v>
      </c>
      <c r="AF69" s="540">
        <f ca="1">IFERROR(__xludf.DUMMYFUNCTION("IMPORTRANGE(""https://docs.google.com/spreadsheets/d/10oOiF7loTyfsTkbd4MpaIm0HQ9SwB7IYHdIUvt-U1Uc/edit?usp=sharing"",""สระแก้ว!J741"")"),0)</f>
        <v>0</v>
      </c>
      <c r="AG69" s="540">
        <f ca="1">IFERROR(__xludf.DUMMYFUNCTION("IMPORTRANGE(""https://docs.google.com/spreadsheets/d/10oOiF7loTyfsTkbd4MpaIm0HQ9SwB7IYHdIUvt-U1Uc/edit?usp=sharing"",""สระแก้ว!I742"")"),40)</f>
        <v>40</v>
      </c>
      <c r="AH69" s="540">
        <f ca="1">IFERROR(__xludf.DUMMYFUNCTION("IMPORTRANGE(""https://docs.google.com/spreadsheets/d/10oOiF7loTyfsTkbd4MpaIm0HQ9SwB7IYHdIUvt-U1Uc/edit?usp=sharing"",""สระแก้ว!J742"")"),0)</f>
        <v>0</v>
      </c>
      <c r="AI69" s="375">
        <f t="shared" ca="1" si="56"/>
        <v>0</v>
      </c>
      <c r="AJ69" s="540">
        <f ca="1">IFERROR(__xludf.DUMMYFUNCTION("IMPORTRANGE(""https://docs.google.com/spreadsheets/d/10oOiF7loTyfsTkbd4MpaIm0HQ9SwB7IYHdIUvt-U1Uc/edit?usp=sharing"",""สระแก้ว!I744"")"),100)</f>
        <v>100</v>
      </c>
      <c r="AK69" s="540">
        <f ca="1">IFERROR(__xludf.DUMMYFUNCTION("IMPORTRANGE(""https://docs.google.com/spreadsheets/d/10oOiF7loTyfsTkbd4MpaIm0HQ9SwB7IYHdIUvt-U1Uc/edit?usp=sharing"",""สระแก้ว!J744"")"),0)</f>
        <v>0</v>
      </c>
      <c r="AL69" s="375">
        <f t="shared" ca="1" si="58"/>
        <v>0</v>
      </c>
      <c r="AM69" s="540">
        <f ca="1">IFERROR(__xludf.DUMMYFUNCTION("IMPORTRANGE(""https://docs.google.com/spreadsheets/d/10oOiF7loTyfsTkbd4MpaIm0HQ9SwB7IYHdIUvt-U1Uc/edit?usp=sharing"",""สระแก้ว!J745"")"),0)</f>
        <v>0</v>
      </c>
      <c r="AN69" s="540">
        <f ca="1">IFERROR(__xludf.DUMMYFUNCTION("IMPORTRANGE(""https://docs.google.com/spreadsheets/d/10oOiF7loTyfsTkbd4MpaIm0HQ9SwB7IYHdIUvt-U1Uc/edit?usp=sharing"",""สระแก้ว!I746"")"),10)</f>
        <v>10</v>
      </c>
      <c r="AO69" s="540">
        <f ca="1">IFERROR(__xludf.DUMMYFUNCTION("IMPORTRANGE(""https://docs.google.com/spreadsheets/d/10oOiF7loTyfsTkbd4MpaIm0HQ9SwB7IYHdIUvt-U1Uc/edit?usp=sharing"",""สระแก้ว!J746"")"),0)</f>
        <v>0</v>
      </c>
      <c r="AP69" s="375">
        <f t="shared" ca="1" si="60"/>
        <v>0</v>
      </c>
      <c r="AQ69" s="540">
        <f ca="1">IFERROR(__xludf.DUMMYFUNCTION("IMPORTRANGE(""https://docs.google.com/spreadsheets/d/10oOiF7loTyfsTkbd4MpaIm0HQ9SwB7IYHdIUvt-U1Uc/edit?usp=sharing"",""สระแก้ว!J748"")"),0)</f>
        <v>0</v>
      </c>
      <c r="AR69" s="540">
        <f ca="1">IFERROR(__xludf.DUMMYFUNCTION("IMPORTRANGE(""https://docs.google.com/spreadsheets/d/10oOiF7loTyfsTkbd4MpaIm0HQ9SwB7IYHdIUvt-U1Uc/edit?usp=sharing"",""สระแก้ว!I749"")"),2)</f>
        <v>2</v>
      </c>
      <c r="AS69" s="540">
        <f ca="1">IFERROR(__xludf.DUMMYFUNCTION("IMPORTRANGE(""https://docs.google.com/spreadsheets/d/10oOiF7loTyfsTkbd4MpaIm0HQ9SwB7IYHdIUvt-U1Uc/edit?usp=sharing"",""สระแก้ว!J749"")"),0)</f>
        <v>0</v>
      </c>
      <c r="AT69" s="375">
        <f t="shared" ca="1" si="62"/>
        <v>0</v>
      </c>
      <c r="AU69" s="540">
        <f ca="1">IFERROR(__xludf.DUMMYFUNCTION("IMPORTRANGE(""https://docs.google.com/spreadsheets/d/10oOiF7loTyfsTkbd4MpaIm0HQ9SwB7IYHdIUvt-U1Uc/edit?usp=sharing"",""สระแก้ว!I752"")"),40)</f>
        <v>40</v>
      </c>
      <c r="AV69" s="540">
        <f ca="1">IFERROR(__xludf.DUMMYFUNCTION("IMPORTRANGE(""https://docs.google.com/spreadsheets/d/10oOiF7loTyfsTkbd4MpaIm0HQ9SwB7IYHdIUvt-U1Uc/edit?usp=sharing"",""สระแก้ว!J752"")"),0)</f>
        <v>0</v>
      </c>
      <c r="AW69" s="375">
        <f t="shared" ca="1" si="64"/>
        <v>0</v>
      </c>
      <c r="AX69" s="540">
        <f ca="1">IFERROR(__xludf.DUMMYFUNCTION("IMPORTRANGE(""https://docs.google.com/spreadsheets/d/10oOiF7loTyfsTkbd4MpaIm0HQ9SwB7IYHdIUvt-U1Uc/edit?usp=sharing"",""สระแก้ว!J753"")"),0)</f>
        <v>0</v>
      </c>
      <c r="AY69" s="540">
        <f ca="1">IFERROR(__xludf.DUMMYFUNCTION("IMPORTRANGE(""https://docs.google.com/spreadsheets/d/10oOiF7loTyfsTkbd4MpaIm0HQ9SwB7IYHdIUvt-U1Uc/edit?usp=sharing"",""สระแก้ว!I755"")"),10)</f>
        <v>10</v>
      </c>
      <c r="AZ69" s="540">
        <f ca="1">IFERROR(__xludf.DUMMYFUNCTION("IMPORTRANGE(""https://docs.google.com/spreadsheets/d/10oOiF7loTyfsTkbd4MpaIm0HQ9SwB7IYHdIUvt-U1Uc/edit?usp=sharing"",""สระแก้ว!J755"")"),0)</f>
        <v>0</v>
      </c>
      <c r="BA69" s="375">
        <f t="shared" ca="1" si="66"/>
        <v>0</v>
      </c>
      <c r="BB69" s="540">
        <f ca="1">IFERROR(__xludf.DUMMYFUNCTION("IMPORTRANGE(""https://docs.google.com/spreadsheets/d/10oOiF7loTyfsTkbd4MpaIm0HQ9SwB7IYHdIUvt-U1Uc/edit?usp=sharing"",""สระแก้ว!J756"")"),0)</f>
        <v>0</v>
      </c>
    </row>
    <row r="70" spans="1:54" ht="23.25" customHeight="1" x14ac:dyDescent="0.3">
      <c r="A70" s="535">
        <v>18</v>
      </c>
      <c r="B70" s="536" t="s">
        <v>96</v>
      </c>
      <c r="C70" s="537">
        <f t="shared" si="39"/>
        <v>0</v>
      </c>
      <c r="D70" s="538">
        <f t="shared" si="89"/>
        <v>0</v>
      </c>
      <c r="E70" s="539">
        <v>0</v>
      </c>
      <c r="F70" s="539">
        <v>0</v>
      </c>
      <c r="G70" s="539">
        <v>0</v>
      </c>
      <c r="H70" s="539">
        <v>0</v>
      </c>
      <c r="I70" s="539">
        <v>0</v>
      </c>
      <c r="J70" s="545">
        <f t="shared" si="41"/>
        <v>0</v>
      </c>
      <c r="K70" s="546">
        <f t="shared" si="42"/>
        <v>0</v>
      </c>
      <c r="L70" s="539">
        <v>0</v>
      </c>
      <c r="M70" s="542">
        <f t="shared" si="43"/>
        <v>0</v>
      </c>
      <c r="N70" s="542">
        <f t="shared" si="44"/>
        <v>0</v>
      </c>
      <c r="O70" s="539">
        <v>0</v>
      </c>
      <c r="P70" s="543">
        <f t="shared" si="45"/>
        <v>0</v>
      </c>
      <c r="Q70" s="542">
        <f t="shared" si="46"/>
        <v>0</v>
      </c>
      <c r="R70" s="542">
        <f ca="1">IFERROR(__xludf.DUMMYFUNCTION("IMPORTRANGE(""https://docs.google.com/spreadsheets/d/1xmPlrr1QbdSIKvl1dWUl9K4PjAfSL9oeMr_37QVzcxc/edit?usp=sharing"",""สระบุรี!Q728"")"),111882)</f>
        <v>111882</v>
      </c>
      <c r="S70" s="542">
        <f ca="1">IFERROR(__xludf.DUMMYFUNCTION("IMPORTRANGE(""https://docs.google.com/spreadsheets/d/1xmPlrr1QbdSIKvl1dWUl9K4PjAfSL9oeMr_37QVzcxc/edit?usp=sharing"",""สระบุรี!R728"")"),0)</f>
        <v>0</v>
      </c>
      <c r="T70" s="542">
        <f ca="1">IFERROR(__xludf.DUMMYFUNCTION("IMPORTRANGE(""https://docs.google.com/spreadsheets/d/1xmPlrr1QbdSIKvl1dWUl9K4PjAfSL9oeMr_37QVzcxc/edit?usp=sharing"",""สระบุรี!S728"")"),0)</f>
        <v>0</v>
      </c>
      <c r="U70" s="542">
        <f t="shared" ca="1" si="48"/>
        <v>0</v>
      </c>
      <c r="V70" s="542">
        <f t="shared" ca="1" si="49"/>
        <v>0</v>
      </c>
      <c r="W70" s="544">
        <f ca="1">IFERROR(__xludf.DUMMYFUNCTION("IMPORTRANGE(""https://docs.google.com/spreadsheets/d/1xmPlrr1QbdSIKvl1dWUl9K4PjAfSL9oeMr_37QVzcxc/edit?usp=sharing"",""สระบุรี!I726"")"),11)</f>
        <v>11</v>
      </c>
      <c r="X70" s="540">
        <f ca="1">IFERROR(__xludf.DUMMYFUNCTION("IMPORTRANGE(""https://docs.google.com/spreadsheets/d/1xmPlrr1QbdSIKvl1dWUl9K4PjAfSL9oeMr_37QVzcxc/edit?usp=sharing"",""สระบุรี!I727"")"),100)</f>
        <v>100</v>
      </c>
      <c r="Y70" s="540">
        <f ca="1">IFERROR(__xludf.DUMMYFUNCTION("IMPORTRANGE(""https://docs.google.com/spreadsheets/d/1xmPlrr1QbdSIKvl1dWUl9K4PjAfSL9oeMr_37QVzcxc/edit?usp=sharing"",""สระบุรี!J726"")"),0)</f>
        <v>0</v>
      </c>
      <c r="Z70" s="375">
        <f t="shared" ca="1" si="51"/>
        <v>0</v>
      </c>
      <c r="AA70" s="540">
        <f ca="1">IFERROR(__xludf.DUMMYFUNCTION("IMPORTRANGE(""https://docs.google.com/spreadsheets/d/1xmPlrr1QbdSIKvl1dWUl9K4PjAfSL9oeMr_37QVzcxc/edit?usp=sharing"",""สระบุรี!J727"")"),0)</f>
        <v>0</v>
      </c>
      <c r="AB70" s="375">
        <f t="shared" ca="1" si="52"/>
        <v>0</v>
      </c>
      <c r="AC70" s="540">
        <f ca="1">IFERROR(__xludf.DUMMYFUNCTION("IMPORTRANGE(""https://docs.google.com/spreadsheets/d/1xmPlrr1QbdSIKvl1dWUl9K4PjAfSL9oeMr_37QVzcxc/edit?usp=sharing"",""สระบุรี!I740"")"),80)</f>
        <v>80</v>
      </c>
      <c r="AD70" s="540">
        <f ca="1">IFERROR(__xludf.DUMMYFUNCTION("IMPORTRANGE(""https://docs.google.com/spreadsheets/d/1xmPlrr1QbdSIKvl1dWUl9K4PjAfSL9oeMr_37QVzcxc/edit?usp=sharing"",""สระบุรี!J740"")"),0)</f>
        <v>0</v>
      </c>
      <c r="AE70" s="375">
        <f t="shared" ca="1" si="54"/>
        <v>0</v>
      </c>
      <c r="AF70" s="540">
        <f ca="1">IFERROR(__xludf.DUMMYFUNCTION("IMPORTRANGE(""https://docs.google.com/spreadsheets/d/1xmPlrr1QbdSIKvl1dWUl9K4PjAfSL9oeMr_37QVzcxc/edit?usp=sharing"",""สระบุรี!J741"")"),0)</f>
        <v>0</v>
      </c>
      <c r="AG70" s="540">
        <f ca="1">IFERROR(__xludf.DUMMYFUNCTION("IMPORTRANGE(""https://docs.google.com/spreadsheets/d/1xmPlrr1QbdSIKvl1dWUl9K4PjAfSL9oeMr_37QVzcxc/edit?usp=sharing"",""สระบุรี!I742"")"),8)</f>
        <v>8</v>
      </c>
      <c r="AH70" s="540">
        <f ca="1">IFERROR(__xludf.DUMMYFUNCTION("IMPORTRANGE(""https://docs.google.com/spreadsheets/d/1xmPlrr1QbdSIKvl1dWUl9K4PjAfSL9oeMr_37QVzcxc/edit?usp=sharing"",""สระบุรี!J742"")"),0)</f>
        <v>0</v>
      </c>
      <c r="AI70" s="375">
        <f t="shared" ca="1" si="56"/>
        <v>0</v>
      </c>
      <c r="AJ70" s="540">
        <f ca="1">IFERROR(__xludf.DUMMYFUNCTION("IMPORTRANGE(""https://docs.google.com/spreadsheets/d/1xmPlrr1QbdSIKvl1dWUl9K4PjAfSL9oeMr_37QVzcxc/edit?usp=sharing"",""สระบุรี!I744"")"),20)</f>
        <v>20</v>
      </c>
      <c r="AK70" s="540">
        <f ca="1">IFERROR(__xludf.DUMMYFUNCTION("IMPORTRANGE(""https://docs.google.com/spreadsheets/d/1xmPlrr1QbdSIKvl1dWUl9K4PjAfSL9oeMr_37QVzcxc/edit?usp=sharing"",""สระบุรี!J744"")"),0)</f>
        <v>0</v>
      </c>
      <c r="AL70" s="375">
        <f t="shared" ca="1" si="58"/>
        <v>0</v>
      </c>
      <c r="AM70" s="540">
        <f ca="1">IFERROR(__xludf.DUMMYFUNCTION("IMPORTRANGE(""https://docs.google.com/spreadsheets/d/1xmPlrr1QbdSIKvl1dWUl9K4PjAfSL9oeMr_37QVzcxc/edit?usp=sharing"",""สระบุรี!J745"")"),0)</f>
        <v>0</v>
      </c>
      <c r="AN70" s="540">
        <f ca="1">IFERROR(__xludf.DUMMYFUNCTION("IMPORTRANGE(""https://docs.google.com/spreadsheets/d/1xmPlrr1QbdSIKvl1dWUl9K4PjAfSL9oeMr_37QVzcxc/edit?usp=sharing"",""สระบุรี!I746"")"),2)</f>
        <v>2</v>
      </c>
      <c r="AO70" s="540">
        <f ca="1">IFERROR(__xludf.DUMMYFUNCTION("IMPORTRANGE(""https://docs.google.com/spreadsheets/d/1xmPlrr1QbdSIKvl1dWUl9K4PjAfSL9oeMr_37QVzcxc/edit?usp=sharing"",""สระบุรี!J746"")"),0)</f>
        <v>0</v>
      </c>
      <c r="AP70" s="375">
        <f t="shared" ca="1" si="60"/>
        <v>0</v>
      </c>
      <c r="AQ70" s="540">
        <f ca="1">IFERROR(__xludf.DUMMYFUNCTION("IMPORTRANGE(""https://docs.google.com/spreadsheets/d/1xmPlrr1QbdSIKvl1dWUl9K4PjAfSL9oeMr_37QVzcxc/edit?usp=sharing"",""สระบุรี!J748"")"),0)</f>
        <v>0</v>
      </c>
      <c r="AR70" s="540">
        <f ca="1">IFERROR(__xludf.DUMMYFUNCTION("IMPORTRANGE(""https://docs.google.com/spreadsheets/d/1xmPlrr1QbdSIKvl1dWUl9K4PjAfSL9oeMr_37QVzcxc/edit?usp=sharing"",""สระบุรี!I749"")"),1)</f>
        <v>1</v>
      </c>
      <c r="AS70" s="540">
        <f ca="1">IFERROR(__xludf.DUMMYFUNCTION("IMPORTRANGE(""https://docs.google.com/spreadsheets/d/1xmPlrr1QbdSIKvl1dWUl9K4PjAfSL9oeMr_37QVzcxc/edit?usp=sharing"",""สระบุรี!J749"")"),0)</f>
        <v>0</v>
      </c>
      <c r="AT70" s="375">
        <f t="shared" ca="1" si="62"/>
        <v>0</v>
      </c>
      <c r="AU70" s="540">
        <f ca="1">IFERROR(__xludf.DUMMYFUNCTION("IMPORTRANGE(""https://docs.google.com/spreadsheets/d/1xmPlrr1QbdSIKvl1dWUl9K4PjAfSL9oeMr_37QVzcxc/edit?usp=sharing"",""สระบุรี!I752"")"),8)</f>
        <v>8</v>
      </c>
      <c r="AV70" s="540">
        <f ca="1">IFERROR(__xludf.DUMMYFUNCTION("IMPORTRANGE(""https://docs.google.com/spreadsheets/d/1xmPlrr1QbdSIKvl1dWUl9K4PjAfSL9oeMr_37QVzcxc/edit?usp=sharing"",""สระบุรี!J752"")"),0)</f>
        <v>0</v>
      </c>
      <c r="AW70" s="375">
        <f t="shared" ca="1" si="64"/>
        <v>0</v>
      </c>
      <c r="AX70" s="540">
        <f ca="1">IFERROR(__xludf.DUMMYFUNCTION("IMPORTRANGE(""https://docs.google.com/spreadsheets/d/1xmPlrr1QbdSIKvl1dWUl9K4PjAfSL9oeMr_37QVzcxc/edit?usp=sharing"",""สระบุรี!J753"")"),0)</f>
        <v>0</v>
      </c>
      <c r="AY70" s="540">
        <f ca="1">IFERROR(__xludf.DUMMYFUNCTION("IMPORTRANGE(""https://docs.google.com/spreadsheets/d/1xmPlrr1QbdSIKvl1dWUl9K4PjAfSL9oeMr_37QVzcxc/edit?usp=sharing"",""สระบุรี!I755"")"),2)</f>
        <v>2</v>
      </c>
      <c r="AZ70" s="540">
        <f ca="1">IFERROR(__xludf.DUMMYFUNCTION("IMPORTRANGE(""https://docs.google.com/spreadsheets/d/1xmPlrr1QbdSIKvl1dWUl9K4PjAfSL9oeMr_37QVzcxc/edit?usp=sharing"",""สระบุรี!J755"")"),0)</f>
        <v>0</v>
      </c>
      <c r="BA70" s="375">
        <f t="shared" ca="1" si="66"/>
        <v>0</v>
      </c>
      <c r="BB70" s="540">
        <f ca="1">IFERROR(__xludf.DUMMYFUNCTION("IMPORTRANGE(""https://docs.google.com/spreadsheets/d/1xmPlrr1QbdSIKvl1dWUl9K4PjAfSL9oeMr_37QVzcxc/edit?usp=sharing"",""สระบุรี!J756"")"),0)</f>
        <v>0</v>
      </c>
    </row>
    <row r="71" spans="1:54" ht="23.25" customHeight="1" x14ac:dyDescent="0.3">
      <c r="A71" s="535">
        <v>19</v>
      </c>
      <c r="B71" s="536" t="s">
        <v>97</v>
      </c>
      <c r="C71" s="537">
        <f t="shared" si="39"/>
        <v>0</v>
      </c>
      <c r="D71" s="538">
        <f t="shared" si="89"/>
        <v>0</v>
      </c>
      <c r="E71" s="539">
        <v>0</v>
      </c>
      <c r="F71" s="539">
        <v>0</v>
      </c>
      <c r="G71" s="539">
        <v>0</v>
      </c>
      <c r="H71" s="539">
        <v>0</v>
      </c>
      <c r="I71" s="539">
        <v>0</v>
      </c>
      <c r="J71" s="545">
        <f t="shared" si="41"/>
        <v>0</v>
      </c>
      <c r="K71" s="546">
        <f t="shared" si="42"/>
        <v>0</v>
      </c>
      <c r="L71" s="539">
        <v>0</v>
      </c>
      <c r="M71" s="542">
        <f t="shared" si="43"/>
        <v>0</v>
      </c>
      <c r="N71" s="542">
        <f t="shared" si="44"/>
        <v>0</v>
      </c>
      <c r="O71" s="539">
        <v>0</v>
      </c>
      <c r="P71" s="543">
        <f t="shared" si="45"/>
        <v>0</v>
      </c>
      <c r="Q71" s="542">
        <f t="shared" si="46"/>
        <v>0</v>
      </c>
      <c r="R71" s="542">
        <f ca="1">IFERROR(__xludf.DUMMYFUNCTION("IMPORTRANGE(""https://docs.google.com/spreadsheets/d/1j51vR6CYVGhABJpv6tkstgok82RLpXieLzW1yOY5rHw/edit?usp=sharing"",""สิงห์บุรี!Q728"")"),0)</f>
        <v>0</v>
      </c>
      <c r="S71" s="542">
        <f ca="1">IFERROR(__xludf.DUMMYFUNCTION("IMPORTRANGE(""https://docs.google.com/spreadsheets/d/1j51vR6CYVGhABJpv6tkstgok82RLpXieLzW1yOY5rHw/edit?usp=sharing"",""สิงห์บุรี!R728"")"),0)</f>
        <v>0</v>
      </c>
      <c r="T71" s="542">
        <f ca="1">IFERROR(__xludf.DUMMYFUNCTION("IMPORTRANGE(""https://docs.google.com/spreadsheets/d/1j51vR6CYVGhABJpv6tkstgok82RLpXieLzW1yOY5rHw/edit?usp=sharing"",""สิงห์บุรี!S728"")"),0)</f>
        <v>0</v>
      </c>
      <c r="U71" s="542">
        <f t="shared" ca="1" si="48"/>
        <v>0</v>
      </c>
      <c r="V71" s="542">
        <f t="shared" ca="1" si="49"/>
        <v>0</v>
      </c>
      <c r="W71" s="544">
        <f ca="1">IFERROR(__xludf.DUMMYFUNCTION("IMPORTRANGE(""https://docs.google.com/spreadsheets/d/1j51vR6CYVGhABJpv6tkstgok82RLpXieLzW1yOY5rHw/edit?usp=sharing"",""สิงห์บุรี!I726"")"),0)</f>
        <v>0</v>
      </c>
      <c r="X71" s="540">
        <f ca="1">IFERROR(__xludf.DUMMYFUNCTION("IMPORTRANGE(""https://docs.google.com/spreadsheets/d/1j51vR6CYVGhABJpv6tkstgok82RLpXieLzW1yOY5rHw/edit?usp=sharing"",""สิงห์บุรี!I727"")"),0)</f>
        <v>0</v>
      </c>
      <c r="Y71" s="540">
        <f ca="1">IFERROR(__xludf.DUMMYFUNCTION("IMPORTRANGE(""https://docs.google.com/spreadsheets/d/1j51vR6CYVGhABJpv6tkstgok82RLpXieLzW1yOY5rHw/edit?usp=sharing"",""สิงห์บุรี!J726"")"),0)</f>
        <v>0</v>
      </c>
      <c r="Z71" s="375">
        <f t="shared" ca="1" si="51"/>
        <v>0</v>
      </c>
      <c r="AA71" s="540">
        <f ca="1">IFERROR(__xludf.DUMMYFUNCTION("IMPORTRANGE(""https://docs.google.com/spreadsheets/d/1j51vR6CYVGhABJpv6tkstgok82RLpXieLzW1yOY5rHw/edit?usp=sharing"",""สิงห์บุรี!J727"")"),0)</f>
        <v>0</v>
      </c>
      <c r="AB71" s="375">
        <f t="shared" ca="1" si="52"/>
        <v>0</v>
      </c>
      <c r="AC71" s="540">
        <f ca="1">IFERROR(__xludf.DUMMYFUNCTION("IMPORTRANGE(""https://docs.google.com/spreadsheets/d/1j51vR6CYVGhABJpv6tkstgok82RLpXieLzW1yOY5rHw/edit?usp=sharing"",""สิงห์บุรี!I740"")"),0)</f>
        <v>0</v>
      </c>
      <c r="AD71" s="540">
        <f ca="1">IFERROR(__xludf.DUMMYFUNCTION("IMPORTRANGE(""https://docs.google.com/spreadsheets/d/1j51vR6CYVGhABJpv6tkstgok82RLpXieLzW1yOY5rHw/edit?usp=sharing"",""สิงห์บุรี!J740"")"),0)</f>
        <v>0</v>
      </c>
      <c r="AE71" s="375">
        <f t="shared" ca="1" si="54"/>
        <v>0</v>
      </c>
      <c r="AF71" s="540">
        <f ca="1">IFERROR(__xludf.DUMMYFUNCTION("IMPORTRANGE(""https://docs.google.com/spreadsheets/d/1j51vR6CYVGhABJpv6tkstgok82RLpXieLzW1yOY5rHw/edit?usp=sharing"",""สิงห์บุรี!J741"")"),0)</f>
        <v>0</v>
      </c>
      <c r="AG71" s="540">
        <f ca="1">IFERROR(__xludf.DUMMYFUNCTION("IMPORTRANGE(""https://docs.google.com/spreadsheets/d/1j51vR6CYVGhABJpv6tkstgok82RLpXieLzW1yOY5rHw/edit?usp=sharing"",""สิงห์บุรี!I742"")"),0)</f>
        <v>0</v>
      </c>
      <c r="AH71" s="540">
        <f ca="1">IFERROR(__xludf.DUMMYFUNCTION("IMPORTRANGE(""https://docs.google.com/spreadsheets/d/1j51vR6CYVGhABJpv6tkstgok82RLpXieLzW1yOY5rHw/edit?usp=sharing"",""สิงห์บุรี!J742"")"),0)</f>
        <v>0</v>
      </c>
      <c r="AI71" s="375">
        <f t="shared" ca="1" si="56"/>
        <v>0</v>
      </c>
      <c r="AJ71" s="540">
        <f ca="1">IFERROR(__xludf.DUMMYFUNCTION("IMPORTRANGE(""https://docs.google.com/spreadsheets/d/1j51vR6CYVGhABJpv6tkstgok82RLpXieLzW1yOY5rHw/edit?usp=sharing"",""สิงห์บุรี!I744"")"),0)</f>
        <v>0</v>
      </c>
      <c r="AK71" s="540">
        <f ca="1">IFERROR(__xludf.DUMMYFUNCTION("IMPORTRANGE(""https://docs.google.com/spreadsheets/d/1j51vR6CYVGhABJpv6tkstgok82RLpXieLzW1yOY5rHw/edit?usp=sharing"",""สิงห์บุรี!J744"")"),0)</f>
        <v>0</v>
      </c>
      <c r="AL71" s="375">
        <f t="shared" ca="1" si="58"/>
        <v>0</v>
      </c>
      <c r="AM71" s="540">
        <f ca="1">IFERROR(__xludf.DUMMYFUNCTION("IMPORTRANGE(""https://docs.google.com/spreadsheets/d/1j51vR6CYVGhABJpv6tkstgok82RLpXieLzW1yOY5rHw/edit?usp=sharing"",""สิงห์บุรี!J745"")"),0)</f>
        <v>0</v>
      </c>
      <c r="AN71" s="540">
        <f ca="1">IFERROR(__xludf.DUMMYFUNCTION("IMPORTRANGE(""https://docs.google.com/spreadsheets/d/1j51vR6CYVGhABJpv6tkstgok82RLpXieLzW1yOY5rHw/edit?usp=sharing"",""สิงห์บุรี!I746"")"),0)</f>
        <v>0</v>
      </c>
      <c r="AO71" s="540">
        <f ca="1">IFERROR(__xludf.DUMMYFUNCTION("IMPORTRANGE(""https://docs.google.com/spreadsheets/d/1j51vR6CYVGhABJpv6tkstgok82RLpXieLzW1yOY5rHw/edit?usp=sharing"",""สิงห์บุรี!J746"")"),0)</f>
        <v>0</v>
      </c>
      <c r="AP71" s="375">
        <f t="shared" ca="1" si="60"/>
        <v>0</v>
      </c>
      <c r="AQ71" s="540">
        <f ca="1">IFERROR(__xludf.DUMMYFUNCTION("IMPORTRANGE(""https://docs.google.com/spreadsheets/d/1j51vR6CYVGhABJpv6tkstgok82RLpXieLzW1yOY5rHw/edit?usp=sharing"",""สิงห์บุรี!J748"")"),0)</f>
        <v>0</v>
      </c>
      <c r="AR71" s="540">
        <f ca="1">IFERROR(__xludf.DUMMYFUNCTION("IMPORTRANGE(""https://docs.google.com/spreadsheets/d/1j51vR6CYVGhABJpv6tkstgok82RLpXieLzW1yOY5rHw/edit?usp=sharing"",""สิงห์บุรี!I749"")"),0)</f>
        <v>0</v>
      </c>
      <c r="AS71" s="540">
        <f ca="1">IFERROR(__xludf.DUMMYFUNCTION("IMPORTRANGE(""https://docs.google.com/spreadsheets/d/1j51vR6CYVGhABJpv6tkstgok82RLpXieLzW1yOY5rHw/edit?usp=sharing"",""สิงห์บุรี!J749"")"),0)</f>
        <v>0</v>
      </c>
      <c r="AT71" s="375">
        <f t="shared" ca="1" si="62"/>
        <v>0</v>
      </c>
      <c r="AU71" s="540">
        <f ca="1">IFERROR(__xludf.DUMMYFUNCTION("IMPORTRANGE(""https://docs.google.com/spreadsheets/d/1j51vR6CYVGhABJpv6tkstgok82RLpXieLzW1yOY5rHw/edit?usp=sharing"",""สิงห์บุรี!I752"")"),0)</f>
        <v>0</v>
      </c>
      <c r="AV71" s="540">
        <f ca="1">IFERROR(__xludf.DUMMYFUNCTION("IMPORTRANGE(""https://docs.google.com/spreadsheets/d/1j51vR6CYVGhABJpv6tkstgok82RLpXieLzW1yOY5rHw/edit?usp=sharing"",""สิงห์บุรี!J752"")"),0)</f>
        <v>0</v>
      </c>
      <c r="AW71" s="375">
        <f t="shared" ca="1" si="64"/>
        <v>0</v>
      </c>
      <c r="AX71" s="540">
        <f ca="1">IFERROR(__xludf.DUMMYFUNCTION("IMPORTRANGE(""https://docs.google.com/spreadsheets/d/1j51vR6CYVGhABJpv6tkstgok82RLpXieLzW1yOY5rHw/edit?usp=sharing"",""สิงห์บุรี!J753"")"),0)</f>
        <v>0</v>
      </c>
      <c r="AY71" s="540">
        <f ca="1">IFERROR(__xludf.DUMMYFUNCTION("IMPORTRANGE(""https://docs.google.com/spreadsheets/d/1j51vR6CYVGhABJpv6tkstgok82RLpXieLzW1yOY5rHw/edit?usp=sharing"",""สิงห์บุรี!I755"")"),0)</f>
        <v>0</v>
      </c>
      <c r="AZ71" s="540">
        <f ca="1">IFERROR(__xludf.DUMMYFUNCTION("IMPORTRANGE(""https://docs.google.com/spreadsheets/d/1j51vR6CYVGhABJpv6tkstgok82RLpXieLzW1yOY5rHw/edit?usp=sharing"",""สิงห์บุรี!J755"")"),0)</f>
        <v>0</v>
      </c>
      <c r="BA71" s="375">
        <f t="shared" ca="1" si="66"/>
        <v>0</v>
      </c>
      <c r="BB71" s="540">
        <f ca="1">IFERROR(__xludf.DUMMYFUNCTION("IMPORTRANGE(""https://docs.google.com/spreadsheets/d/1j51vR6CYVGhABJpv6tkstgok82RLpXieLzW1yOY5rHw/edit?usp=sharing"",""สิงห์บุรี!J756"")"),0)</f>
        <v>0</v>
      </c>
    </row>
    <row r="72" spans="1:54" ht="23.25" customHeight="1" x14ac:dyDescent="0.3">
      <c r="A72" s="535">
        <v>20</v>
      </c>
      <c r="B72" s="536" t="s">
        <v>98</v>
      </c>
      <c r="C72" s="537">
        <f t="shared" si="39"/>
        <v>0</v>
      </c>
      <c r="D72" s="538">
        <f t="shared" si="89"/>
        <v>0</v>
      </c>
      <c r="E72" s="539">
        <v>0</v>
      </c>
      <c r="F72" s="539">
        <v>0</v>
      </c>
      <c r="G72" s="539">
        <v>0</v>
      </c>
      <c r="H72" s="539">
        <v>0</v>
      </c>
      <c r="I72" s="539">
        <v>0</v>
      </c>
      <c r="J72" s="545">
        <f t="shared" si="41"/>
        <v>0</v>
      </c>
      <c r="K72" s="546">
        <f t="shared" si="42"/>
        <v>0</v>
      </c>
      <c r="L72" s="539">
        <v>0</v>
      </c>
      <c r="M72" s="542">
        <f t="shared" si="43"/>
        <v>0</v>
      </c>
      <c r="N72" s="542">
        <f t="shared" si="44"/>
        <v>0</v>
      </c>
      <c r="O72" s="539">
        <v>0</v>
      </c>
      <c r="P72" s="543">
        <f t="shared" si="45"/>
        <v>0</v>
      </c>
      <c r="Q72" s="542">
        <f t="shared" si="46"/>
        <v>0</v>
      </c>
      <c r="R72" s="542">
        <f ca="1">IFERROR(__xludf.DUMMYFUNCTION("IMPORTRANGE(""https://docs.google.com/spreadsheets/d/1H1EalTWKUSzO4Z1-1CwzoDUaVffgrThEBe2sl74kKG0/edit?usp=sharing"",""สุพรรณบุรี!Q728"")"),242546)</f>
        <v>242546</v>
      </c>
      <c r="S72" s="542">
        <f ca="1">IFERROR(__xludf.DUMMYFUNCTION("IMPORTRANGE(""https://docs.google.com/spreadsheets/d/1H1EalTWKUSzO4Z1-1CwzoDUaVffgrThEBe2sl74kKG0/edit?usp=sharing"",""สุพรรณบุรี!R728"")"),0)</f>
        <v>0</v>
      </c>
      <c r="T72" s="542">
        <f ca="1">IFERROR(__xludf.DUMMYFUNCTION("IMPORTRANGE(""https://docs.google.com/spreadsheets/d/1H1EalTWKUSzO4Z1-1CwzoDUaVffgrThEBe2sl74kKG0/edit?usp=sharing"",""สุพรรณบุรี!S728"")"),0)</f>
        <v>0</v>
      </c>
      <c r="U72" s="542">
        <f t="shared" ca="1" si="48"/>
        <v>0</v>
      </c>
      <c r="V72" s="542">
        <f t="shared" ca="1" si="49"/>
        <v>0</v>
      </c>
      <c r="W72" s="544">
        <f ca="1">IFERROR(__xludf.DUMMYFUNCTION("IMPORTRANGE(""https://docs.google.com/spreadsheets/d/1H1EalTWKUSzO4Z1-1CwzoDUaVffgrThEBe2sl74kKG0/edit?usp=sharing"",""สุพรรณบุรี!I726"")"),31)</f>
        <v>31</v>
      </c>
      <c r="X72" s="540">
        <f ca="1">IFERROR(__xludf.DUMMYFUNCTION("IMPORTRANGE(""https://docs.google.com/spreadsheets/d/1H1EalTWKUSzO4Z1-1CwzoDUaVffgrThEBe2sl74kKG0/edit?usp=sharing"",""สุพรรณบุรี!I727"")"),300)</f>
        <v>300</v>
      </c>
      <c r="Y72" s="540">
        <f ca="1">IFERROR(__xludf.DUMMYFUNCTION("IMPORTRANGE(""https://docs.google.com/spreadsheets/d/1H1EalTWKUSzO4Z1-1CwzoDUaVffgrThEBe2sl74kKG0/edit?usp=sharing"",""สุพรรณบุรี!J726"")"),0)</f>
        <v>0</v>
      </c>
      <c r="Z72" s="375">
        <f t="shared" ca="1" si="51"/>
        <v>0</v>
      </c>
      <c r="AA72" s="540">
        <f ca="1">IFERROR(__xludf.DUMMYFUNCTION("IMPORTRANGE(""https://docs.google.com/spreadsheets/d/1H1EalTWKUSzO4Z1-1CwzoDUaVffgrThEBe2sl74kKG0/edit?usp=sharing"",""สุพรรณบุรี!J727"")"),0)</f>
        <v>0</v>
      </c>
      <c r="AB72" s="375">
        <f t="shared" ca="1" si="52"/>
        <v>0</v>
      </c>
      <c r="AC72" s="540">
        <f ca="1">IFERROR(__xludf.DUMMYFUNCTION("IMPORTRANGE(""https://docs.google.com/spreadsheets/d/1H1EalTWKUSzO4Z1-1CwzoDUaVffgrThEBe2sl74kKG0/edit?usp=sharing"",""สุพรรณบุรี!I740"")"),240)</f>
        <v>240</v>
      </c>
      <c r="AD72" s="540">
        <f ca="1">IFERROR(__xludf.DUMMYFUNCTION("IMPORTRANGE(""https://docs.google.com/spreadsheets/d/1H1EalTWKUSzO4Z1-1CwzoDUaVffgrThEBe2sl74kKG0/edit?usp=sharing"",""สุพรรณบุรี!J740"")"),0)</f>
        <v>0</v>
      </c>
      <c r="AE72" s="375">
        <f t="shared" ca="1" si="54"/>
        <v>0</v>
      </c>
      <c r="AF72" s="540">
        <f ca="1">IFERROR(__xludf.DUMMYFUNCTION("IMPORTRANGE(""https://docs.google.com/spreadsheets/d/1H1EalTWKUSzO4Z1-1CwzoDUaVffgrThEBe2sl74kKG0/edit?usp=sharing"",""สุพรรณบุรี!J741"")"),0)</f>
        <v>0</v>
      </c>
      <c r="AG72" s="540">
        <f ca="1">IFERROR(__xludf.DUMMYFUNCTION("IMPORTRANGE(""https://docs.google.com/spreadsheets/d/1H1EalTWKUSzO4Z1-1CwzoDUaVffgrThEBe2sl74kKG0/edit?usp=sharing"",""สุพรรณบุรี!I742"")"),24)</f>
        <v>24</v>
      </c>
      <c r="AH72" s="540">
        <f ca="1">IFERROR(__xludf.DUMMYFUNCTION("IMPORTRANGE(""https://docs.google.com/spreadsheets/d/1H1EalTWKUSzO4Z1-1CwzoDUaVffgrThEBe2sl74kKG0/edit?usp=sharing"",""สุพรรณบุรี!J742"")"),0)</f>
        <v>0</v>
      </c>
      <c r="AI72" s="375">
        <f t="shared" ca="1" si="56"/>
        <v>0</v>
      </c>
      <c r="AJ72" s="540">
        <f ca="1">IFERROR(__xludf.DUMMYFUNCTION("IMPORTRANGE(""https://docs.google.com/spreadsheets/d/1H1EalTWKUSzO4Z1-1CwzoDUaVffgrThEBe2sl74kKG0/edit?usp=sharing"",""สุพรรณบุรี!I744"")"),60)</f>
        <v>60</v>
      </c>
      <c r="AK72" s="540">
        <f ca="1">IFERROR(__xludf.DUMMYFUNCTION("IMPORTRANGE(""https://docs.google.com/spreadsheets/d/1H1EalTWKUSzO4Z1-1CwzoDUaVffgrThEBe2sl74kKG0/edit?usp=sharing"",""สุพรรณบุรี!J744"")"),0)</f>
        <v>0</v>
      </c>
      <c r="AL72" s="375">
        <f t="shared" ca="1" si="58"/>
        <v>0</v>
      </c>
      <c r="AM72" s="540">
        <f ca="1">IFERROR(__xludf.DUMMYFUNCTION("IMPORTRANGE(""https://docs.google.com/spreadsheets/d/1H1EalTWKUSzO4Z1-1CwzoDUaVffgrThEBe2sl74kKG0/edit?usp=sharing"",""สุพรรณบุรี!J745"")"),0)</f>
        <v>0</v>
      </c>
      <c r="AN72" s="540">
        <f ca="1">IFERROR(__xludf.DUMMYFUNCTION("IMPORTRANGE(""https://docs.google.com/spreadsheets/d/1H1EalTWKUSzO4Z1-1CwzoDUaVffgrThEBe2sl74kKG0/edit?usp=sharing"",""สุพรรณบุรี!I746"")"),6)</f>
        <v>6</v>
      </c>
      <c r="AO72" s="540">
        <f ca="1">IFERROR(__xludf.DUMMYFUNCTION("IMPORTRANGE(""https://docs.google.com/spreadsheets/d/1H1EalTWKUSzO4Z1-1CwzoDUaVffgrThEBe2sl74kKG0/edit?usp=sharing"",""สุพรรณบุรี!J746"")"),0)</f>
        <v>0</v>
      </c>
      <c r="AP72" s="375">
        <f t="shared" ca="1" si="60"/>
        <v>0</v>
      </c>
      <c r="AQ72" s="540">
        <f ca="1">IFERROR(__xludf.DUMMYFUNCTION("IMPORTRANGE(""https://docs.google.com/spreadsheets/d/1H1EalTWKUSzO4Z1-1CwzoDUaVffgrThEBe2sl74kKG0/edit?usp=sharing"",""สุพรรณบุรี!J748"")"),0)</f>
        <v>0</v>
      </c>
      <c r="AR72" s="540">
        <f ca="1">IFERROR(__xludf.DUMMYFUNCTION("IMPORTRANGE(""https://docs.google.com/spreadsheets/d/1H1EalTWKUSzO4Z1-1CwzoDUaVffgrThEBe2sl74kKG0/edit?usp=sharing"",""สุพรรณบุรี!I749"")"),1)</f>
        <v>1</v>
      </c>
      <c r="AS72" s="540">
        <f ca="1">IFERROR(__xludf.DUMMYFUNCTION("IMPORTRANGE(""https://docs.google.com/spreadsheets/d/1H1EalTWKUSzO4Z1-1CwzoDUaVffgrThEBe2sl74kKG0/edit?usp=sharing"",""สุพรรณบุรี!J749"")"),0)</f>
        <v>0</v>
      </c>
      <c r="AT72" s="375">
        <f t="shared" ca="1" si="62"/>
        <v>0</v>
      </c>
      <c r="AU72" s="540">
        <f ca="1">IFERROR(__xludf.DUMMYFUNCTION("IMPORTRANGE(""https://docs.google.com/spreadsheets/d/1H1EalTWKUSzO4Z1-1CwzoDUaVffgrThEBe2sl74kKG0/edit?usp=sharing"",""สุพรรณบุรี!I752"")"),24)</f>
        <v>24</v>
      </c>
      <c r="AV72" s="540">
        <f ca="1">IFERROR(__xludf.DUMMYFUNCTION("IMPORTRANGE(""https://docs.google.com/spreadsheets/d/1H1EalTWKUSzO4Z1-1CwzoDUaVffgrThEBe2sl74kKG0/edit?usp=sharing"",""สุพรรณบุรี!J752"")"),0)</f>
        <v>0</v>
      </c>
      <c r="AW72" s="375">
        <f t="shared" ca="1" si="64"/>
        <v>0</v>
      </c>
      <c r="AX72" s="540">
        <f ca="1">IFERROR(__xludf.DUMMYFUNCTION("IMPORTRANGE(""https://docs.google.com/spreadsheets/d/1H1EalTWKUSzO4Z1-1CwzoDUaVffgrThEBe2sl74kKG0/edit?usp=sharing"",""สุพรรณบุรี!J753"")"),0)</f>
        <v>0</v>
      </c>
      <c r="AY72" s="540">
        <f ca="1">IFERROR(__xludf.DUMMYFUNCTION("IMPORTRANGE(""https://docs.google.com/spreadsheets/d/1H1EalTWKUSzO4Z1-1CwzoDUaVffgrThEBe2sl74kKG0/edit?usp=sharing"",""สุพรรณบุรี!I755"")"),6)</f>
        <v>6</v>
      </c>
      <c r="AZ72" s="540">
        <f ca="1">IFERROR(__xludf.DUMMYFUNCTION("IMPORTRANGE(""https://docs.google.com/spreadsheets/d/1H1EalTWKUSzO4Z1-1CwzoDUaVffgrThEBe2sl74kKG0/edit?usp=sharing"",""สุพรรณบุรี!J755"")"),0)</f>
        <v>0</v>
      </c>
      <c r="BA72" s="375">
        <f t="shared" ca="1" si="66"/>
        <v>0</v>
      </c>
      <c r="BB72" s="540">
        <f ca="1">IFERROR(__xludf.DUMMYFUNCTION("IMPORTRANGE(""https://docs.google.com/spreadsheets/d/1H1EalTWKUSzO4Z1-1CwzoDUaVffgrThEBe2sl74kKG0/edit?usp=sharing"",""สุพรรณบุรี!J756"")"),0)</f>
        <v>0</v>
      </c>
    </row>
    <row r="73" spans="1:54" ht="23.25" customHeight="1" x14ac:dyDescent="0.3">
      <c r="A73" s="548">
        <v>21</v>
      </c>
      <c r="B73" s="549" t="s">
        <v>99</v>
      </c>
      <c r="C73" s="550">
        <f t="shared" si="39"/>
        <v>0</v>
      </c>
      <c r="D73" s="551">
        <f t="shared" si="89"/>
        <v>0</v>
      </c>
      <c r="E73" s="552">
        <v>0</v>
      </c>
      <c r="F73" s="552">
        <v>0</v>
      </c>
      <c r="G73" s="552">
        <v>0</v>
      </c>
      <c r="H73" s="552">
        <v>0</v>
      </c>
      <c r="I73" s="552">
        <v>0</v>
      </c>
      <c r="J73" s="553">
        <f t="shared" si="41"/>
        <v>0</v>
      </c>
      <c r="K73" s="554">
        <f t="shared" si="42"/>
        <v>0</v>
      </c>
      <c r="L73" s="552">
        <v>0</v>
      </c>
      <c r="M73" s="555">
        <f t="shared" si="43"/>
        <v>0</v>
      </c>
      <c r="N73" s="555">
        <f t="shared" si="44"/>
        <v>0</v>
      </c>
      <c r="O73" s="552">
        <v>0</v>
      </c>
      <c r="P73" s="556">
        <f t="shared" si="45"/>
        <v>0</v>
      </c>
      <c r="Q73" s="555">
        <f t="shared" si="46"/>
        <v>0</v>
      </c>
      <c r="R73" s="555">
        <f ca="1">IFERROR(__xludf.DUMMYFUNCTION("IMPORTRANGE(""https://docs.google.com/spreadsheets/d/1BmIruG_sIrJLYao_Pdr7zVArWsfoBt2692TMi6x_854/edit?usp=sharing"",""อ่างทอง!Q728"")"),0)</f>
        <v>0</v>
      </c>
      <c r="S73" s="555">
        <f ca="1">IFERROR(__xludf.DUMMYFUNCTION("IMPORTRANGE(""https://docs.google.com/spreadsheets/d/1BmIruG_sIrJLYao_Pdr7zVArWsfoBt2692TMi6x_854/edit?usp=sharing"",""อ่างทอง!R728"")"),0)</f>
        <v>0</v>
      </c>
      <c r="T73" s="555">
        <f ca="1">IFERROR(__xludf.DUMMYFUNCTION("IMPORTRANGE(""https://docs.google.com/spreadsheets/d/1BmIruG_sIrJLYao_Pdr7zVArWsfoBt2692TMi6x_854/edit?usp=sharing"",""อ่างทอง!S728"")"),0)</f>
        <v>0</v>
      </c>
      <c r="U73" s="555">
        <f t="shared" ca="1" si="48"/>
        <v>0</v>
      </c>
      <c r="V73" s="555">
        <f t="shared" ca="1" si="49"/>
        <v>0</v>
      </c>
      <c r="W73" s="557">
        <f ca="1">IFERROR(__xludf.DUMMYFUNCTION("IMPORTRANGE(""https://docs.google.com/spreadsheets/d/1BmIruG_sIrJLYao_Pdr7zVArWsfoBt2692TMi6x_854/edit?usp=sharing"",""อ่างทอง!I726"")"),0)</f>
        <v>0</v>
      </c>
      <c r="X73" s="558">
        <f ca="1">IFERROR(__xludf.DUMMYFUNCTION("IMPORTRANGE(""https://docs.google.com/spreadsheets/d/1BmIruG_sIrJLYao_Pdr7zVArWsfoBt2692TMi6x_854/edit?usp=sharing"",""อ่างทอง!I727"")"),0)</f>
        <v>0</v>
      </c>
      <c r="Y73" s="558">
        <f ca="1">IFERROR(__xludf.DUMMYFUNCTION("IMPORTRANGE(""https://docs.google.com/spreadsheets/d/1BmIruG_sIrJLYao_Pdr7zVArWsfoBt2692TMi6x_854/edit?usp=sharing"",""อ่างทอง!J726"")"),0)</f>
        <v>0</v>
      </c>
      <c r="Z73" s="376">
        <f t="shared" ca="1" si="51"/>
        <v>0</v>
      </c>
      <c r="AA73" s="558">
        <f ca="1">IFERROR(__xludf.DUMMYFUNCTION("IMPORTRANGE(""https://docs.google.com/spreadsheets/d/1BmIruG_sIrJLYao_Pdr7zVArWsfoBt2692TMi6x_854/edit?usp=sharing"",""อ่างทอง!J727"")"),0)</f>
        <v>0</v>
      </c>
      <c r="AB73" s="376">
        <f t="shared" ca="1" si="52"/>
        <v>0</v>
      </c>
      <c r="AC73" s="558">
        <f ca="1">IFERROR(__xludf.DUMMYFUNCTION("IMPORTRANGE(""https://docs.google.com/spreadsheets/d/1BmIruG_sIrJLYao_Pdr7zVArWsfoBt2692TMi6x_854/edit?usp=sharing"",""อ่างทอง!I740"")"),0)</f>
        <v>0</v>
      </c>
      <c r="AD73" s="558">
        <f ca="1">IFERROR(__xludf.DUMMYFUNCTION("IMPORTRANGE(""https://docs.google.com/spreadsheets/d/1BmIruG_sIrJLYao_Pdr7zVArWsfoBt2692TMi6x_854/edit?usp=sharing"",""อ่างทอง!J740"")"),0)</f>
        <v>0</v>
      </c>
      <c r="AE73" s="376">
        <f t="shared" ca="1" si="54"/>
        <v>0</v>
      </c>
      <c r="AF73" s="558">
        <f ca="1">IFERROR(__xludf.DUMMYFUNCTION("IMPORTRANGE(""https://docs.google.com/spreadsheets/d/1BmIruG_sIrJLYao_Pdr7zVArWsfoBt2692TMi6x_854/edit?usp=sharing"",""อ่างทอง!J741"")"),0)</f>
        <v>0</v>
      </c>
      <c r="AG73" s="558">
        <f ca="1">IFERROR(__xludf.DUMMYFUNCTION("IMPORTRANGE(""https://docs.google.com/spreadsheets/d/1BmIruG_sIrJLYao_Pdr7zVArWsfoBt2692TMi6x_854/edit?usp=sharing"",""อ่างทอง!I742"")"),0)</f>
        <v>0</v>
      </c>
      <c r="AH73" s="558">
        <f ca="1">IFERROR(__xludf.DUMMYFUNCTION("IMPORTRANGE(""https://docs.google.com/spreadsheets/d/1BmIruG_sIrJLYao_Pdr7zVArWsfoBt2692TMi6x_854/edit?usp=sharing"",""อ่างทอง!J742"")"),0)</f>
        <v>0</v>
      </c>
      <c r="AI73" s="376">
        <f t="shared" ca="1" si="56"/>
        <v>0</v>
      </c>
      <c r="AJ73" s="558">
        <f ca="1">IFERROR(__xludf.DUMMYFUNCTION("IMPORTRANGE(""https://docs.google.com/spreadsheets/d/1BmIruG_sIrJLYao_Pdr7zVArWsfoBt2692TMi6x_854/edit?usp=sharing"",""อ่างทอง!I744"")"),0)</f>
        <v>0</v>
      </c>
      <c r="AK73" s="558">
        <f ca="1">IFERROR(__xludf.DUMMYFUNCTION("IMPORTRANGE(""https://docs.google.com/spreadsheets/d/1BmIruG_sIrJLYao_Pdr7zVArWsfoBt2692TMi6x_854/edit?usp=sharing"",""อ่างทอง!J744"")"),0)</f>
        <v>0</v>
      </c>
      <c r="AL73" s="376">
        <f t="shared" ca="1" si="58"/>
        <v>0</v>
      </c>
      <c r="AM73" s="558">
        <f ca="1">IFERROR(__xludf.DUMMYFUNCTION("IMPORTRANGE(""https://docs.google.com/spreadsheets/d/1BmIruG_sIrJLYao_Pdr7zVArWsfoBt2692TMi6x_854/edit?usp=sharing"",""อ่างทอง!J745"")"),0)</f>
        <v>0</v>
      </c>
      <c r="AN73" s="558">
        <f ca="1">IFERROR(__xludf.DUMMYFUNCTION("IMPORTRANGE(""https://docs.google.com/spreadsheets/d/1BmIruG_sIrJLYao_Pdr7zVArWsfoBt2692TMi6x_854/edit?usp=sharing"",""อ่างทอง!I746"")"),0)</f>
        <v>0</v>
      </c>
      <c r="AO73" s="558">
        <f ca="1">IFERROR(__xludf.DUMMYFUNCTION("IMPORTRANGE(""https://docs.google.com/spreadsheets/d/1BmIruG_sIrJLYao_Pdr7zVArWsfoBt2692TMi6x_854/edit?usp=sharing"",""อ่างทอง!J746"")"),0)</f>
        <v>0</v>
      </c>
      <c r="AP73" s="376">
        <f t="shared" ca="1" si="60"/>
        <v>0</v>
      </c>
      <c r="AQ73" s="558">
        <f ca="1">IFERROR(__xludf.DUMMYFUNCTION("IMPORTRANGE(""https://docs.google.com/spreadsheets/d/1BmIruG_sIrJLYao_Pdr7zVArWsfoBt2692TMi6x_854/edit?usp=sharing"",""อ่างทอง!J748"")"),0)</f>
        <v>0</v>
      </c>
      <c r="AR73" s="558">
        <f ca="1">IFERROR(__xludf.DUMMYFUNCTION("IMPORTRANGE(""https://docs.google.com/spreadsheets/d/1BmIruG_sIrJLYao_Pdr7zVArWsfoBt2692TMi6x_854/edit?usp=sharing"",""อ่างทอง!I749"")"),0)</f>
        <v>0</v>
      </c>
      <c r="AS73" s="558">
        <f ca="1">IFERROR(__xludf.DUMMYFUNCTION("IMPORTRANGE(""https://docs.google.com/spreadsheets/d/1BmIruG_sIrJLYao_Pdr7zVArWsfoBt2692TMi6x_854/edit?usp=sharing"",""อ่างทอง!J749"")"),0)</f>
        <v>0</v>
      </c>
      <c r="AT73" s="376">
        <f t="shared" ca="1" si="62"/>
        <v>0</v>
      </c>
      <c r="AU73" s="558">
        <f ca="1">IFERROR(__xludf.DUMMYFUNCTION("IMPORTRANGE(""https://docs.google.com/spreadsheets/d/1BmIruG_sIrJLYao_Pdr7zVArWsfoBt2692TMi6x_854/edit?usp=sharing"",""อ่างทอง!I752"")"),0)</f>
        <v>0</v>
      </c>
      <c r="AV73" s="558">
        <f ca="1">IFERROR(__xludf.DUMMYFUNCTION("IMPORTRANGE(""https://docs.google.com/spreadsheets/d/1BmIruG_sIrJLYao_Pdr7zVArWsfoBt2692TMi6x_854/edit?usp=sharing"",""อ่างทอง!J752"")"),0)</f>
        <v>0</v>
      </c>
      <c r="AW73" s="376">
        <f t="shared" ca="1" si="64"/>
        <v>0</v>
      </c>
      <c r="AX73" s="558">
        <f ca="1">IFERROR(__xludf.DUMMYFUNCTION("IMPORTRANGE(""https://docs.google.com/spreadsheets/d/1BmIruG_sIrJLYao_Pdr7zVArWsfoBt2692TMi6x_854/edit?usp=sharing"",""อ่างทอง!J753"")"),0)</f>
        <v>0</v>
      </c>
      <c r="AY73" s="558">
        <f ca="1">IFERROR(__xludf.DUMMYFUNCTION("IMPORTRANGE(""https://docs.google.com/spreadsheets/d/1BmIruG_sIrJLYao_Pdr7zVArWsfoBt2692TMi6x_854/edit?usp=sharing"",""อ่างทอง!I755"")"),0)</f>
        <v>0</v>
      </c>
      <c r="AZ73" s="558">
        <f ca="1">IFERROR(__xludf.DUMMYFUNCTION("IMPORTRANGE(""https://docs.google.com/spreadsheets/d/1BmIruG_sIrJLYao_Pdr7zVArWsfoBt2692TMi6x_854/edit?usp=sharing"",""อ่างทอง!J755"")"),0)</f>
        <v>0</v>
      </c>
      <c r="BA73" s="376">
        <f t="shared" ca="1" si="66"/>
        <v>0</v>
      </c>
      <c r="BB73" s="558">
        <f ca="1">IFERROR(__xludf.DUMMYFUNCTION("IMPORTRANGE(""https://docs.google.com/spreadsheets/d/1BmIruG_sIrJLYao_Pdr7zVArWsfoBt2692TMi6x_854/edit?usp=sharing"",""อ่างทอง!J756"")"),0)</f>
        <v>0</v>
      </c>
    </row>
    <row r="74" spans="1:54" ht="23.25" customHeight="1" x14ac:dyDescent="0.3">
      <c r="A74" s="636" t="s">
        <v>100</v>
      </c>
      <c r="B74" s="633"/>
      <c r="C74" s="490">
        <f t="shared" si="39"/>
        <v>0</v>
      </c>
      <c r="D74" s="490">
        <f t="shared" ref="D74:I74" si="90">SUM(D75:D88)</f>
        <v>0</v>
      </c>
      <c r="E74" s="490">
        <f t="shared" si="90"/>
        <v>0</v>
      </c>
      <c r="F74" s="490">
        <f t="shared" si="90"/>
        <v>0</v>
      </c>
      <c r="G74" s="490">
        <f t="shared" si="90"/>
        <v>0</v>
      </c>
      <c r="H74" s="490">
        <f t="shared" si="90"/>
        <v>0</v>
      </c>
      <c r="I74" s="490">
        <f t="shared" si="90"/>
        <v>0</v>
      </c>
      <c r="J74" s="490">
        <f t="shared" si="41"/>
        <v>0</v>
      </c>
      <c r="K74" s="522">
        <f t="shared" si="42"/>
        <v>0</v>
      </c>
      <c r="L74" s="490">
        <f>SUM(L75:L88)</f>
        <v>0</v>
      </c>
      <c r="M74" s="491">
        <f t="shared" si="43"/>
        <v>0</v>
      </c>
      <c r="N74" s="491">
        <f t="shared" si="44"/>
        <v>0</v>
      </c>
      <c r="O74" s="523">
        <f>SUM(O75:O88)</f>
        <v>0</v>
      </c>
      <c r="P74" s="523">
        <f t="shared" si="45"/>
        <v>0</v>
      </c>
      <c r="Q74" s="491">
        <f t="shared" si="46"/>
        <v>0</v>
      </c>
      <c r="R74" s="491">
        <f t="shared" ref="R74:T74" ca="1" si="91">SUM(R75:R88)</f>
        <v>2422324</v>
      </c>
      <c r="S74" s="491">
        <f t="shared" ca="1" si="91"/>
        <v>0</v>
      </c>
      <c r="T74" s="491">
        <f t="shared" ca="1" si="91"/>
        <v>86390</v>
      </c>
      <c r="U74" s="491">
        <f t="shared" ca="1" si="48"/>
        <v>3.5664097783781195</v>
      </c>
      <c r="V74" s="491">
        <f t="shared" ca="1" si="49"/>
        <v>0</v>
      </c>
      <c r="W74" s="524">
        <f t="shared" ref="W74:Y74" ca="1" si="92">SUM(W75:W88)</f>
        <v>284</v>
      </c>
      <c r="X74" s="262">
        <f t="shared" ca="1" si="92"/>
        <v>2700</v>
      </c>
      <c r="Y74" s="262">
        <f t="shared" ca="1" si="92"/>
        <v>0</v>
      </c>
      <c r="Z74" s="234">
        <f t="shared" ca="1" si="51"/>
        <v>0</v>
      </c>
      <c r="AA74" s="262">
        <f ca="1">SUM(AA75:AA88)</f>
        <v>0</v>
      </c>
      <c r="AB74" s="234">
        <f t="shared" ca="1" si="52"/>
        <v>0</v>
      </c>
      <c r="AC74" s="262">
        <f t="shared" ref="AC74:AD74" ca="1" si="93">SUM(AC75:AC88)</f>
        <v>2160</v>
      </c>
      <c r="AD74" s="262">
        <f t="shared" ca="1" si="93"/>
        <v>0</v>
      </c>
      <c r="AE74" s="234">
        <f t="shared" ca="1" si="54"/>
        <v>0</v>
      </c>
      <c r="AF74" s="262">
        <f t="shared" ref="AF74:AH74" ca="1" si="94">SUM(AF75:AF88)</f>
        <v>0</v>
      </c>
      <c r="AG74" s="262">
        <f t="shared" ca="1" si="94"/>
        <v>216</v>
      </c>
      <c r="AH74" s="262">
        <f t="shared" ca="1" si="94"/>
        <v>0</v>
      </c>
      <c r="AI74" s="234">
        <f t="shared" ca="1" si="56"/>
        <v>0</v>
      </c>
      <c r="AJ74" s="262">
        <f t="shared" ref="AJ74:AK74" ca="1" si="95">SUM(AJ75:AJ88)</f>
        <v>540</v>
      </c>
      <c r="AK74" s="262">
        <f t="shared" ca="1" si="95"/>
        <v>0</v>
      </c>
      <c r="AL74" s="234">
        <f t="shared" ca="1" si="58"/>
        <v>0</v>
      </c>
      <c r="AM74" s="262">
        <f t="shared" ref="AM74:AO74" ca="1" si="96">SUM(AM75:AM88)</f>
        <v>0</v>
      </c>
      <c r="AN74" s="262">
        <f t="shared" ca="1" si="96"/>
        <v>54</v>
      </c>
      <c r="AO74" s="262">
        <f t="shared" ca="1" si="96"/>
        <v>0</v>
      </c>
      <c r="AP74" s="234">
        <f t="shared" ca="1" si="60"/>
        <v>0</v>
      </c>
      <c r="AQ74" s="262">
        <f t="shared" ref="AQ74:AS74" ca="1" si="97">SUM(AQ75:AQ88)</f>
        <v>0</v>
      </c>
      <c r="AR74" s="262">
        <f t="shared" ca="1" si="97"/>
        <v>14</v>
      </c>
      <c r="AS74" s="262">
        <f t="shared" ca="1" si="97"/>
        <v>0</v>
      </c>
      <c r="AT74" s="234">
        <f t="shared" ca="1" si="62"/>
        <v>0</v>
      </c>
      <c r="AU74" s="262">
        <f t="shared" ref="AU74:AV74" ca="1" si="98">SUM(AU75:AU88)</f>
        <v>216</v>
      </c>
      <c r="AV74" s="262">
        <f t="shared" ca="1" si="98"/>
        <v>0</v>
      </c>
      <c r="AW74" s="234">
        <f t="shared" ca="1" si="64"/>
        <v>0</v>
      </c>
      <c r="AX74" s="262">
        <f t="shared" ref="AX74:AZ74" ca="1" si="99">SUM(AX75:AX88)</f>
        <v>0</v>
      </c>
      <c r="AY74" s="262">
        <f t="shared" ca="1" si="99"/>
        <v>54</v>
      </c>
      <c r="AZ74" s="262">
        <f t="shared" ca="1" si="99"/>
        <v>0</v>
      </c>
      <c r="BA74" s="234">
        <f t="shared" ca="1" si="66"/>
        <v>0</v>
      </c>
      <c r="BB74" s="262">
        <f ca="1">SUM(BB75:BB88)</f>
        <v>0</v>
      </c>
    </row>
    <row r="75" spans="1:54" ht="23.25" customHeight="1" x14ac:dyDescent="0.3">
      <c r="A75" s="535">
        <v>1</v>
      </c>
      <c r="B75" s="536" t="s">
        <v>101</v>
      </c>
      <c r="C75" s="537">
        <f t="shared" si="39"/>
        <v>0</v>
      </c>
      <c r="D75" s="538">
        <f t="shared" ref="D75:D88" si="100">+E75+F75</f>
        <v>0</v>
      </c>
      <c r="E75" s="539">
        <v>0</v>
      </c>
      <c r="F75" s="539">
        <v>0</v>
      </c>
      <c r="G75" s="539">
        <v>0</v>
      </c>
      <c r="H75" s="539">
        <v>0</v>
      </c>
      <c r="I75" s="539">
        <v>0</v>
      </c>
      <c r="J75" s="545">
        <f t="shared" si="41"/>
        <v>0</v>
      </c>
      <c r="K75" s="546">
        <f t="shared" si="42"/>
        <v>0</v>
      </c>
      <c r="L75" s="539">
        <v>0</v>
      </c>
      <c r="M75" s="542">
        <f t="shared" si="43"/>
        <v>0</v>
      </c>
      <c r="N75" s="542">
        <f t="shared" si="44"/>
        <v>0</v>
      </c>
      <c r="O75" s="539">
        <v>0</v>
      </c>
      <c r="P75" s="543">
        <f t="shared" si="45"/>
        <v>0</v>
      </c>
      <c r="Q75" s="542">
        <f t="shared" si="46"/>
        <v>0</v>
      </c>
      <c r="R75" s="542">
        <f ca="1">IFERROR(__xludf.DUMMYFUNCTION("IMPORTRANGE(""https://docs.google.com/spreadsheets/d/1kKUcYdkIfrgTSj8iHHHB2MD2FAtwyyocFgqGQn6ADyI/edit?usp=sharing"",""กระบี่!Q728"")"),143438)</f>
        <v>143438</v>
      </c>
      <c r="S75" s="542">
        <f ca="1">IFERROR(__xludf.DUMMYFUNCTION("IMPORTRANGE(""https://docs.google.com/spreadsheets/d/1kKUcYdkIfrgTSj8iHHHB2MD2FAtwyyocFgqGQn6ADyI/edit?usp=sharing"",""กระบี่!R728"")"),0)</f>
        <v>0</v>
      </c>
      <c r="T75" s="542">
        <f ca="1">IFERROR(__xludf.DUMMYFUNCTION("IMPORTRANGE(""https://docs.google.com/spreadsheets/d/1kKUcYdkIfrgTSj8iHHHB2MD2FAtwyyocFgqGQn6ADyI/edit?usp=sharing"",""กระบี่!S728"")"),31320)</f>
        <v>31320</v>
      </c>
      <c r="U75" s="542">
        <f t="shared" ca="1" si="48"/>
        <v>21.835218003597372</v>
      </c>
      <c r="V75" s="542">
        <f t="shared" ca="1" si="49"/>
        <v>0</v>
      </c>
      <c r="W75" s="544">
        <f ca="1">IFERROR(__xludf.DUMMYFUNCTION("IMPORTRANGE(""https://docs.google.com/spreadsheets/d/1kKUcYdkIfrgTSj8iHHHB2MD2FAtwyyocFgqGQn6ADyI/edit?usp=sharing"",""กระบี่!I726"")"),16)</f>
        <v>16</v>
      </c>
      <c r="X75" s="540">
        <f ca="1">IFERROR(__xludf.DUMMYFUNCTION("IMPORTRANGE(""https://docs.google.com/spreadsheets/d/1kKUcYdkIfrgTSj8iHHHB2MD2FAtwyyocFgqGQn6ADyI/edit?usp=sharing"",""กระบี่!I727"")"),150)</f>
        <v>150</v>
      </c>
      <c r="Y75" s="540">
        <f ca="1">IFERROR(__xludf.DUMMYFUNCTION("IMPORTRANGE(""https://docs.google.com/spreadsheets/d/1kKUcYdkIfrgTSj8iHHHB2MD2FAtwyyocFgqGQn6ADyI/edit?usp=sharing"",""กระบี่!J726"")"),0)</f>
        <v>0</v>
      </c>
      <c r="Z75" s="375">
        <f t="shared" ca="1" si="51"/>
        <v>0</v>
      </c>
      <c r="AA75" s="540">
        <f ca="1">IFERROR(__xludf.DUMMYFUNCTION("IMPORTRANGE(""https://docs.google.com/spreadsheets/d/1kKUcYdkIfrgTSj8iHHHB2MD2FAtwyyocFgqGQn6ADyI/edit?usp=sharing"",""กระบี่!J727"")"),0)</f>
        <v>0</v>
      </c>
      <c r="AB75" s="375">
        <f t="shared" ca="1" si="52"/>
        <v>0</v>
      </c>
      <c r="AC75" s="540">
        <f ca="1">IFERROR(__xludf.DUMMYFUNCTION("IMPORTRANGE(""https://docs.google.com/spreadsheets/d/1kKUcYdkIfrgTSj8iHHHB2MD2FAtwyyocFgqGQn6ADyI/edit?usp=sharing"",""กระบี่!I740"")"),120)</f>
        <v>120</v>
      </c>
      <c r="AD75" s="540">
        <f ca="1">IFERROR(__xludf.DUMMYFUNCTION("IMPORTRANGE(""https://docs.google.com/spreadsheets/d/1kKUcYdkIfrgTSj8iHHHB2MD2FAtwyyocFgqGQn6ADyI/edit?usp=sharing"",""กระบี่!J740"")"),0)</f>
        <v>0</v>
      </c>
      <c r="AE75" s="375">
        <f t="shared" ca="1" si="54"/>
        <v>0</v>
      </c>
      <c r="AF75" s="540">
        <f ca="1">IFERROR(__xludf.DUMMYFUNCTION("IMPORTRANGE(""https://docs.google.com/spreadsheets/d/1kKUcYdkIfrgTSj8iHHHB2MD2FAtwyyocFgqGQn6ADyI/edit?usp=sharing"",""กระบี่!J741"")"),0)</f>
        <v>0</v>
      </c>
      <c r="AG75" s="540">
        <f ca="1">IFERROR(__xludf.DUMMYFUNCTION("IMPORTRANGE(""https://docs.google.com/spreadsheets/d/1kKUcYdkIfrgTSj8iHHHB2MD2FAtwyyocFgqGQn6ADyI/edit?usp=sharing"",""กระบี่!I742"")"),12)</f>
        <v>12</v>
      </c>
      <c r="AH75" s="540">
        <f ca="1">IFERROR(__xludf.DUMMYFUNCTION("IMPORTRANGE(""https://docs.google.com/spreadsheets/d/1kKUcYdkIfrgTSj8iHHHB2MD2FAtwyyocFgqGQn6ADyI/edit?usp=sharing"",""กระบี่!J742"")"),0)</f>
        <v>0</v>
      </c>
      <c r="AI75" s="375">
        <f t="shared" ca="1" si="56"/>
        <v>0</v>
      </c>
      <c r="AJ75" s="540">
        <f ca="1">IFERROR(__xludf.DUMMYFUNCTION("IMPORTRANGE(""https://docs.google.com/spreadsheets/d/1kKUcYdkIfrgTSj8iHHHB2MD2FAtwyyocFgqGQn6ADyI/edit?usp=sharing"",""กระบี่!I744"")"),30)</f>
        <v>30</v>
      </c>
      <c r="AK75" s="540">
        <f ca="1">IFERROR(__xludf.DUMMYFUNCTION("IMPORTRANGE(""https://docs.google.com/spreadsheets/d/1kKUcYdkIfrgTSj8iHHHB2MD2FAtwyyocFgqGQn6ADyI/edit?usp=sharing"",""กระบี่!J744"")"),0)</f>
        <v>0</v>
      </c>
      <c r="AL75" s="375">
        <f t="shared" ca="1" si="58"/>
        <v>0</v>
      </c>
      <c r="AM75" s="540">
        <f ca="1">IFERROR(__xludf.DUMMYFUNCTION("IMPORTRANGE(""https://docs.google.com/spreadsheets/d/1kKUcYdkIfrgTSj8iHHHB2MD2FAtwyyocFgqGQn6ADyI/edit?usp=sharing"",""กระบี่!J745"")"),0)</f>
        <v>0</v>
      </c>
      <c r="AN75" s="540">
        <f ca="1">IFERROR(__xludf.DUMMYFUNCTION("IMPORTRANGE(""https://docs.google.com/spreadsheets/d/1kKUcYdkIfrgTSj8iHHHB2MD2FAtwyyocFgqGQn6ADyI/edit?usp=sharing"",""กระบี่!I746"")"),3)</f>
        <v>3</v>
      </c>
      <c r="AO75" s="540">
        <f ca="1">IFERROR(__xludf.DUMMYFUNCTION("IMPORTRANGE(""https://docs.google.com/spreadsheets/d/1kKUcYdkIfrgTSj8iHHHB2MD2FAtwyyocFgqGQn6ADyI/edit?usp=sharing"",""กระบี่!J746"")"),0)</f>
        <v>0</v>
      </c>
      <c r="AP75" s="375">
        <f t="shared" ca="1" si="60"/>
        <v>0</v>
      </c>
      <c r="AQ75" s="540">
        <f ca="1">IFERROR(__xludf.DUMMYFUNCTION("IMPORTRANGE(""https://docs.google.com/spreadsheets/d/1kKUcYdkIfrgTSj8iHHHB2MD2FAtwyyocFgqGQn6ADyI/edit?usp=sharing"",""กระบี่!J748"")"),0)</f>
        <v>0</v>
      </c>
      <c r="AR75" s="540">
        <f ca="1">IFERROR(__xludf.DUMMYFUNCTION("IMPORTRANGE(""https://docs.google.com/spreadsheets/d/1kKUcYdkIfrgTSj8iHHHB2MD2FAtwyyocFgqGQn6ADyI/edit?usp=sharing"",""กระบี่!I749"")"),1)</f>
        <v>1</v>
      </c>
      <c r="AS75" s="540">
        <f ca="1">IFERROR(__xludf.DUMMYFUNCTION("IMPORTRANGE(""https://docs.google.com/spreadsheets/d/1kKUcYdkIfrgTSj8iHHHB2MD2FAtwyyocFgqGQn6ADyI/edit?usp=sharing"",""กระบี่!J749"")"),0)</f>
        <v>0</v>
      </c>
      <c r="AT75" s="375">
        <f t="shared" ca="1" si="62"/>
        <v>0</v>
      </c>
      <c r="AU75" s="540">
        <f ca="1">IFERROR(__xludf.DUMMYFUNCTION("IMPORTRANGE(""https://docs.google.com/spreadsheets/d/1kKUcYdkIfrgTSj8iHHHB2MD2FAtwyyocFgqGQn6ADyI/edit?usp=sharing"",""กระบี่!I752"")"),12)</f>
        <v>12</v>
      </c>
      <c r="AV75" s="540">
        <f ca="1">IFERROR(__xludf.DUMMYFUNCTION("IMPORTRANGE(""https://docs.google.com/spreadsheets/d/1kKUcYdkIfrgTSj8iHHHB2MD2FAtwyyocFgqGQn6ADyI/edit?usp=sharing"",""กระบี่!J752"")"),0)</f>
        <v>0</v>
      </c>
      <c r="AW75" s="375">
        <f t="shared" ca="1" si="64"/>
        <v>0</v>
      </c>
      <c r="AX75" s="540">
        <f ca="1">IFERROR(__xludf.DUMMYFUNCTION("IMPORTRANGE(""https://docs.google.com/spreadsheets/d/1kKUcYdkIfrgTSj8iHHHB2MD2FAtwyyocFgqGQn6ADyI/edit?usp=sharing"",""กระบี่!J753"")"),0)</f>
        <v>0</v>
      </c>
      <c r="AY75" s="540">
        <f ca="1">IFERROR(__xludf.DUMMYFUNCTION("IMPORTRANGE(""https://docs.google.com/spreadsheets/d/1kKUcYdkIfrgTSj8iHHHB2MD2FAtwyyocFgqGQn6ADyI/edit?usp=sharing"",""กระบี่!I755"")"),3)</f>
        <v>3</v>
      </c>
      <c r="AZ75" s="540">
        <f ca="1">IFERROR(__xludf.DUMMYFUNCTION("IMPORTRANGE(""https://docs.google.com/spreadsheets/d/1kKUcYdkIfrgTSj8iHHHB2MD2FAtwyyocFgqGQn6ADyI/edit?usp=sharing"",""กระบี่!J755"")"),0)</f>
        <v>0</v>
      </c>
      <c r="BA75" s="375">
        <f t="shared" ca="1" si="66"/>
        <v>0</v>
      </c>
      <c r="BB75" s="540">
        <f ca="1">IFERROR(__xludf.DUMMYFUNCTION("IMPORTRANGE(""https://docs.google.com/spreadsheets/d/1kKUcYdkIfrgTSj8iHHHB2MD2FAtwyyocFgqGQn6ADyI/edit?usp=sharing"",""กระบี่!J756"")"),0)</f>
        <v>0</v>
      </c>
    </row>
    <row r="76" spans="1:54" ht="23.25" customHeight="1" x14ac:dyDescent="0.3">
      <c r="A76" s="535">
        <v>2</v>
      </c>
      <c r="B76" s="536" t="s">
        <v>102</v>
      </c>
      <c r="C76" s="537">
        <f t="shared" si="39"/>
        <v>0</v>
      </c>
      <c r="D76" s="538">
        <f t="shared" si="100"/>
        <v>0</v>
      </c>
      <c r="E76" s="539">
        <v>0</v>
      </c>
      <c r="F76" s="539">
        <v>0</v>
      </c>
      <c r="G76" s="539">
        <v>0</v>
      </c>
      <c r="H76" s="539">
        <v>0</v>
      </c>
      <c r="I76" s="539">
        <v>0</v>
      </c>
      <c r="J76" s="545">
        <f t="shared" si="41"/>
        <v>0</v>
      </c>
      <c r="K76" s="546">
        <f t="shared" si="42"/>
        <v>0</v>
      </c>
      <c r="L76" s="539">
        <v>0</v>
      </c>
      <c r="M76" s="542">
        <f t="shared" si="43"/>
        <v>0</v>
      </c>
      <c r="N76" s="542">
        <f t="shared" si="44"/>
        <v>0</v>
      </c>
      <c r="O76" s="539">
        <v>0</v>
      </c>
      <c r="P76" s="543">
        <f t="shared" si="45"/>
        <v>0</v>
      </c>
      <c r="Q76" s="542">
        <f t="shared" si="46"/>
        <v>0</v>
      </c>
      <c r="R76" s="542">
        <f ca="1">IFERROR(__xludf.DUMMYFUNCTION("IMPORTRANGE(""https://docs.google.com/spreadsheets/d/1GwtLaSlNZkLk7iDqcyZz22giiy40b_usZZBXYciEN1U/edit?usp=sharing"",""ชุมพร!Q728"")"),175994)</f>
        <v>175994</v>
      </c>
      <c r="S76" s="542">
        <f ca="1">IFERROR(__xludf.DUMMYFUNCTION("IMPORTRANGE(""https://docs.google.com/spreadsheets/d/1GwtLaSlNZkLk7iDqcyZz22giiy40b_usZZBXYciEN1U/edit?usp=sharing"",""ชุมพร!R728"")"),0)</f>
        <v>0</v>
      </c>
      <c r="T76" s="542">
        <f ca="1">IFERROR(__xludf.DUMMYFUNCTION("IMPORTRANGE(""https://docs.google.com/spreadsheets/d/1GwtLaSlNZkLk7iDqcyZz22giiy40b_usZZBXYciEN1U/edit?usp=sharing"",""ชุมพร!S728"")"),21780)</f>
        <v>21780</v>
      </c>
      <c r="U76" s="542">
        <f t="shared" ca="1" si="48"/>
        <v>12.375421889382592</v>
      </c>
      <c r="V76" s="542">
        <f t="shared" ca="1" si="49"/>
        <v>0</v>
      </c>
      <c r="W76" s="544">
        <f ca="1">IFERROR(__xludf.DUMMYFUNCTION("IMPORTRANGE(""https://docs.google.com/spreadsheets/d/1GwtLaSlNZkLk7iDqcyZz22giiy40b_usZZBXYciEN1U/edit?usp=sharing"",""ชุมพร!I726"")"),21)</f>
        <v>21</v>
      </c>
      <c r="X76" s="540">
        <f ca="1">IFERROR(__xludf.DUMMYFUNCTION("IMPORTRANGE(""https://docs.google.com/spreadsheets/d/1GwtLaSlNZkLk7iDqcyZz22giiy40b_usZZBXYciEN1U/edit?usp=sharing"",""ชุมพร!I727"")"),200)</f>
        <v>200</v>
      </c>
      <c r="Y76" s="540">
        <f ca="1">IFERROR(__xludf.DUMMYFUNCTION("IMPORTRANGE(""https://docs.google.com/spreadsheets/d/1GwtLaSlNZkLk7iDqcyZz22giiy40b_usZZBXYciEN1U/edit?usp=sharing"",""ชุมพร!J726"")"),0)</f>
        <v>0</v>
      </c>
      <c r="Z76" s="375">
        <f t="shared" ca="1" si="51"/>
        <v>0</v>
      </c>
      <c r="AA76" s="540">
        <f ca="1">IFERROR(__xludf.DUMMYFUNCTION("IMPORTRANGE(""https://docs.google.com/spreadsheets/d/1GwtLaSlNZkLk7iDqcyZz22giiy40b_usZZBXYciEN1U/edit?usp=sharing"",""ชุมพร!J727"")"),0)</f>
        <v>0</v>
      </c>
      <c r="AB76" s="375">
        <f t="shared" ca="1" si="52"/>
        <v>0</v>
      </c>
      <c r="AC76" s="540">
        <f ca="1">IFERROR(__xludf.DUMMYFUNCTION("IMPORTRANGE(""https://docs.google.com/spreadsheets/d/1GwtLaSlNZkLk7iDqcyZz22giiy40b_usZZBXYciEN1U/edit?usp=sharing"",""ชุมพร!I740"")"),160)</f>
        <v>160</v>
      </c>
      <c r="AD76" s="540">
        <f ca="1">IFERROR(__xludf.DUMMYFUNCTION("IMPORTRANGE(""https://docs.google.com/spreadsheets/d/1GwtLaSlNZkLk7iDqcyZz22giiy40b_usZZBXYciEN1U/edit?usp=sharing"",""ชุมพร!J740"")"),0)</f>
        <v>0</v>
      </c>
      <c r="AE76" s="375">
        <f t="shared" ca="1" si="54"/>
        <v>0</v>
      </c>
      <c r="AF76" s="540">
        <f ca="1">IFERROR(__xludf.DUMMYFUNCTION("IMPORTRANGE(""https://docs.google.com/spreadsheets/d/1GwtLaSlNZkLk7iDqcyZz22giiy40b_usZZBXYciEN1U/edit?usp=sharing"",""ชุมพร!J741"")"),0)</f>
        <v>0</v>
      </c>
      <c r="AG76" s="540">
        <f ca="1">IFERROR(__xludf.DUMMYFUNCTION("IMPORTRANGE(""https://docs.google.com/spreadsheets/d/1GwtLaSlNZkLk7iDqcyZz22giiy40b_usZZBXYciEN1U/edit?usp=sharing"",""ชุมพร!I742"")"),16)</f>
        <v>16</v>
      </c>
      <c r="AH76" s="540">
        <f ca="1">IFERROR(__xludf.DUMMYFUNCTION("IMPORTRANGE(""https://docs.google.com/spreadsheets/d/1GwtLaSlNZkLk7iDqcyZz22giiy40b_usZZBXYciEN1U/edit?usp=sharing"",""ชุมพร!J742"")"),0)</f>
        <v>0</v>
      </c>
      <c r="AI76" s="375">
        <f t="shared" ca="1" si="56"/>
        <v>0</v>
      </c>
      <c r="AJ76" s="540">
        <f ca="1">IFERROR(__xludf.DUMMYFUNCTION("IMPORTRANGE(""https://docs.google.com/spreadsheets/d/1GwtLaSlNZkLk7iDqcyZz22giiy40b_usZZBXYciEN1U/edit?usp=sharing"",""ชุมพร!I744"")"),40)</f>
        <v>40</v>
      </c>
      <c r="AK76" s="540">
        <f ca="1">IFERROR(__xludf.DUMMYFUNCTION("IMPORTRANGE(""https://docs.google.com/spreadsheets/d/1GwtLaSlNZkLk7iDqcyZz22giiy40b_usZZBXYciEN1U/edit?usp=sharing"",""ชุมพร!J744"")"),0)</f>
        <v>0</v>
      </c>
      <c r="AL76" s="375">
        <f t="shared" ca="1" si="58"/>
        <v>0</v>
      </c>
      <c r="AM76" s="540">
        <f ca="1">IFERROR(__xludf.DUMMYFUNCTION("IMPORTRANGE(""https://docs.google.com/spreadsheets/d/1GwtLaSlNZkLk7iDqcyZz22giiy40b_usZZBXYciEN1U/edit?usp=sharing"",""ชุมพร!J745"")"),0)</f>
        <v>0</v>
      </c>
      <c r="AN76" s="540">
        <f ca="1">IFERROR(__xludf.DUMMYFUNCTION("IMPORTRANGE(""https://docs.google.com/spreadsheets/d/1GwtLaSlNZkLk7iDqcyZz22giiy40b_usZZBXYciEN1U/edit?usp=sharing"",""ชุมพร!I746"")"),4)</f>
        <v>4</v>
      </c>
      <c r="AO76" s="540">
        <f ca="1">IFERROR(__xludf.DUMMYFUNCTION("IMPORTRANGE(""https://docs.google.com/spreadsheets/d/1GwtLaSlNZkLk7iDqcyZz22giiy40b_usZZBXYciEN1U/edit?usp=sharing"",""ชุมพร!J746"")"),0)</f>
        <v>0</v>
      </c>
      <c r="AP76" s="375">
        <f t="shared" ca="1" si="60"/>
        <v>0</v>
      </c>
      <c r="AQ76" s="540">
        <f ca="1">IFERROR(__xludf.DUMMYFUNCTION("IMPORTRANGE(""https://docs.google.com/spreadsheets/d/1GwtLaSlNZkLk7iDqcyZz22giiy40b_usZZBXYciEN1U/edit?usp=sharing"",""ชุมพร!J748"")"),0)</f>
        <v>0</v>
      </c>
      <c r="AR76" s="540">
        <f ca="1">IFERROR(__xludf.DUMMYFUNCTION("IMPORTRANGE(""https://docs.google.com/spreadsheets/d/1GwtLaSlNZkLk7iDqcyZz22giiy40b_usZZBXYciEN1U/edit?usp=sharing"",""ชุมพร!I749"")"),1)</f>
        <v>1</v>
      </c>
      <c r="AS76" s="540">
        <f ca="1">IFERROR(__xludf.DUMMYFUNCTION("IMPORTRANGE(""https://docs.google.com/spreadsheets/d/1GwtLaSlNZkLk7iDqcyZz22giiy40b_usZZBXYciEN1U/edit?usp=sharing"",""ชุมพร!J749"")"),0)</f>
        <v>0</v>
      </c>
      <c r="AT76" s="375">
        <f t="shared" ca="1" si="62"/>
        <v>0</v>
      </c>
      <c r="AU76" s="540">
        <f ca="1">IFERROR(__xludf.DUMMYFUNCTION("IMPORTRANGE(""https://docs.google.com/spreadsheets/d/1GwtLaSlNZkLk7iDqcyZz22giiy40b_usZZBXYciEN1U/edit?usp=sharing"",""ชุมพร!I752"")"),16)</f>
        <v>16</v>
      </c>
      <c r="AV76" s="540">
        <f ca="1">IFERROR(__xludf.DUMMYFUNCTION("IMPORTRANGE(""https://docs.google.com/spreadsheets/d/1GwtLaSlNZkLk7iDqcyZz22giiy40b_usZZBXYciEN1U/edit?usp=sharing"",""ชุมพร!J752"")"),0)</f>
        <v>0</v>
      </c>
      <c r="AW76" s="375">
        <f t="shared" ca="1" si="64"/>
        <v>0</v>
      </c>
      <c r="AX76" s="540">
        <f ca="1">IFERROR(__xludf.DUMMYFUNCTION("IMPORTRANGE(""https://docs.google.com/spreadsheets/d/1GwtLaSlNZkLk7iDqcyZz22giiy40b_usZZBXYciEN1U/edit?usp=sharing"",""ชุมพร!J753"")"),0)</f>
        <v>0</v>
      </c>
      <c r="AY76" s="540">
        <f ca="1">IFERROR(__xludf.DUMMYFUNCTION("IMPORTRANGE(""https://docs.google.com/spreadsheets/d/1GwtLaSlNZkLk7iDqcyZz22giiy40b_usZZBXYciEN1U/edit?usp=sharing"",""ชุมพร!I755"")"),4)</f>
        <v>4</v>
      </c>
      <c r="AZ76" s="540">
        <f ca="1">IFERROR(__xludf.DUMMYFUNCTION("IMPORTRANGE(""https://docs.google.com/spreadsheets/d/1GwtLaSlNZkLk7iDqcyZz22giiy40b_usZZBXYciEN1U/edit?usp=sharing"",""ชุมพร!J755"")"),0)</f>
        <v>0</v>
      </c>
      <c r="BA76" s="375">
        <f t="shared" ca="1" si="66"/>
        <v>0</v>
      </c>
      <c r="BB76" s="540">
        <f ca="1">IFERROR(__xludf.DUMMYFUNCTION("IMPORTRANGE(""https://docs.google.com/spreadsheets/d/1GwtLaSlNZkLk7iDqcyZz22giiy40b_usZZBXYciEN1U/edit?usp=sharing"",""ชุมพร!J756"")"),0)</f>
        <v>0</v>
      </c>
    </row>
    <row r="77" spans="1:54" ht="23.25" customHeight="1" x14ac:dyDescent="0.3">
      <c r="A77" s="535">
        <v>3</v>
      </c>
      <c r="B77" s="536" t="s">
        <v>103</v>
      </c>
      <c r="C77" s="537">
        <f t="shared" si="39"/>
        <v>0</v>
      </c>
      <c r="D77" s="538">
        <f t="shared" si="100"/>
        <v>0</v>
      </c>
      <c r="E77" s="539">
        <v>0</v>
      </c>
      <c r="F77" s="539">
        <v>0</v>
      </c>
      <c r="G77" s="539">
        <v>0</v>
      </c>
      <c r="H77" s="539">
        <v>0</v>
      </c>
      <c r="I77" s="539">
        <v>0</v>
      </c>
      <c r="J77" s="545">
        <f t="shared" si="41"/>
        <v>0</v>
      </c>
      <c r="K77" s="546">
        <f t="shared" si="42"/>
        <v>0</v>
      </c>
      <c r="L77" s="539">
        <v>0</v>
      </c>
      <c r="M77" s="542">
        <f t="shared" si="43"/>
        <v>0</v>
      </c>
      <c r="N77" s="542">
        <f t="shared" si="44"/>
        <v>0</v>
      </c>
      <c r="O77" s="539">
        <v>0</v>
      </c>
      <c r="P77" s="543">
        <f t="shared" si="45"/>
        <v>0</v>
      </c>
      <c r="Q77" s="542">
        <f t="shared" si="46"/>
        <v>0</v>
      </c>
      <c r="R77" s="542">
        <f ca="1">IFERROR(__xludf.DUMMYFUNCTION("IMPORTRANGE(""https://docs.google.com/spreadsheets/d/16pAz3pOhQEZBhvFNMa5KGgZS6iKWpsKX0pg6tQmwFpo/edit?usp=sharing"",""ตรัง!Q728"")"),242546)</f>
        <v>242546</v>
      </c>
      <c r="S77" s="542">
        <f ca="1">IFERROR(__xludf.DUMMYFUNCTION("IMPORTRANGE(""https://docs.google.com/spreadsheets/d/16pAz3pOhQEZBhvFNMa5KGgZS6iKWpsKX0pg6tQmwFpo/edit?usp=sharing"",""ตรัง!R728"")"),0)</f>
        <v>0</v>
      </c>
      <c r="T77" s="542">
        <f ca="1">IFERROR(__xludf.DUMMYFUNCTION("IMPORTRANGE(""https://docs.google.com/spreadsheets/d/16pAz3pOhQEZBhvFNMa5KGgZS6iKWpsKX0pg6tQmwFpo/edit?usp=sharing"",""ตรัง!S728"")"),0)</f>
        <v>0</v>
      </c>
      <c r="U77" s="542">
        <f t="shared" ca="1" si="48"/>
        <v>0</v>
      </c>
      <c r="V77" s="542">
        <f t="shared" ca="1" si="49"/>
        <v>0</v>
      </c>
      <c r="W77" s="544">
        <f ca="1">IFERROR(__xludf.DUMMYFUNCTION("IMPORTRANGE(""https://docs.google.com/spreadsheets/d/16pAz3pOhQEZBhvFNMa5KGgZS6iKWpsKX0pg6tQmwFpo/edit?usp=sharing"",""ตรัง!I726"")"),31)</f>
        <v>31</v>
      </c>
      <c r="X77" s="540">
        <f ca="1">IFERROR(__xludf.DUMMYFUNCTION("IMPORTRANGE(""https://docs.google.com/spreadsheets/d/16pAz3pOhQEZBhvFNMa5KGgZS6iKWpsKX0pg6tQmwFpo/edit?usp=sharing"",""ตรัง!I727"")"),300)</f>
        <v>300</v>
      </c>
      <c r="Y77" s="540">
        <f ca="1">IFERROR(__xludf.DUMMYFUNCTION("IMPORTRANGE(""https://docs.google.com/spreadsheets/d/16pAz3pOhQEZBhvFNMa5KGgZS6iKWpsKX0pg6tQmwFpo/edit?usp=sharing"",""ตรัง!J726"")"),0)</f>
        <v>0</v>
      </c>
      <c r="Z77" s="375">
        <f t="shared" ca="1" si="51"/>
        <v>0</v>
      </c>
      <c r="AA77" s="540">
        <f ca="1">IFERROR(__xludf.DUMMYFUNCTION("IMPORTRANGE(""https://docs.google.com/spreadsheets/d/16pAz3pOhQEZBhvFNMa5KGgZS6iKWpsKX0pg6tQmwFpo/edit?usp=sharing"",""ตรัง!J727"")"),0)</f>
        <v>0</v>
      </c>
      <c r="AB77" s="375">
        <f t="shared" ca="1" si="52"/>
        <v>0</v>
      </c>
      <c r="AC77" s="540">
        <f ca="1">IFERROR(__xludf.DUMMYFUNCTION("IMPORTRANGE(""https://docs.google.com/spreadsheets/d/16pAz3pOhQEZBhvFNMa5KGgZS6iKWpsKX0pg6tQmwFpo/edit?usp=sharing"",""ตรัง!I740"")"),240)</f>
        <v>240</v>
      </c>
      <c r="AD77" s="540">
        <f ca="1">IFERROR(__xludf.DUMMYFUNCTION("IMPORTRANGE(""https://docs.google.com/spreadsheets/d/16pAz3pOhQEZBhvFNMa5KGgZS6iKWpsKX0pg6tQmwFpo/edit?usp=sharing"",""ตรัง!J740"")"),0)</f>
        <v>0</v>
      </c>
      <c r="AE77" s="375">
        <f t="shared" ca="1" si="54"/>
        <v>0</v>
      </c>
      <c r="AF77" s="540">
        <f ca="1">IFERROR(__xludf.DUMMYFUNCTION("IMPORTRANGE(""https://docs.google.com/spreadsheets/d/16pAz3pOhQEZBhvFNMa5KGgZS6iKWpsKX0pg6tQmwFpo/edit?usp=sharing"",""ตรัง!J741"")"),0)</f>
        <v>0</v>
      </c>
      <c r="AG77" s="540">
        <f ca="1">IFERROR(__xludf.DUMMYFUNCTION("IMPORTRANGE(""https://docs.google.com/spreadsheets/d/16pAz3pOhQEZBhvFNMa5KGgZS6iKWpsKX0pg6tQmwFpo/edit?usp=sharing"",""ตรัง!I742"")"),24)</f>
        <v>24</v>
      </c>
      <c r="AH77" s="540">
        <f ca="1">IFERROR(__xludf.DUMMYFUNCTION("IMPORTRANGE(""https://docs.google.com/spreadsheets/d/16pAz3pOhQEZBhvFNMa5KGgZS6iKWpsKX0pg6tQmwFpo/edit?usp=sharing"",""ตรัง!J742"")"),0)</f>
        <v>0</v>
      </c>
      <c r="AI77" s="375">
        <f t="shared" ca="1" si="56"/>
        <v>0</v>
      </c>
      <c r="AJ77" s="540">
        <f ca="1">IFERROR(__xludf.DUMMYFUNCTION("IMPORTRANGE(""https://docs.google.com/spreadsheets/d/16pAz3pOhQEZBhvFNMa5KGgZS6iKWpsKX0pg6tQmwFpo/edit?usp=sharing"",""ตรัง!I744"")"),60)</f>
        <v>60</v>
      </c>
      <c r="AK77" s="540">
        <f ca="1">IFERROR(__xludf.DUMMYFUNCTION("IMPORTRANGE(""https://docs.google.com/spreadsheets/d/16pAz3pOhQEZBhvFNMa5KGgZS6iKWpsKX0pg6tQmwFpo/edit?usp=sharing"",""ตรัง!J744"")"),0)</f>
        <v>0</v>
      </c>
      <c r="AL77" s="375">
        <f t="shared" ca="1" si="58"/>
        <v>0</v>
      </c>
      <c r="AM77" s="540">
        <f ca="1">IFERROR(__xludf.DUMMYFUNCTION("IMPORTRANGE(""https://docs.google.com/spreadsheets/d/16pAz3pOhQEZBhvFNMa5KGgZS6iKWpsKX0pg6tQmwFpo/edit?usp=sharing"",""ตรัง!J745"")"),0)</f>
        <v>0</v>
      </c>
      <c r="AN77" s="540">
        <f ca="1">IFERROR(__xludf.DUMMYFUNCTION("IMPORTRANGE(""https://docs.google.com/spreadsheets/d/16pAz3pOhQEZBhvFNMa5KGgZS6iKWpsKX0pg6tQmwFpo/edit?usp=sharing"",""ตรัง!I746"")"),6)</f>
        <v>6</v>
      </c>
      <c r="AO77" s="540">
        <f ca="1">IFERROR(__xludf.DUMMYFUNCTION("IMPORTRANGE(""https://docs.google.com/spreadsheets/d/16pAz3pOhQEZBhvFNMa5KGgZS6iKWpsKX0pg6tQmwFpo/edit?usp=sharing"",""ตรัง!J746"")"),0)</f>
        <v>0</v>
      </c>
      <c r="AP77" s="375">
        <f t="shared" ca="1" si="60"/>
        <v>0</v>
      </c>
      <c r="AQ77" s="540">
        <f ca="1">IFERROR(__xludf.DUMMYFUNCTION("IMPORTRANGE(""https://docs.google.com/spreadsheets/d/16pAz3pOhQEZBhvFNMa5KGgZS6iKWpsKX0pg6tQmwFpo/edit?usp=sharing"",""ตรัง!J748"")"),0)</f>
        <v>0</v>
      </c>
      <c r="AR77" s="540">
        <f ca="1">IFERROR(__xludf.DUMMYFUNCTION("IMPORTRANGE(""https://docs.google.com/spreadsheets/d/16pAz3pOhQEZBhvFNMa5KGgZS6iKWpsKX0pg6tQmwFpo/edit?usp=sharing"",""ตรัง!I749"")"),1)</f>
        <v>1</v>
      </c>
      <c r="AS77" s="540">
        <f ca="1">IFERROR(__xludf.DUMMYFUNCTION("IMPORTRANGE(""https://docs.google.com/spreadsheets/d/16pAz3pOhQEZBhvFNMa5KGgZS6iKWpsKX0pg6tQmwFpo/edit?usp=sharing"",""ตรัง!J749"")"),0)</f>
        <v>0</v>
      </c>
      <c r="AT77" s="375">
        <f t="shared" ca="1" si="62"/>
        <v>0</v>
      </c>
      <c r="AU77" s="540">
        <f ca="1">IFERROR(__xludf.DUMMYFUNCTION("IMPORTRANGE(""https://docs.google.com/spreadsheets/d/16pAz3pOhQEZBhvFNMa5KGgZS6iKWpsKX0pg6tQmwFpo/edit?usp=sharing"",""ตรัง!I752"")"),24)</f>
        <v>24</v>
      </c>
      <c r="AV77" s="540">
        <f ca="1">IFERROR(__xludf.DUMMYFUNCTION("IMPORTRANGE(""https://docs.google.com/spreadsheets/d/16pAz3pOhQEZBhvFNMa5KGgZS6iKWpsKX0pg6tQmwFpo/edit?usp=sharing"",""ตรัง!J752"")"),0)</f>
        <v>0</v>
      </c>
      <c r="AW77" s="375">
        <f t="shared" ca="1" si="64"/>
        <v>0</v>
      </c>
      <c r="AX77" s="540">
        <f ca="1">IFERROR(__xludf.DUMMYFUNCTION("IMPORTRANGE(""https://docs.google.com/spreadsheets/d/16pAz3pOhQEZBhvFNMa5KGgZS6iKWpsKX0pg6tQmwFpo/edit?usp=sharing"",""ตรัง!J753"")"),0)</f>
        <v>0</v>
      </c>
      <c r="AY77" s="540">
        <f ca="1">IFERROR(__xludf.DUMMYFUNCTION("IMPORTRANGE(""https://docs.google.com/spreadsheets/d/16pAz3pOhQEZBhvFNMa5KGgZS6iKWpsKX0pg6tQmwFpo/edit?usp=sharing"",""ตรัง!I755"")"),6)</f>
        <v>6</v>
      </c>
      <c r="AZ77" s="540">
        <f ca="1">IFERROR(__xludf.DUMMYFUNCTION("IMPORTRANGE(""https://docs.google.com/spreadsheets/d/16pAz3pOhQEZBhvFNMa5KGgZS6iKWpsKX0pg6tQmwFpo/edit?usp=sharing"",""ตรัง!J755"")"),0)</f>
        <v>0</v>
      </c>
      <c r="BA77" s="375">
        <f t="shared" ca="1" si="66"/>
        <v>0</v>
      </c>
      <c r="BB77" s="540">
        <f ca="1">IFERROR(__xludf.DUMMYFUNCTION("IMPORTRANGE(""https://docs.google.com/spreadsheets/d/16pAz3pOhQEZBhvFNMa5KGgZS6iKWpsKX0pg6tQmwFpo/edit?usp=sharing"",""ตรัง!J756"")"),0)</f>
        <v>0</v>
      </c>
    </row>
    <row r="78" spans="1:54" ht="23.25" customHeight="1" x14ac:dyDescent="0.3">
      <c r="A78" s="535">
        <v>4</v>
      </c>
      <c r="B78" s="536" t="s">
        <v>104</v>
      </c>
      <c r="C78" s="537">
        <f t="shared" si="39"/>
        <v>0</v>
      </c>
      <c r="D78" s="538">
        <f t="shared" si="100"/>
        <v>0</v>
      </c>
      <c r="E78" s="539">
        <v>0</v>
      </c>
      <c r="F78" s="539">
        <v>0</v>
      </c>
      <c r="G78" s="539">
        <v>0</v>
      </c>
      <c r="H78" s="539">
        <v>0</v>
      </c>
      <c r="I78" s="539">
        <v>0</v>
      </c>
      <c r="J78" s="545">
        <f t="shared" si="41"/>
        <v>0</v>
      </c>
      <c r="K78" s="546">
        <f t="shared" si="42"/>
        <v>0</v>
      </c>
      <c r="L78" s="539">
        <v>0</v>
      </c>
      <c r="M78" s="542">
        <f t="shared" si="43"/>
        <v>0</v>
      </c>
      <c r="N78" s="542">
        <f t="shared" si="44"/>
        <v>0</v>
      </c>
      <c r="O78" s="539">
        <v>0</v>
      </c>
      <c r="P78" s="543">
        <f t="shared" si="45"/>
        <v>0</v>
      </c>
      <c r="Q78" s="542">
        <f t="shared" si="46"/>
        <v>0</v>
      </c>
      <c r="R78" s="542">
        <f ca="1">IFERROR(__xludf.DUMMYFUNCTION("IMPORTRANGE(""https://docs.google.com/spreadsheets/d/1Dj4jcHCTV9JXKCaMoheSXS52JE63kDKyG7bPXnFogHk/edit?usp=sharing"",""นครศรีธรรมราช!Q728"")"),175994)</f>
        <v>175994</v>
      </c>
      <c r="S78" s="542">
        <f ca="1">IFERROR(__xludf.DUMMYFUNCTION("IMPORTRANGE(""https://docs.google.com/spreadsheets/d/1Dj4jcHCTV9JXKCaMoheSXS52JE63kDKyG7bPXnFogHk/edit?usp=sharing"",""นครศรีธรรมราช!R728"")"),0)</f>
        <v>0</v>
      </c>
      <c r="T78" s="542">
        <f ca="1">IFERROR(__xludf.DUMMYFUNCTION("IMPORTRANGE(""https://docs.google.com/spreadsheets/d/1Dj4jcHCTV9JXKCaMoheSXS52JE63kDKyG7bPXnFogHk/edit?usp=sharing"",""นครศรีธรรมราช!S728"")"),0)</f>
        <v>0</v>
      </c>
      <c r="U78" s="542">
        <f t="shared" ca="1" si="48"/>
        <v>0</v>
      </c>
      <c r="V78" s="542">
        <f t="shared" ca="1" si="49"/>
        <v>0</v>
      </c>
      <c r="W78" s="544">
        <f ca="1">IFERROR(__xludf.DUMMYFUNCTION("IMPORTRANGE(""https://docs.google.com/spreadsheets/d/1Dj4jcHCTV9JXKCaMoheSXS52JE63kDKyG7bPXnFogHk/edit?usp=sharing"",""นครศรีธรรมราช!I726"")"),21)</f>
        <v>21</v>
      </c>
      <c r="X78" s="540">
        <f ca="1">IFERROR(__xludf.DUMMYFUNCTION("IMPORTRANGE(""https://docs.google.com/spreadsheets/d/1Dj4jcHCTV9JXKCaMoheSXS52JE63kDKyG7bPXnFogHk/edit?usp=sharing"",""นครศรีธรรมราช!I727"")"),200)</f>
        <v>200</v>
      </c>
      <c r="Y78" s="540">
        <f ca="1">IFERROR(__xludf.DUMMYFUNCTION("IMPORTRANGE(""https://docs.google.com/spreadsheets/d/1Dj4jcHCTV9JXKCaMoheSXS52JE63kDKyG7bPXnFogHk/edit?usp=sharing"",""นครศรีธรรมราช!J726"")"),0)</f>
        <v>0</v>
      </c>
      <c r="Z78" s="375">
        <f t="shared" ca="1" si="51"/>
        <v>0</v>
      </c>
      <c r="AA78" s="540">
        <f ca="1">IFERROR(__xludf.DUMMYFUNCTION("IMPORTRANGE(""https://docs.google.com/spreadsheets/d/1Dj4jcHCTV9JXKCaMoheSXS52JE63kDKyG7bPXnFogHk/edit?usp=sharing"",""นครศรีธรรมราช!J727"")"),0)</f>
        <v>0</v>
      </c>
      <c r="AB78" s="375">
        <f t="shared" ca="1" si="52"/>
        <v>0</v>
      </c>
      <c r="AC78" s="540">
        <f ca="1">IFERROR(__xludf.DUMMYFUNCTION("IMPORTRANGE(""https://docs.google.com/spreadsheets/d/1Dj4jcHCTV9JXKCaMoheSXS52JE63kDKyG7bPXnFogHk/edit?usp=sharing"",""นครศรีธรรมราช!I740"")"),160)</f>
        <v>160</v>
      </c>
      <c r="AD78" s="540">
        <f ca="1">IFERROR(__xludf.DUMMYFUNCTION("IMPORTRANGE(""https://docs.google.com/spreadsheets/d/1Dj4jcHCTV9JXKCaMoheSXS52JE63kDKyG7bPXnFogHk/edit?usp=sharing"",""นครศรีธรรมราช!J740"")"),0)</f>
        <v>0</v>
      </c>
      <c r="AE78" s="375">
        <f t="shared" ca="1" si="54"/>
        <v>0</v>
      </c>
      <c r="AF78" s="540">
        <f ca="1">IFERROR(__xludf.DUMMYFUNCTION("IMPORTRANGE(""https://docs.google.com/spreadsheets/d/1Dj4jcHCTV9JXKCaMoheSXS52JE63kDKyG7bPXnFogHk/edit?usp=sharing"",""นครศรีธรรมราช!J741"")"),0)</f>
        <v>0</v>
      </c>
      <c r="AG78" s="540">
        <f ca="1">IFERROR(__xludf.DUMMYFUNCTION("IMPORTRANGE(""https://docs.google.com/spreadsheets/d/1Dj4jcHCTV9JXKCaMoheSXS52JE63kDKyG7bPXnFogHk/edit?usp=sharing"",""นครศรีธรรมราช!I742"")"),16)</f>
        <v>16</v>
      </c>
      <c r="AH78" s="540">
        <f ca="1">IFERROR(__xludf.DUMMYFUNCTION("IMPORTRANGE(""https://docs.google.com/spreadsheets/d/1Dj4jcHCTV9JXKCaMoheSXS52JE63kDKyG7bPXnFogHk/edit?usp=sharing"",""นครศรีธรรมราช!J742"")"),0)</f>
        <v>0</v>
      </c>
      <c r="AI78" s="375">
        <f t="shared" ca="1" si="56"/>
        <v>0</v>
      </c>
      <c r="AJ78" s="540">
        <f ca="1">IFERROR(__xludf.DUMMYFUNCTION("IMPORTRANGE(""https://docs.google.com/spreadsheets/d/1Dj4jcHCTV9JXKCaMoheSXS52JE63kDKyG7bPXnFogHk/edit?usp=sharing"",""นครศรีธรรมราช!I744"")"),40)</f>
        <v>40</v>
      </c>
      <c r="AK78" s="540">
        <f ca="1">IFERROR(__xludf.DUMMYFUNCTION("IMPORTRANGE(""https://docs.google.com/spreadsheets/d/1Dj4jcHCTV9JXKCaMoheSXS52JE63kDKyG7bPXnFogHk/edit?usp=sharing"",""นครศรีธรรมราช!J744"")"),0)</f>
        <v>0</v>
      </c>
      <c r="AL78" s="375">
        <f t="shared" ca="1" si="58"/>
        <v>0</v>
      </c>
      <c r="AM78" s="540">
        <f ca="1">IFERROR(__xludf.DUMMYFUNCTION("IMPORTRANGE(""https://docs.google.com/spreadsheets/d/1Dj4jcHCTV9JXKCaMoheSXS52JE63kDKyG7bPXnFogHk/edit?usp=sharing"",""นครศรีธรรมราช!J745"")"),0)</f>
        <v>0</v>
      </c>
      <c r="AN78" s="540">
        <f ca="1">IFERROR(__xludf.DUMMYFUNCTION("IMPORTRANGE(""https://docs.google.com/spreadsheets/d/1Dj4jcHCTV9JXKCaMoheSXS52JE63kDKyG7bPXnFogHk/edit?usp=sharing"",""นครศรีธรรมราช!I746"")"),4)</f>
        <v>4</v>
      </c>
      <c r="AO78" s="540">
        <f ca="1">IFERROR(__xludf.DUMMYFUNCTION("IMPORTRANGE(""https://docs.google.com/spreadsheets/d/1Dj4jcHCTV9JXKCaMoheSXS52JE63kDKyG7bPXnFogHk/edit?usp=sharing"",""นครศรีธรรมราช!J746"")"),0)</f>
        <v>0</v>
      </c>
      <c r="AP78" s="375">
        <f t="shared" ca="1" si="60"/>
        <v>0</v>
      </c>
      <c r="AQ78" s="540">
        <f ca="1">IFERROR(__xludf.DUMMYFUNCTION("IMPORTRANGE(""https://docs.google.com/spreadsheets/d/1Dj4jcHCTV9JXKCaMoheSXS52JE63kDKyG7bPXnFogHk/edit?usp=sharing"",""นครศรีธรรมราช!J748"")"),0)</f>
        <v>0</v>
      </c>
      <c r="AR78" s="540">
        <f ca="1">IFERROR(__xludf.DUMMYFUNCTION("IMPORTRANGE(""https://docs.google.com/spreadsheets/d/1Dj4jcHCTV9JXKCaMoheSXS52JE63kDKyG7bPXnFogHk/edit?usp=sharing"",""นครศรีธรรมราช!I749"")"),1)</f>
        <v>1</v>
      </c>
      <c r="AS78" s="540">
        <f ca="1">IFERROR(__xludf.DUMMYFUNCTION("IMPORTRANGE(""https://docs.google.com/spreadsheets/d/1Dj4jcHCTV9JXKCaMoheSXS52JE63kDKyG7bPXnFogHk/edit?usp=sharing"",""นครศรีธรรมราช!J749"")"),0)</f>
        <v>0</v>
      </c>
      <c r="AT78" s="375">
        <f t="shared" ca="1" si="62"/>
        <v>0</v>
      </c>
      <c r="AU78" s="540">
        <f ca="1">IFERROR(__xludf.DUMMYFUNCTION("IMPORTRANGE(""https://docs.google.com/spreadsheets/d/1Dj4jcHCTV9JXKCaMoheSXS52JE63kDKyG7bPXnFogHk/edit?usp=sharing"",""นครศรีธรรมราช!I752"")"),16)</f>
        <v>16</v>
      </c>
      <c r="AV78" s="540">
        <f ca="1">IFERROR(__xludf.DUMMYFUNCTION("IMPORTRANGE(""https://docs.google.com/spreadsheets/d/1Dj4jcHCTV9JXKCaMoheSXS52JE63kDKyG7bPXnFogHk/edit?usp=sharing"",""นครศรีธรรมราช!J752"")"),0)</f>
        <v>0</v>
      </c>
      <c r="AW78" s="375">
        <f t="shared" ca="1" si="64"/>
        <v>0</v>
      </c>
      <c r="AX78" s="540">
        <f ca="1">IFERROR(__xludf.DUMMYFUNCTION("IMPORTRANGE(""https://docs.google.com/spreadsheets/d/1Dj4jcHCTV9JXKCaMoheSXS52JE63kDKyG7bPXnFogHk/edit?usp=sharing"",""นครศรีธรรมราช!J753"")"),0)</f>
        <v>0</v>
      </c>
      <c r="AY78" s="540">
        <f ca="1">IFERROR(__xludf.DUMMYFUNCTION("IMPORTRANGE(""https://docs.google.com/spreadsheets/d/1Dj4jcHCTV9JXKCaMoheSXS52JE63kDKyG7bPXnFogHk/edit?usp=sharing"",""นครศรีธรรมราช!I755"")"),4)</f>
        <v>4</v>
      </c>
      <c r="AZ78" s="540">
        <f ca="1">IFERROR(__xludf.DUMMYFUNCTION("IMPORTRANGE(""https://docs.google.com/spreadsheets/d/1Dj4jcHCTV9JXKCaMoheSXS52JE63kDKyG7bPXnFogHk/edit?usp=sharing"",""นครศรีธรรมราช!J755"")"),0)</f>
        <v>0</v>
      </c>
      <c r="BA78" s="375">
        <f t="shared" ca="1" si="66"/>
        <v>0</v>
      </c>
      <c r="BB78" s="540">
        <f ca="1">IFERROR(__xludf.DUMMYFUNCTION("IMPORTRANGE(""https://docs.google.com/spreadsheets/d/1Dj4jcHCTV9JXKCaMoheSXS52JE63kDKyG7bPXnFogHk/edit?usp=sharing"",""นครศรีธรรมราช!J756"")"),0)</f>
        <v>0</v>
      </c>
    </row>
    <row r="79" spans="1:54" ht="23.25" customHeight="1" x14ac:dyDescent="0.3">
      <c r="A79" s="535">
        <v>5</v>
      </c>
      <c r="B79" s="536" t="s">
        <v>105</v>
      </c>
      <c r="C79" s="537">
        <f t="shared" si="39"/>
        <v>0</v>
      </c>
      <c r="D79" s="538">
        <f t="shared" si="100"/>
        <v>0</v>
      </c>
      <c r="E79" s="539">
        <v>0</v>
      </c>
      <c r="F79" s="539">
        <v>0</v>
      </c>
      <c r="G79" s="539">
        <v>0</v>
      </c>
      <c r="H79" s="539">
        <v>0</v>
      </c>
      <c r="I79" s="539">
        <v>0</v>
      </c>
      <c r="J79" s="545">
        <f t="shared" si="41"/>
        <v>0</v>
      </c>
      <c r="K79" s="546">
        <f t="shared" si="42"/>
        <v>0</v>
      </c>
      <c r="L79" s="539">
        <v>0</v>
      </c>
      <c r="M79" s="542">
        <f t="shared" si="43"/>
        <v>0</v>
      </c>
      <c r="N79" s="542">
        <f t="shared" si="44"/>
        <v>0</v>
      </c>
      <c r="O79" s="539">
        <v>0</v>
      </c>
      <c r="P79" s="543">
        <f t="shared" si="45"/>
        <v>0</v>
      </c>
      <c r="Q79" s="542">
        <f t="shared" si="46"/>
        <v>0</v>
      </c>
      <c r="R79" s="542">
        <f ca="1">IFERROR(__xludf.DUMMYFUNCTION("IMPORTRANGE(""https://docs.google.com/spreadsheets/d/1iodCdmuK2GR3jzUwk8tpccY2JHQQA-87DLOtJP-ooyU/edit?usp=sharing"",""นราธิวาส!Q728"")"),111882)</f>
        <v>111882</v>
      </c>
      <c r="S79" s="542">
        <f ca="1">IFERROR(__xludf.DUMMYFUNCTION("IMPORTRANGE(""https://docs.google.com/spreadsheets/d/1iodCdmuK2GR3jzUwk8tpccY2JHQQA-87DLOtJP-ooyU/edit?usp=sharing"",""นราธิวาส!R728"")"),0)</f>
        <v>0</v>
      </c>
      <c r="T79" s="542">
        <f ca="1">IFERROR(__xludf.DUMMYFUNCTION("IMPORTRANGE(""https://docs.google.com/spreadsheets/d/1iodCdmuK2GR3jzUwk8tpccY2JHQQA-87DLOtJP-ooyU/edit?usp=sharing"",""นราธิวาส!S728"")"),2040)</f>
        <v>2040</v>
      </c>
      <c r="U79" s="542">
        <f t="shared" ca="1" si="48"/>
        <v>1.8233496004719258</v>
      </c>
      <c r="V79" s="542">
        <f t="shared" ca="1" si="49"/>
        <v>0</v>
      </c>
      <c r="W79" s="544">
        <f ca="1">IFERROR(__xludf.DUMMYFUNCTION("IMPORTRANGE(""https://docs.google.com/spreadsheets/d/1iodCdmuK2GR3jzUwk8tpccY2JHQQA-87DLOtJP-ooyU/edit?usp=sharing"",""นราธิวาส!I726"")"),11)</f>
        <v>11</v>
      </c>
      <c r="X79" s="540">
        <f ca="1">IFERROR(__xludf.DUMMYFUNCTION("IMPORTRANGE(""https://docs.google.com/spreadsheets/d/1iodCdmuK2GR3jzUwk8tpccY2JHQQA-87DLOtJP-ooyU/edit?usp=sharing"",""นราธิวาส!I727"")"),100)</f>
        <v>100</v>
      </c>
      <c r="Y79" s="540">
        <f ca="1">IFERROR(__xludf.DUMMYFUNCTION("IMPORTRANGE(""https://docs.google.com/spreadsheets/d/1iodCdmuK2GR3jzUwk8tpccY2JHQQA-87DLOtJP-ooyU/edit?usp=sharing"",""นราธิวาส!J726"")"),0)</f>
        <v>0</v>
      </c>
      <c r="Z79" s="375">
        <f t="shared" ca="1" si="51"/>
        <v>0</v>
      </c>
      <c r="AA79" s="540">
        <f ca="1">IFERROR(__xludf.DUMMYFUNCTION("IMPORTRANGE(""https://docs.google.com/spreadsheets/d/1iodCdmuK2GR3jzUwk8tpccY2JHQQA-87DLOtJP-ooyU/edit?usp=sharing"",""นราธิวาส!J727"")"),0)</f>
        <v>0</v>
      </c>
      <c r="AB79" s="375">
        <f t="shared" ca="1" si="52"/>
        <v>0</v>
      </c>
      <c r="AC79" s="540">
        <f ca="1">IFERROR(__xludf.DUMMYFUNCTION("IMPORTRANGE(""https://docs.google.com/spreadsheets/d/1iodCdmuK2GR3jzUwk8tpccY2JHQQA-87DLOtJP-ooyU/edit?usp=sharing"",""นราธิวาส!I740"")"),80)</f>
        <v>80</v>
      </c>
      <c r="AD79" s="540">
        <f ca="1">IFERROR(__xludf.DUMMYFUNCTION("IMPORTRANGE(""https://docs.google.com/spreadsheets/d/1iodCdmuK2GR3jzUwk8tpccY2JHQQA-87DLOtJP-ooyU/edit?usp=sharing"",""นราธิวาส!J740"")"),0)</f>
        <v>0</v>
      </c>
      <c r="AE79" s="375">
        <f t="shared" ca="1" si="54"/>
        <v>0</v>
      </c>
      <c r="AF79" s="540">
        <f ca="1">IFERROR(__xludf.DUMMYFUNCTION("IMPORTRANGE(""https://docs.google.com/spreadsheets/d/1iodCdmuK2GR3jzUwk8tpccY2JHQQA-87DLOtJP-ooyU/edit?usp=sharing"",""นราธิวาส!J741"")"),0)</f>
        <v>0</v>
      </c>
      <c r="AG79" s="540">
        <f ca="1">IFERROR(__xludf.DUMMYFUNCTION("IMPORTRANGE(""https://docs.google.com/spreadsheets/d/1iodCdmuK2GR3jzUwk8tpccY2JHQQA-87DLOtJP-ooyU/edit?usp=sharing"",""นราธิวาส!I742"")"),8)</f>
        <v>8</v>
      </c>
      <c r="AH79" s="540">
        <f ca="1">IFERROR(__xludf.DUMMYFUNCTION("IMPORTRANGE(""https://docs.google.com/spreadsheets/d/1iodCdmuK2GR3jzUwk8tpccY2JHQQA-87DLOtJP-ooyU/edit?usp=sharing"",""นราธิวาส!J742"")"),0)</f>
        <v>0</v>
      </c>
      <c r="AI79" s="375">
        <f t="shared" ca="1" si="56"/>
        <v>0</v>
      </c>
      <c r="AJ79" s="540">
        <f ca="1">IFERROR(__xludf.DUMMYFUNCTION("IMPORTRANGE(""https://docs.google.com/spreadsheets/d/1iodCdmuK2GR3jzUwk8tpccY2JHQQA-87DLOtJP-ooyU/edit?usp=sharing"",""นราธิวาส!I744"")"),20)</f>
        <v>20</v>
      </c>
      <c r="AK79" s="540">
        <f ca="1">IFERROR(__xludf.DUMMYFUNCTION("IMPORTRANGE(""https://docs.google.com/spreadsheets/d/1iodCdmuK2GR3jzUwk8tpccY2JHQQA-87DLOtJP-ooyU/edit?usp=sharing"",""นราธิวาส!J744"")"),0)</f>
        <v>0</v>
      </c>
      <c r="AL79" s="375">
        <f t="shared" ca="1" si="58"/>
        <v>0</v>
      </c>
      <c r="AM79" s="540">
        <f ca="1">IFERROR(__xludf.DUMMYFUNCTION("IMPORTRANGE(""https://docs.google.com/spreadsheets/d/1iodCdmuK2GR3jzUwk8tpccY2JHQQA-87DLOtJP-ooyU/edit?usp=sharing"",""นราธิวาส!J745"")"),0)</f>
        <v>0</v>
      </c>
      <c r="AN79" s="540">
        <f ca="1">IFERROR(__xludf.DUMMYFUNCTION("IMPORTRANGE(""https://docs.google.com/spreadsheets/d/1iodCdmuK2GR3jzUwk8tpccY2JHQQA-87DLOtJP-ooyU/edit?usp=sharing"",""นราธิวาส!I746"")"),2)</f>
        <v>2</v>
      </c>
      <c r="AO79" s="540">
        <f ca="1">IFERROR(__xludf.DUMMYFUNCTION("IMPORTRANGE(""https://docs.google.com/spreadsheets/d/1iodCdmuK2GR3jzUwk8tpccY2JHQQA-87DLOtJP-ooyU/edit?usp=sharing"",""นราธิวาส!J746"")"),0)</f>
        <v>0</v>
      </c>
      <c r="AP79" s="375">
        <f t="shared" ca="1" si="60"/>
        <v>0</v>
      </c>
      <c r="AQ79" s="540">
        <f ca="1">IFERROR(__xludf.DUMMYFUNCTION("IMPORTRANGE(""https://docs.google.com/spreadsheets/d/1iodCdmuK2GR3jzUwk8tpccY2JHQQA-87DLOtJP-ooyU/edit?usp=sharing"",""นราธิวาส!J748"")"),0)</f>
        <v>0</v>
      </c>
      <c r="AR79" s="540">
        <f ca="1">IFERROR(__xludf.DUMMYFUNCTION("IMPORTRANGE(""https://docs.google.com/spreadsheets/d/1iodCdmuK2GR3jzUwk8tpccY2JHQQA-87DLOtJP-ooyU/edit?usp=sharing"",""นราธิวาส!I749"")"),1)</f>
        <v>1</v>
      </c>
      <c r="AS79" s="540">
        <f ca="1">IFERROR(__xludf.DUMMYFUNCTION("IMPORTRANGE(""https://docs.google.com/spreadsheets/d/1iodCdmuK2GR3jzUwk8tpccY2JHQQA-87DLOtJP-ooyU/edit?usp=sharing"",""นราธิวาส!J749"")"),0)</f>
        <v>0</v>
      </c>
      <c r="AT79" s="375">
        <f t="shared" ca="1" si="62"/>
        <v>0</v>
      </c>
      <c r="AU79" s="540">
        <f ca="1">IFERROR(__xludf.DUMMYFUNCTION("IMPORTRANGE(""https://docs.google.com/spreadsheets/d/1iodCdmuK2GR3jzUwk8tpccY2JHQQA-87DLOtJP-ooyU/edit?usp=sharing"",""นราธิวาส!I752"")"),8)</f>
        <v>8</v>
      </c>
      <c r="AV79" s="540">
        <f ca="1">IFERROR(__xludf.DUMMYFUNCTION("IMPORTRANGE(""https://docs.google.com/spreadsheets/d/1iodCdmuK2GR3jzUwk8tpccY2JHQQA-87DLOtJP-ooyU/edit?usp=sharing"",""นราธิวาส!J752"")"),0)</f>
        <v>0</v>
      </c>
      <c r="AW79" s="375">
        <f t="shared" ca="1" si="64"/>
        <v>0</v>
      </c>
      <c r="AX79" s="540">
        <f ca="1">IFERROR(__xludf.DUMMYFUNCTION("IMPORTRANGE(""https://docs.google.com/spreadsheets/d/1iodCdmuK2GR3jzUwk8tpccY2JHQQA-87DLOtJP-ooyU/edit?usp=sharing"",""นราธิวาส!J753"")"),0)</f>
        <v>0</v>
      </c>
      <c r="AY79" s="540">
        <f ca="1">IFERROR(__xludf.DUMMYFUNCTION("IMPORTRANGE(""https://docs.google.com/spreadsheets/d/1iodCdmuK2GR3jzUwk8tpccY2JHQQA-87DLOtJP-ooyU/edit?usp=sharing"",""นราธิวาส!I755"")"),2)</f>
        <v>2</v>
      </c>
      <c r="AZ79" s="540">
        <f ca="1">IFERROR(__xludf.DUMMYFUNCTION("IMPORTRANGE(""https://docs.google.com/spreadsheets/d/1iodCdmuK2GR3jzUwk8tpccY2JHQQA-87DLOtJP-ooyU/edit?usp=sharing"",""นราธิวาส!J755"")"),0)</f>
        <v>0</v>
      </c>
      <c r="BA79" s="375">
        <f t="shared" ca="1" si="66"/>
        <v>0</v>
      </c>
      <c r="BB79" s="540">
        <f ca="1">IFERROR(__xludf.DUMMYFUNCTION("IMPORTRANGE(""https://docs.google.com/spreadsheets/d/1iodCdmuK2GR3jzUwk8tpccY2JHQQA-87DLOtJP-ooyU/edit?usp=sharing"",""นราธิวาส!J756"")"),0)</f>
        <v>0</v>
      </c>
    </row>
    <row r="80" spans="1:54" ht="23.25" customHeight="1" x14ac:dyDescent="0.3">
      <c r="A80" s="535">
        <v>6</v>
      </c>
      <c r="B80" s="536" t="s">
        <v>106</v>
      </c>
      <c r="C80" s="537">
        <f t="shared" si="39"/>
        <v>0</v>
      </c>
      <c r="D80" s="538">
        <f t="shared" si="100"/>
        <v>0</v>
      </c>
      <c r="E80" s="539">
        <v>0</v>
      </c>
      <c r="F80" s="539">
        <v>0</v>
      </c>
      <c r="G80" s="539">
        <v>0</v>
      </c>
      <c r="H80" s="539">
        <v>0</v>
      </c>
      <c r="I80" s="539">
        <v>0</v>
      </c>
      <c r="J80" s="545">
        <f t="shared" si="41"/>
        <v>0</v>
      </c>
      <c r="K80" s="546">
        <f t="shared" si="42"/>
        <v>0</v>
      </c>
      <c r="L80" s="539">
        <v>0</v>
      </c>
      <c r="M80" s="542">
        <f t="shared" si="43"/>
        <v>0</v>
      </c>
      <c r="N80" s="542">
        <f t="shared" si="44"/>
        <v>0</v>
      </c>
      <c r="O80" s="539">
        <v>0</v>
      </c>
      <c r="P80" s="543">
        <f t="shared" si="45"/>
        <v>0</v>
      </c>
      <c r="Q80" s="542">
        <f t="shared" si="46"/>
        <v>0</v>
      </c>
      <c r="R80" s="542">
        <f ca="1">IFERROR(__xludf.DUMMYFUNCTION("IMPORTRANGE(""https://docs.google.com/spreadsheets/d/1SDNX3JhDdYRuIOsj0Wh2M-Qa_eaXl0NbWmhAOTbfQAs/edit?usp=sharing"",""ปัตตานี!Q728"")"),79606)</f>
        <v>79606</v>
      </c>
      <c r="S80" s="542">
        <f ca="1">IFERROR(__xludf.DUMMYFUNCTION("IMPORTRANGE(""https://docs.google.com/spreadsheets/d/1SDNX3JhDdYRuIOsj0Wh2M-Qa_eaXl0NbWmhAOTbfQAs/edit?usp=sharing"",""ปัตตานี!R728"")"),0)</f>
        <v>0</v>
      </c>
      <c r="T80" s="542">
        <f ca="1">IFERROR(__xludf.DUMMYFUNCTION("IMPORTRANGE(""https://docs.google.com/spreadsheets/d/1SDNX3JhDdYRuIOsj0Wh2M-Qa_eaXl0NbWmhAOTbfQAs/edit?usp=sharing"",""ปัตตานี!S728"")"),0)</f>
        <v>0</v>
      </c>
      <c r="U80" s="542">
        <f t="shared" ca="1" si="48"/>
        <v>0</v>
      </c>
      <c r="V80" s="542">
        <f t="shared" ca="1" si="49"/>
        <v>0</v>
      </c>
      <c r="W80" s="544">
        <f ca="1">IFERROR(__xludf.DUMMYFUNCTION("IMPORTRANGE(""https://docs.google.com/spreadsheets/d/1SDNX3JhDdYRuIOsj0Wh2M-Qa_eaXl0NbWmhAOTbfQAs/edit?usp=sharing"",""ปัตตานี!I726"")"),6)</f>
        <v>6</v>
      </c>
      <c r="X80" s="540">
        <f ca="1">IFERROR(__xludf.DUMMYFUNCTION("IMPORTRANGE(""https://docs.google.com/spreadsheets/d/1SDNX3JhDdYRuIOsj0Wh2M-Qa_eaXl0NbWmhAOTbfQAs/edit?usp=sharing"",""ปัตตานี!I727"")"),50)</f>
        <v>50</v>
      </c>
      <c r="Y80" s="540">
        <f ca="1">IFERROR(__xludf.DUMMYFUNCTION("IMPORTRANGE(""https://docs.google.com/spreadsheets/d/1SDNX3JhDdYRuIOsj0Wh2M-Qa_eaXl0NbWmhAOTbfQAs/edit?usp=sharing"",""ปัตตานี!J726"")"),0)</f>
        <v>0</v>
      </c>
      <c r="Z80" s="375">
        <f t="shared" ca="1" si="51"/>
        <v>0</v>
      </c>
      <c r="AA80" s="540">
        <f ca="1">IFERROR(__xludf.DUMMYFUNCTION("IMPORTRANGE(""https://docs.google.com/spreadsheets/d/1SDNX3JhDdYRuIOsj0Wh2M-Qa_eaXl0NbWmhAOTbfQAs/edit?usp=sharing"",""ปัตตานี!J727"")"),0)</f>
        <v>0</v>
      </c>
      <c r="AB80" s="375">
        <f t="shared" ca="1" si="52"/>
        <v>0</v>
      </c>
      <c r="AC80" s="540">
        <f ca="1">IFERROR(__xludf.DUMMYFUNCTION("IMPORTRANGE(""https://docs.google.com/spreadsheets/d/1SDNX3JhDdYRuIOsj0Wh2M-Qa_eaXl0NbWmhAOTbfQAs/edit?usp=sharing"",""ปัตตานี!I740"")"),40)</f>
        <v>40</v>
      </c>
      <c r="AD80" s="540">
        <f ca="1">IFERROR(__xludf.DUMMYFUNCTION("IMPORTRANGE(""https://docs.google.com/spreadsheets/d/1SDNX3JhDdYRuIOsj0Wh2M-Qa_eaXl0NbWmhAOTbfQAs/edit?usp=sharing"",""ปัตตานี!J740"")"),0)</f>
        <v>0</v>
      </c>
      <c r="AE80" s="375">
        <f t="shared" ca="1" si="54"/>
        <v>0</v>
      </c>
      <c r="AF80" s="540">
        <f ca="1">IFERROR(__xludf.DUMMYFUNCTION("IMPORTRANGE(""https://docs.google.com/spreadsheets/d/1SDNX3JhDdYRuIOsj0Wh2M-Qa_eaXl0NbWmhAOTbfQAs/edit?usp=sharing"",""ปัตตานี!J741"")"),0)</f>
        <v>0</v>
      </c>
      <c r="AG80" s="540">
        <f ca="1">IFERROR(__xludf.DUMMYFUNCTION("IMPORTRANGE(""https://docs.google.com/spreadsheets/d/1SDNX3JhDdYRuIOsj0Wh2M-Qa_eaXl0NbWmhAOTbfQAs/edit?usp=sharing"",""ปัตตานี!I742"")"),4)</f>
        <v>4</v>
      </c>
      <c r="AH80" s="540">
        <f ca="1">IFERROR(__xludf.DUMMYFUNCTION("IMPORTRANGE(""https://docs.google.com/spreadsheets/d/1SDNX3JhDdYRuIOsj0Wh2M-Qa_eaXl0NbWmhAOTbfQAs/edit?usp=sharing"",""ปัตตานี!J742"")"),0)</f>
        <v>0</v>
      </c>
      <c r="AI80" s="375">
        <f t="shared" ca="1" si="56"/>
        <v>0</v>
      </c>
      <c r="AJ80" s="540">
        <f ca="1">IFERROR(__xludf.DUMMYFUNCTION("IMPORTRANGE(""https://docs.google.com/spreadsheets/d/1SDNX3JhDdYRuIOsj0Wh2M-Qa_eaXl0NbWmhAOTbfQAs/edit?usp=sharing"",""ปัตตานี!I744"")"),10)</f>
        <v>10</v>
      </c>
      <c r="AK80" s="540">
        <f ca="1">IFERROR(__xludf.DUMMYFUNCTION("IMPORTRANGE(""https://docs.google.com/spreadsheets/d/1SDNX3JhDdYRuIOsj0Wh2M-Qa_eaXl0NbWmhAOTbfQAs/edit?usp=sharing"",""ปัตตานี!J744"")"),0)</f>
        <v>0</v>
      </c>
      <c r="AL80" s="375">
        <f t="shared" ca="1" si="58"/>
        <v>0</v>
      </c>
      <c r="AM80" s="540">
        <f ca="1">IFERROR(__xludf.DUMMYFUNCTION("IMPORTRANGE(""https://docs.google.com/spreadsheets/d/1SDNX3JhDdYRuIOsj0Wh2M-Qa_eaXl0NbWmhAOTbfQAs/edit?usp=sharing"",""ปัตตานี!J745"")"),0)</f>
        <v>0</v>
      </c>
      <c r="AN80" s="540">
        <f ca="1">IFERROR(__xludf.DUMMYFUNCTION("IMPORTRANGE(""https://docs.google.com/spreadsheets/d/1SDNX3JhDdYRuIOsj0Wh2M-Qa_eaXl0NbWmhAOTbfQAs/edit?usp=sharing"",""ปัตตานี!I746"")"),1)</f>
        <v>1</v>
      </c>
      <c r="AO80" s="540">
        <f ca="1">IFERROR(__xludf.DUMMYFUNCTION("IMPORTRANGE(""https://docs.google.com/spreadsheets/d/1SDNX3JhDdYRuIOsj0Wh2M-Qa_eaXl0NbWmhAOTbfQAs/edit?usp=sharing"",""ปัตตานี!J746"")"),0)</f>
        <v>0</v>
      </c>
      <c r="AP80" s="375">
        <f t="shared" ca="1" si="60"/>
        <v>0</v>
      </c>
      <c r="AQ80" s="540">
        <f ca="1">IFERROR(__xludf.DUMMYFUNCTION("IMPORTRANGE(""https://docs.google.com/spreadsheets/d/1SDNX3JhDdYRuIOsj0Wh2M-Qa_eaXl0NbWmhAOTbfQAs/edit?usp=sharing"",""ปัตตานี!J748"")"),0)</f>
        <v>0</v>
      </c>
      <c r="AR80" s="540">
        <f ca="1">IFERROR(__xludf.DUMMYFUNCTION("IMPORTRANGE(""https://docs.google.com/spreadsheets/d/1SDNX3JhDdYRuIOsj0Wh2M-Qa_eaXl0NbWmhAOTbfQAs/edit?usp=sharing"",""ปัตตานี!I749"")"),1)</f>
        <v>1</v>
      </c>
      <c r="AS80" s="540">
        <f ca="1">IFERROR(__xludf.DUMMYFUNCTION("IMPORTRANGE(""https://docs.google.com/spreadsheets/d/1SDNX3JhDdYRuIOsj0Wh2M-Qa_eaXl0NbWmhAOTbfQAs/edit?usp=sharing"",""ปัตตานี!J749"")"),0)</f>
        <v>0</v>
      </c>
      <c r="AT80" s="375">
        <f t="shared" ca="1" si="62"/>
        <v>0</v>
      </c>
      <c r="AU80" s="540">
        <f ca="1">IFERROR(__xludf.DUMMYFUNCTION("IMPORTRANGE(""https://docs.google.com/spreadsheets/d/1SDNX3JhDdYRuIOsj0Wh2M-Qa_eaXl0NbWmhAOTbfQAs/edit?usp=sharing"",""ปัตตานี!I752"")"),4)</f>
        <v>4</v>
      </c>
      <c r="AV80" s="540">
        <f ca="1">IFERROR(__xludf.DUMMYFUNCTION("IMPORTRANGE(""https://docs.google.com/spreadsheets/d/1SDNX3JhDdYRuIOsj0Wh2M-Qa_eaXl0NbWmhAOTbfQAs/edit?usp=sharing"",""ปัตตานี!J752"")"),0)</f>
        <v>0</v>
      </c>
      <c r="AW80" s="375">
        <f t="shared" ca="1" si="64"/>
        <v>0</v>
      </c>
      <c r="AX80" s="540">
        <f ca="1">IFERROR(__xludf.DUMMYFUNCTION("IMPORTRANGE(""https://docs.google.com/spreadsheets/d/1SDNX3JhDdYRuIOsj0Wh2M-Qa_eaXl0NbWmhAOTbfQAs/edit?usp=sharing"",""ปัตตานี!J753"")"),0)</f>
        <v>0</v>
      </c>
      <c r="AY80" s="540">
        <f ca="1">IFERROR(__xludf.DUMMYFUNCTION("IMPORTRANGE(""https://docs.google.com/spreadsheets/d/1SDNX3JhDdYRuIOsj0Wh2M-Qa_eaXl0NbWmhAOTbfQAs/edit?usp=sharing"",""ปัตตานี!I755"")"),1)</f>
        <v>1</v>
      </c>
      <c r="AZ80" s="540">
        <f ca="1">IFERROR(__xludf.DUMMYFUNCTION("IMPORTRANGE(""https://docs.google.com/spreadsheets/d/1SDNX3JhDdYRuIOsj0Wh2M-Qa_eaXl0NbWmhAOTbfQAs/edit?usp=sharing"",""ปัตตานี!J755"")"),0)</f>
        <v>0</v>
      </c>
      <c r="BA80" s="375">
        <f t="shared" ca="1" si="66"/>
        <v>0</v>
      </c>
      <c r="BB80" s="540">
        <f ca="1">IFERROR(__xludf.DUMMYFUNCTION("IMPORTRANGE(""https://docs.google.com/spreadsheets/d/1SDNX3JhDdYRuIOsj0Wh2M-Qa_eaXl0NbWmhAOTbfQAs/edit?usp=sharing"",""ปัตตานี!J756"")"),0)</f>
        <v>0</v>
      </c>
    </row>
    <row r="81" spans="1:54" ht="23.25" customHeight="1" x14ac:dyDescent="0.3">
      <c r="A81" s="535">
        <v>7</v>
      </c>
      <c r="B81" s="536" t="s">
        <v>107</v>
      </c>
      <c r="C81" s="537">
        <f t="shared" si="39"/>
        <v>0</v>
      </c>
      <c r="D81" s="538">
        <f t="shared" si="100"/>
        <v>0</v>
      </c>
      <c r="E81" s="539">
        <v>0</v>
      </c>
      <c r="F81" s="539">
        <v>0</v>
      </c>
      <c r="G81" s="539">
        <v>0</v>
      </c>
      <c r="H81" s="539">
        <v>0</v>
      </c>
      <c r="I81" s="539">
        <v>0</v>
      </c>
      <c r="J81" s="545">
        <f t="shared" si="41"/>
        <v>0</v>
      </c>
      <c r="K81" s="546">
        <f t="shared" si="42"/>
        <v>0</v>
      </c>
      <c r="L81" s="539">
        <v>0</v>
      </c>
      <c r="M81" s="542">
        <f t="shared" si="43"/>
        <v>0</v>
      </c>
      <c r="N81" s="542">
        <f t="shared" si="44"/>
        <v>0</v>
      </c>
      <c r="O81" s="539">
        <v>0</v>
      </c>
      <c r="P81" s="543">
        <f t="shared" si="45"/>
        <v>0</v>
      </c>
      <c r="Q81" s="542">
        <f t="shared" si="46"/>
        <v>0</v>
      </c>
      <c r="R81" s="542">
        <f ca="1">IFERROR(__xludf.DUMMYFUNCTION("IMPORTRANGE(""https://docs.google.com/spreadsheets/d/16JDLGguT8s5DsGCND1KcwHP_AWR_zDMTqLHPLJUKhaU/edit?usp=sharing"",""พังงา!Q728"")"),143438)</f>
        <v>143438</v>
      </c>
      <c r="S81" s="542">
        <f ca="1">IFERROR(__xludf.DUMMYFUNCTION("IMPORTRANGE(""https://docs.google.com/spreadsheets/d/16JDLGguT8s5DsGCND1KcwHP_AWR_zDMTqLHPLJUKhaU/edit?usp=sharing"",""พังงา!R728"")"),0)</f>
        <v>0</v>
      </c>
      <c r="T81" s="542">
        <f ca="1">IFERROR(__xludf.DUMMYFUNCTION("IMPORTRANGE(""https://docs.google.com/spreadsheets/d/16JDLGguT8s5DsGCND1KcwHP_AWR_zDMTqLHPLJUKhaU/edit?usp=sharing"",""พังงา!S728"")"),0)</f>
        <v>0</v>
      </c>
      <c r="U81" s="542">
        <f t="shared" ca="1" si="48"/>
        <v>0</v>
      </c>
      <c r="V81" s="542">
        <f t="shared" ca="1" si="49"/>
        <v>0</v>
      </c>
      <c r="W81" s="544">
        <f ca="1">IFERROR(__xludf.DUMMYFUNCTION("IMPORTRANGE(""https://docs.google.com/spreadsheets/d/16JDLGguT8s5DsGCND1KcwHP_AWR_zDMTqLHPLJUKhaU/edit?usp=sharing"",""พังงา!I726"")"),16)</f>
        <v>16</v>
      </c>
      <c r="X81" s="540">
        <f ca="1">IFERROR(__xludf.DUMMYFUNCTION("IMPORTRANGE(""https://docs.google.com/spreadsheets/d/16JDLGguT8s5DsGCND1KcwHP_AWR_zDMTqLHPLJUKhaU/edit?usp=sharing"",""พังงา!I727"")"),150)</f>
        <v>150</v>
      </c>
      <c r="Y81" s="540">
        <f ca="1">IFERROR(__xludf.DUMMYFUNCTION("IMPORTRANGE(""https://docs.google.com/spreadsheets/d/16JDLGguT8s5DsGCND1KcwHP_AWR_zDMTqLHPLJUKhaU/edit?usp=sharing"",""พังงา!J726"")"),0)</f>
        <v>0</v>
      </c>
      <c r="Z81" s="375">
        <f t="shared" ca="1" si="51"/>
        <v>0</v>
      </c>
      <c r="AA81" s="540">
        <f ca="1">IFERROR(__xludf.DUMMYFUNCTION("IMPORTRANGE(""https://docs.google.com/spreadsheets/d/16JDLGguT8s5DsGCND1KcwHP_AWR_zDMTqLHPLJUKhaU/edit?usp=sharing"",""พังงา!J727"")"),0)</f>
        <v>0</v>
      </c>
      <c r="AB81" s="375">
        <f t="shared" ca="1" si="52"/>
        <v>0</v>
      </c>
      <c r="AC81" s="540">
        <f ca="1">IFERROR(__xludf.DUMMYFUNCTION("IMPORTRANGE(""https://docs.google.com/spreadsheets/d/16JDLGguT8s5DsGCND1KcwHP_AWR_zDMTqLHPLJUKhaU/edit?usp=sharing"",""พังงา!I740"")"),120)</f>
        <v>120</v>
      </c>
      <c r="AD81" s="540">
        <f ca="1">IFERROR(__xludf.DUMMYFUNCTION("IMPORTRANGE(""https://docs.google.com/spreadsheets/d/16JDLGguT8s5DsGCND1KcwHP_AWR_zDMTqLHPLJUKhaU/edit?usp=sharing"",""พังงา!J740"")"),0)</f>
        <v>0</v>
      </c>
      <c r="AE81" s="375">
        <f t="shared" ca="1" si="54"/>
        <v>0</v>
      </c>
      <c r="AF81" s="540">
        <f ca="1">IFERROR(__xludf.DUMMYFUNCTION("IMPORTRANGE(""https://docs.google.com/spreadsheets/d/16JDLGguT8s5DsGCND1KcwHP_AWR_zDMTqLHPLJUKhaU/edit?usp=sharing"",""พังงา!J741"")"),0)</f>
        <v>0</v>
      </c>
      <c r="AG81" s="540">
        <f ca="1">IFERROR(__xludf.DUMMYFUNCTION("IMPORTRANGE(""https://docs.google.com/spreadsheets/d/16JDLGguT8s5DsGCND1KcwHP_AWR_zDMTqLHPLJUKhaU/edit?usp=sharing"",""พังงา!I742"")"),12)</f>
        <v>12</v>
      </c>
      <c r="AH81" s="540">
        <f ca="1">IFERROR(__xludf.DUMMYFUNCTION("IMPORTRANGE(""https://docs.google.com/spreadsheets/d/16JDLGguT8s5DsGCND1KcwHP_AWR_zDMTqLHPLJUKhaU/edit?usp=sharing"",""พังงา!J742"")"),0)</f>
        <v>0</v>
      </c>
      <c r="AI81" s="375">
        <f t="shared" ca="1" si="56"/>
        <v>0</v>
      </c>
      <c r="AJ81" s="540">
        <f ca="1">IFERROR(__xludf.DUMMYFUNCTION("IMPORTRANGE(""https://docs.google.com/spreadsheets/d/16JDLGguT8s5DsGCND1KcwHP_AWR_zDMTqLHPLJUKhaU/edit?usp=sharing"",""พังงา!I744"")"),30)</f>
        <v>30</v>
      </c>
      <c r="AK81" s="540">
        <f ca="1">IFERROR(__xludf.DUMMYFUNCTION("IMPORTRANGE(""https://docs.google.com/spreadsheets/d/16JDLGguT8s5DsGCND1KcwHP_AWR_zDMTqLHPLJUKhaU/edit?usp=sharing"",""พังงา!J744"")"),0)</f>
        <v>0</v>
      </c>
      <c r="AL81" s="375">
        <f t="shared" ca="1" si="58"/>
        <v>0</v>
      </c>
      <c r="AM81" s="540">
        <f ca="1">IFERROR(__xludf.DUMMYFUNCTION("IMPORTRANGE(""https://docs.google.com/spreadsheets/d/16JDLGguT8s5DsGCND1KcwHP_AWR_zDMTqLHPLJUKhaU/edit?usp=sharing"",""พังงา!J745"")"),0)</f>
        <v>0</v>
      </c>
      <c r="AN81" s="540">
        <f ca="1">IFERROR(__xludf.DUMMYFUNCTION("IMPORTRANGE(""https://docs.google.com/spreadsheets/d/16JDLGguT8s5DsGCND1KcwHP_AWR_zDMTqLHPLJUKhaU/edit?usp=sharing"",""พังงา!I746"")"),3)</f>
        <v>3</v>
      </c>
      <c r="AO81" s="540">
        <f ca="1">IFERROR(__xludf.DUMMYFUNCTION("IMPORTRANGE(""https://docs.google.com/spreadsheets/d/16JDLGguT8s5DsGCND1KcwHP_AWR_zDMTqLHPLJUKhaU/edit?usp=sharing"",""พังงา!J746"")"),0)</f>
        <v>0</v>
      </c>
      <c r="AP81" s="375">
        <f t="shared" ca="1" si="60"/>
        <v>0</v>
      </c>
      <c r="AQ81" s="540">
        <f ca="1">IFERROR(__xludf.DUMMYFUNCTION("IMPORTRANGE(""https://docs.google.com/spreadsheets/d/16JDLGguT8s5DsGCND1KcwHP_AWR_zDMTqLHPLJUKhaU/edit?usp=sharing"",""พังงา!J748"")"),0)</f>
        <v>0</v>
      </c>
      <c r="AR81" s="540">
        <f ca="1">IFERROR(__xludf.DUMMYFUNCTION("IMPORTRANGE(""https://docs.google.com/spreadsheets/d/16JDLGguT8s5DsGCND1KcwHP_AWR_zDMTqLHPLJUKhaU/edit?usp=sharing"",""พังงา!I749"")"),1)</f>
        <v>1</v>
      </c>
      <c r="AS81" s="540">
        <f ca="1">IFERROR(__xludf.DUMMYFUNCTION("IMPORTRANGE(""https://docs.google.com/spreadsheets/d/16JDLGguT8s5DsGCND1KcwHP_AWR_zDMTqLHPLJUKhaU/edit?usp=sharing"",""พังงา!J749"")"),0)</f>
        <v>0</v>
      </c>
      <c r="AT81" s="375">
        <f t="shared" ca="1" si="62"/>
        <v>0</v>
      </c>
      <c r="AU81" s="540">
        <f ca="1">IFERROR(__xludf.DUMMYFUNCTION("IMPORTRANGE(""https://docs.google.com/spreadsheets/d/16JDLGguT8s5DsGCND1KcwHP_AWR_zDMTqLHPLJUKhaU/edit?usp=sharing"",""พังงา!I752"")"),12)</f>
        <v>12</v>
      </c>
      <c r="AV81" s="540">
        <f ca="1">IFERROR(__xludf.DUMMYFUNCTION("IMPORTRANGE(""https://docs.google.com/spreadsheets/d/16JDLGguT8s5DsGCND1KcwHP_AWR_zDMTqLHPLJUKhaU/edit?usp=sharing"",""พังงา!J752"")"),0)</f>
        <v>0</v>
      </c>
      <c r="AW81" s="375">
        <f t="shared" ca="1" si="64"/>
        <v>0</v>
      </c>
      <c r="AX81" s="540">
        <f ca="1">IFERROR(__xludf.DUMMYFUNCTION("IMPORTRANGE(""https://docs.google.com/spreadsheets/d/16JDLGguT8s5DsGCND1KcwHP_AWR_zDMTqLHPLJUKhaU/edit?usp=sharing"",""พังงา!J753"")"),0)</f>
        <v>0</v>
      </c>
      <c r="AY81" s="540">
        <f ca="1">IFERROR(__xludf.DUMMYFUNCTION("IMPORTRANGE(""https://docs.google.com/spreadsheets/d/16JDLGguT8s5DsGCND1KcwHP_AWR_zDMTqLHPLJUKhaU/edit?usp=sharing"",""พังงา!I755"")"),3)</f>
        <v>3</v>
      </c>
      <c r="AZ81" s="540">
        <f ca="1">IFERROR(__xludf.DUMMYFUNCTION("IMPORTRANGE(""https://docs.google.com/spreadsheets/d/16JDLGguT8s5DsGCND1KcwHP_AWR_zDMTqLHPLJUKhaU/edit?usp=sharing"",""พังงา!J755"")"),0)</f>
        <v>0</v>
      </c>
      <c r="BA81" s="375">
        <f t="shared" ca="1" si="66"/>
        <v>0</v>
      </c>
      <c r="BB81" s="540">
        <f ca="1">IFERROR(__xludf.DUMMYFUNCTION("IMPORTRANGE(""https://docs.google.com/spreadsheets/d/16JDLGguT8s5DsGCND1KcwHP_AWR_zDMTqLHPLJUKhaU/edit?usp=sharing"",""พังงา!J756"")"),0)</f>
        <v>0</v>
      </c>
    </row>
    <row r="82" spans="1:54" ht="23.25" customHeight="1" x14ac:dyDescent="0.3">
      <c r="A82" s="535">
        <v>8</v>
      </c>
      <c r="B82" s="536" t="s">
        <v>108</v>
      </c>
      <c r="C82" s="537">
        <f t="shared" si="39"/>
        <v>0</v>
      </c>
      <c r="D82" s="538">
        <f t="shared" si="100"/>
        <v>0</v>
      </c>
      <c r="E82" s="539">
        <v>0</v>
      </c>
      <c r="F82" s="539">
        <v>0</v>
      </c>
      <c r="G82" s="539">
        <v>0</v>
      </c>
      <c r="H82" s="539">
        <v>0</v>
      </c>
      <c r="I82" s="539">
        <v>0</v>
      </c>
      <c r="J82" s="545">
        <f t="shared" si="41"/>
        <v>0</v>
      </c>
      <c r="K82" s="546">
        <f t="shared" si="42"/>
        <v>0</v>
      </c>
      <c r="L82" s="539">
        <v>0</v>
      </c>
      <c r="M82" s="542">
        <f t="shared" si="43"/>
        <v>0</v>
      </c>
      <c r="N82" s="542">
        <f t="shared" si="44"/>
        <v>0</v>
      </c>
      <c r="O82" s="539">
        <v>0</v>
      </c>
      <c r="P82" s="543">
        <f t="shared" si="45"/>
        <v>0</v>
      </c>
      <c r="Q82" s="542">
        <f t="shared" si="46"/>
        <v>0</v>
      </c>
      <c r="R82" s="542">
        <f ca="1">IFERROR(__xludf.DUMMYFUNCTION("IMPORTRANGE(""https://docs.google.com/spreadsheets/d/17ht0gPKzzT3PObBL1XJkeRmntBXI7wGjpLV7QorqlTk/edit?usp=sharing"",""พัทลุง!Q728"")"),175994)</f>
        <v>175994</v>
      </c>
      <c r="S82" s="542">
        <f ca="1">IFERROR(__xludf.DUMMYFUNCTION("IMPORTRANGE(""https://docs.google.com/spreadsheets/d/17ht0gPKzzT3PObBL1XJkeRmntBXI7wGjpLV7QorqlTk/edit?usp=sharing"",""พัทลุง!R728"")"),0)</f>
        <v>0</v>
      </c>
      <c r="T82" s="542">
        <f ca="1">IFERROR(__xludf.DUMMYFUNCTION("IMPORTRANGE(""https://docs.google.com/spreadsheets/d/17ht0gPKzzT3PObBL1XJkeRmntBXI7wGjpLV7QorqlTk/edit?usp=sharing"",""พัทลุง!S728"")"),0)</f>
        <v>0</v>
      </c>
      <c r="U82" s="542">
        <f t="shared" ca="1" si="48"/>
        <v>0</v>
      </c>
      <c r="V82" s="542">
        <f t="shared" ca="1" si="49"/>
        <v>0</v>
      </c>
      <c r="W82" s="544">
        <f ca="1">IFERROR(__xludf.DUMMYFUNCTION("IMPORTRANGE(""https://docs.google.com/spreadsheets/d/17ht0gPKzzT3PObBL1XJkeRmntBXI7wGjpLV7QorqlTk/edit?usp=sharing"",""พัทลุง!I726"")"),21)</f>
        <v>21</v>
      </c>
      <c r="X82" s="540">
        <f ca="1">IFERROR(__xludf.DUMMYFUNCTION("IMPORTRANGE(""https://docs.google.com/spreadsheets/d/17ht0gPKzzT3PObBL1XJkeRmntBXI7wGjpLV7QorqlTk/edit?usp=sharing"",""พัทลุง!I727"")"),200)</f>
        <v>200</v>
      </c>
      <c r="Y82" s="540">
        <f ca="1">IFERROR(__xludf.DUMMYFUNCTION("IMPORTRANGE(""https://docs.google.com/spreadsheets/d/17ht0gPKzzT3PObBL1XJkeRmntBXI7wGjpLV7QorqlTk/edit?usp=sharing"",""พัทลุง!J726"")"),0)</f>
        <v>0</v>
      </c>
      <c r="Z82" s="375">
        <f t="shared" ca="1" si="51"/>
        <v>0</v>
      </c>
      <c r="AA82" s="540">
        <f ca="1">IFERROR(__xludf.DUMMYFUNCTION("IMPORTRANGE(""https://docs.google.com/spreadsheets/d/17ht0gPKzzT3PObBL1XJkeRmntBXI7wGjpLV7QorqlTk/edit?usp=sharing"",""พัทลุง!J727"")"),0)</f>
        <v>0</v>
      </c>
      <c r="AB82" s="375">
        <f t="shared" ca="1" si="52"/>
        <v>0</v>
      </c>
      <c r="AC82" s="540">
        <f ca="1">IFERROR(__xludf.DUMMYFUNCTION("IMPORTRANGE(""https://docs.google.com/spreadsheets/d/17ht0gPKzzT3PObBL1XJkeRmntBXI7wGjpLV7QorqlTk/edit?usp=sharing"",""พัทลุง!I740"")"),160)</f>
        <v>160</v>
      </c>
      <c r="AD82" s="540">
        <f ca="1">IFERROR(__xludf.DUMMYFUNCTION("IMPORTRANGE(""https://docs.google.com/spreadsheets/d/17ht0gPKzzT3PObBL1XJkeRmntBXI7wGjpLV7QorqlTk/edit?usp=sharing"",""พัทลุง!J740"")"),0)</f>
        <v>0</v>
      </c>
      <c r="AE82" s="375">
        <f t="shared" ca="1" si="54"/>
        <v>0</v>
      </c>
      <c r="AF82" s="540">
        <f ca="1">IFERROR(__xludf.DUMMYFUNCTION("IMPORTRANGE(""https://docs.google.com/spreadsheets/d/17ht0gPKzzT3PObBL1XJkeRmntBXI7wGjpLV7QorqlTk/edit?usp=sharing"",""พัทลุง!J741"")"),0)</f>
        <v>0</v>
      </c>
      <c r="AG82" s="540">
        <f ca="1">IFERROR(__xludf.DUMMYFUNCTION("IMPORTRANGE(""https://docs.google.com/spreadsheets/d/17ht0gPKzzT3PObBL1XJkeRmntBXI7wGjpLV7QorqlTk/edit?usp=sharing"",""พัทลุง!I742"")"),16)</f>
        <v>16</v>
      </c>
      <c r="AH82" s="540">
        <f ca="1">IFERROR(__xludf.DUMMYFUNCTION("IMPORTRANGE(""https://docs.google.com/spreadsheets/d/17ht0gPKzzT3PObBL1XJkeRmntBXI7wGjpLV7QorqlTk/edit?usp=sharing"",""พัทลุง!J742"")"),0)</f>
        <v>0</v>
      </c>
      <c r="AI82" s="375">
        <f t="shared" ca="1" si="56"/>
        <v>0</v>
      </c>
      <c r="AJ82" s="540">
        <f ca="1">IFERROR(__xludf.DUMMYFUNCTION("IMPORTRANGE(""https://docs.google.com/spreadsheets/d/17ht0gPKzzT3PObBL1XJkeRmntBXI7wGjpLV7QorqlTk/edit?usp=sharing"",""พัทลุง!I744"")"),40)</f>
        <v>40</v>
      </c>
      <c r="AK82" s="540">
        <f ca="1">IFERROR(__xludf.DUMMYFUNCTION("IMPORTRANGE(""https://docs.google.com/spreadsheets/d/17ht0gPKzzT3PObBL1XJkeRmntBXI7wGjpLV7QorqlTk/edit?usp=sharing"",""พัทลุง!J744"")"),0)</f>
        <v>0</v>
      </c>
      <c r="AL82" s="375">
        <f t="shared" ca="1" si="58"/>
        <v>0</v>
      </c>
      <c r="AM82" s="540">
        <f ca="1">IFERROR(__xludf.DUMMYFUNCTION("IMPORTRANGE(""https://docs.google.com/spreadsheets/d/17ht0gPKzzT3PObBL1XJkeRmntBXI7wGjpLV7QorqlTk/edit?usp=sharing"",""พัทลุง!J745"")"),0)</f>
        <v>0</v>
      </c>
      <c r="AN82" s="540">
        <f ca="1">IFERROR(__xludf.DUMMYFUNCTION("IMPORTRANGE(""https://docs.google.com/spreadsheets/d/17ht0gPKzzT3PObBL1XJkeRmntBXI7wGjpLV7QorqlTk/edit?usp=sharing"",""พัทลุง!I746"")"),4)</f>
        <v>4</v>
      </c>
      <c r="AO82" s="540">
        <f ca="1">IFERROR(__xludf.DUMMYFUNCTION("IMPORTRANGE(""https://docs.google.com/spreadsheets/d/17ht0gPKzzT3PObBL1XJkeRmntBXI7wGjpLV7QorqlTk/edit?usp=sharing"",""พัทลุง!J746"")"),0)</f>
        <v>0</v>
      </c>
      <c r="AP82" s="375">
        <f t="shared" ca="1" si="60"/>
        <v>0</v>
      </c>
      <c r="AQ82" s="540">
        <f ca="1">IFERROR(__xludf.DUMMYFUNCTION("IMPORTRANGE(""https://docs.google.com/spreadsheets/d/17ht0gPKzzT3PObBL1XJkeRmntBXI7wGjpLV7QorqlTk/edit?usp=sharing"",""พัทลุง!J748"")"),0)</f>
        <v>0</v>
      </c>
      <c r="AR82" s="540">
        <f ca="1">IFERROR(__xludf.DUMMYFUNCTION("IMPORTRANGE(""https://docs.google.com/spreadsheets/d/17ht0gPKzzT3PObBL1XJkeRmntBXI7wGjpLV7QorqlTk/edit?usp=sharing"",""พัทลุง!I749"")"),1)</f>
        <v>1</v>
      </c>
      <c r="AS82" s="540">
        <f ca="1">IFERROR(__xludf.DUMMYFUNCTION("IMPORTRANGE(""https://docs.google.com/spreadsheets/d/17ht0gPKzzT3PObBL1XJkeRmntBXI7wGjpLV7QorqlTk/edit?usp=sharing"",""พัทลุง!J749"")"),0)</f>
        <v>0</v>
      </c>
      <c r="AT82" s="375">
        <f t="shared" ca="1" si="62"/>
        <v>0</v>
      </c>
      <c r="AU82" s="540">
        <f ca="1">IFERROR(__xludf.DUMMYFUNCTION("IMPORTRANGE(""https://docs.google.com/spreadsheets/d/17ht0gPKzzT3PObBL1XJkeRmntBXI7wGjpLV7QorqlTk/edit?usp=sharing"",""พัทลุง!I752"")"),16)</f>
        <v>16</v>
      </c>
      <c r="AV82" s="540">
        <f ca="1">IFERROR(__xludf.DUMMYFUNCTION("IMPORTRANGE(""https://docs.google.com/spreadsheets/d/17ht0gPKzzT3PObBL1XJkeRmntBXI7wGjpLV7QorqlTk/edit?usp=sharing"",""พัทลุง!J752"")"),0)</f>
        <v>0</v>
      </c>
      <c r="AW82" s="375">
        <f t="shared" ca="1" si="64"/>
        <v>0</v>
      </c>
      <c r="AX82" s="540">
        <f ca="1">IFERROR(__xludf.DUMMYFUNCTION("IMPORTRANGE(""https://docs.google.com/spreadsheets/d/17ht0gPKzzT3PObBL1XJkeRmntBXI7wGjpLV7QorqlTk/edit?usp=sharing"",""พัทลุง!J753"")"),0)</f>
        <v>0</v>
      </c>
      <c r="AY82" s="540">
        <f ca="1">IFERROR(__xludf.DUMMYFUNCTION("IMPORTRANGE(""https://docs.google.com/spreadsheets/d/17ht0gPKzzT3PObBL1XJkeRmntBXI7wGjpLV7QorqlTk/edit?usp=sharing"",""พัทลุง!I755"")"),4)</f>
        <v>4</v>
      </c>
      <c r="AZ82" s="540">
        <f ca="1">IFERROR(__xludf.DUMMYFUNCTION("IMPORTRANGE(""https://docs.google.com/spreadsheets/d/17ht0gPKzzT3PObBL1XJkeRmntBXI7wGjpLV7QorqlTk/edit?usp=sharing"",""พัทลุง!J755"")"),0)</f>
        <v>0</v>
      </c>
      <c r="BA82" s="375">
        <f t="shared" ca="1" si="66"/>
        <v>0</v>
      </c>
      <c r="BB82" s="540">
        <f ca="1">IFERROR(__xludf.DUMMYFUNCTION("IMPORTRANGE(""https://docs.google.com/spreadsheets/d/17ht0gPKzzT3PObBL1XJkeRmntBXI7wGjpLV7QorqlTk/edit?usp=sharing"",""พัทลุง!J756"")"),0)</f>
        <v>0</v>
      </c>
    </row>
    <row r="83" spans="1:54" ht="23.25" customHeight="1" x14ac:dyDescent="0.3">
      <c r="A83" s="535">
        <v>9</v>
      </c>
      <c r="B83" s="536" t="s">
        <v>109</v>
      </c>
      <c r="C83" s="537">
        <f t="shared" si="39"/>
        <v>0</v>
      </c>
      <c r="D83" s="538">
        <f t="shared" si="100"/>
        <v>0</v>
      </c>
      <c r="E83" s="539">
        <v>0</v>
      </c>
      <c r="F83" s="539">
        <v>0</v>
      </c>
      <c r="G83" s="539">
        <v>0</v>
      </c>
      <c r="H83" s="539">
        <v>0</v>
      </c>
      <c r="I83" s="539">
        <v>0</v>
      </c>
      <c r="J83" s="545">
        <f t="shared" si="41"/>
        <v>0</v>
      </c>
      <c r="K83" s="546">
        <f t="shared" si="42"/>
        <v>0</v>
      </c>
      <c r="L83" s="539">
        <v>0</v>
      </c>
      <c r="M83" s="542">
        <f t="shared" si="43"/>
        <v>0</v>
      </c>
      <c r="N83" s="542">
        <f t="shared" si="44"/>
        <v>0</v>
      </c>
      <c r="O83" s="539">
        <v>0</v>
      </c>
      <c r="P83" s="543">
        <f t="shared" si="45"/>
        <v>0</v>
      </c>
      <c r="Q83" s="542">
        <f t="shared" si="46"/>
        <v>0</v>
      </c>
      <c r="R83" s="542">
        <f ca="1">IFERROR(__xludf.DUMMYFUNCTION("IMPORTRANGE(""https://docs.google.com/spreadsheets/d/1rd4qoM1q_hsgaolqNGfrim9gbsoLxQsda4-vOz5x_BM/edit?usp=sharing"",""ภูเก็ต!Q728"")"),111882)</f>
        <v>111882</v>
      </c>
      <c r="S83" s="542">
        <f ca="1">IFERROR(__xludf.DUMMYFUNCTION("IMPORTRANGE(""https://docs.google.com/spreadsheets/d/1rd4qoM1q_hsgaolqNGfrim9gbsoLxQsda4-vOz5x_BM/edit?usp=sharing"",""ภูเก็ต!R728"")"),0)</f>
        <v>0</v>
      </c>
      <c r="T83" s="542">
        <f ca="1">IFERROR(__xludf.DUMMYFUNCTION("IMPORTRANGE(""https://docs.google.com/spreadsheets/d/1rd4qoM1q_hsgaolqNGfrim9gbsoLxQsda4-vOz5x_BM/edit?usp=sharing"",""ภูเก็ต!S728"")"),0)</f>
        <v>0</v>
      </c>
      <c r="U83" s="542">
        <f t="shared" ca="1" si="48"/>
        <v>0</v>
      </c>
      <c r="V83" s="542">
        <f t="shared" ca="1" si="49"/>
        <v>0</v>
      </c>
      <c r="W83" s="544">
        <f ca="1">IFERROR(__xludf.DUMMYFUNCTION("IMPORTRANGE(""https://docs.google.com/spreadsheets/d/1rd4qoM1q_hsgaolqNGfrim9gbsoLxQsda4-vOz5x_BM/edit?usp=sharing"",""ภูเก็ต!I726"")"),11)</f>
        <v>11</v>
      </c>
      <c r="X83" s="540">
        <f ca="1">IFERROR(__xludf.DUMMYFUNCTION("IMPORTRANGE(""https://docs.google.com/spreadsheets/d/1rd4qoM1q_hsgaolqNGfrim9gbsoLxQsda4-vOz5x_BM/edit?usp=sharing"",""ภูเก็ต!I727"")"),100)</f>
        <v>100</v>
      </c>
      <c r="Y83" s="540">
        <f ca="1">IFERROR(__xludf.DUMMYFUNCTION("IMPORTRANGE(""https://docs.google.com/spreadsheets/d/1rd4qoM1q_hsgaolqNGfrim9gbsoLxQsda4-vOz5x_BM/edit?usp=sharing"",""ภูเก็ต!J726"")"),0)</f>
        <v>0</v>
      </c>
      <c r="Z83" s="375">
        <f t="shared" ca="1" si="51"/>
        <v>0</v>
      </c>
      <c r="AA83" s="540">
        <f ca="1">IFERROR(__xludf.DUMMYFUNCTION("IMPORTRANGE(""https://docs.google.com/spreadsheets/d/1rd4qoM1q_hsgaolqNGfrim9gbsoLxQsda4-vOz5x_BM/edit?usp=sharing"",""ภูเก็ต!J727"")"),0)</f>
        <v>0</v>
      </c>
      <c r="AB83" s="375">
        <f t="shared" ca="1" si="52"/>
        <v>0</v>
      </c>
      <c r="AC83" s="540">
        <f ca="1">IFERROR(__xludf.DUMMYFUNCTION("IMPORTRANGE(""https://docs.google.com/spreadsheets/d/1rd4qoM1q_hsgaolqNGfrim9gbsoLxQsda4-vOz5x_BM/edit?usp=sharing"",""ภูเก็ต!I740"")"),80)</f>
        <v>80</v>
      </c>
      <c r="AD83" s="540">
        <f ca="1">IFERROR(__xludf.DUMMYFUNCTION("IMPORTRANGE(""https://docs.google.com/spreadsheets/d/1rd4qoM1q_hsgaolqNGfrim9gbsoLxQsda4-vOz5x_BM/edit?usp=sharing"",""ภูเก็ต!J740"")"),0)</f>
        <v>0</v>
      </c>
      <c r="AE83" s="375">
        <f t="shared" ca="1" si="54"/>
        <v>0</v>
      </c>
      <c r="AF83" s="540">
        <f ca="1">IFERROR(__xludf.DUMMYFUNCTION("IMPORTRANGE(""https://docs.google.com/spreadsheets/d/1rd4qoM1q_hsgaolqNGfrim9gbsoLxQsda4-vOz5x_BM/edit?usp=sharing"",""ภูเก็ต!J741"")"),0)</f>
        <v>0</v>
      </c>
      <c r="AG83" s="540">
        <f ca="1">IFERROR(__xludf.DUMMYFUNCTION("IMPORTRANGE(""https://docs.google.com/spreadsheets/d/1rd4qoM1q_hsgaolqNGfrim9gbsoLxQsda4-vOz5x_BM/edit?usp=sharing"",""ภูเก็ต!I742"")"),8)</f>
        <v>8</v>
      </c>
      <c r="AH83" s="540">
        <f ca="1">IFERROR(__xludf.DUMMYFUNCTION("IMPORTRANGE(""https://docs.google.com/spreadsheets/d/1rd4qoM1q_hsgaolqNGfrim9gbsoLxQsda4-vOz5x_BM/edit?usp=sharing"",""ภูเก็ต!J742"")"),0)</f>
        <v>0</v>
      </c>
      <c r="AI83" s="375">
        <f t="shared" ca="1" si="56"/>
        <v>0</v>
      </c>
      <c r="AJ83" s="540">
        <f ca="1">IFERROR(__xludf.DUMMYFUNCTION("IMPORTRANGE(""https://docs.google.com/spreadsheets/d/1rd4qoM1q_hsgaolqNGfrim9gbsoLxQsda4-vOz5x_BM/edit?usp=sharing"",""ภูเก็ต!I744"")"),20)</f>
        <v>20</v>
      </c>
      <c r="AK83" s="540">
        <f ca="1">IFERROR(__xludf.DUMMYFUNCTION("IMPORTRANGE(""https://docs.google.com/spreadsheets/d/1rd4qoM1q_hsgaolqNGfrim9gbsoLxQsda4-vOz5x_BM/edit?usp=sharing"",""ภูเก็ต!J744"")"),0)</f>
        <v>0</v>
      </c>
      <c r="AL83" s="375">
        <f t="shared" ca="1" si="58"/>
        <v>0</v>
      </c>
      <c r="AM83" s="540">
        <f ca="1">IFERROR(__xludf.DUMMYFUNCTION("IMPORTRANGE(""https://docs.google.com/spreadsheets/d/1rd4qoM1q_hsgaolqNGfrim9gbsoLxQsda4-vOz5x_BM/edit?usp=sharing"",""ภูเก็ต!J745"")"),0)</f>
        <v>0</v>
      </c>
      <c r="AN83" s="540">
        <f ca="1">IFERROR(__xludf.DUMMYFUNCTION("IMPORTRANGE(""https://docs.google.com/spreadsheets/d/1rd4qoM1q_hsgaolqNGfrim9gbsoLxQsda4-vOz5x_BM/edit?usp=sharing"",""ภูเก็ต!I746"")"),2)</f>
        <v>2</v>
      </c>
      <c r="AO83" s="540">
        <f ca="1">IFERROR(__xludf.DUMMYFUNCTION("IMPORTRANGE(""https://docs.google.com/spreadsheets/d/1rd4qoM1q_hsgaolqNGfrim9gbsoLxQsda4-vOz5x_BM/edit?usp=sharing"",""ภูเก็ต!J746"")"),0)</f>
        <v>0</v>
      </c>
      <c r="AP83" s="375">
        <f t="shared" ca="1" si="60"/>
        <v>0</v>
      </c>
      <c r="AQ83" s="540">
        <f ca="1">IFERROR(__xludf.DUMMYFUNCTION("IMPORTRANGE(""https://docs.google.com/spreadsheets/d/1rd4qoM1q_hsgaolqNGfrim9gbsoLxQsda4-vOz5x_BM/edit?usp=sharing"",""ภูเก็ต!J748"")"),0)</f>
        <v>0</v>
      </c>
      <c r="AR83" s="540">
        <f ca="1">IFERROR(__xludf.DUMMYFUNCTION("IMPORTRANGE(""https://docs.google.com/spreadsheets/d/1rd4qoM1q_hsgaolqNGfrim9gbsoLxQsda4-vOz5x_BM/edit?usp=sharing"",""ภูเก็ต!I749"")"),1)</f>
        <v>1</v>
      </c>
      <c r="AS83" s="540">
        <f ca="1">IFERROR(__xludf.DUMMYFUNCTION("IMPORTRANGE(""https://docs.google.com/spreadsheets/d/1rd4qoM1q_hsgaolqNGfrim9gbsoLxQsda4-vOz5x_BM/edit?usp=sharing"",""ภูเก็ต!J749"")"),0)</f>
        <v>0</v>
      </c>
      <c r="AT83" s="375">
        <f t="shared" ca="1" si="62"/>
        <v>0</v>
      </c>
      <c r="AU83" s="540">
        <f ca="1">IFERROR(__xludf.DUMMYFUNCTION("IMPORTRANGE(""https://docs.google.com/spreadsheets/d/1rd4qoM1q_hsgaolqNGfrim9gbsoLxQsda4-vOz5x_BM/edit?usp=sharing"",""ภูเก็ต!I752"")"),8)</f>
        <v>8</v>
      </c>
      <c r="AV83" s="540">
        <f ca="1">IFERROR(__xludf.DUMMYFUNCTION("IMPORTRANGE(""https://docs.google.com/spreadsheets/d/1rd4qoM1q_hsgaolqNGfrim9gbsoLxQsda4-vOz5x_BM/edit?usp=sharing"",""ภูเก็ต!J752"")"),0)</f>
        <v>0</v>
      </c>
      <c r="AW83" s="375">
        <f t="shared" ca="1" si="64"/>
        <v>0</v>
      </c>
      <c r="AX83" s="540">
        <f ca="1">IFERROR(__xludf.DUMMYFUNCTION("IMPORTRANGE(""https://docs.google.com/spreadsheets/d/1rd4qoM1q_hsgaolqNGfrim9gbsoLxQsda4-vOz5x_BM/edit?usp=sharing"",""ภูเก็ต!J753"")"),0)</f>
        <v>0</v>
      </c>
      <c r="AY83" s="540">
        <f ca="1">IFERROR(__xludf.DUMMYFUNCTION("IMPORTRANGE(""https://docs.google.com/spreadsheets/d/1rd4qoM1q_hsgaolqNGfrim9gbsoLxQsda4-vOz5x_BM/edit?usp=sharing"",""ภูเก็ต!I755"")"),2)</f>
        <v>2</v>
      </c>
      <c r="AZ83" s="540">
        <f ca="1">IFERROR(__xludf.DUMMYFUNCTION("IMPORTRANGE(""https://docs.google.com/spreadsheets/d/1rd4qoM1q_hsgaolqNGfrim9gbsoLxQsda4-vOz5x_BM/edit?usp=sharing"",""ภูเก็ต!J755"")"),0)</f>
        <v>0</v>
      </c>
      <c r="BA83" s="375">
        <f t="shared" ca="1" si="66"/>
        <v>0</v>
      </c>
      <c r="BB83" s="540">
        <f ca="1">IFERROR(__xludf.DUMMYFUNCTION("IMPORTRANGE(""https://docs.google.com/spreadsheets/d/1rd4qoM1q_hsgaolqNGfrim9gbsoLxQsda4-vOz5x_BM/edit?usp=sharing"",""ภูเก็ต!J756"")"),0)</f>
        <v>0</v>
      </c>
    </row>
    <row r="84" spans="1:54" ht="23.25" customHeight="1" x14ac:dyDescent="0.3">
      <c r="A84" s="535">
        <v>10</v>
      </c>
      <c r="B84" s="536" t="s">
        <v>110</v>
      </c>
      <c r="C84" s="537">
        <f t="shared" si="39"/>
        <v>0</v>
      </c>
      <c r="D84" s="538">
        <f t="shared" si="100"/>
        <v>0</v>
      </c>
      <c r="E84" s="539">
        <v>0</v>
      </c>
      <c r="F84" s="539">
        <v>0</v>
      </c>
      <c r="G84" s="539">
        <v>0</v>
      </c>
      <c r="H84" s="539">
        <v>0</v>
      </c>
      <c r="I84" s="539">
        <v>0</v>
      </c>
      <c r="J84" s="545">
        <f t="shared" si="41"/>
        <v>0</v>
      </c>
      <c r="K84" s="546">
        <f t="shared" si="42"/>
        <v>0</v>
      </c>
      <c r="L84" s="539">
        <v>0</v>
      </c>
      <c r="M84" s="542">
        <f t="shared" si="43"/>
        <v>0</v>
      </c>
      <c r="N84" s="542">
        <f t="shared" si="44"/>
        <v>0</v>
      </c>
      <c r="O84" s="539">
        <v>0</v>
      </c>
      <c r="P84" s="543">
        <f t="shared" si="45"/>
        <v>0</v>
      </c>
      <c r="Q84" s="542">
        <f t="shared" si="46"/>
        <v>0</v>
      </c>
      <c r="R84" s="542">
        <f ca="1">IFERROR(__xludf.DUMMYFUNCTION("IMPORTRANGE(""https://docs.google.com/spreadsheets/d/1woKwKjgoLssDvPcPeVyezB5izizAn4X1JDrys69n6xI/edit?usp=sharing"",""ยะลา!Q728"")"),111882)</f>
        <v>111882</v>
      </c>
      <c r="S84" s="542">
        <f ca="1">IFERROR(__xludf.DUMMYFUNCTION("IMPORTRANGE(""https://docs.google.com/spreadsheets/d/1woKwKjgoLssDvPcPeVyezB5izizAn4X1JDrys69n6xI/edit?usp=sharing"",""ยะลา!R728"")"),0)</f>
        <v>0</v>
      </c>
      <c r="T84" s="542">
        <f ca="1">IFERROR(__xludf.DUMMYFUNCTION("IMPORTRANGE(""https://docs.google.com/spreadsheets/d/1woKwKjgoLssDvPcPeVyezB5izizAn4X1JDrys69n6xI/edit?usp=sharing"",""ยะลา!S728"")"),0)</f>
        <v>0</v>
      </c>
      <c r="U84" s="542">
        <f t="shared" ca="1" si="48"/>
        <v>0</v>
      </c>
      <c r="V84" s="542">
        <f t="shared" ca="1" si="49"/>
        <v>0</v>
      </c>
      <c r="W84" s="544">
        <f ca="1">IFERROR(__xludf.DUMMYFUNCTION("IMPORTRANGE(""https://docs.google.com/spreadsheets/d/1woKwKjgoLssDvPcPeVyezB5izizAn4X1JDrys69n6xI/edit?usp=sharing"",""ยะลา!I726"")"),11)</f>
        <v>11</v>
      </c>
      <c r="X84" s="540">
        <f ca="1">IFERROR(__xludf.DUMMYFUNCTION("IMPORTRANGE(""https://docs.google.com/spreadsheets/d/1woKwKjgoLssDvPcPeVyezB5izizAn4X1JDrys69n6xI/edit?usp=sharing"",""ยะลา!I727"")"),100)</f>
        <v>100</v>
      </c>
      <c r="Y84" s="540">
        <f ca="1">IFERROR(__xludf.DUMMYFUNCTION("IMPORTRANGE(""https://docs.google.com/spreadsheets/d/1woKwKjgoLssDvPcPeVyezB5izizAn4X1JDrys69n6xI/edit?usp=sharing"",""ยะลา!J726"")"),0)</f>
        <v>0</v>
      </c>
      <c r="Z84" s="375">
        <f t="shared" ca="1" si="51"/>
        <v>0</v>
      </c>
      <c r="AA84" s="540">
        <f ca="1">IFERROR(__xludf.DUMMYFUNCTION("IMPORTRANGE(""https://docs.google.com/spreadsheets/d/1woKwKjgoLssDvPcPeVyezB5izizAn4X1JDrys69n6xI/edit?usp=sharing"",""ยะลา!J727"")"),0)</f>
        <v>0</v>
      </c>
      <c r="AB84" s="375">
        <f t="shared" ca="1" si="52"/>
        <v>0</v>
      </c>
      <c r="AC84" s="540">
        <f ca="1">IFERROR(__xludf.DUMMYFUNCTION("IMPORTRANGE(""https://docs.google.com/spreadsheets/d/1woKwKjgoLssDvPcPeVyezB5izizAn4X1JDrys69n6xI/edit?usp=sharing"",""ยะลา!I740"")"),80)</f>
        <v>80</v>
      </c>
      <c r="AD84" s="540">
        <f ca="1">IFERROR(__xludf.DUMMYFUNCTION("IMPORTRANGE(""https://docs.google.com/spreadsheets/d/1woKwKjgoLssDvPcPeVyezB5izizAn4X1JDrys69n6xI/edit?usp=sharing"",""ยะลา!J740"")"),0)</f>
        <v>0</v>
      </c>
      <c r="AE84" s="375">
        <f t="shared" ca="1" si="54"/>
        <v>0</v>
      </c>
      <c r="AF84" s="540">
        <f ca="1">IFERROR(__xludf.DUMMYFUNCTION("IMPORTRANGE(""https://docs.google.com/spreadsheets/d/1woKwKjgoLssDvPcPeVyezB5izizAn4X1JDrys69n6xI/edit?usp=sharing"",""ยะลา!J741"")"),0)</f>
        <v>0</v>
      </c>
      <c r="AG84" s="540">
        <f ca="1">IFERROR(__xludf.DUMMYFUNCTION("IMPORTRANGE(""https://docs.google.com/spreadsheets/d/1woKwKjgoLssDvPcPeVyezB5izizAn4X1JDrys69n6xI/edit?usp=sharing"",""ยะลา!I742"")"),8)</f>
        <v>8</v>
      </c>
      <c r="AH84" s="540">
        <f ca="1">IFERROR(__xludf.DUMMYFUNCTION("IMPORTRANGE(""https://docs.google.com/spreadsheets/d/1woKwKjgoLssDvPcPeVyezB5izizAn4X1JDrys69n6xI/edit?usp=sharing"",""ยะลา!J742"")"),0)</f>
        <v>0</v>
      </c>
      <c r="AI84" s="375">
        <f t="shared" ca="1" si="56"/>
        <v>0</v>
      </c>
      <c r="AJ84" s="540">
        <f ca="1">IFERROR(__xludf.DUMMYFUNCTION("IMPORTRANGE(""https://docs.google.com/spreadsheets/d/1woKwKjgoLssDvPcPeVyezB5izizAn4X1JDrys69n6xI/edit?usp=sharing"",""ยะลา!I744"")"),20)</f>
        <v>20</v>
      </c>
      <c r="AK84" s="540">
        <f ca="1">IFERROR(__xludf.DUMMYFUNCTION("IMPORTRANGE(""https://docs.google.com/spreadsheets/d/1woKwKjgoLssDvPcPeVyezB5izizAn4X1JDrys69n6xI/edit?usp=sharing"",""ยะลา!J744"")"),0)</f>
        <v>0</v>
      </c>
      <c r="AL84" s="375">
        <f t="shared" ca="1" si="58"/>
        <v>0</v>
      </c>
      <c r="AM84" s="540">
        <f ca="1">IFERROR(__xludf.DUMMYFUNCTION("IMPORTRANGE(""https://docs.google.com/spreadsheets/d/1woKwKjgoLssDvPcPeVyezB5izizAn4X1JDrys69n6xI/edit?usp=sharing"",""ยะลา!J745"")"),0)</f>
        <v>0</v>
      </c>
      <c r="AN84" s="540">
        <f ca="1">IFERROR(__xludf.DUMMYFUNCTION("IMPORTRANGE(""https://docs.google.com/spreadsheets/d/1woKwKjgoLssDvPcPeVyezB5izizAn4X1JDrys69n6xI/edit?usp=sharing"",""ยะลา!I746"")"),2)</f>
        <v>2</v>
      </c>
      <c r="AO84" s="540">
        <f ca="1">IFERROR(__xludf.DUMMYFUNCTION("IMPORTRANGE(""https://docs.google.com/spreadsheets/d/1woKwKjgoLssDvPcPeVyezB5izizAn4X1JDrys69n6xI/edit?usp=sharing"",""ยะลา!J746"")"),0)</f>
        <v>0</v>
      </c>
      <c r="AP84" s="375">
        <f t="shared" ca="1" si="60"/>
        <v>0</v>
      </c>
      <c r="AQ84" s="540">
        <f ca="1">IFERROR(__xludf.DUMMYFUNCTION("IMPORTRANGE(""https://docs.google.com/spreadsheets/d/1woKwKjgoLssDvPcPeVyezB5izizAn4X1JDrys69n6xI/edit?usp=sharing"",""ยะลา!J748"")"),0)</f>
        <v>0</v>
      </c>
      <c r="AR84" s="540">
        <f ca="1">IFERROR(__xludf.DUMMYFUNCTION("IMPORTRANGE(""https://docs.google.com/spreadsheets/d/1woKwKjgoLssDvPcPeVyezB5izizAn4X1JDrys69n6xI/edit?usp=sharing"",""ยะลา!I749"")"),1)</f>
        <v>1</v>
      </c>
      <c r="AS84" s="540">
        <f ca="1">IFERROR(__xludf.DUMMYFUNCTION("IMPORTRANGE(""https://docs.google.com/spreadsheets/d/1woKwKjgoLssDvPcPeVyezB5izizAn4X1JDrys69n6xI/edit?usp=sharing"",""ยะลา!J749"")"),0)</f>
        <v>0</v>
      </c>
      <c r="AT84" s="375">
        <f t="shared" ca="1" si="62"/>
        <v>0</v>
      </c>
      <c r="AU84" s="540">
        <f ca="1">IFERROR(__xludf.DUMMYFUNCTION("IMPORTRANGE(""https://docs.google.com/spreadsheets/d/1woKwKjgoLssDvPcPeVyezB5izizAn4X1JDrys69n6xI/edit?usp=sharing"",""ยะลา!I752"")"),8)</f>
        <v>8</v>
      </c>
      <c r="AV84" s="540">
        <f ca="1">IFERROR(__xludf.DUMMYFUNCTION("IMPORTRANGE(""https://docs.google.com/spreadsheets/d/1woKwKjgoLssDvPcPeVyezB5izizAn4X1JDrys69n6xI/edit?usp=sharing"",""ยะลา!J752"")"),0)</f>
        <v>0</v>
      </c>
      <c r="AW84" s="375">
        <f t="shared" ca="1" si="64"/>
        <v>0</v>
      </c>
      <c r="AX84" s="540">
        <f ca="1">IFERROR(__xludf.DUMMYFUNCTION("IMPORTRANGE(""https://docs.google.com/spreadsheets/d/1woKwKjgoLssDvPcPeVyezB5izizAn4X1JDrys69n6xI/edit?usp=sharing"",""ยะลา!J753"")"),0)</f>
        <v>0</v>
      </c>
      <c r="AY84" s="540">
        <f ca="1">IFERROR(__xludf.DUMMYFUNCTION("IMPORTRANGE(""https://docs.google.com/spreadsheets/d/1woKwKjgoLssDvPcPeVyezB5izizAn4X1JDrys69n6xI/edit?usp=sharing"",""ยะลา!I755"")"),2)</f>
        <v>2</v>
      </c>
      <c r="AZ84" s="540">
        <f ca="1">IFERROR(__xludf.DUMMYFUNCTION("IMPORTRANGE(""https://docs.google.com/spreadsheets/d/1woKwKjgoLssDvPcPeVyezB5izizAn4X1JDrys69n6xI/edit?usp=sharing"",""ยะลา!J755"")"),0)</f>
        <v>0</v>
      </c>
      <c r="BA84" s="375">
        <f t="shared" ca="1" si="66"/>
        <v>0</v>
      </c>
      <c r="BB84" s="540">
        <f ca="1">IFERROR(__xludf.DUMMYFUNCTION("IMPORTRANGE(""https://docs.google.com/spreadsheets/d/1woKwKjgoLssDvPcPeVyezB5izizAn4X1JDrys69n6xI/edit?usp=sharing"",""ยะลา!J756"")"),0)</f>
        <v>0</v>
      </c>
    </row>
    <row r="85" spans="1:54" ht="23.25" customHeight="1" x14ac:dyDescent="0.3">
      <c r="A85" s="535">
        <v>11</v>
      </c>
      <c r="B85" s="536" t="s">
        <v>111</v>
      </c>
      <c r="C85" s="537">
        <f t="shared" si="39"/>
        <v>0</v>
      </c>
      <c r="D85" s="538">
        <f t="shared" si="100"/>
        <v>0</v>
      </c>
      <c r="E85" s="539">
        <v>0</v>
      </c>
      <c r="F85" s="539">
        <v>0</v>
      </c>
      <c r="G85" s="539">
        <v>0</v>
      </c>
      <c r="H85" s="539">
        <v>0</v>
      </c>
      <c r="I85" s="539">
        <v>0</v>
      </c>
      <c r="J85" s="545">
        <f t="shared" si="41"/>
        <v>0</v>
      </c>
      <c r="K85" s="546">
        <f t="shared" si="42"/>
        <v>0</v>
      </c>
      <c r="L85" s="539">
        <v>0</v>
      </c>
      <c r="M85" s="542">
        <f t="shared" si="43"/>
        <v>0</v>
      </c>
      <c r="N85" s="542">
        <f t="shared" si="44"/>
        <v>0</v>
      </c>
      <c r="O85" s="539">
        <v>0</v>
      </c>
      <c r="P85" s="543">
        <f t="shared" si="45"/>
        <v>0</v>
      </c>
      <c r="Q85" s="542">
        <f t="shared" si="46"/>
        <v>0</v>
      </c>
      <c r="R85" s="542">
        <f ca="1">IFERROR(__xludf.DUMMYFUNCTION("IMPORTRANGE(""https://docs.google.com/spreadsheets/d/1qfrKjzMhm2HJfxQ-qVlJlJQ25Hne1d0khsySbZyGtPA/edit?usp=sharing"",""ระนอง!Q728"")"),379090)</f>
        <v>379090</v>
      </c>
      <c r="S85" s="542">
        <f ca="1">IFERROR(__xludf.DUMMYFUNCTION("IMPORTRANGE(""https://docs.google.com/spreadsheets/d/1qfrKjzMhm2HJfxQ-qVlJlJQ25Hne1d0khsySbZyGtPA/edit?usp=sharing"",""ระนอง!R728"")"),0)</f>
        <v>0</v>
      </c>
      <c r="T85" s="542">
        <f ca="1">IFERROR(__xludf.DUMMYFUNCTION("IMPORTRANGE(""https://docs.google.com/spreadsheets/d/1qfrKjzMhm2HJfxQ-qVlJlJQ25Hne1d0khsySbZyGtPA/edit?usp=sharing"",""ระนอง!S728"")"),0)</f>
        <v>0</v>
      </c>
      <c r="U85" s="542">
        <f t="shared" ca="1" si="48"/>
        <v>0</v>
      </c>
      <c r="V85" s="542">
        <f t="shared" ca="1" si="49"/>
        <v>0</v>
      </c>
      <c r="W85" s="544">
        <f ca="1">IFERROR(__xludf.DUMMYFUNCTION("IMPORTRANGE(""https://docs.google.com/spreadsheets/d/1qfrKjzMhm2HJfxQ-qVlJlJQ25Hne1d0khsySbZyGtPA/edit?usp=sharing"",""ระนอง!I726"")"),51)</f>
        <v>51</v>
      </c>
      <c r="X85" s="540">
        <f ca="1">IFERROR(__xludf.DUMMYFUNCTION("IMPORTRANGE(""https://docs.google.com/spreadsheets/d/1qfrKjzMhm2HJfxQ-qVlJlJQ25Hne1d0khsySbZyGtPA/edit?usp=sharing"",""ระนอง!I727"")"),500)</f>
        <v>500</v>
      </c>
      <c r="Y85" s="540">
        <f ca="1">IFERROR(__xludf.DUMMYFUNCTION("IMPORTRANGE(""https://docs.google.com/spreadsheets/d/1qfrKjzMhm2HJfxQ-qVlJlJQ25Hne1d0khsySbZyGtPA/edit?usp=sharing"",""ระนอง!J726"")"),0)</f>
        <v>0</v>
      </c>
      <c r="Z85" s="375">
        <f t="shared" ca="1" si="51"/>
        <v>0</v>
      </c>
      <c r="AA85" s="540">
        <f ca="1">IFERROR(__xludf.DUMMYFUNCTION("IMPORTRANGE(""https://docs.google.com/spreadsheets/d/1qfrKjzMhm2HJfxQ-qVlJlJQ25Hne1d0khsySbZyGtPA/edit?usp=sharing"",""ระนอง!J727"")"),0)</f>
        <v>0</v>
      </c>
      <c r="AB85" s="375">
        <f t="shared" ca="1" si="52"/>
        <v>0</v>
      </c>
      <c r="AC85" s="540">
        <f ca="1">IFERROR(__xludf.DUMMYFUNCTION("IMPORTRANGE(""https://docs.google.com/spreadsheets/d/1qfrKjzMhm2HJfxQ-qVlJlJQ25Hne1d0khsySbZyGtPA/edit?usp=sharing"",""ระนอง!I740"")"),400)</f>
        <v>400</v>
      </c>
      <c r="AD85" s="540">
        <f ca="1">IFERROR(__xludf.DUMMYFUNCTION("IMPORTRANGE(""https://docs.google.com/spreadsheets/d/1qfrKjzMhm2HJfxQ-qVlJlJQ25Hne1d0khsySbZyGtPA/edit?usp=sharing"",""ระนอง!J740"")"),0)</f>
        <v>0</v>
      </c>
      <c r="AE85" s="375">
        <f t="shared" ca="1" si="54"/>
        <v>0</v>
      </c>
      <c r="AF85" s="540">
        <f ca="1">IFERROR(__xludf.DUMMYFUNCTION("IMPORTRANGE(""https://docs.google.com/spreadsheets/d/1qfrKjzMhm2HJfxQ-qVlJlJQ25Hne1d0khsySbZyGtPA/edit?usp=sharing"",""ระนอง!J741"")"),0)</f>
        <v>0</v>
      </c>
      <c r="AG85" s="540">
        <f ca="1">IFERROR(__xludf.DUMMYFUNCTION("IMPORTRANGE(""https://docs.google.com/spreadsheets/d/1qfrKjzMhm2HJfxQ-qVlJlJQ25Hne1d0khsySbZyGtPA/edit?usp=sharing"",""ระนอง!I742"")"),40)</f>
        <v>40</v>
      </c>
      <c r="AH85" s="540">
        <f ca="1">IFERROR(__xludf.DUMMYFUNCTION("IMPORTRANGE(""https://docs.google.com/spreadsheets/d/1qfrKjzMhm2HJfxQ-qVlJlJQ25Hne1d0khsySbZyGtPA/edit?usp=sharing"",""ระนอง!J742"")"),0)</f>
        <v>0</v>
      </c>
      <c r="AI85" s="375">
        <f t="shared" ca="1" si="56"/>
        <v>0</v>
      </c>
      <c r="AJ85" s="540">
        <f ca="1">IFERROR(__xludf.DUMMYFUNCTION("IMPORTRANGE(""https://docs.google.com/spreadsheets/d/1qfrKjzMhm2HJfxQ-qVlJlJQ25Hne1d0khsySbZyGtPA/edit?usp=sharing"",""ระนอง!I744"")"),100)</f>
        <v>100</v>
      </c>
      <c r="AK85" s="540">
        <f ca="1">IFERROR(__xludf.DUMMYFUNCTION("IMPORTRANGE(""https://docs.google.com/spreadsheets/d/1qfrKjzMhm2HJfxQ-qVlJlJQ25Hne1d0khsySbZyGtPA/edit?usp=sharing"",""ระนอง!J744"")"),0)</f>
        <v>0</v>
      </c>
      <c r="AL85" s="375">
        <f t="shared" ca="1" si="58"/>
        <v>0</v>
      </c>
      <c r="AM85" s="540">
        <f ca="1">IFERROR(__xludf.DUMMYFUNCTION("IMPORTRANGE(""https://docs.google.com/spreadsheets/d/1qfrKjzMhm2HJfxQ-qVlJlJQ25Hne1d0khsySbZyGtPA/edit?usp=sharing"",""ระนอง!J745"")"),0)</f>
        <v>0</v>
      </c>
      <c r="AN85" s="540">
        <f ca="1">IFERROR(__xludf.DUMMYFUNCTION("IMPORTRANGE(""https://docs.google.com/spreadsheets/d/1qfrKjzMhm2HJfxQ-qVlJlJQ25Hne1d0khsySbZyGtPA/edit?usp=sharing"",""ระนอง!I746"")"),10)</f>
        <v>10</v>
      </c>
      <c r="AO85" s="540">
        <f ca="1">IFERROR(__xludf.DUMMYFUNCTION("IMPORTRANGE(""https://docs.google.com/spreadsheets/d/1qfrKjzMhm2HJfxQ-qVlJlJQ25Hne1d0khsySbZyGtPA/edit?usp=sharing"",""ระนอง!J746"")"),0)</f>
        <v>0</v>
      </c>
      <c r="AP85" s="375">
        <f t="shared" ca="1" si="60"/>
        <v>0</v>
      </c>
      <c r="AQ85" s="540">
        <f ca="1">IFERROR(__xludf.DUMMYFUNCTION("IMPORTRANGE(""https://docs.google.com/spreadsheets/d/1qfrKjzMhm2HJfxQ-qVlJlJQ25Hne1d0khsySbZyGtPA/edit?usp=sharing"",""ระนอง!J748"")"),0)</f>
        <v>0</v>
      </c>
      <c r="AR85" s="540">
        <f ca="1">IFERROR(__xludf.DUMMYFUNCTION("IMPORTRANGE(""https://docs.google.com/spreadsheets/d/1qfrKjzMhm2HJfxQ-qVlJlJQ25Hne1d0khsySbZyGtPA/edit?usp=sharing"",""ระนอง!I749"")"),1)</f>
        <v>1</v>
      </c>
      <c r="AS85" s="540">
        <f ca="1">IFERROR(__xludf.DUMMYFUNCTION("IMPORTRANGE(""https://docs.google.com/spreadsheets/d/1qfrKjzMhm2HJfxQ-qVlJlJQ25Hne1d0khsySbZyGtPA/edit?usp=sharing"",""ระนอง!J749"")"),0)</f>
        <v>0</v>
      </c>
      <c r="AT85" s="375">
        <f t="shared" ca="1" si="62"/>
        <v>0</v>
      </c>
      <c r="AU85" s="540">
        <f ca="1">IFERROR(__xludf.DUMMYFUNCTION("IMPORTRANGE(""https://docs.google.com/spreadsheets/d/1qfrKjzMhm2HJfxQ-qVlJlJQ25Hne1d0khsySbZyGtPA/edit?usp=sharing"",""ระนอง!I752"")"),40)</f>
        <v>40</v>
      </c>
      <c r="AV85" s="540">
        <f ca="1">IFERROR(__xludf.DUMMYFUNCTION("IMPORTRANGE(""https://docs.google.com/spreadsheets/d/1qfrKjzMhm2HJfxQ-qVlJlJQ25Hne1d0khsySbZyGtPA/edit?usp=sharing"",""ระนอง!J752"")"),0)</f>
        <v>0</v>
      </c>
      <c r="AW85" s="375">
        <f t="shared" ca="1" si="64"/>
        <v>0</v>
      </c>
      <c r="AX85" s="540">
        <f ca="1">IFERROR(__xludf.DUMMYFUNCTION("IMPORTRANGE(""https://docs.google.com/spreadsheets/d/1qfrKjzMhm2HJfxQ-qVlJlJQ25Hne1d0khsySbZyGtPA/edit?usp=sharing"",""ระนอง!J753"")"),0)</f>
        <v>0</v>
      </c>
      <c r="AY85" s="540">
        <f ca="1">IFERROR(__xludf.DUMMYFUNCTION("IMPORTRANGE(""https://docs.google.com/spreadsheets/d/1qfrKjzMhm2HJfxQ-qVlJlJQ25Hne1d0khsySbZyGtPA/edit?usp=sharing"",""ระนอง!I755"")"),10)</f>
        <v>10</v>
      </c>
      <c r="AZ85" s="540">
        <f ca="1">IFERROR(__xludf.DUMMYFUNCTION("IMPORTRANGE(""https://docs.google.com/spreadsheets/d/1qfrKjzMhm2HJfxQ-qVlJlJQ25Hne1d0khsySbZyGtPA/edit?usp=sharing"",""ระนอง!J755"")"),0)</f>
        <v>0</v>
      </c>
      <c r="BA85" s="375">
        <f t="shared" ca="1" si="66"/>
        <v>0</v>
      </c>
      <c r="BB85" s="540">
        <f ca="1">IFERROR(__xludf.DUMMYFUNCTION("IMPORTRANGE(""https://docs.google.com/spreadsheets/d/1qfrKjzMhm2HJfxQ-qVlJlJQ25Hne1d0khsySbZyGtPA/edit?usp=sharing"",""ระนอง!J756"")"),0)</f>
        <v>0</v>
      </c>
    </row>
    <row r="86" spans="1:54" ht="23.25" customHeight="1" x14ac:dyDescent="0.3">
      <c r="A86" s="535">
        <v>12</v>
      </c>
      <c r="B86" s="536" t="s">
        <v>112</v>
      </c>
      <c r="C86" s="537">
        <f t="shared" si="39"/>
        <v>0</v>
      </c>
      <c r="D86" s="538">
        <f t="shared" si="100"/>
        <v>0</v>
      </c>
      <c r="E86" s="539">
        <v>0</v>
      </c>
      <c r="F86" s="539">
        <v>0</v>
      </c>
      <c r="G86" s="539">
        <v>0</v>
      </c>
      <c r="H86" s="539">
        <v>0</v>
      </c>
      <c r="I86" s="539">
        <v>0</v>
      </c>
      <c r="J86" s="545">
        <f t="shared" si="41"/>
        <v>0</v>
      </c>
      <c r="K86" s="546">
        <f t="shared" si="42"/>
        <v>0</v>
      </c>
      <c r="L86" s="539">
        <v>0</v>
      </c>
      <c r="M86" s="542">
        <f t="shared" si="43"/>
        <v>0</v>
      </c>
      <c r="N86" s="542">
        <f t="shared" si="44"/>
        <v>0</v>
      </c>
      <c r="O86" s="539">
        <v>0</v>
      </c>
      <c r="P86" s="543">
        <f t="shared" si="45"/>
        <v>0</v>
      </c>
      <c r="Q86" s="542">
        <f t="shared" si="46"/>
        <v>0</v>
      </c>
      <c r="R86" s="542">
        <f ca="1">IFERROR(__xludf.DUMMYFUNCTION("IMPORTRANGE(""https://docs.google.com/spreadsheets/d/1IbSCnFOKpZsnFogBHJnL_isstZVaOMnFiIN0fGTPZZw/edit?usp=sharing"",""สงขลา!Q728"")"),111882)</f>
        <v>111882</v>
      </c>
      <c r="S86" s="542">
        <f ca="1">IFERROR(__xludf.DUMMYFUNCTION("IMPORTRANGE(""https://docs.google.com/spreadsheets/d/1IbSCnFOKpZsnFogBHJnL_isstZVaOMnFiIN0fGTPZZw/edit?usp=sharing"",""สงขลา!R728"")"),0)</f>
        <v>0</v>
      </c>
      <c r="T86" s="542">
        <f ca="1">IFERROR(__xludf.DUMMYFUNCTION("IMPORTRANGE(""https://docs.google.com/spreadsheets/d/1IbSCnFOKpZsnFogBHJnL_isstZVaOMnFiIN0fGTPZZw/edit?usp=sharing"",""สงขลา!S728"")"),1480)</f>
        <v>1480</v>
      </c>
      <c r="U86" s="542">
        <f t="shared" ca="1" si="48"/>
        <v>1.3228222591659069</v>
      </c>
      <c r="V86" s="542">
        <f t="shared" ca="1" si="49"/>
        <v>0</v>
      </c>
      <c r="W86" s="544">
        <f ca="1">IFERROR(__xludf.DUMMYFUNCTION("IMPORTRANGE(""https://docs.google.com/spreadsheets/d/1IbSCnFOKpZsnFogBHJnL_isstZVaOMnFiIN0fGTPZZw/edit?usp=sharing"",""สงขลา!I726"")"),11)</f>
        <v>11</v>
      </c>
      <c r="X86" s="540">
        <f ca="1">IFERROR(__xludf.DUMMYFUNCTION("IMPORTRANGE(""https://docs.google.com/spreadsheets/d/1IbSCnFOKpZsnFogBHJnL_isstZVaOMnFiIN0fGTPZZw/edit?usp=sharing"",""สงขลา!I727"")"),100)</f>
        <v>100</v>
      </c>
      <c r="Y86" s="540">
        <f ca="1">IFERROR(__xludf.DUMMYFUNCTION("IMPORTRANGE(""https://docs.google.com/spreadsheets/d/1IbSCnFOKpZsnFogBHJnL_isstZVaOMnFiIN0fGTPZZw/edit?usp=sharing"",""สงขลา!J726"")"),0)</f>
        <v>0</v>
      </c>
      <c r="Z86" s="375">
        <f t="shared" ca="1" si="51"/>
        <v>0</v>
      </c>
      <c r="AA86" s="540">
        <f ca="1">IFERROR(__xludf.DUMMYFUNCTION("IMPORTRANGE(""https://docs.google.com/spreadsheets/d/1IbSCnFOKpZsnFogBHJnL_isstZVaOMnFiIN0fGTPZZw/edit?usp=sharing"",""สงขลา!J727"")"),0)</f>
        <v>0</v>
      </c>
      <c r="AB86" s="375">
        <f t="shared" ca="1" si="52"/>
        <v>0</v>
      </c>
      <c r="AC86" s="540">
        <f ca="1">IFERROR(__xludf.DUMMYFUNCTION("IMPORTRANGE(""https://docs.google.com/spreadsheets/d/1IbSCnFOKpZsnFogBHJnL_isstZVaOMnFiIN0fGTPZZw/edit?usp=sharing"",""สงขลา!I740"")"),80)</f>
        <v>80</v>
      </c>
      <c r="AD86" s="540">
        <f ca="1">IFERROR(__xludf.DUMMYFUNCTION("IMPORTRANGE(""https://docs.google.com/spreadsheets/d/1IbSCnFOKpZsnFogBHJnL_isstZVaOMnFiIN0fGTPZZw/edit?usp=sharing"",""สงขลา!J740"")"),0)</f>
        <v>0</v>
      </c>
      <c r="AE86" s="375">
        <f t="shared" ca="1" si="54"/>
        <v>0</v>
      </c>
      <c r="AF86" s="540">
        <f ca="1">IFERROR(__xludf.DUMMYFUNCTION("IMPORTRANGE(""https://docs.google.com/spreadsheets/d/1IbSCnFOKpZsnFogBHJnL_isstZVaOMnFiIN0fGTPZZw/edit?usp=sharing"",""สงขลา!J741"")"),0)</f>
        <v>0</v>
      </c>
      <c r="AG86" s="540">
        <f ca="1">IFERROR(__xludf.DUMMYFUNCTION("IMPORTRANGE(""https://docs.google.com/spreadsheets/d/1IbSCnFOKpZsnFogBHJnL_isstZVaOMnFiIN0fGTPZZw/edit?usp=sharing"",""สงขลา!I742"")"),8)</f>
        <v>8</v>
      </c>
      <c r="AH86" s="540">
        <f ca="1">IFERROR(__xludf.DUMMYFUNCTION("IMPORTRANGE(""https://docs.google.com/spreadsheets/d/1IbSCnFOKpZsnFogBHJnL_isstZVaOMnFiIN0fGTPZZw/edit?usp=sharing"",""สงขลา!J742"")"),0)</f>
        <v>0</v>
      </c>
      <c r="AI86" s="375">
        <f t="shared" ca="1" si="56"/>
        <v>0</v>
      </c>
      <c r="AJ86" s="540">
        <f ca="1">IFERROR(__xludf.DUMMYFUNCTION("IMPORTRANGE(""https://docs.google.com/spreadsheets/d/1IbSCnFOKpZsnFogBHJnL_isstZVaOMnFiIN0fGTPZZw/edit?usp=sharing"",""สงขลา!I744"")"),20)</f>
        <v>20</v>
      </c>
      <c r="AK86" s="540">
        <f ca="1">IFERROR(__xludf.DUMMYFUNCTION("IMPORTRANGE(""https://docs.google.com/spreadsheets/d/1IbSCnFOKpZsnFogBHJnL_isstZVaOMnFiIN0fGTPZZw/edit?usp=sharing"",""สงขลา!J744"")"),0)</f>
        <v>0</v>
      </c>
      <c r="AL86" s="375">
        <f t="shared" ca="1" si="58"/>
        <v>0</v>
      </c>
      <c r="AM86" s="540">
        <f ca="1">IFERROR(__xludf.DUMMYFUNCTION("IMPORTRANGE(""https://docs.google.com/spreadsheets/d/1IbSCnFOKpZsnFogBHJnL_isstZVaOMnFiIN0fGTPZZw/edit?usp=sharing"",""สงขลา!J745"")"),0)</f>
        <v>0</v>
      </c>
      <c r="AN86" s="540">
        <f ca="1">IFERROR(__xludf.DUMMYFUNCTION("IMPORTRANGE(""https://docs.google.com/spreadsheets/d/1IbSCnFOKpZsnFogBHJnL_isstZVaOMnFiIN0fGTPZZw/edit?usp=sharing"",""สงขลา!I746"")"),2)</f>
        <v>2</v>
      </c>
      <c r="AO86" s="540">
        <f ca="1">IFERROR(__xludf.DUMMYFUNCTION("IMPORTRANGE(""https://docs.google.com/spreadsheets/d/1IbSCnFOKpZsnFogBHJnL_isstZVaOMnFiIN0fGTPZZw/edit?usp=sharing"",""สงขลา!J746"")"),0)</f>
        <v>0</v>
      </c>
      <c r="AP86" s="375">
        <f t="shared" ca="1" si="60"/>
        <v>0</v>
      </c>
      <c r="AQ86" s="540">
        <f ca="1">IFERROR(__xludf.DUMMYFUNCTION("IMPORTRANGE(""https://docs.google.com/spreadsheets/d/1IbSCnFOKpZsnFogBHJnL_isstZVaOMnFiIN0fGTPZZw/edit?usp=sharing"",""สงขลา!J748"")"),0)</f>
        <v>0</v>
      </c>
      <c r="AR86" s="540">
        <f ca="1">IFERROR(__xludf.DUMMYFUNCTION("IMPORTRANGE(""https://docs.google.com/spreadsheets/d/1IbSCnFOKpZsnFogBHJnL_isstZVaOMnFiIN0fGTPZZw/edit?usp=sharing"",""สงขลา!I749"")"),1)</f>
        <v>1</v>
      </c>
      <c r="AS86" s="540">
        <f ca="1">IFERROR(__xludf.DUMMYFUNCTION("IMPORTRANGE(""https://docs.google.com/spreadsheets/d/1IbSCnFOKpZsnFogBHJnL_isstZVaOMnFiIN0fGTPZZw/edit?usp=sharing"",""สงขลา!J749"")"),0)</f>
        <v>0</v>
      </c>
      <c r="AT86" s="375">
        <f t="shared" ca="1" si="62"/>
        <v>0</v>
      </c>
      <c r="AU86" s="540">
        <f ca="1">IFERROR(__xludf.DUMMYFUNCTION("IMPORTRANGE(""https://docs.google.com/spreadsheets/d/1IbSCnFOKpZsnFogBHJnL_isstZVaOMnFiIN0fGTPZZw/edit?usp=sharing"",""สงขลา!I752"")"),8)</f>
        <v>8</v>
      </c>
      <c r="AV86" s="540">
        <f ca="1">IFERROR(__xludf.DUMMYFUNCTION("IMPORTRANGE(""https://docs.google.com/spreadsheets/d/1IbSCnFOKpZsnFogBHJnL_isstZVaOMnFiIN0fGTPZZw/edit?usp=sharing"",""สงขลา!J752"")"),0)</f>
        <v>0</v>
      </c>
      <c r="AW86" s="375">
        <f t="shared" ca="1" si="64"/>
        <v>0</v>
      </c>
      <c r="AX86" s="540">
        <f ca="1">IFERROR(__xludf.DUMMYFUNCTION("IMPORTRANGE(""https://docs.google.com/spreadsheets/d/1IbSCnFOKpZsnFogBHJnL_isstZVaOMnFiIN0fGTPZZw/edit?usp=sharing"",""สงขลา!J753"")"),0)</f>
        <v>0</v>
      </c>
      <c r="AY86" s="540">
        <f ca="1">IFERROR(__xludf.DUMMYFUNCTION("IMPORTRANGE(""https://docs.google.com/spreadsheets/d/1IbSCnFOKpZsnFogBHJnL_isstZVaOMnFiIN0fGTPZZw/edit?usp=sharing"",""สงขลา!I755"")"),2)</f>
        <v>2</v>
      </c>
      <c r="AZ86" s="540">
        <f ca="1">IFERROR(__xludf.DUMMYFUNCTION("IMPORTRANGE(""https://docs.google.com/spreadsheets/d/1IbSCnFOKpZsnFogBHJnL_isstZVaOMnFiIN0fGTPZZw/edit?usp=sharing"",""สงขลา!J755"")"),0)</f>
        <v>0</v>
      </c>
      <c r="BA86" s="375">
        <f t="shared" ca="1" si="66"/>
        <v>0</v>
      </c>
      <c r="BB86" s="540">
        <f ca="1">IFERROR(__xludf.DUMMYFUNCTION("IMPORTRANGE(""https://docs.google.com/spreadsheets/d/1IbSCnFOKpZsnFogBHJnL_isstZVaOMnFiIN0fGTPZZw/edit?usp=sharing"",""สงขลา!J756"")"),0)</f>
        <v>0</v>
      </c>
    </row>
    <row r="87" spans="1:54" ht="23.25" customHeight="1" x14ac:dyDescent="0.3">
      <c r="A87" s="535">
        <v>13</v>
      </c>
      <c r="B87" s="536" t="s">
        <v>113</v>
      </c>
      <c r="C87" s="537">
        <f t="shared" si="39"/>
        <v>0</v>
      </c>
      <c r="D87" s="538">
        <f t="shared" si="100"/>
        <v>0</v>
      </c>
      <c r="E87" s="539">
        <v>0</v>
      </c>
      <c r="F87" s="539">
        <v>0</v>
      </c>
      <c r="G87" s="539">
        <v>0</v>
      </c>
      <c r="H87" s="539">
        <v>0</v>
      </c>
      <c r="I87" s="539">
        <v>0</v>
      </c>
      <c r="J87" s="545">
        <f t="shared" si="41"/>
        <v>0</v>
      </c>
      <c r="K87" s="546">
        <f t="shared" si="42"/>
        <v>0</v>
      </c>
      <c r="L87" s="539">
        <v>0</v>
      </c>
      <c r="M87" s="542">
        <f t="shared" si="43"/>
        <v>0</v>
      </c>
      <c r="N87" s="542">
        <f t="shared" si="44"/>
        <v>0</v>
      </c>
      <c r="O87" s="539">
        <v>0</v>
      </c>
      <c r="P87" s="543">
        <f t="shared" si="45"/>
        <v>0</v>
      </c>
      <c r="Q87" s="542">
        <f t="shared" si="46"/>
        <v>0</v>
      </c>
      <c r="R87" s="542">
        <f ca="1">IFERROR(__xludf.DUMMYFUNCTION("IMPORTRANGE(""https://docs.google.com/spreadsheets/d/1q9nWasZJ-K8bFGvbE9n0qSRuKGA4Toe3Y89cKCiVtCU/edit?usp=sharing"",""สตูล!Q728"")"),79606)</f>
        <v>79606</v>
      </c>
      <c r="S87" s="542">
        <f ca="1">IFERROR(__xludf.DUMMYFUNCTION("IMPORTRANGE(""https://docs.google.com/spreadsheets/d/1q9nWasZJ-K8bFGvbE9n0qSRuKGA4Toe3Y89cKCiVtCU/edit?usp=sharing"",""สตูล!R728"")"),0)</f>
        <v>0</v>
      </c>
      <c r="T87" s="542">
        <f ca="1">IFERROR(__xludf.DUMMYFUNCTION("IMPORTRANGE(""https://docs.google.com/spreadsheets/d/1q9nWasZJ-K8bFGvbE9n0qSRuKGA4Toe3Y89cKCiVtCU/edit?usp=sharing"",""สตูล!S728"")"),0)</f>
        <v>0</v>
      </c>
      <c r="U87" s="542">
        <f t="shared" ca="1" si="48"/>
        <v>0</v>
      </c>
      <c r="V87" s="542">
        <f t="shared" ca="1" si="49"/>
        <v>0</v>
      </c>
      <c r="W87" s="544">
        <f ca="1">IFERROR(__xludf.DUMMYFUNCTION("IMPORTRANGE(""https://docs.google.com/spreadsheets/d/1q9nWasZJ-K8bFGvbE9n0qSRuKGA4Toe3Y89cKCiVtCU/edit?usp=sharing"",""สตูล!I726"")"),6)</f>
        <v>6</v>
      </c>
      <c r="X87" s="540">
        <f ca="1">IFERROR(__xludf.DUMMYFUNCTION("IMPORTRANGE(""https://docs.google.com/spreadsheets/d/1q9nWasZJ-K8bFGvbE9n0qSRuKGA4Toe3Y89cKCiVtCU/edit?usp=sharing"",""สตูล!I727"")"),50)</f>
        <v>50</v>
      </c>
      <c r="Y87" s="540">
        <f ca="1">IFERROR(__xludf.DUMMYFUNCTION("IMPORTRANGE(""https://docs.google.com/spreadsheets/d/1q9nWasZJ-K8bFGvbE9n0qSRuKGA4Toe3Y89cKCiVtCU/edit?usp=sharing"",""สตูล!J726"")"),0)</f>
        <v>0</v>
      </c>
      <c r="Z87" s="375">
        <f t="shared" ca="1" si="51"/>
        <v>0</v>
      </c>
      <c r="AA87" s="540">
        <f ca="1">IFERROR(__xludf.DUMMYFUNCTION("IMPORTRANGE(""https://docs.google.com/spreadsheets/d/1q9nWasZJ-K8bFGvbE9n0qSRuKGA4Toe3Y89cKCiVtCU/edit?usp=sharing"",""สตูล!J727"")"),0)</f>
        <v>0</v>
      </c>
      <c r="AB87" s="375">
        <f t="shared" ca="1" si="52"/>
        <v>0</v>
      </c>
      <c r="AC87" s="540">
        <f ca="1">IFERROR(__xludf.DUMMYFUNCTION("IMPORTRANGE(""https://docs.google.com/spreadsheets/d/1q9nWasZJ-K8bFGvbE9n0qSRuKGA4Toe3Y89cKCiVtCU/edit?usp=sharing"",""สตูล!I740"")"),40)</f>
        <v>40</v>
      </c>
      <c r="AD87" s="540">
        <f ca="1">IFERROR(__xludf.DUMMYFUNCTION("IMPORTRANGE(""https://docs.google.com/spreadsheets/d/1q9nWasZJ-K8bFGvbE9n0qSRuKGA4Toe3Y89cKCiVtCU/edit?usp=sharing"",""สตูล!J740"")"),0)</f>
        <v>0</v>
      </c>
      <c r="AE87" s="375">
        <f t="shared" ca="1" si="54"/>
        <v>0</v>
      </c>
      <c r="AF87" s="540">
        <f ca="1">IFERROR(__xludf.DUMMYFUNCTION("IMPORTRANGE(""https://docs.google.com/spreadsheets/d/1q9nWasZJ-K8bFGvbE9n0qSRuKGA4Toe3Y89cKCiVtCU/edit?usp=sharing"",""สตูล!J741"")"),0)</f>
        <v>0</v>
      </c>
      <c r="AG87" s="540">
        <f ca="1">IFERROR(__xludf.DUMMYFUNCTION("IMPORTRANGE(""https://docs.google.com/spreadsheets/d/1q9nWasZJ-K8bFGvbE9n0qSRuKGA4Toe3Y89cKCiVtCU/edit?usp=sharing"",""สตูล!I742"")"),4)</f>
        <v>4</v>
      </c>
      <c r="AH87" s="540">
        <f ca="1">IFERROR(__xludf.DUMMYFUNCTION("IMPORTRANGE(""https://docs.google.com/spreadsheets/d/1q9nWasZJ-K8bFGvbE9n0qSRuKGA4Toe3Y89cKCiVtCU/edit?usp=sharing"",""สตูล!J742"")"),0)</f>
        <v>0</v>
      </c>
      <c r="AI87" s="375">
        <f t="shared" ca="1" si="56"/>
        <v>0</v>
      </c>
      <c r="AJ87" s="540">
        <f ca="1">IFERROR(__xludf.DUMMYFUNCTION("IMPORTRANGE(""https://docs.google.com/spreadsheets/d/1q9nWasZJ-K8bFGvbE9n0qSRuKGA4Toe3Y89cKCiVtCU/edit?usp=sharing"",""สตูล!I744"")"),10)</f>
        <v>10</v>
      </c>
      <c r="AK87" s="540">
        <f ca="1">IFERROR(__xludf.DUMMYFUNCTION("IMPORTRANGE(""https://docs.google.com/spreadsheets/d/1q9nWasZJ-K8bFGvbE9n0qSRuKGA4Toe3Y89cKCiVtCU/edit?usp=sharing"",""สตูล!J744"")"),0)</f>
        <v>0</v>
      </c>
      <c r="AL87" s="375">
        <f t="shared" ca="1" si="58"/>
        <v>0</v>
      </c>
      <c r="AM87" s="540">
        <f ca="1">IFERROR(__xludf.DUMMYFUNCTION("IMPORTRANGE(""https://docs.google.com/spreadsheets/d/1q9nWasZJ-K8bFGvbE9n0qSRuKGA4Toe3Y89cKCiVtCU/edit?usp=sharing"",""สตูล!J745"")"),0)</f>
        <v>0</v>
      </c>
      <c r="AN87" s="540">
        <f ca="1">IFERROR(__xludf.DUMMYFUNCTION("IMPORTRANGE(""https://docs.google.com/spreadsheets/d/1q9nWasZJ-K8bFGvbE9n0qSRuKGA4Toe3Y89cKCiVtCU/edit?usp=sharing"",""สตูล!I746"")"),1)</f>
        <v>1</v>
      </c>
      <c r="AO87" s="540">
        <f ca="1">IFERROR(__xludf.DUMMYFUNCTION("IMPORTRANGE(""https://docs.google.com/spreadsheets/d/1q9nWasZJ-K8bFGvbE9n0qSRuKGA4Toe3Y89cKCiVtCU/edit?usp=sharing"",""สตูล!J746"")"),0)</f>
        <v>0</v>
      </c>
      <c r="AP87" s="375">
        <f t="shared" ca="1" si="60"/>
        <v>0</v>
      </c>
      <c r="AQ87" s="540">
        <f ca="1">IFERROR(__xludf.DUMMYFUNCTION("IMPORTRANGE(""https://docs.google.com/spreadsheets/d/1q9nWasZJ-K8bFGvbE9n0qSRuKGA4Toe3Y89cKCiVtCU/edit?usp=sharing"",""สตูล!J748"")"),0)</f>
        <v>0</v>
      </c>
      <c r="AR87" s="540">
        <f ca="1">IFERROR(__xludf.DUMMYFUNCTION("IMPORTRANGE(""https://docs.google.com/spreadsheets/d/1q9nWasZJ-K8bFGvbE9n0qSRuKGA4Toe3Y89cKCiVtCU/edit?usp=sharing"",""สตูล!I749"")"),1)</f>
        <v>1</v>
      </c>
      <c r="AS87" s="540">
        <f ca="1">IFERROR(__xludf.DUMMYFUNCTION("IMPORTRANGE(""https://docs.google.com/spreadsheets/d/1q9nWasZJ-K8bFGvbE9n0qSRuKGA4Toe3Y89cKCiVtCU/edit?usp=sharing"",""สตูล!J749"")"),0)</f>
        <v>0</v>
      </c>
      <c r="AT87" s="375">
        <f t="shared" ca="1" si="62"/>
        <v>0</v>
      </c>
      <c r="AU87" s="540">
        <f ca="1">IFERROR(__xludf.DUMMYFUNCTION("IMPORTRANGE(""https://docs.google.com/spreadsheets/d/1q9nWasZJ-K8bFGvbE9n0qSRuKGA4Toe3Y89cKCiVtCU/edit?usp=sharing"",""สตูล!I752"")"),4)</f>
        <v>4</v>
      </c>
      <c r="AV87" s="540">
        <f ca="1">IFERROR(__xludf.DUMMYFUNCTION("IMPORTRANGE(""https://docs.google.com/spreadsheets/d/1q9nWasZJ-K8bFGvbE9n0qSRuKGA4Toe3Y89cKCiVtCU/edit?usp=sharing"",""สตูล!J752"")"),0)</f>
        <v>0</v>
      </c>
      <c r="AW87" s="375">
        <f t="shared" ca="1" si="64"/>
        <v>0</v>
      </c>
      <c r="AX87" s="540">
        <f ca="1">IFERROR(__xludf.DUMMYFUNCTION("IMPORTRANGE(""https://docs.google.com/spreadsheets/d/1q9nWasZJ-K8bFGvbE9n0qSRuKGA4Toe3Y89cKCiVtCU/edit?usp=sharing"",""สตูล!J753"")"),0)</f>
        <v>0</v>
      </c>
      <c r="AY87" s="540">
        <f ca="1">IFERROR(__xludf.DUMMYFUNCTION("IMPORTRANGE(""https://docs.google.com/spreadsheets/d/1q9nWasZJ-K8bFGvbE9n0qSRuKGA4Toe3Y89cKCiVtCU/edit?usp=sharing"",""สตูล!I755"")"),1)</f>
        <v>1</v>
      </c>
      <c r="AZ87" s="540">
        <f ca="1">IFERROR(__xludf.DUMMYFUNCTION("IMPORTRANGE(""https://docs.google.com/spreadsheets/d/1q9nWasZJ-K8bFGvbE9n0qSRuKGA4Toe3Y89cKCiVtCU/edit?usp=sharing"",""สตูล!J755"")"),0)</f>
        <v>0</v>
      </c>
      <c r="BA87" s="375">
        <f t="shared" ca="1" si="66"/>
        <v>0</v>
      </c>
      <c r="BB87" s="540">
        <f ca="1">IFERROR(__xludf.DUMMYFUNCTION("IMPORTRANGE(""https://docs.google.com/spreadsheets/d/1q9nWasZJ-K8bFGvbE9n0qSRuKGA4Toe3Y89cKCiVtCU/edit?usp=sharing"",""สตูล!J756"")"),0)</f>
        <v>0</v>
      </c>
    </row>
    <row r="88" spans="1:54" ht="23.25" customHeight="1" x14ac:dyDescent="0.3">
      <c r="A88" s="548">
        <v>14</v>
      </c>
      <c r="B88" s="549" t="s">
        <v>114</v>
      </c>
      <c r="C88" s="550">
        <f t="shared" si="39"/>
        <v>0</v>
      </c>
      <c r="D88" s="551">
        <f t="shared" si="100"/>
        <v>0</v>
      </c>
      <c r="E88" s="552">
        <v>0</v>
      </c>
      <c r="F88" s="552">
        <v>0</v>
      </c>
      <c r="G88" s="552">
        <v>0</v>
      </c>
      <c r="H88" s="552">
        <v>0</v>
      </c>
      <c r="I88" s="552">
        <v>0</v>
      </c>
      <c r="J88" s="553">
        <f t="shared" si="41"/>
        <v>0</v>
      </c>
      <c r="K88" s="554">
        <f t="shared" si="42"/>
        <v>0</v>
      </c>
      <c r="L88" s="552">
        <v>0</v>
      </c>
      <c r="M88" s="555">
        <f t="shared" si="43"/>
        <v>0</v>
      </c>
      <c r="N88" s="555">
        <f t="shared" si="44"/>
        <v>0</v>
      </c>
      <c r="O88" s="552">
        <v>0</v>
      </c>
      <c r="P88" s="556">
        <f t="shared" si="45"/>
        <v>0</v>
      </c>
      <c r="Q88" s="555">
        <f t="shared" si="46"/>
        <v>0</v>
      </c>
      <c r="R88" s="555">
        <f ca="1">IFERROR(__xludf.DUMMYFUNCTION("IMPORTRANGE(""https://docs.google.com/spreadsheets/d/18T20gbkS_WBjdscyTOV05cvq_JqvqQ17C81mpxf7Ncs/edit?usp=sharing"",""สุราษฎร์ธานี!Q728"")"),379090)</f>
        <v>379090</v>
      </c>
      <c r="S88" s="555">
        <f ca="1">IFERROR(__xludf.DUMMYFUNCTION("IMPORTRANGE(""https://docs.google.com/spreadsheets/d/18T20gbkS_WBjdscyTOV05cvq_JqvqQ17C81mpxf7Ncs/edit?usp=sharing"",""สุราษฎร์ธานี!R728"")"),0)</f>
        <v>0</v>
      </c>
      <c r="T88" s="555">
        <f ca="1">IFERROR(__xludf.DUMMYFUNCTION("IMPORTRANGE(""https://docs.google.com/spreadsheets/d/18T20gbkS_WBjdscyTOV05cvq_JqvqQ17C81mpxf7Ncs/edit?usp=sharing"",""สุราษฎร์ธานี!S728"")"),29770)</f>
        <v>29770</v>
      </c>
      <c r="U88" s="555">
        <f t="shared" ca="1" si="48"/>
        <v>7.8530164340921678</v>
      </c>
      <c r="V88" s="555">
        <f t="shared" ca="1" si="49"/>
        <v>0</v>
      </c>
      <c r="W88" s="557">
        <f ca="1">IFERROR(__xludf.DUMMYFUNCTION("IMPORTRANGE(""https://docs.google.com/spreadsheets/d/18T20gbkS_WBjdscyTOV05cvq_JqvqQ17C81mpxf7Ncs/edit?usp=sharing"",""สุราษฎร์ธานี!I726"")"),51)</f>
        <v>51</v>
      </c>
      <c r="X88" s="558">
        <f ca="1">IFERROR(__xludf.DUMMYFUNCTION("IMPORTRANGE(""https://docs.google.com/spreadsheets/d/18T20gbkS_WBjdscyTOV05cvq_JqvqQ17C81mpxf7Ncs/edit?usp=sharing"",""สุราษฎร์ธานี!I727"")"),500)</f>
        <v>500</v>
      </c>
      <c r="Y88" s="558">
        <f ca="1">IFERROR(__xludf.DUMMYFUNCTION("IMPORTRANGE(""https://docs.google.com/spreadsheets/d/18T20gbkS_WBjdscyTOV05cvq_JqvqQ17C81mpxf7Ncs/edit?usp=sharing"",""สุราษฎร์ธานี!J726"")"),0)</f>
        <v>0</v>
      </c>
      <c r="Z88" s="376">
        <f t="shared" ca="1" si="51"/>
        <v>0</v>
      </c>
      <c r="AA88" s="558">
        <f ca="1">IFERROR(__xludf.DUMMYFUNCTION("IMPORTRANGE(""https://docs.google.com/spreadsheets/d/18T20gbkS_WBjdscyTOV05cvq_JqvqQ17C81mpxf7Ncs/edit?usp=sharing"",""สุราษฎร์ธานี!J727"")"),0)</f>
        <v>0</v>
      </c>
      <c r="AB88" s="376">
        <f t="shared" ca="1" si="52"/>
        <v>0</v>
      </c>
      <c r="AC88" s="558">
        <f ca="1">IFERROR(__xludf.DUMMYFUNCTION("IMPORTRANGE(""https://docs.google.com/spreadsheets/d/18T20gbkS_WBjdscyTOV05cvq_JqvqQ17C81mpxf7Ncs/edit?usp=sharing"",""สุราษฎร์ธานี!I740"")"),400)</f>
        <v>400</v>
      </c>
      <c r="AD88" s="558">
        <f ca="1">IFERROR(__xludf.DUMMYFUNCTION("IMPORTRANGE(""https://docs.google.com/spreadsheets/d/18T20gbkS_WBjdscyTOV05cvq_JqvqQ17C81mpxf7Ncs/edit?usp=sharing"",""สุราษฎร์ธานี!J740"")"),0)</f>
        <v>0</v>
      </c>
      <c r="AE88" s="376">
        <f t="shared" ca="1" si="54"/>
        <v>0</v>
      </c>
      <c r="AF88" s="558">
        <f ca="1">IFERROR(__xludf.DUMMYFUNCTION("IMPORTRANGE(""https://docs.google.com/spreadsheets/d/18T20gbkS_WBjdscyTOV05cvq_JqvqQ17C81mpxf7Ncs/edit?usp=sharing"",""สุราษฎร์ธานี!J741"")"),0)</f>
        <v>0</v>
      </c>
      <c r="AG88" s="558">
        <f ca="1">IFERROR(__xludf.DUMMYFUNCTION("IMPORTRANGE(""https://docs.google.com/spreadsheets/d/18T20gbkS_WBjdscyTOV05cvq_JqvqQ17C81mpxf7Ncs/edit?usp=sharing"",""สุราษฎร์ธานี!I742"")"),40)</f>
        <v>40</v>
      </c>
      <c r="AH88" s="558">
        <f ca="1">IFERROR(__xludf.DUMMYFUNCTION("IMPORTRANGE(""https://docs.google.com/spreadsheets/d/18T20gbkS_WBjdscyTOV05cvq_JqvqQ17C81mpxf7Ncs/edit?usp=sharing"",""สุราษฎร์ธานี!J742"")"),0)</f>
        <v>0</v>
      </c>
      <c r="AI88" s="376">
        <f t="shared" ca="1" si="56"/>
        <v>0</v>
      </c>
      <c r="AJ88" s="558">
        <f ca="1">IFERROR(__xludf.DUMMYFUNCTION("IMPORTRANGE(""https://docs.google.com/spreadsheets/d/18T20gbkS_WBjdscyTOV05cvq_JqvqQ17C81mpxf7Ncs/edit?usp=sharing"",""สุราษฎร์ธานี!I744"")"),100)</f>
        <v>100</v>
      </c>
      <c r="AK88" s="558">
        <f ca="1">IFERROR(__xludf.DUMMYFUNCTION("IMPORTRANGE(""https://docs.google.com/spreadsheets/d/18T20gbkS_WBjdscyTOV05cvq_JqvqQ17C81mpxf7Ncs/edit?usp=sharing"",""สุราษฎร์ธานี!J744"")"),0)</f>
        <v>0</v>
      </c>
      <c r="AL88" s="376">
        <f t="shared" ca="1" si="58"/>
        <v>0</v>
      </c>
      <c r="AM88" s="558">
        <f ca="1">IFERROR(__xludf.DUMMYFUNCTION("IMPORTRANGE(""https://docs.google.com/spreadsheets/d/18T20gbkS_WBjdscyTOV05cvq_JqvqQ17C81mpxf7Ncs/edit?usp=sharing"",""สุราษฎร์ธานี!J745"")"),0)</f>
        <v>0</v>
      </c>
      <c r="AN88" s="558">
        <f ca="1">IFERROR(__xludf.DUMMYFUNCTION("IMPORTRANGE(""https://docs.google.com/spreadsheets/d/18T20gbkS_WBjdscyTOV05cvq_JqvqQ17C81mpxf7Ncs/edit?usp=sharing"",""สุราษฎร์ธานี!I746"")"),10)</f>
        <v>10</v>
      </c>
      <c r="AO88" s="558">
        <f ca="1">IFERROR(__xludf.DUMMYFUNCTION("IMPORTRANGE(""https://docs.google.com/spreadsheets/d/18T20gbkS_WBjdscyTOV05cvq_JqvqQ17C81mpxf7Ncs/edit?usp=sharing"",""สุราษฎร์ธานี!J746"")"),0)</f>
        <v>0</v>
      </c>
      <c r="AP88" s="376">
        <f t="shared" ca="1" si="60"/>
        <v>0</v>
      </c>
      <c r="AQ88" s="558">
        <f ca="1">IFERROR(__xludf.DUMMYFUNCTION("IMPORTRANGE(""https://docs.google.com/spreadsheets/d/18T20gbkS_WBjdscyTOV05cvq_JqvqQ17C81mpxf7Ncs/edit?usp=sharing"",""สุราษฎร์ธานี!J748"")"),0)</f>
        <v>0</v>
      </c>
      <c r="AR88" s="558">
        <f ca="1">IFERROR(__xludf.DUMMYFUNCTION("IMPORTRANGE(""https://docs.google.com/spreadsheets/d/18T20gbkS_WBjdscyTOV05cvq_JqvqQ17C81mpxf7Ncs/edit?usp=sharing"",""สุราษฎร์ธานี!I749"")"),1)</f>
        <v>1</v>
      </c>
      <c r="AS88" s="558">
        <f ca="1">IFERROR(__xludf.DUMMYFUNCTION("IMPORTRANGE(""https://docs.google.com/spreadsheets/d/18T20gbkS_WBjdscyTOV05cvq_JqvqQ17C81mpxf7Ncs/edit?usp=sharing"",""สุราษฎร์ธานี!J749"")"),0)</f>
        <v>0</v>
      </c>
      <c r="AT88" s="376">
        <f t="shared" ca="1" si="62"/>
        <v>0</v>
      </c>
      <c r="AU88" s="558">
        <f ca="1">IFERROR(__xludf.DUMMYFUNCTION("IMPORTRANGE(""https://docs.google.com/spreadsheets/d/18T20gbkS_WBjdscyTOV05cvq_JqvqQ17C81mpxf7Ncs/edit?usp=sharing"",""สุราษฎร์ธานี!I752"")"),40)</f>
        <v>40</v>
      </c>
      <c r="AV88" s="558">
        <f ca="1">IFERROR(__xludf.DUMMYFUNCTION("IMPORTRANGE(""https://docs.google.com/spreadsheets/d/18T20gbkS_WBjdscyTOV05cvq_JqvqQ17C81mpxf7Ncs/edit?usp=sharing"",""สุราษฎร์ธานี!J752"")"),0)</f>
        <v>0</v>
      </c>
      <c r="AW88" s="376">
        <f t="shared" ca="1" si="64"/>
        <v>0</v>
      </c>
      <c r="AX88" s="558">
        <f ca="1">IFERROR(__xludf.DUMMYFUNCTION("IMPORTRANGE(""https://docs.google.com/spreadsheets/d/18T20gbkS_WBjdscyTOV05cvq_JqvqQ17C81mpxf7Ncs/edit?usp=sharing"",""สุราษฎร์ธานี!J753"")"),0)</f>
        <v>0</v>
      </c>
      <c r="AY88" s="558">
        <f ca="1">IFERROR(__xludf.DUMMYFUNCTION("IMPORTRANGE(""https://docs.google.com/spreadsheets/d/18T20gbkS_WBjdscyTOV05cvq_JqvqQ17C81mpxf7Ncs/edit?usp=sharing"",""สุราษฎร์ธานี!I755"")"),10)</f>
        <v>10</v>
      </c>
      <c r="AZ88" s="558">
        <f ca="1">IFERROR(__xludf.DUMMYFUNCTION("IMPORTRANGE(""https://docs.google.com/spreadsheets/d/18T20gbkS_WBjdscyTOV05cvq_JqvqQ17C81mpxf7Ncs/edit?usp=sharing"",""สุราษฎร์ธานี!J755"")"),0)</f>
        <v>0</v>
      </c>
      <c r="BA88" s="376">
        <f t="shared" ca="1" si="66"/>
        <v>0</v>
      </c>
      <c r="BB88" s="558">
        <f ca="1">IFERROR(__xludf.DUMMYFUNCTION("IMPORTRANGE(""https://docs.google.com/spreadsheets/d/18T20gbkS_WBjdscyTOV05cvq_JqvqQ17C81mpxf7Ncs/edit?usp=sharing"",""สุราษฎร์ธานี!J756"")"),0)</f>
        <v>0</v>
      </c>
    </row>
    <row r="89" spans="1:54" ht="19.5" hidden="1" x14ac:dyDescent="0.3">
      <c r="A89" s="722" t="s">
        <v>115</v>
      </c>
      <c r="B89" s="633"/>
      <c r="C89" s="560">
        <f t="shared" ref="C89:T89" si="101">SUM(C90:C106)</f>
        <v>0</v>
      </c>
      <c r="D89" s="560">
        <f t="shared" si="101"/>
        <v>0</v>
      </c>
      <c r="E89" s="560">
        <f t="shared" si="101"/>
        <v>0</v>
      </c>
      <c r="F89" s="560">
        <f t="shared" si="101"/>
        <v>0</v>
      </c>
      <c r="G89" s="560">
        <f t="shared" si="101"/>
        <v>0</v>
      </c>
      <c r="H89" s="560">
        <f t="shared" si="101"/>
        <v>0</v>
      </c>
      <c r="I89" s="560">
        <f t="shared" si="101"/>
        <v>0</v>
      </c>
      <c r="J89" s="560">
        <f t="shared" si="101"/>
        <v>0</v>
      </c>
      <c r="K89" s="561">
        <f t="shared" si="101"/>
        <v>0</v>
      </c>
      <c r="L89" s="560">
        <f t="shared" si="101"/>
        <v>0</v>
      </c>
      <c r="M89" s="561">
        <f t="shared" si="101"/>
        <v>0</v>
      </c>
      <c r="N89" s="561">
        <f t="shared" si="101"/>
        <v>0</v>
      </c>
      <c r="O89" s="560">
        <f t="shared" si="101"/>
        <v>0</v>
      </c>
      <c r="P89" s="560">
        <f t="shared" si="101"/>
        <v>0</v>
      </c>
      <c r="Q89" s="560">
        <f t="shared" si="101"/>
        <v>0</v>
      </c>
      <c r="R89" s="560">
        <f t="shared" si="101"/>
        <v>0</v>
      </c>
      <c r="S89" s="560">
        <f t="shared" si="101"/>
        <v>0</v>
      </c>
      <c r="T89" s="560">
        <f t="shared" si="101"/>
        <v>0</v>
      </c>
      <c r="U89" s="560">
        <f t="shared" si="48"/>
        <v>0</v>
      </c>
      <c r="V89" s="560">
        <f t="shared" si="49"/>
        <v>0</v>
      </c>
      <c r="W89" s="196"/>
      <c r="X89" s="196"/>
      <c r="Y89" s="349"/>
      <c r="Z89" s="196"/>
      <c r="AA89" s="196"/>
      <c r="AB89" s="196"/>
      <c r="AC89" s="349"/>
      <c r="AD89" s="196"/>
      <c r="AE89" s="196"/>
      <c r="AF89" s="196"/>
      <c r="AG89" s="349"/>
      <c r="AH89" s="273"/>
      <c r="AI89" s="273"/>
      <c r="AJ89" s="273"/>
      <c r="AK89" s="493"/>
      <c r="AL89" s="196"/>
      <c r="AM89" s="196"/>
      <c r="AN89" s="196"/>
      <c r="AO89" s="349"/>
      <c r="AP89" s="273"/>
      <c r="AQ89" s="273"/>
      <c r="AR89" s="273"/>
      <c r="AS89" s="493"/>
      <c r="AT89" s="493"/>
      <c r="AU89" s="493"/>
      <c r="AV89" s="493"/>
      <c r="AW89" s="493"/>
      <c r="AX89" s="493"/>
      <c r="AY89" s="493"/>
      <c r="AZ89" s="493"/>
      <c r="BA89" s="493"/>
      <c r="BB89" s="493"/>
    </row>
    <row r="90" spans="1:54" ht="19.5" hidden="1" x14ac:dyDescent="0.3">
      <c r="A90" s="562"/>
      <c r="B90" s="563" t="s">
        <v>116</v>
      </c>
      <c r="C90" s="537">
        <f t="shared" ref="C90:C106" si="102">D90+G90</f>
        <v>0</v>
      </c>
      <c r="D90" s="538">
        <f t="shared" ref="D90:D106" si="103">+E90+F90</f>
        <v>0</v>
      </c>
      <c r="E90" s="176">
        <v>0</v>
      </c>
      <c r="F90" s="176">
        <v>0</v>
      </c>
      <c r="G90" s="176">
        <v>0</v>
      </c>
      <c r="H90" s="176">
        <v>0</v>
      </c>
      <c r="I90" s="176">
        <v>0</v>
      </c>
      <c r="J90" s="564">
        <f t="shared" ref="J90:J106" si="104">L90+O90</f>
        <v>0</v>
      </c>
      <c r="K90" s="565">
        <f t="shared" ref="K90:K106" si="105">IF(C90&gt;0,J90*100/C90,0)</f>
        <v>0</v>
      </c>
      <c r="L90" s="176">
        <v>0</v>
      </c>
      <c r="M90" s="566">
        <f t="shared" ref="M90:M106" si="106">IF(D90&gt;0,L90*100/D90,0)</f>
        <v>0</v>
      </c>
      <c r="N90" s="566">
        <f t="shared" ref="N90:N106" si="107">IF(H90&gt;0,L90*100/H90,0)</f>
        <v>0</v>
      </c>
      <c r="O90" s="176">
        <v>0</v>
      </c>
      <c r="P90" s="567">
        <f t="shared" ref="P90:P106" si="108">IF(G90&gt;0,O90*100/G90,0)</f>
        <v>0</v>
      </c>
      <c r="Q90" s="566">
        <f t="shared" ref="Q90:Q106" si="109">IF(I90&gt;0,O90*100/I90,0)</f>
        <v>0</v>
      </c>
      <c r="R90" s="86">
        <v>0</v>
      </c>
      <c r="S90" s="86">
        <v>0</v>
      </c>
      <c r="T90" s="86">
        <v>0</v>
      </c>
      <c r="U90" s="566">
        <f t="shared" si="48"/>
        <v>0</v>
      </c>
      <c r="V90" s="566">
        <f t="shared" si="49"/>
        <v>0</v>
      </c>
      <c r="W90" s="360"/>
      <c r="X90" s="360"/>
      <c r="Y90" s="361"/>
      <c r="Z90" s="360"/>
      <c r="AA90" s="360"/>
      <c r="AB90" s="360"/>
      <c r="AC90" s="361"/>
      <c r="AD90" s="360"/>
      <c r="AE90" s="360"/>
      <c r="AF90" s="360"/>
      <c r="AG90" s="361"/>
      <c r="AH90" s="274"/>
      <c r="AI90" s="274"/>
      <c r="AJ90" s="274"/>
      <c r="AK90" s="568"/>
      <c r="AL90" s="360"/>
      <c r="AM90" s="360"/>
      <c r="AN90" s="360"/>
      <c r="AO90" s="361"/>
      <c r="AP90" s="274"/>
      <c r="AQ90" s="274"/>
      <c r="AR90" s="274"/>
      <c r="AS90" s="568"/>
      <c r="AT90" s="568"/>
      <c r="AU90" s="568"/>
      <c r="AV90" s="568"/>
      <c r="AW90" s="568"/>
      <c r="AX90" s="568"/>
      <c r="AY90" s="568"/>
      <c r="AZ90" s="568"/>
      <c r="BA90" s="568"/>
      <c r="BB90" s="568"/>
    </row>
    <row r="91" spans="1:54" ht="19.5" hidden="1" x14ac:dyDescent="0.3">
      <c r="A91" s="562"/>
      <c r="B91" s="563" t="s">
        <v>117</v>
      </c>
      <c r="C91" s="537">
        <f t="shared" si="102"/>
        <v>0</v>
      </c>
      <c r="D91" s="538">
        <f t="shared" si="103"/>
        <v>0</v>
      </c>
      <c r="E91" s="176">
        <v>0</v>
      </c>
      <c r="F91" s="176">
        <v>0</v>
      </c>
      <c r="G91" s="176">
        <v>0</v>
      </c>
      <c r="H91" s="176">
        <v>0</v>
      </c>
      <c r="I91" s="176">
        <v>0</v>
      </c>
      <c r="J91" s="564">
        <f t="shared" si="104"/>
        <v>0</v>
      </c>
      <c r="K91" s="565">
        <f t="shared" si="105"/>
        <v>0</v>
      </c>
      <c r="L91" s="176">
        <v>0</v>
      </c>
      <c r="M91" s="566">
        <f t="shared" si="106"/>
        <v>0</v>
      </c>
      <c r="N91" s="566">
        <f t="shared" si="107"/>
        <v>0</v>
      </c>
      <c r="O91" s="176">
        <v>0</v>
      </c>
      <c r="P91" s="567">
        <f t="shared" si="108"/>
        <v>0</v>
      </c>
      <c r="Q91" s="566">
        <f t="shared" si="109"/>
        <v>0</v>
      </c>
      <c r="R91" s="86">
        <v>0</v>
      </c>
      <c r="S91" s="86">
        <v>0</v>
      </c>
      <c r="T91" s="86">
        <v>0</v>
      </c>
      <c r="U91" s="566">
        <f t="shared" si="48"/>
        <v>0</v>
      </c>
      <c r="V91" s="566">
        <f t="shared" si="49"/>
        <v>0</v>
      </c>
      <c r="W91" s="360"/>
      <c r="X91" s="360"/>
      <c r="Y91" s="361"/>
      <c r="Z91" s="360"/>
      <c r="AA91" s="360"/>
      <c r="AB91" s="360"/>
      <c r="AC91" s="361"/>
      <c r="AD91" s="360"/>
      <c r="AE91" s="360"/>
      <c r="AF91" s="360"/>
      <c r="AG91" s="361"/>
      <c r="AH91" s="274"/>
      <c r="AI91" s="274"/>
      <c r="AJ91" s="274"/>
      <c r="AK91" s="568"/>
      <c r="AL91" s="360"/>
      <c r="AM91" s="360"/>
      <c r="AN91" s="360"/>
      <c r="AO91" s="361"/>
      <c r="AP91" s="274"/>
      <c r="AQ91" s="274"/>
      <c r="AR91" s="274"/>
      <c r="AS91" s="568"/>
      <c r="AT91" s="568"/>
      <c r="AU91" s="568"/>
      <c r="AV91" s="568"/>
      <c r="AW91" s="568"/>
      <c r="AX91" s="568"/>
      <c r="AY91" s="568"/>
      <c r="AZ91" s="568"/>
      <c r="BA91" s="568"/>
      <c r="BB91" s="568"/>
    </row>
    <row r="92" spans="1:54" ht="19.5" hidden="1" x14ac:dyDescent="0.3">
      <c r="A92" s="562"/>
      <c r="B92" s="563" t="s">
        <v>118</v>
      </c>
      <c r="C92" s="537">
        <f t="shared" si="102"/>
        <v>0</v>
      </c>
      <c r="D92" s="538">
        <f t="shared" si="103"/>
        <v>0</v>
      </c>
      <c r="E92" s="176">
        <v>0</v>
      </c>
      <c r="F92" s="176">
        <v>0</v>
      </c>
      <c r="G92" s="176">
        <v>0</v>
      </c>
      <c r="H92" s="176">
        <v>0</v>
      </c>
      <c r="I92" s="176">
        <v>0</v>
      </c>
      <c r="J92" s="564">
        <f t="shared" si="104"/>
        <v>0</v>
      </c>
      <c r="K92" s="565">
        <f t="shared" si="105"/>
        <v>0</v>
      </c>
      <c r="L92" s="176">
        <v>0</v>
      </c>
      <c r="M92" s="566">
        <f t="shared" si="106"/>
        <v>0</v>
      </c>
      <c r="N92" s="566">
        <f t="shared" si="107"/>
        <v>0</v>
      </c>
      <c r="O92" s="176">
        <v>0</v>
      </c>
      <c r="P92" s="567">
        <f t="shared" si="108"/>
        <v>0</v>
      </c>
      <c r="Q92" s="566">
        <f t="shared" si="109"/>
        <v>0</v>
      </c>
      <c r="R92" s="86">
        <v>0</v>
      </c>
      <c r="S92" s="86">
        <v>0</v>
      </c>
      <c r="T92" s="86">
        <v>0</v>
      </c>
      <c r="U92" s="566">
        <f t="shared" si="48"/>
        <v>0</v>
      </c>
      <c r="V92" s="566">
        <f t="shared" si="49"/>
        <v>0</v>
      </c>
      <c r="W92" s="360"/>
      <c r="X92" s="360"/>
      <c r="Y92" s="361"/>
      <c r="Z92" s="360"/>
      <c r="AA92" s="360"/>
      <c r="AB92" s="360"/>
      <c r="AC92" s="361"/>
      <c r="AD92" s="360"/>
      <c r="AE92" s="360"/>
      <c r="AF92" s="360"/>
      <c r="AG92" s="361"/>
      <c r="AH92" s="274"/>
      <c r="AI92" s="274"/>
      <c r="AJ92" s="274"/>
      <c r="AK92" s="568"/>
      <c r="AL92" s="360"/>
      <c r="AM92" s="360"/>
      <c r="AN92" s="360"/>
      <c r="AO92" s="361"/>
      <c r="AP92" s="274"/>
      <c r="AQ92" s="274"/>
      <c r="AR92" s="274"/>
      <c r="AS92" s="568"/>
      <c r="AT92" s="568"/>
      <c r="AU92" s="568"/>
      <c r="AV92" s="568"/>
      <c r="AW92" s="568"/>
      <c r="AX92" s="568"/>
      <c r="AY92" s="568"/>
      <c r="AZ92" s="568"/>
      <c r="BA92" s="568"/>
      <c r="BB92" s="568"/>
    </row>
    <row r="93" spans="1:54" ht="19.5" hidden="1" x14ac:dyDescent="0.3">
      <c r="A93" s="562"/>
      <c r="B93" s="563" t="s">
        <v>119</v>
      </c>
      <c r="C93" s="537">
        <f t="shared" si="102"/>
        <v>0</v>
      </c>
      <c r="D93" s="538">
        <f t="shared" si="103"/>
        <v>0</v>
      </c>
      <c r="E93" s="176">
        <v>0</v>
      </c>
      <c r="F93" s="176">
        <v>0</v>
      </c>
      <c r="G93" s="176">
        <v>0</v>
      </c>
      <c r="H93" s="176">
        <v>0</v>
      </c>
      <c r="I93" s="176">
        <v>0</v>
      </c>
      <c r="J93" s="564">
        <f t="shared" si="104"/>
        <v>0</v>
      </c>
      <c r="K93" s="565">
        <f t="shared" si="105"/>
        <v>0</v>
      </c>
      <c r="L93" s="176">
        <v>0</v>
      </c>
      <c r="M93" s="566">
        <f t="shared" si="106"/>
        <v>0</v>
      </c>
      <c r="N93" s="566">
        <f t="shared" si="107"/>
        <v>0</v>
      </c>
      <c r="O93" s="176">
        <v>0</v>
      </c>
      <c r="P93" s="567">
        <f t="shared" si="108"/>
        <v>0</v>
      </c>
      <c r="Q93" s="566">
        <f t="shared" si="109"/>
        <v>0</v>
      </c>
      <c r="R93" s="86">
        <v>0</v>
      </c>
      <c r="S93" s="86">
        <v>0</v>
      </c>
      <c r="T93" s="86">
        <v>0</v>
      </c>
      <c r="U93" s="566">
        <f t="shared" si="48"/>
        <v>0</v>
      </c>
      <c r="V93" s="566">
        <f t="shared" si="49"/>
        <v>0</v>
      </c>
      <c r="W93" s="360"/>
      <c r="X93" s="360"/>
      <c r="Y93" s="361"/>
      <c r="Z93" s="360"/>
      <c r="AA93" s="360"/>
      <c r="AB93" s="360"/>
      <c r="AC93" s="361"/>
      <c r="AD93" s="360"/>
      <c r="AE93" s="360"/>
      <c r="AF93" s="360"/>
      <c r="AG93" s="361"/>
      <c r="AH93" s="274"/>
      <c r="AI93" s="274"/>
      <c r="AJ93" s="274"/>
      <c r="AK93" s="568"/>
      <c r="AL93" s="360"/>
      <c r="AM93" s="360"/>
      <c r="AN93" s="360"/>
      <c r="AO93" s="361"/>
      <c r="AP93" s="274"/>
      <c r="AQ93" s="274"/>
      <c r="AR93" s="274"/>
      <c r="AS93" s="568"/>
      <c r="AT93" s="568"/>
      <c r="AU93" s="568"/>
      <c r="AV93" s="568"/>
      <c r="AW93" s="568"/>
      <c r="AX93" s="568"/>
      <c r="AY93" s="568"/>
      <c r="AZ93" s="568"/>
      <c r="BA93" s="568"/>
      <c r="BB93" s="568"/>
    </row>
    <row r="94" spans="1:54" ht="19.5" hidden="1" x14ac:dyDescent="0.3">
      <c r="A94" s="562"/>
      <c r="B94" s="563" t="s">
        <v>120</v>
      </c>
      <c r="C94" s="537">
        <f t="shared" si="102"/>
        <v>0</v>
      </c>
      <c r="D94" s="538">
        <f t="shared" si="103"/>
        <v>0</v>
      </c>
      <c r="E94" s="176">
        <v>0</v>
      </c>
      <c r="F94" s="176">
        <v>0</v>
      </c>
      <c r="G94" s="176">
        <v>0</v>
      </c>
      <c r="H94" s="176">
        <v>0</v>
      </c>
      <c r="I94" s="176">
        <v>0</v>
      </c>
      <c r="J94" s="564">
        <f t="shared" si="104"/>
        <v>0</v>
      </c>
      <c r="K94" s="565">
        <f t="shared" si="105"/>
        <v>0</v>
      </c>
      <c r="L94" s="176">
        <v>0</v>
      </c>
      <c r="M94" s="566">
        <f t="shared" si="106"/>
        <v>0</v>
      </c>
      <c r="N94" s="566">
        <f t="shared" si="107"/>
        <v>0</v>
      </c>
      <c r="O94" s="176">
        <v>0</v>
      </c>
      <c r="P94" s="567">
        <f t="shared" si="108"/>
        <v>0</v>
      </c>
      <c r="Q94" s="566">
        <f t="shared" si="109"/>
        <v>0</v>
      </c>
      <c r="R94" s="86">
        <v>0</v>
      </c>
      <c r="S94" s="86">
        <v>0</v>
      </c>
      <c r="T94" s="86">
        <v>0</v>
      </c>
      <c r="U94" s="566">
        <f t="shared" si="48"/>
        <v>0</v>
      </c>
      <c r="V94" s="566">
        <f t="shared" si="49"/>
        <v>0</v>
      </c>
      <c r="W94" s="360"/>
      <c r="X94" s="360"/>
      <c r="Y94" s="361"/>
      <c r="Z94" s="360"/>
      <c r="AA94" s="360"/>
      <c r="AB94" s="360"/>
      <c r="AC94" s="361"/>
      <c r="AD94" s="360"/>
      <c r="AE94" s="360"/>
      <c r="AF94" s="360"/>
      <c r="AG94" s="361"/>
      <c r="AH94" s="274"/>
      <c r="AI94" s="274"/>
      <c r="AJ94" s="274"/>
      <c r="AK94" s="568"/>
      <c r="AL94" s="360"/>
      <c r="AM94" s="360"/>
      <c r="AN94" s="360"/>
      <c r="AO94" s="361"/>
      <c r="AP94" s="274"/>
      <c r="AQ94" s="274"/>
      <c r="AR94" s="274"/>
      <c r="AS94" s="568"/>
      <c r="AT94" s="568"/>
      <c r="AU94" s="568"/>
      <c r="AV94" s="568"/>
      <c r="AW94" s="568"/>
      <c r="AX94" s="568"/>
      <c r="AY94" s="568"/>
      <c r="AZ94" s="568"/>
      <c r="BA94" s="568"/>
      <c r="BB94" s="568"/>
    </row>
    <row r="95" spans="1:54" ht="19.5" hidden="1" x14ac:dyDescent="0.3">
      <c r="A95" s="562"/>
      <c r="B95" s="563" t="s">
        <v>121</v>
      </c>
      <c r="C95" s="537">
        <f t="shared" si="102"/>
        <v>0</v>
      </c>
      <c r="D95" s="538">
        <f t="shared" si="103"/>
        <v>0</v>
      </c>
      <c r="E95" s="176">
        <v>0</v>
      </c>
      <c r="F95" s="176">
        <v>0</v>
      </c>
      <c r="G95" s="176">
        <v>0</v>
      </c>
      <c r="H95" s="176">
        <v>0</v>
      </c>
      <c r="I95" s="176">
        <v>0</v>
      </c>
      <c r="J95" s="564">
        <f t="shared" si="104"/>
        <v>0</v>
      </c>
      <c r="K95" s="565">
        <f t="shared" si="105"/>
        <v>0</v>
      </c>
      <c r="L95" s="176">
        <v>0</v>
      </c>
      <c r="M95" s="566">
        <f t="shared" si="106"/>
        <v>0</v>
      </c>
      <c r="N95" s="566">
        <f t="shared" si="107"/>
        <v>0</v>
      </c>
      <c r="O95" s="176">
        <v>0</v>
      </c>
      <c r="P95" s="567">
        <f t="shared" si="108"/>
        <v>0</v>
      </c>
      <c r="Q95" s="566">
        <f t="shared" si="109"/>
        <v>0</v>
      </c>
      <c r="R95" s="86">
        <v>0</v>
      </c>
      <c r="S95" s="86">
        <v>0</v>
      </c>
      <c r="T95" s="86">
        <v>0</v>
      </c>
      <c r="U95" s="566">
        <f t="shared" si="48"/>
        <v>0</v>
      </c>
      <c r="V95" s="566">
        <f t="shared" si="49"/>
        <v>0</v>
      </c>
      <c r="W95" s="360"/>
      <c r="X95" s="360"/>
      <c r="Y95" s="361"/>
      <c r="Z95" s="360"/>
      <c r="AA95" s="360"/>
      <c r="AB95" s="360"/>
      <c r="AC95" s="361"/>
      <c r="AD95" s="360"/>
      <c r="AE95" s="360"/>
      <c r="AF95" s="360"/>
      <c r="AG95" s="361"/>
      <c r="AH95" s="274"/>
      <c r="AI95" s="274"/>
      <c r="AJ95" s="274"/>
      <c r="AK95" s="568"/>
      <c r="AL95" s="360"/>
      <c r="AM95" s="360"/>
      <c r="AN95" s="360"/>
      <c r="AO95" s="361"/>
      <c r="AP95" s="274"/>
      <c r="AQ95" s="274"/>
      <c r="AR95" s="274"/>
      <c r="AS95" s="568"/>
      <c r="AT95" s="568"/>
      <c r="AU95" s="568"/>
      <c r="AV95" s="568"/>
      <c r="AW95" s="568"/>
      <c r="AX95" s="568"/>
      <c r="AY95" s="568"/>
      <c r="AZ95" s="568"/>
      <c r="BA95" s="568"/>
      <c r="BB95" s="568"/>
    </row>
    <row r="96" spans="1:54" ht="19.5" hidden="1" x14ac:dyDescent="0.3">
      <c r="A96" s="562"/>
      <c r="B96" s="563" t="s">
        <v>122</v>
      </c>
      <c r="C96" s="537">
        <f t="shared" si="102"/>
        <v>0</v>
      </c>
      <c r="D96" s="538">
        <f t="shared" si="103"/>
        <v>0</v>
      </c>
      <c r="E96" s="176">
        <v>0</v>
      </c>
      <c r="F96" s="176">
        <v>0</v>
      </c>
      <c r="G96" s="176">
        <v>0</v>
      </c>
      <c r="H96" s="176">
        <v>0</v>
      </c>
      <c r="I96" s="176">
        <v>0</v>
      </c>
      <c r="J96" s="564">
        <f t="shared" si="104"/>
        <v>0</v>
      </c>
      <c r="K96" s="565">
        <f t="shared" si="105"/>
        <v>0</v>
      </c>
      <c r="L96" s="176">
        <v>0</v>
      </c>
      <c r="M96" s="566">
        <f t="shared" si="106"/>
        <v>0</v>
      </c>
      <c r="N96" s="566">
        <f t="shared" si="107"/>
        <v>0</v>
      </c>
      <c r="O96" s="176">
        <v>0</v>
      </c>
      <c r="P96" s="567">
        <f t="shared" si="108"/>
        <v>0</v>
      </c>
      <c r="Q96" s="566">
        <f t="shared" si="109"/>
        <v>0</v>
      </c>
      <c r="R96" s="86">
        <v>0</v>
      </c>
      <c r="S96" s="86">
        <v>0</v>
      </c>
      <c r="T96" s="86">
        <v>0</v>
      </c>
      <c r="U96" s="566">
        <f t="shared" si="48"/>
        <v>0</v>
      </c>
      <c r="V96" s="566">
        <f t="shared" si="49"/>
        <v>0</v>
      </c>
      <c r="W96" s="360"/>
      <c r="X96" s="360"/>
      <c r="Y96" s="361"/>
      <c r="Z96" s="360"/>
      <c r="AA96" s="360"/>
      <c r="AB96" s="360"/>
      <c r="AC96" s="361"/>
      <c r="AD96" s="360"/>
      <c r="AE96" s="360"/>
      <c r="AF96" s="360"/>
      <c r="AG96" s="361"/>
      <c r="AH96" s="274"/>
      <c r="AI96" s="274"/>
      <c r="AJ96" s="274"/>
      <c r="AK96" s="568"/>
      <c r="AL96" s="360"/>
      <c r="AM96" s="360"/>
      <c r="AN96" s="360"/>
      <c r="AO96" s="361"/>
      <c r="AP96" s="274"/>
      <c r="AQ96" s="274"/>
      <c r="AR96" s="274"/>
      <c r="AS96" s="568"/>
      <c r="AT96" s="568"/>
      <c r="AU96" s="568"/>
      <c r="AV96" s="568"/>
      <c r="AW96" s="568"/>
      <c r="AX96" s="568"/>
      <c r="AY96" s="568"/>
      <c r="AZ96" s="568"/>
      <c r="BA96" s="568"/>
      <c r="BB96" s="568"/>
    </row>
    <row r="97" spans="1:54" ht="19.5" hidden="1" x14ac:dyDescent="0.3">
      <c r="A97" s="562"/>
      <c r="B97" s="563" t="s">
        <v>123</v>
      </c>
      <c r="C97" s="537">
        <f t="shared" si="102"/>
        <v>0</v>
      </c>
      <c r="D97" s="538">
        <f t="shared" si="103"/>
        <v>0</v>
      </c>
      <c r="E97" s="176">
        <v>0</v>
      </c>
      <c r="F97" s="176">
        <v>0</v>
      </c>
      <c r="G97" s="176">
        <v>0</v>
      </c>
      <c r="H97" s="176">
        <v>0</v>
      </c>
      <c r="I97" s="176">
        <v>0</v>
      </c>
      <c r="J97" s="564">
        <f t="shared" si="104"/>
        <v>0</v>
      </c>
      <c r="K97" s="565">
        <f t="shared" si="105"/>
        <v>0</v>
      </c>
      <c r="L97" s="176">
        <v>0</v>
      </c>
      <c r="M97" s="566">
        <f t="shared" si="106"/>
        <v>0</v>
      </c>
      <c r="N97" s="566">
        <f t="shared" si="107"/>
        <v>0</v>
      </c>
      <c r="O97" s="176">
        <v>0</v>
      </c>
      <c r="P97" s="567">
        <f t="shared" si="108"/>
        <v>0</v>
      </c>
      <c r="Q97" s="566">
        <f t="shared" si="109"/>
        <v>0</v>
      </c>
      <c r="R97" s="86">
        <v>0</v>
      </c>
      <c r="S97" s="86">
        <v>0</v>
      </c>
      <c r="T97" s="86">
        <v>0</v>
      </c>
      <c r="U97" s="566">
        <f t="shared" si="48"/>
        <v>0</v>
      </c>
      <c r="V97" s="566">
        <f t="shared" si="49"/>
        <v>0</v>
      </c>
      <c r="W97" s="360"/>
      <c r="X97" s="360"/>
      <c r="Y97" s="361"/>
      <c r="Z97" s="360"/>
      <c r="AA97" s="360"/>
      <c r="AB97" s="360"/>
      <c r="AC97" s="361"/>
      <c r="AD97" s="360"/>
      <c r="AE97" s="360"/>
      <c r="AF97" s="360"/>
      <c r="AG97" s="361"/>
      <c r="AH97" s="274"/>
      <c r="AI97" s="274"/>
      <c r="AJ97" s="274"/>
      <c r="AK97" s="568"/>
      <c r="AL97" s="360"/>
      <c r="AM97" s="360"/>
      <c r="AN97" s="360"/>
      <c r="AO97" s="361"/>
      <c r="AP97" s="274"/>
      <c r="AQ97" s="274"/>
      <c r="AR97" s="274"/>
      <c r="AS97" s="568"/>
      <c r="AT97" s="568"/>
      <c r="AU97" s="568"/>
      <c r="AV97" s="568"/>
      <c r="AW97" s="568"/>
      <c r="AX97" s="568"/>
      <c r="AY97" s="568"/>
      <c r="AZ97" s="568"/>
      <c r="BA97" s="568"/>
      <c r="BB97" s="568"/>
    </row>
    <row r="98" spans="1:54" ht="19.5" hidden="1" x14ac:dyDescent="0.3">
      <c r="A98" s="562"/>
      <c r="B98" s="563" t="s">
        <v>124</v>
      </c>
      <c r="C98" s="537">
        <f t="shared" si="102"/>
        <v>0</v>
      </c>
      <c r="D98" s="538">
        <f t="shared" si="103"/>
        <v>0</v>
      </c>
      <c r="E98" s="176">
        <v>0</v>
      </c>
      <c r="F98" s="176">
        <v>0</v>
      </c>
      <c r="G98" s="176">
        <v>0</v>
      </c>
      <c r="H98" s="176">
        <v>0</v>
      </c>
      <c r="I98" s="176">
        <v>0</v>
      </c>
      <c r="J98" s="564">
        <f t="shared" si="104"/>
        <v>0</v>
      </c>
      <c r="K98" s="565">
        <f t="shared" si="105"/>
        <v>0</v>
      </c>
      <c r="L98" s="176">
        <v>0</v>
      </c>
      <c r="M98" s="566">
        <f t="shared" si="106"/>
        <v>0</v>
      </c>
      <c r="N98" s="566">
        <f t="shared" si="107"/>
        <v>0</v>
      </c>
      <c r="O98" s="176">
        <v>0</v>
      </c>
      <c r="P98" s="567">
        <f t="shared" si="108"/>
        <v>0</v>
      </c>
      <c r="Q98" s="566">
        <f t="shared" si="109"/>
        <v>0</v>
      </c>
      <c r="R98" s="86">
        <v>0</v>
      </c>
      <c r="S98" s="86">
        <v>0</v>
      </c>
      <c r="T98" s="86">
        <v>0</v>
      </c>
      <c r="U98" s="566">
        <f t="shared" si="48"/>
        <v>0</v>
      </c>
      <c r="V98" s="566">
        <f t="shared" si="49"/>
        <v>0</v>
      </c>
      <c r="W98" s="360"/>
      <c r="X98" s="360"/>
      <c r="Y98" s="361"/>
      <c r="Z98" s="360"/>
      <c r="AA98" s="360"/>
      <c r="AB98" s="360"/>
      <c r="AC98" s="361"/>
      <c r="AD98" s="360"/>
      <c r="AE98" s="360"/>
      <c r="AF98" s="360"/>
      <c r="AG98" s="361"/>
      <c r="AH98" s="274"/>
      <c r="AI98" s="274"/>
      <c r="AJ98" s="274"/>
      <c r="AK98" s="568"/>
      <c r="AL98" s="360"/>
      <c r="AM98" s="360"/>
      <c r="AN98" s="360"/>
      <c r="AO98" s="361"/>
      <c r="AP98" s="274"/>
      <c r="AQ98" s="274"/>
      <c r="AR98" s="274"/>
      <c r="AS98" s="568"/>
      <c r="AT98" s="568"/>
      <c r="AU98" s="568"/>
      <c r="AV98" s="568"/>
      <c r="AW98" s="568"/>
      <c r="AX98" s="568"/>
      <c r="AY98" s="568"/>
      <c r="AZ98" s="568"/>
      <c r="BA98" s="568"/>
      <c r="BB98" s="568"/>
    </row>
    <row r="99" spans="1:54" ht="19.5" hidden="1" x14ac:dyDescent="0.3">
      <c r="A99" s="562"/>
      <c r="B99" s="563" t="s">
        <v>125</v>
      </c>
      <c r="C99" s="537">
        <f t="shared" si="102"/>
        <v>0</v>
      </c>
      <c r="D99" s="538">
        <f t="shared" si="103"/>
        <v>0</v>
      </c>
      <c r="E99" s="176">
        <v>0</v>
      </c>
      <c r="F99" s="176">
        <v>0</v>
      </c>
      <c r="G99" s="176">
        <v>0</v>
      </c>
      <c r="H99" s="176">
        <v>0</v>
      </c>
      <c r="I99" s="176">
        <v>0</v>
      </c>
      <c r="J99" s="564">
        <f t="shared" si="104"/>
        <v>0</v>
      </c>
      <c r="K99" s="565">
        <f t="shared" si="105"/>
        <v>0</v>
      </c>
      <c r="L99" s="176">
        <v>0</v>
      </c>
      <c r="M99" s="566">
        <f t="shared" si="106"/>
        <v>0</v>
      </c>
      <c r="N99" s="566">
        <f t="shared" si="107"/>
        <v>0</v>
      </c>
      <c r="O99" s="176">
        <v>0</v>
      </c>
      <c r="P99" s="567">
        <f t="shared" si="108"/>
        <v>0</v>
      </c>
      <c r="Q99" s="566">
        <f t="shared" si="109"/>
        <v>0</v>
      </c>
      <c r="R99" s="86">
        <v>0</v>
      </c>
      <c r="S99" s="86">
        <v>0</v>
      </c>
      <c r="T99" s="86">
        <v>0</v>
      </c>
      <c r="U99" s="566">
        <f t="shared" si="48"/>
        <v>0</v>
      </c>
      <c r="V99" s="566">
        <f t="shared" si="49"/>
        <v>0</v>
      </c>
      <c r="W99" s="360"/>
      <c r="X99" s="360"/>
      <c r="Y99" s="361"/>
      <c r="Z99" s="360"/>
      <c r="AA99" s="360"/>
      <c r="AB99" s="360"/>
      <c r="AC99" s="361"/>
      <c r="AD99" s="360"/>
      <c r="AE99" s="360"/>
      <c r="AF99" s="360"/>
      <c r="AG99" s="361"/>
      <c r="AH99" s="274"/>
      <c r="AI99" s="274"/>
      <c r="AJ99" s="274"/>
      <c r="AK99" s="568"/>
      <c r="AL99" s="360"/>
      <c r="AM99" s="360"/>
      <c r="AN99" s="360"/>
      <c r="AO99" s="361"/>
      <c r="AP99" s="274"/>
      <c r="AQ99" s="274"/>
      <c r="AR99" s="274"/>
      <c r="AS99" s="568"/>
      <c r="AT99" s="568"/>
      <c r="AU99" s="568"/>
      <c r="AV99" s="568"/>
      <c r="AW99" s="568"/>
      <c r="AX99" s="568"/>
      <c r="AY99" s="568"/>
      <c r="AZ99" s="568"/>
      <c r="BA99" s="568"/>
      <c r="BB99" s="568"/>
    </row>
    <row r="100" spans="1:54" ht="19.5" hidden="1" x14ac:dyDescent="0.3">
      <c r="A100" s="562"/>
      <c r="B100" s="563" t="s">
        <v>126</v>
      </c>
      <c r="C100" s="537">
        <f t="shared" si="102"/>
        <v>0</v>
      </c>
      <c r="D100" s="538">
        <f t="shared" si="103"/>
        <v>0</v>
      </c>
      <c r="E100" s="176">
        <v>0</v>
      </c>
      <c r="F100" s="176">
        <v>0</v>
      </c>
      <c r="G100" s="176">
        <v>0</v>
      </c>
      <c r="H100" s="176">
        <v>0</v>
      </c>
      <c r="I100" s="176">
        <v>0</v>
      </c>
      <c r="J100" s="564">
        <f t="shared" si="104"/>
        <v>0</v>
      </c>
      <c r="K100" s="565">
        <f t="shared" si="105"/>
        <v>0</v>
      </c>
      <c r="L100" s="176">
        <v>0</v>
      </c>
      <c r="M100" s="566">
        <f t="shared" si="106"/>
        <v>0</v>
      </c>
      <c r="N100" s="566">
        <f t="shared" si="107"/>
        <v>0</v>
      </c>
      <c r="O100" s="176">
        <v>0</v>
      </c>
      <c r="P100" s="567">
        <f t="shared" si="108"/>
        <v>0</v>
      </c>
      <c r="Q100" s="566">
        <f t="shared" si="109"/>
        <v>0</v>
      </c>
      <c r="R100" s="86">
        <v>0</v>
      </c>
      <c r="S100" s="86">
        <v>0</v>
      </c>
      <c r="T100" s="86">
        <v>0</v>
      </c>
      <c r="U100" s="566">
        <f t="shared" si="48"/>
        <v>0</v>
      </c>
      <c r="V100" s="566">
        <f t="shared" si="49"/>
        <v>0</v>
      </c>
      <c r="W100" s="360"/>
      <c r="X100" s="360"/>
      <c r="Y100" s="361"/>
      <c r="Z100" s="360"/>
      <c r="AA100" s="360"/>
      <c r="AB100" s="360"/>
      <c r="AC100" s="361"/>
      <c r="AD100" s="360"/>
      <c r="AE100" s="360"/>
      <c r="AF100" s="360"/>
      <c r="AG100" s="361"/>
      <c r="AH100" s="274"/>
      <c r="AI100" s="274"/>
      <c r="AJ100" s="274"/>
      <c r="AK100" s="568"/>
      <c r="AL100" s="360"/>
      <c r="AM100" s="360"/>
      <c r="AN100" s="360"/>
      <c r="AO100" s="361"/>
      <c r="AP100" s="274"/>
      <c r="AQ100" s="274"/>
      <c r="AR100" s="274"/>
      <c r="AS100" s="568"/>
      <c r="AT100" s="568"/>
      <c r="AU100" s="568"/>
      <c r="AV100" s="568"/>
      <c r="AW100" s="568"/>
      <c r="AX100" s="568"/>
      <c r="AY100" s="568"/>
      <c r="AZ100" s="568"/>
      <c r="BA100" s="568"/>
      <c r="BB100" s="568"/>
    </row>
    <row r="101" spans="1:54" ht="19.5" hidden="1" x14ac:dyDescent="0.3">
      <c r="A101" s="562"/>
      <c r="B101" s="563" t="s">
        <v>127</v>
      </c>
      <c r="C101" s="537">
        <f t="shared" si="102"/>
        <v>0</v>
      </c>
      <c r="D101" s="538">
        <f t="shared" si="103"/>
        <v>0</v>
      </c>
      <c r="E101" s="176">
        <v>0</v>
      </c>
      <c r="F101" s="176">
        <v>0</v>
      </c>
      <c r="G101" s="176">
        <v>0</v>
      </c>
      <c r="H101" s="176">
        <v>0</v>
      </c>
      <c r="I101" s="176">
        <v>0</v>
      </c>
      <c r="J101" s="564">
        <f t="shared" si="104"/>
        <v>0</v>
      </c>
      <c r="K101" s="565">
        <f t="shared" si="105"/>
        <v>0</v>
      </c>
      <c r="L101" s="176">
        <v>0</v>
      </c>
      <c r="M101" s="566">
        <f t="shared" si="106"/>
        <v>0</v>
      </c>
      <c r="N101" s="566">
        <f t="shared" si="107"/>
        <v>0</v>
      </c>
      <c r="O101" s="176">
        <v>0</v>
      </c>
      <c r="P101" s="567">
        <f t="shared" si="108"/>
        <v>0</v>
      </c>
      <c r="Q101" s="566">
        <f t="shared" si="109"/>
        <v>0</v>
      </c>
      <c r="R101" s="86">
        <v>0</v>
      </c>
      <c r="S101" s="86">
        <v>0</v>
      </c>
      <c r="T101" s="86">
        <v>0</v>
      </c>
      <c r="U101" s="566">
        <f t="shared" si="48"/>
        <v>0</v>
      </c>
      <c r="V101" s="566">
        <f t="shared" si="49"/>
        <v>0</v>
      </c>
      <c r="W101" s="360"/>
      <c r="X101" s="360"/>
      <c r="Y101" s="361"/>
      <c r="Z101" s="360"/>
      <c r="AA101" s="360"/>
      <c r="AB101" s="360"/>
      <c r="AC101" s="361"/>
      <c r="AD101" s="360"/>
      <c r="AE101" s="360"/>
      <c r="AF101" s="360"/>
      <c r="AG101" s="361"/>
      <c r="AH101" s="274"/>
      <c r="AI101" s="274"/>
      <c r="AJ101" s="274"/>
      <c r="AK101" s="568"/>
      <c r="AL101" s="360"/>
      <c r="AM101" s="360"/>
      <c r="AN101" s="360"/>
      <c r="AO101" s="361"/>
      <c r="AP101" s="274"/>
      <c r="AQ101" s="274"/>
      <c r="AR101" s="274"/>
      <c r="AS101" s="568"/>
      <c r="AT101" s="568"/>
      <c r="AU101" s="568"/>
      <c r="AV101" s="568"/>
      <c r="AW101" s="568"/>
      <c r="AX101" s="568"/>
      <c r="AY101" s="568"/>
      <c r="AZ101" s="568"/>
      <c r="BA101" s="568"/>
      <c r="BB101" s="568"/>
    </row>
    <row r="102" spans="1:54" ht="19.5" hidden="1" x14ac:dyDescent="0.3">
      <c r="A102" s="562"/>
      <c r="B102" s="563" t="s">
        <v>128</v>
      </c>
      <c r="C102" s="537">
        <f t="shared" si="102"/>
        <v>0</v>
      </c>
      <c r="D102" s="538">
        <f t="shared" si="103"/>
        <v>0</v>
      </c>
      <c r="E102" s="176">
        <v>0</v>
      </c>
      <c r="F102" s="176">
        <v>0</v>
      </c>
      <c r="G102" s="176">
        <v>0</v>
      </c>
      <c r="H102" s="176">
        <v>0</v>
      </c>
      <c r="I102" s="176">
        <v>0</v>
      </c>
      <c r="J102" s="564">
        <f t="shared" si="104"/>
        <v>0</v>
      </c>
      <c r="K102" s="565">
        <f t="shared" si="105"/>
        <v>0</v>
      </c>
      <c r="L102" s="176">
        <v>0</v>
      </c>
      <c r="M102" s="566">
        <f t="shared" si="106"/>
        <v>0</v>
      </c>
      <c r="N102" s="566">
        <f t="shared" si="107"/>
        <v>0</v>
      </c>
      <c r="O102" s="176">
        <v>0</v>
      </c>
      <c r="P102" s="567">
        <f t="shared" si="108"/>
        <v>0</v>
      </c>
      <c r="Q102" s="566">
        <f t="shared" si="109"/>
        <v>0</v>
      </c>
      <c r="R102" s="86">
        <v>0</v>
      </c>
      <c r="S102" s="86">
        <v>0</v>
      </c>
      <c r="T102" s="86">
        <v>0</v>
      </c>
      <c r="U102" s="566">
        <f t="shared" si="48"/>
        <v>0</v>
      </c>
      <c r="V102" s="566">
        <f t="shared" si="49"/>
        <v>0</v>
      </c>
      <c r="W102" s="360"/>
      <c r="X102" s="360"/>
      <c r="Y102" s="361"/>
      <c r="Z102" s="360"/>
      <c r="AA102" s="360"/>
      <c r="AB102" s="360"/>
      <c r="AC102" s="361"/>
      <c r="AD102" s="360"/>
      <c r="AE102" s="360"/>
      <c r="AF102" s="360"/>
      <c r="AG102" s="361"/>
      <c r="AH102" s="274"/>
      <c r="AI102" s="274"/>
      <c r="AJ102" s="274"/>
      <c r="AK102" s="568"/>
      <c r="AL102" s="360"/>
      <c r="AM102" s="360"/>
      <c r="AN102" s="360"/>
      <c r="AO102" s="361"/>
      <c r="AP102" s="274"/>
      <c r="AQ102" s="274"/>
      <c r="AR102" s="274"/>
      <c r="AS102" s="568"/>
      <c r="AT102" s="568"/>
      <c r="AU102" s="568"/>
      <c r="AV102" s="568"/>
      <c r="AW102" s="568"/>
      <c r="AX102" s="568"/>
      <c r="AY102" s="568"/>
      <c r="AZ102" s="568"/>
      <c r="BA102" s="568"/>
      <c r="BB102" s="568"/>
    </row>
    <row r="103" spans="1:54" ht="19.5" hidden="1" x14ac:dyDescent="0.3">
      <c r="A103" s="562"/>
      <c r="B103" s="563" t="s">
        <v>129</v>
      </c>
      <c r="C103" s="537">
        <f t="shared" si="102"/>
        <v>0</v>
      </c>
      <c r="D103" s="538">
        <f t="shared" si="103"/>
        <v>0</v>
      </c>
      <c r="E103" s="176">
        <v>0</v>
      </c>
      <c r="F103" s="176">
        <v>0</v>
      </c>
      <c r="G103" s="176">
        <v>0</v>
      </c>
      <c r="H103" s="176">
        <v>0</v>
      </c>
      <c r="I103" s="176">
        <v>0</v>
      </c>
      <c r="J103" s="564">
        <f t="shared" si="104"/>
        <v>0</v>
      </c>
      <c r="K103" s="565">
        <f t="shared" si="105"/>
        <v>0</v>
      </c>
      <c r="L103" s="176">
        <v>0</v>
      </c>
      <c r="M103" s="566">
        <f t="shared" si="106"/>
        <v>0</v>
      </c>
      <c r="N103" s="566">
        <f t="shared" si="107"/>
        <v>0</v>
      </c>
      <c r="O103" s="176">
        <v>0</v>
      </c>
      <c r="P103" s="567">
        <f t="shared" si="108"/>
        <v>0</v>
      </c>
      <c r="Q103" s="566">
        <f t="shared" si="109"/>
        <v>0</v>
      </c>
      <c r="R103" s="86">
        <v>0</v>
      </c>
      <c r="S103" s="86">
        <v>0</v>
      </c>
      <c r="T103" s="86">
        <v>0</v>
      </c>
      <c r="U103" s="566">
        <f t="shared" si="48"/>
        <v>0</v>
      </c>
      <c r="V103" s="566">
        <f t="shared" si="49"/>
        <v>0</v>
      </c>
      <c r="W103" s="360"/>
      <c r="X103" s="360"/>
      <c r="Y103" s="361"/>
      <c r="Z103" s="360"/>
      <c r="AA103" s="360"/>
      <c r="AB103" s="360"/>
      <c r="AC103" s="361"/>
      <c r="AD103" s="360"/>
      <c r="AE103" s="360"/>
      <c r="AF103" s="360"/>
      <c r="AG103" s="361"/>
      <c r="AH103" s="274"/>
      <c r="AI103" s="274"/>
      <c r="AJ103" s="274"/>
      <c r="AK103" s="568"/>
      <c r="AL103" s="360"/>
      <c r="AM103" s="360"/>
      <c r="AN103" s="360"/>
      <c r="AO103" s="361"/>
      <c r="AP103" s="274"/>
      <c r="AQ103" s="274"/>
      <c r="AR103" s="274"/>
      <c r="AS103" s="568"/>
      <c r="AT103" s="568"/>
      <c r="AU103" s="568"/>
      <c r="AV103" s="568"/>
      <c r="AW103" s="568"/>
      <c r="AX103" s="568"/>
      <c r="AY103" s="568"/>
      <c r="AZ103" s="568"/>
      <c r="BA103" s="568"/>
      <c r="BB103" s="568"/>
    </row>
    <row r="104" spans="1:54" ht="19.5" hidden="1" x14ac:dyDescent="0.3">
      <c r="A104" s="562"/>
      <c r="B104" s="563" t="s">
        <v>130</v>
      </c>
      <c r="C104" s="537">
        <f t="shared" si="102"/>
        <v>0</v>
      </c>
      <c r="D104" s="538">
        <f t="shared" si="103"/>
        <v>0</v>
      </c>
      <c r="E104" s="176">
        <v>0</v>
      </c>
      <c r="F104" s="176">
        <v>0</v>
      </c>
      <c r="G104" s="176">
        <v>0</v>
      </c>
      <c r="H104" s="176">
        <v>0</v>
      </c>
      <c r="I104" s="176">
        <v>0</v>
      </c>
      <c r="J104" s="564">
        <f t="shared" si="104"/>
        <v>0</v>
      </c>
      <c r="K104" s="565">
        <f t="shared" si="105"/>
        <v>0</v>
      </c>
      <c r="L104" s="176">
        <v>0</v>
      </c>
      <c r="M104" s="566">
        <f t="shared" si="106"/>
        <v>0</v>
      </c>
      <c r="N104" s="566">
        <f t="shared" si="107"/>
        <v>0</v>
      </c>
      <c r="O104" s="176">
        <v>0</v>
      </c>
      <c r="P104" s="567">
        <f t="shared" si="108"/>
        <v>0</v>
      </c>
      <c r="Q104" s="566">
        <f t="shared" si="109"/>
        <v>0</v>
      </c>
      <c r="R104" s="86">
        <v>0</v>
      </c>
      <c r="S104" s="86">
        <v>0</v>
      </c>
      <c r="T104" s="86">
        <v>0</v>
      </c>
      <c r="U104" s="566">
        <f t="shared" si="48"/>
        <v>0</v>
      </c>
      <c r="V104" s="566">
        <f t="shared" si="49"/>
        <v>0</v>
      </c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569"/>
      <c r="AI104" s="569"/>
      <c r="AJ104" s="569"/>
      <c r="AK104" s="569"/>
      <c r="AL104" s="454"/>
      <c r="AM104" s="454"/>
      <c r="AN104" s="454"/>
      <c r="AO104" s="454"/>
      <c r="AP104" s="569"/>
      <c r="AQ104" s="569"/>
      <c r="AR104" s="569"/>
      <c r="AS104" s="569"/>
      <c r="AT104" s="569"/>
      <c r="AU104" s="569"/>
      <c r="AV104" s="569"/>
      <c r="AW104" s="569"/>
      <c r="AX104" s="569"/>
      <c r="AY104" s="569"/>
      <c r="AZ104" s="569"/>
      <c r="BA104" s="569"/>
      <c r="BB104" s="569"/>
    </row>
    <row r="105" spans="1:54" ht="19.5" hidden="1" x14ac:dyDescent="0.3">
      <c r="A105" s="562"/>
      <c r="B105" s="570" t="s">
        <v>131</v>
      </c>
      <c r="C105" s="537">
        <f t="shared" si="102"/>
        <v>0</v>
      </c>
      <c r="D105" s="538">
        <f t="shared" si="103"/>
        <v>0</v>
      </c>
      <c r="E105" s="176">
        <v>0</v>
      </c>
      <c r="F105" s="176">
        <v>0</v>
      </c>
      <c r="G105" s="176">
        <v>0</v>
      </c>
      <c r="H105" s="176">
        <v>0</v>
      </c>
      <c r="I105" s="176">
        <v>0</v>
      </c>
      <c r="J105" s="564">
        <f t="shared" si="104"/>
        <v>0</v>
      </c>
      <c r="K105" s="565">
        <f t="shared" si="105"/>
        <v>0</v>
      </c>
      <c r="L105" s="176">
        <v>0</v>
      </c>
      <c r="M105" s="566">
        <f t="shared" si="106"/>
        <v>0</v>
      </c>
      <c r="N105" s="566">
        <f t="shared" si="107"/>
        <v>0</v>
      </c>
      <c r="O105" s="176">
        <v>0</v>
      </c>
      <c r="P105" s="567">
        <f t="shared" si="108"/>
        <v>0</v>
      </c>
      <c r="Q105" s="566">
        <f t="shared" si="109"/>
        <v>0</v>
      </c>
      <c r="R105" s="86">
        <v>0</v>
      </c>
      <c r="S105" s="86">
        <v>0</v>
      </c>
      <c r="T105" s="86">
        <v>0</v>
      </c>
      <c r="U105" s="566">
        <f t="shared" si="48"/>
        <v>0</v>
      </c>
      <c r="V105" s="566">
        <f t="shared" si="49"/>
        <v>0</v>
      </c>
      <c r="W105" s="360"/>
      <c r="X105" s="360"/>
      <c r="Y105" s="360"/>
      <c r="Z105" s="360"/>
      <c r="AA105" s="360"/>
      <c r="AB105" s="360"/>
      <c r="AC105" s="360"/>
      <c r="AD105" s="360"/>
      <c r="AE105" s="360"/>
      <c r="AF105" s="360"/>
      <c r="AG105" s="360"/>
      <c r="AH105" s="274"/>
      <c r="AI105" s="274"/>
      <c r="AJ105" s="274"/>
      <c r="AK105" s="274"/>
      <c r="AL105" s="360"/>
      <c r="AM105" s="360"/>
      <c r="AN105" s="360"/>
      <c r="AO105" s="360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</row>
    <row r="106" spans="1:54" ht="19.5" hidden="1" x14ac:dyDescent="0.3">
      <c r="A106" s="571"/>
      <c r="B106" s="572" t="s">
        <v>132</v>
      </c>
      <c r="C106" s="550">
        <f t="shared" si="102"/>
        <v>0</v>
      </c>
      <c r="D106" s="551">
        <f t="shared" si="103"/>
        <v>0</v>
      </c>
      <c r="E106" s="184">
        <v>0</v>
      </c>
      <c r="F106" s="184">
        <v>0</v>
      </c>
      <c r="G106" s="184">
        <v>0</v>
      </c>
      <c r="H106" s="184">
        <v>0</v>
      </c>
      <c r="I106" s="184">
        <v>0</v>
      </c>
      <c r="J106" s="573">
        <f t="shared" si="104"/>
        <v>0</v>
      </c>
      <c r="K106" s="574">
        <f t="shared" si="105"/>
        <v>0</v>
      </c>
      <c r="L106" s="184">
        <v>0</v>
      </c>
      <c r="M106" s="575">
        <f t="shared" si="106"/>
        <v>0</v>
      </c>
      <c r="N106" s="575">
        <f t="shared" si="107"/>
        <v>0</v>
      </c>
      <c r="O106" s="184">
        <v>0</v>
      </c>
      <c r="P106" s="576">
        <f t="shared" si="108"/>
        <v>0</v>
      </c>
      <c r="Q106" s="575">
        <f t="shared" si="109"/>
        <v>0</v>
      </c>
      <c r="R106" s="108">
        <v>0</v>
      </c>
      <c r="S106" s="108">
        <v>0</v>
      </c>
      <c r="T106" s="108">
        <v>0</v>
      </c>
      <c r="U106" s="575">
        <f t="shared" si="48"/>
        <v>0</v>
      </c>
      <c r="V106" s="575">
        <f t="shared" si="49"/>
        <v>0</v>
      </c>
      <c r="W106" s="367"/>
      <c r="X106" s="367"/>
      <c r="Y106" s="367"/>
      <c r="Z106" s="367"/>
      <c r="AA106" s="367"/>
      <c r="AB106" s="367"/>
      <c r="AC106" s="367"/>
      <c r="AD106" s="367"/>
      <c r="AE106" s="367"/>
      <c r="AF106" s="367"/>
      <c r="AG106" s="367"/>
      <c r="AH106" s="279"/>
      <c r="AI106" s="279"/>
      <c r="AJ106" s="279"/>
      <c r="AK106" s="279"/>
      <c r="AL106" s="367"/>
      <c r="AM106" s="367"/>
      <c r="AN106" s="367"/>
      <c r="AO106" s="367"/>
      <c r="AP106" s="279"/>
      <c r="AQ106" s="279"/>
      <c r="AR106" s="279"/>
      <c r="AS106" s="279"/>
      <c r="AT106" s="279"/>
      <c r="AU106" s="279"/>
      <c r="AV106" s="279"/>
      <c r="AW106" s="279"/>
      <c r="AX106" s="279"/>
      <c r="AY106" s="279"/>
      <c r="AZ106" s="279"/>
      <c r="BA106" s="279"/>
      <c r="BB106" s="279"/>
    </row>
  </sheetData>
  <mergeCells count="49">
    <mergeCell ref="A74:B74"/>
    <mergeCell ref="A89:B89"/>
    <mergeCell ref="A2:B6"/>
    <mergeCell ref="C5:C6"/>
    <mergeCell ref="D5:D6"/>
    <mergeCell ref="A7:B7"/>
    <mergeCell ref="AZ5:BA5"/>
    <mergeCell ref="A13:B13"/>
    <mergeCell ref="A31:B31"/>
    <mergeCell ref="A52:B52"/>
    <mergeCell ref="E5:E6"/>
    <mergeCell ref="F5:F6"/>
    <mergeCell ref="G5:G6"/>
    <mergeCell ref="AK5:AL5"/>
    <mergeCell ref="W5:X5"/>
    <mergeCell ref="J5:K5"/>
    <mergeCell ref="L5:N5"/>
    <mergeCell ref="O5:Q5"/>
    <mergeCell ref="AN4:AP4"/>
    <mergeCell ref="AO5:AP5"/>
    <mergeCell ref="AR4:AT4"/>
    <mergeCell ref="AS5:AT5"/>
    <mergeCell ref="AV5:AW5"/>
    <mergeCell ref="AG4:AI4"/>
    <mergeCell ref="Y5:AB5"/>
    <mergeCell ref="AD5:AE5"/>
    <mergeCell ref="AH5:AI5"/>
    <mergeCell ref="AJ4:AL4"/>
    <mergeCell ref="S4:S6"/>
    <mergeCell ref="T4:T6"/>
    <mergeCell ref="U4:U6"/>
    <mergeCell ref="V4:V6"/>
    <mergeCell ref="AC4:AE4"/>
    <mergeCell ref="AJ3:AP3"/>
    <mergeCell ref="AQ3:AT3"/>
    <mergeCell ref="C2:V2"/>
    <mergeCell ref="W2:BB2"/>
    <mergeCell ref="C3:Q3"/>
    <mergeCell ref="W3:AB4"/>
    <mergeCell ref="AC3:AI3"/>
    <mergeCell ref="J4:Q4"/>
    <mergeCell ref="AY4:BA4"/>
    <mergeCell ref="AU3:AX3"/>
    <mergeCell ref="AY3:BB3"/>
    <mergeCell ref="C4:G4"/>
    <mergeCell ref="H4:I4"/>
    <mergeCell ref="AU4:AW4"/>
    <mergeCell ref="R3:V3"/>
    <mergeCell ref="R4:R6"/>
  </mergeCells>
  <printOptions horizontalCentered="1"/>
  <pageMargins left="0.23622047244094491" right="0.23622047244094491" top="0.55118110236220474" bottom="0.55118110236220474" header="0" footer="0"/>
  <pageSetup paperSize="9" scale="45" fitToWidth="0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2" manualBreakCount="2">
    <brk id="22" max="1048575" man="1"/>
    <brk id="4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FF00"/>
    <outlinePr summaryBelow="0" summaryRight="0"/>
    <pageSetUpPr fitToPage="1"/>
  </sheetPr>
  <dimension ref="A1:AK1000"/>
  <sheetViews>
    <sheetView view="pageBreakPreview" zoomScale="60" zoomScaleNormal="100" workbookViewId="0"/>
  </sheetViews>
  <sheetFormatPr defaultColWidth="12.5703125" defaultRowHeight="15.75" customHeight="1" x14ac:dyDescent="0.2"/>
  <cols>
    <col min="3" max="3" width="12" bestFit="1" customWidth="1"/>
    <col min="4" max="4" width="10.42578125" bestFit="1" customWidth="1"/>
    <col min="5" max="5" width="14.7109375" customWidth="1"/>
    <col min="6" max="6" width="12.140625" bestFit="1" customWidth="1"/>
    <col min="8" max="8" width="19.85546875" bestFit="1" customWidth="1"/>
    <col min="9" max="9" width="13.5703125" bestFit="1" customWidth="1"/>
    <col min="10" max="10" width="7.85546875" bestFit="1" customWidth="1"/>
    <col min="11" max="11" width="10.7109375" bestFit="1" customWidth="1"/>
    <col min="12" max="12" width="7.85546875" bestFit="1" customWidth="1"/>
    <col min="13" max="13" width="11.28515625" customWidth="1"/>
    <col min="14" max="14" width="10.42578125" bestFit="1" customWidth="1"/>
    <col min="15" max="15" width="7.85546875" bestFit="1" customWidth="1"/>
    <col min="16" max="16" width="11.28515625" customWidth="1"/>
    <col min="17" max="17" width="10.42578125" bestFit="1" customWidth="1"/>
    <col min="18" max="18" width="18.7109375" customWidth="1"/>
    <col min="19" max="19" width="11" bestFit="1" customWidth="1"/>
    <col min="20" max="20" width="14.42578125" bestFit="1" customWidth="1"/>
    <col min="21" max="21" width="10.85546875" bestFit="1" customWidth="1"/>
    <col min="22" max="22" width="12" bestFit="1" customWidth="1"/>
    <col min="23" max="23" width="13.42578125" bestFit="1" customWidth="1"/>
    <col min="24" max="24" width="7.140625" bestFit="1" customWidth="1"/>
    <col min="25" max="25" width="10.140625" bestFit="1" customWidth="1"/>
    <col min="26" max="26" width="13.42578125" bestFit="1" customWidth="1"/>
    <col min="27" max="27" width="7.140625" bestFit="1" customWidth="1"/>
    <col min="28" max="28" width="10.140625" bestFit="1" customWidth="1"/>
    <col min="29" max="29" width="13.42578125" bestFit="1" customWidth="1"/>
    <col min="30" max="30" width="5.42578125" bestFit="1" customWidth="1"/>
    <col min="31" max="31" width="10.140625" bestFit="1" customWidth="1"/>
    <col min="32" max="32" width="12.5703125" bestFit="1" customWidth="1"/>
    <col min="33" max="33" width="10.85546875" bestFit="1" customWidth="1"/>
    <col min="34" max="34" width="5.42578125" bestFit="1" customWidth="1"/>
    <col min="35" max="35" width="10.140625" bestFit="1" customWidth="1"/>
    <col min="36" max="36" width="7.140625" bestFit="1" customWidth="1"/>
    <col min="37" max="37" width="10.140625" bestFit="1" customWidth="1"/>
  </cols>
  <sheetData>
    <row r="1" spans="1:37" ht="19.5" x14ac:dyDescent="0.3">
      <c r="A1" s="503" t="s">
        <v>0</v>
      </c>
      <c r="B1" s="335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  <c r="N1" s="141"/>
      <c r="O1" s="142"/>
      <c r="P1" s="142"/>
      <c r="Q1" s="142"/>
      <c r="R1" s="142"/>
      <c r="S1" s="142"/>
      <c r="T1" s="142"/>
      <c r="U1" s="142"/>
      <c r="V1" s="142"/>
      <c r="W1" s="335"/>
      <c r="X1" s="335"/>
      <c r="Y1" s="141"/>
      <c r="Z1" s="335"/>
      <c r="AA1" s="335"/>
      <c r="AB1" s="141"/>
      <c r="AC1" s="141"/>
      <c r="AD1" s="335"/>
      <c r="AE1" s="335"/>
      <c r="AF1" s="141"/>
      <c r="AG1" s="141"/>
      <c r="AH1" s="251"/>
      <c r="AI1" s="251"/>
      <c r="AJ1" s="251"/>
      <c r="AK1" s="251"/>
    </row>
    <row r="2" spans="1:37" ht="19.5" x14ac:dyDescent="0.2">
      <c r="A2" s="655" t="s">
        <v>1</v>
      </c>
      <c r="B2" s="723"/>
      <c r="C2" s="642" t="s">
        <v>285</v>
      </c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712" t="s">
        <v>28</v>
      </c>
      <c r="X2" s="598"/>
      <c r="Y2" s="598"/>
      <c r="Z2" s="598"/>
      <c r="AA2" s="598"/>
      <c r="AB2" s="598"/>
      <c r="AC2" s="598"/>
      <c r="AD2" s="598"/>
      <c r="AE2" s="598"/>
      <c r="AF2" s="598"/>
      <c r="AG2" s="598"/>
      <c r="AH2" s="598"/>
      <c r="AI2" s="598"/>
      <c r="AJ2" s="598"/>
      <c r="AK2" s="598"/>
    </row>
    <row r="3" spans="1:37" ht="31.5" customHeight="1" x14ac:dyDescent="0.2">
      <c r="A3" s="618"/>
      <c r="B3" s="723"/>
      <c r="C3" s="713" t="s">
        <v>3</v>
      </c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717" t="s">
        <v>4</v>
      </c>
      <c r="S3" s="592"/>
      <c r="T3" s="592"/>
      <c r="U3" s="592"/>
      <c r="V3" s="592"/>
      <c r="W3" s="643" t="s">
        <v>286</v>
      </c>
      <c r="X3" s="585"/>
      <c r="Y3" s="607"/>
      <c r="Z3" s="714" t="s">
        <v>287</v>
      </c>
      <c r="AA3" s="585"/>
      <c r="AB3" s="607"/>
      <c r="AC3" s="714" t="s">
        <v>288</v>
      </c>
      <c r="AD3" s="585"/>
      <c r="AE3" s="607"/>
      <c r="AF3" s="714" t="s">
        <v>6</v>
      </c>
      <c r="AG3" s="585"/>
      <c r="AH3" s="585"/>
      <c r="AI3" s="585"/>
      <c r="AJ3" s="585"/>
      <c r="AK3" s="607"/>
    </row>
    <row r="4" spans="1:37" ht="31.5" customHeight="1" x14ac:dyDescent="0.3">
      <c r="A4" s="618"/>
      <c r="B4" s="723"/>
      <c r="C4" s="645" t="s">
        <v>7</v>
      </c>
      <c r="D4" s="592"/>
      <c r="E4" s="592"/>
      <c r="F4" s="592"/>
      <c r="G4" s="593"/>
      <c r="H4" s="646" t="s">
        <v>8</v>
      </c>
      <c r="I4" s="593"/>
      <c r="J4" s="644" t="s">
        <v>9</v>
      </c>
      <c r="K4" s="592"/>
      <c r="L4" s="592"/>
      <c r="M4" s="592"/>
      <c r="N4" s="592"/>
      <c r="O4" s="592"/>
      <c r="P4" s="592"/>
      <c r="Q4" s="593"/>
      <c r="R4" s="777" t="s">
        <v>10</v>
      </c>
      <c r="S4" s="761" t="s">
        <v>11</v>
      </c>
      <c r="T4" s="778" t="s">
        <v>12</v>
      </c>
      <c r="U4" s="763" t="s">
        <v>13</v>
      </c>
      <c r="V4" s="763" t="s">
        <v>14</v>
      </c>
      <c r="W4" s="641"/>
      <c r="X4" s="592"/>
      <c r="Y4" s="593"/>
      <c r="Z4" s="592"/>
      <c r="AA4" s="592"/>
      <c r="AB4" s="593"/>
      <c r="AC4" s="592"/>
      <c r="AD4" s="592"/>
      <c r="AE4" s="593"/>
      <c r="AF4" s="592"/>
      <c r="AG4" s="592"/>
      <c r="AH4" s="592"/>
      <c r="AI4" s="592"/>
      <c r="AJ4" s="592"/>
      <c r="AK4" s="593"/>
    </row>
    <row r="5" spans="1:37" ht="39" x14ac:dyDescent="0.3">
      <c r="A5" s="618"/>
      <c r="B5" s="723"/>
      <c r="C5" s="733" t="s">
        <v>19</v>
      </c>
      <c r="D5" s="734" t="s">
        <v>20</v>
      </c>
      <c r="E5" s="735" t="s">
        <v>21</v>
      </c>
      <c r="F5" s="736" t="s">
        <v>22</v>
      </c>
      <c r="G5" s="737" t="s">
        <v>23</v>
      </c>
      <c r="H5" s="143" t="s">
        <v>24</v>
      </c>
      <c r="I5" s="143" t="s">
        <v>25</v>
      </c>
      <c r="J5" s="630" t="s">
        <v>26</v>
      </c>
      <c r="K5" s="593"/>
      <c r="L5" s="630" t="s">
        <v>24</v>
      </c>
      <c r="M5" s="592"/>
      <c r="N5" s="593"/>
      <c r="O5" s="631" t="s">
        <v>25</v>
      </c>
      <c r="P5" s="592"/>
      <c r="Q5" s="593"/>
      <c r="R5" s="765"/>
      <c r="S5" s="765"/>
      <c r="T5" s="765"/>
      <c r="U5" s="766"/>
      <c r="V5" s="766"/>
      <c r="W5" s="337" t="s">
        <v>27</v>
      </c>
      <c r="X5" s="719" t="s">
        <v>28</v>
      </c>
      <c r="Y5" s="593"/>
      <c r="Z5" s="144" t="s">
        <v>27</v>
      </c>
      <c r="AA5" s="719" t="s">
        <v>28</v>
      </c>
      <c r="AB5" s="593"/>
      <c r="AC5" s="144" t="s">
        <v>27</v>
      </c>
      <c r="AD5" s="719" t="s">
        <v>28</v>
      </c>
      <c r="AE5" s="593"/>
      <c r="AF5" s="725" t="s">
        <v>27</v>
      </c>
      <c r="AG5" s="593"/>
      <c r="AH5" s="719" t="s">
        <v>28</v>
      </c>
      <c r="AI5" s="592"/>
      <c r="AJ5" s="592"/>
      <c r="AK5" s="593"/>
    </row>
    <row r="6" spans="1:37" ht="46.5" customHeight="1" x14ac:dyDescent="0.3">
      <c r="A6" s="724"/>
      <c r="B6" s="633"/>
      <c r="C6" s="738"/>
      <c r="D6" s="738"/>
      <c r="E6" s="738"/>
      <c r="F6" s="738"/>
      <c r="G6" s="738"/>
      <c r="H6" s="507"/>
      <c r="I6" s="507"/>
      <c r="J6" s="770" t="s">
        <v>29</v>
      </c>
      <c r="K6" s="771" t="s">
        <v>30</v>
      </c>
      <c r="L6" s="770" t="s">
        <v>29</v>
      </c>
      <c r="M6" s="772" t="s">
        <v>31</v>
      </c>
      <c r="N6" s="772" t="s">
        <v>32</v>
      </c>
      <c r="O6" s="773" t="s">
        <v>29</v>
      </c>
      <c r="P6" s="772" t="s">
        <v>31</v>
      </c>
      <c r="Q6" s="772" t="s">
        <v>32</v>
      </c>
      <c r="R6" s="768"/>
      <c r="S6" s="768"/>
      <c r="T6" s="768"/>
      <c r="U6" s="769"/>
      <c r="V6" s="769"/>
      <c r="W6" s="339" t="s">
        <v>34</v>
      </c>
      <c r="X6" s="340" t="s">
        <v>34</v>
      </c>
      <c r="Y6" s="341" t="s">
        <v>30</v>
      </c>
      <c r="Z6" s="443" t="s">
        <v>34</v>
      </c>
      <c r="AA6" s="340" t="s">
        <v>34</v>
      </c>
      <c r="AB6" s="341" t="s">
        <v>30</v>
      </c>
      <c r="AC6" s="443" t="s">
        <v>136</v>
      </c>
      <c r="AD6" s="340" t="s">
        <v>136</v>
      </c>
      <c r="AE6" s="341" t="s">
        <v>30</v>
      </c>
      <c r="AF6" s="443" t="s">
        <v>136</v>
      </c>
      <c r="AG6" s="443" t="s">
        <v>34</v>
      </c>
      <c r="AH6" s="340" t="s">
        <v>136</v>
      </c>
      <c r="AI6" s="341" t="s">
        <v>30</v>
      </c>
      <c r="AJ6" s="340" t="s">
        <v>34</v>
      </c>
      <c r="AK6" s="341" t="s">
        <v>30</v>
      </c>
    </row>
    <row r="7" spans="1:37" ht="19.5" x14ac:dyDescent="0.3">
      <c r="A7" s="634" t="s">
        <v>289</v>
      </c>
      <c r="B7" s="635"/>
      <c r="C7" s="509">
        <f t="shared" ref="C7:C9" si="0">D7+G7</f>
        <v>0</v>
      </c>
      <c r="D7" s="510">
        <f t="shared" ref="D7:I7" si="1">D8+D9</f>
        <v>0</v>
      </c>
      <c r="E7" s="511">
        <f t="shared" si="1"/>
        <v>0</v>
      </c>
      <c r="F7" s="512">
        <f t="shared" si="1"/>
        <v>0</v>
      </c>
      <c r="G7" s="513">
        <f t="shared" si="1"/>
        <v>0</v>
      </c>
      <c r="H7" s="514">
        <f t="shared" si="1"/>
        <v>0</v>
      </c>
      <c r="I7" s="514">
        <f t="shared" si="1"/>
        <v>0</v>
      </c>
      <c r="J7" s="515">
        <f t="shared" ref="J7:J9" si="2">L7+O7</f>
        <v>0</v>
      </c>
      <c r="K7" s="516">
        <f t="shared" ref="K7:K9" si="3">IF(C7&gt;0,J7*100/C7,0)</f>
        <v>0</v>
      </c>
      <c r="L7" s="515">
        <f>L8+L9</f>
        <v>0</v>
      </c>
      <c r="M7" s="517">
        <f t="shared" ref="M7:M9" si="4">IF(D7&gt;0,L7*100/D7,0)</f>
        <v>0</v>
      </c>
      <c r="N7" s="517">
        <f t="shared" ref="N7:N9" si="5">IF(H7&gt;0,L7*100/H7,0)</f>
        <v>0</v>
      </c>
      <c r="O7" s="518">
        <f>O8+O9</f>
        <v>0</v>
      </c>
      <c r="P7" s="518">
        <f t="shared" ref="P7:P9" si="6">IF(G7&gt;0,O7*100/G7,0)</f>
        <v>0</v>
      </c>
      <c r="Q7" s="517">
        <f t="shared" ref="Q7:Q9" si="7">IF(I7&gt;0,O7*100/I7,0)</f>
        <v>0</v>
      </c>
      <c r="R7" s="518">
        <f t="shared" ref="R7:T7" ca="1" si="8">R8+R9</f>
        <v>28615000</v>
      </c>
      <c r="S7" s="517">
        <f t="shared" ca="1" si="8"/>
        <v>0</v>
      </c>
      <c r="T7" s="518">
        <f t="shared" ca="1" si="8"/>
        <v>252931</v>
      </c>
      <c r="U7" s="517">
        <f t="shared" ref="U7:U9" ca="1" si="9">IF(R7&gt;0,T7*100/R7,0)</f>
        <v>0.88391053643194128</v>
      </c>
      <c r="V7" s="517">
        <f t="shared" ref="V7:V9" ca="1" si="10">IF(S7&gt;0,T7*100/S7,0)</f>
        <v>0</v>
      </c>
      <c r="W7" s="577">
        <f t="shared" ref="W7:X7" ca="1" si="11">W8</f>
        <v>0</v>
      </c>
      <c r="X7" s="158">
        <f t="shared" ca="1" si="11"/>
        <v>0</v>
      </c>
      <c r="Y7" s="346">
        <f t="shared" ref="Y7:Y8" ca="1" si="12">IF(W7&gt;0,X7*100/W7,0)</f>
        <v>0</v>
      </c>
      <c r="Z7" s="446">
        <f t="shared" ref="Z7:AA7" ca="1" si="13">Z8</f>
        <v>3240</v>
      </c>
      <c r="AA7" s="158">
        <f t="shared" ca="1" si="13"/>
        <v>0</v>
      </c>
      <c r="AB7" s="346">
        <f t="shared" ref="AB7:AB8" ca="1" si="14">IF(Z7&gt;0,AA7*100/Z7,0)</f>
        <v>0</v>
      </c>
      <c r="AC7" s="446">
        <f t="shared" ref="AC7:AD7" ca="1" si="15">AC8</f>
        <v>10000</v>
      </c>
      <c r="AD7" s="158">
        <f t="shared" ca="1" si="15"/>
        <v>0</v>
      </c>
      <c r="AE7" s="346">
        <f t="shared" ref="AE7:AE8" ca="1" si="16">IF(AC7&gt;0,AD7*100/AC7,0)</f>
        <v>0</v>
      </c>
      <c r="AF7" s="446">
        <f t="shared" ref="AF7:AH7" ca="1" si="17">AF8</f>
        <v>10000</v>
      </c>
      <c r="AG7" s="446">
        <f t="shared" ca="1" si="17"/>
        <v>3240</v>
      </c>
      <c r="AH7" s="158">
        <f t="shared" ca="1" si="17"/>
        <v>0</v>
      </c>
      <c r="AI7" s="346">
        <f t="shared" ref="AI7:AI8" ca="1" si="18">IF(AF7&gt;0,AH7*100/AF7,0)</f>
        <v>0</v>
      </c>
      <c r="AJ7" s="158">
        <f ca="1">AJ8</f>
        <v>0</v>
      </c>
      <c r="AK7" s="346">
        <f t="shared" ref="AK7:AK9" ca="1" si="19">IF(AG7&gt;0,AJ7*100/AG7,0)</f>
        <v>0</v>
      </c>
    </row>
    <row r="8" spans="1:37" ht="19.5" x14ac:dyDescent="0.3">
      <c r="A8" s="520" t="s">
        <v>37</v>
      </c>
      <c r="B8" s="521"/>
      <c r="C8" s="490">
        <f t="shared" si="0"/>
        <v>0</v>
      </c>
      <c r="D8" s="490">
        <f t="shared" ref="D8:I8" si="20">+D13+D31+D52+D74</f>
        <v>0</v>
      </c>
      <c r="E8" s="490">
        <f t="shared" si="20"/>
        <v>0</v>
      </c>
      <c r="F8" s="490">
        <f t="shared" si="20"/>
        <v>0</v>
      </c>
      <c r="G8" s="490">
        <f t="shared" si="20"/>
        <v>0</v>
      </c>
      <c r="H8" s="490">
        <f t="shared" si="20"/>
        <v>0</v>
      </c>
      <c r="I8" s="490">
        <f t="shared" si="20"/>
        <v>0</v>
      </c>
      <c r="J8" s="490">
        <f t="shared" si="2"/>
        <v>0</v>
      </c>
      <c r="K8" s="522">
        <f t="shared" si="3"/>
        <v>0</v>
      </c>
      <c r="L8" s="490">
        <f>+L13+L31+L52+L74</f>
        <v>0</v>
      </c>
      <c r="M8" s="491">
        <f t="shared" si="4"/>
        <v>0</v>
      </c>
      <c r="N8" s="491">
        <f t="shared" si="5"/>
        <v>0</v>
      </c>
      <c r="O8" s="523">
        <f>+O13+O31+O52+O74</f>
        <v>0</v>
      </c>
      <c r="P8" s="523">
        <f t="shared" si="6"/>
        <v>0</v>
      </c>
      <c r="Q8" s="491">
        <f t="shared" si="7"/>
        <v>0</v>
      </c>
      <c r="R8" s="523">
        <f t="shared" ref="R8:T8" ca="1" si="21">+R13+R31+R52+R74</f>
        <v>25583640</v>
      </c>
      <c r="S8" s="491">
        <f t="shared" ca="1" si="21"/>
        <v>0</v>
      </c>
      <c r="T8" s="523">
        <f t="shared" ca="1" si="21"/>
        <v>252931</v>
      </c>
      <c r="U8" s="491">
        <f t="shared" ca="1" si="9"/>
        <v>0.98864352375189768</v>
      </c>
      <c r="V8" s="491">
        <f t="shared" ca="1" si="10"/>
        <v>0</v>
      </c>
      <c r="W8" s="348">
        <f t="shared" ref="W8:X8" ca="1" si="22">+W13+W31+W52+W74</f>
        <v>0</v>
      </c>
      <c r="X8" s="451">
        <f t="shared" ca="1" si="22"/>
        <v>0</v>
      </c>
      <c r="Y8" s="40">
        <f t="shared" ca="1" si="12"/>
        <v>0</v>
      </c>
      <c r="Z8" s="451">
        <f t="shared" ref="Z8:AA8" ca="1" si="23">+Z13+Z31+Z52+Z74</f>
        <v>3240</v>
      </c>
      <c r="AA8" s="451">
        <f t="shared" ca="1" si="23"/>
        <v>0</v>
      </c>
      <c r="AB8" s="40">
        <f t="shared" ca="1" si="14"/>
        <v>0</v>
      </c>
      <c r="AC8" s="451">
        <f t="shared" ref="AC8:AD8" ca="1" si="24">+AC13+AC31+AC52+AC74</f>
        <v>10000</v>
      </c>
      <c r="AD8" s="451">
        <f t="shared" ca="1" si="24"/>
        <v>0</v>
      </c>
      <c r="AE8" s="40">
        <f t="shared" ca="1" si="16"/>
        <v>0</v>
      </c>
      <c r="AF8" s="451">
        <f t="shared" ref="AF8:AH8" ca="1" si="25">+AF13+AF31+AF52+AF74</f>
        <v>10000</v>
      </c>
      <c r="AG8" s="451">
        <f t="shared" ca="1" si="25"/>
        <v>3240</v>
      </c>
      <c r="AH8" s="451">
        <f t="shared" ca="1" si="25"/>
        <v>0</v>
      </c>
      <c r="AI8" s="40">
        <f t="shared" ca="1" si="18"/>
        <v>0</v>
      </c>
      <c r="AJ8" s="451">
        <f ca="1">+AJ13+AJ31+AJ52+AJ74</f>
        <v>0</v>
      </c>
      <c r="AK8" s="40">
        <f t="shared" ca="1" si="19"/>
        <v>0</v>
      </c>
    </row>
    <row r="9" spans="1:37" ht="19.5" x14ac:dyDescent="0.3">
      <c r="A9" s="525" t="s">
        <v>38</v>
      </c>
      <c r="B9" s="526"/>
      <c r="C9" s="527">
        <f t="shared" si="0"/>
        <v>0</v>
      </c>
      <c r="D9" s="527">
        <f t="shared" ref="D9:I9" si="26">+D10+D11</f>
        <v>0</v>
      </c>
      <c r="E9" s="527">
        <f t="shared" si="26"/>
        <v>0</v>
      </c>
      <c r="F9" s="527">
        <f t="shared" si="26"/>
        <v>0</v>
      </c>
      <c r="G9" s="527">
        <f t="shared" si="26"/>
        <v>0</v>
      </c>
      <c r="H9" s="527">
        <f t="shared" si="26"/>
        <v>0</v>
      </c>
      <c r="I9" s="527">
        <f t="shared" si="26"/>
        <v>0</v>
      </c>
      <c r="J9" s="527">
        <f t="shared" si="2"/>
        <v>0</v>
      </c>
      <c r="K9" s="528">
        <f t="shared" si="3"/>
        <v>0</v>
      </c>
      <c r="L9" s="527">
        <f>+L10+L11</f>
        <v>0</v>
      </c>
      <c r="M9" s="529">
        <f t="shared" si="4"/>
        <v>0</v>
      </c>
      <c r="N9" s="529">
        <f t="shared" si="5"/>
        <v>0</v>
      </c>
      <c r="O9" s="530">
        <f>+O10+O11</f>
        <v>0</v>
      </c>
      <c r="P9" s="530">
        <f t="shared" si="6"/>
        <v>0</v>
      </c>
      <c r="Q9" s="529">
        <f t="shared" si="7"/>
        <v>0</v>
      </c>
      <c r="R9" s="530">
        <f ca="1">IFERROR(__xludf.DUMMYFUNCTION("IMPORTRANGE(""https://docs.google.com/spreadsheets/d/1ItG2mGa2ceCfYo0BwxsXqNm01IGEUdYcSSLTEv9YCik/edit?usp=sharing"",""เบิกจ่ายกองทุน!U11"")"),3031360)</f>
        <v>3031360</v>
      </c>
      <c r="S9" s="529">
        <f ca="1">IFERROR(__xludf.DUMMYFUNCTION("IMPORTRANGE(""https://docs.google.com/spreadsheets/d/1ItG2mGa2ceCfYo0BwxsXqNm01IGEUdYcSSLTEv9YCik/edit?usp=sharing"",""เบิกจ่ายกองทุน!V11"")"),0)</f>
        <v>0</v>
      </c>
      <c r="T9" s="530">
        <f ca="1">IFERROR(__xludf.DUMMYFUNCTION("IMPORTRANGE(""https://docs.google.com/spreadsheets/d/1ItG2mGa2ceCfYo0BwxsXqNm01IGEUdYcSSLTEv9YCik/edit?usp=sharing"",""เบิกจ่ายกองทุน!W11"")"),0)</f>
        <v>0</v>
      </c>
      <c r="U9" s="529">
        <f t="shared" ca="1" si="9"/>
        <v>0</v>
      </c>
      <c r="V9" s="529">
        <f t="shared" ca="1" si="10"/>
        <v>0</v>
      </c>
      <c r="W9" s="293"/>
      <c r="X9" s="196"/>
      <c r="Y9" s="349"/>
      <c r="Z9" s="196"/>
      <c r="AA9" s="196"/>
      <c r="AB9" s="349"/>
      <c r="AC9" s="196"/>
      <c r="AD9" s="196"/>
      <c r="AE9" s="349"/>
      <c r="AF9" s="196"/>
      <c r="AG9" s="196"/>
      <c r="AH9" s="196"/>
      <c r="AI9" s="349"/>
      <c r="AJ9" s="196"/>
      <c r="AK9" s="51">
        <f t="shared" si="19"/>
        <v>0</v>
      </c>
    </row>
    <row r="10" spans="1:37" ht="19.5" x14ac:dyDescent="0.3">
      <c r="A10" s="531"/>
      <c r="B10" s="532"/>
      <c r="C10" s="264"/>
      <c r="D10" s="264"/>
      <c r="E10" s="264"/>
      <c r="F10" s="264"/>
      <c r="G10" s="264"/>
      <c r="H10" s="264"/>
      <c r="I10" s="264"/>
      <c r="J10" s="264"/>
      <c r="K10" s="533"/>
      <c r="L10" s="264"/>
      <c r="M10" s="240"/>
      <c r="N10" s="240"/>
      <c r="O10" s="239"/>
      <c r="P10" s="239"/>
      <c r="Q10" s="240"/>
      <c r="R10" s="239"/>
      <c r="S10" s="240"/>
      <c r="T10" s="239"/>
      <c r="U10" s="240"/>
      <c r="V10" s="240"/>
      <c r="W10" s="350"/>
      <c r="X10" s="351"/>
      <c r="Y10" s="352"/>
      <c r="Z10" s="351"/>
      <c r="AA10" s="351"/>
      <c r="AB10" s="352"/>
      <c r="AC10" s="351"/>
      <c r="AD10" s="351"/>
      <c r="AE10" s="352"/>
      <c r="AF10" s="351"/>
      <c r="AG10" s="351"/>
      <c r="AH10" s="351"/>
      <c r="AI10" s="352"/>
      <c r="AJ10" s="351"/>
      <c r="AK10" s="62"/>
    </row>
    <row r="11" spans="1:37" ht="19.5" x14ac:dyDescent="0.3">
      <c r="A11" s="531"/>
      <c r="B11" s="532"/>
      <c r="C11" s="264"/>
      <c r="D11" s="264"/>
      <c r="E11" s="264"/>
      <c r="F11" s="264"/>
      <c r="G11" s="264"/>
      <c r="H11" s="264"/>
      <c r="I11" s="264"/>
      <c r="J11" s="264"/>
      <c r="K11" s="533"/>
      <c r="L11" s="264"/>
      <c r="M11" s="240"/>
      <c r="N11" s="240"/>
      <c r="O11" s="239"/>
      <c r="P11" s="239"/>
      <c r="Q11" s="240"/>
      <c r="R11" s="239"/>
      <c r="S11" s="240"/>
      <c r="T11" s="239"/>
      <c r="U11" s="240"/>
      <c r="V11" s="240"/>
      <c r="W11" s="350"/>
      <c r="X11" s="351"/>
      <c r="Y11" s="352"/>
      <c r="Z11" s="351"/>
      <c r="AA11" s="351"/>
      <c r="AB11" s="352"/>
      <c r="AC11" s="351"/>
      <c r="AD11" s="351"/>
      <c r="AE11" s="352"/>
      <c r="AF11" s="351"/>
      <c r="AG11" s="351"/>
      <c r="AH11" s="351"/>
      <c r="AI11" s="352"/>
      <c r="AJ11" s="351"/>
      <c r="AK11" s="62"/>
    </row>
    <row r="12" spans="1:37" ht="19.5" x14ac:dyDescent="0.3">
      <c r="A12" s="531"/>
      <c r="B12" s="532"/>
      <c r="C12" s="264"/>
      <c r="D12" s="264"/>
      <c r="E12" s="264"/>
      <c r="F12" s="264"/>
      <c r="G12" s="264"/>
      <c r="H12" s="264"/>
      <c r="I12" s="264"/>
      <c r="J12" s="264"/>
      <c r="K12" s="533"/>
      <c r="L12" s="264"/>
      <c r="M12" s="240"/>
      <c r="N12" s="240"/>
      <c r="O12" s="239"/>
      <c r="P12" s="239"/>
      <c r="Q12" s="240"/>
      <c r="R12" s="239"/>
      <c r="S12" s="240"/>
      <c r="T12" s="239"/>
      <c r="U12" s="240"/>
      <c r="V12" s="240"/>
      <c r="W12" s="436"/>
      <c r="X12" s="168"/>
      <c r="Y12" s="62"/>
      <c r="Z12" s="168"/>
      <c r="AA12" s="168"/>
      <c r="AB12" s="62"/>
      <c r="AC12" s="168"/>
      <c r="AD12" s="168"/>
      <c r="AE12" s="62"/>
      <c r="AF12" s="168"/>
      <c r="AG12" s="168"/>
      <c r="AH12" s="168"/>
      <c r="AI12" s="62"/>
      <c r="AJ12" s="168"/>
      <c r="AK12" s="62"/>
    </row>
    <row r="13" spans="1:37" ht="19.5" x14ac:dyDescent="0.3">
      <c r="A13" s="636" t="s">
        <v>39</v>
      </c>
      <c r="B13" s="633"/>
      <c r="C13" s="490">
        <f t="shared" ref="C13:C88" si="27">D13+G13</f>
        <v>0</v>
      </c>
      <c r="D13" s="490">
        <f t="shared" ref="D13:I13" si="28">SUM(D14:D30)</f>
        <v>0</v>
      </c>
      <c r="E13" s="490">
        <f t="shared" si="28"/>
        <v>0</v>
      </c>
      <c r="F13" s="490">
        <f t="shared" si="28"/>
        <v>0</v>
      </c>
      <c r="G13" s="490">
        <f t="shared" si="28"/>
        <v>0</v>
      </c>
      <c r="H13" s="490">
        <f t="shared" si="28"/>
        <v>0</v>
      </c>
      <c r="I13" s="490">
        <f t="shared" si="28"/>
        <v>0</v>
      </c>
      <c r="J13" s="490">
        <f t="shared" ref="J13:J88" si="29">L13+O13</f>
        <v>0</v>
      </c>
      <c r="K13" s="522">
        <f t="shared" ref="K13:K88" si="30">IF(C13&gt;0,J13*100/C13,0)</f>
        <v>0</v>
      </c>
      <c r="L13" s="490">
        <f>SUM(L14:L30)</f>
        <v>0</v>
      </c>
      <c r="M13" s="491">
        <f t="shared" ref="M13:M88" si="31">IF(D13&gt;0,L13*100/D13,0)</f>
        <v>0</v>
      </c>
      <c r="N13" s="491">
        <f t="shared" ref="N13:N88" si="32">IF(H13&gt;0,L13*100/H13,0)</f>
        <v>0</v>
      </c>
      <c r="O13" s="523">
        <f>SUM(O14:O30)</f>
        <v>0</v>
      </c>
      <c r="P13" s="523">
        <f t="shared" ref="P13:P88" si="33">IF(G13&gt;0,O13*100/G13,0)</f>
        <v>0</v>
      </c>
      <c r="Q13" s="491">
        <f t="shared" ref="Q13:Q88" si="34">IF(I13&gt;0,O13*100/I13,0)</f>
        <v>0</v>
      </c>
      <c r="R13" s="523">
        <f t="shared" ref="R13:T13" ca="1" si="35">SUM(R14:R30)</f>
        <v>8462790</v>
      </c>
      <c r="S13" s="491">
        <f t="shared" ca="1" si="35"/>
        <v>0</v>
      </c>
      <c r="T13" s="523">
        <f t="shared" ca="1" si="35"/>
        <v>4330</v>
      </c>
      <c r="U13" s="491">
        <f t="shared" ref="U13:U106" ca="1" si="36">IF(R13&gt;0,T13*100/R13,0)</f>
        <v>5.1165159480502292E-2</v>
      </c>
      <c r="V13" s="491">
        <f t="shared" ref="V13:V106" ca="1" si="37">IF(S13&gt;0,T13*100/S13,0)</f>
        <v>0</v>
      </c>
      <c r="W13" s="348">
        <f t="shared" ref="W13:X13" ca="1" si="38">SUM(W14:W30)</f>
        <v>0</v>
      </c>
      <c r="X13" s="451">
        <f t="shared" ca="1" si="38"/>
        <v>0</v>
      </c>
      <c r="Y13" s="40">
        <f t="shared" ref="Y13:Y88" ca="1" si="39">IF(W13&gt;0,X13*100/W13,0)</f>
        <v>0</v>
      </c>
      <c r="Z13" s="451">
        <f t="shared" ref="Z13:AA13" ca="1" si="40">SUM(Z14:Z30)</f>
        <v>1115</v>
      </c>
      <c r="AA13" s="451">
        <f t="shared" ca="1" si="40"/>
        <v>0</v>
      </c>
      <c r="AB13" s="40">
        <f t="shared" ref="AB13:AB88" ca="1" si="41">IF(Z13&gt;0,AA13*100/Z13,0)</f>
        <v>0</v>
      </c>
      <c r="AC13" s="451">
        <f t="shared" ref="AC13:AD13" ca="1" si="42">SUM(AC14:AC30)</f>
        <v>3235</v>
      </c>
      <c r="AD13" s="451">
        <f t="shared" ca="1" si="42"/>
        <v>0</v>
      </c>
      <c r="AE13" s="40">
        <f t="shared" ref="AE13:AE88" ca="1" si="43">IF(AC13&gt;0,AD13*100/AC13,0)</f>
        <v>0</v>
      </c>
      <c r="AF13" s="451">
        <f t="shared" ref="AF13:AH13" ca="1" si="44">SUM(AF14:AF30)</f>
        <v>3235</v>
      </c>
      <c r="AG13" s="451">
        <f t="shared" ca="1" si="44"/>
        <v>1115</v>
      </c>
      <c r="AH13" s="451">
        <f t="shared" ca="1" si="44"/>
        <v>0</v>
      </c>
      <c r="AI13" s="40">
        <f t="shared" ref="AI13:AI88" ca="1" si="45">IF(AF13&gt;0,AH13*100/AF13,0)</f>
        <v>0</v>
      </c>
      <c r="AJ13" s="451">
        <f ca="1">SUM(AJ14:AJ30)</f>
        <v>0</v>
      </c>
      <c r="AK13" s="40">
        <f t="shared" ref="AK13:AK88" ca="1" si="46">IF(AG13&gt;0,AJ13*100/AG13,0)</f>
        <v>0</v>
      </c>
    </row>
    <row r="14" spans="1:37" ht="19.5" x14ac:dyDescent="0.3">
      <c r="A14" s="535">
        <v>1</v>
      </c>
      <c r="B14" s="536" t="s">
        <v>40</v>
      </c>
      <c r="C14" s="537">
        <f t="shared" si="27"/>
        <v>0</v>
      </c>
      <c r="D14" s="538">
        <f t="shared" ref="D14:D30" si="47">+E14+F14</f>
        <v>0</v>
      </c>
      <c r="E14" s="539">
        <v>0</v>
      </c>
      <c r="F14" s="539">
        <v>0</v>
      </c>
      <c r="G14" s="540">
        <v>0</v>
      </c>
      <c r="H14" s="540">
        <v>0</v>
      </c>
      <c r="I14" s="540">
        <v>0</v>
      </c>
      <c r="J14" s="496">
        <f t="shared" si="29"/>
        <v>0</v>
      </c>
      <c r="K14" s="541">
        <f t="shared" si="30"/>
        <v>0</v>
      </c>
      <c r="L14" s="540">
        <v>0</v>
      </c>
      <c r="M14" s="542">
        <f t="shared" si="31"/>
        <v>0</v>
      </c>
      <c r="N14" s="542">
        <f t="shared" si="32"/>
        <v>0</v>
      </c>
      <c r="O14" s="539">
        <v>0</v>
      </c>
      <c r="P14" s="543">
        <f t="shared" si="33"/>
        <v>0</v>
      </c>
      <c r="Q14" s="542">
        <f t="shared" si="34"/>
        <v>0</v>
      </c>
      <c r="R14" s="543">
        <f ca="1">IFERROR(__xludf.DUMMYFUNCTION("IMPORTRANGE(""https://docs.google.com/spreadsheets/d/1jTcq05yEiRwXcBMLjiodW9e4biSGYWAHcDj22rKWQ3s/edit?usp=sharing"",""กำแพงเพชร!Q759"")"),871800)</f>
        <v>871800</v>
      </c>
      <c r="S14" s="542">
        <f ca="1">IFERROR(__xludf.DUMMYFUNCTION("IMPORTRANGE(""https://docs.google.com/spreadsheets/d/1jTcq05yEiRwXcBMLjiodW9e4biSGYWAHcDj22rKWQ3s/edit?usp=sharing"",""กำแพงเพชร!R759"")"),0)</f>
        <v>0</v>
      </c>
      <c r="T14" s="543">
        <f ca="1">IFERROR(__xludf.DUMMYFUNCTION("IMPORTRANGE(""https://docs.google.com/spreadsheets/d/1jTcq05yEiRwXcBMLjiodW9e4biSGYWAHcDj22rKWQ3s/edit?usp=sharing"",""กำแพงเพชร!S759"")"),0)</f>
        <v>0</v>
      </c>
      <c r="U14" s="542">
        <f t="shared" ca="1" si="36"/>
        <v>0</v>
      </c>
      <c r="V14" s="542">
        <f t="shared" ca="1" si="37"/>
        <v>0</v>
      </c>
      <c r="W14" s="355">
        <f ca="1">IFERROR(__xludf.DUMMYFUNCTION("IMPORTRANGE(""https://docs.google.com/spreadsheets/d/1jTcq05yEiRwXcBMLjiodW9e4biSGYWAHcDj22rKWQ3s/edit?usp=sharing"",""กำแพงเพชร!I769"")"),0)</f>
        <v>0</v>
      </c>
      <c r="X14" s="452">
        <f ca="1">IFERROR(__xludf.DUMMYFUNCTION("IMPORTRANGE(""https://docs.google.com/spreadsheets/d/1jTcq05yEiRwXcBMLjiodW9e4biSGYWAHcDj22rKWQ3s/edit?usp=sharing"",""กำแพงเพชร!J769"")"),0)</f>
        <v>0</v>
      </c>
      <c r="Y14" s="354">
        <f t="shared" ca="1" si="39"/>
        <v>0</v>
      </c>
      <c r="Z14" s="452">
        <f ca="1">IFERROR(__xludf.DUMMYFUNCTION("IMPORTRANGE(""https://docs.google.com/spreadsheets/d/1jTcq05yEiRwXcBMLjiodW9e4biSGYWAHcDj22rKWQ3s/edit?usp=sharing"",""กำแพงเพชร!I771"")"),50)</f>
        <v>50</v>
      </c>
      <c r="AA14" s="452">
        <f ca="1">IFERROR(__xludf.DUMMYFUNCTION("IMPORTRANGE(""https://docs.google.com/spreadsheets/d/1jTcq05yEiRwXcBMLjiodW9e4biSGYWAHcDj22rKWQ3s/edit?usp=sharing"",""กำแพงเพชร!J771"")"),0)</f>
        <v>0</v>
      </c>
      <c r="AB14" s="354">
        <f t="shared" ca="1" si="41"/>
        <v>0</v>
      </c>
      <c r="AC14" s="452">
        <f ca="1">IFERROR(__xludf.DUMMYFUNCTION("IMPORTRANGE(""https://docs.google.com/spreadsheets/d/1jTcq05yEiRwXcBMLjiodW9e4biSGYWAHcDj22rKWQ3s/edit?usp=sharing"",""กำแพงเพชร!I773"")"),500)</f>
        <v>500</v>
      </c>
      <c r="AD14" s="452">
        <f ca="1">IFERROR(__xludf.DUMMYFUNCTION("IMPORTRANGE(""https://docs.google.com/spreadsheets/d/1jTcq05yEiRwXcBMLjiodW9e4biSGYWAHcDj22rKWQ3s/edit?usp=sharing"",""กำแพงเพชร!J773"")"),0)</f>
        <v>0</v>
      </c>
      <c r="AE14" s="354">
        <f t="shared" ca="1" si="43"/>
        <v>0</v>
      </c>
      <c r="AF14" s="452">
        <f ca="1">IFERROR(__xludf.DUMMYFUNCTION("IMPORTRANGE(""https://docs.google.com/spreadsheets/d/1jTcq05yEiRwXcBMLjiodW9e4biSGYWAHcDj22rKWQ3s/edit?usp=sharing"",""กำแพงเพชร!I774"")"),500)</f>
        <v>500</v>
      </c>
      <c r="AG14" s="452">
        <f ca="1">IFERROR(__xludf.DUMMYFUNCTION("IMPORTRANGE(""https://docs.google.com/spreadsheets/d/1jTcq05yEiRwXcBMLjiodW9e4biSGYWAHcDj22rKWQ3s/edit?usp=sharing"",""กำแพงเพชร!I775"")"),50)</f>
        <v>50</v>
      </c>
      <c r="AH14" s="452">
        <f ca="1">IFERROR(__xludf.DUMMYFUNCTION("IMPORTRANGE(""https://docs.google.com/spreadsheets/d/1jTcq05yEiRwXcBMLjiodW9e4biSGYWAHcDj22rKWQ3s/edit?usp=sharing"",""กำแพงเพชร!J774"")"),0)</f>
        <v>0</v>
      </c>
      <c r="AI14" s="354">
        <f t="shared" ca="1" si="45"/>
        <v>0</v>
      </c>
      <c r="AJ14" s="452">
        <f ca="1">IFERROR(__xludf.DUMMYFUNCTION("IMPORTRANGE(""https://docs.google.com/spreadsheets/d/1jTcq05yEiRwXcBMLjiodW9e4biSGYWAHcDj22rKWQ3s/edit?usp=sharing"",""กำแพงเพชร!J775"")"),0)</f>
        <v>0</v>
      </c>
      <c r="AK14" s="354">
        <f t="shared" ca="1" si="46"/>
        <v>0</v>
      </c>
    </row>
    <row r="15" spans="1:37" ht="19.5" x14ac:dyDescent="0.3">
      <c r="A15" s="535">
        <v>2</v>
      </c>
      <c r="B15" s="536" t="s">
        <v>41</v>
      </c>
      <c r="C15" s="537">
        <f t="shared" si="27"/>
        <v>0</v>
      </c>
      <c r="D15" s="538">
        <f t="shared" si="47"/>
        <v>0</v>
      </c>
      <c r="E15" s="539">
        <v>0</v>
      </c>
      <c r="F15" s="539">
        <v>0</v>
      </c>
      <c r="G15" s="539">
        <v>0</v>
      </c>
      <c r="H15" s="539">
        <v>0</v>
      </c>
      <c r="I15" s="539">
        <v>0</v>
      </c>
      <c r="J15" s="545">
        <f t="shared" si="29"/>
        <v>0</v>
      </c>
      <c r="K15" s="546">
        <f t="shared" si="30"/>
        <v>0</v>
      </c>
      <c r="L15" s="539">
        <v>0</v>
      </c>
      <c r="M15" s="542">
        <f t="shared" si="31"/>
        <v>0</v>
      </c>
      <c r="N15" s="542">
        <f t="shared" si="32"/>
        <v>0</v>
      </c>
      <c r="O15" s="539">
        <v>0</v>
      </c>
      <c r="P15" s="543">
        <f t="shared" si="33"/>
        <v>0</v>
      </c>
      <c r="Q15" s="542">
        <f t="shared" si="34"/>
        <v>0</v>
      </c>
      <c r="R15" s="543">
        <f ca="1">IFERROR(__xludf.DUMMYFUNCTION("IMPORTRANGE(""https://docs.google.com/spreadsheets/d/1KS0zmDSZPk8KnTAbGN-Xk6MtX1YRZD0ldgdt20K4CRk/edit?usp=sharing"",""เชียงราย!Q759"")"),806680)</f>
        <v>806680</v>
      </c>
      <c r="S15" s="542">
        <f ca="1">IFERROR(__xludf.DUMMYFUNCTION("IMPORTRANGE(""https://docs.google.com/spreadsheets/d/1KS0zmDSZPk8KnTAbGN-Xk6MtX1YRZD0ldgdt20K4CRk/edit?usp=sharing"",""เชียงราย!R759"")"),0)</f>
        <v>0</v>
      </c>
      <c r="T15" s="543">
        <f ca="1">IFERROR(__xludf.DUMMYFUNCTION("IMPORTRANGE(""https://docs.google.com/spreadsheets/d/1KS0zmDSZPk8KnTAbGN-Xk6MtX1YRZD0ldgdt20K4CRk/edit?usp=sharing"",""เชียงราย!S759"")"),1450)</f>
        <v>1450</v>
      </c>
      <c r="U15" s="542">
        <f t="shared" ca="1" si="36"/>
        <v>0.17974909505628006</v>
      </c>
      <c r="V15" s="542">
        <f t="shared" ca="1" si="37"/>
        <v>0</v>
      </c>
      <c r="W15" s="353">
        <f ca="1">IFERROR(__xludf.DUMMYFUNCTION("IMPORTRANGE(""https://docs.google.com/spreadsheets/d/1KS0zmDSZPk8KnTAbGN-Xk6MtX1YRZD0ldgdt20K4CRk/edit?usp=sharing"",""เชียงราย!I769"")"),0)</f>
        <v>0</v>
      </c>
      <c r="X15" s="177">
        <f ca="1">IFERROR(__xludf.DUMMYFUNCTION("IMPORTRANGE(""https://docs.google.com/spreadsheets/d/1KS0zmDSZPk8KnTAbGN-Xk6MtX1YRZD0ldgdt20K4CRk/edit?usp=sharing"",""เชียงราย!J769"")"),0)</f>
        <v>0</v>
      </c>
      <c r="Y15" s="354">
        <f t="shared" ca="1" si="39"/>
        <v>0</v>
      </c>
      <c r="Z15" s="177">
        <f ca="1">IFERROR(__xludf.DUMMYFUNCTION("IMPORTRANGE(""https://docs.google.com/spreadsheets/d/1KS0zmDSZPk8KnTAbGN-Xk6MtX1YRZD0ldgdt20K4CRk/edit?usp=sharing"",""เชียงราย!I771"")"),150)</f>
        <v>150</v>
      </c>
      <c r="AA15" s="177">
        <f ca="1">IFERROR(__xludf.DUMMYFUNCTION("IMPORTRANGE(""https://docs.google.com/spreadsheets/d/1KS0zmDSZPk8KnTAbGN-Xk6MtX1YRZD0ldgdt20K4CRk/edit?usp=sharing"",""เชียงราย!J771"")"),0)</f>
        <v>0</v>
      </c>
      <c r="AB15" s="354">
        <f t="shared" ca="1" si="41"/>
        <v>0</v>
      </c>
      <c r="AC15" s="177">
        <f ca="1">IFERROR(__xludf.DUMMYFUNCTION("IMPORTRANGE(""https://docs.google.com/spreadsheets/d/1KS0zmDSZPk8KnTAbGN-Xk6MtX1YRZD0ldgdt20K4CRk/edit?usp=sharing"",""เชียงราย!I773"")"),300)</f>
        <v>300</v>
      </c>
      <c r="AD15" s="177">
        <f ca="1">IFERROR(__xludf.DUMMYFUNCTION("IMPORTRANGE(""https://docs.google.com/spreadsheets/d/1KS0zmDSZPk8KnTAbGN-Xk6MtX1YRZD0ldgdt20K4CRk/edit?usp=sharing"",""เชียงราย!J773"")"),0)</f>
        <v>0</v>
      </c>
      <c r="AE15" s="354">
        <f t="shared" ca="1" si="43"/>
        <v>0</v>
      </c>
      <c r="AF15" s="177">
        <f ca="1">IFERROR(__xludf.DUMMYFUNCTION("IMPORTRANGE(""https://docs.google.com/spreadsheets/d/1KS0zmDSZPk8KnTAbGN-Xk6MtX1YRZD0ldgdt20K4CRk/edit?usp=sharing"",""เชียงราย!I774"")"),300)</f>
        <v>300</v>
      </c>
      <c r="AG15" s="177">
        <f ca="1">IFERROR(__xludf.DUMMYFUNCTION("IMPORTRANGE(""https://docs.google.com/spreadsheets/d/1KS0zmDSZPk8KnTAbGN-Xk6MtX1YRZD0ldgdt20K4CRk/edit?usp=sharing"",""เชียงราย!I775"")"),150)</f>
        <v>150</v>
      </c>
      <c r="AH15" s="177">
        <f ca="1">IFERROR(__xludf.DUMMYFUNCTION("IMPORTRANGE(""https://docs.google.com/spreadsheets/d/1KS0zmDSZPk8KnTAbGN-Xk6MtX1YRZD0ldgdt20K4CRk/edit?usp=sharing"",""เชียงราย!J774"")"),0)</f>
        <v>0</v>
      </c>
      <c r="AI15" s="354">
        <f t="shared" ca="1" si="45"/>
        <v>0</v>
      </c>
      <c r="AJ15" s="177">
        <f ca="1">IFERROR(__xludf.DUMMYFUNCTION("IMPORTRANGE(""https://docs.google.com/spreadsheets/d/1KS0zmDSZPk8KnTAbGN-Xk6MtX1YRZD0ldgdt20K4CRk/edit?usp=sharing"",""เชียงราย!J775"")"),0)</f>
        <v>0</v>
      </c>
      <c r="AK15" s="354">
        <f t="shared" ca="1" si="46"/>
        <v>0</v>
      </c>
    </row>
    <row r="16" spans="1:37" ht="19.5" x14ac:dyDescent="0.3">
      <c r="A16" s="535">
        <v>3</v>
      </c>
      <c r="B16" s="536" t="s">
        <v>42</v>
      </c>
      <c r="C16" s="537">
        <f t="shared" si="27"/>
        <v>0</v>
      </c>
      <c r="D16" s="538">
        <f t="shared" si="47"/>
        <v>0</v>
      </c>
      <c r="E16" s="539">
        <v>0</v>
      </c>
      <c r="F16" s="539">
        <v>0</v>
      </c>
      <c r="G16" s="539">
        <v>0</v>
      </c>
      <c r="H16" s="539">
        <v>0</v>
      </c>
      <c r="I16" s="539">
        <v>0</v>
      </c>
      <c r="J16" s="545">
        <f t="shared" si="29"/>
        <v>0</v>
      </c>
      <c r="K16" s="546">
        <f t="shared" si="30"/>
        <v>0</v>
      </c>
      <c r="L16" s="539">
        <v>0</v>
      </c>
      <c r="M16" s="542">
        <f t="shared" si="31"/>
        <v>0</v>
      </c>
      <c r="N16" s="542">
        <f t="shared" si="32"/>
        <v>0</v>
      </c>
      <c r="O16" s="539">
        <v>0</v>
      </c>
      <c r="P16" s="543">
        <f t="shared" si="33"/>
        <v>0</v>
      </c>
      <c r="Q16" s="542">
        <f t="shared" si="34"/>
        <v>0</v>
      </c>
      <c r="R16" s="543">
        <f ca="1">IFERROR(__xludf.DUMMYFUNCTION("IMPORTRANGE(""https://docs.google.com/spreadsheets/d/1rEDxBtusbi64tE0zunoIbsTVV16HeL0oJ6trHQeQ7K8/edit?usp=sharing"",""เชียงใหม่!Q759"")"),416100)</f>
        <v>416100</v>
      </c>
      <c r="S16" s="542">
        <f ca="1">IFERROR(__xludf.DUMMYFUNCTION("IMPORTRANGE(""https://docs.google.com/spreadsheets/d/1rEDxBtusbi64tE0zunoIbsTVV16HeL0oJ6trHQeQ7K8/edit?usp=sharing"",""เชียงใหม่!R759"")"),0)</f>
        <v>0</v>
      </c>
      <c r="T16" s="543">
        <f ca="1">IFERROR(__xludf.DUMMYFUNCTION("IMPORTRANGE(""https://docs.google.com/spreadsheets/d/1rEDxBtusbi64tE0zunoIbsTVV16HeL0oJ6trHQeQ7K8/edit?usp=sharing"",""เชียงใหม่!S759"")"),0)</f>
        <v>0</v>
      </c>
      <c r="U16" s="542">
        <f t="shared" ca="1" si="36"/>
        <v>0</v>
      </c>
      <c r="V16" s="542">
        <f t="shared" ca="1" si="37"/>
        <v>0</v>
      </c>
      <c r="W16" s="355">
        <f ca="1">IFERROR(__xludf.DUMMYFUNCTION("IMPORTRANGE(""https://docs.google.com/spreadsheets/d/1rEDxBtusbi64tE0zunoIbsTVV16HeL0oJ6trHQeQ7K8/edit?usp=sharing"",""เชียงใหม่!I769"")"),0)</f>
        <v>0</v>
      </c>
      <c r="X16" s="452">
        <f ca="1">IFERROR(__xludf.DUMMYFUNCTION("IMPORTRANGE(""https://docs.google.com/spreadsheets/d/1rEDxBtusbi64tE0zunoIbsTVV16HeL0oJ6trHQeQ7K8/edit?usp=sharing"",""เชียงใหม่!J769"")"),0)</f>
        <v>0</v>
      </c>
      <c r="Y16" s="354">
        <f t="shared" ca="1" si="39"/>
        <v>0</v>
      </c>
      <c r="Z16" s="452">
        <f ca="1">IFERROR(__xludf.DUMMYFUNCTION("IMPORTRANGE(""https://docs.google.com/spreadsheets/d/1rEDxBtusbi64tE0zunoIbsTVV16HeL0oJ6trHQeQ7K8/edit?usp=sharing"",""เชียงใหม่!I771"")"),60)</f>
        <v>60</v>
      </c>
      <c r="AA16" s="452">
        <f ca="1">IFERROR(__xludf.DUMMYFUNCTION("IMPORTRANGE(""https://docs.google.com/spreadsheets/d/1rEDxBtusbi64tE0zunoIbsTVV16HeL0oJ6trHQeQ7K8/edit?usp=sharing"",""เชียงใหม่!J771"")"),0)</f>
        <v>0</v>
      </c>
      <c r="AB16" s="354">
        <f t="shared" ca="1" si="41"/>
        <v>0</v>
      </c>
      <c r="AC16" s="452">
        <f ca="1">IFERROR(__xludf.DUMMYFUNCTION("IMPORTRANGE(""https://docs.google.com/spreadsheets/d/1rEDxBtusbi64tE0zunoIbsTVV16HeL0oJ6trHQeQ7K8/edit?usp=sharing"",""เชียงใหม่!I773"")"),110)</f>
        <v>110</v>
      </c>
      <c r="AD16" s="452">
        <f ca="1">IFERROR(__xludf.DUMMYFUNCTION("IMPORTRANGE(""https://docs.google.com/spreadsheets/d/1rEDxBtusbi64tE0zunoIbsTVV16HeL0oJ6trHQeQ7K8/edit?usp=sharing"",""เชียงใหม่!J773"")"),0)</f>
        <v>0</v>
      </c>
      <c r="AE16" s="354">
        <f t="shared" ca="1" si="43"/>
        <v>0</v>
      </c>
      <c r="AF16" s="452">
        <f ca="1">IFERROR(__xludf.DUMMYFUNCTION("IMPORTRANGE(""https://docs.google.com/spreadsheets/d/1rEDxBtusbi64tE0zunoIbsTVV16HeL0oJ6trHQeQ7K8/edit?usp=sharing"",""เชียงใหม่!I774"")"),110)</f>
        <v>110</v>
      </c>
      <c r="AG16" s="452">
        <f ca="1">IFERROR(__xludf.DUMMYFUNCTION("IMPORTRANGE(""https://docs.google.com/spreadsheets/d/1rEDxBtusbi64tE0zunoIbsTVV16HeL0oJ6trHQeQ7K8/edit?usp=sharing"",""เชียงใหม่!I775"")"),60)</f>
        <v>60</v>
      </c>
      <c r="AH16" s="452">
        <f ca="1">IFERROR(__xludf.DUMMYFUNCTION("IMPORTRANGE(""https://docs.google.com/spreadsheets/d/1rEDxBtusbi64tE0zunoIbsTVV16HeL0oJ6trHQeQ7K8/edit?usp=sharing"",""เชียงใหม่!J774"")"),0)</f>
        <v>0</v>
      </c>
      <c r="AI16" s="354">
        <f t="shared" ca="1" si="45"/>
        <v>0</v>
      </c>
      <c r="AJ16" s="452">
        <f ca="1">IFERROR(__xludf.DUMMYFUNCTION("IMPORTRANGE(""https://docs.google.com/spreadsheets/d/1rEDxBtusbi64tE0zunoIbsTVV16HeL0oJ6trHQeQ7K8/edit?usp=sharing"",""เชียงใหม่!J775"")"),0)</f>
        <v>0</v>
      </c>
      <c r="AK16" s="354">
        <f t="shared" ca="1" si="46"/>
        <v>0</v>
      </c>
    </row>
    <row r="17" spans="1:37" ht="19.5" x14ac:dyDescent="0.3">
      <c r="A17" s="535">
        <v>4</v>
      </c>
      <c r="B17" s="536" t="s">
        <v>43</v>
      </c>
      <c r="C17" s="537">
        <f t="shared" si="27"/>
        <v>0</v>
      </c>
      <c r="D17" s="538">
        <f t="shared" si="47"/>
        <v>0</v>
      </c>
      <c r="E17" s="539">
        <v>0</v>
      </c>
      <c r="F17" s="539">
        <v>0</v>
      </c>
      <c r="G17" s="539">
        <v>0</v>
      </c>
      <c r="H17" s="539">
        <v>0</v>
      </c>
      <c r="I17" s="539">
        <v>0</v>
      </c>
      <c r="J17" s="545">
        <f t="shared" si="29"/>
        <v>0</v>
      </c>
      <c r="K17" s="546">
        <f t="shared" si="30"/>
        <v>0</v>
      </c>
      <c r="L17" s="539">
        <v>0</v>
      </c>
      <c r="M17" s="542">
        <f t="shared" si="31"/>
        <v>0</v>
      </c>
      <c r="N17" s="542">
        <f t="shared" si="32"/>
        <v>0</v>
      </c>
      <c r="O17" s="539">
        <v>0</v>
      </c>
      <c r="P17" s="543">
        <f t="shared" si="33"/>
        <v>0</v>
      </c>
      <c r="Q17" s="542">
        <f t="shared" si="34"/>
        <v>0</v>
      </c>
      <c r="R17" s="543">
        <f ca="1">IFERROR(__xludf.DUMMYFUNCTION("IMPORTRANGE(""https://docs.google.com/spreadsheets/d/1W6MnUbDkMi6xHnHko_XkFDO9kkuL6Wqyc-6OCDFjW9I/edit?usp=sharing"",""ตาก!Q759"")"),0)</f>
        <v>0</v>
      </c>
      <c r="S17" s="542">
        <f ca="1">IFERROR(__xludf.DUMMYFUNCTION("IMPORTRANGE(""https://docs.google.com/spreadsheets/d/1W6MnUbDkMi6xHnHko_XkFDO9kkuL6Wqyc-6OCDFjW9I/edit?usp=sharing"",""ตาก!R759"")"),0)</f>
        <v>0</v>
      </c>
      <c r="T17" s="543">
        <f ca="1">IFERROR(__xludf.DUMMYFUNCTION("IMPORTRANGE(""https://docs.google.com/spreadsheets/d/1W6MnUbDkMi6xHnHko_XkFDO9kkuL6Wqyc-6OCDFjW9I/edit?usp=sharing"",""ตาก!S759"")"),0)</f>
        <v>0</v>
      </c>
      <c r="U17" s="542">
        <f t="shared" ca="1" si="36"/>
        <v>0</v>
      </c>
      <c r="V17" s="542">
        <f t="shared" ca="1" si="37"/>
        <v>0</v>
      </c>
      <c r="W17" s="353">
        <f ca="1">IFERROR(__xludf.DUMMYFUNCTION("IMPORTRANGE(""https://docs.google.com/spreadsheets/d/1W6MnUbDkMi6xHnHko_XkFDO9kkuL6Wqyc-6OCDFjW9I/edit?usp=sharing"",""ตาก!I769"")"),0)</f>
        <v>0</v>
      </c>
      <c r="X17" s="177">
        <f ca="1">IFERROR(__xludf.DUMMYFUNCTION("IMPORTRANGE(""https://docs.google.com/spreadsheets/d/1W6MnUbDkMi6xHnHko_XkFDO9kkuL6Wqyc-6OCDFjW9I/edit?usp=sharing"",""ตาก!J769"")"),0)</f>
        <v>0</v>
      </c>
      <c r="Y17" s="354">
        <f t="shared" ca="1" si="39"/>
        <v>0</v>
      </c>
      <c r="Z17" s="177">
        <f ca="1">IFERROR(__xludf.DUMMYFUNCTION("IMPORTRANGE(""https://docs.google.com/spreadsheets/d/1W6MnUbDkMi6xHnHko_XkFDO9kkuL6Wqyc-6OCDFjW9I/edit?usp=sharing"",""ตาก!I771"")"),0)</f>
        <v>0</v>
      </c>
      <c r="AA17" s="177">
        <f ca="1">IFERROR(__xludf.DUMMYFUNCTION("IMPORTRANGE(""https://docs.google.com/spreadsheets/d/1W6MnUbDkMi6xHnHko_XkFDO9kkuL6Wqyc-6OCDFjW9I/edit?usp=sharing"",""ตาก!J771"")"),0)</f>
        <v>0</v>
      </c>
      <c r="AB17" s="354">
        <f t="shared" ca="1" si="41"/>
        <v>0</v>
      </c>
      <c r="AC17" s="177">
        <f ca="1">IFERROR(__xludf.DUMMYFUNCTION("IMPORTRANGE(""https://docs.google.com/spreadsheets/d/1W6MnUbDkMi6xHnHko_XkFDO9kkuL6Wqyc-6OCDFjW9I/edit?usp=sharing"",""ตาก!I773"")"),0)</f>
        <v>0</v>
      </c>
      <c r="AD17" s="177">
        <f ca="1">IFERROR(__xludf.DUMMYFUNCTION("IMPORTRANGE(""https://docs.google.com/spreadsheets/d/1W6MnUbDkMi6xHnHko_XkFDO9kkuL6Wqyc-6OCDFjW9I/edit?usp=sharing"",""ตาก!J773"")"),0)</f>
        <v>0</v>
      </c>
      <c r="AE17" s="354">
        <f t="shared" ca="1" si="43"/>
        <v>0</v>
      </c>
      <c r="AF17" s="177">
        <f ca="1">IFERROR(__xludf.DUMMYFUNCTION("IMPORTRANGE(""https://docs.google.com/spreadsheets/d/1W6MnUbDkMi6xHnHko_XkFDO9kkuL6Wqyc-6OCDFjW9I/edit?usp=sharing"",""ตาก!I774"")"),0)</f>
        <v>0</v>
      </c>
      <c r="AG17" s="177">
        <f ca="1">IFERROR(__xludf.DUMMYFUNCTION("IMPORTRANGE(""https://docs.google.com/spreadsheets/d/1W6MnUbDkMi6xHnHko_XkFDO9kkuL6Wqyc-6OCDFjW9I/edit?usp=sharing"",""ตาก!I775"")"),0)</f>
        <v>0</v>
      </c>
      <c r="AH17" s="177">
        <f ca="1">IFERROR(__xludf.DUMMYFUNCTION("IMPORTRANGE(""https://docs.google.com/spreadsheets/d/1W6MnUbDkMi6xHnHko_XkFDO9kkuL6Wqyc-6OCDFjW9I/edit?usp=sharing"",""ตาก!J774"")"),0)</f>
        <v>0</v>
      </c>
      <c r="AI17" s="354">
        <f t="shared" ca="1" si="45"/>
        <v>0</v>
      </c>
      <c r="AJ17" s="177">
        <f ca="1">IFERROR(__xludf.DUMMYFUNCTION("IMPORTRANGE(""https://docs.google.com/spreadsheets/d/1W6MnUbDkMi6xHnHko_XkFDO9kkuL6Wqyc-6OCDFjW9I/edit?usp=sharing"",""ตาก!J775"")"),0)</f>
        <v>0</v>
      </c>
      <c r="AK17" s="354">
        <f t="shared" ca="1" si="46"/>
        <v>0</v>
      </c>
    </row>
    <row r="18" spans="1:37" ht="19.5" x14ac:dyDescent="0.3">
      <c r="A18" s="535">
        <v>5</v>
      </c>
      <c r="B18" s="536" t="s">
        <v>44</v>
      </c>
      <c r="C18" s="537">
        <f t="shared" si="27"/>
        <v>0</v>
      </c>
      <c r="D18" s="538">
        <f t="shared" si="47"/>
        <v>0</v>
      </c>
      <c r="E18" s="539">
        <v>0</v>
      </c>
      <c r="F18" s="539">
        <v>0</v>
      </c>
      <c r="G18" s="539">
        <v>0</v>
      </c>
      <c r="H18" s="539">
        <v>0</v>
      </c>
      <c r="I18" s="539">
        <v>0</v>
      </c>
      <c r="J18" s="545">
        <f t="shared" si="29"/>
        <v>0</v>
      </c>
      <c r="K18" s="546">
        <f t="shared" si="30"/>
        <v>0</v>
      </c>
      <c r="L18" s="539">
        <v>0</v>
      </c>
      <c r="M18" s="542">
        <f t="shared" si="31"/>
        <v>0</v>
      </c>
      <c r="N18" s="542">
        <f t="shared" si="32"/>
        <v>0</v>
      </c>
      <c r="O18" s="539">
        <v>0</v>
      </c>
      <c r="P18" s="543">
        <f t="shared" si="33"/>
        <v>0</v>
      </c>
      <c r="Q18" s="542">
        <f t="shared" si="34"/>
        <v>0</v>
      </c>
      <c r="R18" s="543">
        <f ca="1">IFERROR(__xludf.DUMMYFUNCTION("IMPORTRANGE(""https://docs.google.com/spreadsheets/d/1IQAWArduLkta9LpYo4a_ULsyqdta6-6aDDiwpUnQT6c/edit?usp=sharing"",""นครสวรรค์!Q759"")"),470400)</f>
        <v>470400</v>
      </c>
      <c r="S18" s="542">
        <f ca="1">IFERROR(__xludf.DUMMYFUNCTION("IMPORTRANGE(""https://docs.google.com/spreadsheets/d/1IQAWArduLkta9LpYo4a_ULsyqdta6-6aDDiwpUnQT6c/edit?usp=sharing"",""นครสวรรค์!R759"")"),0)</f>
        <v>0</v>
      </c>
      <c r="T18" s="543">
        <f ca="1">IFERROR(__xludf.DUMMYFUNCTION("IMPORTRANGE(""https://docs.google.com/spreadsheets/d/1IQAWArduLkta9LpYo4a_ULsyqdta6-6aDDiwpUnQT6c/edit?usp=sharing"",""นครสวรรค์!S759"")"),0)</f>
        <v>0</v>
      </c>
      <c r="U18" s="542">
        <f t="shared" ca="1" si="36"/>
        <v>0</v>
      </c>
      <c r="V18" s="542">
        <f t="shared" ca="1" si="37"/>
        <v>0</v>
      </c>
      <c r="W18" s="353">
        <f ca="1">IFERROR(__xludf.DUMMYFUNCTION("IMPORTRANGE(""https://docs.google.com/spreadsheets/d/1IQAWArduLkta9LpYo4a_ULsyqdta6-6aDDiwpUnQT6c/edit?usp=sharing"",""นครสวรรค์!I769"")"),0)</f>
        <v>0</v>
      </c>
      <c r="X18" s="177">
        <f ca="1">IFERROR(__xludf.DUMMYFUNCTION("IMPORTRANGE(""https://docs.google.com/spreadsheets/d/1IQAWArduLkta9LpYo4a_ULsyqdta6-6aDDiwpUnQT6c/edit?usp=sharing"",""นครสวรรค์!J769"")"),0)</f>
        <v>0</v>
      </c>
      <c r="Y18" s="354">
        <f t="shared" ca="1" si="39"/>
        <v>0</v>
      </c>
      <c r="Z18" s="177">
        <f ca="1">IFERROR(__xludf.DUMMYFUNCTION("IMPORTRANGE(""https://docs.google.com/spreadsheets/d/1IQAWArduLkta9LpYo4a_ULsyqdta6-6aDDiwpUnQT6c/edit?usp=sharing"",""นครสวรรค์!I771"")"),70)</f>
        <v>70</v>
      </c>
      <c r="AA18" s="177">
        <f ca="1">IFERROR(__xludf.DUMMYFUNCTION("IMPORTRANGE(""https://docs.google.com/spreadsheets/d/1IQAWArduLkta9LpYo4a_ULsyqdta6-6aDDiwpUnQT6c/edit?usp=sharing"",""นครสวรรค์!J771"")"),0)</f>
        <v>0</v>
      </c>
      <c r="AB18" s="354">
        <f t="shared" ca="1" si="41"/>
        <v>0</v>
      </c>
      <c r="AC18" s="177">
        <f ca="1">IFERROR(__xludf.DUMMYFUNCTION("IMPORTRANGE(""https://docs.google.com/spreadsheets/d/1IQAWArduLkta9LpYo4a_ULsyqdta6-6aDDiwpUnQT6c/edit?usp=sharing"",""นครสวรรค์!I773"")"),140)</f>
        <v>140</v>
      </c>
      <c r="AD18" s="177">
        <f ca="1">IFERROR(__xludf.DUMMYFUNCTION("IMPORTRANGE(""https://docs.google.com/spreadsheets/d/1IQAWArduLkta9LpYo4a_ULsyqdta6-6aDDiwpUnQT6c/edit?usp=sharing"",""นครสวรรค์!J773"")"),0)</f>
        <v>0</v>
      </c>
      <c r="AE18" s="354">
        <f t="shared" ca="1" si="43"/>
        <v>0</v>
      </c>
      <c r="AF18" s="177">
        <f ca="1">IFERROR(__xludf.DUMMYFUNCTION("IMPORTRANGE(""https://docs.google.com/spreadsheets/d/1IQAWArduLkta9LpYo4a_ULsyqdta6-6aDDiwpUnQT6c/edit?usp=sharing"",""นครสวรรค์!I774"")"),140)</f>
        <v>140</v>
      </c>
      <c r="AG18" s="177">
        <f ca="1">IFERROR(__xludf.DUMMYFUNCTION("IMPORTRANGE(""https://docs.google.com/spreadsheets/d/1IQAWArduLkta9LpYo4a_ULsyqdta6-6aDDiwpUnQT6c/edit?usp=sharing"",""นครสวรรค์!I775"")"),70)</f>
        <v>70</v>
      </c>
      <c r="AH18" s="177">
        <f ca="1">IFERROR(__xludf.DUMMYFUNCTION("IMPORTRANGE(""https://docs.google.com/spreadsheets/d/1IQAWArduLkta9LpYo4a_ULsyqdta6-6aDDiwpUnQT6c/edit?usp=sharing"",""นครสวรรค์!J774"")"),0)</f>
        <v>0</v>
      </c>
      <c r="AI18" s="354">
        <f t="shared" ca="1" si="45"/>
        <v>0</v>
      </c>
      <c r="AJ18" s="177">
        <f ca="1">IFERROR(__xludf.DUMMYFUNCTION("IMPORTRANGE(""https://docs.google.com/spreadsheets/d/1IQAWArduLkta9LpYo4a_ULsyqdta6-6aDDiwpUnQT6c/edit?usp=sharing"",""นครสวรรค์!J775"")"),0)</f>
        <v>0</v>
      </c>
      <c r="AK18" s="354">
        <f t="shared" ca="1" si="46"/>
        <v>0</v>
      </c>
    </row>
    <row r="19" spans="1:37" ht="19.5" x14ac:dyDescent="0.3">
      <c r="A19" s="535">
        <v>6</v>
      </c>
      <c r="B19" s="536" t="s">
        <v>45</v>
      </c>
      <c r="C19" s="537">
        <f t="shared" si="27"/>
        <v>0</v>
      </c>
      <c r="D19" s="538">
        <f t="shared" si="47"/>
        <v>0</v>
      </c>
      <c r="E19" s="539">
        <v>0</v>
      </c>
      <c r="F19" s="539">
        <v>0</v>
      </c>
      <c r="G19" s="539">
        <v>0</v>
      </c>
      <c r="H19" s="539">
        <v>0</v>
      </c>
      <c r="I19" s="539">
        <v>0</v>
      </c>
      <c r="J19" s="545">
        <f t="shared" si="29"/>
        <v>0</v>
      </c>
      <c r="K19" s="546">
        <f t="shared" si="30"/>
        <v>0</v>
      </c>
      <c r="L19" s="539">
        <v>0</v>
      </c>
      <c r="M19" s="542">
        <f t="shared" si="31"/>
        <v>0</v>
      </c>
      <c r="N19" s="542">
        <f t="shared" si="32"/>
        <v>0</v>
      </c>
      <c r="O19" s="539">
        <v>0</v>
      </c>
      <c r="P19" s="543">
        <f t="shared" si="33"/>
        <v>0</v>
      </c>
      <c r="Q19" s="542">
        <f t="shared" si="34"/>
        <v>0</v>
      </c>
      <c r="R19" s="543">
        <f ca="1">IFERROR(__xludf.DUMMYFUNCTION("IMPORTRANGE(""https://docs.google.com/spreadsheets/d/10s13Sk5xrltsiR-Zkbmk5DwIaDIKO8XlbJAfqyT7Gvg/edit?usp=sharing"",""น่าน!Q759"")"),491250)</f>
        <v>491250</v>
      </c>
      <c r="S19" s="542">
        <f ca="1">IFERROR(__xludf.DUMMYFUNCTION("IMPORTRANGE(""https://docs.google.com/spreadsheets/d/10s13Sk5xrltsiR-Zkbmk5DwIaDIKO8XlbJAfqyT7Gvg/edit?usp=sharing"",""น่าน!R759"")"),0)</f>
        <v>0</v>
      </c>
      <c r="T19" s="543">
        <f ca="1">IFERROR(__xludf.DUMMYFUNCTION("IMPORTRANGE(""https://docs.google.com/spreadsheets/d/10s13Sk5xrltsiR-Zkbmk5DwIaDIKO8XlbJAfqyT7Gvg/edit?usp=sharing"",""น่าน!S759"")"),0)</f>
        <v>0</v>
      </c>
      <c r="U19" s="542">
        <f t="shared" ca="1" si="36"/>
        <v>0</v>
      </c>
      <c r="V19" s="542">
        <f t="shared" ca="1" si="37"/>
        <v>0</v>
      </c>
      <c r="W19" s="353">
        <f ca="1">IFERROR(__xludf.DUMMYFUNCTION("IMPORTRANGE(""https://docs.google.com/spreadsheets/d/10s13Sk5xrltsiR-Zkbmk5DwIaDIKO8XlbJAfqyT7Gvg/edit?usp=sharing"",""น่าน!I769"")"),0)</f>
        <v>0</v>
      </c>
      <c r="X19" s="177">
        <f ca="1">IFERROR(__xludf.DUMMYFUNCTION("IMPORTRANGE(""https://docs.google.com/spreadsheets/d/10s13Sk5xrltsiR-Zkbmk5DwIaDIKO8XlbJAfqyT7Gvg/edit?usp=sharing"",""น่าน!J769"")"),0)</f>
        <v>0</v>
      </c>
      <c r="Y19" s="354">
        <f t="shared" ca="1" si="39"/>
        <v>0</v>
      </c>
      <c r="Z19" s="177">
        <f ca="1">IFERROR(__xludf.DUMMYFUNCTION("IMPORTRANGE(""https://docs.google.com/spreadsheets/d/10s13Sk5xrltsiR-Zkbmk5DwIaDIKO8XlbJAfqyT7Gvg/edit?usp=sharing"",""น่าน!I771"")"),65)</f>
        <v>65</v>
      </c>
      <c r="AA19" s="177">
        <f ca="1">IFERROR(__xludf.DUMMYFUNCTION("IMPORTRANGE(""https://docs.google.com/spreadsheets/d/10s13Sk5xrltsiR-Zkbmk5DwIaDIKO8XlbJAfqyT7Gvg/edit?usp=sharing"",""น่าน!J771"")"),0)</f>
        <v>0</v>
      </c>
      <c r="AB19" s="354">
        <f t="shared" ca="1" si="41"/>
        <v>0</v>
      </c>
      <c r="AC19" s="177">
        <f ca="1">IFERROR(__xludf.DUMMYFUNCTION("IMPORTRANGE(""https://docs.google.com/spreadsheets/d/10s13Sk5xrltsiR-Zkbmk5DwIaDIKO8XlbJAfqyT7Gvg/edit?usp=sharing"",""น่าน!I773"")"),170)</f>
        <v>170</v>
      </c>
      <c r="AD19" s="177">
        <f ca="1">IFERROR(__xludf.DUMMYFUNCTION("IMPORTRANGE(""https://docs.google.com/spreadsheets/d/10s13Sk5xrltsiR-Zkbmk5DwIaDIKO8XlbJAfqyT7Gvg/edit?usp=sharing"",""น่าน!J773"")"),0)</f>
        <v>0</v>
      </c>
      <c r="AE19" s="354">
        <f t="shared" ca="1" si="43"/>
        <v>0</v>
      </c>
      <c r="AF19" s="177">
        <f ca="1">IFERROR(__xludf.DUMMYFUNCTION("IMPORTRANGE(""https://docs.google.com/spreadsheets/d/10s13Sk5xrltsiR-Zkbmk5DwIaDIKO8XlbJAfqyT7Gvg/edit?usp=sharing"",""น่าน!I774"")"),170)</f>
        <v>170</v>
      </c>
      <c r="AG19" s="177">
        <f ca="1">IFERROR(__xludf.DUMMYFUNCTION("IMPORTRANGE(""https://docs.google.com/spreadsheets/d/10s13Sk5xrltsiR-Zkbmk5DwIaDIKO8XlbJAfqyT7Gvg/edit?usp=sharing"",""น่าน!I775"")"),65)</f>
        <v>65</v>
      </c>
      <c r="AH19" s="177">
        <f ca="1">IFERROR(__xludf.DUMMYFUNCTION("IMPORTRANGE(""https://docs.google.com/spreadsheets/d/10s13Sk5xrltsiR-Zkbmk5DwIaDIKO8XlbJAfqyT7Gvg/edit?usp=sharing"",""น่าน!J774"")"),0)</f>
        <v>0</v>
      </c>
      <c r="AI19" s="354">
        <f t="shared" ca="1" si="45"/>
        <v>0</v>
      </c>
      <c r="AJ19" s="177">
        <f ca="1">IFERROR(__xludf.DUMMYFUNCTION("IMPORTRANGE(""https://docs.google.com/spreadsheets/d/10s13Sk5xrltsiR-Zkbmk5DwIaDIKO8XlbJAfqyT7Gvg/edit?usp=sharing"",""น่าน!J775"")"),0)</f>
        <v>0</v>
      </c>
      <c r="AK19" s="354">
        <f t="shared" ca="1" si="46"/>
        <v>0</v>
      </c>
    </row>
    <row r="20" spans="1:37" ht="19.5" x14ac:dyDescent="0.3">
      <c r="A20" s="535">
        <v>7</v>
      </c>
      <c r="B20" s="536" t="s">
        <v>46</v>
      </c>
      <c r="C20" s="537">
        <f t="shared" si="27"/>
        <v>0</v>
      </c>
      <c r="D20" s="538">
        <f t="shared" si="47"/>
        <v>0</v>
      </c>
      <c r="E20" s="539">
        <v>0</v>
      </c>
      <c r="F20" s="539">
        <v>0</v>
      </c>
      <c r="G20" s="539">
        <v>0</v>
      </c>
      <c r="H20" s="539">
        <v>0</v>
      </c>
      <c r="I20" s="539">
        <v>0</v>
      </c>
      <c r="J20" s="545">
        <f t="shared" si="29"/>
        <v>0</v>
      </c>
      <c r="K20" s="546">
        <f t="shared" si="30"/>
        <v>0</v>
      </c>
      <c r="L20" s="539">
        <v>0</v>
      </c>
      <c r="M20" s="542">
        <f t="shared" si="31"/>
        <v>0</v>
      </c>
      <c r="N20" s="542">
        <f t="shared" si="32"/>
        <v>0</v>
      </c>
      <c r="O20" s="539">
        <v>0</v>
      </c>
      <c r="P20" s="543">
        <f t="shared" si="33"/>
        <v>0</v>
      </c>
      <c r="Q20" s="542">
        <f t="shared" si="34"/>
        <v>0</v>
      </c>
      <c r="R20" s="543">
        <f ca="1">IFERROR(__xludf.DUMMYFUNCTION("IMPORTRANGE(""https://docs.google.com/spreadsheets/d/1uu4nAn4Dbi1XREnLKKotUANlKXa7yCgRcgq8HEzQYW8/edit?usp=sharing"",""พะเยา!Q759"")"),484700)</f>
        <v>484700</v>
      </c>
      <c r="S20" s="542">
        <f ca="1">IFERROR(__xludf.DUMMYFUNCTION("IMPORTRANGE(""https://docs.google.com/spreadsheets/d/1uu4nAn4Dbi1XREnLKKotUANlKXa7yCgRcgq8HEzQYW8/edit?usp=sharing"",""พะเยา!R759"")"),0)</f>
        <v>0</v>
      </c>
      <c r="T20" s="543">
        <f ca="1">IFERROR(__xludf.DUMMYFUNCTION("IMPORTRANGE(""https://docs.google.com/spreadsheets/d/1uu4nAn4Dbi1XREnLKKotUANlKXa7yCgRcgq8HEzQYW8/edit?usp=sharing"",""พะเยา!S759"")"),0)</f>
        <v>0</v>
      </c>
      <c r="U20" s="542">
        <f t="shared" ca="1" si="36"/>
        <v>0</v>
      </c>
      <c r="V20" s="542">
        <f t="shared" ca="1" si="37"/>
        <v>0</v>
      </c>
      <c r="W20" s="353">
        <f ca="1">IFERROR(__xludf.DUMMYFUNCTION("IMPORTRANGE(""https://docs.google.com/spreadsheets/d/1uu4nAn4Dbi1XREnLKKotUANlKXa7yCgRcgq8HEzQYW8/edit?usp=sharing"",""พะเยา!I769"")"),0)</f>
        <v>0</v>
      </c>
      <c r="X20" s="177">
        <f ca="1">IFERROR(__xludf.DUMMYFUNCTION("IMPORTRANGE(""https://docs.google.com/spreadsheets/d/1uu4nAn4Dbi1XREnLKKotUANlKXa7yCgRcgq8HEzQYW8/edit?usp=sharing"",""พะเยา!J769"")"),0)</f>
        <v>0</v>
      </c>
      <c r="Y20" s="354">
        <f t="shared" ca="1" si="39"/>
        <v>0</v>
      </c>
      <c r="Z20" s="177">
        <f ca="1">IFERROR(__xludf.DUMMYFUNCTION("IMPORTRANGE(""https://docs.google.com/spreadsheets/d/1uu4nAn4Dbi1XREnLKKotUANlKXa7yCgRcgq8HEzQYW8/edit?usp=sharing"",""พะเยา!I771"")"),80)</f>
        <v>80</v>
      </c>
      <c r="AA20" s="177">
        <f ca="1">IFERROR(__xludf.DUMMYFUNCTION("IMPORTRANGE(""https://docs.google.com/spreadsheets/d/1uu4nAn4Dbi1XREnLKKotUANlKXa7yCgRcgq8HEzQYW8/edit?usp=sharing"",""พะเยา!J771"")"),0)</f>
        <v>0</v>
      </c>
      <c r="AB20" s="354">
        <f t="shared" ca="1" si="41"/>
        <v>0</v>
      </c>
      <c r="AC20" s="177">
        <f ca="1">IFERROR(__xludf.DUMMYFUNCTION("IMPORTRANGE(""https://docs.google.com/spreadsheets/d/1uu4nAn4Dbi1XREnLKKotUANlKXa7yCgRcgq8HEzQYW8/edit?usp=sharing"",""พะเยา!I773"")"),140)</f>
        <v>140</v>
      </c>
      <c r="AD20" s="177">
        <f ca="1">IFERROR(__xludf.DUMMYFUNCTION("IMPORTRANGE(""https://docs.google.com/spreadsheets/d/1uu4nAn4Dbi1XREnLKKotUANlKXa7yCgRcgq8HEzQYW8/edit?usp=sharing"",""พะเยา!J773"")"),0)</f>
        <v>0</v>
      </c>
      <c r="AE20" s="354">
        <f t="shared" ca="1" si="43"/>
        <v>0</v>
      </c>
      <c r="AF20" s="177">
        <f ca="1">IFERROR(__xludf.DUMMYFUNCTION("IMPORTRANGE(""https://docs.google.com/spreadsheets/d/1uu4nAn4Dbi1XREnLKKotUANlKXa7yCgRcgq8HEzQYW8/edit?usp=sharing"",""พะเยา!I774"")"),140)</f>
        <v>140</v>
      </c>
      <c r="AG20" s="177">
        <f ca="1">IFERROR(__xludf.DUMMYFUNCTION("IMPORTRANGE(""https://docs.google.com/spreadsheets/d/1uu4nAn4Dbi1XREnLKKotUANlKXa7yCgRcgq8HEzQYW8/edit?usp=sharing"",""พะเยา!I775"")"),80)</f>
        <v>80</v>
      </c>
      <c r="AH20" s="177">
        <f ca="1">IFERROR(__xludf.DUMMYFUNCTION("IMPORTRANGE(""https://docs.google.com/spreadsheets/d/1uu4nAn4Dbi1XREnLKKotUANlKXa7yCgRcgq8HEzQYW8/edit?usp=sharing"",""พะเยา!J774"")"),0)</f>
        <v>0</v>
      </c>
      <c r="AI20" s="354">
        <f t="shared" ca="1" si="45"/>
        <v>0</v>
      </c>
      <c r="AJ20" s="177">
        <f ca="1">IFERROR(__xludf.DUMMYFUNCTION("IMPORTRANGE(""https://docs.google.com/spreadsheets/d/1uu4nAn4Dbi1XREnLKKotUANlKXa7yCgRcgq8HEzQYW8/edit?usp=sharing"",""พะเยา!J775"")"),0)</f>
        <v>0</v>
      </c>
      <c r="AK20" s="354">
        <f t="shared" ca="1" si="46"/>
        <v>0</v>
      </c>
    </row>
    <row r="21" spans="1:37" ht="19.5" x14ac:dyDescent="0.3">
      <c r="A21" s="535">
        <v>8</v>
      </c>
      <c r="B21" s="536" t="s">
        <v>47</v>
      </c>
      <c r="C21" s="537">
        <f t="shared" si="27"/>
        <v>0</v>
      </c>
      <c r="D21" s="538">
        <f t="shared" si="47"/>
        <v>0</v>
      </c>
      <c r="E21" s="539">
        <v>0</v>
      </c>
      <c r="F21" s="539">
        <v>0</v>
      </c>
      <c r="G21" s="539">
        <v>0</v>
      </c>
      <c r="H21" s="539">
        <v>0</v>
      </c>
      <c r="I21" s="539">
        <v>0</v>
      </c>
      <c r="J21" s="545">
        <f t="shared" si="29"/>
        <v>0</v>
      </c>
      <c r="K21" s="546">
        <f t="shared" si="30"/>
        <v>0</v>
      </c>
      <c r="L21" s="539">
        <v>0</v>
      </c>
      <c r="M21" s="542">
        <f t="shared" si="31"/>
        <v>0</v>
      </c>
      <c r="N21" s="542">
        <f t="shared" si="32"/>
        <v>0</v>
      </c>
      <c r="O21" s="539">
        <v>0</v>
      </c>
      <c r="P21" s="543">
        <f t="shared" si="33"/>
        <v>0</v>
      </c>
      <c r="Q21" s="542">
        <f t="shared" si="34"/>
        <v>0</v>
      </c>
      <c r="R21" s="543">
        <f ca="1">IFERROR(__xludf.DUMMYFUNCTION("IMPORTRANGE(""https://docs.google.com/spreadsheets/d/1xfJKIQxVOaPDIICqsflNlLu3JacTDk1FP9RH4phX7mI/edit?usp=sharing"",""พิจิตร!Q759"")"),400950)</f>
        <v>400950</v>
      </c>
      <c r="S21" s="542">
        <f ca="1">IFERROR(__xludf.DUMMYFUNCTION("IMPORTRANGE(""https://docs.google.com/spreadsheets/d/1xfJKIQxVOaPDIICqsflNlLu3JacTDk1FP9RH4phX7mI/edit?usp=sharing"",""พิจิตร!R759"")"),0)</f>
        <v>0</v>
      </c>
      <c r="T21" s="543">
        <f ca="1">IFERROR(__xludf.DUMMYFUNCTION("IMPORTRANGE(""https://docs.google.com/spreadsheets/d/1xfJKIQxVOaPDIICqsflNlLu3JacTDk1FP9RH4phX7mI/edit?usp=sharing"",""พิจิตร!S759"")"),0)</f>
        <v>0</v>
      </c>
      <c r="U21" s="542">
        <f t="shared" ca="1" si="36"/>
        <v>0</v>
      </c>
      <c r="V21" s="542">
        <f t="shared" ca="1" si="37"/>
        <v>0</v>
      </c>
      <c r="W21" s="353">
        <f ca="1">IFERROR(__xludf.DUMMYFUNCTION("IMPORTRANGE(""https://docs.google.com/spreadsheets/d/1xfJKIQxVOaPDIICqsflNlLu3JacTDk1FP9RH4phX7mI/edit?usp=sharing"",""พิจิตร!I769"")"),0)</f>
        <v>0</v>
      </c>
      <c r="X21" s="177">
        <f ca="1">IFERROR(__xludf.DUMMYFUNCTION("IMPORTRANGE(""https://docs.google.com/spreadsheets/d/1xfJKIQxVOaPDIICqsflNlLu3JacTDk1FP9RH4phX7mI/edit?usp=sharing"",""พิจิตร!J769"")"),0)</f>
        <v>0</v>
      </c>
      <c r="Y21" s="354">
        <f t="shared" ca="1" si="39"/>
        <v>0</v>
      </c>
      <c r="Z21" s="177">
        <f ca="1">IFERROR(__xludf.DUMMYFUNCTION("IMPORTRANGE(""https://docs.google.com/spreadsheets/d/1xfJKIQxVOaPDIICqsflNlLu3JacTDk1FP9RH4phX7mI/edit?usp=sharing"",""พิจิตร!I771"")"),55)</f>
        <v>55</v>
      </c>
      <c r="AA21" s="177">
        <f ca="1">IFERROR(__xludf.DUMMYFUNCTION("IMPORTRANGE(""https://docs.google.com/spreadsheets/d/1xfJKIQxVOaPDIICqsflNlLu3JacTDk1FP9RH4phX7mI/edit?usp=sharing"",""พิจิตร!J771"")"),0)</f>
        <v>0</v>
      </c>
      <c r="AB21" s="354">
        <f t="shared" ca="1" si="41"/>
        <v>0</v>
      </c>
      <c r="AC21" s="177">
        <f ca="1">IFERROR(__xludf.DUMMYFUNCTION("IMPORTRANGE(""https://docs.google.com/spreadsheets/d/1xfJKIQxVOaPDIICqsflNlLu3JacTDk1FP9RH4phX7mI/edit?usp=sharing"",""พิจิตร!I773"")"),110)</f>
        <v>110</v>
      </c>
      <c r="AD21" s="177">
        <f ca="1">IFERROR(__xludf.DUMMYFUNCTION("IMPORTRANGE(""https://docs.google.com/spreadsheets/d/1xfJKIQxVOaPDIICqsflNlLu3JacTDk1FP9RH4phX7mI/edit?usp=sharing"",""พิจิตร!J773"")"),0)</f>
        <v>0</v>
      </c>
      <c r="AE21" s="354">
        <f t="shared" ca="1" si="43"/>
        <v>0</v>
      </c>
      <c r="AF21" s="177">
        <f ca="1">IFERROR(__xludf.DUMMYFUNCTION("IMPORTRANGE(""https://docs.google.com/spreadsheets/d/1xfJKIQxVOaPDIICqsflNlLu3JacTDk1FP9RH4phX7mI/edit?usp=sharing"",""พิจิตร!I774"")"),110)</f>
        <v>110</v>
      </c>
      <c r="AG21" s="177">
        <f ca="1">IFERROR(__xludf.DUMMYFUNCTION("IMPORTRANGE(""https://docs.google.com/spreadsheets/d/1xfJKIQxVOaPDIICqsflNlLu3JacTDk1FP9RH4phX7mI/edit?usp=sharing"",""พิจิตร!I775"")"),55)</f>
        <v>55</v>
      </c>
      <c r="AH21" s="177">
        <f ca="1">IFERROR(__xludf.DUMMYFUNCTION("IMPORTRANGE(""https://docs.google.com/spreadsheets/d/1xfJKIQxVOaPDIICqsflNlLu3JacTDk1FP9RH4phX7mI/edit?usp=sharing"",""พิจิตร!J774"")"),0)</f>
        <v>0</v>
      </c>
      <c r="AI21" s="354">
        <f t="shared" ca="1" si="45"/>
        <v>0</v>
      </c>
      <c r="AJ21" s="177">
        <f ca="1">IFERROR(__xludf.DUMMYFUNCTION("IMPORTRANGE(""https://docs.google.com/spreadsheets/d/1xfJKIQxVOaPDIICqsflNlLu3JacTDk1FP9RH4phX7mI/edit?usp=sharing"",""พิจิตร!J775"")"),0)</f>
        <v>0</v>
      </c>
      <c r="AK21" s="354">
        <f t="shared" ca="1" si="46"/>
        <v>0</v>
      </c>
    </row>
    <row r="22" spans="1:37" ht="19.5" x14ac:dyDescent="0.3">
      <c r="A22" s="535">
        <v>9</v>
      </c>
      <c r="B22" s="536" t="s">
        <v>48</v>
      </c>
      <c r="C22" s="537">
        <f t="shared" si="27"/>
        <v>0</v>
      </c>
      <c r="D22" s="538">
        <f t="shared" si="47"/>
        <v>0</v>
      </c>
      <c r="E22" s="539">
        <v>0</v>
      </c>
      <c r="F22" s="539">
        <v>0</v>
      </c>
      <c r="G22" s="539">
        <v>0</v>
      </c>
      <c r="H22" s="539">
        <v>0</v>
      </c>
      <c r="I22" s="539">
        <v>0</v>
      </c>
      <c r="J22" s="545">
        <f t="shared" si="29"/>
        <v>0</v>
      </c>
      <c r="K22" s="546">
        <f t="shared" si="30"/>
        <v>0</v>
      </c>
      <c r="L22" s="539">
        <v>0</v>
      </c>
      <c r="M22" s="542">
        <f t="shared" si="31"/>
        <v>0</v>
      </c>
      <c r="N22" s="542">
        <f t="shared" si="32"/>
        <v>0</v>
      </c>
      <c r="O22" s="539">
        <v>0</v>
      </c>
      <c r="P22" s="543">
        <f t="shared" si="33"/>
        <v>0</v>
      </c>
      <c r="Q22" s="542">
        <f t="shared" si="34"/>
        <v>0</v>
      </c>
      <c r="R22" s="543">
        <f ca="1">IFERROR(__xludf.DUMMYFUNCTION("IMPORTRANGE(""https://docs.google.com/spreadsheets/d/1JtRfZkJMHtEhI5RdRHxYUG4FIZHqKDpNyIuN7A1Q0_k/edit?usp=sharing"",""พิษณุโลก!Q759"")"),0)</f>
        <v>0</v>
      </c>
      <c r="S22" s="542">
        <f ca="1">IFERROR(__xludf.DUMMYFUNCTION("IMPORTRANGE(""https://docs.google.com/spreadsheets/d/1JtRfZkJMHtEhI5RdRHxYUG4FIZHqKDpNyIuN7A1Q0_k/edit?usp=sharing"",""พิษณุโลก!R759"")"),0)</f>
        <v>0</v>
      </c>
      <c r="T22" s="543">
        <f ca="1">IFERROR(__xludf.DUMMYFUNCTION("IMPORTRANGE(""https://docs.google.com/spreadsheets/d/1JtRfZkJMHtEhI5RdRHxYUG4FIZHqKDpNyIuN7A1Q0_k/edit?usp=sharing"",""พิษณุโลก!S759"")"),0)</f>
        <v>0</v>
      </c>
      <c r="U22" s="542">
        <f t="shared" ca="1" si="36"/>
        <v>0</v>
      </c>
      <c r="V22" s="542">
        <f t="shared" ca="1" si="37"/>
        <v>0</v>
      </c>
      <c r="W22" s="353">
        <f ca="1">IFERROR(__xludf.DUMMYFUNCTION("IMPORTRANGE(""https://docs.google.com/spreadsheets/d/1JtRfZkJMHtEhI5RdRHxYUG4FIZHqKDpNyIuN7A1Q0_k/edit?usp=sharing"",""พิษณุโลก!I769"")"),0)</f>
        <v>0</v>
      </c>
      <c r="X22" s="177">
        <f ca="1">IFERROR(__xludf.DUMMYFUNCTION("IMPORTRANGE(""https://docs.google.com/spreadsheets/d/1JtRfZkJMHtEhI5RdRHxYUG4FIZHqKDpNyIuN7A1Q0_k/edit?usp=sharing"",""พิษณุโลก!J769"")"),0)</f>
        <v>0</v>
      </c>
      <c r="Y22" s="354">
        <f t="shared" ca="1" si="39"/>
        <v>0</v>
      </c>
      <c r="Z22" s="177">
        <f ca="1">IFERROR(__xludf.DUMMYFUNCTION("IMPORTRANGE(""https://docs.google.com/spreadsheets/d/1JtRfZkJMHtEhI5RdRHxYUG4FIZHqKDpNyIuN7A1Q0_k/edit?usp=sharing"",""พิษณุโลก!I771"")"),0)</f>
        <v>0</v>
      </c>
      <c r="AA22" s="177">
        <f ca="1">IFERROR(__xludf.DUMMYFUNCTION("IMPORTRANGE(""https://docs.google.com/spreadsheets/d/1JtRfZkJMHtEhI5RdRHxYUG4FIZHqKDpNyIuN7A1Q0_k/edit?usp=sharing"",""พิษณุโลก!J771"")"),0)</f>
        <v>0</v>
      </c>
      <c r="AB22" s="354">
        <f t="shared" ca="1" si="41"/>
        <v>0</v>
      </c>
      <c r="AC22" s="177">
        <f ca="1">IFERROR(__xludf.DUMMYFUNCTION("IMPORTRANGE(""https://docs.google.com/spreadsheets/d/1JtRfZkJMHtEhI5RdRHxYUG4FIZHqKDpNyIuN7A1Q0_k/edit?usp=sharing"",""พิษณุโลก!I773"")"),0)</f>
        <v>0</v>
      </c>
      <c r="AD22" s="177">
        <f ca="1">IFERROR(__xludf.DUMMYFUNCTION("IMPORTRANGE(""https://docs.google.com/spreadsheets/d/1JtRfZkJMHtEhI5RdRHxYUG4FIZHqKDpNyIuN7A1Q0_k/edit?usp=sharing"",""พิษณุโลก!J773"")"),0)</f>
        <v>0</v>
      </c>
      <c r="AE22" s="354">
        <f t="shared" ca="1" si="43"/>
        <v>0</v>
      </c>
      <c r="AF22" s="177">
        <f ca="1">IFERROR(__xludf.DUMMYFUNCTION("IMPORTRANGE(""https://docs.google.com/spreadsheets/d/1JtRfZkJMHtEhI5RdRHxYUG4FIZHqKDpNyIuN7A1Q0_k/edit?usp=sharing"",""พิษณุโลก!I774"")"),0)</f>
        <v>0</v>
      </c>
      <c r="AG22" s="177">
        <f ca="1">IFERROR(__xludf.DUMMYFUNCTION("IMPORTRANGE(""https://docs.google.com/spreadsheets/d/1JtRfZkJMHtEhI5RdRHxYUG4FIZHqKDpNyIuN7A1Q0_k/edit?usp=sharing"",""พิษณุโลก!I775"")"),0)</f>
        <v>0</v>
      </c>
      <c r="AH22" s="177">
        <f ca="1">IFERROR(__xludf.DUMMYFUNCTION("IMPORTRANGE(""https://docs.google.com/spreadsheets/d/1JtRfZkJMHtEhI5RdRHxYUG4FIZHqKDpNyIuN7A1Q0_k/edit?usp=sharing"",""พิษณุโลก!J774"")"),0)</f>
        <v>0</v>
      </c>
      <c r="AI22" s="354">
        <f t="shared" ca="1" si="45"/>
        <v>0</v>
      </c>
      <c r="AJ22" s="177">
        <f ca="1">IFERROR(__xludf.DUMMYFUNCTION("IMPORTRANGE(""https://docs.google.com/spreadsheets/d/1JtRfZkJMHtEhI5RdRHxYUG4FIZHqKDpNyIuN7A1Q0_k/edit?usp=sharing"",""พิษณุโลก!J775"")"),0)</f>
        <v>0</v>
      </c>
      <c r="AK22" s="354">
        <f t="shared" ca="1" si="46"/>
        <v>0</v>
      </c>
    </row>
    <row r="23" spans="1:37" ht="19.5" x14ac:dyDescent="0.3">
      <c r="A23" s="535">
        <v>10</v>
      </c>
      <c r="B23" s="536" t="s">
        <v>49</v>
      </c>
      <c r="C23" s="537">
        <f t="shared" si="27"/>
        <v>0</v>
      </c>
      <c r="D23" s="538">
        <f t="shared" si="47"/>
        <v>0</v>
      </c>
      <c r="E23" s="539">
        <v>0</v>
      </c>
      <c r="F23" s="539">
        <v>0</v>
      </c>
      <c r="G23" s="539">
        <v>0</v>
      </c>
      <c r="H23" s="539">
        <v>0</v>
      </c>
      <c r="I23" s="539">
        <v>0</v>
      </c>
      <c r="J23" s="545">
        <f t="shared" si="29"/>
        <v>0</v>
      </c>
      <c r="K23" s="546">
        <f t="shared" si="30"/>
        <v>0</v>
      </c>
      <c r="L23" s="539">
        <v>0</v>
      </c>
      <c r="M23" s="542">
        <f t="shared" si="31"/>
        <v>0</v>
      </c>
      <c r="N23" s="542">
        <f t="shared" si="32"/>
        <v>0</v>
      </c>
      <c r="O23" s="539">
        <v>0</v>
      </c>
      <c r="P23" s="543">
        <f t="shared" si="33"/>
        <v>0</v>
      </c>
      <c r="Q23" s="542">
        <f t="shared" si="34"/>
        <v>0</v>
      </c>
      <c r="R23" s="543">
        <f ca="1">IFERROR(__xludf.DUMMYFUNCTION("IMPORTRANGE(""https://docs.google.com/spreadsheets/d/1xlcVZWUNn6SuWm0c307h32SiGkd9BaeQWlAktfD3KO8/edit?usp=sharing"",""เพชรบูรณ์!Q759"")"),790870)</f>
        <v>790870</v>
      </c>
      <c r="S23" s="542">
        <f ca="1">IFERROR(__xludf.DUMMYFUNCTION("IMPORTRANGE(""https://docs.google.com/spreadsheets/d/1xlcVZWUNn6SuWm0c307h32SiGkd9BaeQWlAktfD3KO8/edit?usp=sharing"",""เพชรบูรณ์!R759"")"),0)</f>
        <v>0</v>
      </c>
      <c r="T23" s="543">
        <f ca="1">IFERROR(__xludf.DUMMYFUNCTION("IMPORTRANGE(""https://docs.google.com/spreadsheets/d/1xlcVZWUNn6SuWm0c307h32SiGkd9BaeQWlAktfD3KO8/edit?usp=sharing"",""เพชรบูรณ์!S759"")"),0)</f>
        <v>0</v>
      </c>
      <c r="U23" s="542">
        <f t="shared" ca="1" si="36"/>
        <v>0</v>
      </c>
      <c r="V23" s="542">
        <f t="shared" ca="1" si="37"/>
        <v>0</v>
      </c>
      <c r="W23" s="355">
        <f ca="1">IFERROR(__xludf.DUMMYFUNCTION("IMPORTRANGE(""https://docs.google.com/spreadsheets/d/1xlcVZWUNn6SuWm0c307h32SiGkd9BaeQWlAktfD3KO8/edit?usp=sharing"",""เพชรบูรณ์!I769"")"),0)</f>
        <v>0</v>
      </c>
      <c r="X23" s="452">
        <f ca="1">IFERROR(__xludf.DUMMYFUNCTION("IMPORTRANGE(""https://docs.google.com/spreadsheets/d/1xlcVZWUNn6SuWm0c307h32SiGkd9BaeQWlAktfD3KO8/edit?usp=sharing"",""เพชรบูรณ์!J769"")"),0)</f>
        <v>0</v>
      </c>
      <c r="Y23" s="354">
        <f t="shared" ca="1" si="39"/>
        <v>0</v>
      </c>
      <c r="Z23" s="452">
        <f ca="1">IFERROR(__xludf.DUMMYFUNCTION("IMPORTRANGE(""https://docs.google.com/spreadsheets/d/1xlcVZWUNn6SuWm0c307h32SiGkd9BaeQWlAktfD3KO8/edit?usp=sharing"",""เพชรบูรณ์!I771"")"),79)</f>
        <v>79</v>
      </c>
      <c r="AA23" s="452">
        <f ca="1">IFERROR(__xludf.DUMMYFUNCTION("IMPORTRANGE(""https://docs.google.com/spreadsheets/d/1xlcVZWUNn6SuWm0c307h32SiGkd9BaeQWlAktfD3KO8/edit?usp=sharing"",""เพชรบูรณ์!J771"")"),0)</f>
        <v>0</v>
      </c>
      <c r="AB23" s="354">
        <f t="shared" ca="1" si="41"/>
        <v>0</v>
      </c>
      <c r="AC23" s="452">
        <f ca="1">IFERROR(__xludf.DUMMYFUNCTION("IMPORTRANGE(""https://docs.google.com/spreadsheets/d/1xlcVZWUNn6SuWm0c307h32SiGkd9BaeQWlAktfD3KO8/edit?usp=sharing"",""เพชรบูรณ์!I773"")"),406)</f>
        <v>406</v>
      </c>
      <c r="AD23" s="452">
        <f ca="1">IFERROR(__xludf.DUMMYFUNCTION("IMPORTRANGE(""https://docs.google.com/spreadsheets/d/1xlcVZWUNn6SuWm0c307h32SiGkd9BaeQWlAktfD3KO8/edit?usp=sharing"",""เพชรบูรณ์!J773"")"),0)</f>
        <v>0</v>
      </c>
      <c r="AE23" s="354">
        <f t="shared" ca="1" si="43"/>
        <v>0</v>
      </c>
      <c r="AF23" s="452">
        <f ca="1">IFERROR(__xludf.DUMMYFUNCTION("IMPORTRANGE(""https://docs.google.com/spreadsheets/d/1xlcVZWUNn6SuWm0c307h32SiGkd9BaeQWlAktfD3KO8/edit?usp=sharing"",""เพชรบูรณ์!I774"")"),406)</f>
        <v>406</v>
      </c>
      <c r="AG23" s="452">
        <f ca="1">IFERROR(__xludf.DUMMYFUNCTION("IMPORTRANGE(""https://docs.google.com/spreadsheets/d/1xlcVZWUNn6SuWm0c307h32SiGkd9BaeQWlAktfD3KO8/edit?usp=sharing"",""เพชรบูรณ์!I775"")"),79)</f>
        <v>79</v>
      </c>
      <c r="AH23" s="452">
        <f ca="1">IFERROR(__xludf.DUMMYFUNCTION("IMPORTRANGE(""https://docs.google.com/spreadsheets/d/1xlcVZWUNn6SuWm0c307h32SiGkd9BaeQWlAktfD3KO8/edit?usp=sharing"",""เพชรบูรณ์!J774"")"),0)</f>
        <v>0</v>
      </c>
      <c r="AI23" s="354">
        <f t="shared" ca="1" si="45"/>
        <v>0</v>
      </c>
      <c r="AJ23" s="452">
        <f ca="1">IFERROR(__xludf.DUMMYFUNCTION("IMPORTRANGE(""https://docs.google.com/spreadsheets/d/1xlcVZWUNn6SuWm0c307h32SiGkd9BaeQWlAktfD3KO8/edit?usp=sharing"",""เพชรบูรณ์!J775"")"),0)</f>
        <v>0</v>
      </c>
      <c r="AK23" s="354">
        <f t="shared" ca="1" si="46"/>
        <v>0</v>
      </c>
    </row>
    <row r="24" spans="1:37" ht="19.5" x14ac:dyDescent="0.3">
      <c r="A24" s="535">
        <v>11</v>
      </c>
      <c r="B24" s="536" t="s">
        <v>50</v>
      </c>
      <c r="C24" s="537">
        <f t="shared" si="27"/>
        <v>0</v>
      </c>
      <c r="D24" s="538">
        <f t="shared" si="47"/>
        <v>0</v>
      </c>
      <c r="E24" s="539">
        <v>0</v>
      </c>
      <c r="F24" s="539">
        <v>0</v>
      </c>
      <c r="G24" s="539">
        <v>0</v>
      </c>
      <c r="H24" s="539">
        <v>0</v>
      </c>
      <c r="I24" s="539">
        <v>0</v>
      </c>
      <c r="J24" s="545">
        <f t="shared" si="29"/>
        <v>0</v>
      </c>
      <c r="K24" s="546">
        <f t="shared" si="30"/>
        <v>0</v>
      </c>
      <c r="L24" s="539">
        <v>0</v>
      </c>
      <c r="M24" s="542">
        <f t="shared" si="31"/>
        <v>0</v>
      </c>
      <c r="N24" s="542">
        <f t="shared" si="32"/>
        <v>0</v>
      </c>
      <c r="O24" s="539">
        <v>0</v>
      </c>
      <c r="P24" s="543">
        <f t="shared" si="33"/>
        <v>0</v>
      </c>
      <c r="Q24" s="542">
        <f t="shared" si="34"/>
        <v>0</v>
      </c>
      <c r="R24" s="543">
        <f ca="1">IFERROR(__xludf.DUMMYFUNCTION("IMPORTRANGE(""https://docs.google.com/spreadsheets/d/1lOVebEIsI9qjGXl6EX66luk7wiuP2tBaryw-wKvv4e0/edit?usp=sharing"",""แพร่!Q759"")"),479400)</f>
        <v>479400</v>
      </c>
      <c r="S24" s="542">
        <f ca="1">IFERROR(__xludf.DUMMYFUNCTION("IMPORTRANGE(""https://docs.google.com/spreadsheets/d/1lOVebEIsI9qjGXl6EX66luk7wiuP2tBaryw-wKvv4e0/edit?usp=sharing"",""แพร่!R759"")"),0)</f>
        <v>0</v>
      </c>
      <c r="T24" s="543">
        <f ca="1">IFERROR(__xludf.DUMMYFUNCTION("IMPORTRANGE(""https://docs.google.com/spreadsheets/d/1lOVebEIsI9qjGXl6EX66luk7wiuP2tBaryw-wKvv4e0/edit?usp=sharing"",""แพร่!S759"")"),0)</f>
        <v>0</v>
      </c>
      <c r="U24" s="542">
        <f t="shared" ca="1" si="36"/>
        <v>0</v>
      </c>
      <c r="V24" s="542">
        <f t="shared" ca="1" si="37"/>
        <v>0</v>
      </c>
      <c r="W24" s="353">
        <f ca="1">IFERROR(__xludf.DUMMYFUNCTION("IMPORTRANGE(""https://docs.google.com/spreadsheets/d/1lOVebEIsI9qjGXl6EX66luk7wiuP2tBaryw-wKvv4e0/edit?usp=sharing"",""แพร่!I769"")"),0)</f>
        <v>0</v>
      </c>
      <c r="X24" s="177">
        <f ca="1">IFERROR(__xludf.DUMMYFUNCTION("IMPORTRANGE(""https://docs.google.com/spreadsheets/d/1lOVebEIsI9qjGXl6EX66luk7wiuP2tBaryw-wKvv4e0/edit?usp=sharing"",""แพร่!J769"")"),0)</f>
        <v>0</v>
      </c>
      <c r="Y24" s="354">
        <f t="shared" ca="1" si="39"/>
        <v>0</v>
      </c>
      <c r="Z24" s="177">
        <f ca="1">IFERROR(__xludf.DUMMYFUNCTION("IMPORTRANGE(""https://docs.google.com/spreadsheets/d/1lOVebEIsI9qjGXl6EX66luk7wiuP2tBaryw-wKvv4e0/edit?usp=sharing"",""แพร่!I771"")"),70)</f>
        <v>70</v>
      </c>
      <c r="AA24" s="177">
        <f ca="1">IFERROR(__xludf.DUMMYFUNCTION("IMPORTRANGE(""https://docs.google.com/spreadsheets/d/1lOVebEIsI9qjGXl6EX66luk7wiuP2tBaryw-wKvv4e0/edit?usp=sharing"",""แพร่!J771"")"),0)</f>
        <v>0</v>
      </c>
      <c r="AB24" s="354">
        <f t="shared" ca="1" si="41"/>
        <v>0</v>
      </c>
      <c r="AC24" s="177">
        <f ca="1">IFERROR(__xludf.DUMMYFUNCTION("IMPORTRANGE(""https://docs.google.com/spreadsheets/d/1lOVebEIsI9qjGXl6EX66luk7wiuP2tBaryw-wKvv4e0/edit?usp=sharing"",""แพร่!I773"")"),140)</f>
        <v>140</v>
      </c>
      <c r="AD24" s="177">
        <f ca="1">IFERROR(__xludf.DUMMYFUNCTION("IMPORTRANGE(""https://docs.google.com/spreadsheets/d/1lOVebEIsI9qjGXl6EX66luk7wiuP2tBaryw-wKvv4e0/edit?usp=sharing"",""แพร่!J773"")"),0)</f>
        <v>0</v>
      </c>
      <c r="AE24" s="354">
        <f t="shared" ca="1" si="43"/>
        <v>0</v>
      </c>
      <c r="AF24" s="177">
        <f ca="1">IFERROR(__xludf.DUMMYFUNCTION("IMPORTRANGE(""https://docs.google.com/spreadsheets/d/1lOVebEIsI9qjGXl6EX66luk7wiuP2tBaryw-wKvv4e0/edit?usp=sharing"",""แพร่!I774"")"),140)</f>
        <v>140</v>
      </c>
      <c r="AG24" s="177">
        <f ca="1">IFERROR(__xludf.DUMMYFUNCTION("IMPORTRANGE(""https://docs.google.com/spreadsheets/d/1lOVebEIsI9qjGXl6EX66luk7wiuP2tBaryw-wKvv4e0/edit?usp=sharing"",""แพร่!I775"")"),70)</f>
        <v>70</v>
      </c>
      <c r="AH24" s="177">
        <f ca="1">IFERROR(__xludf.DUMMYFUNCTION("IMPORTRANGE(""https://docs.google.com/spreadsheets/d/1lOVebEIsI9qjGXl6EX66luk7wiuP2tBaryw-wKvv4e0/edit?usp=sharing"",""แพร่!J774"")"),0)</f>
        <v>0</v>
      </c>
      <c r="AI24" s="354">
        <f t="shared" ca="1" si="45"/>
        <v>0</v>
      </c>
      <c r="AJ24" s="177">
        <f ca="1">IFERROR(__xludf.DUMMYFUNCTION("IMPORTRANGE(""https://docs.google.com/spreadsheets/d/1lOVebEIsI9qjGXl6EX66luk7wiuP2tBaryw-wKvv4e0/edit?usp=sharing"",""แพร่!J775"")"),0)</f>
        <v>0</v>
      </c>
      <c r="AK24" s="354">
        <f t="shared" ca="1" si="46"/>
        <v>0</v>
      </c>
    </row>
    <row r="25" spans="1:37" ht="19.5" x14ac:dyDescent="0.3">
      <c r="A25" s="535">
        <v>12</v>
      </c>
      <c r="B25" s="536" t="s">
        <v>51</v>
      </c>
      <c r="C25" s="537">
        <f t="shared" si="27"/>
        <v>0</v>
      </c>
      <c r="D25" s="538">
        <f t="shared" si="47"/>
        <v>0</v>
      </c>
      <c r="E25" s="539">
        <v>0</v>
      </c>
      <c r="F25" s="539">
        <v>0</v>
      </c>
      <c r="G25" s="539">
        <v>0</v>
      </c>
      <c r="H25" s="539">
        <v>0</v>
      </c>
      <c r="I25" s="539">
        <v>0</v>
      </c>
      <c r="J25" s="545">
        <f t="shared" si="29"/>
        <v>0</v>
      </c>
      <c r="K25" s="546">
        <f t="shared" si="30"/>
        <v>0</v>
      </c>
      <c r="L25" s="539">
        <v>0</v>
      </c>
      <c r="M25" s="542">
        <f t="shared" si="31"/>
        <v>0</v>
      </c>
      <c r="N25" s="542">
        <f t="shared" si="32"/>
        <v>0</v>
      </c>
      <c r="O25" s="539">
        <v>0</v>
      </c>
      <c r="P25" s="543">
        <f t="shared" si="33"/>
        <v>0</v>
      </c>
      <c r="Q25" s="542">
        <f t="shared" si="34"/>
        <v>0</v>
      </c>
      <c r="R25" s="543">
        <f ca="1">IFERROR(__xludf.DUMMYFUNCTION("IMPORTRANGE(""https://docs.google.com/spreadsheets/d/1dQrvX0vEcN7Gu0fnZ0B5S90AeR19zth4XlExFBeExMY/edit?usp=sharing"",""แม่ฮ่องสอน!Q759"")"),422100)</f>
        <v>422100</v>
      </c>
      <c r="S25" s="542">
        <f ca="1">IFERROR(__xludf.DUMMYFUNCTION("IMPORTRANGE(""https://docs.google.com/spreadsheets/d/1dQrvX0vEcN7Gu0fnZ0B5S90AeR19zth4XlExFBeExMY/edit?usp=sharing"",""แม่ฮ่องสอน!R759"")"),0)</f>
        <v>0</v>
      </c>
      <c r="T25" s="543">
        <f ca="1">IFERROR(__xludf.DUMMYFUNCTION("IMPORTRANGE(""https://docs.google.com/spreadsheets/d/1dQrvX0vEcN7Gu0fnZ0B5S90AeR19zth4XlExFBeExMY/edit?usp=sharing"",""แม่ฮ่องสอน!S759"")"),2880)</f>
        <v>2880</v>
      </c>
      <c r="U25" s="542">
        <f t="shared" ca="1" si="36"/>
        <v>0.68230277185501065</v>
      </c>
      <c r="V25" s="542">
        <f t="shared" ca="1" si="37"/>
        <v>0</v>
      </c>
      <c r="W25" s="353">
        <f ca="1">IFERROR(__xludf.DUMMYFUNCTION("IMPORTRANGE(""https://docs.google.com/spreadsheets/d/1dQrvX0vEcN7Gu0fnZ0B5S90AeR19zth4XlExFBeExMY/edit?usp=sharing"",""แม่ฮ่องสอน!I769"")"),0)</f>
        <v>0</v>
      </c>
      <c r="X25" s="177">
        <f ca="1">IFERROR(__xludf.DUMMYFUNCTION("IMPORTRANGE(""https://docs.google.com/spreadsheets/d/1dQrvX0vEcN7Gu0fnZ0B5S90AeR19zth4XlExFBeExMY/edit?usp=sharing"",""แม่ฮ่องสอน!J769"")"),0)</f>
        <v>0</v>
      </c>
      <c r="Y25" s="354">
        <f t="shared" ca="1" si="39"/>
        <v>0</v>
      </c>
      <c r="Z25" s="177">
        <f ca="1">IFERROR(__xludf.DUMMYFUNCTION("IMPORTRANGE(""https://docs.google.com/spreadsheets/d/1dQrvX0vEcN7Gu0fnZ0B5S90AeR19zth4XlExFBeExMY/edit?usp=sharing"",""แม่ฮ่องสอน!I771"")"),60)</f>
        <v>60</v>
      </c>
      <c r="AA25" s="177">
        <f ca="1">IFERROR(__xludf.DUMMYFUNCTION("IMPORTRANGE(""https://docs.google.com/spreadsheets/d/1dQrvX0vEcN7Gu0fnZ0B5S90AeR19zth4XlExFBeExMY/edit?usp=sharing"",""แม่ฮ่องสอน!J771"")"),0)</f>
        <v>0</v>
      </c>
      <c r="AB25" s="354">
        <f t="shared" ca="1" si="41"/>
        <v>0</v>
      </c>
      <c r="AC25" s="177">
        <f ca="1">IFERROR(__xludf.DUMMYFUNCTION("IMPORTRANGE(""https://docs.google.com/spreadsheets/d/1dQrvX0vEcN7Gu0fnZ0B5S90AeR19zth4XlExFBeExMY/edit?usp=sharing"",""แม่ฮ่องสอน!I773"")"),120)</f>
        <v>120</v>
      </c>
      <c r="AD25" s="177">
        <f ca="1">IFERROR(__xludf.DUMMYFUNCTION("IMPORTRANGE(""https://docs.google.com/spreadsheets/d/1dQrvX0vEcN7Gu0fnZ0B5S90AeR19zth4XlExFBeExMY/edit?usp=sharing"",""แม่ฮ่องสอน!J773"")"),0)</f>
        <v>0</v>
      </c>
      <c r="AE25" s="354">
        <f t="shared" ca="1" si="43"/>
        <v>0</v>
      </c>
      <c r="AF25" s="177">
        <f ca="1">IFERROR(__xludf.DUMMYFUNCTION("IMPORTRANGE(""https://docs.google.com/spreadsheets/d/1dQrvX0vEcN7Gu0fnZ0B5S90AeR19zth4XlExFBeExMY/edit?usp=sharing"",""แม่ฮ่องสอน!I774"")"),120)</f>
        <v>120</v>
      </c>
      <c r="AG25" s="177">
        <f ca="1">IFERROR(__xludf.DUMMYFUNCTION("IMPORTRANGE(""https://docs.google.com/spreadsheets/d/1dQrvX0vEcN7Gu0fnZ0B5S90AeR19zth4XlExFBeExMY/edit?usp=sharing"",""แม่ฮ่องสอน!I775"")"),60)</f>
        <v>60</v>
      </c>
      <c r="AH25" s="177">
        <f ca="1">IFERROR(__xludf.DUMMYFUNCTION("IMPORTRANGE(""https://docs.google.com/spreadsheets/d/1dQrvX0vEcN7Gu0fnZ0B5S90AeR19zth4XlExFBeExMY/edit?usp=sharing"",""แม่ฮ่องสอน!J774"")"),0)</f>
        <v>0</v>
      </c>
      <c r="AI25" s="354">
        <f t="shared" ca="1" si="45"/>
        <v>0</v>
      </c>
      <c r="AJ25" s="177">
        <f ca="1">IFERROR(__xludf.DUMMYFUNCTION("IMPORTRANGE(""https://docs.google.com/spreadsheets/d/1dQrvX0vEcN7Gu0fnZ0B5S90AeR19zth4XlExFBeExMY/edit?usp=sharing"",""แม่ฮ่องสอน!J775"")"),0)</f>
        <v>0</v>
      </c>
      <c r="AK25" s="354">
        <f t="shared" ca="1" si="46"/>
        <v>0</v>
      </c>
    </row>
    <row r="26" spans="1:37" ht="19.5" x14ac:dyDescent="0.3">
      <c r="A26" s="535">
        <v>13</v>
      </c>
      <c r="B26" s="536" t="s">
        <v>52</v>
      </c>
      <c r="C26" s="537">
        <f t="shared" si="27"/>
        <v>0</v>
      </c>
      <c r="D26" s="538">
        <f t="shared" si="47"/>
        <v>0</v>
      </c>
      <c r="E26" s="539">
        <v>0</v>
      </c>
      <c r="F26" s="539">
        <v>0</v>
      </c>
      <c r="G26" s="539">
        <v>0</v>
      </c>
      <c r="H26" s="539">
        <v>0</v>
      </c>
      <c r="I26" s="539">
        <v>0</v>
      </c>
      <c r="J26" s="545">
        <f t="shared" si="29"/>
        <v>0</v>
      </c>
      <c r="K26" s="546">
        <f t="shared" si="30"/>
        <v>0</v>
      </c>
      <c r="L26" s="539">
        <v>0</v>
      </c>
      <c r="M26" s="542">
        <f t="shared" si="31"/>
        <v>0</v>
      </c>
      <c r="N26" s="542">
        <f t="shared" si="32"/>
        <v>0</v>
      </c>
      <c r="O26" s="539">
        <v>0</v>
      </c>
      <c r="P26" s="543">
        <f t="shared" si="33"/>
        <v>0</v>
      </c>
      <c r="Q26" s="542">
        <f t="shared" si="34"/>
        <v>0</v>
      </c>
      <c r="R26" s="543">
        <f ca="1">IFERROR(__xludf.DUMMYFUNCTION("IMPORTRANGE(""https://docs.google.com/spreadsheets/d/1DY4XTNNwjluuxqdfdn6qvOSlMRrZqUtmYcZR0ttFiG4/edit?usp=sharing"",""ลำปาง!Q759"")"),379780)</f>
        <v>379780</v>
      </c>
      <c r="S26" s="542">
        <f ca="1">IFERROR(__xludf.DUMMYFUNCTION("IMPORTRANGE(""https://docs.google.com/spreadsheets/d/1DY4XTNNwjluuxqdfdn6qvOSlMRrZqUtmYcZR0ttFiG4/edit?usp=sharing"",""ลำปาง!R759"")"),0)</f>
        <v>0</v>
      </c>
      <c r="T26" s="543">
        <f ca="1">IFERROR(__xludf.DUMMYFUNCTION("IMPORTRANGE(""https://docs.google.com/spreadsheets/d/1DY4XTNNwjluuxqdfdn6qvOSlMRrZqUtmYcZR0ttFiG4/edit?usp=sharing"",""ลำปาง!S759"")"),0)</f>
        <v>0</v>
      </c>
      <c r="U26" s="542">
        <f t="shared" ca="1" si="36"/>
        <v>0</v>
      </c>
      <c r="V26" s="542">
        <f t="shared" ca="1" si="37"/>
        <v>0</v>
      </c>
      <c r="W26" s="355">
        <f ca="1">IFERROR(__xludf.DUMMYFUNCTION("IMPORTRANGE(""https://docs.google.com/spreadsheets/d/1DY4XTNNwjluuxqdfdn6qvOSlMRrZqUtmYcZR0ttFiG4/edit?usp=sharing"",""ลำปาง!I769"")"),0)</f>
        <v>0</v>
      </c>
      <c r="X26" s="452">
        <f ca="1">IFERROR(__xludf.DUMMYFUNCTION("IMPORTRANGE(""https://docs.google.com/spreadsheets/d/1DY4XTNNwjluuxqdfdn6qvOSlMRrZqUtmYcZR0ttFiG4/edit?usp=sharing"",""ลำปาง!J769"")"),0)</f>
        <v>0</v>
      </c>
      <c r="Y26" s="354">
        <f t="shared" ca="1" si="39"/>
        <v>0</v>
      </c>
      <c r="Z26" s="452">
        <f ca="1">IFERROR(__xludf.DUMMYFUNCTION("IMPORTRANGE(""https://docs.google.com/spreadsheets/d/1DY4XTNNwjluuxqdfdn6qvOSlMRrZqUtmYcZR0ttFiG4/edit?usp=sharing"",""ลำปาง!I771"")"),40)</f>
        <v>40</v>
      </c>
      <c r="AA26" s="452">
        <f ca="1">IFERROR(__xludf.DUMMYFUNCTION("IMPORTRANGE(""https://docs.google.com/spreadsheets/d/1DY4XTNNwjluuxqdfdn6qvOSlMRrZqUtmYcZR0ttFiG4/edit?usp=sharing"",""ลำปาง!J771"")"),0)</f>
        <v>0</v>
      </c>
      <c r="AB26" s="354">
        <f t="shared" ca="1" si="41"/>
        <v>0</v>
      </c>
      <c r="AC26" s="452">
        <f ca="1">IFERROR(__xludf.DUMMYFUNCTION("IMPORTRANGE(""https://docs.google.com/spreadsheets/d/1DY4XTNNwjluuxqdfdn6qvOSlMRrZqUtmYcZR0ttFiG4/edit?usp=sharing"",""ลำปาง!I773"")"),120)</f>
        <v>120</v>
      </c>
      <c r="AD26" s="452">
        <f ca="1">IFERROR(__xludf.DUMMYFUNCTION("IMPORTRANGE(""https://docs.google.com/spreadsheets/d/1DY4XTNNwjluuxqdfdn6qvOSlMRrZqUtmYcZR0ttFiG4/edit?usp=sharing"",""ลำปาง!J773"")"),0)</f>
        <v>0</v>
      </c>
      <c r="AE26" s="354">
        <f t="shared" ca="1" si="43"/>
        <v>0</v>
      </c>
      <c r="AF26" s="452">
        <f ca="1">IFERROR(__xludf.DUMMYFUNCTION("IMPORTRANGE(""https://docs.google.com/spreadsheets/d/1DY4XTNNwjluuxqdfdn6qvOSlMRrZqUtmYcZR0ttFiG4/edit?usp=sharing"",""ลำปาง!I774"")"),120)</f>
        <v>120</v>
      </c>
      <c r="AG26" s="452">
        <f ca="1">IFERROR(__xludf.DUMMYFUNCTION("IMPORTRANGE(""https://docs.google.com/spreadsheets/d/1DY4XTNNwjluuxqdfdn6qvOSlMRrZqUtmYcZR0ttFiG4/edit?usp=sharing"",""ลำปาง!I775"")"),40)</f>
        <v>40</v>
      </c>
      <c r="AH26" s="452">
        <f ca="1">IFERROR(__xludf.DUMMYFUNCTION("IMPORTRANGE(""https://docs.google.com/spreadsheets/d/1DY4XTNNwjluuxqdfdn6qvOSlMRrZqUtmYcZR0ttFiG4/edit?usp=sharing"",""ลำปาง!J774"")"),0)</f>
        <v>0</v>
      </c>
      <c r="AI26" s="354">
        <f t="shared" ca="1" si="45"/>
        <v>0</v>
      </c>
      <c r="AJ26" s="452">
        <f ca="1">IFERROR(__xludf.DUMMYFUNCTION("IMPORTRANGE(""https://docs.google.com/spreadsheets/d/1DY4XTNNwjluuxqdfdn6qvOSlMRrZqUtmYcZR0ttFiG4/edit?usp=sharing"",""ลำปาง!J775"")"),0)</f>
        <v>0</v>
      </c>
      <c r="AK26" s="354">
        <f t="shared" ca="1" si="46"/>
        <v>0</v>
      </c>
    </row>
    <row r="27" spans="1:37" ht="19.5" x14ac:dyDescent="0.3">
      <c r="A27" s="535">
        <v>14</v>
      </c>
      <c r="B27" s="536" t="s">
        <v>53</v>
      </c>
      <c r="C27" s="537">
        <f t="shared" si="27"/>
        <v>0</v>
      </c>
      <c r="D27" s="538">
        <f t="shared" si="47"/>
        <v>0</v>
      </c>
      <c r="E27" s="539">
        <v>0</v>
      </c>
      <c r="F27" s="539">
        <v>0</v>
      </c>
      <c r="G27" s="539">
        <v>0</v>
      </c>
      <c r="H27" s="539">
        <v>0</v>
      </c>
      <c r="I27" s="539">
        <v>0</v>
      </c>
      <c r="J27" s="545">
        <f t="shared" si="29"/>
        <v>0</v>
      </c>
      <c r="K27" s="546">
        <f t="shared" si="30"/>
        <v>0</v>
      </c>
      <c r="L27" s="539">
        <v>0</v>
      </c>
      <c r="M27" s="542">
        <f t="shared" si="31"/>
        <v>0</v>
      </c>
      <c r="N27" s="542">
        <f t="shared" si="32"/>
        <v>0</v>
      </c>
      <c r="O27" s="539">
        <v>0</v>
      </c>
      <c r="P27" s="543">
        <f t="shared" si="33"/>
        <v>0</v>
      </c>
      <c r="Q27" s="542">
        <f t="shared" si="34"/>
        <v>0</v>
      </c>
      <c r="R27" s="543">
        <f ca="1">IFERROR(__xludf.DUMMYFUNCTION("IMPORTRANGE(""https://docs.google.com/spreadsheets/d/1ICwG78r0OFT8biBlxnBF8r7she7gNSzOvJ958PWT09c/edit?usp=sharing"",""ลำพูน!Q759"")"),571100)</f>
        <v>571100</v>
      </c>
      <c r="S27" s="542">
        <f ca="1">IFERROR(__xludf.DUMMYFUNCTION("IMPORTRANGE(""https://docs.google.com/spreadsheets/d/1ICwG78r0OFT8biBlxnBF8r7she7gNSzOvJ958PWT09c/edit?usp=sharing"",""ลำพูน!R759"")"),0)</f>
        <v>0</v>
      </c>
      <c r="T27" s="543">
        <f ca="1">IFERROR(__xludf.DUMMYFUNCTION("IMPORTRANGE(""https://docs.google.com/spreadsheets/d/1ICwG78r0OFT8biBlxnBF8r7she7gNSzOvJ958PWT09c/edit?usp=sharing"",""ลำพูน!S759"")"),0)</f>
        <v>0</v>
      </c>
      <c r="U27" s="542">
        <f t="shared" ca="1" si="36"/>
        <v>0</v>
      </c>
      <c r="V27" s="542">
        <f t="shared" ca="1" si="37"/>
        <v>0</v>
      </c>
      <c r="W27" s="353">
        <f ca="1">IFERROR(__xludf.DUMMYFUNCTION("IMPORTRANGE(""https://docs.google.com/spreadsheets/d/1ICwG78r0OFT8biBlxnBF8r7she7gNSzOvJ958PWT09c/edit?usp=sharing"",""ลำพูน!I769"")"),0)</f>
        <v>0</v>
      </c>
      <c r="X27" s="177">
        <f ca="1">IFERROR(__xludf.DUMMYFUNCTION("IMPORTRANGE(""https://docs.google.com/spreadsheets/d/1ICwG78r0OFT8biBlxnBF8r7she7gNSzOvJ958PWT09c/edit?usp=sharing"",""ลำพูน!J769"")"),0)</f>
        <v>0</v>
      </c>
      <c r="Y27" s="354">
        <f t="shared" ca="1" si="39"/>
        <v>0</v>
      </c>
      <c r="Z27" s="177">
        <f ca="1">IFERROR(__xludf.DUMMYFUNCTION("IMPORTRANGE(""https://docs.google.com/spreadsheets/d/1ICwG78r0OFT8biBlxnBF8r7she7gNSzOvJ958PWT09c/edit?usp=sharing"",""ลำพูน!I771"")"),60)</f>
        <v>60</v>
      </c>
      <c r="AA27" s="177">
        <f ca="1">IFERROR(__xludf.DUMMYFUNCTION("IMPORTRANGE(""https://docs.google.com/spreadsheets/d/1ICwG78r0OFT8biBlxnBF8r7she7gNSzOvJ958PWT09c/edit?usp=sharing"",""ลำพูน!J771"")"),0)</f>
        <v>0</v>
      </c>
      <c r="AB27" s="354">
        <f t="shared" ca="1" si="41"/>
        <v>0</v>
      </c>
      <c r="AC27" s="177">
        <f ca="1">IFERROR(__xludf.DUMMYFUNCTION("IMPORTRANGE(""https://docs.google.com/spreadsheets/d/1ICwG78r0OFT8biBlxnBF8r7she7gNSzOvJ958PWT09c/edit?usp=sharing"",""ลำพูน!I773"")"),250)</f>
        <v>250</v>
      </c>
      <c r="AD27" s="177">
        <f ca="1">IFERROR(__xludf.DUMMYFUNCTION("IMPORTRANGE(""https://docs.google.com/spreadsheets/d/1ICwG78r0OFT8biBlxnBF8r7she7gNSzOvJ958PWT09c/edit?usp=sharing"",""ลำพูน!J773"")"),0)</f>
        <v>0</v>
      </c>
      <c r="AE27" s="354">
        <f t="shared" ca="1" si="43"/>
        <v>0</v>
      </c>
      <c r="AF27" s="177">
        <f ca="1">IFERROR(__xludf.DUMMYFUNCTION("IMPORTRANGE(""https://docs.google.com/spreadsheets/d/1ICwG78r0OFT8biBlxnBF8r7she7gNSzOvJ958PWT09c/edit?usp=sharing"",""ลำพูน!I774"")"),250)</f>
        <v>250</v>
      </c>
      <c r="AG27" s="177">
        <f ca="1">IFERROR(__xludf.DUMMYFUNCTION("IMPORTRANGE(""https://docs.google.com/spreadsheets/d/1ICwG78r0OFT8biBlxnBF8r7she7gNSzOvJ958PWT09c/edit?usp=sharing"",""ลำพูน!I775"")"),60)</f>
        <v>60</v>
      </c>
      <c r="AH27" s="177">
        <f ca="1">IFERROR(__xludf.DUMMYFUNCTION("IMPORTRANGE(""https://docs.google.com/spreadsheets/d/1ICwG78r0OFT8biBlxnBF8r7she7gNSzOvJ958PWT09c/edit?usp=sharing"",""ลำพูน!J774"")"),0)</f>
        <v>0</v>
      </c>
      <c r="AI27" s="354">
        <f t="shared" ca="1" si="45"/>
        <v>0</v>
      </c>
      <c r="AJ27" s="177">
        <f ca="1">IFERROR(__xludf.DUMMYFUNCTION("IMPORTRANGE(""https://docs.google.com/spreadsheets/d/1ICwG78r0OFT8biBlxnBF8r7she7gNSzOvJ958PWT09c/edit?usp=sharing"",""ลำพูน!J775"")"),0)</f>
        <v>0</v>
      </c>
      <c r="AK27" s="354">
        <f t="shared" ca="1" si="46"/>
        <v>0</v>
      </c>
    </row>
    <row r="28" spans="1:37" ht="19.5" x14ac:dyDescent="0.3">
      <c r="A28" s="535">
        <v>15</v>
      </c>
      <c r="B28" s="536" t="s">
        <v>54</v>
      </c>
      <c r="C28" s="537">
        <f t="shared" si="27"/>
        <v>0</v>
      </c>
      <c r="D28" s="538">
        <f t="shared" si="47"/>
        <v>0</v>
      </c>
      <c r="E28" s="539">
        <v>0</v>
      </c>
      <c r="F28" s="539">
        <v>0</v>
      </c>
      <c r="G28" s="539">
        <v>0</v>
      </c>
      <c r="H28" s="539">
        <v>0</v>
      </c>
      <c r="I28" s="539">
        <v>0</v>
      </c>
      <c r="J28" s="545">
        <f t="shared" si="29"/>
        <v>0</v>
      </c>
      <c r="K28" s="546">
        <f t="shared" si="30"/>
        <v>0</v>
      </c>
      <c r="L28" s="539">
        <v>0</v>
      </c>
      <c r="M28" s="542">
        <f t="shared" si="31"/>
        <v>0</v>
      </c>
      <c r="N28" s="542">
        <f t="shared" si="32"/>
        <v>0</v>
      </c>
      <c r="O28" s="539">
        <v>0</v>
      </c>
      <c r="P28" s="543">
        <f t="shared" si="33"/>
        <v>0</v>
      </c>
      <c r="Q28" s="542">
        <f t="shared" si="34"/>
        <v>0</v>
      </c>
      <c r="R28" s="543">
        <f ca="1">IFERROR(__xludf.DUMMYFUNCTION("IMPORTRANGE(""https://docs.google.com/spreadsheets/d/1B0f2xJpZUC6Z0xXnqKlZtEPzsf6L84eP1r1Q15seqRM/edit?usp=sharing"",""สุโขทัย!Q759"")"),1018160)</f>
        <v>1018160</v>
      </c>
      <c r="S28" s="542">
        <f ca="1">IFERROR(__xludf.DUMMYFUNCTION("IMPORTRANGE(""https://docs.google.com/spreadsheets/d/1B0f2xJpZUC6Z0xXnqKlZtEPzsf6L84eP1r1Q15seqRM/edit?usp=sharing"",""สุโขทัย!R759"")"),0)</f>
        <v>0</v>
      </c>
      <c r="T28" s="543">
        <f ca="1">IFERROR(__xludf.DUMMYFUNCTION("IMPORTRANGE(""https://docs.google.com/spreadsheets/d/1B0f2xJpZUC6Z0xXnqKlZtEPzsf6L84eP1r1Q15seqRM/edit?usp=sharing"",""สุโขทัย!S759"")"),0)</f>
        <v>0</v>
      </c>
      <c r="U28" s="542">
        <f t="shared" ca="1" si="36"/>
        <v>0</v>
      </c>
      <c r="V28" s="542">
        <f t="shared" ca="1" si="37"/>
        <v>0</v>
      </c>
      <c r="W28" s="353">
        <f ca="1">IFERROR(__xludf.DUMMYFUNCTION("IMPORTRANGE(""https://docs.google.com/spreadsheets/d/1B0f2xJpZUC6Z0xXnqKlZtEPzsf6L84eP1r1Q15seqRM/edit?usp=sharing"",""สุโขทัย!I769"")"),0)</f>
        <v>0</v>
      </c>
      <c r="X28" s="177">
        <f ca="1">IFERROR(__xludf.DUMMYFUNCTION("IMPORTRANGE(""https://docs.google.com/spreadsheets/d/1B0f2xJpZUC6Z0xXnqKlZtEPzsf6L84eP1r1Q15seqRM/edit?usp=sharing"",""สุโขทัย!J769"")"),0)</f>
        <v>0</v>
      </c>
      <c r="Y28" s="354">
        <f t="shared" ca="1" si="39"/>
        <v>0</v>
      </c>
      <c r="Z28" s="177">
        <f ca="1">IFERROR(__xludf.DUMMYFUNCTION("IMPORTRANGE(""https://docs.google.com/spreadsheets/d/1B0f2xJpZUC6Z0xXnqKlZtEPzsf6L84eP1r1Q15seqRM/edit?usp=sharing"",""สุโขทัย!I771"")"),146)</f>
        <v>146</v>
      </c>
      <c r="AA28" s="177">
        <f ca="1">IFERROR(__xludf.DUMMYFUNCTION("IMPORTRANGE(""https://docs.google.com/spreadsheets/d/1B0f2xJpZUC6Z0xXnqKlZtEPzsf6L84eP1r1Q15seqRM/edit?usp=sharing"",""สุโขทัย!J771"")"),0)</f>
        <v>0</v>
      </c>
      <c r="AB28" s="354">
        <f t="shared" ca="1" si="41"/>
        <v>0</v>
      </c>
      <c r="AC28" s="177">
        <f ca="1">IFERROR(__xludf.DUMMYFUNCTION("IMPORTRANGE(""https://docs.google.com/spreadsheets/d/1B0f2xJpZUC6Z0xXnqKlZtEPzsf6L84eP1r1Q15seqRM/edit?usp=sharing"",""สุโขทัย!I773"")"),509)</f>
        <v>509</v>
      </c>
      <c r="AD28" s="177">
        <f ca="1">IFERROR(__xludf.DUMMYFUNCTION("IMPORTRANGE(""https://docs.google.com/spreadsheets/d/1B0f2xJpZUC6Z0xXnqKlZtEPzsf6L84eP1r1Q15seqRM/edit?usp=sharing"",""สุโขทัย!J773"")"),0)</f>
        <v>0</v>
      </c>
      <c r="AE28" s="354">
        <f t="shared" ca="1" si="43"/>
        <v>0</v>
      </c>
      <c r="AF28" s="177">
        <f ca="1">IFERROR(__xludf.DUMMYFUNCTION("IMPORTRANGE(""https://docs.google.com/spreadsheets/d/1B0f2xJpZUC6Z0xXnqKlZtEPzsf6L84eP1r1Q15seqRM/edit?usp=sharing"",""สุโขทัย!I774"")"),509)</f>
        <v>509</v>
      </c>
      <c r="AG28" s="177">
        <f ca="1">IFERROR(__xludf.DUMMYFUNCTION("IMPORTRANGE(""https://docs.google.com/spreadsheets/d/1B0f2xJpZUC6Z0xXnqKlZtEPzsf6L84eP1r1Q15seqRM/edit?usp=sharing"",""สุโขทัย!I775"")"),146)</f>
        <v>146</v>
      </c>
      <c r="AH28" s="177">
        <f ca="1">IFERROR(__xludf.DUMMYFUNCTION("IMPORTRANGE(""https://docs.google.com/spreadsheets/d/1B0f2xJpZUC6Z0xXnqKlZtEPzsf6L84eP1r1Q15seqRM/edit?usp=sharing"",""สุโขทัย!J774"")"),0)</f>
        <v>0</v>
      </c>
      <c r="AI28" s="354">
        <f t="shared" ca="1" si="45"/>
        <v>0</v>
      </c>
      <c r="AJ28" s="177">
        <f ca="1">IFERROR(__xludf.DUMMYFUNCTION("IMPORTRANGE(""https://docs.google.com/spreadsheets/d/1B0f2xJpZUC6Z0xXnqKlZtEPzsf6L84eP1r1Q15seqRM/edit?usp=sharing"",""สุโขทัย!J775"")"),0)</f>
        <v>0</v>
      </c>
      <c r="AK28" s="354">
        <f t="shared" ca="1" si="46"/>
        <v>0</v>
      </c>
    </row>
    <row r="29" spans="1:37" ht="19.5" x14ac:dyDescent="0.3">
      <c r="A29" s="535">
        <v>16</v>
      </c>
      <c r="B29" s="536" t="s">
        <v>55</v>
      </c>
      <c r="C29" s="537">
        <f t="shared" si="27"/>
        <v>0</v>
      </c>
      <c r="D29" s="538">
        <f t="shared" si="47"/>
        <v>0</v>
      </c>
      <c r="E29" s="539">
        <v>0</v>
      </c>
      <c r="F29" s="539">
        <v>0</v>
      </c>
      <c r="G29" s="539">
        <v>0</v>
      </c>
      <c r="H29" s="539">
        <v>0</v>
      </c>
      <c r="I29" s="539">
        <v>0</v>
      </c>
      <c r="J29" s="545">
        <f t="shared" si="29"/>
        <v>0</v>
      </c>
      <c r="K29" s="546">
        <f t="shared" si="30"/>
        <v>0</v>
      </c>
      <c r="L29" s="539">
        <v>0</v>
      </c>
      <c r="M29" s="542">
        <f t="shared" si="31"/>
        <v>0</v>
      </c>
      <c r="N29" s="542">
        <f t="shared" si="32"/>
        <v>0</v>
      </c>
      <c r="O29" s="539">
        <v>0</v>
      </c>
      <c r="P29" s="543">
        <f t="shared" si="33"/>
        <v>0</v>
      </c>
      <c r="Q29" s="542">
        <f t="shared" si="34"/>
        <v>0</v>
      </c>
      <c r="R29" s="543">
        <f ca="1">IFERROR(__xludf.DUMMYFUNCTION("IMPORTRANGE(""https://docs.google.com/spreadsheets/d/1v0b9pFQCsKUVExMei7AgY2yQkdeNQvtOssygGsXbiKo/edit?usp=sharing"",""อุตรดิตถ์!Q759"")"),398800)</f>
        <v>398800</v>
      </c>
      <c r="S29" s="542">
        <f ca="1">IFERROR(__xludf.DUMMYFUNCTION("IMPORTRANGE(""https://docs.google.com/spreadsheets/d/1v0b9pFQCsKUVExMei7AgY2yQkdeNQvtOssygGsXbiKo/edit?usp=sharing"",""อุตรดิตถ์!R759"")"),0)</f>
        <v>0</v>
      </c>
      <c r="T29" s="543">
        <f ca="1">IFERROR(__xludf.DUMMYFUNCTION("IMPORTRANGE(""https://docs.google.com/spreadsheets/d/1v0b9pFQCsKUVExMei7AgY2yQkdeNQvtOssygGsXbiKo/edit?usp=sharing"",""อุตรดิตถ์!S759"")"),0)</f>
        <v>0</v>
      </c>
      <c r="U29" s="542">
        <f t="shared" ca="1" si="36"/>
        <v>0</v>
      </c>
      <c r="V29" s="542">
        <f t="shared" ca="1" si="37"/>
        <v>0</v>
      </c>
      <c r="W29" s="353">
        <f ca="1">IFERROR(__xludf.DUMMYFUNCTION("IMPORTRANGE(""https://docs.google.com/spreadsheets/d/1v0b9pFQCsKUVExMei7AgY2yQkdeNQvtOssygGsXbiKo/edit?usp=sharing"",""อุตรดิตถ์!I769"")"),0)</f>
        <v>0</v>
      </c>
      <c r="X29" s="177">
        <f ca="1">IFERROR(__xludf.DUMMYFUNCTION("IMPORTRANGE(""https://docs.google.com/spreadsheets/d/1v0b9pFQCsKUVExMei7AgY2yQkdeNQvtOssygGsXbiKo/edit?usp=sharing"",""อุตรดิตถ์!J769"")"),0)</f>
        <v>0</v>
      </c>
      <c r="Y29" s="354">
        <f t="shared" ca="1" si="39"/>
        <v>0</v>
      </c>
      <c r="Z29" s="177">
        <f ca="1">IFERROR(__xludf.DUMMYFUNCTION("IMPORTRANGE(""https://docs.google.com/spreadsheets/d/1v0b9pFQCsKUVExMei7AgY2yQkdeNQvtOssygGsXbiKo/edit?usp=sharing"",""อุตรดิตถ์!I771"")"),50)</f>
        <v>50</v>
      </c>
      <c r="AA29" s="177">
        <f ca="1">IFERROR(__xludf.DUMMYFUNCTION("IMPORTRANGE(""https://docs.google.com/spreadsheets/d/1v0b9pFQCsKUVExMei7AgY2yQkdeNQvtOssygGsXbiKo/edit?usp=sharing"",""อุตรดิตถ์!J771"")"),0)</f>
        <v>0</v>
      </c>
      <c r="AB29" s="354">
        <f t="shared" ca="1" si="41"/>
        <v>0</v>
      </c>
      <c r="AC29" s="177">
        <f ca="1">IFERROR(__xludf.DUMMYFUNCTION("IMPORTRANGE(""https://docs.google.com/spreadsheets/d/1v0b9pFQCsKUVExMei7AgY2yQkdeNQvtOssygGsXbiKo/edit?usp=sharing"",""อุตรดิตถ์!I773"")"),100)</f>
        <v>100</v>
      </c>
      <c r="AD29" s="177">
        <f ca="1">IFERROR(__xludf.DUMMYFUNCTION("IMPORTRANGE(""https://docs.google.com/spreadsheets/d/1v0b9pFQCsKUVExMei7AgY2yQkdeNQvtOssygGsXbiKo/edit?usp=sharing"",""อุตรดิตถ์!J773"")"),0)</f>
        <v>0</v>
      </c>
      <c r="AE29" s="354">
        <f t="shared" ca="1" si="43"/>
        <v>0</v>
      </c>
      <c r="AF29" s="177">
        <f ca="1">IFERROR(__xludf.DUMMYFUNCTION("IMPORTRANGE(""https://docs.google.com/spreadsheets/d/1v0b9pFQCsKUVExMei7AgY2yQkdeNQvtOssygGsXbiKo/edit?usp=sharing"",""อุตรดิตถ์!I774"")"),100)</f>
        <v>100</v>
      </c>
      <c r="AG29" s="177">
        <f ca="1">IFERROR(__xludf.DUMMYFUNCTION("IMPORTRANGE(""https://docs.google.com/spreadsheets/d/1v0b9pFQCsKUVExMei7AgY2yQkdeNQvtOssygGsXbiKo/edit?usp=sharing"",""อุตรดิตถ์!I775"")"),50)</f>
        <v>50</v>
      </c>
      <c r="AH29" s="177">
        <f ca="1">IFERROR(__xludf.DUMMYFUNCTION("IMPORTRANGE(""https://docs.google.com/spreadsheets/d/1v0b9pFQCsKUVExMei7AgY2yQkdeNQvtOssygGsXbiKo/edit?usp=sharing"",""อุตรดิตถ์!J774"")"),0)</f>
        <v>0</v>
      </c>
      <c r="AI29" s="354">
        <f t="shared" ca="1" si="45"/>
        <v>0</v>
      </c>
      <c r="AJ29" s="177">
        <f ca="1">IFERROR(__xludf.DUMMYFUNCTION("IMPORTRANGE(""https://docs.google.com/spreadsheets/d/1v0b9pFQCsKUVExMei7AgY2yQkdeNQvtOssygGsXbiKo/edit?usp=sharing"",""อุตรดิตถ์!J775"")"),0)</f>
        <v>0</v>
      </c>
      <c r="AK29" s="354">
        <f t="shared" ca="1" si="46"/>
        <v>0</v>
      </c>
    </row>
    <row r="30" spans="1:37" ht="19.5" x14ac:dyDescent="0.3">
      <c r="A30" s="548">
        <v>17</v>
      </c>
      <c r="B30" s="549" t="s">
        <v>56</v>
      </c>
      <c r="C30" s="550">
        <f t="shared" si="27"/>
        <v>0</v>
      </c>
      <c r="D30" s="551">
        <f t="shared" si="47"/>
        <v>0</v>
      </c>
      <c r="E30" s="552">
        <v>0</v>
      </c>
      <c r="F30" s="552">
        <v>0</v>
      </c>
      <c r="G30" s="552">
        <v>0</v>
      </c>
      <c r="H30" s="552">
        <v>0</v>
      </c>
      <c r="I30" s="552">
        <v>0</v>
      </c>
      <c r="J30" s="553">
        <f t="shared" si="29"/>
        <v>0</v>
      </c>
      <c r="K30" s="554">
        <f t="shared" si="30"/>
        <v>0</v>
      </c>
      <c r="L30" s="552">
        <v>0</v>
      </c>
      <c r="M30" s="555">
        <f t="shared" si="31"/>
        <v>0</v>
      </c>
      <c r="N30" s="555">
        <f t="shared" si="32"/>
        <v>0</v>
      </c>
      <c r="O30" s="552">
        <v>0</v>
      </c>
      <c r="P30" s="556">
        <f t="shared" si="33"/>
        <v>0</v>
      </c>
      <c r="Q30" s="555">
        <f t="shared" si="34"/>
        <v>0</v>
      </c>
      <c r="R30" s="556">
        <f ca="1">IFERROR(__xludf.DUMMYFUNCTION("IMPORTRANGE(""https://docs.google.com/spreadsheets/d/1UsNK1e-WWiCo2PvGqdNfdme4m17_Ezd3J69EeeiQPD0/edit?usp=sharing"",""อุทัยธานี!Q759"")"),460700)</f>
        <v>460700</v>
      </c>
      <c r="S30" s="555">
        <f ca="1">IFERROR(__xludf.DUMMYFUNCTION("IMPORTRANGE(""https://docs.google.com/spreadsheets/d/1UsNK1e-WWiCo2PvGqdNfdme4m17_Ezd3J69EeeiQPD0/edit?usp=sharing"",""อุทัยธานี!R759"")"),0)</f>
        <v>0</v>
      </c>
      <c r="T30" s="556">
        <f ca="1">IFERROR(__xludf.DUMMYFUNCTION("IMPORTRANGE(""https://docs.google.com/spreadsheets/d/1UsNK1e-WWiCo2PvGqdNfdme4m17_Ezd3J69EeeiQPD0/edit?usp=sharing"",""อุทัยธานี!S759"")"),0)</f>
        <v>0</v>
      </c>
      <c r="U30" s="555">
        <f t="shared" ca="1" si="36"/>
        <v>0</v>
      </c>
      <c r="V30" s="555">
        <f t="shared" ca="1" si="37"/>
        <v>0</v>
      </c>
      <c r="W30" s="356">
        <f ca="1">IFERROR(__xludf.DUMMYFUNCTION("IMPORTRANGE(""https://docs.google.com/spreadsheets/d/1UsNK1e-WWiCo2PvGqdNfdme4m17_Ezd3J69EeeiQPD0/edit?usp=sharing"",""อุทัยธานี!I769"")"),0)</f>
        <v>0</v>
      </c>
      <c r="X30" s="186">
        <f ca="1">IFERROR(__xludf.DUMMYFUNCTION("IMPORTRANGE(""https://docs.google.com/spreadsheets/d/1UsNK1e-WWiCo2PvGqdNfdme4m17_Ezd3J69EeeiQPD0/edit?usp=sharing"",""อุทัยธานี!J769"")"),0)</f>
        <v>0</v>
      </c>
      <c r="Y30" s="357">
        <f t="shared" ca="1" si="39"/>
        <v>0</v>
      </c>
      <c r="Z30" s="186">
        <f ca="1">IFERROR(__xludf.DUMMYFUNCTION("IMPORTRANGE(""https://docs.google.com/spreadsheets/d/1UsNK1e-WWiCo2PvGqdNfdme4m17_Ezd3J69EeeiQPD0/edit?usp=sharing"",""อุทัยธานี!I771"")"),80)</f>
        <v>80</v>
      </c>
      <c r="AA30" s="186">
        <f ca="1">IFERROR(__xludf.DUMMYFUNCTION("IMPORTRANGE(""https://docs.google.com/spreadsheets/d/1UsNK1e-WWiCo2PvGqdNfdme4m17_Ezd3J69EeeiQPD0/edit?usp=sharing"",""อุทัยธานี!J771"")"),0)</f>
        <v>0</v>
      </c>
      <c r="AB30" s="357">
        <f t="shared" ca="1" si="41"/>
        <v>0</v>
      </c>
      <c r="AC30" s="186">
        <f ca="1">IFERROR(__xludf.DUMMYFUNCTION("IMPORTRANGE(""https://docs.google.com/spreadsheets/d/1UsNK1e-WWiCo2PvGqdNfdme4m17_Ezd3J69EeeiQPD0/edit?usp=sharing"",""อุทัยธานี!I773"")"),120)</f>
        <v>120</v>
      </c>
      <c r="AD30" s="186">
        <f ca="1">IFERROR(__xludf.DUMMYFUNCTION("IMPORTRANGE(""https://docs.google.com/spreadsheets/d/1UsNK1e-WWiCo2PvGqdNfdme4m17_Ezd3J69EeeiQPD0/edit?usp=sharing"",""อุทัยธานี!J773"")"),0)</f>
        <v>0</v>
      </c>
      <c r="AE30" s="357">
        <f t="shared" ca="1" si="43"/>
        <v>0</v>
      </c>
      <c r="AF30" s="186">
        <f ca="1">IFERROR(__xludf.DUMMYFUNCTION("IMPORTRANGE(""https://docs.google.com/spreadsheets/d/1UsNK1e-WWiCo2PvGqdNfdme4m17_Ezd3J69EeeiQPD0/edit?usp=sharing"",""อุทัยธานี!I774"")"),120)</f>
        <v>120</v>
      </c>
      <c r="AG30" s="186">
        <f ca="1">IFERROR(__xludf.DUMMYFUNCTION("IMPORTRANGE(""https://docs.google.com/spreadsheets/d/1UsNK1e-WWiCo2PvGqdNfdme4m17_Ezd3J69EeeiQPD0/edit?usp=sharing"",""อุทัยธานี!I775"")"),80)</f>
        <v>80</v>
      </c>
      <c r="AH30" s="186">
        <f ca="1">IFERROR(__xludf.DUMMYFUNCTION("IMPORTRANGE(""https://docs.google.com/spreadsheets/d/1UsNK1e-WWiCo2PvGqdNfdme4m17_Ezd3J69EeeiQPD0/edit?usp=sharing"",""อุทัยธานี!J774"")"),0)</f>
        <v>0</v>
      </c>
      <c r="AI30" s="357">
        <f t="shared" ca="1" si="45"/>
        <v>0</v>
      </c>
      <c r="AJ30" s="186">
        <f ca="1">IFERROR(__xludf.DUMMYFUNCTION("IMPORTRANGE(""https://docs.google.com/spreadsheets/d/1UsNK1e-WWiCo2PvGqdNfdme4m17_Ezd3J69EeeiQPD0/edit?usp=sharing"",""อุทัยธานี!J775"")"),0)</f>
        <v>0</v>
      </c>
      <c r="AK30" s="357">
        <f t="shared" ca="1" si="46"/>
        <v>0</v>
      </c>
    </row>
    <row r="31" spans="1:37" ht="19.5" x14ac:dyDescent="0.3">
      <c r="A31" s="636" t="s">
        <v>57</v>
      </c>
      <c r="B31" s="633"/>
      <c r="C31" s="490">
        <f t="shared" si="27"/>
        <v>0</v>
      </c>
      <c r="D31" s="490">
        <f t="shared" ref="D31:I31" si="48">SUM(D32:D51)</f>
        <v>0</v>
      </c>
      <c r="E31" s="490">
        <f t="shared" si="48"/>
        <v>0</v>
      </c>
      <c r="F31" s="490">
        <f t="shared" si="48"/>
        <v>0</v>
      </c>
      <c r="G31" s="490">
        <f t="shared" si="48"/>
        <v>0</v>
      </c>
      <c r="H31" s="490">
        <f t="shared" si="48"/>
        <v>0</v>
      </c>
      <c r="I31" s="490">
        <f t="shared" si="48"/>
        <v>0</v>
      </c>
      <c r="J31" s="490">
        <f t="shared" si="29"/>
        <v>0</v>
      </c>
      <c r="K31" s="522">
        <f t="shared" si="30"/>
        <v>0</v>
      </c>
      <c r="L31" s="490">
        <f>SUM(L32:L51)</f>
        <v>0</v>
      </c>
      <c r="M31" s="491">
        <f t="shared" si="31"/>
        <v>0</v>
      </c>
      <c r="N31" s="491">
        <f t="shared" si="32"/>
        <v>0</v>
      </c>
      <c r="O31" s="523">
        <f>SUM(O32:O51)</f>
        <v>0</v>
      </c>
      <c r="P31" s="523">
        <f t="shared" si="33"/>
        <v>0</v>
      </c>
      <c r="Q31" s="491">
        <f t="shared" si="34"/>
        <v>0</v>
      </c>
      <c r="R31" s="523">
        <f t="shared" ref="R31:T31" ca="1" si="49">SUM(R32:R51)</f>
        <v>11984380</v>
      </c>
      <c r="S31" s="491">
        <f t="shared" ca="1" si="49"/>
        <v>0</v>
      </c>
      <c r="T31" s="523">
        <f t="shared" ca="1" si="49"/>
        <v>121101</v>
      </c>
      <c r="U31" s="491">
        <f t="shared" ca="1" si="36"/>
        <v>1.010490321568575</v>
      </c>
      <c r="V31" s="491">
        <f t="shared" ca="1" si="37"/>
        <v>0</v>
      </c>
      <c r="W31" s="348">
        <f t="shared" ref="W31:X31" ca="1" si="50">SUM(W32:W51)</f>
        <v>0</v>
      </c>
      <c r="X31" s="451">
        <f t="shared" ca="1" si="50"/>
        <v>0</v>
      </c>
      <c r="Y31" s="40">
        <f t="shared" ca="1" si="39"/>
        <v>0</v>
      </c>
      <c r="Z31" s="451">
        <f t="shared" ref="Z31:AA31" ca="1" si="51">SUM(Z32:Z51)</f>
        <v>1460</v>
      </c>
      <c r="AA31" s="451">
        <f t="shared" ca="1" si="51"/>
        <v>0</v>
      </c>
      <c r="AB31" s="40">
        <f t="shared" ca="1" si="41"/>
        <v>0</v>
      </c>
      <c r="AC31" s="451">
        <f t="shared" ref="AC31:AD31" ca="1" si="52">SUM(AC32:AC51)</f>
        <v>5255</v>
      </c>
      <c r="AD31" s="451">
        <f t="shared" ca="1" si="52"/>
        <v>0</v>
      </c>
      <c r="AE31" s="40">
        <f t="shared" ca="1" si="43"/>
        <v>0</v>
      </c>
      <c r="AF31" s="451">
        <f t="shared" ref="AF31:AH31" ca="1" si="53">SUM(AF32:AF51)</f>
        <v>5255</v>
      </c>
      <c r="AG31" s="451">
        <f t="shared" ca="1" si="53"/>
        <v>1460</v>
      </c>
      <c r="AH31" s="451">
        <f t="shared" ca="1" si="53"/>
        <v>0</v>
      </c>
      <c r="AI31" s="40">
        <f t="shared" ca="1" si="45"/>
        <v>0</v>
      </c>
      <c r="AJ31" s="451">
        <f ca="1">SUM(AJ32:AJ51)</f>
        <v>0</v>
      </c>
      <c r="AK31" s="40">
        <f t="shared" ca="1" si="46"/>
        <v>0</v>
      </c>
    </row>
    <row r="32" spans="1:37" ht="19.5" x14ac:dyDescent="0.3">
      <c r="A32" s="535">
        <v>1</v>
      </c>
      <c r="B32" s="536" t="s">
        <v>58</v>
      </c>
      <c r="C32" s="537">
        <f t="shared" si="27"/>
        <v>0</v>
      </c>
      <c r="D32" s="538">
        <f t="shared" ref="D32:D51" si="54">+E32+F32</f>
        <v>0</v>
      </c>
      <c r="E32" s="539">
        <v>0</v>
      </c>
      <c r="F32" s="539">
        <v>0</v>
      </c>
      <c r="G32" s="540">
        <v>0</v>
      </c>
      <c r="H32" s="540">
        <v>0</v>
      </c>
      <c r="I32" s="540">
        <v>0</v>
      </c>
      <c r="J32" s="496">
        <f t="shared" si="29"/>
        <v>0</v>
      </c>
      <c r="K32" s="541">
        <f t="shared" si="30"/>
        <v>0</v>
      </c>
      <c r="L32" s="540">
        <v>0</v>
      </c>
      <c r="M32" s="542">
        <f t="shared" si="31"/>
        <v>0</v>
      </c>
      <c r="N32" s="542">
        <f t="shared" si="32"/>
        <v>0</v>
      </c>
      <c r="O32" s="539">
        <v>0</v>
      </c>
      <c r="P32" s="543">
        <f t="shared" si="33"/>
        <v>0</v>
      </c>
      <c r="Q32" s="542">
        <f t="shared" si="34"/>
        <v>0</v>
      </c>
      <c r="R32" s="543">
        <f ca="1">IFERROR(__xludf.DUMMYFUNCTION("IMPORTRANGE(""https://docs.google.com/spreadsheets/d/1yhBcrRPreicbMKl9Bu_Snb2-OcQAF62RKfhTLhJ2eAA/edit?usp=sharing"",""กาฬสินธุ์!Q759"")"),595100)</f>
        <v>595100</v>
      </c>
      <c r="S32" s="542">
        <f ca="1">IFERROR(__xludf.DUMMYFUNCTION("IMPORTRANGE(""https://docs.google.com/spreadsheets/d/1yhBcrRPreicbMKl9Bu_Snb2-OcQAF62RKfhTLhJ2eAA/edit?usp=sharing"",""กาฬสินธุ์!R759"")"),0)</f>
        <v>0</v>
      </c>
      <c r="T32" s="543">
        <f ca="1">IFERROR(__xludf.DUMMYFUNCTION("IMPORTRANGE(""https://docs.google.com/spreadsheets/d/1yhBcrRPreicbMKl9Bu_Snb2-OcQAF62RKfhTLhJ2eAA/edit?usp=sharing"",""กาฬสินธุ์!S759"")"),0)</f>
        <v>0</v>
      </c>
      <c r="U32" s="542">
        <f t="shared" ca="1" si="36"/>
        <v>0</v>
      </c>
      <c r="V32" s="542">
        <f t="shared" ca="1" si="37"/>
        <v>0</v>
      </c>
      <c r="W32" s="353">
        <f ca="1">IFERROR(__xludf.DUMMYFUNCTION("IMPORTRANGE(""https://docs.google.com/spreadsheets/d/1yhBcrRPreicbMKl9Bu_Snb2-OcQAF62RKfhTLhJ2eAA/edit?usp=sharing"",""กาฬสินธุ์!I769"")"),0)</f>
        <v>0</v>
      </c>
      <c r="X32" s="177">
        <f ca="1">IFERROR(__xludf.DUMMYFUNCTION("IMPORTRANGE(""https://docs.google.com/spreadsheets/d/1yhBcrRPreicbMKl9Bu_Snb2-OcQAF62RKfhTLhJ2eAA/edit?usp=sharing"",""กาฬสินธุ์!J769"")"),0)</f>
        <v>0</v>
      </c>
      <c r="Y32" s="354">
        <f t="shared" ca="1" si="39"/>
        <v>0</v>
      </c>
      <c r="Z32" s="177">
        <f ca="1">IFERROR(__xludf.DUMMYFUNCTION("IMPORTRANGE(""https://docs.google.com/spreadsheets/d/1yhBcrRPreicbMKl9Bu_Snb2-OcQAF62RKfhTLhJ2eAA/edit?usp=sharing"",""กาฬสินธุ์!I771"")"),60)</f>
        <v>60</v>
      </c>
      <c r="AA32" s="177">
        <f ca="1">IFERROR(__xludf.DUMMYFUNCTION("IMPORTRANGE(""https://docs.google.com/spreadsheets/d/1yhBcrRPreicbMKl9Bu_Snb2-OcQAF62RKfhTLhJ2eAA/edit?usp=sharing"",""กาฬสินธุ์!J771"")"),0)</f>
        <v>0</v>
      </c>
      <c r="AB32" s="354">
        <f t="shared" ca="1" si="41"/>
        <v>0</v>
      </c>
      <c r="AC32" s="177">
        <f ca="1">IFERROR(__xludf.DUMMYFUNCTION("IMPORTRANGE(""https://docs.google.com/spreadsheets/d/1yhBcrRPreicbMKl9Bu_Snb2-OcQAF62RKfhTLhJ2eAA/edit?usp=sharing"",""กาฬสินธุ์!I773"")"),300)</f>
        <v>300</v>
      </c>
      <c r="AD32" s="177">
        <f ca="1">IFERROR(__xludf.DUMMYFUNCTION("IMPORTRANGE(""https://docs.google.com/spreadsheets/d/1yhBcrRPreicbMKl9Bu_Snb2-OcQAF62RKfhTLhJ2eAA/edit?usp=sharing"",""กาฬสินธุ์!J773"")"),0)</f>
        <v>0</v>
      </c>
      <c r="AE32" s="354">
        <f t="shared" ca="1" si="43"/>
        <v>0</v>
      </c>
      <c r="AF32" s="177">
        <f ca="1">IFERROR(__xludf.DUMMYFUNCTION("IMPORTRANGE(""https://docs.google.com/spreadsheets/d/1yhBcrRPreicbMKl9Bu_Snb2-OcQAF62RKfhTLhJ2eAA/edit?usp=sharing"",""กาฬสินธุ์!I774"")"),300)</f>
        <v>300</v>
      </c>
      <c r="AG32" s="177">
        <f ca="1">IFERROR(__xludf.DUMMYFUNCTION("IMPORTRANGE(""https://docs.google.com/spreadsheets/d/1yhBcrRPreicbMKl9Bu_Snb2-OcQAF62RKfhTLhJ2eAA/edit?usp=sharing"",""กาฬสินธุ์!I775"")"),60)</f>
        <v>60</v>
      </c>
      <c r="AH32" s="177">
        <f ca="1">IFERROR(__xludf.DUMMYFUNCTION("IMPORTRANGE(""https://docs.google.com/spreadsheets/d/1yhBcrRPreicbMKl9Bu_Snb2-OcQAF62RKfhTLhJ2eAA/edit?usp=sharing"",""กาฬสินธุ์!J774"")"),0)</f>
        <v>0</v>
      </c>
      <c r="AI32" s="354">
        <f t="shared" ca="1" si="45"/>
        <v>0</v>
      </c>
      <c r="AJ32" s="177">
        <f ca="1">IFERROR(__xludf.DUMMYFUNCTION("IMPORTRANGE(""https://docs.google.com/spreadsheets/d/1yhBcrRPreicbMKl9Bu_Snb2-OcQAF62RKfhTLhJ2eAA/edit?usp=sharing"",""กาฬสินธุ์!J775"")"),0)</f>
        <v>0</v>
      </c>
      <c r="AK32" s="354">
        <f t="shared" ca="1" si="46"/>
        <v>0</v>
      </c>
    </row>
    <row r="33" spans="1:37" ht="19.5" x14ac:dyDescent="0.3">
      <c r="A33" s="535">
        <v>2</v>
      </c>
      <c r="B33" s="536" t="s">
        <v>59</v>
      </c>
      <c r="C33" s="537">
        <f t="shared" si="27"/>
        <v>0</v>
      </c>
      <c r="D33" s="538">
        <f t="shared" si="54"/>
        <v>0</v>
      </c>
      <c r="E33" s="539">
        <v>0</v>
      </c>
      <c r="F33" s="539">
        <v>0</v>
      </c>
      <c r="G33" s="539">
        <v>0</v>
      </c>
      <c r="H33" s="539">
        <v>0</v>
      </c>
      <c r="I33" s="539">
        <v>0</v>
      </c>
      <c r="J33" s="545">
        <f t="shared" si="29"/>
        <v>0</v>
      </c>
      <c r="K33" s="546">
        <f t="shared" si="30"/>
        <v>0</v>
      </c>
      <c r="L33" s="539">
        <v>0</v>
      </c>
      <c r="M33" s="542">
        <f t="shared" si="31"/>
        <v>0</v>
      </c>
      <c r="N33" s="542">
        <f t="shared" si="32"/>
        <v>0</v>
      </c>
      <c r="O33" s="539">
        <v>0</v>
      </c>
      <c r="P33" s="543">
        <f t="shared" si="33"/>
        <v>0</v>
      </c>
      <c r="Q33" s="542">
        <f t="shared" si="34"/>
        <v>0</v>
      </c>
      <c r="R33" s="543">
        <f ca="1">IFERROR(__xludf.DUMMYFUNCTION("IMPORTRANGE(""https://docs.google.com/spreadsheets/d/1aHkj4IaQMThhwWwevcOymEh837vdxeC_PycurhTbGFA/edit?usp=sharing"",""ขอนแก่น!Q759"")"),475550)</f>
        <v>475550</v>
      </c>
      <c r="S33" s="542">
        <f ca="1">IFERROR(__xludf.DUMMYFUNCTION("IMPORTRANGE(""https://docs.google.com/spreadsheets/d/1aHkj4IaQMThhwWwevcOymEh837vdxeC_PycurhTbGFA/edit?usp=sharing"",""ขอนแก่น!R759"")"),0)</f>
        <v>0</v>
      </c>
      <c r="T33" s="543">
        <f ca="1">IFERROR(__xludf.DUMMYFUNCTION("IMPORTRANGE(""https://docs.google.com/spreadsheets/d/1aHkj4IaQMThhwWwevcOymEh837vdxeC_PycurhTbGFA/edit?usp=sharing"",""ขอนแก่น!S759"")"),0)</f>
        <v>0</v>
      </c>
      <c r="U33" s="542">
        <f t="shared" ca="1" si="36"/>
        <v>0</v>
      </c>
      <c r="V33" s="542">
        <f t="shared" ca="1" si="37"/>
        <v>0</v>
      </c>
      <c r="W33" s="353">
        <f ca="1">IFERROR(__xludf.DUMMYFUNCTION("IMPORTRANGE(""https://docs.google.com/spreadsheets/d/1aHkj4IaQMThhwWwevcOymEh837vdxeC_PycurhTbGFA/edit?usp=sharing"",""ขอนแก่น!I769"")"),0)</f>
        <v>0</v>
      </c>
      <c r="X33" s="177">
        <f ca="1">IFERROR(__xludf.DUMMYFUNCTION("IMPORTRANGE(""https://docs.google.com/spreadsheets/d/1aHkj4IaQMThhwWwevcOymEh837vdxeC_PycurhTbGFA/edit?usp=sharing"",""ขอนแก่น!J769"")"),0)</f>
        <v>0</v>
      </c>
      <c r="Y33" s="354">
        <f t="shared" ca="1" si="39"/>
        <v>0</v>
      </c>
      <c r="Z33" s="177">
        <f ca="1">IFERROR(__xludf.DUMMYFUNCTION("IMPORTRANGE(""https://docs.google.com/spreadsheets/d/1aHkj4IaQMThhwWwevcOymEh837vdxeC_PycurhTbGFA/edit?usp=sharing"",""ขอนแก่น!I771"")"),75)</f>
        <v>75</v>
      </c>
      <c r="AA33" s="177">
        <f ca="1">IFERROR(__xludf.DUMMYFUNCTION("IMPORTRANGE(""https://docs.google.com/spreadsheets/d/1aHkj4IaQMThhwWwevcOymEh837vdxeC_PycurhTbGFA/edit?usp=sharing"",""ขอนแก่น!J771"")"),0)</f>
        <v>0</v>
      </c>
      <c r="AB33" s="354">
        <f t="shared" ca="1" si="41"/>
        <v>0</v>
      </c>
      <c r="AC33" s="177">
        <f ca="1">IFERROR(__xludf.DUMMYFUNCTION("IMPORTRANGE(""https://docs.google.com/spreadsheets/d/1aHkj4IaQMThhwWwevcOymEh837vdxeC_PycurhTbGFA/edit?usp=sharing"",""ขอนแก่น!I773"")"),135)</f>
        <v>135</v>
      </c>
      <c r="AD33" s="177">
        <f ca="1">IFERROR(__xludf.DUMMYFUNCTION("IMPORTRANGE(""https://docs.google.com/spreadsheets/d/1aHkj4IaQMThhwWwevcOymEh837vdxeC_PycurhTbGFA/edit?usp=sharing"",""ขอนแก่น!J773"")"),0)</f>
        <v>0</v>
      </c>
      <c r="AE33" s="354">
        <f t="shared" ca="1" si="43"/>
        <v>0</v>
      </c>
      <c r="AF33" s="177">
        <f ca="1">IFERROR(__xludf.DUMMYFUNCTION("IMPORTRANGE(""https://docs.google.com/spreadsheets/d/1aHkj4IaQMThhwWwevcOymEh837vdxeC_PycurhTbGFA/edit?usp=sharing"",""ขอนแก่น!I774"")"),135)</f>
        <v>135</v>
      </c>
      <c r="AG33" s="177">
        <f ca="1">IFERROR(__xludf.DUMMYFUNCTION("IMPORTRANGE(""https://docs.google.com/spreadsheets/d/1aHkj4IaQMThhwWwevcOymEh837vdxeC_PycurhTbGFA/edit?usp=sharing"",""ขอนแก่น!I775"")"),75)</f>
        <v>75</v>
      </c>
      <c r="AH33" s="177">
        <f ca="1">IFERROR(__xludf.DUMMYFUNCTION("IMPORTRANGE(""https://docs.google.com/spreadsheets/d/1aHkj4IaQMThhwWwevcOymEh837vdxeC_PycurhTbGFA/edit?usp=sharing"",""ขอนแก่น!J774"")"),0)</f>
        <v>0</v>
      </c>
      <c r="AI33" s="354">
        <f t="shared" ca="1" si="45"/>
        <v>0</v>
      </c>
      <c r="AJ33" s="177">
        <f ca="1">IFERROR(__xludf.DUMMYFUNCTION("IMPORTRANGE(""https://docs.google.com/spreadsheets/d/1aHkj4IaQMThhwWwevcOymEh837vdxeC_PycurhTbGFA/edit?usp=sharing"",""ขอนแก่น!J775"")"),0)</f>
        <v>0</v>
      </c>
      <c r="AK33" s="354">
        <f t="shared" ca="1" si="46"/>
        <v>0</v>
      </c>
    </row>
    <row r="34" spans="1:37" ht="19.5" x14ac:dyDescent="0.3">
      <c r="A34" s="535">
        <v>3</v>
      </c>
      <c r="B34" s="536" t="s">
        <v>60</v>
      </c>
      <c r="C34" s="537">
        <f t="shared" si="27"/>
        <v>0</v>
      </c>
      <c r="D34" s="538">
        <f t="shared" si="54"/>
        <v>0</v>
      </c>
      <c r="E34" s="539">
        <v>0</v>
      </c>
      <c r="F34" s="539">
        <v>0</v>
      </c>
      <c r="G34" s="539">
        <v>0</v>
      </c>
      <c r="H34" s="539">
        <v>0</v>
      </c>
      <c r="I34" s="539">
        <v>0</v>
      </c>
      <c r="J34" s="545">
        <f t="shared" si="29"/>
        <v>0</v>
      </c>
      <c r="K34" s="546">
        <f t="shared" si="30"/>
        <v>0</v>
      </c>
      <c r="L34" s="539">
        <v>0</v>
      </c>
      <c r="M34" s="542">
        <f t="shared" si="31"/>
        <v>0</v>
      </c>
      <c r="N34" s="542">
        <f t="shared" si="32"/>
        <v>0</v>
      </c>
      <c r="O34" s="539">
        <v>0</v>
      </c>
      <c r="P34" s="543">
        <f t="shared" si="33"/>
        <v>0</v>
      </c>
      <c r="Q34" s="542">
        <f t="shared" si="34"/>
        <v>0</v>
      </c>
      <c r="R34" s="543">
        <f ca="1">IFERROR(__xludf.DUMMYFUNCTION("IMPORTRANGE(""https://docs.google.com/spreadsheets/d/1FvTu2DsIWUjP6WCWra38Bkj_oOl_sOMf14r5Fg5srxU/edit?usp=sharing"",""ชัยภูมิ!Q759"")"),0)</f>
        <v>0</v>
      </c>
      <c r="S34" s="542">
        <f ca="1">IFERROR(__xludf.DUMMYFUNCTION("IMPORTRANGE(""https://docs.google.com/spreadsheets/d/1FvTu2DsIWUjP6WCWra38Bkj_oOl_sOMf14r5Fg5srxU/edit?usp=sharing"",""ชัยภูมิ!R759"")"),0)</f>
        <v>0</v>
      </c>
      <c r="T34" s="543">
        <f ca="1">IFERROR(__xludf.DUMMYFUNCTION("IMPORTRANGE(""https://docs.google.com/spreadsheets/d/1FvTu2DsIWUjP6WCWra38Bkj_oOl_sOMf14r5Fg5srxU/edit?usp=sharing"",""ชัยภูมิ!S759"")"),0)</f>
        <v>0</v>
      </c>
      <c r="U34" s="542">
        <f t="shared" ca="1" si="36"/>
        <v>0</v>
      </c>
      <c r="V34" s="542">
        <f t="shared" ca="1" si="37"/>
        <v>0</v>
      </c>
      <c r="W34" s="353">
        <f ca="1">IFERROR(__xludf.DUMMYFUNCTION("IMPORTRANGE(""https://docs.google.com/spreadsheets/d/1FvTu2DsIWUjP6WCWra38Bkj_oOl_sOMf14r5Fg5srxU/edit?usp=sharing"",""ชัยภูมิ!I769"")"),0)</f>
        <v>0</v>
      </c>
      <c r="X34" s="177">
        <f ca="1">IFERROR(__xludf.DUMMYFUNCTION("IMPORTRANGE(""https://docs.google.com/spreadsheets/d/1FvTu2DsIWUjP6WCWra38Bkj_oOl_sOMf14r5Fg5srxU/edit?usp=sharing"",""ชัยภูมิ!J769"")"),0)</f>
        <v>0</v>
      </c>
      <c r="Y34" s="354">
        <f t="shared" ca="1" si="39"/>
        <v>0</v>
      </c>
      <c r="Z34" s="177">
        <f ca="1">IFERROR(__xludf.DUMMYFUNCTION("IMPORTRANGE(""https://docs.google.com/spreadsheets/d/1FvTu2DsIWUjP6WCWra38Bkj_oOl_sOMf14r5Fg5srxU/edit?usp=sharing"",""ชัยภูมิ!I771"")"),0)</f>
        <v>0</v>
      </c>
      <c r="AA34" s="177">
        <f ca="1">IFERROR(__xludf.DUMMYFUNCTION("IMPORTRANGE(""https://docs.google.com/spreadsheets/d/1FvTu2DsIWUjP6WCWra38Bkj_oOl_sOMf14r5Fg5srxU/edit?usp=sharing"",""ชัยภูมิ!J771"")"),0)</f>
        <v>0</v>
      </c>
      <c r="AB34" s="354">
        <f t="shared" ca="1" si="41"/>
        <v>0</v>
      </c>
      <c r="AC34" s="177">
        <f ca="1">IFERROR(__xludf.DUMMYFUNCTION("IMPORTRANGE(""https://docs.google.com/spreadsheets/d/1FvTu2DsIWUjP6WCWra38Bkj_oOl_sOMf14r5Fg5srxU/edit?usp=sharing"",""ชัยภูมิ!I773"")"),0)</f>
        <v>0</v>
      </c>
      <c r="AD34" s="177">
        <f ca="1">IFERROR(__xludf.DUMMYFUNCTION("IMPORTRANGE(""https://docs.google.com/spreadsheets/d/1FvTu2DsIWUjP6WCWra38Bkj_oOl_sOMf14r5Fg5srxU/edit?usp=sharing"",""ชัยภูมิ!J773"")"),0)</f>
        <v>0</v>
      </c>
      <c r="AE34" s="354">
        <f t="shared" ca="1" si="43"/>
        <v>0</v>
      </c>
      <c r="AF34" s="177">
        <f ca="1">IFERROR(__xludf.DUMMYFUNCTION("IMPORTRANGE(""https://docs.google.com/spreadsheets/d/1FvTu2DsIWUjP6WCWra38Bkj_oOl_sOMf14r5Fg5srxU/edit?usp=sharing"",""ชัยภูมิ!I774"")"),0)</f>
        <v>0</v>
      </c>
      <c r="AG34" s="177">
        <f ca="1">IFERROR(__xludf.DUMMYFUNCTION("IMPORTRANGE(""https://docs.google.com/spreadsheets/d/1FvTu2DsIWUjP6WCWra38Bkj_oOl_sOMf14r5Fg5srxU/edit?usp=sharing"",""ชัยภูมิ!I775"")"),0)</f>
        <v>0</v>
      </c>
      <c r="AH34" s="177">
        <f ca="1">IFERROR(__xludf.DUMMYFUNCTION("IMPORTRANGE(""https://docs.google.com/spreadsheets/d/1FvTu2DsIWUjP6WCWra38Bkj_oOl_sOMf14r5Fg5srxU/edit?usp=sharing"",""ชัยภูมิ!J774"")"),0)</f>
        <v>0</v>
      </c>
      <c r="AI34" s="354">
        <f t="shared" ca="1" si="45"/>
        <v>0</v>
      </c>
      <c r="AJ34" s="177">
        <f ca="1">IFERROR(__xludf.DUMMYFUNCTION("IMPORTRANGE(""https://docs.google.com/spreadsheets/d/1FvTu2DsIWUjP6WCWra38Bkj_oOl_sOMf14r5Fg5srxU/edit?usp=sharing"",""ชัยภูมิ!J775"")"),0)</f>
        <v>0</v>
      </c>
      <c r="AK34" s="354">
        <f t="shared" ca="1" si="46"/>
        <v>0</v>
      </c>
    </row>
    <row r="35" spans="1:37" ht="19.5" x14ac:dyDescent="0.3">
      <c r="A35" s="535">
        <v>4</v>
      </c>
      <c r="B35" s="536" t="s">
        <v>61</v>
      </c>
      <c r="C35" s="537">
        <f t="shared" si="27"/>
        <v>0</v>
      </c>
      <c r="D35" s="538">
        <f t="shared" si="54"/>
        <v>0</v>
      </c>
      <c r="E35" s="539">
        <v>0</v>
      </c>
      <c r="F35" s="539">
        <v>0</v>
      </c>
      <c r="G35" s="539">
        <v>0</v>
      </c>
      <c r="H35" s="539">
        <v>0</v>
      </c>
      <c r="I35" s="539">
        <v>0</v>
      </c>
      <c r="J35" s="545">
        <f t="shared" si="29"/>
        <v>0</v>
      </c>
      <c r="K35" s="546">
        <f t="shared" si="30"/>
        <v>0</v>
      </c>
      <c r="L35" s="539">
        <v>0</v>
      </c>
      <c r="M35" s="542">
        <f t="shared" si="31"/>
        <v>0</v>
      </c>
      <c r="N35" s="542">
        <f t="shared" si="32"/>
        <v>0</v>
      </c>
      <c r="O35" s="539">
        <v>0</v>
      </c>
      <c r="P35" s="543">
        <f t="shared" si="33"/>
        <v>0</v>
      </c>
      <c r="Q35" s="542">
        <f t="shared" si="34"/>
        <v>0</v>
      </c>
      <c r="R35" s="543">
        <f ca="1">IFERROR(__xludf.DUMMYFUNCTION("IMPORTRANGE(""https://docs.google.com/spreadsheets/d/1XVB7oCJ3pr-vBUdflwPQ8Z2LlzhnCvZaaYjAfP-647E/edit?usp=sharing"",""นครพนม!Q759"")"),401950)</f>
        <v>401950</v>
      </c>
      <c r="S35" s="542">
        <f ca="1">IFERROR(__xludf.DUMMYFUNCTION("IMPORTRANGE(""https://docs.google.com/spreadsheets/d/1XVB7oCJ3pr-vBUdflwPQ8Z2LlzhnCvZaaYjAfP-647E/edit?usp=sharing"",""นครพนม!R759"")"),0)</f>
        <v>0</v>
      </c>
      <c r="T35" s="543">
        <f ca="1">IFERROR(__xludf.DUMMYFUNCTION("IMPORTRANGE(""https://docs.google.com/spreadsheets/d/1XVB7oCJ3pr-vBUdflwPQ8Z2LlzhnCvZaaYjAfP-647E/edit?usp=sharing"",""นครพนม!S759"")"),0)</f>
        <v>0</v>
      </c>
      <c r="U35" s="542">
        <f t="shared" ca="1" si="36"/>
        <v>0</v>
      </c>
      <c r="V35" s="542">
        <f t="shared" ca="1" si="37"/>
        <v>0</v>
      </c>
      <c r="W35" s="353">
        <f ca="1">IFERROR(__xludf.DUMMYFUNCTION("IMPORTRANGE(""https://docs.google.com/spreadsheets/d/1XVB7oCJ3pr-vBUdflwPQ8Z2LlzhnCvZaaYjAfP-647E/edit?usp=sharing"",""นครพนม!I769"")"),0)</f>
        <v>0</v>
      </c>
      <c r="X35" s="177">
        <f ca="1">IFERROR(__xludf.DUMMYFUNCTION("IMPORTRANGE(""https://docs.google.com/spreadsheets/d/1XVB7oCJ3pr-vBUdflwPQ8Z2LlzhnCvZaaYjAfP-647E/edit?usp=sharing"",""นครพนม!J769"")"),0)</f>
        <v>0</v>
      </c>
      <c r="Y35" s="354">
        <f t="shared" ca="1" si="39"/>
        <v>0</v>
      </c>
      <c r="Z35" s="177">
        <f ca="1">IFERROR(__xludf.DUMMYFUNCTION("IMPORTRANGE(""https://docs.google.com/spreadsheets/d/1XVB7oCJ3pr-vBUdflwPQ8Z2LlzhnCvZaaYjAfP-647E/edit?usp=sharing"",""นครพนม!I771"")"),55)</f>
        <v>55</v>
      </c>
      <c r="AA35" s="177">
        <f ca="1">IFERROR(__xludf.DUMMYFUNCTION("IMPORTRANGE(""https://docs.google.com/spreadsheets/d/1XVB7oCJ3pr-vBUdflwPQ8Z2LlzhnCvZaaYjAfP-647E/edit?usp=sharing"",""นครพนม!J771"")"),0)</f>
        <v>0</v>
      </c>
      <c r="AB35" s="354">
        <f t="shared" ca="1" si="41"/>
        <v>0</v>
      </c>
      <c r="AC35" s="177">
        <f ca="1">IFERROR(__xludf.DUMMYFUNCTION("IMPORTRANGE(""https://docs.google.com/spreadsheets/d/1XVB7oCJ3pr-vBUdflwPQ8Z2LlzhnCvZaaYjAfP-647E/edit?usp=sharing"",""นครพนม!I773"")"),110)</f>
        <v>110</v>
      </c>
      <c r="AD35" s="177">
        <f ca="1">IFERROR(__xludf.DUMMYFUNCTION("IMPORTRANGE(""https://docs.google.com/spreadsheets/d/1XVB7oCJ3pr-vBUdflwPQ8Z2LlzhnCvZaaYjAfP-647E/edit?usp=sharing"",""นครพนม!J773"")"),0)</f>
        <v>0</v>
      </c>
      <c r="AE35" s="354">
        <f t="shared" ca="1" si="43"/>
        <v>0</v>
      </c>
      <c r="AF35" s="177">
        <f ca="1">IFERROR(__xludf.DUMMYFUNCTION("IMPORTRANGE(""https://docs.google.com/spreadsheets/d/1XVB7oCJ3pr-vBUdflwPQ8Z2LlzhnCvZaaYjAfP-647E/edit?usp=sharing"",""นครพนม!I774"")"),110)</f>
        <v>110</v>
      </c>
      <c r="AG35" s="177">
        <f ca="1">IFERROR(__xludf.DUMMYFUNCTION("IMPORTRANGE(""https://docs.google.com/spreadsheets/d/1XVB7oCJ3pr-vBUdflwPQ8Z2LlzhnCvZaaYjAfP-647E/edit?usp=sharing"",""นครพนม!I775"")"),55)</f>
        <v>55</v>
      </c>
      <c r="AH35" s="177">
        <f ca="1">IFERROR(__xludf.DUMMYFUNCTION("IMPORTRANGE(""https://docs.google.com/spreadsheets/d/1XVB7oCJ3pr-vBUdflwPQ8Z2LlzhnCvZaaYjAfP-647E/edit?usp=sharing"",""นครพนม!J774"")"),0)</f>
        <v>0</v>
      </c>
      <c r="AI35" s="354">
        <f t="shared" ca="1" si="45"/>
        <v>0</v>
      </c>
      <c r="AJ35" s="177">
        <f ca="1">IFERROR(__xludf.DUMMYFUNCTION("IMPORTRANGE(""https://docs.google.com/spreadsheets/d/1XVB7oCJ3pr-vBUdflwPQ8Z2LlzhnCvZaaYjAfP-647E/edit?usp=sharing"",""นครพนม!J775"")"),0)</f>
        <v>0</v>
      </c>
      <c r="AK35" s="354">
        <f t="shared" ca="1" si="46"/>
        <v>0</v>
      </c>
    </row>
    <row r="36" spans="1:37" ht="19.5" x14ac:dyDescent="0.3">
      <c r="A36" s="535">
        <v>5</v>
      </c>
      <c r="B36" s="536" t="s">
        <v>62</v>
      </c>
      <c r="C36" s="537">
        <f t="shared" si="27"/>
        <v>0</v>
      </c>
      <c r="D36" s="538">
        <f t="shared" si="54"/>
        <v>0</v>
      </c>
      <c r="E36" s="539">
        <v>0</v>
      </c>
      <c r="F36" s="539">
        <v>0</v>
      </c>
      <c r="G36" s="539">
        <v>0</v>
      </c>
      <c r="H36" s="539">
        <v>0</v>
      </c>
      <c r="I36" s="539">
        <v>0</v>
      </c>
      <c r="J36" s="545">
        <f t="shared" si="29"/>
        <v>0</v>
      </c>
      <c r="K36" s="546">
        <f t="shared" si="30"/>
        <v>0</v>
      </c>
      <c r="L36" s="539">
        <v>0</v>
      </c>
      <c r="M36" s="542">
        <f t="shared" si="31"/>
        <v>0</v>
      </c>
      <c r="N36" s="542">
        <f t="shared" si="32"/>
        <v>0</v>
      </c>
      <c r="O36" s="539">
        <v>0</v>
      </c>
      <c r="P36" s="543">
        <f t="shared" si="33"/>
        <v>0</v>
      </c>
      <c r="Q36" s="542">
        <f t="shared" si="34"/>
        <v>0</v>
      </c>
      <c r="R36" s="543">
        <f ca="1">IFERROR(__xludf.DUMMYFUNCTION("IMPORTRANGE(""https://docs.google.com/spreadsheets/d/1Mnpb-8PYAgn85W6KOTD40hc_Xc55CaLfHoGAbrZ8tls/edit?usp=sharing"",""นครราชสีมา!Q759"")"),622180)</f>
        <v>622180</v>
      </c>
      <c r="S36" s="542">
        <f ca="1">IFERROR(__xludf.DUMMYFUNCTION("IMPORTRANGE(""https://docs.google.com/spreadsheets/d/1Mnpb-8PYAgn85W6KOTD40hc_Xc55CaLfHoGAbrZ8tls/edit?usp=sharing"",""นครราชสีมา!R759"")"),0)</f>
        <v>0</v>
      </c>
      <c r="T36" s="543">
        <f ca="1">IFERROR(__xludf.DUMMYFUNCTION("IMPORTRANGE(""https://docs.google.com/spreadsheets/d/1Mnpb-8PYAgn85W6KOTD40hc_Xc55CaLfHoGAbrZ8tls/edit?usp=sharing"",""นครราชสีมา!S759"")"),68676)</f>
        <v>68676</v>
      </c>
      <c r="U36" s="542">
        <f t="shared" ca="1" si="36"/>
        <v>11.037963290366132</v>
      </c>
      <c r="V36" s="542">
        <f t="shared" ca="1" si="37"/>
        <v>0</v>
      </c>
      <c r="W36" s="355">
        <f ca="1">IFERROR(__xludf.DUMMYFUNCTION("IMPORTRANGE(""https://docs.google.com/spreadsheets/d/1Mnpb-8PYAgn85W6KOTD40hc_Xc55CaLfHoGAbrZ8tls/edit?usp=sharing"",""นครราชสีมา!I769"")"),0)</f>
        <v>0</v>
      </c>
      <c r="X36" s="452">
        <f ca="1">IFERROR(__xludf.DUMMYFUNCTION("IMPORTRANGE(""https://docs.google.com/spreadsheets/d/1Mnpb-8PYAgn85W6KOTD40hc_Xc55CaLfHoGAbrZ8tls/edit?usp=sharing"",""นครราชสีมา!J769"")"),0)</f>
        <v>0</v>
      </c>
      <c r="Y36" s="354">
        <f t="shared" ca="1" si="39"/>
        <v>0</v>
      </c>
      <c r="Z36" s="452">
        <f ca="1">IFERROR(__xludf.DUMMYFUNCTION("IMPORTRANGE(""https://docs.google.com/spreadsheets/d/1Mnpb-8PYAgn85W6KOTD40hc_Xc55CaLfHoGAbrZ8tls/edit?usp=sharing"",""นครราชสีมา!I771"")"),100)</f>
        <v>100</v>
      </c>
      <c r="AA36" s="452">
        <f ca="1">IFERROR(__xludf.DUMMYFUNCTION("IMPORTRANGE(""https://docs.google.com/spreadsheets/d/1Mnpb-8PYAgn85W6KOTD40hc_Xc55CaLfHoGAbrZ8tls/edit?usp=sharing"",""นครราชสีมา!J771"")"),0)</f>
        <v>0</v>
      </c>
      <c r="AB36" s="354">
        <f t="shared" ca="1" si="41"/>
        <v>0</v>
      </c>
      <c r="AC36" s="452">
        <f ca="1">IFERROR(__xludf.DUMMYFUNCTION("IMPORTRANGE(""https://docs.google.com/spreadsheets/d/1Mnpb-8PYAgn85W6KOTD40hc_Xc55CaLfHoGAbrZ8tls/edit?usp=sharing"",""นครราชสีมา!I773"")"),200)</f>
        <v>200</v>
      </c>
      <c r="AD36" s="452">
        <f ca="1">IFERROR(__xludf.DUMMYFUNCTION("IMPORTRANGE(""https://docs.google.com/spreadsheets/d/1Mnpb-8PYAgn85W6KOTD40hc_Xc55CaLfHoGAbrZ8tls/edit?usp=sharing"",""นครราชสีมา!J773"")"),0)</f>
        <v>0</v>
      </c>
      <c r="AE36" s="354">
        <f t="shared" ca="1" si="43"/>
        <v>0</v>
      </c>
      <c r="AF36" s="452">
        <f ca="1">IFERROR(__xludf.DUMMYFUNCTION("IMPORTRANGE(""https://docs.google.com/spreadsheets/d/1Mnpb-8PYAgn85W6KOTD40hc_Xc55CaLfHoGAbrZ8tls/edit?usp=sharing"",""นครราชสีมา!I774"")"),200)</f>
        <v>200</v>
      </c>
      <c r="AG36" s="452">
        <f ca="1">IFERROR(__xludf.DUMMYFUNCTION("IMPORTRANGE(""https://docs.google.com/spreadsheets/d/1Mnpb-8PYAgn85W6KOTD40hc_Xc55CaLfHoGAbrZ8tls/edit?usp=sharing"",""นครราชสีมา!I775"")"),100)</f>
        <v>100</v>
      </c>
      <c r="AH36" s="452">
        <f ca="1">IFERROR(__xludf.DUMMYFUNCTION("IMPORTRANGE(""https://docs.google.com/spreadsheets/d/1Mnpb-8PYAgn85W6KOTD40hc_Xc55CaLfHoGAbrZ8tls/edit?usp=sharing"",""นครราชสีมา!J774"")"),0)</f>
        <v>0</v>
      </c>
      <c r="AI36" s="354">
        <f t="shared" ca="1" si="45"/>
        <v>0</v>
      </c>
      <c r="AJ36" s="452">
        <f ca="1">IFERROR(__xludf.DUMMYFUNCTION("IMPORTRANGE(""https://docs.google.com/spreadsheets/d/1Mnpb-8PYAgn85W6KOTD40hc_Xc55CaLfHoGAbrZ8tls/edit?usp=sharing"",""นครราชสีมา!J775"")"),0)</f>
        <v>0</v>
      </c>
      <c r="AK36" s="354">
        <f t="shared" ca="1" si="46"/>
        <v>0</v>
      </c>
    </row>
    <row r="37" spans="1:37" ht="19.5" x14ac:dyDescent="0.3">
      <c r="A37" s="535">
        <v>6</v>
      </c>
      <c r="B37" s="536" t="s">
        <v>63</v>
      </c>
      <c r="C37" s="537">
        <f t="shared" si="27"/>
        <v>0</v>
      </c>
      <c r="D37" s="538">
        <f t="shared" si="54"/>
        <v>0</v>
      </c>
      <c r="E37" s="539">
        <v>0</v>
      </c>
      <c r="F37" s="539">
        <v>0</v>
      </c>
      <c r="G37" s="539">
        <v>0</v>
      </c>
      <c r="H37" s="539">
        <v>0</v>
      </c>
      <c r="I37" s="539">
        <v>0</v>
      </c>
      <c r="J37" s="545">
        <f t="shared" si="29"/>
        <v>0</v>
      </c>
      <c r="K37" s="546">
        <f t="shared" si="30"/>
        <v>0</v>
      </c>
      <c r="L37" s="539">
        <v>0</v>
      </c>
      <c r="M37" s="542">
        <f t="shared" si="31"/>
        <v>0</v>
      </c>
      <c r="N37" s="542">
        <f t="shared" si="32"/>
        <v>0</v>
      </c>
      <c r="O37" s="539">
        <v>0</v>
      </c>
      <c r="P37" s="543">
        <f t="shared" si="33"/>
        <v>0</v>
      </c>
      <c r="Q37" s="542">
        <f t="shared" si="34"/>
        <v>0</v>
      </c>
      <c r="R37" s="543">
        <f ca="1">IFERROR(__xludf.DUMMYFUNCTION("IMPORTRANGE(""https://docs.google.com/spreadsheets/d/1xoDLGBv9CYbyosIhki0kTq6IpYNj-gpjxfobnaDiut0/edit?usp=sharing"",""บึงกาฬ!Q759"")"),550180)</f>
        <v>550180</v>
      </c>
      <c r="S37" s="542">
        <f ca="1">IFERROR(__xludf.DUMMYFUNCTION("IMPORTRANGE(""https://docs.google.com/spreadsheets/d/1xoDLGBv9CYbyosIhki0kTq6IpYNj-gpjxfobnaDiut0/edit?usp=sharing"",""บึงกาฬ!R759"")"),0)</f>
        <v>0</v>
      </c>
      <c r="T37" s="543">
        <f ca="1">IFERROR(__xludf.DUMMYFUNCTION("IMPORTRANGE(""https://docs.google.com/spreadsheets/d/1xoDLGBv9CYbyosIhki0kTq6IpYNj-gpjxfobnaDiut0/edit?usp=sharing"",""บึงกาฬ!S759"")"),0)</f>
        <v>0</v>
      </c>
      <c r="U37" s="542">
        <f t="shared" ca="1" si="36"/>
        <v>0</v>
      </c>
      <c r="V37" s="542">
        <f t="shared" ca="1" si="37"/>
        <v>0</v>
      </c>
      <c r="W37" s="353">
        <f ca="1">IFERROR(__xludf.DUMMYFUNCTION("IMPORTRANGE(""https://docs.google.com/spreadsheets/d/1xoDLGBv9CYbyosIhki0kTq6IpYNj-gpjxfobnaDiut0/edit?usp=sharing"",""บึงกาฬ!I769"")"),0)</f>
        <v>0</v>
      </c>
      <c r="X37" s="177">
        <f ca="1">IFERROR(__xludf.DUMMYFUNCTION("IMPORTRANGE(""https://docs.google.com/spreadsheets/d/1xoDLGBv9CYbyosIhki0kTq6IpYNj-gpjxfobnaDiut0/edit?usp=sharing"",""บึงกาฬ!J769"")"),0)</f>
        <v>0</v>
      </c>
      <c r="Y37" s="354">
        <f t="shared" ca="1" si="39"/>
        <v>0</v>
      </c>
      <c r="Z37" s="177">
        <f ca="1">IFERROR(__xludf.DUMMYFUNCTION("IMPORTRANGE(""https://docs.google.com/spreadsheets/d/1xoDLGBv9CYbyosIhki0kTq6IpYNj-gpjxfobnaDiut0/edit?usp=sharing"",""บึงกาฬ!I771"")"),100)</f>
        <v>100</v>
      </c>
      <c r="AA37" s="177">
        <f ca="1">IFERROR(__xludf.DUMMYFUNCTION("IMPORTRANGE(""https://docs.google.com/spreadsheets/d/1xoDLGBv9CYbyosIhki0kTq6IpYNj-gpjxfobnaDiut0/edit?usp=sharing"",""บึงกาฬ!J771"")"),0)</f>
        <v>0</v>
      </c>
      <c r="AB37" s="354">
        <f t="shared" ca="1" si="41"/>
        <v>0</v>
      </c>
      <c r="AC37" s="177">
        <f ca="1">IFERROR(__xludf.DUMMYFUNCTION("IMPORTRANGE(""https://docs.google.com/spreadsheets/d/1xoDLGBv9CYbyosIhki0kTq6IpYNj-gpjxfobnaDiut0/edit?usp=sharing"",""บึงกาฬ!I773"")"),150)</f>
        <v>150</v>
      </c>
      <c r="AD37" s="177">
        <f ca="1">IFERROR(__xludf.DUMMYFUNCTION("IMPORTRANGE(""https://docs.google.com/spreadsheets/d/1xoDLGBv9CYbyosIhki0kTq6IpYNj-gpjxfobnaDiut0/edit?usp=sharing"",""บึงกาฬ!J773"")"),0)</f>
        <v>0</v>
      </c>
      <c r="AE37" s="354">
        <f t="shared" ca="1" si="43"/>
        <v>0</v>
      </c>
      <c r="AF37" s="177">
        <f ca="1">IFERROR(__xludf.DUMMYFUNCTION("IMPORTRANGE(""https://docs.google.com/spreadsheets/d/1xoDLGBv9CYbyosIhki0kTq6IpYNj-gpjxfobnaDiut0/edit?usp=sharing"",""บึงกาฬ!I774"")"),150)</f>
        <v>150</v>
      </c>
      <c r="AG37" s="177">
        <f ca="1">IFERROR(__xludf.DUMMYFUNCTION("IMPORTRANGE(""https://docs.google.com/spreadsheets/d/1xoDLGBv9CYbyosIhki0kTq6IpYNj-gpjxfobnaDiut0/edit?usp=sharing"",""บึงกาฬ!I775"")"),100)</f>
        <v>100</v>
      </c>
      <c r="AH37" s="177">
        <f ca="1">IFERROR(__xludf.DUMMYFUNCTION("IMPORTRANGE(""https://docs.google.com/spreadsheets/d/1xoDLGBv9CYbyosIhki0kTq6IpYNj-gpjxfobnaDiut0/edit?usp=sharing"",""บึงกาฬ!J774"")"),0)</f>
        <v>0</v>
      </c>
      <c r="AI37" s="354">
        <f t="shared" ca="1" si="45"/>
        <v>0</v>
      </c>
      <c r="AJ37" s="177">
        <f ca="1">IFERROR(__xludf.DUMMYFUNCTION("IMPORTRANGE(""https://docs.google.com/spreadsheets/d/1xoDLGBv9CYbyosIhki0kTq6IpYNj-gpjxfobnaDiut0/edit?usp=sharing"",""บึงกาฬ!J775"")"),0)</f>
        <v>0</v>
      </c>
      <c r="AK37" s="354">
        <f t="shared" ca="1" si="46"/>
        <v>0</v>
      </c>
    </row>
    <row r="38" spans="1:37" ht="19.5" x14ac:dyDescent="0.3">
      <c r="A38" s="535">
        <v>7</v>
      </c>
      <c r="B38" s="536" t="s">
        <v>64</v>
      </c>
      <c r="C38" s="537">
        <f t="shared" si="27"/>
        <v>0</v>
      </c>
      <c r="D38" s="538">
        <f t="shared" si="54"/>
        <v>0</v>
      </c>
      <c r="E38" s="539">
        <v>0</v>
      </c>
      <c r="F38" s="539">
        <v>0</v>
      </c>
      <c r="G38" s="539">
        <v>0</v>
      </c>
      <c r="H38" s="539">
        <v>0</v>
      </c>
      <c r="I38" s="539">
        <v>0</v>
      </c>
      <c r="J38" s="545">
        <f t="shared" si="29"/>
        <v>0</v>
      </c>
      <c r="K38" s="546">
        <f t="shared" si="30"/>
        <v>0</v>
      </c>
      <c r="L38" s="539">
        <v>0</v>
      </c>
      <c r="M38" s="542">
        <f t="shared" si="31"/>
        <v>0</v>
      </c>
      <c r="N38" s="542">
        <f t="shared" si="32"/>
        <v>0</v>
      </c>
      <c r="O38" s="539">
        <v>0</v>
      </c>
      <c r="P38" s="543">
        <f t="shared" si="33"/>
        <v>0</v>
      </c>
      <c r="Q38" s="542">
        <f t="shared" si="34"/>
        <v>0</v>
      </c>
      <c r="R38" s="543">
        <f ca="1">IFERROR(__xludf.DUMMYFUNCTION("IMPORTRANGE(""https://docs.google.com/spreadsheets/d/1MMPq-JyI6DSgQETxuSiXkesP-P7JHuemnE6QJIa-Nlw/edit?usp=sharing"",""บุรีรัมย์!Q759"")"),979250)</f>
        <v>979250</v>
      </c>
      <c r="S38" s="542">
        <f ca="1">IFERROR(__xludf.DUMMYFUNCTION("IMPORTRANGE(""https://docs.google.com/spreadsheets/d/1MMPq-JyI6DSgQETxuSiXkesP-P7JHuemnE6QJIa-Nlw/edit?usp=sharing"",""บุรีรัมย์!R759"")"),0)</f>
        <v>0</v>
      </c>
      <c r="T38" s="543">
        <f ca="1">IFERROR(__xludf.DUMMYFUNCTION("IMPORTRANGE(""https://docs.google.com/spreadsheets/d/1MMPq-JyI6DSgQETxuSiXkesP-P7JHuemnE6QJIa-Nlw/edit?usp=sharing"",""บุรีรัมย์!S759"")"),0)</f>
        <v>0</v>
      </c>
      <c r="U38" s="542">
        <f t="shared" ca="1" si="36"/>
        <v>0</v>
      </c>
      <c r="V38" s="542">
        <f t="shared" ca="1" si="37"/>
        <v>0</v>
      </c>
      <c r="W38" s="355">
        <f ca="1">IFERROR(__xludf.DUMMYFUNCTION("IMPORTRANGE(""https://docs.google.com/spreadsheets/d/1MMPq-JyI6DSgQETxuSiXkesP-P7JHuemnE6QJIa-Nlw/edit?usp=sharing"",""บุรีรัมย์!I769"")"),0)</f>
        <v>0</v>
      </c>
      <c r="X38" s="452">
        <f ca="1">IFERROR(__xludf.DUMMYFUNCTION("IMPORTRANGE(""https://docs.google.com/spreadsheets/d/1MMPq-JyI6DSgQETxuSiXkesP-P7JHuemnE6QJIa-Nlw/edit?usp=sharing"",""บุรีรัมย์!J769"")"),0)</f>
        <v>0</v>
      </c>
      <c r="Y38" s="354">
        <f t="shared" ca="1" si="39"/>
        <v>0</v>
      </c>
      <c r="Z38" s="452">
        <f ca="1">IFERROR(__xludf.DUMMYFUNCTION("IMPORTRANGE(""https://docs.google.com/spreadsheets/d/1MMPq-JyI6DSgQETxuSiXkesP-P7JHuemnE6QJIa-Nlw/edit?usp=sharing"",""บุรีรัมย์!I771"")"),65)</f>
        <v>65</v>
      </c>
      <c r="AA38" s="452">
        <f ca="1">IFERROR(__xludf.DUMMYFUNCTION("IMPORTRANGE(""https://docs.google.com/spreadsheets/d/1MMPq-JyI6DSgQETxuSiXkesP-P7JHuemnE6QJIa-Nlw/edit?usp=sharing"",""บุรีรัมย์!J771"")"),0)</f>
        <v>0</v>
      </c>
      <c r="AB38" s="354">
        <f t="shared" ca="1" si="41"/>
        <v>0</v>
      </c>
      <c r="AC38" s="452">
        <f ca="1">IFERROR(__xludf.DUMMYFUNCTION("IMPORTRANGE(""https://docs.google.com/spreadsheets/d/1MMPq-JyI6DSgQETxuSiXkesP-P7JHuemnE6QJIa-Nlw/edit?usp=sharing"",""บุรีรัมย์!I773"")"),650)</f>
        <v>650</v>
      </c>
      <c r="AD38" s="452">
        <f ca="1">IFERROR(__xludf.DUMMYFUNCTION("IMPORTRANGE(""https://docs.google.com/spreadsheets/d/1MMPq-JyI6DSgQETxuSiXkesP-P7JHuemnE6QJIa-Nlw/edit?usp=sharing"",""บุรีรัมย์!J773"")"),0)</f>
        <v>0</v>
      </c>
      <c r="AE38" s="354">
        <f t="shared" ca="1" si="43"/>
        <v>0</v>
      </c>
      <c r="AF38" s="452">
        <f ca="1">IFERROR(__xludf.DUMMYFUNCTION("IMPORTRANGE(""https://docs.google.com/spreadsheets/d/1MMPq-JyI6DSgQETxuSiXkesP-P7JHuemnE6QJIa-Nlw/edit?usp=sharing"",""บุรีรัมย์!I774"")"),650)</f>
        <v>650</v>
      </c>
      <c r="AG38" s="452">
        <f ca="1">IFERROR(__xludf.DUMMYFUNCTION("IMPORTRANGE(""https://docs.google.com/spreadsheets/d/1MMPq-JyI6DSgQETxuSiXkesP-P7JHuemnE6QJIa-Nlw/edit?usp=sharing"",""บุรีรัมย์!I775"")"),65)</f>
        <v>65</v>
      </c>
      <c r="AH38" s="452">
        <f ca="1">IFERROR(__xludf.DUMMYFUNCTION("IMPORTRANGE(""https://docs.google.com/spreadsheets/d/1MMPq-JyI6DSgQETxuSiXkesP-P7JHuemnE6QJIa-Nlw/edit?usp=sharing"",""บุรีรัมย์!J774"")"),0)</f>
        <v>0</v>
      </c>
      <c r="AI38" s="354">
        <f t="shared" ca="1" si="45"/>
        <v>0</v>
      </c>
      <c r="AJ38" s="452">
        <f ca="1">IFERROR(__xludf.DUMMYFUNCTION("IMPORTRANGE(""https://docs.google.com/spreadsheets/d/1MMPq-JyI6DSgQETxuSiXkesP-P7JHuemnE6QJIa-Nlw/edit?usp=sharing"",""บุรีรัมย์!J775"")"),0)</f>
        <v>0</v>
      </c>
      <c r="AK38" s="354">
        <f t="shared" ca="1" si="46"/>
        <v>0</v>
      </c>
    </row>
    <row r="39" spans="1:37" ht="19.5" x14ac:dyDescent="0.3">
      <c r="A39" s="535">
        <v>8</v>
      </c>
      <c r="B39" s="536" t="s">
        <v>65</v>
      </c>
      <c r="C39" s="537">
        <f t="shared" si="27"/>
        <v>0</v>
      </c>
      <c r="D39" s="538">
        <f t="shared" si="54"/>
        <v>0</v>
      </c>
      <c r="E39" s="539">
        <v>0</v>
      </c>
      <c r="F39" s="539">
        <v>0</v>
      </c>
      <c r="G39" s="539">
        <v>0</v>
      </c>
      <c r="H39" s="539">
        <v>0</v>
      </c>
      <c r="I39" s="539">
        <v>0</v>
      </c>
      <c r="J39" s="545">
        <f t="shared" si="29"/>
        <v>0</v>
      </c>
      <c r="K39" s="546">
        <f t="shared" si="30"/>
        <v>0</v>
      </c>
      <c r="L39" s="539">
        <v>0</v>
      </c>
      <c r="M39" s="542">
        <f t="shared" si="31"/>
        <v>0</v>
      </c>
      <c r="N39" s="542">
        <f t="shared" si="32"/>
        <v>0</v>
      </c>
      <c r="O39" s="539">
        <v>0</v>
      </c>
      <c r="P39" s="543">
        <f t="shared" si="33"/>
        <v>0</v>
      </c>
      <c r="Q39" s="542">
        <f t="shared" si="34"/>
        <v>0</v>
      </c>
      <c r="R39" s="543">
        <f ca="1">IFERROR(__xludf.DUMMYFUNCTION("IMPORTRANGE(""https://docs.google.com/spreadsheets/d/1l6IZ8xUPgMrESzcTYwhA1k_tPjeQjJPTqlm8Gd9eU5g/edit?usp=sharing"",""มหาสารคาม!Q759"")"),711480)</f>
        <v>711480</v>
      </c>
      <c r="S39" s="542">
        <f ca="1">IFERROR(__xludf.DUMMYFUNCTION("IMPORTRANGE(""https://docs.google.com/spreadsheets/d/1l6IZ8xUPgMrESzcTYwhA1k_tPjeQjJPTqlm8Gd9eU5g/edit?usp=sharing"",""มหาสารคาม!R759"")"),0)</f>
        <v>0</v>
      </c>
      <c r="T39" s="543">
        <f ca="1">IFERROR(__xludf.DUMMYFUNCTION("IMPORTRANGE(""https://docs.google.com/spreadsheets/d/1l6IZ8xUPgMrESzcTYwhA1k_tPjeQjJPTqlm8Gd9eU5g/edit?usp=sharing"",""มหาสารคาม!S759"")"),0)</f>
        <v>0</v>
      </c>
      <c r="U39" s="542">
        <f t="shared" ca="1" si="36"/>
        <v>0</v>
      </c>
      <c r="V39" s="542">
        <f t="shared" ca="1" si="37"/>
        <v>0</v>
      </c>
      <c r="W39" s="353">
        <f ca="1">IFERROR(__xludf.DUMMYFUNCTION("IMPORTRANGE(""https://docs.google.com/spreadsheets/d/1l6IZ8xUPgMrESzcTYwhA1k_tPjeQjJPTqlm8Gd9eU5g/edit?usp=sharing"",""มหาสารคาม!I769"")"),0)</f>
        <v>0</v>
      </c>
      <c r="X39" s="177">
        <f ca="1">IFERROR(__xludf.DUMMYFUNCTION("IMPORTRANGE(""https://docs.google.com/spreadsheets/d/1l6IZ8xUPgMrESzcTYwhA1k_tPjeQjJPTqlm8Gd9eU5g/edit?usp=sharing"",""มหาสารคาม!J769"")"),0)</f>
        <v>0</v>
      </c>
      <c r="Y39" s="354">
        <f t="shared" ca="1" si="39"/>
        <v>0</v>
      </c>
      <c r="Z39" s="177">
        <f ca="1">IFERROR(__xludf.DUMMYFUNCTION("IMPORTRANGE(""https://docs.google.com/spreadsheets/d/1l6IZ8xUPgMrESzcTYwhA1k_tPjeQjJPTqlm8Gd9eU5g/edit?usp=sharing"",""มหาสารคาม!I771"")"),110)</f>
        <v>110</v>
      </c>
      <c r="AA39" s="177">
        <f ca="1">IFERROR(__xludf.DUMMYFUNCTION("IMPORTRANGE(""https://docs.google.com/spreadsheets/d/1l6IZ8xUPgMrESzcTYwhA1k_tPjeQjJPTqlm8Gd9eU5g/edit?usp=sharing"",""มหาสารคาม!J771"")"),0)</f>
        <v>0</v>
      </c>
      <c r="AB39" s="354">
        <f t="shared" ca="1" si="41"/>
        <v>0</v>
      </c>
      <c r="AC39" s="177">
        <f ca="1">IFERROR(__xludf.DUMMYFUNCTION("IMPORTRANGE(""https://docs.google.com/spreadsheets/d/1l6IZ8xUPgMrESzcTYwhA1k_tPjeQjJPTqlm8Gd9eU5g/edit?usp=sharing"",""มหาสารคาม!I773"")"),280)</f>
        <v>280</v>
      </c>
      <c r="AD39" s="177">
        <f ca="1">IFERROR(__xludf.DUMMYFUNCTION("IMPORTRANGE(""https://docs.google.com/spreadsheets/d/1l6IZ8xUPgMrESzcTYwhA1k_tPjeQjJPTqlm8Gd9eU5g/edit?usp=sharing"",""มหาสารคาม!J773"")"),0)</f>
        <v>0</v>
      </c>
      <c r="AE39" s="354">
        <f t="shared" ca="1" si="43"/>
        <v>0</v>
      </c>
      <c r="AF39" s="177">
        <f ca="1">IFERROR(__xludf.DUMMYFUNCTION("IMPORTRANGE(""https://docs.google.com/spreadsheets/d/1l6IZ8xUPgMrESzcTYwhA1k_tPjeQjJPTqlm8Gd9eU5g/edit?usp=sharing"",""มหาสารคาม!I774"")"),280)</f>
        <v>280</v>
      </c>
      <c r="AG39" s="177">
        <f ca="1">IFERROR(__xludf.DUMMYFUNCTION("IMPORTRANGE(""https://docs.google.com/spreadsheets/d/1l6IZ8xUPgMrESzcTYwhA1k_tPjeQjJPTqlm8Gd9eU5g/edit?usp=sharing"",""มหาสารคาม!I775"")"),110)</f>
        <v>110</v>
      </c>
      <c r="AH39" s="177">
        <f ca="1">IFERROR(__xludf.DUMMYFUNCTION("IMPORTRANGE(""https://docs.google.com/spreadsheets/d/1l6IZ8xUPgMrESzcTYwhA1k_tPjeQjJPTqlm8Gd9eU5g/edit?usp=sharing"",""มหาสารคาม!J774"")"),0)</f>
        <v>0</v>
      </c>
      <c r="AI39" s="354">
        <f t="shared" ca="1" si="45"/>
        <v>0</v>
      </c>
      <c r="AJ39" s="177">
        <f ca="1">IFERROR(__xludf.DUMMYFUNCTION("IMPORTRANGE(""https://docs.google.com/spreadsheets/d/1l6IZ8xUPgMrESzcTYwhA1k_tPjeQjJPTqlm8Gd9eU5g/edit?usp=sharing"",""มหาสารคาม!J775"")"),0)</f>
        <v>0</v>
      </c>
      <c r="AK39" s="354">
        <f t="shared" ca="1" si="46"/>
        <v>0</v>
      </c>
    </row>
    <row r="40" spans="1:37" ht="19.5" x14ac:dyDescent="0.3">
      <c r="A40" s="535">
        <v>9</v>
      </c>
      <c r="B40" s="536" t="s">
        <v>66</v>
      </c>
      <c r="C40" s="537">
        <f t="shared" si="27"/>
        <v>0</v>
      </c>
      <c r="D40" s="538">
        <f t="shared" si="54"/>
        <v>0</v>
      </c>
      <c r="E40" s="539">
        <v>0</v>
      </c>
      <c r="F40" s="539">
        <v>0</v>
      </c>
      <c r="G40" s="539">
        <v>0</v>
      </c>
      <c r="H40" s="539">
        <v>0</v>
      </c>
      <c r="I40" s="539">
        <v>0</v>
      </c>
      <c r="J40" s="545">
        <f t="shared" si="29"/>
        <v>0</v>
      </c>
      <c r="K40" s="546">
        <f t="shared" si="30"/>
        <v>0</v>
      </c>
      <c r="L40" s="539">
        <v>0</v>
      </c>
      <c r="M40" s="542">
        <f t="shared" si="31"/>
        <v>0</v>
      </c>
      <c r="N40" s="542">
        <f t="shared" si="32"/>
        <v>0</v>
      </c>
      <c r="O40" s="539">
        <v>0</v>
      </c>
      <c r="P40" s="543">
        <f t="shared" si="33"/>
        <v>0</v>
      </c>
      <c r="Q40" s="542">
        <f t="shared" si="34"/>
        <v>0</v>
      </c>
      <c r="R40" s="543">
        <f ca="1">IFERROR(__xludf.DUMMYFUNCTION("IMPORTRANGE(""https://docs.google.com/spreadsheets/d/1uB74YLqNjWX6FObjekfB2NtSYigTQyR2rq9u4Ub2Sq4/edit?usp=sharing"",""มุกดาหาร!Q759"")"),462400)</f>
        <v>462400</v>
      </c>
      <c r="S40" s="542">
        <f ca="1">IFERROR(__xludf.DUMMYFUNCTION("IMPORTRANGE(""https://docs.google.com/spreadsheets/d/1uB74YLqNjWX6FObjekfB2NtSYigTQyR2rq9u4Ub2Sq4/edit?usp=sharing"",""มุกดาหาร!R759"")"),0)</f>
        <v>0</v>
      </c>
      <c r="T40" s="543">
        <f ca="1">IFERROR(__xludf.DUMMYFUNCTION("IMPORTRANGE(""https://docs.google.com/spreadsheets/d/1uB74YLqNjWX6FObjekfB2NtSYigTQyR2rq9u4Ub2Sq4/edit?usp=sharing"",""มุกดาหาร!S759"")"),0)</f>
        <v>0</v>
      </c>
      <c r="U40" s="542">
        <f t="shared" ca="1" si="36"/>
        <v>0</v>
      </c>
      <c r="V40" s="542">
        <f t="shared" ca="1" si="37"/>
        <v>0</v>
      </c>
      <c r="W40" s="353">
        <f ca="1">IFERROR(__xludf.DUMMYFUNCTION("IMPORTRANGE(""https://docs.google.com/spreadsheets/d/1uB74YLqNjWX6FObjekfB2NtSYigTQyR2rq9u4Ub2Sq4/edit?usp=sharing"",""มุกดาหาร!I769"")"),0)</f>
        <v>0</v>
      </c>
      <c r="X40" s="177">
        <f ca="1">IFERROR(__xludf.DUMMYFUNCTION("IMPORTRANGE(""https://docs.google.com/spreadsheets/d/1uB74YLqNjWX6FObjekfB2NtSYigTQyR2rq9u4Ub2Sq4/edit?usp=sharing"",""มุกดาหาร!J769"")"),0)</f>
        <v>0</v>
      </c>
      <c r="Y40" s="354">
        <f t="shared" ca="1" si="39"/>
        <v>0</v>
      </c>
      <c r="Z40" s="177">
        <f ca="1">IFERROR(__xludf.DUMMYFUNCTION("IMPORTRANGE(""https://docs.google.com/spreadsheets/d/1uB74YLqNjWX6FObjekfB2NtSYigTQyR2rq9u4Ub2Sq4/edit?usp=sharing"",""มุกดาหาร!I771"")"),70)</f>
        <v>70</v>
      </c>
      <c r="AA40" s="177">
        <f ca="1">IFERROR(__xludf.DUMMYFUNCTION("IMPORTRANGE(""https://docs.google.com/spreadsheets/d/1uB74YLqNjWX6FObjekfB2NtSYigTQyR2rq9u4Ub2Sq4/edit?usp=sharing"",""มุกดาหาร!J771"")"),0)</f>
        <v>0</v>
      </c>
      <c r="AB40" s="354">
        <f t="shared" ca="1" si="41"/>
        <v>0</v>
      </c>
      <c r="AC40" s="177">
        <f ca="1">IFERROR(__xludf.DUMMYFUNCTION("IMPORTRANGE(""https://docs.google.com/spreadsheets/d/1uB74YLqNjWX6FObjekfB2NtSYigTQyR2rq9u4Ub2Sq4/edit?usp=sharing"",""มุกดาหาร!I773"")"),140)</f>
        <v>140</v>
      </c>
      <c r="AD40" s="177">
        <f ca="1">IFERROR(__xludf.DUMMYFUNCTION("IMPORTRANGE(""https://docs.google.com/spreadsheets/d/1uB74YLqNjWX6FObjekfB2NtSYigTQyR2rq9u4Ub2Sq4/edit?usp=sharing"",""มุกดาหาร!J773"")"),0)</f>
        <v>0</v>
      </c>
      <c r="AE40" s="354">
        <f t="shared" ca="1" si="43"/>
        <v>0</v>
      </c>
      <c r="AF40" s="177">
        <f ca="1">IFERROR(__xludf.DUMMYFUNCTION("IMPORTRANGE(""https://docs.google.com/spreadsheets/d/1uB74YLqNjWX6FObjekfB2NtSYigTQyR2rq9u4Ub2Sq4/edit?usp=sharing"",""มุกดาหาร!I774"")"),140)</f>
        <v>140</v>
      </c>
      <c r="AG40" s="177">
        <f ca="1">IFERROR(__xludf.DUMMYFUNCTION("IMPORTRANGE(""https://docs.google.com/spreadsheets/d/1uB74YLqNjWX6FObjekfB2NtSYigTQyR2rq9u4Ub2Sq4/edit?usp=sharing"",""มุกดาหาร!I775"")"),70)</f>
        <v>70</v>
      </c>
      <c r="AH40" s="177">
        <f ca="1">IFERROR(__xludf.DUMMYFUNCTION("IMPORTRANGE(""https://docs.google.com/spreadsheets/d/1uB74YLqNjWX6FObjekfB2NtSYigTQyR2rq9u4Ub2Sq4/edit?usp=sharing"",""มุกดาหาร!J774"")"),0)</f>
        <v>0</v>
      </c>
      <c r="AI40" s="354">
        <f t="shared" ca="1" si="45"/>
        <v>0</v>
      </c>
      <c r="AJ40" s="177">
        <f ca="1">IFERROR(__xludf.DUMMYFUNCTION("IMPORTRANGE(""https://docs.google.com/spreadsheets/d/1uB74YLqNjWX6FObjekfB2NtSYigTQyR2rq9u4Ub2Sq4/edit?usp=sharing"",""มุกดาหาร!J775"")"),0)</f>
        <v>0</v>
      </c>
      <c r="AK40" s="354">
        <f t="shared" ca="1" si="46"/>
        <v>0</v>
      </c>
    </row>
    <row r="41" spans="1:37" ht="19.5" x14ac:dyDescent="0.3">
      <c r="A41" s="535">
        <v>10</v>
      </c>
      <c r="B41" s="536" t="s">
        <v>67</v>
      </c>
      <c r="C41" s="537">
        <f t="shared" si="27"/>
        <v>0</v>
      </c>
      <c r="D41" s="538">
        <f t="shared" si="54"/>
        <v>0</v>
      </c>
      <c r="E41" s="539">
        <v>0</v>
      </c>
      <c r="F41" s="539">
        <v>0</v>
      </c>
      <c r="G41" s="539">
        <v>0</v>
      </c>
      <c r="H41" s="539">
        <v>0</v>
      </c>
      <c r="I41" s="539">
        <v>0</v>
      </c>
      <c r="J41" s="545">
        <f t="shared" si="29"/>
        <v>0</v>
      </c>
      <c r="K41" s="546">
        <f t="shared" si="30"/>
        <v>0</v>
      </c>
      <c r="L41" s="539">
        <v>0</v>
      </c>
      <c r="M41" s="542">
        <f t="shared" si="31"/>
        <v>0</v>
      </c>
      <c r="N41" s="542">
        <f t="shared" si="32"/>
        <v>0</v>
      </c>
      <c r="O41" s="539">
        <v>0</v>
      </c>
      <c r="P41" s="543">
        <f t="shared" si="33"/>
        <v>0</v>
      </c>
      <c r="Q41" s="542">
        <f t="shared" si="34"/>
        <v>0</v>
      </c>
      <c r="R41" s="543">
        <f ca="1">IFERROR(__xludf.DUMMYFUNCTION("IMPORTRANGE(""https://docs.google.com/spreadsheets/d/1NexK3geCPxCTO1fzNF8dPec7yZyUx3OaWkFBC9HsQOo/edit?usp=sharing"",""ยโสธร!Q759"")"),669250)</f>
        <v>669250</v>
      </c>
      <c r="S41" s="542">
        <f ca="1">IFERROR(__xludf.DUMMYFUNCTION("IMPORTRANGE(""https://docs.google.com/spreadsheets/d/1NexK3geCPxCTO1fzNF8dPec7yZyUx3OaWkFBC9HsQOo/edit?usp=sharing"",""ยโสธร!R759"")"),0)</f>
        <v>0</v>
      </c>
      <c r="T41" s="543">
        <f ca="1">IFERROR(__xludf.DUMMYFUNCTION("IMPORTRANGE(""https://docs.google.com/spreadsheets/d/1NexK3geCPxCTO1fzNF8dPec7yZyUx3OaWkFBC9HsQOo/edit?usp=sharing"",""ยโสธร!S759"")"),18505)</f>
        <v>18505</v>
      </c>
      <c r="U41" s="542">
        <f t="shared" ca="1" si="36"/>
        <v>2.7650354874859917</v>
      </c>
      <c r="V41" s="542">
        <f t="shared" ca="1" si="37"/>
        <v>0</v>
      </c>
      <c r="W41" s="355">
        <f ca="1">IFERROR(__xludf.DUMMYFUNCTION("IMPORTRANGE(""https://docs.google.com/spreadsheets/d/1NexK3geCPxCTO1fzNF8dPec7yZyUx3OaWkFBC9HsQOo/edit?usp=sharing"",""ยโสธร!I769"")"),0)</f>
        <v>0</v>
      </c>
      <c r="X41" s="452">
        <f ca="1">IFERROR(__xludf.DUMMYFUNCTION("IMPORTRANGE(""https://docs.google.com/spreadsheets/d/1NexK3geCPxCTO1fzNF8dPec7yZyUx3OaWkFBC9HsQOo/edit?usp=sharing"",""ยโสธร!J769"")"),0)</f>
        <v>0</v>
      </c>
      <c r="Y41" s="354">
        <f t="shared" ca="1" si="39"/>
        <v>0</v>
      </c>
      <c r="Z41" s="452">
        <f ca="1">IFERROR(__xludf.DUMMYFUNCTION("IMPORTRANGE(""https://docs.google.com/spreadsheets/d/1NexK3geCPxCTO1fzNF8dPec7yZyUx3OaWkFBC9HsQOo/edit?usp=sharing"",""ยโสธร!I771"")"),65)</f>
        <v>65</v>
      </c>
      <c r="AA41" s="452">
        <f ca="1">IFERROR(__xludf.DUMMYFUNCTION("IMPORTRANGE(""https://docs.google.com/spreadsheets/d/1NexK3geCPxCTO1fzNF8dPec7yZyUx3OaWkFBC9HsQOo/edit?usp=sharing"",""ยโสธร!J771"")"),0)</f>
        <v>0</v>
      </c>
      <c r="AB41" s="354">
        <f t="shared" ca="1" si="41"/>
        <v>0</v>
      </c>
      <c r="AC41" s="452">
        <f ca="1">IFERROR(__xludf.DUMMYFUNCTION("IMPORTRANGE(""https://docs.google.com/spreadsheets/d/1NexK3geCPxCTO1fzNF8dPec7yZyUx3OaWkFBC9HsQOo/edit?usp=sharing"",""ยโสธร!I773"")"),325)</f>
        <v>325</v>
      </c>
      <c r="AD41" s="452">
        <f ca="1">IFERROR(__xludf.DUMMYFUNCTION("IMPORTRANGE(""https://docs.google.com/spreadsheets/d/1NexK3geCPxCTO1fzNF8dPec7yZyUx3OaWkFBC9HsQOo/edit?usp=sharing"",""ยโสธร!J773"")"),0)</f>
        <v>0</v>
      </c>
      <c r="AE41" s="354">
        <f t="shared" ca="1" si="43"/>
        <v>0</v>
      </c>
      <c r="AF41" s="452">
        <f ca="1">IFERROR(__xludf.DUMMYFUNCTION("IMPORTRANGE(""https://docs.google.com/spreadsheets/d/1NexK3geCPxCTO1fzNF8dPec7yZyUx3OaWkFBC9HsQOo/edit?usp=sharing"",""ยโสธร!I774"")"),325)</f>
        <v>325</v>
      </c>
      <c r="AG41" s="452">
        <f ca="1">IFERROR(__xludf.DUMMYFUNCTION("IMPORTRANGE(""https://docs.google.com/spreadsheets/d/1NexK3geCPxCTO1fzNF8dPec7yZyUx3OaWkFBC9HsQOo/edit?usp=sharing"",""ยโสธร!I775"")"),65)</f>
        <v>65</v>
      </c>
      <c r="AH41" s="452">
        <f ca="1">IFERROR(__xludf.DUMMYFUNCTION("IMPORTRANGE(""https://docs.google.com/spreadsheets/d/1NexK3geCPxCTO1fzNF8dPec7yZyUx3OaWkFBC9HsQOo/edit?usp=sharing"",""ยโสธร!J774"")"),0)</f>
        <v>0</v>
      </c>
      <c r="AI41" s="354">
        <f t="shared" ca="1" si="45"/>
        <v>0</v>
      </c>
      <c r="AJ41" s="452">
        <f ca="1">IFERROR(__xludf.DUMMYFUNCTION("IMPORTRANGE(""https://docs.google.com/spreadsheets/d/1NexK3geCPxCTO1fzNF8dPec7yZyUx3OaWkFBC9HsQOo/edit?usp=sharing"",""ยโสธร!J775"")"),0)</f>
        <v>0</v>
      </c>
      <c r="AK41" s="354">
        <f t="shared" ca="1" si="46"/>
        <v>0</v>
      </c>
    </row>
    <row r="42" spans="1:37" ht="19.5" x14ac:dyDescent="0.3">
      <c r="A42" s="535">
        <v>11</v>
      </c>
      <c r="B42" s="536" t="s">
        <v>68</v>
      </c>
      <c r="C42" s="537">
        <f t="shared" si="27"/>
        <v>0</v>
      </c>
      <c r="D42" s="538">
        <f t="shared" si="54"/>
        <v>0</v>
      </c>
      <c r="E42" s="539">
        <v>0</v>
      </c>
      <c r="F42" s="539">
        <v>0</v>
      </c>
      <c r="G42" s="539">
        <v>0</v>
      </c>
      <c r="H42" s="539">
        <v>0</v>
      </c>
      <c r="I42" s="539">
        <v>0</v>
      </c>
      <c r="J42" s="545">
        <f t="shared" si="29"/>
        <v>0</v>
      </c>
      <c r="K42" s="546">
        <f t="shared" si="30"/>
        <v>0</v>
      </c>
      <c r="L42" s="539">
        <v>0</v>
      </c>
      <c r="M42" s="542">
        <f t="shared" si="31"/>
        <v>0</v>
      </c>
      <c r="N42" s="542">
        <f t="shared" si="32"/>
        <v>0</v>
      </c>
      <c r="O42" s="539">
        <v>0</v>
      </c>
      <c r="P42" s="543">
        <f t="shared" si="33"/>
        <v>0</v>
      </c>
      <c r="Q42" s="542">
        <f t="shared" si="34"/>
        <v>0</v>
      </c>
      <c r="R42" s="543">
        <f ca="1">IFERROR(__xludf.DUMMYFUNCTION("IMPORTRANGE(""https://docs.google.com/spreadsheets/d/1v_cJrbBlyqmnHPReHk44g9NrMRdENNlSy_E_c5M9fIg/edit?usp=sharing"",""ร้อยเอ็ด!Q759"")"),1066780)</f>
        <v>1066780</v>
      </c>
      <c r="S42" s="542">
        <f ca="1">IFERROR(__xludf.DUMMYFUNCTION("IMPORTRANGE(""https://docs.google.com/spreadsheets/d/1v_cJrbBlyqmnHPReHk44g9NrMRdENNlSy_E_c5M9fIg/edit?usp=sharing"",""ร้อยเอ็ด!R759"")"),0)</f>
        <v>0</v>
      </c>
      <c r="T42" s="543">
        <f ca="1">IFERROR(__xludf.DUMMYFUNCTION("IMPORTRANGE(""https://docs.google.com/spreadsheets/d/1v_cJrbBlyqmnHPReHk44g9NrMRdENNlSy_E_c5M9fIg/edit?usp=sharing"",""ร้อยเอ็ด!S759"")"),0)</f>
        <v>0</v>
      </c>
      <c r="U42" s="542">
        <f t="shared" ca="1" si="36"/>
        <v>0</v>
      </c>
      <c r="V42" s="542">
        <f t="shared" ca="1" si="37"/>
        <v>0</v>
      </c>
      <c r="W42" s="353">
        <f ca="1">IFERROR(__xludf.DUMMYFUNCTION("IMPORTRANGE(""https://docs.google.com/spreadsheets/d/1v_cJrbBlyqmnHPReHk44g9NrMRdENNlSy_E_c5M9fIg/edit?usp=sharing"",""ร้อยเอ็ด!I769"")"),0)</f>
        <v>0</v>
      </c>
      <c r="X42" s="177">
        <f ca="1">IFERROR(__xludf.DUMMYFUNCTION("IMPORTRANGE(""https://docs.google.com/spreadsheets/d/1v_cJrbBlyqmnHPReHk44g9NrMRdENNlSy_E_c5M9fIg/edit?usp=sharing"",""ร้อยเอ็ด!J769"")"),0)</f>
        <v>0</v>
      </c>
      <c r="Y42" s="354">
        <f t="shared" ca="1" si="39"/>
        <v>0</v>
      </c>
      <c r="Z42" s="177">
        <f ca="1">IFERROR(__xludf.DUMMYFUNCTION("IMPORTRANGE(""https://docs.google.com/spreadsheets/d/1v_cJrbBlyqmnHPReHk44g9NrMRdENNlSy_E_c5M9fIg/edit?usp=sharing"",""ร้อยเอ็ด!I771"")"),120)</f>
        <v>120</v>
      </c>
      <c r="AA42" s="177">
        <f ca="1">IFERROR(__xludf.DUMMYFUNCTION("IMPORTRANGE(""https://docs.google.com/spreadsheets/d/1v_cJrbBlyqmnHPReHk44g9NrMRdENNlSy_E_c5M9fIg/edit?usp=sharing"",""ร้อยเอ็ด!J771"")"),0)</f>
        <v>0</v>
      </c>
      <c r="AB42" s="354">
        <f t="shared" ca="1" si="41"/>
        <v>0</v>
      </c>
      <c r="AC42" s="177">
        <f ca="1">IFERROR(__xludf.DUMMYFUNCTION("IMPORTRANGE(""https://docs.google.com/spreadsheets/d/1v_cJrbBlyqmnHPReHk44g9NrMRdENNlSy_E_c5M9fIg/edit?usp=sharing"",""ร้อยเอ็ด!I773"")"),600)</f>
        <v>600</v>
      </c>
      <c r="AD42" s="177">
        <f ca="1">IFERROR(__xludf.DUMMYFUNCTION("IMPORTRANGE(""https://docs.google.com/spreadsheets/d/1v_cJrbBlyqmnHPReHk44g9NrMRdENNlSy_E_c5M9fIg/edit?usp=sharing"",""ร้อยเอ็ด!J773"")"),0)</f>
        <v>0</v>
      </c>
      <c r="AE42" s="354">
        <f t="shared" ca="1" si="43"/>
        <v>0</v>
      </c>
      <c r="AF42" s="177">
        <f ca="1">IFERROR(__xludf.DUMMYFUNCTION("IMPORTRANGE(""https://docs.google.com/spreadsheets/d/1v_cJrbBlyqmnHPReHk44g9NrMRdENNlSy_E_c5M9fIg/edit?usp=sharing"",""ร้อยเอ็ด!I774"")"),600)</f>
        <v>600</v>
      </c>
      <c r="AG42" s="177">
        <f ca="1">IFERROR(__xludf.DUMMYFUNCTION("IMPORTRANGE(""https://docs.google.com/spreadsheets/d/1v_cJrbBlyqmnHPReHk44g9NrMRdENNlSy_E_c5M9fIg/edit?usp=sharing"",""ร้อยเอ็ด!I775"")"),120)</f>
        <v>120</v>
      </c>
      <c r="AH42" s="177">
        <f ca="1">IFERROR(__xludf.DUMMYFUNCTION("IMPORTRANGE(""https://docs.google.com/spreadsheets/d/1v_cJrbBlyqmnHPReHk44g9NrMRdENNlSy_E_c5M9fIg/edit?usp=sharing"",""ร้อยเอ็ด!J774"")"),0)</f>
        <v>0</v>
      </c>
      <c r="AI42" s="354">
        <f t="shared" ca="1" si="45"/>
        <v>0</v>
      </c>
      <c r="AJ42" s="177">
        <f ca="1">IFERROR(__xludf.DUMMYFUNCTION("IMPORTRANGE(""https://docs.google.com/spreadsheets/d/1v_cJrbBlyqmnHPReHk44g9NrMRdENNlSy_E_c5M9fIg/edit?usp=sharing"",""ร้อยเอ็ด!J775"")"),0)</f>
        <v>0</v>
      </c>
      <c r="AK42" s="354">
        <f t="shared" ca="1" si="46"/>
        <v>0</v>
      </c>
    </row>
    <row r="43" spans="1:37" ht="19.5" x14ac:dyDescent="0.3">
      <c r="A43" s="535">
        <v>12</v>
      </c>
      <c r="B43" s="536" t="s">
        <v>69</v>
      </c>
      <c r="C43" s="537">
        <f t="shared" si="27"/>
        <v>0</v>
      </c>
      <c r="D43" s="538">
        <f t="shared" si="54"/>
        <v>0</v>
      </c>
      <c r="E43" s="539">
        <v>0</v>
      </c>
      <c r="F43" s="539">
        <v>0</v>
      </c>
      <c r="G43" s="539">
        <v>0</v>
      </c>
      <c r="H43" s="539">
        <v>0</v>
      </c>
      <c r="I43" s="539">
        <v>0</v>
      </c>
      <c r="J43" s="545">
        <f t="shared" si="29"/>
        <v>0</v>
      </c>
      <c r="K43" s="546">
        <f t="shared" si="30"/>
        <v>0</v>
      </c>
      <c r="L43" s="539">
        <v>0</v>
      </c>
      <c r="M43" s="542">
        <f t="shared" si="31"/>
        <v>0</v>
      </c>
      <c r="N43" s="542">
        <f t="shared" si="32"/>
        <v>0</v>
      </c>
      <c r="O43" s="539">
        <v>0</v>
      </c>
      <c r="P43" s="543">
        <f t="shared" si="33"/>
        <v>0</v>
      </c>
      <c r="Q43" s="542">
        <f t="shared" si="34"/>
        <v>0</v>
      </c>
      <c r="R43" s="543">
        <f ca="1">IFERROR(__xludf.DUMMYFUNCTION("IMPORTRANGE(""https://docs.google.com/spreadsheets/d/1Ul4RCpCX66NxYADU1QpwAPjOmBzW64SsT11s1wzXw_c/edit?usp=sharing"",""เลย!Q759"")"),674480)</f>
        <v>674480</v>
      </c>
      <c r="S43" s="542">
        <f ca="1">IFERROR(__xludf.DUMMYFUNCTION("IMPORTRANGE(""https://docs.google.com/spreadsheets/d/1Ul4RCpCX66NxYADU1QpwAPjOmBzW64SsT11s1wzXw_c/edit?usp=sharing"",""เลย!R759"")"),0)</f>
        <v>0</v>
      </c>
      <c r="T43" s="543">
        <f ca="1">IFERROR(__xludf.DUMMYFUNCTION("IMPORTRANGE(""https://docs.google.com/spreadsheets/d/1Ul4RCpCX66NxYADU1QpwAPjOmBzW64SsT11s1wzXw_c/edit?usp=sharing"",""เลย!S759"")"),0)</f>
        <v>0</v>
      </c>
      <c r="U43" s="542">
        <f t="shared" ca="1" si="36"/>
        <v>0</v>
      </c>
      <c r="V43" s="542">
        <f t="shared" ca="1" si="37"/>
        <v>0</v>
      </c>
      <c r="W43" s="353">
        <f ca="1">IFERROR(__xludf.DUMMYFUNCTION("IMPORTRANGE(""https://docs.google.com/spreadsheets/d/1Ul4RCpCX66NxYADU1QpwAPjOmBzW64SsT11s1wzXw_c/edit?usp=sharing"",""เลย!I769"")"),0)</f>
        <v>0</v>
      </c>
      <c r="X43" s="177">
        <f ca="1">IFERROR(__xludf.DUMMYFUNCTION("IMPORTRANGE(""https://docs.google.com/spreadsheets/d/1Ul4RCpCX66NxYADU1QpwAPjOmBzW64SsT11s1wzXw_c/edit?usp=sharing"",""เลย!J769"")"),0)</f>
        <v>0</v>
      </c>
      <c r="Y43" s="354">
        <f t="shared" ca="1" si="39"/>
        <v>0</v>
      </c>
      <c r="Z43" s="177">
        <f ca="1">IFERROR(__xludf.DUMMYFUNCTION("IMPORTRANGE(""https://docs.google.com/spreadsheets/d/1Ul4RCpCX66NxYADU1QpwAPjOmBzW64SsT11s1wzXw_c/edit?usp=sharing"",""เลย!I771"")"),110)</f>
        <v>110</v>
      </c>
      <c r="AA43" s="177">
        <f ca="1">IFERROR(__xludf.DUMMYFUNCTION("IMPORTRANGE(""https://docs.google.com/spreadsheets/d/1Ul4RCpCX66NxYADU1QpwAPjOmBzW64SsT11s1wzXw_c/edit?usp=sharing"",""เลย!J771"")"),0)</f>
        <v>0</v>
      </c>
      <c r="AB43" s="354">
        <f t="shared" ca="1" si="41"/>
        <v>0</v>
      </c>
      <c r="AC43" s="177">
        <f ca="1">IFERROR(__xludf.DUMMYFUNCTION("IMPORTRANGE(""https://docs.google.com/spreadsheets/d/1Ul4RCpCX66NxYADU1QpwAPjOmBzW64SsT11s1wzXw_c/edit?usp=sharing"",""เลย!I773"")"),265)</f>
        <v>265</v>
      </c>
      <c r="AD43" s="177">
        <f ca="1">IFERROR(__xludf.DUMMYFUNCTION("IMPORTRANGE(""https://docs.google.com/spreadsheets/d/1Ul4RCpCX66NxYADU1QpwAPjOmBzW64SsT11s1wzXw_c/edit?usp=sharing"",""เลย!J773"")"),0)</f>
        <v>0</v>
      </c>
      <c r="AE43" s="354">
        <f t="shared" ca="1" si="43"/>
        <v>0</v>
      </c>
      <c r="AF43" s="177">
        <f ca="1">IFERROR(__xludf.DUMMYFUNCTION("IMPORTRANGE(""https://docs.google.com/spreadsheets/d/1Ul4RCpCX66NxYADU1QpwAPjOmBzW64SsT11s1wzXw_c/edit?usp=sharing"",""เลย!I774"")"),265)</f>
        <v>265</v>
      </c>
      <c r="AG43" s="177">
        <f ca="1">IFERROR(__xludf.DUMMYFUNCTION("IMPORTRANGE(""https://docs.google.com/spreadsheets/d/1Ul4RCpCX66NxYADU1QpwAPjOmBzW64SsT11s1wzXw_c/edit?usp=sharing"",""เลย!I775"")"),110)</f>
        <v>110</v>
      </c>
      <c r="AH43" s="177">
        <f ca="1">IFERROR(__xludf.DUMMYFUNCTION("IMPORTRANGE(""https://docs.google.com/spreadsheets/d/1Ul4RCpCX66NxYADU1QpwAPjOmBzW64SsT11s1wzXw_c/edit?usp=sharing"",""เลย!J774"")"),0)</f>
        <v>0</v>
      </c>
      <c r="AI43" s="354">
        <f t="shared" ca="1" si="45"/>
        <v>0</v>
      </c>
      <c r="AJ43" s="177">
        <f ca="1">IFERROR(__xludf.DUMMYFUNCTION("IMPORTRANGE(""https://docs.google.com/spreadsheets/d/1Ul4RCpCX66NxYADU1QpwAPjOmBzW64SsT11s1wzXw_c/edit?usp=sharing"",""เลย!J775"")"),0)</f>
        <v>0</v>
      </c>
      <c r="AK43" s="354">
        <f t="shared" ca="1" si="46"/>
        <v>0</v>
      </c>
    </row>
    <row r="44" spans="1:37" ht="19.5" x14ac:dyDescent="0.3">
      <c r="A44" s="535">
        <v>13</v>
      </c>
      <c r="B44" s="536" t="s">
        <v>70</v>
      </c>
      <c r="C44" s="537">
        <f t="shared" si="27"/>
        <v>0</v>
      </c>
      <c r="D44" s="538">
        <f t="shared" si="54"/>
        <v>0</v>
      </c>
      <c r="E44" s="539">
        <v>0</v>
      </c>
      <c r="F44" s="539">
        <v>0</v>
      </c>
      <c r="G44" s="539">
        <v>0</v>
      </c>
      <c r="H44" s="539">
        <v>0</v>
      </c>
      <c r="I44" s="539">
        <v>0</v>
      </c>
      <c r="J44" s="545">
        <f t="shared" si="29"/>
        <v>0</v>
      </c>
      <c r="K44" s="546">
        <f t="shared" si="30"/>
        <v>0</v>
      </c>
      <c r="L44" s="539">
        <v>0</v>
      </c>
      <c r="M44" s="542">
        <f t="shared" si="31"/>
        <v>0</v>
      </c>
      <c r="N44" s="542">
        <f t="shared" si="32"/>
        <v>0</v>
      </c>
      <c r="O44" s="539">
        <v>0</v>
      </c>
      <c r="P44" s="543">
        <f t="shared" si="33"/>
        <v>0</v>
      </c>
      <c r="Q44" s="542">
        <f t="shared" si="34"/>
        <v>0</v>
      </c>
      <c r="R44" s="543">
        <f ca="1">IFERROR(__xludf.DUMMYFUNCTION("IMPORTRANGE(""https://docs.google.com/spreadsheets/d/1bRrNKwbHDVktQG10isr5vbWRtt5spIZPpkOSWgbT5ug/edit?usp=sharing"",""ศรีสะเกษ!Q759"")"),521950)</f>
        <v>521950</v>
      </c>
      <c r="S44" s="542">
        <f ca="1">IFERROR(__xludf.DUMMYFUNCTION("IMPORTRANGE(""https://docs.google.com/spreadsheets/d/1bRrNKwbHDVktQG10isr5vbWRtt5spIZPpkOSWgbT5ug/edit?usp=sharing"",""ศรีสะเกษ!R759"")"),0)</f>
        <v>0</v>
      </c>
      <c r="T44" s="543">
        <f ca="1">IFERROR(__xludf.DUMMYFUNCTION("IMPORTRANGE(""https://docs.google.com/spreadsheets/d/1bRrNKwbHDVktQG10isr5vbWRtt5spIZPpkOSWgbT5ug/edit?usp=sharing"",""ศรีสะเกษ!S759"")"),19920)</f>
        <v>19920</v>
      </c>
      <c r="U44" s="542">
        <f t="shared" ca="1" si="36"/>
        <v>3.8164575150876519</v>
      </c>
      <c r="V44" s="542">
        <f t="shared" ca="1" si="37"/>
        <v>0</v>
      </c>
      <c r="W44" s="353">
        <f ca="1">IFERROR(__xludf.DUMMYFUNCTION("IMPORTRANGE(""https://docs.google.com/spreadsheets/d/1bRrNKwbHDVktQG10isr5vbWRtt5spIZPpkOSWgbT5ug/edit?usp=sharing"",""ศรีสะเกษ!I769"")"),0)</f>
        <v>0</v>
      </c>
      <c r="X44" s="177">
        <f ca="1">IFERROR(__xludf.DUMMYFUNCTION("IMPORTRANGE(""https://docs.google.com/spreadsheets/d/1bRrNKwbHDVktQG10isr5vbWRtt5spIZPpkOSWgbT5ug/edit?usp=sharing"",""ศรีสะเกษ!J769"")"),0)</f>
        <v>0</v>
      </c>
      <c r="Y44" s="354">
        <f t="shared" ca="1" si="39"/>
        <v>0</v>
      </c>
      <c r="Z44" s="177">
        <f ca="1">IFERROR(__xludf.DUMMYFUNCTION("IMPORTRANGE(""https://docs.google.com/spreadsheets/d/1bRrNKwbHDVktQG10isr5vbWRtt5spIZPpkOSWgbT5ug/edit?usp=sharing"",""ศรีสะเกษ!I771"")"),55)</f>
        <v>55</v>
      </c>
      <c r="AA44" s="177">
        <f ca="1">IFERROR(__xludf.DUMMYFUNCTION("IMPORTRANGE(""https://docs.google.com/spreadsheets/d/1bRrNKwbHDVktQG10isr5vbWRtt5spIZPpkOSWgbT5ug/edit?usp=sharing"",""ศรีสะเกษ!J771"")"),0)</f>
        <v>0</v>
      </c>
      <c r="AB44" s="354">
        <f t="shared" ca="1" si="41"/>
        <v>0</v>
      </c>
      <c r="AC44" s="177">
        <f ca="1">IFERROR(__xludf.DUMMYFUNCTION("IMPORTRANGE(""https://docs.google.com/spreadsheets/d/1bRrNKwbHDVktQG10isr5vbWRtt5spIZPpkOSWgbT5ug/edit?usp=sharing"",""ศรีสะเกษ!I773"")"),230)</f>
        <v>230</v>
      </c>
      <c r="AD44" s="177">
        <f ca="1">IFERROR(__xludf.DUMMYFUNCTION("IMPORTRANGE(""https://docs.google.com/spreadsheets/d/1bRrNKwbHDVktQG10isr5vbWRtt5spIZPpkOSWgbT5ug/edit?usp=sharing"",""ศรีสะเกษ!J773"")"),0)</f>
        <v>0</v>
      </c>
      <c r="AE44" s="354">
        <f t="shared" ca="1" si="43"/>
        <v>0</v>
      </c>
      <c r="AF44" s="177">
        <f ca="1">IFERROR(__xludf.DUMMYFUNCTION("IMPORTRANGE(""https://docs.google.com/spreadsheets/d/1bRrNKwbHDVktQG10isr5vbWRtt5spIZPpkOSWgbT5ug/edit?usp=sharing"",""ศรีสะเกษ!I774"")"),230)</f>
        <v>230</v>
      </c>
      <c r="AG44" s="177">
        <f ca="1">IFERROR(__xludf.DUMMYFUNCTION("IMPORTRANGE(""https://docs.google.com/spreadsheets/d/1bRrNKwbHDVktQG10isr5vbWRtt5spIZPpkOSWgbT5ug/edit?usp=sharing"",""ศรีสะเกษ!I775"")"),55)</f>
        <v>55</v>
      </c>
      <c r="AH44" s="177">
        <f ca="1">IFERROR(__xludf.DUMMYFUNCTION("IMPORTRANGE(""https://docs.google.com/spreadsheets/d/1bRrNKwbHDVktQG10isr5vbWRtt5spIZPpkOSWgbT5ug/edit?usp=sharing"",""ศรีสะเกษ!J774"")"),0)</f>
        <v>0</v>
      </c>
      <c r="AI44" s="354">
        <f t="shared" ca="1" si="45"/>
        <v>0</v>
      </c>
      <c r="AJ44" s="177">
        <f ca="1">IFERROR(__xludf.DUMMYFUNCTION("IMPORTRANGE(""https://docs.google.com/spreadsheets/d/1bRrNKwbHDVktQG10isr5vbWRtt5spIZPpkOSWgbT5ug/edit?usp=sharing"",""ศรีสะเกษ!J775"")"),0)</f>
        <v>0</v>
      </c>
      <c r="AK44" s="354">
        <f t="shared" ca="1" si="46"/>
        <v>0</v>
      </c>
    </row>
    <row r="45" spans="1:37" ht="19.5" x14ac:dyDescent="0.3">
      <c r="A45" s="535">
        <v>14</v>
      </c>
      <c r="B45" s="536" t="s">
        <v>71</v>
      </c>
      <c r="C45" s="537">
        <f t="shared" si="27"/>
        <v>0</v>
      </c>
      <c r="D45" s="538">
        <f t="shared" si="54"/>
        <v>0</v>
      </c>
      <c r="E45" s="539">
        <v>0</v>
      </c>
      <c r="F45" s="539">
        <v>0</v>
      </c>
      <c r="G45" s="539">
        <v>0</v>
      </c>
      <c r="H45" s="539">
        <v>0</v>
      </c>
      <c r="I45" s="539">
        <v>0</v>
      </c>
      <c r="J45" s="545">
        <f t="shared" si="29"/>
        <v>0</v>
      </c>
      <c r="K45" s="546">
        <f t="shared" si="30"/>
        <v>0</v>
      </c>
      <c r="L45" s="539">
        <v>0</v>
      </c>
      <c r="M45" s="542">
        <f t="shared" si="31"/>
        <v>0</v>
      </c>
      <c r="N45" s="542">
        <f t="shared" si="32"/>
        <v>0</v>
      </c>
      <c r="O45" s="539">
        <v>0</v>
      </c>
      <c r="P45" s="543">
        <f t="shared" si="33"/>
        <v>0</v>
      </c>
      <c r="Q45" s="542">
        <f t="shared" si="34"/>
        <v>0</v>
      </c>
      <c r="R45" s="543">
        <f ca="1">IFERROR(__xludf.DUMMYFUNCTION("IMPORTRANGE(""https://docs.google.com/spreadsheets/d/17P34_Ow5kFBfdQD0qspb2UuPX5zpi6WMrQzslghyvrI/edit?usp=sharing"",""สกลนคร!Q759"")"),555700)</f>
        <v>555700</v>
      </c>
      <c r="S45" s="542">
        <f ca="1">IFERROR(__xludf.DUMMYFUNCTION("IMPORTRANGE(""https://docs.google.com/spreadsheets/d/17P34_Ow5kFBfdQD0qspb2UuPX5zpi6WMrQzslghyvrI/edit?usp=sharing"",""สกลนคร!R759"")"),0)</f>
        <v>0</v>
      </c>
      <c r="T45" s="543">
        <f ca="1">IFERROR(__xludf.DUMMYFUNCTION("IMPORTRANGE(""https://docs.google.com/spreadsheets/d/17P34_Ow5kFBfdQD0qspb2UuPX5zpi6WMrQzslghyvrI/edit?usp=sharing"",""สกลนคร!S759"")"),0)</f>
        <v>0</v>
      </c>
      <c r="U45" s="542">
        <f t="shared" ca="1" si="36"/>
        <v>0</v>
      </c>
      <c r="V45" s="542">
        <f t="shared" ca="1" si="37"/>
        <v>0</v>
      </c>
      <c r="W45" s="353">
        <f ca="1">IFERROR(__xludf.DUMMYFUNCTION("IMPORTRANGE(""https://docs.google.com/spreadsheets/d/17P34_Ow5kFBfdQD0qspb2UuPX5zpi6WMrQzslghyvrI/edit?usp=sharing"",""สกลนคร!I769"")"),0)</f>
        <v>0</v>
      </c>
      <c r="X45" s="177">
        <f ca="1">IFERROR(__xludf.DUMMYFUNCTION("IMPORTRANGE(""https://docs.google.com/spreadsheets/d/17P34_Ow5kFBfdQD0qspb2UuPX5zpi6WMrQzslghyvrI/edit?usp=sharing"",""สกลนคร!J769"")"),0)</f>
        <v>0</v>
      </c>
      <c r="Y45" s="354">
        <f t="shared" ca="1" si="39"/>
        <v>0</v>
      </c>
      <c r="Z45" s="177">
        <f ca="1">IFERROR(__xludf.DUMMYFUNCTION("IMPORTRANGE(""https://docs.google.com/spreadsheets/d/17P34_Ow5kFBfdQD0qspb2UuPX5zpi6WMrQzslghyvrI/edit?usp=sharing"",""สกลนคร!I771"")"),80)</f>
        <v>80</v>
      </c>
      <c r="AA45" s="177">
        <f ca="1">IFERROR(__xludf.DUMMYFUNCTION("IMPORTRANGE(""https://docs.google.com/spreadsheets/d/17P34_Ow5kFBfdQD0qspb2UuPX5zpi6WMrQzslghyvrI/edit?usp=sharing"",""สกลนคร!J771"")"),0)</f>
        <v>0</v>
      </c>
      <c r="AB45" s="354">
        <f t="shared" ca="1" si="41"/>
        <v>0</v>
      </c>
      <c r="AC45" s="177">
        <f ca="1">IFERROR(__xludf.DUMMYFUNCTION("IMPORTRANGE(""https://docs.google.com/spreadsheets/d/17P34_Ow5kFBfdQD0qspb2UuPX5zpi6WMrQzslghyvrI/edit?usp=sharing"",""สกลนคร!I773"")"),200)</f>
        <v>200</v>
      </c>
      <c r="AD45" s="177">
        <f ca="1">IFERROR(__xludf.DUMMYFUNCTION("IMPORTRANGE(""https://docs.google.com/spreadsheets/d/17P34_Ow5kFBfdQD0qspb2UuPX5zpi6WMrQzslghyvrI/edit?usp=sharing"",""สกลนคร!J773"")"),0)</f>
        <v>0</v>
      </c>
      <c r="AE45" s="354">
        <f t="shared" ca="1" si="43"/>
        <v>0</v>
      </c>
      <c r="AF45" s="177">
        <f ca="1">IFERROR(__xludf.DUMMYFUNCTION("IMPORTRANGE(""https://docs.google.com/spreadsheets/d/17P34_Ow5kFBfdQD0qspb2UuPX5zpi6WMrQzslghyvrI/edit?usp=sharing"",""สกลนคร!I774"")"),200)</f>
        <v>200</v>
      </c>
      <c r="AG45" s="177">
        <f ca="1">IFERROR(__xludf.DUMMYFUNCTION("IMPORTRANGE(""https://docs.google.com/spreadsheets/d/17P34_Ow5kFBfdQD0qspb2UuPX5zpi6WMrQzslghyvrI/edit?usp=sharing"",""สกลนคร!I775"")"),80)</f>
        <v>80</v>
      </c>
      <c r="AH45" s="177">
        <f ca="1">IFERROR(__xludf.DUMMYFUNCTION("IMPORTRANGE(""https://docs.google.com/spreadsheets/d/17P34_Ow5kFBfdQD0qspb2UuPX5zpi6WMrQzslghyvrI/edit?usp=sharing"",""สกลนคร!J774"")"),0)</f>
        <v>0</v>
      </c>
      <c r="AI45" s="354">
        <f t="shared" ca="1" si="45"/>
        <v>0</v>
      </c>
      <c r="AJ45" s="177">
        <f ca="1">IFERROR(__xludf.DUMMYFUNCTION("IMPORTRANGE(""https://docs.google.com/spreadsheets/d/17P34_Ow5kFBfdQD0qspb2UuPX5zpi6WMrQzslghyvrI/edit?usp=sharing"",""สกลนคร!J775"")"),0)</f>
        <v>0</v>
      </c>
      <c r="AK45" s="354">
        <f t="shared" ca="1" si="46"/>
        <v>0</v>
      </c>
    </row>
    <row r="46" spans="1:37" ht="19.5" x14ac:dyDescent="0.3">
      <c r="A46" s="535">
        <v>15</v>
      </c>
      <c r="B46" s="536" t="s">
        <v>72</v>
      </c>
      <c r="C46" s="537">
        <f t="shared" si="27"/>
        <v>0</v>
      </c>
      <c r="D46" s="538">
        <f t="shared" si="54"/>
        <v>0</v>
      </c>
      <c r="E46" s="539">
        <v>0</v>
      </c>
      <c r="F46" s="539">
        <v>0</v>
      </c>
      <c r="G46" s="539">
        <v>0</v>
      </c>
      <c r="H46" s="539">
        <v>0</v>
      </c>
      <c r="I46" s="539">
        <v>0</v>
      </c>
      <c r="J46" s="545">
        <f t="shared" si="29"/>
        <v>0</v>
      </c>
      <c r="K46" s="546">
        <f t="shared" si="30"/>
        <v>0</v>
      </c>
      <c r="L46" s="539">
        <v>0</v>
      </c>
      <c r="M46" s="542">
        <f t="shared" si="31"/>
        <v>0</v>
      </c>
      <c r="N46" s="542">
        <f t="shared" si="32"/>
        <v>0</v>
      </c>
      <c r="O46" s="539">
        <v>0</v>
      </c>
      <c r="P46" s="543">
        <f t="shared" si="33"/>
        <v>0</v>
      </c>
      <c r="Q46" s="542">
        <f t="shared" si="34"/>
        <v>0</v>
      </c>
      <c r="R46" s="543">
        <f ca="1">IFERROR(__xludf.DUMMYFUNCTION("IMPORTRANGE(""https://docs.google.com/spreadsheets/d/1yswqbM3-AEpThF3ZSUa1AcmHnmRTF1vlJ1CZGcJ8YuU/edit?usp=sharing"",""สุรินทร์!Q759"")"),588340)</f>
        <v>588340</v>
      </c>
      <c r="S46" s="542">
        <f ca="1">IFERROR(__xludf.DUMMYFUNCTION("IMPORTRANGE(""https://docs.google.com/spreadsheets/d/1yswqbM3-AEpThF3ZSUa1AcmHnmRTF1vlJ1CZGcJ8YuU/edit?usp=sharing"",""สุรินทร์!R759"")"),0)</f>
        <v>0</v>
      </c>
      <c r="T46" s="543">
        <f ca="1">IFERROR(__xludf.DUMMYFUNCTION("IMPORTRANGE(""https://docs.google.com/spreadsheets/d/1yswqbM3-AEpThF3ZSUa1AcmHnmRTF1vlJ1CZGcJ8YuU/edit?usp=sharing"",""สุรินทร์!S759"")"),13000)</f>
        <v>13000</v>
      </c>
      <c r="U46" s="542">
        <f t="shared" ca="1" si="36"/>
        <v>2.2096066900091782</v>
      </c>
      <c r="V46" s="542">
        <f t="shared" ca="1" si="37"/>
        <v>0</v>
      </c>
      <c r="W46" s="353">
        <f ca="1">IFERROR(__xludf.DUMMYFUNCTION("IMPORTRANGE(""https://docs.google.com/spreadsheets/d/1yswqbM3-AEpThF3ZSUa1AcmHnmRTF1vlJ1CZGcJ8YuU/edit?usp=sharing"",""สุรินทร์!I769"")"),0)</f>
        <v>0</v>
      </c>
      <c r="X46" s="177">
        <f ca="1">IFERROR(__xludf.DUMMYFUNCTION("IMPORTRANGE(""https://docs.google.com/spreadsheets/d/1yswqbM3-AEpThF3ZSUa1AcmHnmRTF1vlJ1CZGcJ8YuU/edit?usp=sharing"",""สุรินทร์!J769"")"),0)</f>
        <v>0</v>
      </c>
      <c r="Y46" s="354">
        <f t="shared" ca="1" si="39"/>
        <v>0</v>
      </c>
      <c r="Z46" s="177">
        <f ca="1">IFERROR(__xludf.DUMMYFUNCTION("IMPORTRANGE(""https://docs.google.com/spreadsheets/d/1yswqbM3-AEpThF3ZSUa1AcmHnmRTF1vlJ1CZGcJ8YuU/edit?usp=sharing"",""สุรินทร์!I771"")"),32)</f>
        <v>32</v>
      </c>
      <c r="AA46" s="177">
        <f ca="1">IFERROR(__xludf.DUMMYFUNCTION("IMPORTRANGE(""https://docs.google.com/spreadsheets/d/1yswqbM3-AEpThF3ZSUa1AcmHnmRTF1vlJ1CZGcJ8YuU/edit?usp=sharing"",""สุรินทร์!J771"")"),0)</f>
        <v>0</v>
      </c>
      <c r="AB46" s="354">
        <f t="shared" ca="1" si="41"/>
        <v>0</v>
      </c>
      <c r="AC46" s="177">
        <f ca="1">IFERROR(__xludf.DUMMYFUNCTION("IMPORTRANGE(""https://docs.google.com/spreadsheets/d/1yswqbM3-AEpThF3ZSUa1AcmHnmRTF1vlJ1CZGcJ8YuU/edit?usp=sharing"",""สุรินทร์!I773"")"),320)</f>
        <v>320</v>
      </c>
      <c r="AD46" s="177">
        <f ca="1">IFERROR(__xludf.DUMMYFUNCTION("IMPORTRANGE(""https://docs.google.com/spreadsheets/d/1yswqbM3-AEpThF3ZSUa1AcmHnmRTF1vlJ1CZGcJ8YuU/edit?usp=sharing"",""สุรินทร์!J773"")"),0)</f>
        <v>0</v>
      </c>
      <c r="AE46" s="354">
        <f t="shared" ca="1" si="43"/>
        <v>0</v>
      </c>
      <c r="AF46" s="177">
        <f ca="1">IFERROR(__xludf.DUMMYFUNCTION("IMPORTRANGE(""https://docs.google.com/spreadsheets/d/1yswqbM3-AEpThF3ZSUa1AcmHnmRTF1vlJ1CZGcJ8YuU/edit?usp=sharing"",""สุรินทร์!I774"")"),320)</f>
        <v>320</v>
      </c>
      <c r="AG46" s="177">
        <f ca="1">IFERROR(__xludf.DUMMYFUNCTION("IMPORTRANGE(""https://docs.google.com/spreadsheets/d/1yswqbM3-AEpThF3ZSUa1AcmHnmRTF1vlJ1CZGcJ8YuU/edit?usp=sharing"",""สุรินทร์!I775"")"),32)</f>
        <v>32</v>
      </c>
      <c r="AH46" s="177">
        <f ca="1">IFERROR(__xludf.DUMMYFUNCTION("IMPORTRANGE(""https://docs.google.com/spreadsheets/d/1yswqbM3-AEpThF3ZSUa1AcmHnmRTF1vlJ1CZGcJ8YuU/edit?usp=sharing"",""สุรินทร์!J774"")"),0)</f>
        <v>0</v>
      </c>
      <c r="AI46" s="354">
        <f t="shared" ca="1" si="45"/>
        <v>0</v>
      </c>
      <c r="AJ46" s="177">
        <f ca="1">IFERROR(__xludf.DUMMYFUNCTION("IMPORTRANGE(""https://docs.google.com/spreadsheets/d/1yswqbM3-AEpThF3ZSUa1AcmHnmRTF1vlJ1CZGcJ8YuU/edit?usp=sharing"",""สุรินทร์!J775"")"),0)</f>
        <v>0</v>
      </c>
      <c r="AK46" s="354">
        <f t="shared" ca="1" si="46"/>
        <v>0</v>
      </c>
    </row>
    <row r="47" spans="1:37" ht="19.5" x14ac:dyDescent="0.3">
      <c r="A47" s="535">
        <v>16</v>
      </c>
      <c r="B47" s="536" t="s">
        <v>73</v>
      </c>
      <c r="C47" s="537">
        <f t="shared" si="27"/>
        <v>0</v>
      </c>
      <c r="D47" s="538">
        <f t="shared" si="54"/>
        <v>0</v>
      </c>
      <c r="E47" s="539">
        <v>0</v>
      </c>
      <c r="F47" s="539">
        <v>0</v>
      </c>
      <c r="G47" s="539">
        <v>0</v>
      </c>
      <c r="H47" s="539">
        <v>0</v>
      </c>
      <c r="I47" s="539">
        <v>0</v>
      </c>
      <c r="J47" s="545">
        <f t="shared" si="29"/>
        <v>0</v>
      </c>
      <c r="K47" s="546">
        <f t="shared" si="30"/>
        <v>0</v>
      </c>
      <c r="L47" s="539">
        <v>0</v>
      </c>
      <c r="M47" s="542">
        <f t="shared" si="31"/>
        <v>0</v>
      </c>
      <c r="N47" s="542">
        <f t="shared" si="32"/>
        <v>0</v>
      </c>
      <c r="O47" s="539">
        <v>0</v>
      </c>
      <c r="P47" s="543">
        <f t="shared" si="33"/>
        <v>0</v>
      </c>
      <c r="Q47" s="542">
        <f t="shared" si="34"/>
        <v>0</v>
      </c>
      <c r="R47" s="543">
        <f ca="1">IFERROR(__xludf.DUMMYFUNCTION("IMPORTRANGE(""https://docs.google.com/spreadsheets/d/13JHU_EFbsQOUQ0JSQ3dWy1VTRosIWcDq6Nc99z2qzdc/edit?usp=sharing"",""หนองคาย!Q759"")"),533590)</f>
        <v>533590</v>
      </c>
      <c r="S47" s="542">
        <f ca="1">IFERROR(__xludf.DUMMYFUNCTION("IMPORTRANGE(""https://docs.google.com/spreadsheets/d/13JHU_EFbsQOUQ0JSQ3dWy1VTRosIWcDq6Nc99z2qzdc/edit?usp=sharing"",""หนองคาย!R759"")"),0)</f>
        <v>0</v>
      </c>
      <c r="T47" s="543">
        <f ca="1">IFERROR(__xludf.DUMMYFUNCTION("IMPORTRANGE(""https://docs.google.com/spreadsheets/d/13JHU_EFbsQOUQ0JSQ3dWy1VTRosIWcDq6Nc99z2qzdc/edit?usp=sharing"",""หนองคาย!S759"")"),0)</f>
        <v>0</v>
      </c>
      <c r="U47" s="542">
        <f t="shared" ca="1" si="36"/>
        <v>0</v>
      </c>
      <c r="V47" s="542">
        <f t="shared" ca="1" si="37"/>
        <v>0</v>
      </c>
      <c r="W47" s="355">
        <f ca="1">IFERROR(__xludf.DUMMYFUNCTION("IMPORTRANGE(""https://docs.google.com/spreadsheets/d/13JHU_EFbsQOUQ0JSQ3dWy1VTRosIWcDq6Nc99z2qzdc/edit?usp=sharing"",""หนองคาย!I769"")"),0)</f>
        <v>0</v>
      </c>
      <c r="X47" s="452">
        <f ca="1">IFERROR(__xludf.DUMMYFUNCTION("IMPORTRANGE(""https://docs.google.com/spreadsheets/d/13JHU_EFbsQOUQ0JSQ3dWy1VTRosIWcDq6Nc99z2qzdc/edit?usp=sharing"",""หนองคาย!J769"")"),0)</f>
        <v>0</v>
      </c>
      <c r="Y47" s="354">
        <f t="shared" ca="1" si="39"/>
        <v>0</v>
      </c>
      <c r="Z47" s="452">
        <f ca="1">IFERROR(__xludf.DUMMYFUNCTION("IMPORTRANGE(""https://docs.google.com/spreadsheets/d/13JHU_EFbsQOUQ0JSQ3dWy1VTRosIWcDq6Nc99z2qzdc/edit?usp=sharing"",""หนองคาย!I771"")"),63)</f>
        <v>63</v>
      </c>
      <c r="AA47" s="452">
        <f ca="1">IFERROR(__xludf.DUMMYFUNCTION("IMPORTRANGE(""https://docs.google.com/spreadsheets/d/13JHU_EFbsQOUQ0JSQ3dWy1VTRosIWcDq6Nc99z2qzdc/edit?usp=sharing"",""หนองคาย!J771"")"),0)</f>
        <v>0</v>
      </c>
      <c r="AB47" s="354">
        <f t="shared" ca="1" si="41"/>
        <v>0</v>
      </c>
      <c r="AC47" s="452">
        <f ca="1">IFERROR(__xludf.DUMMYFUNCTION("IMPORTRANGE(""https://docs.google.com/spreadsheets/d/13JHU_EFbsQOUQ0JSQ3dWy1VTRosIWcDq6Nc99z2qzdc/edit?usp=sharing"",""หนองคาย!I773"")"),210)</f>
        <v>210</v>
      </c>
      <c r="AD47" s="452">
        <f ca="1">IFERROR(__xludf.DUMMYFUNCTION("IMPORTRANGE(""https://docs.google.com/spreadsheets/d/13JHU_EFbsQOUQ0JSQ3dWy1VTRosIWcDq6Nc99z2qzdc/edit?usp=sharing"",""หนองคาย!J773"")"),0)</f>
        <v>0</v>
      </c>
      <c r="AE47" s="354">
        <f t="shared" ca="1" si="43"/>
        <v>0</v>
      </c>
      <c r="AF47" s="452">
        <f ca="1">IFERROR(__xludf.DUMMYFUNCTION("IMPORTRANGE(""https://docs.google.com/spreadsheets/d/13JHU_EFbsQOUQ0JSQ3dWy1VTRosIWcDq6Nc99z2qzdc/edit?usp=sharing"",""หนองคาย!I774"")"),210)</f>
        <v>210</v>
      </c>
      <c r="AG47" s="452">
        <f ca="1">IFERROR(__xludf.DUMMYFUNCTION("IMPORTRANGE(""https://docs.google.com/spreadsheets/d/13JHU_EFbsQOUQ0JSQ3dWy1VTRosIWcDq6Nc99z2qzdc/edit?usp=sharing"",""หนองคาย!I775"")"),63)</f>
        <v>63</v>
      </c>
      <c r="AH47" s="452">
        <f ca="1">IFERROR(__xludf.DUMMYFUNCTION("IMPORTRANGE(""https://docs.google.com/spreadsheets/d/13JHU_EFbsQOUQ0JSQ3dWy1VTRosIWcDq6Nc99z2qzdc/edit?usp=sharing"",""หนองคาย!J774"")"),0)</f>
        <v>0</v>
      </c>
      <c r="AI47" s="354">
        <f t="shared" ca="1" si="45"/>
        <v>0</v>
      </c>
      <c r="AJ47" s="452">
        <f ca="1">IFERROR(__xludf.DUMMYFUNCTION("IMPORTRANGE(""https://docs.google.com/spreadsheets/d/13JHU_EFbsQOUQ0JSQ3dWy1VTRosIWcDq6Nc99z2qzdc/edit?usp=sharing"",""หนองคาย!J775"")"),0)</f>
        <v>0</v>
      </c>
      <c r="AK47" s="354">
        <f t="shared" ca="1" si="46"/>
        <v>0</v>
      </c>
    </row>
    <row r="48" spans="1:37" ht="19.5" x14ac:dyDescent="0.3">
      <c r="A48" s="535">
        <v>17</v>
      </c>
      <c r="B48" s="536" t="s">
        <v>74</v>
      </c>
      <c r="C48" s="537">
        <f t="shared" si="27"/>
        <v>0</v>
      </c>
      <c r="D48" s="538">
        <f t="shared" si="54"/>
        <v>0</v>
      </c>
      <c r="E48" s="539">
        <v>0</v>
      </c>
      <c r="F48" s="539">
        <v>0</v>
      </c>
      <c r="G48" s="539">
        <v>0</v>
      </c>
      <c r="H48" s="539">
        <v>0</v>
      </c>
      <c r="I48" s="539">
        <v>0</v>
      </c>
      <c r="J48" s="545">
        <f t="shared" si="29"/>
        <v>0</v>
      </c>
      <c r="K48" s="546">
        <f t="shared" si="30"/>
        <v>0</v>
      </c>
      <c r="L48" s="539">
        <v>0</v>
      </c>
      <c r="M48" s="542">
        <f t="shared" si="31"/>
        <v>0</v>
      </c>
      <c r="N48" s="542">
        <f t="shared" si="32"/>
        <v>0</v>
      </c>
      <c r="O48" s="539">
        <v>0</v>
      </c>
      <c r="P48" s="543">
        <f t="shared" si="33"/>
        <v>0</v>
      </c>
      <c r="Q48" s="542">
        <f t="shared" si="34"/>
        <v>0</v>
      </c>
      <c r="R48" s="543">
        <f ca="1">IFERROR(__xludf.DUMMYFUNCTION("IMPORTRANGE(""https://docs.google.com/spreadsheets/d/1Hx73zIEgVdDZZaYSTc46Dqv64atFhpr3GelxLbaIN8A/edit?usp=sharing"",""หนองบัวลำภู!Q759"")"),566400)</f>
        <v>566400</v>
      </c>
      <c r="S48" s="542">
        <f ca="1">IFERROR(__xludf.DUMMYFUNCTION("IMPORTRANGE(""https://docs.google.com/spreadsheets/d/1Hx73zIEgVdDZZaYSTc46Dqv64atFhpr3GelxLbaIN8A/edit?usp=sharing"",""หนองบัวลำภู!R759"")"),0)</f>
        <v>0</v>
      </c>
      <c r="T48" s="543">
        <f ca="1">IFERROR(__xludf.DUMMYFUNCTION("IMPORTRANGE(""https://docs.google.com/spreadsheets/d/1Hx73zIEgVdDZZaYSTc46Dqv64atFhpr3GelxLbaIN8A/edit?usp=sharing"",""หนองบัวลำภู!S759"")"),0)</f>
        <v>0</v>
      </c>
      <c r="U48" s="542">
        <f t="shared" ca="1" si="36"/>
        <v>0</v>
      </c>
      <c r="V48" s="542">
        <f t="shared" ca="1" si="37"/>
        <v>0</v>
      </c>
      <c r="W48" s="353">
        <f ca="1">IFERROR(__xludf.DUMMYFUNCTION("IMPORTRANGE(""https://docs.google.com/spreadsheets/d/1Hx73zIEgVdDZZaYSTc46Dqv64atFhpr3GelxLbaIN8A/edit?usp=sharing"",""หนองบัวลำภู!I769"")"),0)</f>
        <v>0</v>
      </c>
      <c r="X48" s="177">
        <f ca="1">IFERROR(__xludf.DUMMYFUNCTION("IMPORTRANGE(""https://docs.google.com/spreadsheets/d/1Hx73zIEgVdDZZaYSTc46Dqv64atFhpr3GelxLbaIN8A/edit?usp=sharing"",""หนองบัวลำภู!J769"")"),0)</f>
        <v>0</v>
      </c>
      <c r="Y48" s="354">
        <f t="shared" ca="1" si="39"/>
        <v>0</v>
      </c>
      <c r="Z48" s="177">
        <f ca="1">IFERROR(__xludf.DUMMYFUNCTION("IMPORTRANGE(""https://docs.google.com/spreadsheets/d/1Hx73zIEgVdDZZaYSTc46Dqv64atFhpr3GelxLbaIN8A/edit?usp=sharing"",""หนองบัวลำภู!I771"")"),70)</f>
        <v>70</v>
      </c>
      <c r="AA48" s="177">
        <f ca="1">IFERROR(__xludf.DUMMYFUNCTION("IMPORTRANGE(""https://docs.google.com/spreadsheets/d/1Hx73zIEgVdDZZaYSTc46Dqv64atFhpr3GelxLbaIN8A/edit?usp=sharing"",""หนองบัวลำภู!J771"")"),0)</f>
        <v>0</v>
      </c>
      <c r="AB48" s="354">
        <f t="shared" ca="1" si="41"/>
        <v>0</v>
      </c>
      <c r="AC48" s="177">
        <f ca="1">IFERROR(__xludf.DUMMYFUNCTION("IMPORTRANGE(""https://docs.google.com/spreadsheets/d/1Hx73zIEgVdDZZaYSTc46Dqv64atFhpr3GelxLbaIN8A/edit?usp=sharing"",""หนองบัวลำภู!I773"")"),230)</f>
        <v>230</v>
      </c>
      <c r="AD48" s="177">
        <f ca="1">IFERROR(__xludf.DUMMYFUNCTION("IMPORTRANGE(""https://docs.google.com/spreadsheets/d/1Hx73zIEgVdDZZaYSTc46Dqv64atFhpr3GelxLbaIN8A/edit?usp=sharing"",""หนองบัวลำภู!J773"")"),0)</f>
        <v>0</v>
      </c>
      <c r="AE48" s="354">
        <f t="shared" ca="1" si="43"/>
        <v>0</v>
      </c>
      <c r="AF48" s="177">
        <f ca="1">IFERROR(__xludf.DUMMYFUNCTION("IMPORTRANGE(""https://docs.google.com/spreadsheets/d/1Hx73zIEgVdDZZaYSTc46Dqv64atFhpr3GelxLbaIN8A/edit?usp=sharing"",""หนองบัวลำภู!I774"")"),230)</f>
        <v>230</v>
      </c>
      <c r="AG48" s="177">
        <f ca="1">IFERROR(__xludf.DUMMYFUNCTION("IMPORTRANGE(""https://docs.google.com/spreadsheets/d/1Hx73zIEgVdDZZaYSTc46Dqv64atFhpr3GelxLbaIN8A/edit?usp=sharing"",""หนองบัวลำภู!I775"")"),70)</f>
        <v>70</v>
      </c>
      <c r="AH48" s="177">
        <f ca="1">IFERROR(__xludf.DUMMYFUNCTION("IMPORTRANGE(""https://docs.google.com/spreadsheets/d/1Hx73zIEgVdDZZaYSTc46Dqv64atFhpr3GelxLbaIN8A/edit?usp=sharing"",""หนองบัวลำภู!J774"")"),0)</f>
        <v>0</v>
      </c>
      <c r="AI48" s="354">
        <f t="shared" ca="1" si="45"/>
        <v>0</v>
      </c>
      <c r="AJ48" s="177">
        <f ca="1">IFERROR(__xludf.DUMMYFUNCTION("IMPORTRANGE(""https://docs.google.com/spreadsheets/d/1Hx73zIEgVdDZZaYSTc46Dqv64atFhpr3GelxLbaIN8A/edit?usp=sharing"",""หนองบัวลำภู!J775"")"),0)</f>
        <v>0</v>
      </c>
      <c r="AK48" s="354">
        <f t="shared" ca="1" si="46"/>
        <v>0</v>
      </c>
    </row>
    <row r="49" spans="1:37" ht="19.5" x14ac:dyDescent="0.3">
      <c r="A49" s="535">
        <v>18</v>
      </c>
      <c r="B49" s="536" t="s">
        <v>75</v>
      </c>
      <c r="C49" s="537">
        <f t="shared" si="27"/>
        <v>0</v>
      </c>
      <c r="D49" s="538">
        <f t="shared" si="54"/>
        <v>0</v>
      </c>
      <c r="E49" s="539">
        <v>0</v>
      </c>
      <c r="F49" s="539">
        <v>0</v>
      </c>
      <c r="G49" s="539">
        <v>0</v>
      </c>
      <c r="H49" s="539">
        <v>0</v>
      </c>
      <c r="I49" s="539">
        <v>0</v>
      </c>
      <c r="J49" s="545">
        <f t="shared" si="29"/>
        <v>0</v>
      </c>
      <c r="K49" s="546">
        <f t="shared" si="30"/>
        <v>0</v>
      </c>
      <c r="L49" s="539">
        <v>0</v>
      </c>
      <c r="M49" s="542">
        <f t="shared" si="31"/>
        <v>0</v>
      </c>
      <c r="N49" s="542">
        <f t="shared" si="32"/>
        <v>0</v>
      </c>
      <c r="O49" s="539">
        <v>0</v>
      </c>
      <c r="P49" s="543">
        <f t="shared" si="33"/>
        <v>0</v>
      </c>
      <c r="Q49" s="542">
        <f t="shared" si="34"/>
        <v>0</v>
      </c>
      <c r="R49" s="543">
        <f ca="1">IFERROR(__xludf.DUMMYFUNCTION("IMPORTRANGE(""https://docs.google.com/spreadsheets/d/1lFxr3ctmjFN90yc-xV6jrQ9Ty8BKYVBWnAZ15wcNIJc/edit?usp=sharing"",""อำนาจเจริญ!Q759"")"),503950)</f>
        <v>503950</v>
      </c>
      <c r="S49" s="542">
        <f ca="1">IFERROR(__xludf.DUMMYFUNCTION("IMPORTRANGE(""https://docs.google.com/spreadsheets/d/1lFxr3ctmjFN90yc-xV6jrQ9Ty8BKYVBWnAZ15wcNIJc/edit?usp=sharing"",""อำนาจเจริญ!R759"")"),0)</f>
        <v>0</v>
      </c>
      <c r="T49" s="543">
        <f ca="1">IFERROR(__xludf.DUMMYFUNCTION("IMPORTRANGE(""https://docs.google.com/spreadsheets/d/1lFxr3ctmjFN90yc-xV6jrQ9Ty8BKYVBWnAZ15wcNIJc/edit?usp=sharing"",""อำนาจเจริญ!S759"")"),0)</f>
        <v>0</v>
      </c>
      <c r="U49" s="542">
        <f t="shared" ca="1" si="36"/>
        <v>0</v>
      </c>
      <c r="V49" s="542">
        <f t="shared" ca="1" si="37"/>
        <v>0</v>
      </c>
      <c r="W49" s="353">
        <f ca="1">IFERROR(__xludf.DUMMYFUNCTION("IMPORTRANGE(""https://docs.google.com/spreadsheets/d/1lFxr3ctmjFN90yc-xV6jrQ9Ty8BKYVBWnAZ15wcNIJc/edit?usp=sharing"",""อำนาจเจริญ!I769"")"),0)</f>
        <v>0</v>
      </c>
      <c r="X49" s="177">
        <f ca="1">IFERROR(__xludf.DUMMYFUNCTION("IMPORTRANGE(""https://docs.google.com/spreadsheets/d/1lFxr3ctmjFN90yc-xV6jrQ9Ty8BKYVBWnAZ15wcNIJc/edit?usp=sharing"",""อำนาจเจริญ!J769"")"),0)</f>
        <v>0</v>
      </c>
      <c r="Y49" s="354">
        <f t="shared" ca="1" si="39"/>
        <v>0</v>
      </c>
      <c r="Z49" s="177">
        <f ca="1">IFERROR(__xludf.DUMMYFUNCTION("IMPORTRANGE(""https://docs.google.com/spreadsheets/d/1lFxr3ctmjFN90yc-xV6jrQ9Ty8BKYVBWnAZ15wcNIJc/edit?usp=sharing"",""อำนาจเจริญ!I771"")"),55)</f>
        <v>55</v>
      </c>
      <c r="AA49" s="177">
        <f ca="1">IFERROR(__xludf.DUMMYFUNCTION("IMPORTRANGE(""https://docs.google.com/spreadsheets/d/1lFxr3ctmjFN90yc-xV6jrQ9Ty8BKYVBWnAZ15wcNIJc/edit?usp=sharing"",""อำนาจเจริญ!J771"")"),0)</f>
        <v>0</v>
      </c>
      <c r="AB49" s="354">
        <f t="shared" ca="1" si="41"/>
        <v>0</v>
      </c>
      <c r="AC49" s="177">
        <f ca="1">IFERROR(__xludf.DUMMYFUNCTION("IMPORTRANGE(""https://docs.google.com/spreadsheets/d/1lFxr3ctmjFN90yc-xV6jrQ9Ty8BKYVBWnAZ15wcNIJc/edit?usp=sharing"",""อำนาจเจริญ!I773"")"),185)</f>
        <v>185</v>
      </c>
      <c r="AD49" s="177">
        <f ca="1">IFERROR(__xludf.DUMMYFUNCTION("IMPORTRANGE(""https://docs.google.com/spreadsheets/d/1lFxr3ctmjFN90yc-xV6jrQ9Ty8BKYVBWnAZ15wcNIJc/edit?usp=sharing"",""อำนาจเจริญ!J773"")"),0)</f>
        <v>0</v>
      </c>
      <c r="AE49" s="354">
        <f t="shared" ca="1" si="43"/>
        <v>0</v>
      </c>
      <c r="AF49" s="177">
        <f ca="1">IFERROR(__xludf.DUMMYFUNCTION("IMPORTRANGE(""https://docs.google.com/spreadsheets/d/1lFxr3ctmjFN90yc-xV6jrQ9Ty8BKYVBWnAZ15wcNIJc/edit?usp=sharing"",""อำนาจเจริญ!I774"")"),185)</f>
        <v>185</v>
      </c>
      <c r="AG49" s="177">
        <f ca="1">IFERROR(__xludf.DUMMYFUNCTION("IMPORTRANGE(""https://docs.google.com/spreadsheets/d/1lFxr3ctmjFN90yc-xV6jrQ9Ty8BKYVBWnAZ15wcNIJc/edit?usp=sharing"",""อำนาจเจริญ!I775"")"),55)</f>
        <v>55</v>
      </c>
      <c r="AH49" s="177">
        <f ca="1">IFERROR(__xludf.DUMMYFUNCTION("IMPORTRANGE(""https://docs.google.com/spreadsheets/d/1lFxr3ctmjFN90yc-xV6jrQ9Ty8BKYVBWnAZ15wcNIJc/edit?usp=sharing"",""อำนาจเจริญ!J774"")"),0)</f>
        <v>0</v>
      </c>
      <c r="AI49" s="354">
        <f t="shared" ca="1" si="45"/>
        <v>0</v>
      </c>
      <c r="AJ49" s="177">
        <f ca="1">IFERROR(__xludf.DUMMYFUNCTION("IMPORTRANGE(""https://docs.google.com/spreadsheets/d/1lFxr3ctmjFN90yc-xV6jrQ9Ty8BKYVBWnAZ15wcNIJc/edit?usp=sharing"",""อำนาจเจริญ!J775"")"),0)</f>
        <v>0</v>
      </c>
      <c r="AK49" s="354">
        <f t="shared" ca="1" si="46"/>
        <v>0</v>
      </c>
    </row>
    <row r="50" spans="1:37" ht="19.5" x14ac:dyDescent="0.3">
      <c r="A50" s="535">
        <v>19</v>
      </c>
      <c r="B50" s="536" t="s">
        <v>76</v>
      </c>
      <c r="C50" s="537">
        <f t="shared" si="27"/>
        <v>0</v>
      </c>
      <c r="D50" s="538">
        <f t="shared" si="54"/>
        <v>0</v>
      </c>
      <c r="E50" s="539">
        <v>0</v>
      </c>
      <c r="F50" s="539">
        <v>0</v>
      </c>
      <c r="G50" s="539">
        <v>0</v>
      </c>
      <c r="H50" s="539">
        <v>0</v>
      </c>
      <c r="I50" s="539">
        <v>0</v>
      </c>
      <c r="J50" s="545">
        <f t="shared" si="29"/>
        <v>0</v>
      </c>
      <c r="K50" s="546">
        <f t="shared" si="30"/>
        <v>0</v>
      </c>
      <c r="L50" s="539">
        <v>0</v>
      </c>
      <c r="M50" s="542">
        <f t="shared" si="31"/>
        <v>0</v>
      </c>
      <c r="N50" s="542">
        <f t="shared" si="32"/>
        <v>0</v>
      </c>
      <c r="O50" s="539">
        <v>0</v>
      </c>
      <c r="P50" s="543">
        <f t="shared" si="33"/>
        <v>0</v>
      </c>
      <c r="Q50" s="542">
        <f t="shared" si="34"/>
        <v>0</v>
      </c>
      <c r="R50" s="543">
        <f ca="1">IFERROR(__xludf.DUMMYFUNCTION("IMPORTRANGE(""https://docs.google.com/spreadsheets/d/1gF7RJpRnL-1oyjyeWxs5SFWEH7y8ahOZsQlyp2A2e-A/edit?usp=sharing"",""อุดรธานี!Q759"")"),830850)</f>
        <v>830850</v>
      </c>
      <c r="S50" s="542">
        <f ca="1">IFERROR(__xludf.DUMMYFUNCTION("IMPORTRANGE(""https://docs.google.com/spreadsheets/d/1gF7RJpRnL-1oyjyeWxs5SFWEH7y8ahOZsQlyp2A2e-A/edit?usp=sharing"",""อุดรธานี!R759"")"),0)</f>
        <v>0</v>
      </c>
      <c r="T50" s="543">
        <f ca="1">IFERROR(__xludf.DUMMYFUNCTION("IMPORTRANGE(""https://docs.google.com/spreadsheets/d/1gF7RJpRnL-1oyjyeWxs5SFWEH7y8ahOZsQlyp2A2e-A/edit?usp=sharing"",""อุดรธานี!S759"")"),1000)</f>
        <v>1000</v>
      </c>
      <c r="U50" s="542">
        <f t="shared" ca="1" si="36"/>
        <v>0.12035866883312271</v>
      </c>
      <c r="V50" s="542">
        <f t="shared" ca="1" si="37"/>
        <v>0</v>
      </c>
      <c r="W50" s="353">
        <f ca="1">IFERROR(__xludf.DUMMYFUNCTION("IMPORTRANGE(""https://docs.google.com/spreadsheets/d/1gF7RJpRnL-1oyjyeWxs5SFWEH7y8ahOZsQlyp2A2e-A/edit?usp=sharing"",""อุดรธานี!I769"")"),0)</f>
        <v>0</v>
      </c>
      <c r="X50" s="177">
        <f ca="1">IFERROR(__xludf.DUMMYFUNCTION("IMPORTRANGE(""https://docs.google.com/spreadsheets/d/1gF7RJpRnL-1oyjyeWxs5SFWEH7y8ahOZsQlyp2A2e-A/edit?usp=sharing"",""อุดรธานี!J769"")"),0)</f>
        <v>0</v>
      </c>
      <c r="Y50" s="354">
        <f t="shared" ca="1" si="39"/>
        <v>0</v>
      </c>
      <c r="Z50" s="177">
        <f ca="1">IFERROR(__xludf.DUMMYFUNCTION("IMPORTRANGE(""https://docs.google.com/spreadsheets/d/1gF7RJpRnL-1oyjyeWxs5SFWEH7y8ahOZsQlyp2A2e-A/edit?usp=sharing"",""อุดรธานี!I771"")"),85)</f>
        <v>85</v>
      </c>
      <c r="AA50" s="177">
        <f ca="1">IFERROR(__xludf.DUMMYFUNCTION("IMPORTRANGE(""https://docs.google.com/spreadsheets/d/1gF7RJpRnL-1oyjyeWxs5SFWEH7y8ahOZsQlyp2A2e-A/edit?usp=sharing"",""อุดรธานี!J771"")"),0)</f>
        <v>0</v>
      </c>
      <c r="AB50" s="354">
        <f t="shared" ca="1" si="41"/>
        <v>0</v>
      </c>
      <c r="AC50" s="177">
        <f ca="1">IFERROR(__xludf.DUMMYFUNCTION("IMPORTRANGE(""https://docs.google.com/spreadsheets/d/1gF7RJpRnL-1oyjyeWxs5SFWEH7y8ahOZsQlyp2A2e-A/edit?usp=sharing"",""อุดรธานี!I773"")"),425)</f>
        <v>425</v>
      </c>
      <c r="AD50" s="177">
        <f ca="1">IFERROR(__xludf.DUMMYFUNCTION("IMPORTRANGE(""https://docs.google.com/spreadsheets/d/1gF7RJpRnL-1oyjyeWxs5SFWEH7y8ahOZsQlyp2A2e-A/edit?usp=sharing"",""อุดรธานี!J773"")"),0)</f>
        <v>0</v>
      </c>
      <c r="AE50" s="354">
        <f t="shared" ca="1" si="43"/>
        <v>0</v>
      </c>
      <c r="AF50" s="177">
        <f ca="1">IFERROR(__xludf.DUMMYFUNCTION("IMPORTRANGE(""https://docs.google.com/spreadsheets/d/1gF7RJpRnL-1oyjyeWxs5SFWEH7y8ahOZsQlyp2A2e-A/edit?usp=sharing"",""อุดรธานี!I774"")"),425)</f>
        <v>425</v>
      </c>
      <c r="AG50" s="177">
        <f ca="1">IFERROR(__xludf.DUMMYFUNCTION("IMPORTRANGE(""https://docs.google.com/spreadsheets/d/1gF7RJpRnL-1oyjyeWxs5SFWEH7y8ahOZsQlyp2A2e-A/edit?usp=sharing"",""อุดรธานี!I775"")"),85)</f>
        <v>85</v>
      </c>
      <c r="AH50" s="177">
        <f ca="1">IFERROR(__xludf.DUMMYFUNCTION("IMPORTRANGE(""https://docs.google.com/spreadsheets/d/1gF7RJpRnL-1oyjyeWxs5SFWEH7y8ahOZsQlyp2A2e-A/edit?usp=sharing"",""อุดรธานี!J774"")"),0)</f>
        <v>0</v>
      </c>
      <c r="AI50" s="354">
        <f t="shared" ca="1" si="45"/>
        <v>0</v>
      </c>
      <c r="AJ50" s="177">
        <f ca="1">IFERROR(__xludf.DUMMYFUNCTION("IMPORTRANGE(""https://docs.google.com/spreadsheets/d/1gF7RJpRnL-1oyjyeWxs5SFWEH7y8ahOZsQlyp2A2e-A/edit?usp=sharing"",""อุดรธานี!J775"")"),0)</f>
        <v>0</v>
      </c>
      <c r="AK50" s="354">
        <f t="shared" ca="1" si="46"/>
        <v>0</v>
      </c>
    </row>
    <row r="51" spans="1:37" ht="19.5" x14ac:dyDescent="0.3">
      <c r="A51" s="548">
        <v>20</v>
      </c>
      <c r="B51" s="549" t="s">
        <v>77</v>
      </c>
      <c r="C51" s="550">
        <f t="shared" si="27"/>
        <v>0</v>
      </c>
      <c r="D51" s="551">
        <f t="shared" si="54"/>
        <v>0</v>
      </c>
      <c r="E51" s="552">
        <v>0</v>
      </c>
      <c r="F51" s="552">
        <v>0</v>
      </c>
      <c r="G51" s="552">
        <v>0</v>
      </c>
      <c r="H51" s="552">
        <v>0</v>
      </c>
      <c r="I51" s="552">
        <v>0</v>
      </c>
      <c r="J51" s="553">
        <f t="shared" si="29"/>
        <v>0</v>
      </c>
      <c r="K51" s="554">
        <f t="shared" si="30"/>
        <v>0</v>
      </c>
      <c r="L51" s="552">
        <v>0</v>
      </c>
      <c r="M51" s="555">
        <f t="shared" si="31"/>
        <v>0</v>
      </c>
      <c r="N51" s="555">
        <f t="shared" si="32"/>
        <v>0</v>
      </c>
      <c r="O51" s="552">
        <v>0</v>
      </c>
      <c r="P51" s="556">
        <f t="shared" si="33"/>
        <v>0</v>
      </c>
      <c r="Q51" s="555">
        <f t="shared" si="34"/>
        <v>0</v>
      </c>
      <c r="R51" s="556">
        <f ca="1">IFERROR(__xludf.DUMMYFUNCTION("IMPORTRANGE(""https://docs.google.com/spreadsheets/d/1kfLP0j3INXRa8bTDpcEmoWewMBV61jlFlfzczfjWIgc/edit?usp=sharing"",""อุบลราชธานี!Q759"")"),675000)</f>
        <v>675000</v>
      </c>
      <c r="S51" s="555">
        <f ca="1">IFERROR(__xludf.DUMMYFUNCTION("IMPORTRANGE(""https://docs.google.com/spreadsheets/d/1kfLP0j3INXRa8bTDpcEmoWewMBV61jlFlfzczfjWIgc/edit?usp=sharing"",""อุบลราชธานี!R759"")"),0)</f>
        <v>0</v>
      </c>
      <c r="T51" s="556">
        <f ca="1">IFERROR(__xludf.DUMMYFUNCTION("IMPORTRANGE(""https://docs.google.com/spreadsheets/d/1kfLP0j3INXRa8bTDpcEmoWewMBV61jlFlfzczfjWIgc/edit?usp=sharing"",""อุบลราชธานี!S759"")"),0)</f>
        <v>0</v>
      </c>
      <c r="U51" s="555">
        <f t="shared" ca="1" si="36"/>
        <v>0</v>
      </c>
      <c r="V51" s="555">
        <f t="shared" ca="1" si="37"/>
        <v>0</v>
      </c>
      <c r="W51" s="356">
        <f ca="1">IFERROR(__xludf.DUMMYFUNCTION("IMPORTRANGE(""https://docs.google.com/spreadsheets/d/1kfLP0j3INXRa8bTDpcEmoWewMBV61jlFlfzczfjWIgc/edit?usp=sharing"",""อุบลราชธานี!I769"")"),0)</f>
        <v>0</v>
      </c>
      <c r="X51" s="186">
        <f ca="1">IFERROR(__xludf.DUMMYFUNCTION("IMPORTRANGE(""https://docs.google.com/spreadsheets/d/1kfLP0j3INXRa8bTDpcEmoWewMBV61jlFlfzczfjWIgc/edit?usp=sharing"",""อุบลราชธานี!J769"")"),0)</f>
        <v>0</v>
      </c>
      <c r="Y51" s="357">
        <f t="shared" ca="1" si="39"/>
        <v>0</v>
      </c>
      <c r="Z51" s="186">
        <f ca="1">IFERROR(__xludf.DUMMYFUNCTION("IMPORTRANGE(""https://docs.google.com/spreadsheets/d/1kfLP0j3INXRa8bTDpcEmoWewMBV61jlFlfzczfjWIgc/edit?usp=sharing"",""อุบลราชธานี!I771"")"),90)</f>
        <v>90</v>
      </c>
      <c r="AA51" s="186">
        <f ca="1">IFERROR(__xludf.DUMMYFUNCTION("IMPORTRANGE(""https://docs.google.com/spreadsheets/d/1kfLP0j3INXRa8bTDpcEmoWewMBV61jlFlfzczfjWIgc/edit?usp=sharing"",""อุบลราชธานี!J771"")"),0)</f>
        <v>0</v>
      </c>
      <c r="AB51" s="357">
        <f t="shared" ca="1" si="41"/>
        <v>0</v>
      </c>
      <c r="AC51" s="186">
        <f ca="1">IFERROR(__xludf.DUMMYFUNCTION("IMPORTRANGE(""https://docs.google.com/spreadsheets/d/1kfLP0j3INXRa8bTDpcEmoWewMBV61jlFlfzczfjWIgc/edit?usp=sharing"",""อุบลราชธานี!I773"")"),300)</f>
        <v>300</v>
      </c>
      <c r="AD51" s="186">
        <f ca="1">IFERROR(__xludf.DUMMYFUNCTION("IMPORTRANGE(""https://docs.google.com/spreadsheets/d/1kfLP0j3INXRa8bTDpcEmoWewMBV61jlFlfzczfjWIgc/edit?usp=sharing"",""อุบลราชธานี!J773"")"),0)</f>
        <v>0</v>
      </c>
      <c r="AE51" s="357">
        <f t="shared" ca="1" si="43"/>
        <v>0</v>
      </c>
      <c r="AF51" s="186">
        <f ca="1">IFERROR(__xludf.DUMMYFUNCTION("IMPORTRANGE(""https://docs.google.com/spreadsheets/d/1kfLP0j3INXRa8bTDpcEmoWewMBV61jlFlfzczfjWIgc/edit?usp=sharing"",""อุบลราชธานี!I774"")"),300)</f>
        <v>300</v>
      </c>
      <c r="AG51" s="186">
        <f ca="1">IFERROR(__xludf.DUMMYFUNCTION("IMPORTRANGE(""https://docs.google.com/spreadsheets/d/1kfLP0j3INXRa8bTDpcEmoWewMBV61jlFlfzczfjWIgc/edit?usp=sharing"",""อุบลราชธานี!I775"")"),90)</f>
        <v>90</v>
      </c>
      <c r="AH51" s="186">
        <f ca="1">IFERROR(__xludf.DUMMYFUNCTION("IMPORTRANGE(""https://docs.google.com/spreadsheets/d/1kfLP0j3INXRa8bTDpcEmoWewMBV61jlFlfzczfjWIgc/edit?usp=sharing"",""อุบลราชธานี!J774"")"),0)</f>
        <v>0</v>
      </c>
      <c r="AI51" s="357">
        <f t="shared" ca="1" si="45"/>
        <v>0</v>
      </c>
      <c r="AJ51" s="186">
        <f ca="1">IFERROR(__xludf.DUMMYFUNCTION("IMPORTRANGE(""https://docs.google.com/spreadsheets/d/1kfLP0j3INXRa8bTDpcEmoWewMBV61jlFlfzczfjWIgc/edit?usp=sharing"",""อุบลราชธานี!J775"")"),0)</f>
        <v>0</v>
      </c>
      <c r="AK51" s="357">
        <f t="shared" ca="1" si="46"/>
        <v>0</v>
      </c>
    </row>
    <row r="52" spans="1:37" ht="19.5" x14ac:dyDescent="0.3">
      <c r="A52" s="720" t="s">
        <v>78</v>
      </c>
      <c r="B52" s="593"/>
      <c r="C52" s="490">
        <f t="shared" si="27"/>
        <v>0</v>
      </c>
      <c r="D52" s="490">
        <f t="shared" ref="D52:I52" si="55">SUM(D53:D73)</f>
        <v>0</v>
      </c>
      <c r="E52" s="490">
        <f t="shared" si="55"/>
        <v>0</v>
      </c>
      <c r="F52" s="490">
        <f t="shared" si="55"/>
        <v>0</v>
      </c>
      <c r="G52" s="490">
        <f t="shared" si="55"/>
        <v>0</v>
      </c>
      <c r="H52" s="490">
        <f t="shared" si="55"/>
        <v>0</v>
      </c>
      <c r="I52" s="490">
        <f t="shared" si="55"/>
        <v>0</v>
      </c>
      <c r="J52" s="490">
        <f t="shared" si="29"/>
        <v>0</v>
      </c>
      <c r="K52" s="522">
        <f t="shared" si="30"/>
        <v>0</v>
      </c>
      <c r="L52" s="490">
        <f>SUM(L53:L73)</f>
        <v>0</v>
      </c>
      <c r="M52" s="491">
        <f t="shared" si="31"/>
        <v>0</v>
      </c>
      <c r="N52" s="491">
        <f t="shared" si="32"/>
        <v>0</v>
      </c>
      <c r="O52" s="523">
        <f>SUM(O53:O73)</f>
        <v>0</v>
      </c>
      <c r="P52" s="523">
        <f t="shared" si="33"/>
        <v>0</v>
      </c>
      <c r="Q52" s="491">
        <f t="shared" si="34"/>
        <v>0</v>
      </c>
      <c r="R52" s="523">
        <f t="shared" ref="R52:T52" ca="1" si="56">SUM(R53:R73)</f>
        <v>3121330</v>
      </c>
      <c r="S52" s="491">
        <f t="shared" ca="1" si="56"/>
        <v>0</v>
      </c>
      <c r="T52" s="523">
        <f t="shared" ca="1" si="56"/>
        <v>29320</v>
      </c>
      <c r="U52" s="491">
        <f t="shared" ca="1" si="36"/>
        <v>0.93934316461252099</v>
      </c>
      <c r="V52" s="491">
        <f t="shared" ca="1" si="37"/>
        <v>0</v>
      </c>
      <c r="W52" s="348">
        <f t="shared" ref="W52:X52" ca="1" si="57">SUM(W53:W73)</f>
        <v>0</v>
      </c>
      <c r="X52" s="451">
        <f t="shared" ca="1" si="57"/>
        <v>0</v>
      </c>
      <c r="Y52" s="40">
        <f t="shared" ca="1" si="39"/>
        <v>0</v>
      </c>
      <c r="Z52" s="451">
        <f t="shared" ref="Z52:AA52" ca="1" si="58">SUM(Z53:Z73)</f>
        <v>425</v>
      </c>
      <c r="AA52" s="451">
        <f t="shared" ca="1" si="58"/>
        <v>0</v>
      </c>
      <c r="AB52" s="40">
        <f t="shared" ca="1" si="41"/>
        <v>0</v>
      </c>
      <c r="AC52" s="451">
        <f t="shared" ref="AC52:AD52" ca="1" si="59">SUM(AC53:AC73)</f>
        <v>885</v>
      </c>
      <c r="AD52" s="451">
        <f t="shared" ca="1" si="59"/>
        <v>0</v>
      </c>
      <c r="AE52" s="40">
        <f t="shared" ca="1" si="43"/>
        <v>0</v>
      </c>
      <c r="AF52" s="451">
        <f t="shared" ref="AF52:AH52" ca="1" si="60">SUM(AF53:AF73)</f>
        <v>885</v>
      </c>
      <c r="AG52" s="451">
        <f t="shared" ca="1" si="60"/>
        <v>425</v>
      </c>
      <c r="AH52" s="451">
        <f t="shared" ca="1" si="60"/>
        <v>0</v>
      </c>
      <c r="AI52" s="40">
        <f t="shared" ca="1" si="45"/>
        <v>0</v>
      </c>
      <c r="AJ52" s="451">
        <f ca="1">SUM(AJ53:AJ73)</f>
        <v>0</v>
      </c>
      <c r="AK52" s="40">
        <f t="shared" ca="1" si="46"/>
        <v>0</v>
      </c>
    </row>
    <row r="53" spans="1:37" ht="19.5" x14ac:dyDescent="0.3">
      <c r="A53" s="535">
        <v>1</v>
      </c>
      <c r="B53" s="536" t="s">
        <v>79</v>
      </c>
      <c r="C53" s="537">
        <f t="shared" si="27"/>
        <v>0</v>
      </c>
      <c r="D53" s="538">
        <f t="shared" ref="D53:D73" si="61">+E53+F53</f>
        <v>0</v>
      </c>
      <c r="E53" s="539">
        <v>0</v>
      </c>
      <c r="F53" s="539">
        <v>0</v>
      </c>
      <c r="G53" s="540">
        <v>0</v>
      </c>
      <c r="H53" s="540">
        <v>0</v>
      </c>
      <c r="I53" s="540">
        <v>0</v>
      </c>
      <c r="J53" s="496">
        <f t="shared" si="29"/>
        <v>0</v>
      </c>
      <c r="K53" s="541">
        <f t="shared" si="30"/>
        <v>0</v>
      </c>
      <c r="L53" s="540">
        <v>0</v>
      </c>
      <c r="M53" s="542">
        <f t="shared" si="31"/>
        <v>0</v>
      </c>
      <c r="N53" s="542">
        <f t="shared" si="32"/>
        <v>0</v>
      </c>
      <c r="O53" s="539">
        <v>0</v>
      </c>
      <c r="P53" s="543">
        <f t="shared" si="33"/>
        <v>0</v>
      </c>
      <c r="Q53" s="542">
        <f t="shared" si="34"/>
        <v>0</v>
      </c>
      <c r="R53" s="543">
        <f ca="1">IFERROR(__xludf.DUMMYFUNCTION("IMPORTRANGE(""https://docs.google.com/spreadsheets/d/13wPX838HrBrQMCywv1BsuMkt4PEKTChp52zj44s2izQ/edit?usp=sharing"",""กาญจนบุรี!Q759"")"),574850)</f>
        <v>574850</v>
      </c>
      <c r="S53" s="542">
        <f ca="1">IFERROR(__xludf.DUMMYFUNCTION("IMPORTRANGE(""https://docs.google.com/spreadsheets/d/13wPX838HrBrQMCywv1BsuMkt4PEKTChp52zj44s2izQ/edit?usp=sharing"",""กาญจนบุรี!R759"")"),0)</f>
        <v>0</v>
      </c>
      <c r="T53" s="543">
        <f ca="1">IFERROR(__xludf.DUMMYFUNCTION("IMPORTRANGE(""https://docs.google.com/spreadsheets/d/13wPX838HrBrQMCywv1BsuMkt4PEKTChp52zj44s2izQ/edit?usp=sharing"",""กาญจนบุรี!S759"")"),1320)</f>
        <v>1320</v>
      </c>
      <c r="U53" s="542">
        <f t="shared" ca="1" si="36"/>
        <v>0.22962511959641646</v>
      </c>
      <c r="V53" s="542">
        <f t="shared" ca="1" si="37"/>
        <v>0</v>
      </c>
      <c r="W53" s="353">
        <f ca="1">IFERROR(__xludf.DUMMYFUNCTION("IMPORTRANGE(""https://docs.google.com/spreadsheets/d/13wPX838HrBrQMCywv1BsuMkt4PEKTChp52zj44s2izQ/edit?usp=sharing"",""กาญจนบุรี!I769"")"),0)</f>
        <v>0</v>
      </c>
      <c r="X53" s="177">
        <f ca="1">IFERROR(__xludf.DUMMYFUNCTION("IMPORTRANGE(""https://docs.google.com/spreadsheets/d/13wPX838HrBrQMCywv1BsuMkt4PEKTChp52zj44s2izQ/edit?usp=sharing"",""กาญจนบุรี!J769"")"),0)</f>
        <v>0</v>
      </c>
      <c r="Y53" s="354">
        <f t="shared" ca="1" si="39"/>
        <v>0</v>
      </c>
      <c r="Z53" s="177">
        <f ca="1">IFERROR(__xludf.DUMMYFUNCTION("IMPORTRANGE(""https://docs.google.com/spreadsheets/d/13wPX838HrBrQMCywv1BsuMkt4PEKTChp52zj44s2izQ/edit?usp=sharing"",""กาญจนบุรี!I771"")"),85)</f>
        <v>85</v>
      </c>
      <c r="AA53" s="177">
        <f ca="1">IFERROR(__xludf.DUMMYFUNCTION("IMPORTRANGE(""https://docs.google.com/spreadsheets/d/13wPX838HrBrQMCywv1BsuMkt4PEKTChp52zj44s2izQ/edit?usp=sharing"",""กาญจนบุรี!J771"")"),0)</f>
        <v>0</v>
      </c>
      <c r="AB53" s="354">
        <f t="shared" ca="1" si="41"/>
        <v>0</v>
      </c>
      <c r="AC53" s="177">
        <f ca="1">IFERROR(__xludf.DUMMYFUNCTION("IMPORTRANGE(""https://docs.google.com/spreadsheets/d/13wPX838HrBrQMCywv1BsuMkt4PEKTChp52zj44s2izQ/edit?usp=sharing"",""กาญจนบุรี!I773"")"),220)</f>
        <v>220</v>
      </c>
      <c r="AD53" s="177">
        <f ca="1">IFERROR(__xludf.DUMMYFUNCTION("IMPORTRANGE(""https://docs.google.com/spreadsheets/d/13wPX838HrBrQMCywv1BsuMkt4PEKTChp52zj44s2izQ/edit?usp=sharing"",""กาญจนบุรี!J773"")"),0)</f>
        <v>0</v>
      </c>
      <c r="AE53" s="354">
        <f t="shared" ca="1" si="43"/>
        <v>0</v>
      </c>
      <c r="AF53" s="177">
        <f ca="1">IFERROR(__xludf.DUMMYFUNCTION("IMPORTRANGE(""https://docs.google.com/spreadsheets/d/13wPX838HrBrQMCywv1BsuMkt4PEKTChp52zj44s2izQ/edit?usp=sharing"",""กาญจนบุรี!I774"")"),220)</f>
        <v>220</v>
      </c>
      <c r="AG53" s="177">
        <f ca="1">IFERROR(__xludf.DUMMYFUNCTION("IMPORTRANGE(""https://docs.google.com/spreadsheets/d/13wPX838HrBrQMCywv1BsuMkt4PEKTChp52zj44s2izQ/edit?usp=sharing"",""กาญจนบุรี!I775"")"),85)</f>
        <v>85</v>
      </c>
      <c r="AH53" s="177">
        <f ca="1">IFERROR(__xludf.DUMMYFUNCTION("IMPORTRANGE(""https://docs.google.com/spreadsheets/d/13wPX838HrBrQMCywv1BsuMkt4PEKTChp52zj44s2izQ/edit?usp=sharing"",""กาญจนบุรี!J774"")"),0)</f>
        <v>0</v>
      </c>
      <c r="AI53" s="354">
        <f t="shared" ca="1" si="45"/>
        <v>0</v>
      </c>
      <c r="AJ53" s="177">
        <f ca="1">IFERROR(__xludf.DUMMYFUNCTION("IMPORTRANGE(""https://docs.google.com/spreadsheets/d/13wPX838HrBrQMCywv1BsuMkt4PEKTChp52zj44s2izQ/edit?usp=sharing"",""กาญจนบุรี!J775"")"),0)</f>
        <v>0</v>
      </c>
      <c r="AK53" s="354">
        <f t="shared" ca="1" si="46"/>
        <v>0</v>
      </c>
    </row>
    <row r="54" spans="1:37" ht="19.5" x14ac:dyDescent="0.3">
      <c r="A54" s="535">
        <v>2</v>
      </c>
      <c r="B54" s="536" t="s">
        <v>80</v>
      </c>
      <c r="C54" s="537">
        <f t="shared" si="27"/>
        <v>0</v>
      </c>
      <c r="D54" s="538">
        <f t="shared" si="61"/>
        <v>0</v>
      </c>
      <c r="E54" s="539">
        <v>0</v>
      </c>
      <c r="F54" s="539">
        <v>0</v>
      </c>
      <c r="G54" s="539">
        <v>0</v>
      </c>
      <c r="H54" s="539">
        <v>0</v>
      </c>
      <c r="I54" s="539">
        <v>0</v>
      </c>
      <c r="J54" s="545">
        <f t="shared" si="29"/>
        <v>0</v>
      </c>
      <c r="K54" s="546">
        <f t="shared" si="30"/>
        <v>0</v>
      </c>
      <c r="L54" s="539">
        <v>0</v>
      </c>
      <c r="M54" s="542">
        <f t="shared" si="31"/>
        <v>0</v>
      </c>
      <c r="N54" s="542">
        <f t="shared" si="32"/>
        <v>0</v>
      </c>
      <c r="O54" s="539">
        <v>0</v>
      </c>
      <c r="P54" s="543">
        <f t="shared" si="33"/>
        <v>0</v>
      </c>
      <c r="Q54" s="542">
        <f t="shared" si="34"/>
        <v>0</v>
      </c>
      <c r="R54" s="543">
        <f ca="1">IFERROR(__xludf.DUMMYFUNCTION("IMPORTRANGE(""https://docs.google.com/spreadsheets/d/1ddFKvqj1W1NEiWytbGlB1zMx_ykJDVtmfEQ-6-lIUBA/edit?usp=sharing"",""จันทบุรี!Q759"")"),0)</f>
        <v>0</v>
      </c>
      <c r="S54" s="542">
        <f ca="1">IFERROR(__xludf.DUMMYFUNCTION("IMPORTRANGE(""https://docs.google.com/spreadsheets/d/1ddFKvqj1W1NEiWytbGlB1zMx_ykJDVtmfEQ-6-lIUBA/edit?usp=sharing"",""จันทบุรี!R759"")"),0)</f>
        <v>0</v>
      </c>
      <c r="T54" s="543">
        <f ca="1">IFERROR(__xludf.DUMMYFUNCTION("IMPORTRANGE(""https://docs.google.com/spreadsheets/d/1ddFKvqj1W1NEiWytbGlB1zMx_ykJDVtmfEQ-6-lIUBA/edit?usp=sharing"",""จันทบุรี!S759"")"),0)</f>
        <v>0</v>
      </c>
      <c r="U54" s="542">
        <f t="shared" ca="1" si="36"/>
        <v>0</v>
      </c>
      <c r="V54" s="542">
        <f t="shared" ca="1" si="37"/>
        <v>0</v>
      </c>
      <c r="W54" s="353">
        <f ca="1">IFERROR(__xludf.DUMMYFUNCTION("IMPORTRANGE(""https://docs.google.com/spreadsheets/d/1ddFKvqj1W1NEiWytbGlB1zMx_ykJDVtmfEQ-6-lIUBA/edit?usp=sharing"",""จันทบุรี!I769"")"),0)</f>
        <v>0</v>
      </c>
      <c r="X54" s="177">
        <f ca="1">IFERROR(__xludf.DUMMYFUNCTION("IMPORTRANGE(""https://docs.google.com/spreadsheets/d/1ddFKvqj1W1NEiWytbGlB1zMx_ykJDVtmfEQ-6-lIUBA/edit?usp=sharing"",""จันทบุรี!J769"")"),0)</f>
        <v>0</v>
      </c>
      <c r="Y54" s="354">
        <f t="shared" ca="1" si="39"/>
        <v>0</v>
      </c>
      <c r="Z54" s="177">
        <f ca="1">IFERROR(__xludf.DUMMYFUNCTION("IMPORTRANGE(""https://docs.google.com/spreadsheets/d/1ddFKvqj1W1NEiWytbGlB1zMx_ykJDVtmfEQ-6-lIUBA/edit?usp=sharing"",""จันทบุรี!I771"")"),0)</f>
        <v>0</v>
      </c>
      <c r="AA54" s="177">
        <f ca="1">IFERROR(__xludf.DUMMYFUNCTION("IMPORTRANGE(""https://docs.google.com/spreadsheets/d/1ddFKvqj1W1NEiWytbGlB1zMx_ykJDVtmfEQ-6-lIUBA/edit?usp=sharing"",""จันทบุรี!J771"")"),0)</f>
        <v>0</v>
      </c>
      <c r="AB54" s="354">
        <f t="shared" ca="1" si="41"/>
        <v>0</v>
      </c>
      <c r="AC54" s="177">
        <f ca="1">IFERROR(__xludf.DUMMYFUNCTION("IMPORTRANGE(""https://docs.google.com/spreadsheets/d/1ddFKvqj1W1NEiWytbGlB1zMx_ykJDVtmfEQ-6-lIUBA/edit?usp=sharing"",""จันทบุรี!I773"")"),0)</f>
        <v>0</v>
      </c>
      <c r="AD54" s="177">
        <f ca="1">IFERROR(__xludf.DUMMYFUNCTION("IMPORTRANGE(""https://docs.google.com/spreadsheets/d/1ddFKvqj1W1NEiWytbGlB1zMx_ykJDVtmfEQ-6-lIUBA/edit?usp=sharing"",""จันทบุรี!J773"")"),0)</f>
        <v>0</v>
      </c>
      <c r="AE54" s="354">
        <f t="shared" ca="1" si="43"/>
        <v>0</v>
      </c>
      <c r="AF54" s="177">
        <f ca="1">IFERROR(__xludf.DUMMYFUNCTION("IMPORTRANGE(""https://docs.google.com/spreadsheets/d/1ddFKvqj1W1NEiWytbGlB1zMx_ykJDVtmfEQ-6-lIUBA/edit?usp=sharing"",""จันทบุรี!I774"")"),0)</f>
        <v>0</v>
      </c>
      <c r="AG54" s="177">
        <f ca="1">IFERROR(__xludf.DUMMYFUNCTION("IMPORTRANGE(""https://docs.google.com/spreadsheets/d/1ddFKvqj1W1NEiWytbGlB1zMx_ykJDVtmfEQ-6-lIUBA/edit?usp=sharing"",""จันทบุรี!I775"")"),0)</f>
        <v>0</v>
      </c>
      <c r="AH54" s="177">
        <f ca="1">IFERROR(__xludf.DUMMYFUNCTION("IMPORTRANGE(""https://docs.google.com/spreadsheets/d/1ddFKvqj1W1NEiWytbGlB1zMx_ykJDVtmfEQ-6-lIUBA/edit?usp=sharing"",""จันทบุรี!J774"")"),0)</f>
        <v>0</v>
      </c>
      <c r="AI54" s="354">
        <f t="shared" ca="1" si="45"/>
        <v>0</v>
      </c>
      <c r="AJ54" s="177">
        <f ca="1">IFERROR(__xludf.DUMMYFUNCTION("IMPORTRANGE(""https://docs.google.com/spreadsheets/d/1ddFKvqj1W1NEiWytbGlB1zMx_ykJDVtmfEQ-6-lIUBA/edit?usp=sharing"",""จันทบุรี!J775"")"),0)</f>
        <v>0</v>
      </c>
      <c r="AK54" s="354">
        <f t="shared" ca="1" si="46"/>
        <v>0</v>
      </c>
    </row>
    <row r="55" spans="1:37" ht="19.5" x14ac:dyDescent="0.3">
      <c r="A55" s="535">
        <v>3</v>
      </c>
      <c r="B55" s="536" t="s">
        <v>81</v>
      </c>
      <c r="C55" s="537">
        <f t="shared" si="27"/>
        <v>0</v>
      </c>
      <c r="D55" s="538">
        <f t="shared" si="61"/>
        <v>0</v>
      </c>
      <c r="E55" s="539">
        <v>0</v>
      </c>
      <c r="F55" s="539">
        <v>0</v>
      </c>
      <c r="G55" s="539">
        <v>0</v>
      </c>
      <c r="H55" s="539">
        <v>0</v>
      </c>
      <c r="I55" s="539">
        <v>0</v>
      </c>
      <c r="J55" s="545">
        <f t="shared" si="29"/>
        <v>0</v>
      </c>
      <c r="K55" s="546">
        <f t="shared" si="30"/>
        <v>0</v>
      </c>
      <c r="L55" s="539">
        <v>0</v>
      </c>
      <c r="M55" s="542">
        <f t="shared" si="31"/>
        <v>0</v>
      </c>
      <c r="N55" s="542">
        <f t="shared" si="32"/>
        <v>0</v>
      </c>
      <c r="O55" s="539">
        <v>0</v>
      </c>
      <c r="P55" s="543">
        <f t="shared" si="33"/>
        <v>0</v>
      </c>
      <c r="Q55" s="542">
        <f t="shared" si="34"/>
        <v>0</v>
      </c>
      <c r="R55" s="543">
        <f ca="1">IFERROR(__xludf.DUMMYFUNCTION("IMPORTRANGE(""https://docs.google.com/spreadsheets/d/1T1PQvRODqOBZk8BRht_U031fIS1beLA0Ub2CEytj2q0/edit?usp=sharing"",""ฉะเชิงเทรา!Q759"")"),409400)</f>
        <v>409400</v>
      </c>
      <c r="S55" s="542">
        <f ca="1">IFERROR(__xludf.DUMMYFUNCTION("IMPORTRANGE(""https://docs.google.com/spreadsheets/d/1T1PQvRODqOBZk8BRht_U031fIS1beLA0Ub2CEytj2q0/edit?usp=sharing"",""ฉะเชิงเทรา!R759"")"),0)</f>
        <v>0</v>
      </c>
      <c r="T55" s="543">
        <f ca="1">IFERROR(__xludf.DUMMYFUNCTION("IMPORTRANGE(""https://docs.google.com/spreadsheets/d/1T1PQvRODqOBZk8BRht_U031fIS1beLA0Ub2CEytj2q0/edit?usp=sharing"",""ฉะเชิงเทรา!S759"")"),8800)</f>
        <v>8800</v>
      </c>
      <c r="U55" s="542">
        <f t="shared" ca="1" si="36"/>
        <v>2.1494870542256961</v>
      </c>
      <c r="V55" s="542">
        <f t="shared" ca="1" si="37"/>
        <v>0</v>
      </c>
      <c r="W55" s="353">
        <f ca="1">IFERROR(__xludf.DUMMYFUNCTION("IMPORTRANGE(""https://docs.google.com/spreadsheets/d/1T1PQvRODqOBZk8BRht_U031fIS1beLA0Ub2CEytj2q0/edit?usp=sharing"",""ฉะเชิงเทรา!I769"")"),0)</f>
        <v>0</v>
      </c>
      <c r="X55" s="177">
        <f ca="1">IFERROR(__xludf.DUMMYFUNCTION("IMPORTRANGE(""https://docs.google.com/spreadsheets/d/1T1PQvRODqOBZk8BRht_U031fIS1beLA0Ub2CEytj2q0/edit?usp=sharing"",""ฉะเชิงเทรา!J769"")"),0)</f>
        <v>0</v>
      </c>
      <c r="Y55" s="354">
        <f t="shared" ca="1" si="39"/>
        <v>0</v>
      </c>
      <c r="Z55" s="177">
        <f ca="1">IFERROR(__xludf.DUMMYFUNCTION("IMPORTRANGE(""https://docs.google.com/spreadsheets/d/1T1PQvRODqOBZk8BRht_U031fIS1beLA0Ub2CEytj2q0/edit?usp=sharing"",""ฉะเชิงเทรา!I771"")"),70)</f>
        <v>70</v>
      </c>
      <c r="AA55" s="177">
        <f ca="1">IFERROR(__xludf.DUMMYFUNCTION("IMPORTRANGE(""https://docs.google.com/spreadsheets/d/1T1PQvRODqOBZk8BRht_U031fIS1beLA0Ub2CEytj2q0/edit?usp=sharing"",""ฉะเชิงเทรา!J771"")"),0)</f>
        <v>0</v>
      </c>
      <c r="AB55" s="354">
        <f t="shared" ca="1" si="41"/>
        <v>0</v>
      </c>
      <c r="AC55" s="177">
        <f ca="1">IFERROR(__xludf.DUMMYFUNCTION("IMPORTRANGE(""https://docs.google.com/spreadsheets/d/1T1PQvRODqOBZk8BRht_U031fIS1beLA0Ub2CEytj2q0/edit?usp=sharing"",""ฉะเชิงเทรา!I773"")"),85)</f>
        <v>85</v>
      </c>
      <c r="AD55" s="177">
        <f ca="1">IFERROR(__xludf.DUMMYFUNCTION("IMPORTRANGE(""https://docs.google.com/spreadsheets/d/1T1PQvRODqOBZk8BRht_U031fIS1beLA0Ub2CEytj2q0/edit?usp=sharing"",""ฉะเชิงเทรา!J773"")"),0)</f>
        <v>0</v>
      </c>
      <c r="AE55" s="354">
        <f t="shared" ca="1" si="43"/>
        <v>0</v>
      </c>
      <c r="AF55" s="177">
        <f ca="1">IFERROR(__xludf.DUMMYFUNCTION("IMPORTRANGE(""https://docs.google.com/spreadsheets/d/1T1PQvRODqOBZk8BRht_U031fIS1beLA0Ub2CEytj2q0/edit?usp=sharing"",""ฉะเชิงเทรา!I774"")"),85)</f>
        <v>85</v>
      </c>
      <c r="AG55" s="177">
        <f ca="1">IFERROR(__xludf.DUMMYFUNCTION("IMPORTRANGE(""https://docs.google.com/spreadsheets/d/1T1PQvRODqOBZk8BRht_U031fIS1beLA0Ub2CEytj2q0/edit?usp=sharing"",""ฉะเชิงเทรา!I775"")"),70)</f>
        <v>70</v>
      </c>
      <c r="AH55" s="177">
        <f ca="1">IFERROR(__xludf.DUMMYFUNCTION("IMPORTRANGE(""https://docs.google.com/spreadsheets/d/1T1PQvRODqOBZk8BRht_U031fIS1beLA0Ub2CEytj2q0/edit?usp=sharing"",""ฉะเชิงเทรา!J774"")"),0)</f>
        <v>0</v>
      </c>
      <c r="AI55" s="354">
        <f t="shared" ca="1" si="45"/>
        <v>0</v>
      </c>
      <c r="AJ55" s="177">
        <f ca="1">IFERROR(__xludf.DUMMYFUNCTION("IMPORTRANGE(""https://docs.google.com/spreadsheets/d/1T1PQvRODqOBZk8BRht_U031fIS1beLA0Ub2CEytj2q0/edit?usp=sharing"",""ฉะเชิงเทรา!J775"")"),0)</f>
        <v>0</v>
      </c>
      <c r="AK55" s="354">
        <f t="shared" ca="1" si="46"/>
        <v>0</v>
      </c>
    </row>
    <row r="56" spans="1:37" ht="19.5" x14ac:dyDescent="0.3">
      <c r="A56" s="535">
        <v>4</v>
      </c>
      <c r="B56" s="536" t="s">
        <v>82</v>
      </c>
      <c r="C56" s="537">
        <f t="shared" si="27"/>
        <v>0</v>
      </c>
      <c r="D56" s="538">
        <f t="shared" si="61"/>
        <v>0</v>
      </c>
      <c r="E56" s="539">
        <v>0</v>
      </c>
      <c r="F56" s="539">
        <v>0</v>
      </c>
      <c r="G56" s="539">
        <v>0</v>
      </c>
      <c r="H56" s="539">
        <v>0</v>
      </c>
      <c r="I56" s="539">
        <v>0</v>
      </c>
      <c r="J56" s="545">
        <f t="shared" si="29"/>
        <v>0</v>
      </c>
      <c r="K56" s="546">
        <f t="shared" si="30"/>
        <v>0</v>
      </c>
      <c r="L56" s="539">
        <v>0</v>
      </c>
      <c r="M56" s="542">
        <f t="shared" si="31"/>
        <v>0</v>
      </c>
      <c r="N56" s="542">
        <f t="shared" si="32"/>
        <v>0</v>
      </c>
      <c r="O56" s="539">
        <v>0</v>
      </c>
      <c r="P56" s="543">
        <f t="shared" si="33"/>
        <v>0</v>
      </c>
      <c r="Q56" s="542">
        <f t="shared" si="34"/>
        <v>0</v>
      </c>
      <c r="R56" s="543">
        <f ca="1">IFERROR(__xludf.DUMMYFUNCTION("IMPORTRANGE(""https://docs.google.com/spreadsheets/d/11tr1B-Bhyr79v2bkwVh5h_fR-PStkgjlZtkrZpYurG0/edit?usp=sharing"",""ชลบุรี!Q759"")"),121660)</f>
        <v>121660</v>
      </c>
      <c r="S56" s="542">
        <f ca="1">IFERROR(__xludf.DUMMYFUNCTION("IMPORTRANGE(""https://docs.google.com/spreadsheets/d/11tr1B-Bhyr79v2bkwVh5h_fR-PStkgjlZtkrZpYurG0/edit?usp=sharing"",""ชลบุรี!R759"")"),0)</f>
        <v>0</v>
      </c>
      <c r="T56" s="543">
        <f ca="1">IFERROR(__xludf.DUMMYFUNCTION("IMPORTRANGE(""https://docs.google.com/spreadsheets/d/11tr1B-Bhyr79v2bkwVh5h_fR-PStkgjlZtkrZpYurG0/edit?usp=sharing"",""ชลบุรี!S759"")"),0)</f>
        <v>0</v>
      </c>
      <c r="U56" s="542">
        <f t="shared" ca="1" si="36"/>
        <v>0</v>
      </c>
      <c r="V56" s="542">
        <f t="shared" ca="1" si="37"/>
        <v>0</v>
      </c>
      <c r="W56" s="353">
        <f ca="1">IFERROR(__xludf.DUMMYFUNCTION("IMPORTRANGE(""https://docs.google.com/spreadsheets/d/11tr1B-Bhyr79v2bkwVh5h_fR-PStkgjlZtkrZpYurG0/edit?usp=sharing"",""ชลบุรี!I769"")"),0)</f>
        <v>0</v>
      </c>
      <c r="X56" s="177">
        <f ca="1">IFERROR(__xludf.DUMMYFUNCTION("IMPORTRANGE(""https://docs.google.com/spreadsheets/d/11tr1B-Bhyr79v2bkwVh5h_fR-PStkgjlZtkrZpYurG0/edit?usp=sharing"",""ชลบุรี!J769"")"),0)</f>
        <v>0</v>
      </c>
      <c r="Y56" s="354">
        <f t="shared" ca="1" si="39"/>
        <v>0</v>
      </c>
      <c r="Z56" s="177">
        <f ca="1">IFERROR(__xludf.DUMMYFUNCTION("IMPORTRANGE(""https://docs.google.com/spreadsheets/d/11tr1B-Bhyr79v2bkwVh5h_fR-PStkgjlZtkrZpYurG0/edit?usp=sharing"",""ชลบุรี!I771"")"),20)</f>
        <v>20</v>
      </c>
      <c r="AA56" s="177">
        <f ca="1">IFERROR(__xludf.DUMMYFUNCTION("IMPORTRANGE(""https://docs.google.com/spreadsheets/d/11tr1B-Bhyr79v2bkwVh5h_fR-PStkgjlZtkrZpYurG0/edit?usp=sharing"",""ชลบุรี!J771"")"),0)</f>
        <v>0</v>
      </c>
      <c r="AB56" s="354">
        <f t="shared" ca="1" si="41"/>
        <v>0</v>
      </c>
      <c r="AC56" s="177">
        <f ca="1">IFERROR(__xludf.DUMMYFUNCTION("IMPORTRANGE(""https://docs.google.com/spreadsheets/d/11tr1B-Bhyr79v2bkwVh5h_fR-PStkgjlZtkrZpYurG0/edit?usp=sharing"",""ชลบุรี!I773"")"),25)</f>
        <v>25</v>
      </c>
      <c r="AD56" s="177">
        <f ca="1">IFERROR(__xludf.DUMMYFUNCTION("IMPORTRANGE(""https://docs.google.com/spreadsheets/d/11tr1B-Bhyr79v2bkwVh5h_fR-PStkgjlZtkrZpYurG0/edit?usp=sharing"",""ชลบุรี!J773"")"),0)</f>
        <v>0</v>
      </c>
      <c r="AE56" s="354">
        <f t="shared" ca="1" si="43"/>
        <v>0</v>
      </c>
      <c r="AF56" s="177">
        <f ca="1">IFERROR(__xludf.DUMMYFUNCTION("IMPORTRANGE(""https://docs.google.com/spreadsheets/d/11tr1B-Bhyr79v2bkwVh5h_fR-PStkgjlZtkrZpYurG0/edit?usp=sharing"",""ชลบุรี!I774"")"),25)</f>
        <v>25</v>
      </c>
      <c r="AG56" s="177">
        <f ca="1">IFERROR(__xludf.DUMMYFUNCTION("IMPORTRANGE(""https://docs.google.com/spreadsheets/d/11tr1B-Bhyr79v2bkwVh5h_fR-PStkgjlZtkrZpYurG0/edit?usp=sharing"",""ชลบุรี!I775"")"),20)</f>
        <v>20</v>
      </c>
      <c r="AH56" s="177">
        <f ca="1">IFERROR(__xludf.DUMMYFUNCTION("IMPORTRANGE(""https://docs.google.com/spreadsheets/d/11tr1B-Bhyr79v2bkwVh5h_fR-PStkgjlZtkrZpYurG0/edit?usp=sharing"",""ชลบุรี!J774"")"),0)</f>
        <v>0</v>
      </c>
      <c r="AI56" s="354">
        <f t="shared" ca="1" si="45"/>
        <v>0</v>
      </c>
      <c r="AJ56" s="177">
        <f ca="1">IFERROR(__xludf.DUMMYFUNCTION("IMPORTRANGE(""https://docs.google.com/spreadsheets/d/11tr1B-Bhyr79v2bkwVh5h_fR-PStkgjlZtkrZpYurG0/edit?usp=sharing"",""ชลบุรี!J775"")"),0)</f>
        <v>0</v>
      </c>
      <c r="AK56" s="354">
        <f t="shared" ca="1" si="46"/>
        <v>0</v>
      </c>
    </row>
    <row r="57" spans="1:37" ht="19.5" x14ac:dyDescent="0.3">
      <c r="A57" s="535">
        <v>5</v>
      </c>
      <c r="B57" s="536" t="s">
        <v>83</v>
      </c>
      <c r="C57" s="537">
        <f t="shared" si="27"/>
        <v>0</v>
      </c>
      <c r="D57" s="538">
        <f t="shared" si="61"/>
        <v>0</v>
      </c>
      <c r="E57" s="539">
        <v>0</v>
      </c>
      <c r="F57" s="539">
        <v>0</v>
      </c>
      <c r="G57" s="539">
        <v>0</v>
      </c>
      <c r="H57" s="539">
        <v>0</v>
      </c>
      <c r="I57" s="539">
        <v>0</v>
      </c>
      <c r="J57" s="545">
        <f t="shared" si="29"/>
        <v>0</v>
      </c>
      <c r="K57" s="546">
        <f t="shared" si="30"/>
        <v>0</v>
      </c>
      <c r="L57" s="539">
        <v>0</v>
      </c>
      <c r="M57" s="542">
        <f t="shared" si="31"/>
        <v>0</v>
      </c>
      <c r="N57" s="542">
        <f t="shared" si="32"/>
        <v>0</v>
      </c>
      <c r="O57" s="539">
        <v>0</v>
      </c>
      <c r="P57" s="543">
        <f t="shared" si="33"/>
        <v>0</v>
      </c>
      <c r="Q57" s="542">
        <f t="shared" si="34"/>
        <v>0</v>
      </c>
      <c r="R57" s="543">
        <f ca="1">IFERROR(__xludf.DUMMYFUNCTION("IMPORTRANGE(""https://docs.google.com/spreadsheets/d/1hh-FVnSX0vozXhGluamEcS54Dw9_zqW0N7qJUWgJ0Sw/edit?usp=sharing"",""ชัยนาท!Q759"")"),0)</f>
        <v>0</v>
      </c>
      <c r="S57" s="542">
        <f ca="1">IFERROR(__xludf.DUMMYFUNCTION("IMPORTRANGE(""https://docs.google.com/spreadsheets/d/1hh-FVnSX0vozXhGluamEcS54Dw9_zqW0N7qJUWgJ0Sw/edit?usp=sharing"",""ชัยนาท!R759"")"),0)</f>
        <v>0</v>
      </c>
      <c r="T57" s="543">
        <f ca="1">IFERROR(__xludf.DUMMYFUNCTION("IMPORTRANGE(""https://docs.google.com/spreadsheets/d/1hh-FVnSX0vozXhGluamEcS54Dw9_zqW0N7qJUWgJ0Sw/edit?usp=sharing"",""ชัยนาท!S759"")"),0)</f>
        <v>0</v>
      </c>
      <c r="U57" s="542">
        <f t="shared" ca="1" si="36"/>
        <v>0</v>
      </c>
      <c r="V57" s="542">
        <f t="shared" ca="1" si="37"/>
        <v>0</v>
      </c>
      <c r="W57" s="353">
        <f ca="1">IFERROR(__xludf.DUMMYFUNCTION("IMPORTRANGE(""https://docs.google.com/spreadsheets/d/1hh-FVnSX0vozXhGluamEcS54Dw9_zqW0N7qJUWgJ0Sw/edit?usp=sharing"",""ชัยนาท!I769"")"),0)</f>
        <v>0</v>
      </c>
      <c r="X57" s="177">
        <f ca="1">IFERROR(__xludf.DUMMYFUNCTION("IMPORTRANGE(""https://docs.google.com/spreadsheets/d/1hh-FVnSX0vozXhGluamEcS54Dw9_zqW0N7qJUWgJ0Sw/edit?usp=sharing"",""ชัยนาท!J769"")"),0)</f>
        <v>0</v>
      </c>
      <c r="Y57" s="354">
        <f t="shared" ca="1" si="39"/>
        <v>0</v>
      </c>
      <c r="Z57" s="177">
        <f ca="1">IFERROR(__xludf.DUMMYFUNCTION("IMPORTRANGE(""https://docs.google.com/spreadsheets/d/1hh-FVnSX0vozXhGluamEcS54Dw9_zqW0N7qJUWgJ0Sw/edit?usp=sharing"",""ชัยนาท!I771"")"),0)</f>
        <v>0</v>
      </c>
      <c r="AA57" s="177">
        <f ca="1">IFERROR(__xludf.DUMMYFUNCTION("IMPORTRANGE(""https://docs.google.com/spreadsheets/d/1hh-FVnSX0vozXhGluamEcS54Dw9_zqW0N7qJUWgJ0Sw/edit?usp=sharing"",""ชัยนาท!J771"")"),0)</f>
        <v>0</v>
      </c>
      <c r="AB57" s="354">
        <f t="shared" ca="1" si="41"/>
        <v>0</v>
      </c>
      <c r="AC57" s="177">
        <f ca="1">IFERROR(__xludf.DUMMYFUNCTION("IMPORTRANGE(""https://docs.google.com/spreadsheets/d/1hh-FVnSX0vozXhGluamEcS54Dw9_zqW0N7qJUWgJ0Sw/edit?usp=sharing"",""ชัยนาท!I773"")"),0)</f>
        <v>0</v>
      </c>
      <c r="AD57" s="177">
        <f ca="1">IFERROR(__xludf.DUMMYFUNCTION("IMPORTRANGE(""https://docs.google.com/spreadsheets/d/1hh-FVnSX0vozXhGluamEcS54Dw9_zqW0N7qJUWgJ0Sw/edit?usp=sharing"",""ชัยนาท!J773"")"),0)</f>
        <v>0</v>
      </c>
      <c r="AE57" s="354">
        <f t="shared" ca="1" si="43"/>
        <v>0</v>
      </c>
      <c r="AF57" s="177">
        <f ca="1">IFERROR(__xludf.DUMMYFUNCTION("IMPORTRANGE(""https://docs.google.com/spreadsheets/d/1hh-FVnSX0vozXhGluamEcS54Dw9_zqW0N7qJUWgJ0Sw/edit?usp=sharing"",""ชัยนาท!I774"")"),0)</f>
        <v>0</v>
      </c>
      <c r="AG57" s="177">
        <f ca="1">IFERROR(__xludf.DUMMYFUNCTION("IMPORTRANGE(""https://docs.google.com/spreadsheets/d/1hh-FVnSX0vozXhGluamEcS54Dw9_zqW0N7qJUWgJ0Sw/edit?usp=sharing"",""ชัยนาท!I775"")"),0)</f>
        <v>0</v>
      </c>
      <c r="AH57" s="177">
        <f ca="1">IFERROR(__xludf.DUMMYFUNCTION("IMPORTRANGE(""https://docs.google.com/spreadsheets/d/1hh-FVnSX0vozXhGluamEcS54Dw9_zqW0N7qJUWgJ0Sw/edit?usp=sharing"",""ชัยนาท!J774"")"),0)</f>
        <v>0</v>
      </c>
      <c r="AI57" s="354">
        <f t="shared" ca="1" si="45"/>
        <v>0</v>
      </c>
      <c r="AJ57" s="177">
        <f ca="1">IFERROR(__xludf.DUMMYFUNCTION("IMPORTRANGE(""https://docs.google.com/spreadsheets/d/1hh-FVnSX0vozXhGluamEcS54Dw9_zqW0N7qJUWgJ0Sw/edit?usp=sharing"",""ชัยนาท!J775"")"),0)</f>
        <v>0</v>
      </c>
      <c r="AK57" s="354">
        <f t="shared" ca="1" si="46"/>
        <v>0</v>
      </c>
    </row>
    <row r="58" spans="1:37" ht="19.5" x14ac:dyDescent="0.3">
      <c r="A58" s="535">
        <v>6</v>
      </c>
      <c r="B58" s="536" t="s">
        <v>84</v>
      </c>
      <c r="C58" s="537">
        <f t="shared" si="27"/>
        <v>0</v>
      </c>
      <c r="D58" s="538">
        <f t="shared" si="61"/>
        <v>0</v>
      </c>
      <c r="E58" s="539">
        <v>0</v>
      </c>
      <c r="F58" s="539">
        <v>0</v>
      </c>
      <c r="G58" s="539">
        <v>0</v>
      </c>
      <c r="H58" s="539">
        <v>0</v>
      </c>
      <c r="I58" s="539">
        <v>0</v>
      </c>
      <c r="J58" s="545">
        <f t="shared" si="29"/>
        <v>0</v>
      </c>
      <c r="K58" s="546">
        <f t="shared" si="30"/>
        <v>0</v>
      </c>
      <c r="L58" s="539">
        <v>0</v>
      </c>
      <c r="M58" s="542">
        <f t="shared" si="31"/>
        <v>0</v>
      </c>
      <c r="N58" s="542">
        <f t="shared" si="32"/>
        <v>0</v>
      </c>
      <c r="O58" s="539">
        <v>0</v>
      </c>
      <c r="P58" s="543">
        <f t="shared" si="33"/>
        <v>0</v>
      </c>
      <c r="Q58" s="542">
        <f t="shared" si="34"/>
        <v>0</v>
      </c>
      <c r="R58" s="543">
        <f ca="1">IFERROR(__xludf.DUMMYFUNCTION("IMPORTRANGE(""https://docs.google.com/spreadsheets/d/1jkqa6GXxSacMcY1eN8AHjMNJ_7dDXMJVRLDlaFSOdPM/edit?usp=sharing"",""ตราด!Q759"")"),0)</f>
        <v>0</v>
      </c>
      <c r="S58" s="542">
        <f ca="1">IFERROR(__xludf.DUMMYFUNCTION("IMPORTRANGE(""https://docs.google.com/spreadsheets/d/1jkqa6GXxSacMcY1eN8AHjMNJ_7dDXMJVRLDlaFSOdPM/edit?usp=sharing"",""ตราด!R759"")"),0)</f>
        <v>0</v>
      </c>
      <c r="T58" s="543">
        <f ca="1">IFERROR(__xludf.DUMMYFUNCTION("IMPORTRANGE(""https://docs.google.com/spreadsheets/d/1jkqa6GXxSacMcY1eN8AHjMNJ_7dDXMJVRLDlaFSOdPM/edit?usp=sharing"",""ตราด!S759"")"),0)</f>
        <v>0</v>
      </c>
      <c r="U58" s="542">
        <f t="shared" ca="1" si="36"/>
        <v>0</v>
      </c>
      <c r="V58" s="542">
        <f t="shared" ca="1" si="37"/>
        <v>0</v>
      </c>
      <c r="W58" s="353">
        <f ca="1">IFERROR(__xludf.DUMMYFUNCTION("IMPORTRANGE(""https://docs.google.com/spreadsheets/d/1jkqa6GXxSacMcY1eN8AHjMNJ_7dDXMJVRLDlaFSOdPM/edit?usp=sharing"",""ตราด!I769"")"),0)</f>
        <v>0</v>
      </c>
      <c r="X58" s="177">
        <f ca="1">IFERROR(__xludf.DUMMYFUNCTION("IMPORTRANGE(""https://docs.google.com/spreadsheets/d/1jkqa6GXxSacMcY1eN8AHjMNJ_7dDXMJVRLDlaFSOdPM/edit?usp=sharing"",""ตราด!J769"")"),0)</f>
        <v>0</v>
      </c>
      <c r="Y58" s="354">
        <f t="shared" ca="1" si="39"/>
        <v>0</v>
      </c>
      <c r="Z58" s="177">
        <f ca="1">IFERROR(__xludf.DUMMYFUNCTION("IMPORTRANGE(""https://docs.google.com/spreadsheets/d/1jkqa6GXxSacMcY1eN8AHjMNJ_7dDXMJVRLDlaFSOdPM/edit?usp=sharing"",""ตราด!I771"")"),0)</f>
        <v>0</v>
      </c>
      <c r="AA58" s="177">
        <f ca="1">IFERROR(__xludf.DUMMYFUNCTION("IMPORTRANGE(""https://docs.google.com/spreadsheets/d/1jkqa6GXxSacMcY1eN8AHjMNJ_7dDXMJVRLDlaFSOdPM/edit?usp=sharing"",""ตราด!J771"")"),0)</f>
        <v>0</v>
      </c>
      <c r="AB58" s="354">
        <f t="shared" ca="1" si="41"/>
        <v>0</v>
      </c>
      <c r="AC58" s="177">
        <f ca="1">IFERROR(__xludf.DUMMYFUNCTION("IMPORTRANGE(""https://docs.google.com/spreadsheets/d/1jkqa6GXxSacMcY1eN8AHjMNJ_7dDXMJVRLDlaFSOdPM/edit?usp=sharing"",""ตราด!I773"")"),0)</f>
        <v>0</v>
      </c>
      <c r="AD58" s="177">
        <f ca="1">IFERROR(__xludf.DUMMYFUNCTION("IMPORTRANGE(""https://docs.google.com/spreadsheets/d/1jkqa6GXxSacMcY1eN8AHjMNJ_7dDXMJVRLDlaFSOdPM/edit?usp=sharing"",""ตราด!J773"")"),0)</f>
        <v>0</v>
      </c>
      <c r="AE58" s="354">
        <f t="shared" ca="1" si="43"/>
        <v>0</v>
      </c>
      <c r="AF58" s="177">
        <f ca="1">IFERROR(__xludf.DUMMYFUNCTION("IMPORTRANGE(""https://docs.google.com/spreadsheets/d/1jkqa6GXxSacMcY1eN8AHjMNJ_7dDXMJVRLDlaFSOdPM/edit?usp=sharing"",""ตราด!I774"")"),0)</f>
        <v>0</v>
      </c>
      <c r="AG58" s="177">
        <f ca="1">IFERROR(__xludf.DUMMYFUNCTION("IMPORTRANGE(""https://docs.google.com/spreadsheets/d/1jkqa6GXxSacMcY1eN8AHjMNJ_7dDXMJVRLDlaFSOdPM/edit?usp=sharing"",""ตราด!I775"")"),0)</f>
        <v>0</v>
      </c>
      <c r="AH58" s="177">
        <f ca="1">IFERROR(__xludf.DUMMYFUNCTION("IMPORTRANGE(""https://docs.google.com/spreadsheets/d/1jkqa6GXxSacMcY1eN8AHjMNJ_7dDXMJVRLDlaFSOdPM/edit?usp=sharing"",""ตราด!J774"")"),0)</f>
        <v>0</v>
      </c>
      <c r="AI58" s="354">
        <f t="shared" ca="1" si="45"/>
        <v>0</v>
      </c>
      <c r="AJ58" s="177">
        <f ca="1">IFERROR(__xludf.DUMMYFUNCTION("IMPORTRANGE(""https://docs.google.com/spreadsheets/d/1jkqa6GXxSacMcY1eN8AHjMNJ_7dDXMJVRLDlaFSOdPM/edit?usp=sharing"",""ตราด!J775"")"),0)</f>
        <v>0</v>
      </c>
      <c r="AK58" s="354">
        <f t="shared" ca="1" si="46"/>
        <v>0</v>
      </c>
    </row>
    <row r="59" spans="1:37" ht="19.5" x14ac:dyDescent="0.3">
      <c r="A59" s="535">
        <v>7</v>
      </c>
      <c r="B59" s="536" t="s">
        <v>85</v>
      </c>
      <c r="C59" s="537">
        <f t="shared" si="27"/>
        <v>0</v>
      </c>
      <c r="D59" s="538">
        <f t="shared" si="61"/>
        <v>0</v>
      </c>
      <c r="E59" s="539">
        <v>0</v>
      </c>
      <c r="F59" s="539">
        <v>0</v>
      </c>
      <c r="G59" s="539">
        <v>0</v>
      </c>
      <c r="H59" s="539">
        <v>0</v>
      </c>
      <c r="I59" s="539">
        <v>0</v>
      </c>
      <c r="J59" s="545">
        <f t="shared" si="29"/>
        <v>0</v>
      </c>
      <c r="K59" s="546">
        <f t="shared" si="30"/>
        <v>0</v>
      </c>
      <c r="L59" s="539">
        <v>0</v>
      </c>
      <c r="M59" s="542">
        <f t="shared" si="31"/>
        <v>0</v>
      </c>
      <c r="N59" s="542">
        <f t="shared" si="32"/>
        <v>0</v>
      </c>
      <c r="O59" s="539">
        <v>0</v>
      </c>
      <c r="P59" s="543">
        <f t="shared" si="33"/>
        <v>0</v>
      </c>
      <c r="Q59" s="542">
        <f t="shared" si="34"/>
        <v>0</v>
      </c>
      <c r="R59" s="543">
        <f ca="1">IFERROR(__xludf.DUMMYFUNCTION("IMPORTRANGE(""https://docs.google.com/spreadsheets/d/18hSgUJ3VwClqi_qtULmmW3cLr0oe3OKaSYoKzdpTsYQ/edit?usp=sharing"",""นครนายก!Q759"")"),95360)</f>
        <v>95360</v>
      </c>
      <c r="S59" s="542">
        <f ca="1">IFERROR(__xludf.DUMMYFUNCTION("IMPORTRANGE(""https://docs.google.com/spreadsheets/d/18hSgUJ3VwClqi_qtULmmW3cLr0oe3OKaSYoKzdpTsYQ/edit?usp=sharing"",""นครนายก!R759"")"),0)</f>
        <v>0</v>
      </c>
      <c r="T59" s="543">
        <f ca="1">IFERROR(__xludf.DUMMYFUNCTION("IMPORTRANGE(""https://docs.google.com/spreadsheets/d/18hSgUJ3VwClqi_qtULmmW3cLr0oe3OKaSYoKzdpTsYQ/edit?usp=sharing"",""นครนายก!S759"")"),0)</f>
        <v>0</v>
      </c>
      <c r="U59" s="542">
        <f t="shared" ca="1" si="36"/>
        <v>0</v>
      </c>
      <c r="V59" s="542">
        <f t="shared" ca="1" si="37"/>
        <v>0</v>
      </c>
      <c r="W59" s="353">
        <f ca="1">IFERROR(__xludf.DUMMYFUNCTION("IMPORTRANGE(""https://docs.google.com/spreadsheets/d/18hSgUJ3VwClqi_qtULmmW3cLr0oe3OKaSYoKzdpTsYQ/edit?usp=sharing"",""นครนายก!I769"")"),0)</f>
        <v>0</v>
      </c>
      <c r="X59" s="177">
        <f ca="1">IFERROR(__xludf.DUMMYFUNCTION("IMPORTRANGE(""https://docs.google.com/spreadsheets/d/18hSgUJ3VwClqi_qtULmmW3cLr0oe3OKaSYoKzdpTsYQ/edit?usp=sharing"",""นครนายก!J769"")"),0)</f>
        <v>0</v>
      </c>
      <c r="Y59" s="354">
        <f t="shared" ca="1" si="39"/>
        <v>0</v>
      </c>
      <c r="Z59" s="177">
        <f ca="1">IFERROR(__xludf.DUMMYFUNCTION("IMPORTRANGE(""https://docs.google.com/spreadsheets/d/18hSgUJ3VwClqi_qtULmmW3cLr0oe3OKaSYoKzdpTsYQ/edit?usp=sharing"",""นครนายก!I771"")"),10)</f>
        <v>10</v>
      </c>
      <c r="AA59" s="177">
        <f ca="1">IFERROR(__xludf.DUMMYFUNCTION("IMPORTRANGE(""https://docs.google.com/spreadsheets/d/18hSgUJ3VwClqi_qtULmmW3cLr0oe3OKaSYoKzdpTsYQ/edit?usp=sharing"",""นครนายก!J771"")"),0)</f>
        <v>0</v>
      </c>
      <c r="AB59" s="354">
        <f t="shared" ca="1" si="41"/>
        <v>0</v>
      </c>
      <c r="AC59" s="177">
        <f ca="1">IFERROR(__xludf.DUMMYFUNCTION("IMPORTRANGE(""https://docs.google.com/spreadsheets/d/18hSgUJ3VwClqi_qtULmmW3cLr0oe3OKaSYoKzdpTsYQ/edit?usp=sharing"",""นครนายก!I773"")"),20)</f>
        <v>20</v>
      </c>
      <c r="AD59" s="177">
        <f ca="1">IFERROR(__xludf.DUMMYFUNCTION("IMPORTRANGE(""https://docs.google.com/spreadsheets/d/18hSgUJ3VwClqi_qtULmmW3cLr0oe3OKaSYoKzdpTsYQ/edit?usp=sharing"",""นครนายก!J773"")"),0)</f>
        <v>0</v>
      </c>
      <c r="AE59" s="354">
        <f t="shared" ca="1" si="43"/>
        <v>0</v>
      </c>
      <c r="AF59" s="177">
        <f ca="1">IFERROR(__xludf.DUMMYFUNCTION("IMPORTRANGE(""https://docs.google.com/spreadsheets/d/18hSgUJ3VwClqi_qtULmmW3cLr0oe3OKaSYoKzdpTsYQ/edit?usp=sharing"",""นครนายก!I774"")"),20)</f>
        <v>20</v>
      </c>
      <c r="AG59" s="177">
        <f ca="1">IFERROR(__xludf.DUMMYFUNCTION("IMPORTRANGE(""https://docs.google.com/spreadsheets/d/18hSgUJ3VwClqi_qtULmmW3cLr0oe3OKaSYoKzdpTsYQ/edit?usp=sharing"",""นครนายก!I775"")"),10)</f>
        <v>10</v>
      </c>
      <c r="AH59" s="177">
        <f ca="1">IFERROR(__xludf.DUMMYFUNCTION("IMPORTRANGE(""https://docs.google.com/spreadsheets/d/18hSgUJ3VwClqi_qtULmmW3cLr0oe3OKaSYoKzdpTsYQ/edit?usp=sharing"",""นครนายก!J774"")"),0)</f>
        <v>0</v>
      </c>
      <c r="AI59" s="354">
        <f t="shared" ca="1" si="45"/>
        <v>0</v>
      </c>
      <c r="AJ59" s="177">
        <f ca="1">IFERROR(__xludf.DUMMYFUNCTION("IMPORTRANGE(""https://docs.google.com/spreadsheets/d/18hSgUJ3VwClqi_qtULmmW3cLr0oe3OKaSYoKzdpTsYQ/edit?usp=sharing"",""นครนายก!J775"")"),0)</f>
        <v>0</v>
      </c>
      <c r="AK59" s="354">
        <f t="shared" ca="1" si="46"/>
        <v>0</v>
      </c>
    </row>
    <row r="60" spans="1:37" ht="19.5" x14ac:dyDescent="0.3">
      <c r="A60" s="535">
        <v>8</v>
      </c>
      <c r="B60" s="536" t="s">
        <v>86</v>
      </c>
      <c r="C60" s="537">
        <f t="shared" si="27"/>
        <v>0</v>
      </c>
      <c r="D60" s="538">
        <f t="shared" si="61"/>
        <v>0</v>
      </c>
      <c r="E60" s="539">
        <v>0</v>
      </c>
      <c r="F60" s="539">
        <v>0</v>
      </c>
      <c r="G60" s="539">
        <v>0</v>
      </c>
      <c r="H60" s="539">
        <v>0</v>
      </c>
      <c r="I60" s="539">
        <v>0</v>
      </c>
      <c r="J60" s="545">
        <f t="shared" si="29"/>
        <v>0</v>
      </c>
      <c r="K60" s="546">
        <f t="shared" si="30"/>
        <v>0</v>
      </c>
      <c r="L60" s="539">
        <v>0</v>
      </c>
      <c r="M60" s="542">
        <f t="shared" si="31"/>
        <v>0</v>
      </c>
      <c r="N60" s="542">
        <f t="shared" si="32"/>
        <v>0</v>
      </c>
      <c r="O60" s="539">
        <v>0</v>
      </c>
      <c r="P60" s="543">
        <f t="shared" si="33"/>
        <v>0</v>
      </c>
      <c r="Q60" s="542">
        <f t="shared" si="34"/>
        <v>0</v>
      </c>
      <c r="R60" s="543">
        <f ca="1">IFERROR(__xludf.DUMMYFUNCTION("IMPORTRANGE(""https://docs.google.com/spreadsheets/d/1YTZo6WM2dQ6Ix6FSdnL5P7uVnVKu40sxZu975tgG10E/edit?usp=sharing"",""นครปฐม!Q759"")"),0)</f>
        <v>0</v>
      </c>
      <c r="S60" s="542">
        <f ca="1">IFERROR(__xludf.DUMMYFUNCTION("IMPORTRANGE(""https://docs.google.com/spreadsheets/d/1YTZo6WM2dQ6Ix6FSdnL5P7uVnVKu40sxZu975tgG10E/edit?usp=sharing"",""นครปฐม!R759"")"),0)</f>
        <v>0</v>
      </c>
      <c r="T60" s="543">
        <f ca="1">IFERROR(__xludf.DUMMYFUNCTION("IMPORTRANGE(""https://docs.google.com/spreadsheets/d/1YTZo6WM2dQ6Ix6FSdnL5P7uVnVKu40sxZu975tgG10E/edit?usp=sharing"",""นครปฐม!S759"")"),0)</f>
        <v>0</v>
      </c>
      <c r="U60" s="542">
        <f t="shared" ca="1" si="36"/>
        <v>0</v>
      </c>
      <c r="V60" s="542">
        <f t="shared" ca="1" si="37"/>
        <v>0</v>
      </c>
      <c r="W60" s="353">
        <f ca="1">IFERROR(__xludf.DUMMYFUNCTION("IMPORTRANGE(""https://docs.google.com/spreadsheets/d/1YTZo6WM2dQ6Ix6FSdnL5P7uVnVKu40sxZu975tgG10E/edit?usp=sharing"",""นครปฐม!I769"")"),0)</f>
        <v>0</v>
      </c>
      <c r="X60" s="177">
        <f ca="1">IFERROR(__xludf.DUMMYFUNCTION("IMPORTRANGE(""https://docs.google.com/spreadsheets/d/1YTZo6WM2dQ6Ix6FSdnL5P7uVnVKu40sxZu975tgG10E/edit?usp=sharing"",""นครปฐม!J769"")"),0)</f>
        <v>0</v>
      </c>
      <c r="Y60" s="354">
        <f t="shared" ca="1" si="39"/>
        <v>0</v>
      </c>
      <c r="Z60" s="177">
        <f ca="1">IFERROR(__xludf.DUMMYFUNCTION("IMPORTRANGE(""https://docs.google.com/spreadsheets/d/1YTZo6WM2dQ6Ix6FSdnL5P7uVnVKu40sxZu975tgG10E/edit?usp=sharing"",""นครปฐม!I771"")"),0)</f>
        <v>0</v>
      </c>
      <c r="AA60" s="177">
        <f ca="1">IFERROR(__xludf.DUMMYFUNCTION("IMPORTRANGE(""https://docs.google.com/spreadsheets/d/1YTZo6WM2dQ6Ix6FSdnL5P7uVnVKu40sxZu975tgG10E/edit?usp=sharing"",""นครปฐม!J771"")"),0)</f>
        <v>0</v>
      </c>
      <c r="AB60" s="354">
        <f t="shared" ca="1" si="41"/>
        <v>0</v>
      </c>
      <c r="AC60" s="177">
        <f ca="1">IFERROR(__xludf.DUMMYFUNCTION("IMPORTRANGE(""https://docs.google.com/spreadsheets/d/1YTZo6WM2dQ6Ix6FSdnL5P7uVnVKu40sxZu975tgG10E/edit?usp=sharing"",""นครปฐม!I773"")"),0)</f>
        <v>0</v>
      </c>
      <c r="AD60" s="177">
        <f ca="1">IFERROR(__xludf.DUMMYFUNCTION("IMPORTRANGE(""https://docs.google.com/spreadsheets/d/1YTZo6WM2dQ6Ix6FSdnL5P7uVnVKu40sxZu975tgG10E/edit?usp=sharing"",""นครปฐม!J773"")"),0)</f>
        <v>0</v>
      </c>
      <c r="AE60" s="354">
        <f t="shared" ca="1" si="43"/>
        <v>0</v>
      </c>
      <c r="AF60" s="177">
        <f ca="1">IFERROR(__xludf.DUMMYFUNCTION("IMPORTRANGE(""https://docs.google.com/spreadsheets/d/1YTZo6WM2dQ6Ix6FSdnL5P7uVnVKu40sxZu975tgG10E/edit?usp=sharing"",""นครปฐม!I774"")"),0)</f>
        <v>0</v>
      </c>
      <c r="AG60" s="177">
        <f ca="1">IFERROR(__xludf.DUMMYFUNCTION("IMPORTRANGE(""https://docs.google.com/spreadsheets/d/1YTZo6WM2dQ6Ix6FSdnL5P7uVnVKu40sxZu975tgG10E/edit?usp=sharing"",""นครปฐม!I775"")"),0)</f>
        <v>0</v>
      </c>
      <c r="AH60" s="177">
        <f ca="1">IFERROR(__xludf.DUMMYFUNCTION("IMPORTRANGE(""https://docs.google.com/spreadsheets/d/1YTZo6WM2dQ6Ix6FSdnL5P7uVnVKu40sxZu975tgG10E/edit?usp=sharing"",""นครปฐม!J774"")"),0)</f>
        <v>0</v>
      </c>
      <c r="AI60" s="354">
        <f t="shared" ca="1" si="45"/>
        <v>0</v>
      </c>
      <c r="AJ60" s="177">
        <f ca="1">IFERROR(__xludf.DUMMYFUNCTION("IMPORTRANGE(""https://docs.google.com/spreadsheets/d/1YTZo6WM2dQ6Ix6FSdnL5P7uVnVKu40sxZu975tgG10E/edit?usp=sharing"",""นครปฐม!J775"")"),0)</f>
        <v>0</v>
      </c>
      <c r="AK60" s="354">
        <f t="shared" ca="1" si="46"/>
        <v>0</v>
      </c>
    </row>
    <row r="61" spans="1:37" ht="19.5" x14ac:dyDescent="0.3">
      <c r="A61" s="535">
        <v>9</v>
      </c>
      <c r="B61" s="536" t="s">
        <v>87</v>
      </c>
      <c r="C61" s="537">
        <f t="shared" si="27"/>
        <v>0</v>
      </c>
      <c r="D61" s="538">
        <f t="shared" si="61"/>
        <v>0</v>
      </c>
      <c r="E61" s="539">
        <v>0</v>
      </c>
      <c r="F61" s="539">
        <v>0</v>
      </c>
      <c r="G61" s="539">
        <v>0</v>
      </c>
      <c r="H61" s="539">
        <v>0</v>
      </c>
      <c r="I61" s="539">
        <v>0</v>
      </c>
      <c r="J61" s="545">
        <f t="shared" si="29"/>
        <v>0</v>
      </c>
      <c r="K61" s="546">
        <f t="shared" si="30"/>
        <v>0</v>
      </c>
      <c r="L61" s="539">
        <v>0</v>
      </c>
      <c r="M61" s="542">
        <f t="shared" si="31"/>
        <v>0</v>
      </c>
      <c r="N61" s="542">
        <f t="shared" si="32"/>
        <v>0</v>
      </c>
      <c r="O61" s="539">
        <v>0</v>
      </c>
      <c r="P61" s="543">
        <f t="shared" si="33"/>
        <v>0</v>
      </c>
      <c r="Q61" s="542">
        <f t="shared" si="34"/>
        <v>0</v>
      </c>
      <c r="R61" s="543">
        <f ca="1">IFERROR(__xludf.DUMMYFUNCTION("IMPORTRANGE(""https://docs.google.com/spreadsheets/d/1OYoGg4WDg5RIzwGeB10padOxJF9E_Vljuvvct_M7RDo/edit?usp=sharing"",""ปทุมธานี!Q759"")"),91360)</f>
        <v>91360</v>
      </c>
      <c r="S61" s="542">
        <f ca="1">IFERROR(__xludf.DUMMYFUNCTION("IMPORTRANGE(""https://docs.google.com/spreadsheets/d/1OYoGg4WDg5RIzwGeB10padOxJF9E_Vljuvvct_M7RDo/edit?usp=sharing"",""ปทุมธานี!R759"")"),0)</f>
        <v>0</v>
      </c>
      <c r="T61" s="543">
        <f ca="1">IFERROR(__xludf.DUMMYFUNCTION("IMPORTRANGE(""https://docs.google.com/spreadsheets/d/1OYoGg4WDg5RIzwGeB10padOxJF9E_Vljuvvct_M7RDo/edit?usp=sharing"",""ปทุมธานี!S759"")"),0)</f>
        <v>0</v>
      </c>
      <c r="U61" s="542">
        <f t="shared" ca="1" si="36"/>
        <v>0</v>
      </c>
      <c r="V61" s="542">
        <f t="shared" ca="1" si="37"/>
        <v>0</v>
      </c>
      <c r="W61" s="353">
        <f ca="1">IFERROR(__xludf.DUMMYFUNCTION("IMPORTRANGE(""https://docs.google.com/spreadsheets/d/1OYoGg4WDg5RIzwGeB10padOxJF9E_Vljuvvct_M7RDo/edit?usp=sharing"",""ปทุมธานี!I769"")"),0)</f>
        <v>0</v>
      </c>
      <c r="X61" s="177">
        <f ca="1">IFERROR(__xludf.DUMMYFUNCTION("IMPORTRANGE(""https://docs.google.com/spreadsheets/d/1OYoGg4WDg5RIzwGeB10padOxJF9E_Vljuvvct_M7RDo/edit?usp=sharing"",""ปทุมธานี!J769"")"),0)</f>
        <v>0</v>
      </c>
      <c r="Y61" s="354">
        <f t="shared" ca="1" si="39"/>
        <v>0</v>
      </c>
      <c r="Z61" s="177">
        <f ca="1">IFERROR(__xludf.DUMMYFUNCTION("IMPORTRANGE(""https://docs.google.com/spreadsheets/d/1OYoGg4WDg5RIzwGeB10padOxJF9E_Vljuvvct_M7RDo/edit?usp=sharing"",""ปทุมธานี!I771"")"),10)</f>
        <v>10</v>
      </c>
      <c r="AA61" s="177">
        <f ca="1">IFERROR(__xludf.DUMMYFUNCTION("IMPORTRANGE(""https://docs.google.com/spreadsheets/d/1OYoGg4WDg5RIzwGeB10padOxJF9E_Vljuvvct_M7RDo/edit?usp=sharing"",""ปทุมธานี!J771"")"),0)</f>
        <v>0</v>
      </c>
      <c r="AB61" s="354">
        <f t="shared" ca="1" si="41"/>
        <v>0</v>
      </c>
      <c r="AC61" s="177">
        <f ca="1">IFERROR(__xludf.DUMMYFUNCTION("IMPORTRANGE(""https://docs.google.com/spreadsheets/d/1OYoGg4WDg5RIzwGeB10padOxJF9E_Vljuvvct_M7RDo/edit?usp=sharing"",""ปทุมธานี!I773"")"),20)</f>
        <v>20</v>
      </c>
      <c r="AD61" s="177">
        <f ca="1">IFERROR(__xludf.DUMMYFUNCTION("IMPORTRANGE(""https://docs.google.com/spreadsheets/d/1OYoGg4WDg5RIzwGeB10padOxJF9E_Vljuvvct_M7RDo/edit?usp=sharing"",""ปทุมธานี!J773"")"),0)</f>
        <v>0</v>
      </c>
      <c r="AE61" s="354">
        <f t="shared" ca="1" si="43"/>
        <v>0</v>
      </c>
      <c r="AF61" s="177">
        <f ca="1">IFERROR(__xludf.DUMMYFUNCTION("IMPORTRANGE(""https://docs.google.com/spreadsheets/d/1OYoGg4WDg5RIzwGeB10padOxJF9E_Vljuvvct_M7RDo/edit?usp=sharing"",""ปทุมธานี!I774"")"),20)</f>
        <v>20</v>
      </c>
      <c r="AG61" s="177">
        <f ca="1">IFERROR(__xludf.DUMMYFUNCTION("IMPORTRANGE(""https://docs.google.com/spreadsheets/d/1OYoGg4WDg5RIzwGeB10padOxJF9E_Vljuvvct_M7RDo/edit?usp=sharing"",""ปทุมธานี!I775"")"),10)</f>
        <v>10</v>
      </c>
      <c r="AH61" s="177">
        <f ca="1">IFERROR(__xludf.DUMMYFUNCTION("IMPORTRANGE(""https://docs.google.com/spreadsheets/d/1OYoGg4WDg5RIzwGeB10padOxJF9E_Vljuvvct_M7RDo/edit?usp=sharing"",""ปทุมธานี!J774"")"),0)</f>
        <v>0</v>
      </c>
      <c r="AI61" s="354">
        <f t="shared" ca="1" si="45"/>
        <v>0</v>
      </c>
      <c r="AJ61" s="177">
        <f ca="1">IFERROR(__xludf.DUMMYFUNCTION("IMPORTRANGE(""https://docs.google.com/spreadsheets/d/1OYoGg4WDg5RIzwGeB10padOxJF9E_Vljuvvct_M7RDo/edit?usp=sharing"",""ปทุมธานี!J775"")"),0)</f>
        <v>0</v>
      </c>
      <c r="AK61" s="354">
        <f t="shared" ca="1" si="46"/>
        <v>0</v>
      </c>
    </row>
    <row r="62" spans="1:37" ht="19.5" x14ac:dyDescent="0.3">
      <c r="A62" s="535">
        <v>10</v>
      </c>
      <c r="B62" s="536" t="s">
        <v>88</v>
      </c>
      <c r="C62" s="537">
        <f t="shared" si="27"/>
        <v>0</v>
      </c>
      <c r="D62" s="538">
        <f t="shared" si="61"/>
        <v>0</v>
      </c>
      <c r="E62" s="539">
        <v>0</v>
      </c>
      <c r="F62" s="539">
        <v>0</v>
      </c>
      <c r="G62" s="539">
        <v>0</v>
      </c>
      <c r="H62" s="539">
        <v>0</v>
      </c>
      <c r="I62" s="539">
        <v>0</v>
      </c>
      <c r="J62" s="545">
        <f t="shared" si="29"/>
        <v>0</v>
      </c>
      <c r="K62" s="546">
        <f t="shared" si="30"/>
        <v>0</v>
      </c>
      <c r="L62" s="539">
        <v>0</v>
      </c>
      <c r="M62" s="542">
        <f t="shared" si="31"/>
        <v>0</v>
      </c>
      <c r="N62" s="542">
        <f t="shared" si="32"/>
        <v>0</v>
      </c>
      <c r="O62" s="539">
        <v>0</v>
      </c>
      <c r="P62" s="543">
        <f t="shared" si="33"/>
        <v>0</v>
      </c>
      <c r="Q62" s="542">
        <f t="shared" si="34"/>
        <v>0</v>
      </c>
      <c r="R62" s="543">
        <f ca="1">IFERROR(__xludf.DUMMYFUNCTION("IMPORTRANGE(""https://docs.google.com/spreadsheets/d/1GbCIE4D4wk9FUozzqk7SxfDMxDVBwVmI5zcaVUSzKAc/edit?usp=sharing"",""ประจวบคีรีขันธ์!Q759"")"),0)</f>
        <v>0</v>
      </c>
      <c r="S62" s="542">
        <f ca="1">IFERROR(__xludf.DUMMYFUNCTION("IMPORTRANGE(""https://docs.google.com/spreadsheets/d/1GbCIE4D4wk9FUozzqk7SxfDMxDVBwVmI5zcaVUSzKAc/edit?usp=sharing"",""ประจวบคีรีขันธ์!R759"")"),0)</f>
        <v>0</v>
      </c>
      <c r="T62" s="543">
        <f ca="1">IFERROR(__xludf.DUMMYFUNCTION("IMPORTRANGE(""https://docs.google.com/spreadsheets/d/1GbCIE4D4wk9FUozzqk7SxfDMxDVBwVmI5zcaVUSzKAc/edit?usp=sharing"",""ประจวบคีรีขันธ์!S759"")"),0)</f>
        <v>0</v>
      </c>
      <c r="U62" s="542">
        <f t="shared" ca="1" si="36"/>
        <v>0</v>
      </c>
      <c r="V62" s="542">
        <f t="shared" ca="1" si="37"/>
        <v>0</v>
      </c>
      <c r="W62" s="353">
        <f ca="1">IFERROR(__xludf.DUMMYFUNCTION("IMPORTRANGE(""https://docs.google.com/spreadsheets/d/1GbCIE4D4wk9FUozzqk7SxfDMxDVBwVmI5zcaVUSzKAc/edit?usp=sharing"",""ประจวบคีรีขันธ์!I769"")"),0)</f>
        <v>0</v>
      </c>
      <c r="X62" s="177">
        <f ca="1">IFERROR(__xludf.DUMMYFUNCTION("IMPORTRANGE(""https://docs.google.com/spreadsheets/d/1GbCIE4D4wk9FUozzqk7SxfDMxDVBwVmI5zcaVUSzKAc/edit?usp=sharing"",""ประจวบคีรีขันธ์!J769"")"),0)</f>
        <v>0</v>
      </c>
      <c r="Y62" s="354">
        <f t="shared" ca="1" si="39"/>
        <v>0</v>
      </c>
      <c r="Z62" s="177">
        <f ca="1">IFERROR(__xludf.DUMMYFUNCTION("IMPORTRANGE(""https://docs.google.com/spreadsheets/d/1GbCIE4D4wk9FUozzqk7SxfDMxDVBwVmI5zcaVUSzKAc/edit?usp=sharing"",""ประจวบคีรีขันธ์!I771"")"),0)</f>
        <v>0</v>
      </c>
      <c r="AA62" s="177">
        <f ca="1">IFERROR(__xludf.DUMMYFUNCTION("IMPORTRANGE(""https://docs.google.com/spreadsheets/d/1GbCIE4D4wk9FUozzqk7SxfDMxDVBwVmI5zcaVUSzKAc/edit?usp=sharing"",""ประจวบคีรีขันธ์!J771"")"),0)</f>
        <v>0</v>
      </c>
      <c r="AB62" s="354">
        <f t="shared" ca="1" si="41"/>
        <v>0</v>
      </c>
      <c r="AC62" s="177">
        <f ca="1">IFERROR(__xludf.DUMMYFUNCTION("IMPORTRANGE(""https://docs.google.com/spreadsheets/d/1GbCIE4D4wk9FUozzqk7SxfDMxDVBwVmI5zcaVUSzKAc/edit?usp=sharing"",""ประจวบคีรีขันธ์!I773"")"),0)</f>
        <v>0</v>
      </c>
      <c r="AD62" s="177">
        <f ca="1">IFERROR(__xludf.DUMMYFUNCTION("IMPORTRANGE(""https://docs.google.com/spreadsheets/d/1GbCIE4D4wk9FUozzqk7SxfDMxDVBwVmI5zcaVUSzKAc/edit?usp=sharing"",""ประจวบคีรีขันธ์!J773"")"),0)</f>
        <v>0</v>
      </c>
      <c r="AE62" s="354">
        <f t="shared" ca="1" si="43"/>
        <v>0</v>
      </c>
      <c r="AF62" s="177">
        <f ca="1">IFERROR(__xludf.DUMMYFUNCTION("IMPORTRANGE(""https://docs.google.com/spreadsheets/d/1GbCIE4D4wk9FUozzqk7SxfDMxDVBwVmI5zcaVUSzKAc/edit?usp=sharing"",""ประจวบคีรีขันธ์!I774"")"),0)</f>
        <v>0</v>
      </c>
      <c r="AG62" s="177">
        <f ca="1">IFERROR(__xludf.DUMMYFUNCTION("IMPORTRANGE(""https://docs.google.com/spreadsheets/d/1GbCIE4D4wk9FUozzqk7SxfDMxDVBwVmI5zcaVUSzKAc/edit?usp=sharing"",""ประจวบคีรีขันธ์!I775"")"),0)</f>
        <v>0</v>
      </c>
      <c r="AH62" s="177">
        <f ca="1">IFERROR(__xludf.DUMMYFUNCTION("IMPORTRANGE(""https://docs.google.com/spreadsheets/d/1GbCIE4D4wk9FUozzqk7SxfDMxDVBwVmI5zcaVUSzKAc/edit?usp=sharing"",""ประจวบคีรีขันธ์!J774"")"),0)</f>
        <v>0</v>
      </c>
      <c r="AI62" s="354">
        <f t="shared" ca="1" si="45"/>
        <v>0</v>
      </c>
      <c r="AJ62" s="177">
        <f ca="1">IFERROR(__xludf.DUMMYFUNCTION("IMPORTRANGE(""https://docs.google.com/spreadsheets/d/1GbCIE4D4wk9FUozzqk7SxfDMxDVBwVmI5zcaVUSzKAc/edit?usp=sharing"",""ประจวบคีรีขันธ์!J775"")"),0)</f>
        <v>0</v>
      </c>
      <c r="AK62" s="354">
        <f t="shared" ca="1" si="46"/>
        <v>0</v>
      </c>
    </row>
    <row r="63" spans="1:37" ht="19.5" x14ac:dyDescent="0.3">
      <c r="A63" s="535">
        <v>11</v>
      </c>
      <c r="B63" s="536" t="s">
        <v>89</v>
      </c>
      <c r="C63" s="537">
        <f t="shared" si="27"/>
        <v>0</v>
      </c>
      <c r="D63" s="538">
        <f t="shared" si="61"/>
        <v>0</v>
      </c>
      <c r="E63" s="539">
        <v>0</v>
      </c>
      <c r="F63" s="539">
        <v>0</v>
      </c>
      <c r="G63" s="539">
        <v>0</v>
      </c>
      <c r="H63" s="539">
        <v>0</v>
      </c>
      <c r="I63" s="539">
        <v>0</v>
      </c>
      <c r="J63" s="545">
        <f t="shared" si="29"/>
        <v>0</v>
      </c>
      <c r="K63" s="546">
        <f t="shared" si="30"/>
        <v>0</v>
      </c>
      <c r="L63" s="539">
        <v>0</v>
      </c>
      <c r="M63" s="542">
        <f t="shared" si="31"/>
        <v>0</v>
      </c>
      <c r="N63" s="542">
        <f t="shared" si="32"/>
        <v>0</v>
      </c>
      <c r="O63" s="539">
        <v>0</v>
      </c>
      <c r="P63" s="543">
        <f t="shared" si="33"/>
        <v>0</v>
      </c>
      <c r="Q63" s="542">
        <f t="shared" si="34"/>
        <v>0</v>
      </c>
      <c r="R63" s="543">
        <f ca="1">IFERROR(__xludf.DUMMYFUNCTION("IMPORTRANGE(""https://docs.google.com/spreadsheets/d/1vVf6wykvW_lAyu7Yo9L4hUTqHqIeP_qcVuxCtosJEbg/edit?usp=sharing"",""ปราจีนบุรี!Q759"")"),438800)</f>
        <v>438800</v>
      </c>
      <c r="S63" s="542">
        <f ca="1">IFERROR(__xludf.DUMMYFUNCTION("IMPORTRANGE(""https://docs.google.com/spreadsheets/d/1vVf6wykvW_lAyu7Yo9L4hUTqHqIeP_qcVuxCtosJEbg/edit?usp=sharing"",""ปราจีนบุรี!R759"")"),0)</f>
        <v>0</v>
      </c>
      <c r="T63" s="543">
        <f ca="1">IFERROR(__xludf.DUMMYFUNCTION("IMPORTRANGE(""https://docs.google.com/spreadsheets/d/1vVf6wykvW_lAyu7Yo9L4hUTqHqIeP_qcVuxCtosJEbg/edit?usp=sharing"",""ปราจีนบุรี!S759"")"),0)</f>
        <v>0</v>
      </c>
      <c r="U63" s="542">
        <f t="shared" ca="1" si="36"/>
        <v>0</v>
      </c>
      <c r="V63" s="542">
        <f t="shared" ca="1" si="37"/>
        <v>0</v>
      </c>
      <c r="W63" s="353">
        <f ca="1">IFERROR(__xludf.DUMMYFUNCTION("IMPORTRANGE(""https://docs.google.com/spreadsheets/d/1vVf6wykvW_lAyu7Yo9L4hUTqHqIeP_qcVuxCtosJEbg/edit?usp=sharing"",""ปราจีนบุรี!I769"")"),0)</f>
        <v>0</v>
      </c>
      <c r="X63" s="177">
        <f ca="1">IFERROR(__xludf.DUMMYFUNCTION("IMPORTRANGE(""https://docs.google.com/spreadsheets/d/1vVf6wykvW_lAyu7Yo9L4hUTqHqIeP_qcVuxCtosJEbg/edit?usp=sharing"",""ปราจีนบุรี!J769"")"),0)</f>
        <v>0</v>
      </c>
      <c r="Y63" s="354">
        <f t="shared" ca="1" si="39"/>
        <v>0</v>
      </c>
      <c r="Z63" s="177">
        <f ca="1">IFERROR(__xludf.DUMMYFUNCTION("IMPORTRANGE(""https://docs.google.com/spreadsheets/d/1vVf6wykvW_lAyu7Yo9L4hUTqHqIeP_qcVuxCtosJEbg/edit?usp=sharing"",""ปราจีนบุรี!I771"")"),50)</f>
        <v>50</v>
      </c>
      <c r="AA63" s="177">
        <f ca="1">IFERROR(__xludf.DUMMYFUNCTION("IMPORTRANGE(""https://docs.google.com/spreadsheets/d/1vVf6wykvW_lAyu7Yo9L4hUTqHqIeP_qcVuxCtosJEbg/edit?usp=sharing"",""ปราจีนบุรี!J771"")"),0)</f>
        <v>0</v>
      </c>
      <c r="AB63" s="354">
        <f t="shared" ca="1" si="41"/>
        <v>0</v>
      </c>
      <c r="AC63" s="177">
        <f ca="1">IFERROR(__xludf.DUMMYFUNCTION("IMPORTRANGE(""https://docs.google.com/spreadsheets/d/1vVf6wykvW_lAyu7Yo9L4hUTqHqIeP_qcVuxCtosJEbg/edit?usp=sharing"",""ปราจีนบุรี!I773"")"),150)</f>
        <v>150</v>
      </c>
      <c r="AD63" s="177">
        <f ca="1">IFERROR(__xludf.DUMMYFUNCTION("IMPORTRANGE(""https://docs.google.com/spreadsheets/d/1vVf6wykvW_lAyu7Yo9L4hUTqHqIeP_qcVuxCtosJEbg/edit?usp=sharing"",""ปราจีนบุรี!J773"")"),0)</f>
        <v>0</v>
      </c>
      <c r="AE63" s="354">
        <f t="shared" ca="1" si="43"/>
        <v>0</v>
      </c>
      <c r="AF63" s="177">
        <f ca="1">IFERROR(__xludf.DUMMYFUNCTION("IMPORTRANGE(""https://docs.google.com/spreadsheets/d/1vVf6wykvW_lAyu7Yo9L4hUTqHqIeP_qcVuxCtosJEbg/edit?usp=sharing"",""ปราจีนบุรี!I774"")"),150)</f>
        <v>150</v>
      </c>
      <c r="AG63" s="177">
        <f ca="1">IFERROR(__xludf.DUMMYFUNCTION("IMPORTRANGE(""https://docs.google.com/spreadsheets/d/1vVf6wykvW_lAyu7Yo9L4hUTqHqIeP_qcVuxCtosJEbg/edit?usp=sharing"",""ปราจีนบุรี!I775"")"),50)</f>
        <v>50</v>
      </c>
      <c r="AH63" s="177">
        <f ca="1">IFERROR(__xludf.DUMMYFUNCTION("IMPORTRANGE(""https://docs.google.com/spreadsheets/d/1vVf6wykvW_lAyu7Yo9L4hUTqHqIeP_qcVuxCtosJEbg/edit?usp=sharing"",""ปราจีนบุรี!J774"")"),0)</f>
        <v>0</v>
      </c>
      <c r="AI63" s="354">
        <f t="shared" ca="1" si="45"/>
        <v>0</v>
      </c>
      <c r="AJ63" s="177">
        <f ca="1">IFERROR(__xludf.DUMMYFUNCTION("IMPORTRANGE(""https://docs.google.com/spreadsheets/d/1vVf6wykvW_lAyu7Yo9L4hUTqHqIeP_qcVuxCtosJEbg/edit?usp=sharing"",""ปราจีนบุรี!J775"")"),0)</f>
        <v>0</v>
      </c>
      <c r="AK63" s="354">
        <f t="shared" ca="1" si="46"/>
        <v>0</v>
      </c>
    </row>
    <row r="64" spans="1:37" ht="19.5" x14ac:dyDescent="0.3">
      <c r="A64" s="535">
        <v>12</v>
      </c>
      <c r="B64" s="536" t="s">
        <v>90</v>
      </c>
      <c r="C64" s="537">
        <f t="shared" si="27"/>
        <v>0</v>
      </c>
      <c r="D64" s="538">
        <f t="shared" si="61"/>
        <v>0</v>
      </c>
      <c r="E64" s="539">
        <v>0</v>
      </c>
      <c r="F64" s="539">
        <v>0</v>
      </c>
      <c r="G64" s="539">
        <v>0</v>
      </c>
      <c r="H64" s="539">
        <v>0</v>
      </c>
      <c r="I64" s="539">
        <v>0</v>
      </c>
      <c r="J64" s="545">
        <f t="shared" si="29"/>
        <v>0</v>
      </c>
      <c r="K64" s="546">
        <f t="shared" si="30"/>
        <v>0</v>
      </c>
      <c r="L64" s="539">
        <v>0</v>
      </c>
      <c r="M64" s="542">
        <f t="shared" si="31"/>
        <v>0</v>
      </c>
      <c r="N64" s="542">
        <f t="shared" si="32"/>
        <v>0</v>
      </c>
      <c r="O64" s="539">
        <v>0</v>
      </c>
      <c r="P64" s="543">
        <f t="shared" si="33"/>
        <v>0</v>
      </c>
      <c r="Q64" s="542">
        <f t="shared" si="34"/>
        <v>0</v>
      </c>
      <c r="R64" s="543">
        <f ca="1">IFERROR(__xludf.DUMMYFUNCTION("IMPORTRANGE(""https://docs.google.com/spreadsheets/d/1BIDqLLg5jk3v59G8NlR8rk5xfQDKne0sAvZHSj7TI6I/edit?usp=sharing"",""พระนครศรีอยุธยา!Q759"")"),0)</f>
        <v>0</v>
      </c>
      <c r="S64" s="542">
        <f ca="1">IFERROR(__xludf.DUMMYFUNCTION("IMPORTRANGE(""https://docs.google.com/spreadsheets/d/1BIDqLLg5jk3v59G8NlR8rk5xfQDKne0sAvZHSj7TI6I/edit?usp=sharing"",""พระนครศรีอยุธยา!R759"")"),0)</f>
        <v>0</v>
      </c>
      <c r="T64" s="543">
        <f ca="1">IFERROR(__xludf.DUMMYFUNCTION("IMPORTRANGE(""https://docs.google.com/spreadsheets/d/1BIDqLLg5jk3v59G8NlR8rk5xfQDKne0sAvZHSj7TI6I/edit?usp=sharing"",""พระนครศรีอยุธยา!S759"")"),0)</f>
        <v>0</v>
      </c>
      <c r="U64" s="542">
        <f t="shared" ca="1" si="36"/>
        <v>0</v>
      </c>
      <c r="V64" s="542">
        <f t="shared" ca="1" si="37"/>
        <v>0</v>
      </c>
      <c r="W64" s="353">
        <f ca="1">IFERROR(__xludf.DUMMYFUNCTION("IMPORTRANGE(""https://docs.google.com/spreadsheets/d/1BIDqLLg5jk3v59G8NlR8rk5xfQDKne0sAvZHSj7TI6I/edit?usp=sharing"",""พระนครศรีอยุธยา!I769"")"),0)</f>
        <v>0</v>
      </c>
      <c r="X64" s="177">
        <f ca="1">IFERROR(__xludf.DUMMYFUNCTION("IMPORTRANGE(""https://docs.google.com/spreadsheets/d/1BIDqLLg5jk3v59G8NlR8rk5xfQDKne0sAvZHSj7TI6I/edit?usp=sharing"",""พระนครศรีอยุธยา!J769"")"),0)</f>
        <v>0</v>
      </c>
      <c r="Y64" s="354">
        <f t="shared" ca="1" si="39"/>
        <v>0</v>
      </c>
      <c r="Z64" s="177">
        <f ca="1">IFERROR(__xludf.DUMMYFUNCTION("IMPORTRANGE(""https://docs.google.com/spreadsheets/d/1BIDqLLg5jk3v59G8NlR8rk5xfQDKne0sAvZHSj7TI6I/edit?usp=sharing"",""พระนครศรีอยุธยา!I771"")"),0)</f>
        <v>0</v>
      </c>
      <c r="AA64" s="177">
        <f ca="1">IFERROR(__xludf.DUMMYFUNCTION("IMPORTRANGE(""https://docs.google.com/spreadsheets/d/1BIDqLLg5jk3v59G8NlR8rk5xfQDKne0sAvZHSj7TI6I/edit?usp=sharing"",""พระนครศรีอยุธยา!J771"")"),0)</f>
        <v>0</v>
      </c>
      <c r="AB64" s="354">
        <f t="shared" ca="1" si="41"/>
        <v>0</v>
      </c>
      <c r="AC64" s="177">
        <f ca="1">IFERROR(__xludf.DUMMYFUNCTION("IMPORTRANGE(""https://docs.google.com/spreadsheets/d/1BIDqLLg5jk3v59G8NlR8rk5xfQDKne0sAvZHSj7TI6I/edit?usp=sharing"",""พระนครศรีอยุธยา!I773"")"),0)</f>
        <v>0</v>
      </c>
      <c r="AD64" s="177">
        <f ca="1">IFERROR(__xludf.DUMMYFUNCTION("IMPORTRANGE(""https://docs.google.com/spreadsheets/d/1BIDqLLg5jk3v59G8NlR8rk5xfQDKne0sAvZHSj7TI6I/edit?usp=sharing"",""พระนครศรีอยุธยา!J773"")"),0)</f>
        <v>0</v>
      </c>
      <c r="AE64" s="354">
        <f t="shared" ca="1" si="43"/>
        <v>0</v>
      </c>
      <c r="AF64" s="177">
        <f ca="1">IFERROR(__xludf.DUMMYFUNCTION("IMPORTRANGE(""https://docs.google.com/spreadsheets/d/1BIDqLLg5jk3v59G8NlR8rk5xfQDKne0sAvZHSj7TI6I/edit?usp=sharing"",""พระนครศรีอยุธยา!I774"")"),0)</f>
        <v>0</v>
      </c>
      <c r="AG64" s="177">
        <f ca="1">IFERROR(__xludf.DUMMYFUNCTION("IMPORTRANGE(""https://docs.google.com/spreadsheets/d/1BIDqLLg5jk3v59G8NlR8rk5xfQDKne0sAvZHSj7TI6I/edit?usp=sharing"",""พระนครศรีอยุธยา!I775"")"),0)</f>
        <v>0</v>
      </c>
      <c r="AH64" s="177">
        <f ca="1">IFERROR(__xludf.DUMMYFUNCTION("IMPORTRANGE(""https://docs.google.com/spreadsheets/d/1BIDqLLg5jk3v59G8NlR8rk5xfQDKne0sAvZHSj7TI6I/edit?usp=sharing"",""พระนครศรีอยุธยา!J774"")"),0)</f>
        <v>0</v>
      </c>
      <c r="AI64" s="354">
        <f t="shared" ca="1" si="45"/>
        <v>0</v>
      </c>
      <c r="AJ64" s="177">
        <f ca="1">IFERROR(__xludf.DUMMYFUNCTION("IMPORTRANGE(""https://docs.google.com/spreadsheets/d/1BIDqLLg5jk3v59G8NlR8rk5xfQDKne0sAvZHSj7TI6I/edit?usp=sharing"",""พระนครศรีอยุธยา!J775"")"),0)</f>
        <v>0</v>
      </c>
      <c r="AK64" s="354">
        <f t="shared" ca="1" si="46"/>
        <v>0</v>
      </c>
    </row>
    <row r="65" spans="1:37" ht="19.5" x14ac:dyDescent="0.3">
      <c r="A65" s="535">
        <v>13</v>
      </c>
      <c r="B65" s="536" t="s">
        <v>91</v>
      </c>
      <c r="C65" s="537">
        <f t="shared" si="27"/>
        <v>0</v>
      </c>
      <c r="D65" s="538">
        <f t="shared" si="61"/>
        <v>0</v>
      </c>
      <c r="E65" s="539">
        <v>0</v>
      </c>
      <c r="F65" s="539">
        <v>0</v>
      </c>
      <c r="G65" s="539">
        <v>0</v>
      </c>
      <c r="H65" s="539">
        <v>0</v>
      </c>
      <c r="I65" s="539">
        <v>0</v>
      </c>
      <c r="J65" s="545">
        <f t="shared" si="29"/>
        <v>0</v>
      </c>
      <c r="K65" s="546">
        <f t="shared" si="30"/>
        <v>0</v>
      </c>
      <c r="L65" s="539">
        <v>0</v>
      </c>
      <c r="M65" s="542">
        <f t="shared" si="31"/>
        <v>0</v>
      </c>
      <c r="N65" s="542">
        <f t="shared" si="32"/>
        <v>0</v>
      </c>
      <c r="O65" s="539">
        <v>0</v>
      </c>
      <c r="P65" s="543">
        <f t="shared" si="33"/>
        <v>0</v>
      </c>
      <c r="Q65" s="542">
        <f t="shared" si="34"/>
        <v>0</v>
      </c>
      <c r="R65" s="543">
        <f ca="1">IFERROR(__xludf.DUMMYFUNCTION("IMPORTRANGE(""https://docs.google.com/spreadsheets/d/1YXvxf8Yu6_rV4hTBrwMqAcAnv6DfhUxh5emyM3CJp_w/edit?usp=sharing"",""เพชรบุรี!Q759"")"),0)</f>
        <v>0</v>
      </c>
      <c r="S65" s="542">
        <f ca="1">IFERROR(__xludf.DUMMYFUNCTION("IMPORTRANGE(""https://docs.google.com/spreadsheets/d/1YXvxf8Yu6_rV4hTBrwMqAcAnv6DfhUxh5emyM3CJp_w/edit?usp=sharing"",""เพชรบุรี!R759"")"),0)</f>
        <v>0</v>
      </c>
      <c r="T65" s="543">
        <f ca="1">IFERROR(__xludf.DUMMYFUNCTION("IMPORTRANGE(""https://docs.google.com/spreadsheets/d/1YXvxf8Yu6_rV4hTBrwMqAcAnv6DfhUxh5emyM3CJp_w/edit?usp=sharing"",""เพชรบุรี!S759"")"),0)</f>
        <v>0</v>
      </c>
      <c r="U65" s="542">
        <f t="shared" ca="1" si="36"/>
        <v>0</v>
      </c>
      <c r="V65" s="542">
        <f t="shared" ca="1" si="37"/>
        <v>0</v>
      </c>
      <c r="W65" s="353">
        <f ca="1">IFERROR(__xludf.DUMMYFUNCTION("IMPORTRANGE(""https://docs.google.com/spreadsheets/d/1YXvxf8Yu6_rV4hTBrwMqAcAnv6DfhUxh5emyM3CJp_w/edit?usp=sharing"",""เพชรบุรี!I769"")"),0)</f>
        <v>0</v>
      </c>
      <c r="X65" s="177">
        <f ca="1">IFERROR(__xludf.DUMMYFUNCTION("IMPORTRANGE(""https://docs.google.com/spreadsheets/d/1YXvxf8Yu6_rV4hTBrwMqAcAnv6DfhUxh5emyM3CJp_w/edit?usp=sharing"",""เพชรบุรี!J769"")"),0)</f>
        <v>0</v>
      </c>
      <c r="Y65" s="354">
        <f t="shared" ca="1" si="39"/>
        <v>0</v>
      </c>
      <c r="Z65" s="177">
        <f ca="1">IFERROR(__xludf.DUMMYFUNCTION("IMPORTRANGE(""https://docs.google.com/spreadsheets/d/1YXvxf8Yu6_rV4hTBrwMqAcAnv6DfhUxh5emyM3CJp_w/edit?usp=sharing"",""เพชรบุรี!I771"")"),0)</f>
        <v>0</v>
      </c>
      <c r="AA65" s="177">
        <f ca="1">IFERROR(__xludf.DUMMYFUNCTION("IMPORTRANGE(""https://docs.google.com/spreadsheets/d/1YXvxf8Yu6_rV4hTBrwMqAcAnv6DfhUxh5emyM3CJp_w/edit?usp=sharing"",""เพชรบุรี!J771"")"),0)</f>
        <v>0</v>
      </c>
      <c r="AB65" s="354">
        <f t="shared" ca="1" si="41"/>
        <v>0</v>
      </c>
      <c r="AC65" s="177">
        <f ca="1">IFERROR(__xludf.DUMMYFUNCTION("IMPORTRANGE(""https://docs.google.com/spreadsheets/d/1YXvxf8Yu6_rV4hTBrwMqAcAnv6DfhUxh5emyM3CJp_w/edit?usp=sharing"",""เพชรบุรี!I773"")"),0)</f>
        <v>0</v>
      </c>
      <c r="AD65" s="177">
        <f ca="1">IFERROR(__xludf.DUMMYFUNCTION("IMPORTRANGE(""https://docs.google.com/spreadsheets/d/1YXvxf8Yu6_rV4hTBrwMqAcAnv6DfhUxh5emyM3CJp_w/edit?usp=sharing"",""เพชรบุรี!J773"")"),0)</f>
        <v>0</v>
      </c>
      <c r="AE65" s="354">
        <f t="shared" ca="1" si="43"/>
        <v>0</v>
      </c>
      <c r="AF65" s="177">
        <f ca="1">IFERROR(__xludf.DUMMYFUNCTION("IMPORTRANGE(""https://docs.google.com/spreadsheets/d/1YXvxf8Yu6_rV4hTBrwMqAcAnv6DfhUxh5emyM3CJp_w/edit?usp=sharing"",""เพชรบุรี!I774"")"),0)</f>
        <v>0</v>
      </c>
      <c r="AG65" s="177">
        <f ca="1">IFERROR(__xludf.DUMMYFUNCTION("IMPORTRANGE(""https://docs.google.com/spreadsheets/d/1YXvxf8Yu6_rV4hTBrwMqAcAnv6DfhUxh5emyM3CJp_w/edit?usp=sharing"",""เพชรบุรี!I775"")"),0)</f>
        <v>0</v>
      </c>
      <c r="AH65" s="177">
        <f ca="1">IFERROR(__xludf.DUMMYFUNCTION("IMPORTRANGE(""https://docs.google.com/spreadsheets/d/1YXvxf8Yu6_rV4hTBrwMqAcAnv6DfhUxh5emyM3CJp_w/edit?usp=sharing"",""เพชรบุรี!J774"")"),0)</f>
        <v>0</v>
      </c>
      <c r="AI65" s="354">
        <f t="shared" ca="1" si="45"/>
        <v>0</v>
      </c>
      <c r="AJ65" s="177">
        <f ca="1">IFERROR(__xludf.DUMMYFUNCTION("IMPORTRANGE(""https://docs.google.com/spreadsheets/d/1YXvxf8Yu6_rV4hTBrwMqAcAnv6DfhUxh5emyM3CJp_w/edit?usp=sharing"",""เพชรบุรี!J775"")"),0)</f>
        <v>0</v>
      </c>
      <c r="AK65" s="354">
        <f t="shared" ca="1" si="46"/>
        <v>0</v>
      </c>
    </row>
    <row r="66" spans="1:37" ht="19.5" x14ac:dyDescent="0.3">
      <c r="A66" s="535">
        <v>14</v>
      </c>
      <c r="B66" s="536" t="s">
        <v>92</v>
      </c>
      <c r="C66" s="537">
        <f t="shared" si="27"/>
        <v>0</v>
      </c>
      <c r="D66" s="538">
        <f t="shared" si="61"/>
        <v>0</v>
      </c>
      <c r="E66" s="539">
        <v>0</v>
      </c>
      <c r="F66" s="539">
        <v>0</v>
      </c>
      <c r="G66" s="539">
        <v>0</v>
      </c>
      <c r="H66" s="539">
        <v>0</v>
      </c>
      <c r="I66" s="539">
        <v>0</v>
      </c>
      <c r="J66" s="545">
        <f t="shared" si="29"/>
        <v>0</v>
      </c>
      <c r="K66" s="546">
        <f t="shared" si="30"/>
        <v>0</v>
      </c>
      <c r="L66" s="539">
        <v>0</v>
      </c>
      <c r="M66" s="542">
        <f t="shared" si="31"/>
        <v>0</v>
      </c>
      <c r="N66" s="542">
        <f t="shared" si="32"/>
        <v>0</v>
      </c>
      <c r="O66" s="539">
        <v>0</v>
      </c>
      <c r="P66" s="543">
        <f t="shared" si="33"/>
        <v>0</v>
      </c>
      <c r="Q66" s="542">
        <f t="shared" si="34"/>
        <v>0</v>
      </c>
      <c r="R66" s="543">
        <f ca="1">IFERROR(__xludf.DUMMYFUNCTION("IMPORTRANGE(""https://docs.google.com/spreadsheets/d/19KBlQQs7uwvsao6t2n-KvW3Ax8J8uRRfZPq1zPbXgKc/edit?usp=sharing"",""ระยอง!Q759"")"),330680)</f>
        <v>330680</v>
      </c>
      <c r="S66" s="542">
        <f ca="1">IFERROR(__xludf.DUMMYFUNCTION("IMPORTRANGE(""https://docs.google.com/spreadsheets/d/19KBlQQs7uwvsao6t2n-KvW3Ax8J8uRRfZPq1zPbXgKc/edit?usp=sharing"",""ระยอง!R759"")"),0)</f>
        <v>0</v>
      </c>
      <c r="T66" s="543">
        <f ca="1">IFERROR(__xludf.DUMMYFUNCTION("IMPORTRANGE(""https://docs.google.com/spreadsheets/d/19KBlQQs7uwvsao6t2n-KvW3Ax8J8uRRfZPq1zPbXgKc/edit?usp=sharing"",""ระยอง!S759"")"),0)</f>
        <v>0</v>
      </c>
      <c r="U66" s="542">
        <f t="shared" ca="1" si="36"/>
        <v>0</v>
      </c>
      <c r="V66" s="542">
        <f t="shared" ca="1" si="37"/>
        <v>0</v>
      </c>
      <c r="W66" s="353">
        <f ca="1">IFERROR(__xludf.DUMMYFUNCTION("IMPORTRANGE(""https://docs.google.com/spreadsheets/d/19KBlQQs7uwvsao6t2n-KvW3Ax8J8uRRfZPq1zPbXgKc/edit?usp=sharing"",""ระยอง!I769"")"),0)</f>
        <v>0</v>
      </c>
      <c r="X66" s="177">
        <f ca="1">IFERROR(__xludf.DUMMYFUNCTION("IMPORTRANGE(""https://docs.google.com/spreadsheets/d/19KBlQQs7uwvsao6t2n-KvW3Ax8J8uRRfZPq1zPbXgKc/edit?usp=sharing"",""ระยอง!J769"")"),0)</f>
        <v>0</v>
      </c>
      <c r="Y66" s="354">
        <f t="shared" ca="1" si="39"/>
        <v>0</v>
      </c>
      <c r="Z66" s="177">
        <f ca="1">IFERROR(__xludf.DUMMYFUNCTION("IMPORTRANGE(""https://docs.google.com/spreadsheets/d/19KBlQQs7uwvsao6t2n-KvW3Ax8J8uRRfZPq1zPbXgKc/edit?usp=sharing"",""ระยอง!I771"")"),30)</f>
        <v>30</v>
      </c>
      <c r="AA66" s="177">
        <f ca="1">IFERROR(__xludf.DUMMYFUNCTION("IMPORTRANGE(""https://docs.google.com/spreadsheets/d/19KBlQQs7uwvsao6t2n-KvW3Ax8J8uRRfZPq1zPbXgKc/edit?usp=sharing"",""ระยอง!J771"")"),0)</f>
        <v>0</v>
      </c>
      <c r="AB66" s="354">
        <f t="shared" ca="1" si="41"/>
        <v>0</v>
      </c>
      <c r="AC66" s="177">
        <f ca="1">IFERROR(__xludf.DUMMYFUNCTION("IMPORTRANGE(""https://docs.google.com/spreadsheets/d/19KBlQQs7uwvsao6t2n-KvW3Ax8J8uRRfZPq1zPbXgKc/edit?usp=sharing"",""ระยอง!I773"")"),100)</f>
        <v>100</v>
      </c>
      <c r="AD66" s="177">
        <f ca="1">IFERROR(__xludf.DUMMYFUNCTION("IMPORTRANGE(""https://docs.google.com/spreadsheets/d/19KBlQQs7uwvsao6t2n-KvW3Ax8J8uRRfZPq1zPbXgKc/edit?usp=sharing"",""ระยอง!J773"")"),0)</f>
        <v>0</v>
      </c>
      <c r="AE66" s="354">
        <f t="shared" ca="1" si="43"/>
        <v>0</v>
      </c>
      <c r="AF66" s="177">
        <f ca="1">IFERROR(__xludf.DUMMYFUNCTION("IMPORTRANGE(""https://docs.google.com/spreadsheets/d/19KBlQQs7uwvsao6t2n-KvW3Ax8J8uRRfZPq1zPbXgKc/edit?usp=sharing"",""ระยอง!I774"")"),100)</f>
        <v>100</v>
      </c>
      <c r="AG66" s="177">
        <f ca="1">IFERROR(__xludf.DUMMYFUNCTION("IMPORTRANGE(""https://docs.google.com/spreadsheets/d/19KBlQQs7uwvsao6t2n-KvW3Ax8J8uRRfZPq1zPbXgKc/edit?usp=sharing"",""ระยอง!I775"")"),30)</f>
        <v>30</v>
      </c>
      <c r="AH66" s="177">
        <f ca="1">IFERROR(__xludf.DUMMYFUNCTION("IMPORTRANGE(""https://docs.google.com/spreadsheets/d/19KBlQQs7uwvsao6t2n-KvW3Ax8J8uRRfZPq1zPbXgKc/edit?usp=sharing"",""ระยอง!J774"")"),0)</f>
        <v>0</v>
      </c>
      <c r="AI66" s="354">
        <f t="shared" ca="1" si="45"/>
        <v>0</v>
      </c>
      <c r="AJ66" s="177">
        <f ca="1">IFERROR(__xludf.DUMMYFUNCTION("IMPORTRANGE(""https://docs.google.com/spreadsheets/d/19KBlQQs7uwvsao6t2n-KvW3Ax8J8uRRfZPq1zPbXgKc/edit?usp=sharing"",""ระยอง!J775"")"),0)</f>
        <v>0</v>
      </c>
      <c r="AK66" s="354">
        <f t="shared" ca="1" si="46"/>
        <v>0</v>
      </c>
    </row>
    <row r="67" spans="1:37" ht="19.5" x14ac:dyDescent="0.3">
      <c r="A67" s="535">
        <v>15</v>
      </c>
      <c r="B67" s="536" t="s">
        <v>93</v>
      </c>
      <c r="C67" s="537">
        <f t="shared" si="27"/>
        <v>0</v>
      </c>
      <c r="D67" s="538">
        <f t="shared" si="61"/>
        <v>0</v>
      </c>
      <c r="E67" s="539">
        <v>0</v>
      </c>
      <c r="F67" s="539">
        <v>0</v>
      </c>
      <c r="G67" s="539">
        <v>0</v>
      </c>
      <c r="H67" s="539">
        <v>0</v>
      </c>
      <c r="I67" s="539">
        <v>0</v>
      </c>
      <c r="J67" s="545">
        <f t="shared" si="29"/>
        <v>0</v>
      </c>
      <c r="K67" s="546">
        <f t="shared" si="30"/>
        <v>0</v>
      </c>
      <c r="L67" s="539">
        <v>0</v>
      </c>
      <c r="M67" s="542">
        <f t="shared" si="31"/>
        <v>0</v>
      </c>
      <c r="N67" s="542">
        <f t="shared" si="32"/>
        <v>0</v>
      </c>
      <c r="O67" s="539">
        <v>0</v>
      </c>
      <c r="P67" s="543">
        <f t="shared" si="33"/>
        <v>0</v>
      </c>
      <c r="Q67" s="542">
        <f t="shared" si="34"/>
        <v>0</v>
      </c>
      <c r="R67" s="543">
        <f ca="1">IFERROR(__xludf.DUMMYFUNCTION("IMPORTRANGE(""https://docs.google.com/spreadsheets/d/1jQ6P4QcrGM89YfqcC_PxOHGCMq5ezhucwJd8ci-NHng/edit?usp=sharing"",""ราชบุรี!Q759"")"),0)</f>
        <v>0</v>
      </c>
      <c r="S67" s="542">
        <f ca="1">IFERROR(__xludf.DUMMYFUNCTION("IMPORTRANGE(""https://docs.google.com/spreadsheets/d/1jQ6P4QcrGM89YfqcC_PxOHGCMq5ezhucwJd8ci-NHng/edit?usp=sharing"",""ราชบุรี!R759"")"),0)</f>
        <v>0</v>
      </c>
      <c r="T67" s="543">
        <f ca="1">IFERROR(__xludf.DUMMYFUNCTION("IMPORTRANGE(""https://docs.google.com/spreadsheets/d/1jQ6P4QcrGM89YfqcC_PxOHGCMq5ezhucwJd8ci-NHng/edit?usp=sharing"",""ราชบุรี!S759"")"),0)</f>
        <v>0</v>
      </c>
      <c r="U67" s="542">
        <f t="shared" ca="1" si="36"/>
        <v>0</v>
      </c>
      <c r="V67" s="542">
        <f t="shared" ca="1" si="37"/>
        <v>0</v>
      </c>
      <c r="W67" s="353">
        <f ca="1">IFERROR(__xludf.DUMMYFUNCTION("IMPORTRANGE(""https://docs.google.com/spreadsheets/d/1jQ6P4QcrGM89YfqcC_PxOHGCMq5ezhucwJd8ci-NHng/edit?usp=sharing"",""ราชบุรี!I769"")"),0)</f>
        <v>0</v>
      </c>
      <c r="X67" s="177">
        <f ca="1">IFERROR(__xludf.DUMMYFUNCTION("IMPORTRANGE(""https://docs.google.com/spreadsheets/d/1jQ6P4QcrGM89YfqcC_PxOHGCMq5ezhucwJd8ci-NHng/edit?usp=sharing"",""ราชบุรี!J769"")"),0)</f>
        <v>0</v>
      </c>
      <c r="Y67" s="354">
        <f t="shared" ca="1" si="39"/>
        <v>0</v>
      </c>
      <c r="Z67" s="177">
        <f ca="1">IFERROR(__xludf.DUMMYFUNCTION("IMPORTRANGE(""https://docs.google.com/spreadsheets/d/1jQ6P4QcrGM89YfqcC_PxOHGCMq5ezhucwJd8ci-NHng/edit?usp=sharing"",""ราชบุรี!I771"")"),0)</f>
        <v>0</v>
      </c>
      <c r="AA67" s="177">
        <f ca="1">IFERROR(__xludf.DUMMYFUNCTION("IMPORTRANGE(""https://docs.google.com/spreadsheets/d/1jQ6P4QcrGM89YfqcC_PxOHGCMq5ezhucwJd8ci-NHng/edit?usp=sharing"",""ราชบุรี!J771"")"),0)</f>
        <v>0</v>
      </c>
      <c r="AB67" s="354">
        <f t="shared" ca="1" si="41"/>
        <v>0</v>
      </c>
      <c r="AC67" s="177">
        <f ca="1">IFERROR(__xludf.DUMMYFUNCTION("IMPORTRANGE(""https://docs.google.com/spreadsheets/d/1jQ6P4QcrGM89YfqcC_PxOHGCMq5ezhucwJd8ci-NHng/edit?usp=sharing"",""ราชบุรี!I773"")"),0)</f>
        <v>0</v>
      </c>
      <c r="AD67" s="177">
        <f ca="1">IFERROR(__xludf.DUMMYFUNCTION("IMPORTRANGE(""https://docs.google.com/spreadsheets/d/1jQ6P4QcrGM89YfqcC_PxOHGCMq5ezhucwJd8ci-NHng/edit?usp=sharing"",""ราชบุรี!J773"")"),0)</f>
        <v>0</v>
      </c>
      <c r="AE67" s="354">
        <f t="shared" ca="1" si="43"/>
        <v>0</v>
      </c>
      <c r="AF67" s="177">
        <f ca="1">IFERROR(__xludf.DUMMYFUNCTION("IMPORTRANGE(""https://docs.google.com/spreadsheets/d/1jQ6P4QcrGM89YfqcC_PxOHGCMq5ezhucwJd8ci-NHng/edit?usp=sharing"",""ราชบุรี!I774"")"),0)</f>
        <v>0</v>
      </c>
      <c r="AG67" s="177">
        <f ca="1">IFERROR(__xludf.DUMMYFUNCTION("IMPORTRANGE(""https://docs.google.com/spreadsheets/d/1jQ6P4QcrGM89YfqcC_PxOHGCMq5ezhucwJd8ci-NHng/edit?usp=sharing"",""ราชบุรี!I775"")"),0)</f>
        <v>0</v>
      </c>
      <c r="AH67" s="177">
        <f ca="1">IFERROR(__xludf.DUMMYFUNCTION("IMPORTRANGE(""https://docs.google.com/spreadsheets/d/1jQ6P4QcrGM89YfqcC_PxOHGCMq5ezhucwJd8ci-NHng/edit?usp=sharing"",""ราชบุรี!J774"")"),0)</f>
        <v>0</v>
      </c>
      <c r="AI67" s="354">
        <f t="shared" ca="1" si="45"/>
        <v>0</v>
      </c>
      <c r="AJ67" s="177">
        <f ca="1">IFERROR(__xludf.DUMMYFUNCTION("IMPORTRANGE(""https://docs.google.com/spreadsheets/d/1jQ6P4QcrGM89YfqcC_PxOHGCMq5ezhucwJd8ci-NHng/edit?usp=sharing"",""ราชบุรี!J775"")"),0)</f>
        <v>0</v>
      </c>
      <c r="AK67" s="354">
        <f t="shared" ca="1" si="46"/>
        <v>0</v>
      </c>
    </row>
    <row r="68" spans="1:37" ht="19.5" x14ac:dyDescent="0.3">
      <c r="A68" s="535">
        <v>16</v>
      </c>
      <c r="B68" s="536" t="s">
        <v>94</v>
      </c>
      <c r="C68" s="537">
        <f t="shared" si="27"/>
        <v>0</v>
      </c>
      <c r="D68" s="538">
        <f t="shared" si="61"/>
        <v>0</v>
      </c>
      <c r="E68" s="539">
        <v>0</v>
      </c>
      <c r="F68" s="539">
        <v>0</v>
      </c>
      <c r="G68" s="539">
        <v>0</v>
      </c>
      <c r="H68" s="539">
        <v>0</v>
      </c>
      <c r="I68" s="539">
        <v>0</v>
      </c>
      <c r="J68" s="545">
        <f t="shared" si="29"/>
        <v>0</v>
      </c>
      <c r="K68" s="546">
        <f t="shared" si="30"/>
        <v>0</v>
      </c>
      <c r="L68" s="539">
        <v>0</v>
      </c>
      <c r="M68" s="542">
        <f t="shared" si="31"/>
        <v>0</v>
      </c>
      <c r="N68" s="542">
        <f t="shared" si="32"/>
        <v>0</v>
      </c>
      <c r="O68" s="539">
        <v>0</v>
      </c>
      <c r="P68" s="543">
        <f t="shared" si="33"/>
        <v>0</v>
      </c>
      <c r="Q68" s="542">
        <f t="shared" si="34"/>
        <v>0</v>
      </c>
      <c r="R68" s="543">
        <f ca="1">IFERROR(__xludf.DUMMYFUNCTION("IMPORTRANGE(""https://docs.google.com/spreadsheets/d/1lufeA2cfFqM-elVq2hznhDzC6Pr7wkJ9ZG_sYNGCMCU/edit?usp=sharing"",""ลพบุรี!Q759"")"),413100)</f>
        <v>413100</v>
      </c>
      <c r="S68" s="542">
        <f ca="1">IFERROR(__xludf.DUMMYFUNCTION("IMPORTRANGE(""https://docs.google.com/spreadsheets/d/1lufeA2cfFqM-elVq2hznhDzC6Pr7wkJ9ZG_sYNGCMCU/edit?usp=sharing"",""ลพบุรี!R759"")"),0)</f>
        <v>0</v>
      </c>
      <c r="T68" s="543">
        <f ca="1">IFERROR(__xludf.DUMMYFUNCTION("IMPORTRANGE(""https://docs.google.com/spreadsheets/d/1lufeA2cfFqM-elVq2hznhDzC6Pr7wkJ9ZG_sYNGCMCU/edit?usp=sharing"",""ลพบุรี!S759"")"),0)</f>
        <v>0</v>
      </c>
      <c r="U68" s="542">
        <f t="shared" ca="1" si="36"/>
        <v>0</v>
      </c>
      <c r="V68" s="542">
        <f t="shared" ca="1" si="37"/>
        <v>0</v>
      </c>
      <c r="W68" s="353">
        <f ca="1">IFERROR(__xludf.DUMMYFUNCTION("IMPORTRANGE(""https://docs.google.com/spreadsheets/d/1lufeA2cfFqM-elVq2hznhDzC6Pr7wkJ9ZG_sYNGCMCU/edit?usp=sharing"",""ลพบุรี!I769"")"),0)</f>
        <v>0</v>
      </c>
      <c r="X68" s="177">
        <f ca="1">IFERROR(__xludf.DUMMYFUNCTION("IMPORTRANGE(""https://docs.google.com/spreadsheets/d/1lufeA2cfFqM-elVq2hznhDzC6Pr7wkJ9ZG_sYNGCMCU/edit?usp=sharing"",""ลพบุรี!J769"")"),0)</f>
        <v>0</v>
      </c>
      <c r="Y68" s="354">
        <f t="shared" ca="1" si="39"/>
        <v>0</v>
      </c>
      <c r="Z68" s="177">
        <f ca="1">IFERROR(__xludf.DUMMYFUNCTION("IMPORTRANGE(""https://docs.google.com/spreadsheets/d/1lufeA2cfFqM-elVq2hznhDzC6Pr7wkJ9ZG_sYNGCMCU/edit?usp=sharing"",""ลพบุรี!I771"")"),60)</f>
        <v>60</v>
      </c>
      <c r="AA68" s="177">
        <f ca="1">IFERROR(__xludf.DUMMYFUNCTION("IMPORTRANGE(""https://docs.google.com/spreadsheets/d/1lufeA2cfFqM-elVq2hznhDzC6Pr7wkJ9ZG_sYNGCMCU/edit?usp=sharing"",""ลพบุรี!J771"")"),0)</f>
        <v>0</v>
      </c>
      <c r="AB68" s="354">
        <f t="shared" ca="1" si="41"/>
        <v>0</v>
      </c>
      <c r="AC68" s="177">
        <f ca="1">IFERROR(__xludf.DUMMYFUNCTION("IMPORTRANGE(""https://docs.google.com/spreadsheets/d/1lufeA2cfFqM-elVq2hznhDzC6Pr7wkJ9ZG_sYNGCMCU/edit?usp=sharing"",""ลพบุรี!I773"")"),105)</f>
        <v>105</v>
      </c>
      <c r="AD68" s="177">
        <f ca="1">IFERROR(__xludf.DUMMYFUNCTION("IMPORTRANGE(""https://docs.google.com/spreadsheets/d/1lufeA2cfFqM-elVq2hznhDzC6Pr7wkJ9ZG_sYNGCMCU/edit?usp=sharing"",""ลพบุรี!J773"")"),0)</f>
        <v>0</v>
      </c>
      <c r="AE68" s="354">
        <f t="shared" ca="1" si="43"/>
        <v>0</v>
      </c>
      <c r="AF68" s="177">
        <f ca="1">IFERROR(__xludf.DUMMYFUNCTION("IMPORTRANGE(""https://docs.google.com/spreadsheets/d/1lufeA2cfFqM-elVq2hznhDzC6Pr7wkJ9ZG_sYNGCMCU/edit?usp=sharing"",""ลพบุรี!I774"")"),105)</f>
        <v>105</v>
      </c>
      <c r="AG68" s="177">
        <f ca="1">IFERROR(__xludf.DUMMYFUNCTION("IMPORTRANGE(""https://docs.google.com/spreadsheets/d/1lufeA2cfFqM-elVq2hznhDzC6Pr7wkJ9ZG_sYNGCMCU/edit?usp=sharing"",""ลพบุรี!I775"")"),60)</f>
        <v>60</v>
      </c>
      <c r="AH68" s="177">
        <f ca="1">IFERROR(__xludf.DUMMYFUNCTION("IMPORTRANGE(""https://docs.google.com/spreadsheets/d/1lufeA2cfFqM-elVq2hznhDzC6Pr7wkJ9ZG_sYNGCMCU/edit?usp=sharing"",""ลพบุรี!J774"")"),0)</f>
        <v>0</v>
      </c>
      <c r="AI68" s="354">
        <f t="shared" ca="1" si="45"/>
        <v>0</v>
      </c>
      <c r="AJ68" s="177">
        <f ca="1">IFERROR(__xludf.DUMMYFUNCTION("IMPORTRANGE(""https://docs.google.com/spreadsheets/d/1lufeA2cfFqM-elVq2hznhDzC6Pr7wkJ9ZG_sYNGCMCU/edit?usp=sharing"",""ลพบุรี!J775"")"),0)</f>
        <v>0</v>
      </c>
      <c r="AK68" s="354">
        <f t="shared" ca="1" si="46"/>
        <v>0</v>
      </c>
    </row>
    <row r="69" spans="1:37" ht="19.5" x14ac:dyDescent="0.3">
      <c r="A69" s="535">
        <v>17</v>
      </c>
      <c r="B69" s="536" t="s">
        <v>95</v>
      </c>
      <c r="C69" s="537">
        <f t="shared" si="27"/>
        <v>0</v>
      </c>
      <c r="D69" s="538">
        <f t="shared" si="61"/>
        <v>0</v>
      </c>
      <c r="E69" s="539">
        <v>0</v>
      </c>
      <c r="F69" s="539">
        <v>0</v>
      </c>
      <c r="G69" s="539">
        <v>0</v>
      </c>
      <c r="H69" s="539">
        <v>0</v>
      </c>
      <c r="I69" s="539">
        <v>0</v>
      </c>
      <c r="J69" s="545">
        <f t="shared" si="29"/>
        <v>0</v>
      </c>
      <c r="K69" s="546">
        <f t="shared" si="30"/>
        <v>0</v>
      </c>
      <c r="L69" s="539">
        <v>0</v>
      </c>
      <c r="M69" s="542">
        <f t="shared" si="31"/>
        <v>0</v>
      </c>
      <c r="N69" s="542">
        <f t="shared" si="32"/>
        <v>0</v>
      </c>
      <c r="O69" s="539">
        <v>0</v>
      </c>
      <c r="P69" s="543">
        <f t="shared" si="33"/>
        <v>0</v>
      </c>
      <c r="Q69" s="542">
        <f t="shared" si="34"/>
        <v>0</v>
      </c>
      <c r="R69" s="543">
        <f ca="1">IFERROR(__xludf.DUMMYFUNCTION("IMPORTRANGE(""https://docs.google.com/spreadsheets/d/10oOiF7loTyfsTkbd4MpaIm0HQ9SwB7IYHdIUvt-U1Uc/edit?usp=sharing"",""สระแก้ว!Q759"")"),0)</f>
        <v>0</v>
      </c>
      <c r="S69" s="542">
        <f ca="1">IFERROR(__xludf.DUMMYFUNCTION("IMPORTRANGE(""https://docs.google.com/spreadsheets/d/10oOiF7loTyfsTkbd4MpaIm0HQ9SwB7IYHdIUvt-U1Uc/edit?usp=sharing"",""สระแก้ว!R759"")"),0)</f>
        <v>0</v>
      </c>
      <c r="T69" s="543">
        <f ca="1">IFERROR(__xludf.DUMMYFUNCTION("IMPORTRANGE(""https://docs.google.com/spreadsheets/d/10oOiF7loTyfsTkbd4MpaIm0HQ9SwB7IYHdIUvt-U1Uc/edit?usp=sharing"",""สระแก้ว!S759"")"),0)</f>
        <v>0</v>
      </c>
      <c r="U69" s="542">
        <f t="shared" ca="1" si="36"/>
        <v>0</v>
      </c>
      <c r="V69" s="542">
        <f t="shared" ca="1" si="37"/>
        <v>0</v>
      </c>
      <c r="W69" s="353">
        <f ca="1">IFERROR(__xludf.DUMMYFUNCTION("IMPORTRANGE(""https://docs.google.com/spreadsheets/d/10oOiF7loTyfsTkbd4MpaIm0HQ9SwB7IYHdIUvt-U1Uc/edit?usp=sharing"",""สระแก้ว!I769"")"),0)</f>
        <v>0</v>
      </c>
      <c r="X69" s="177">
        <f ca="1">IFERROR(__xludf.DUMMYFUNCTION("IMPORTRANGE(""https://docs.google.com/spreadsheets/d/10oOiF7loTyfsTkbd4MpaIm0HQ9SwB7IYHdIUvt-U1Uc/edit?usp=sharing"",""สระแก้ว!J769"")"),0)</f>
        <v>0</v>
      </c>
      <c r="Y69" s="354">
        <f t="shared" ca="1" si="39"/>
        <v>0</v>
      </c>
      <c r="Z69" s="177">
        <f ca="1">IFERROR(__xludf.DUMMYFUNCTION("IMPORTRANGE(""https://docs.google.com/spreadsheets/d/10oOiF7loTyfsTkbd4MpaIm0HQ9SwB7IYHdIUvt-U1Uc/edit?usp=sharing"",""สระแก้ว!I771"")"),0)</f>
        <v>0</v>
      </c>
      <c r="AA69" s="177">
        <f ca="1">IFERROR(__xludf.DUMMYFUNCTION("IMPORTRANGE(""https://docs.google.com/spreadsheets/d/10oOiF7loTyfsTkbd4MpaIm0HQ9SwB7IYHdIUvt-U1Uc/edit?usp=sharing"",""สระแก้ว!J771"")"),0)</f>
        <v>0</v>
      </c>
      <c r="AB69" s="354">
        <f t="shared" ca="1" si="41"/>
        <v>0</v>
      </c>
      <c r="AC69" s="177">
        <f ca="1">IFERROR(__xludf.DUMMYFUNCTION("IMPORTRANGE(""https://docs.google.com/spreadsheets/d/10oOiF7loTyfsTkbd4MpaIm0HQ9SwB7IYHdIUvt-U1Uc/edit?usp=sharing"",""สระแก้ว!I773"")"),0)</f>
        <v>0</v>
      </c>
      <c r="AD69" s="177">
        <f ca="1">IFERROR(__xludf.DUMMYFUNCTION("IMPORTRANGE(""https://docs.google.com/spreadsheets/d/10oOiF7loTyfsTkbd4MpaIm0HQ9SwB7IYHdIUvt-U1Uc/edit?usp=sharing"",""สระแก้ว!J773"")"),0)</f>
        <v>0</v>
      </c>
      <c r="AE69" s="354">
        <f t="shared" ca="1" si="43"/>
        <v>0</v>
      </c>
      <c r="AF69" s="177">
        <f ca="1">IFERROR(__xludf.DUMMYFUNCTION("IMPORTRANGE(""https://docs.google.com/spreadsheets/d/10oOiF7loTyfsTkbd4MpaIm0HQ9SwB7IYHdIUvt-U1Uc/edit?usp=sharing"",""สระแก้ว!I774"")"),0)</f>
        <v>0</v>
      </c>
      <c r="AG69" s="177">
        <f ca="1">IFERROR(__xludf.DUMMYFUNCTION("IMPORTRANGE(""https://docs.google.com/spreadsheets/d/10oOiF7loTyfsTkbd4MpaIm0HQ9SwB7IYHdIUvt-U1Uc/edit?usp=sharing"",""สระแก้ว!I775"")"),0)</f>
        <v>0</v>
      </c>
      <c r="AH69" s="177">
        <f ca="1">IFERROR(__xludf.DUMMYFUNCTION("IMPORTRANGE(""https://docs.google.com/spreadsheets/d/10oOiF7loTyfsTkbd4MpaIm0HQ9SwB7IYHdIUvt-U1Uc/edit?usp=sharing"",""สระแก้ว!J774"")"),0)</f>
        <v>0</v>
      </c>
      <c r="AI69" s="354">
        <f t="shared" ca="1" si="45"/>
        <v>0</v>
      </c>
      <c r="AJ69" s="177">
        <f ca="1">IFERROR(__xludf.DUMMYFUNCTION("IMPORTRANGE(""https://docs.google.com/spreadsheets/d/10oOiF7loTyfsTkbd4MpaIm0HQ9SwB7IYHdIUvt-U1Uc/edit?usp=sharing"",""สระแก้ว!J775"")"),0)</f>
        <v>0</v>
      </c>
      <c r="AK69" s="354">
        <f t="shared" ca="1" si="46"/>
        <v>0</v>
      </c>
    </row>
    <row r="70" spans="1:37" ht="19.5" x14ac:dyDescent="0.3">
      <c r="A70" s="535">
        <v>18</v>
      </c>
      <c r="B70" s="536" t="s">
        <v>96</v>
      </c>
      <c r="C70" s="537">
        <f t="shared" si="27"/>
        <v>0</v>
      </c>
      <c r="D70" s="538">
        <f t="shared" si="61"/>
        <v>0</v>
      </c>
      <c r="E70" s="539">
        <v>0</v>
      </c>
      <c r="F70" s="539">
        <v>0</v>
      </c>
      <c r="G70" s="539">
        <v>0</v>
      </c>
      <c r="H70" s="539">
        <v>0</v>
      </c>
      <c r="I70" s="539">
        <v>0</v>
      </c>
      <c r="J70" s="545">
        <f t="shared" si="29"/>
        <v>0</v>
      </c>
      <c r="K70" s="546">
        <f t="shared" si="30"/>
        <v>0</v>
      </c>
      <c r="L70" s="539">
        <v>0</v>
      </c>
      <c r="M70" s="542">
        <f t="shared" si="31"/>
        <v>0</v>
      </c>
      <c r="N70" s="542">
        <f t="shared" si="32"/>
        <v>0</v>
      </c>
      <c r="O70" s="539">
        <v>0</v>
      </c>
      <c r="P70" s="543">
        <f t="shared" si="33"/>
        <v>0</v>
      </c>
      <c r="Q70" s="542">
        <f t="shared" si="34"/>
        <v>0</v>
      </c>
      <c r="R70" s="543">
        <f ca="1">IFERROR(__xludf.DUMMYFUNCTION("IMPORTRANGE(""https://docs.google.com/spreadsheets/d/1xmPlrr1QbdSIKvl1dWUl9K4PjAfSL9oeMr_37QVzcxc/edit?usp=sharing"",""สระบุรี!Q759"")"),117510)</f>
        <v>117510</v>
      </c>
      <c r="S70" s="542">
        <f ca="1">IFERROR(__xludf.DUMMYFUNCTION("IMPORTRANGE(""https://docs.google.com/spreadsheets/d/1xmPlrr1QbdSIKvl1dWUl9K4PjAfSL9oeMr_37QVzcxc/edit?usp=sharing"",""สระบุรี!R759"")"),0)</f>
        <v>0</v>
      </c>
      <c r="T70" s="543">
        <f ca="1">IFERROR(__xludf.DUMMYFUNCTION("IMPORTRANGE(""https://docs.google.com/spreadsheets/d/1xmPlrr1QbdSIKvl1dWUl9K4PjAfSL9oeMr_37QVzcxc/edit?usp=sharing"",""สระบุรี!S759"")"),6200)</f>
        <v>6200</v>
      </c>
      <c r="U70" s="542">
        <f t="shared" ca="1" si="36"/>
        <v>5.2761467109182201</v>
      </c>
      <c r="V70" s="542">
        <f t="shared" ca="1" si="37"/>
        <v>0</v>
      </c>
      <c r="W70" s="353">
        <f ca="1">IFERROR(__xludf.DUMMYFUNCTION("IMPORTRANGE(""https://docs.google.com/spreadsheets/d/1xmPlrr1QbdSIKvl1dWUl9K4PjAfSL9oeMr_37QVzcxc/edit?usp=sharing"",""สระบุรี!I769"")"),0)</f>
        <v>0</v>
      </c>
      <c r="X70" s="177">
        <f ca="1">IFERROR(__xludf.DUMMYFUNCTION("IMPORTRANGE(""https://docs.google.com/spreadsheets/d/1xmPlrr1QbdSIKvl1dWUl9K4PjAfSL9oeMr_37QVzcxc/edit?usp=sharing"",""สระบุรี!J769"")"),0)</f>
        <v>0</v>
      </c>
      <c r="Y70" s="354">
        <f t="shared" ca="1" si="39"/>
        <v>0</v>
      </c>
      <c r="Z70" s="177">
        <f ca="1">IFERROR(__xludf.DUMMYFUNCTION("IMPORTRANGE(""https://docs.google.com/spreadsheets/d/1xmPlrr1QbdSIKvl1dWUl9K4PjAfSL9oeMr_37QVzcxc/edit?usp=sharing"",""สระบุรี!I771"")"),15)</f>
        <v>15</v>
      </c>
      <c r="AA70" s="177">
        <f ca="1">IFERROR(__xludf.DUMMYFUNCTION("IMPORTRANGE(""https://docs.google.com/spreadsheets/d/1xmPlrr1QbdSIKvl1dWUl9K4PjAfSL9oeMr_37QVzcxc/edit?usp=sharing"",""สระบุรี!J771"")"),0)</f>
        <v>0</v>
      </c>
      <c r="AB70" s="354">
        <f t="shared" ca="1" si="41"/>
        <v>0</v>
      </c>
      <c r="AC70" s="177">
        <f ca="1">IFERROR(__xludf.DUMMYFUNCTION("IMPORTRANGE(""https://docs.google.com/spreadsheets/d/1xmPlrr1QbdSIKvl1dWUl9K4PjAfSL9oeMr_37QVzcxc/edit?usp=sharing"",""สระบุรี!I773"")"),30)</f>
        <v>30</v>
      </c>
      <c r="AD70" s="177">
        <f ca="1">IFERROR(__xludf.DUMMYFUNCTION("IMPORTRANGE(""https://docs.google.com/spreadsheets/d/1xmPlrr1QbdSIKvl1dWUl9K4PjAfSL9oeMr_37QVzcxc/edit?usp=sharing"",""สระบุรี!J773"")"),0)</f>
        <v>0</v>
      </c>
      <c r="AE70" s="354">
        <f t="shared" ca="1" si="43"/>
        <v>0</v>
      </c>
      <c r="AF70" s="177">
        <f ca="1">IFERROR(__xludf.DUMMYFUNCTION("IMPORTRANGE(""https://docs.google.com/spreadsheets/d/1xmPlrr1QbdSIKvl1dWUl9K4PjAfSL9oeMr_37QVzcxc/edit?usp=sharing"",""สระบุรี!I774"")"),30)</f>
        <v>30</v>
      </c>
      <c r="AG70" s="177">
        <f ca="1">IFERROR(__xludf.DUMMYFUNCTION("IMPORTRANGE(""https://docs.google.com/spreadsheets/d/1xmPlrr1QbdSIKvl1dWUl9K4PjAfSL9oeMr_37QVzcxc/edit?usp=sharing"",""สระบุรี!I775"")"),15)</f>
        <v>15</v>
      </c>
      <c r="AH70" s="177">
        <f ca="1">IFERROR(__xludf.DUMMYFUNCTION("IMPORTRANGE(""https://docs.google.com/spreadsheets/d/1xmPlrr1QbdSIKvl1dWUl9K4PjAfSL9oeMr_37QVzcxc/edit?usp=sharing"",""สระบุรี!J774"")"),0)</f>
        <v>0</v>
      </c>
      <c r="AI70" s="354">
        <f t="shared" ca="1" si="45"/>
        <v>0</v>
      </c>
      <c r="AJ70" s="177">
        <f ca="1">IFERROR(__xludf.DUMMYFUNCTION("IMPORTRANGE(""https://docs.google.com/spreadsheets/d/1xmPlrr1QbdSIKvl1dWUl9K4PjAfSL9oeMr_37QVzcxc/edit?usp=sharing"",""สระบุรี!J775"")"),0)</f>
        <v>0</v>
      </c>
      <c r="AK70" s="354">
        <f t="shared" ca="1" si="46"/>
        <v>0</v>
      </c>
    </row>
    <row r="71" spans="1:37" ht="19.5" x14ac:dyDescent="0.3">
      <c r="A71" s="535">
        <v>19</v>
      </c>
      <c r="B71" s="536" t="s">
        <v>97</v>
      </c>
      <c r="C71" s="537">
        <f t="shared" si="27"/>
        <v>0</v>
      </c>
      <c r="D71" s="538">
        <f t="shared" si="61"/>
        <v>0</v>
      </c>
      <c r="E71" s="539">
        <v>0</v>
      </c>
      <c r="F71" s="539">
        <v>0</v>
      </c>
      <c r="G71" s="539">
        <v>0</v>
      </c>
      <c r="H71" s="539">
        <v>0</v>
      </c>
      <c r="I71" s="539">
        <v>0</v>
      </c>
      <c r="J71" s="545">
        <f t="shared" si="29"/>
        <v>0</v>
      </c>
      <c r="K71" s="546">
        <f t="shared" si="30"/>
        <v>0</v>
      </c>
      <c r="L71" s="539">
        <v>0</v>
      </c>
      <c r="M71" s="542">
        <f t="shared" si="31"/>
        <v>0</v>
      </c>
      <c r="N71" s="542">
        <f t="shared" si="32"/>
        <v>0</v>
      </c>
      <c r="O71" s="539">
        <v>0</v>
      </c>
      <c r="P71" s="543">
        <f t="shared" si="33"/>
        <v>0</v>
      </c>
      <c r="Q71" s="542">
        <f t="shared" si="34"/>
        <v>0</v>
      </c>
      <c r="R71" s="543">
        <f ca="1">IFERROR(__xludf.DUMMYFUNCTION("IMPORTRANGE(""https://docs.google.com/spreadsheets/d/1j51vR6CYVGhABJpv6tkstgok82RLpXieLzW1yOY5rHw/edit?usp=sharing"",""สิงห์บุรี!Q759"")"),0)</f>
        <v>0</v>
      </c>
      <c r="S71" s="542">
        <f ca="1">IFERROR(__xludf.DUMMYFUNCTION("IMPORTRANGE(""https://docs.google.com/spreadsheets/d/1j51vR6CYVGhABJpv6tkstgok82RLpXieLzW1yOY5rHw/edit?usp=sharing"",""สิงห์บุรี!R759"")"),0)</f>
        <v>0</v>
      </c>
      <c r="T71" s="543">
        <f ca="1">IFERROR(__xludf.DUMMYFUNCTION("IMPORTRANGE(""https://docs.google.com/spreadsheets/d/1j51vR6CYVGhABJpv6tkstgok82RLpXieLzW1yOY5rHw/edit?usp=sharing"",""สิงห์บุรี!S759"")"),0)</f>
        <v>0</v>
      </c>
      <c r="U71" s="542">
        <f t="shared" ca="1" si="36"/>
        <v>0</v>
      </c>
      <c r="V71" s="542">
        <f t="shared" ca="1" si="37"/>
        <v>0</v>
      </c>
      <c r="W71" s="353">
        <f ca="1">IFERROR(__xludf.DUMMYFUNCTION("IMPORTRANGE(""https://docs.google.com/spreadsheets/d/1j51vR6CYVGhABJpv6tkstgok82RLpXieLzW1yOY5rHw/edit?usp=sharing"",""สิงห์บุรี!I769"")"),0)</f>
        <v>0</v>
      </c>
      <c r="X71" s="177">
        <f ca="1">IFERROR(__xludf.DUMMYFUNCTION("IMPORTRANGE(""https://docs.google.com/spreadsheets/d/1j51vR6CYVGhABJpv6tkstgok82RLpXieLzW1yOY5rHw/edit?usp=sharing"",""สิงห์บุรี!J769"")"),0)</f>
        <v>0</v>
      </c>
      <c r="Y71" s="354">
        <f t="shared" ca="1" si="39"/>
        <v>0</v>
      </c>
      <c r="Z71" s="177">
        <f ca="1">IFERROR(__xludf.DUMMYFUNCTION("IMPORTRANGE(""https://docs.google.com/spreadsheets/d/1j51vR6CYVGhABJpv6tkstgok82RLpXieLzW1yOY5rHw/edit?usp=sharing"",""สิงห์บุรี!I771"")"),0)</f>
        <v>0</v>
      </c>
      <c r="AA71" s="177">
        <f ca="1">IFERROR(__xludf.DUMMYFUNCTION("IMPORTRANGE(""https://docs.google.com/spreadsheets/d/1j51vR6CYVGhABJpv6tkstgok82RLpXieLzW1yOY5rHw/edit?usp=sharing"",""สิงห์บุรี!J771"")"),0)</f>
        <v>0</v>
      </c>
      <c r="AB71" s="354">
        <f t="shared" ca="1" si="41"/>
        <v>0</v>
      </c>
      <c r="AC71" s="177">
        <f ca="1">IFERROR(__xludf.DUMMYFUNCTION("IMPORTRANGE(""https://docs.google.com/spreadsheets/d/1j51vR6CYVGhABJpv6tkstgok82RLpXieLzW1yOY5rHw/edit?usp=sharing"",""สิงห์บุรี!I773"")"),0)</f>
        <v>0</v>
      </c>
      <c r="AD71" s="177">
        <f ca="1">IFERROR(__xludf.DUMMYFUNCTION("IMPORTRANGE(""https://docs.google.com/spreadsheets/d/1j51vR6CYVGhABJpv6tkstgok82RLpXieLzW1yOY5rHw/edit?usp=sharing"",""สิงห์บุรี!J773"")"),0)</f>
        <v>0</v>
      </c>
      <c r="AE71" s="354">
        <f t="shared" ca="1" si="43"/>
        <v>0</v>
      </c>
      <c r="AF71" s="177">
        <f ca="1">IFERROR(__xludf.DUMMYFUNCTION("IMPORTRANGE(""https://docs.google.com/spreadsheets/d/1j51vR6CYVGhABJpv6tkstgok82RLpXieLzW1yOY5rHw/edit?usp=sharing"",""สิงห์บุรี!I774"")"),0)</f>
        <v>0</v>
      </c>
      <c r="AG71" s="177">
        <f ca="1">IFERROR(__xludf.DUMMYFUNCTION("IMPORTRANGE(""https://docs.google.com/spreadsheets/d/1j51vR6CYVGhABJpv6tkstgok82RLpXieLzW1yOY5rHw/edit?usp=sharing"",""สิงห์บุรี!I775"")"),0)</f>
        <v>0</v>
      </c>
      <c r="AH71" s="177">
        <f ca="1">IFERROR(__xludf.DUMMYFUNCTION("IMPORTRANGE(""https://docs.google.com/spreadsheets/d/1j51vR6CYVGhABJpv6tkstgok82RLpXieLzW1yOY5rHw/edit?usp=sharing"",""สิงห์บุรี!J774"")"),0)</f>
        <v>0</v>
      </c>
      <c r="AI71" s="354">
        <f t="shared" ca="1" si="45"/>
        <v>0</v>
      </c>
      <c r="AJ71" s="177">
        <f ca="1">IFERROR(__xludf.DUMMYFUNCTION("IMPORTRANGE(""https://docs.google.com/spreadsheets/d/1j51vR6CYVGhABJpv6tkstgok82RLpXieLzW1yOY5rHw/edit?usp=sharing"",""สิงห์บุรี!J775"")"),0)</f>
        <v>0</v>
      </c>
      <c r="AK71" s="354">
        <f t="shared" ca="1" si="46"/>
        <v>0</v>
      </c>
    </row>
    <row r="72" spans="1:37" ht="19.5" x14ac:dyDescent="0.3">
      <c r="A72" s="535">
        <v>20</v>
      </c>
      <c r="B72" s="536" t="s">
        <v>98</v>
      </c>
      <c r="C72" s="537">
        <f t="shared" si="27"/>
        <v>0</v>
      </c>
      <c r="D72" s="538">
        <f t="shared" si="61"/>
        <v>0</v>
      </c>
      <c r="E72" s="539">
        <v>0</v>
      </c>
      <c r="F72" s="539">
        <v>0</v>
      </c>
      <c r="G72" s="539">
        <v>0</v>
      </c>
      <c r="H72" s="539">
        <v>0</v>
      </c>
      <c r="I72" s="539">
        <v>0</v>
      </c>
      <c r="J72" s="545">
        <f t="shared" si="29"/>
        <v>0</v>
      </c>
      <c r="K72" s="546">
        <f t="shared" si="30"/>
        <v>0</v>
      </c>
      <c r="L72" s="539">
        <v>0</v>
      </c>
      <c r="M72" s="542">
        <f t="shared" si="31"/>
        <v>0</v>
      </c>
      <c r="N72" s="542">
        <f t="shared" si="32"/>
        <v>0</v>
      </c>
      <c r="O72" s="539">
        <v>0</v>
      </c>
      <c r="P72" s="543">
        <f t="shared" si="33"/>
        <v>0</v>
      </c>
      <c r="Q72" s="542">
        <f t="shared" si="34"/>
        <v>0</v>
      </c>
      <c r="R72" s="543">
        <f ca="1">IFERROR(__xludf.DUMMYFUNCTION("IMPORTRANGE(""https://docs.google.com/spreadsheets/d/1H1EalTWKUSzO4Z1-1CwzoDUaVffgrThEBe2sl74kKG0/edit?usp=sharing"",""สุพรรณบุรี!Q759"")"),413100)</f>
        <v>413100</v>
      </c>
      <c r="S72" s="542">
        <f ca="1">IFERROR(__xludf.DUMMYFUNCTION("IMPORTRANGE(""https://docs.google.com/spreadsheets/d/1H1EalTWKUSzO4Z1-1CwzoDUaVffgrThEBe2sl74kKG0/edit?usp=sharing"",""สุพรรณบุรี!R759"")"),0)</f>
        <v>0</v>
      </c>
      <c r="T72" s="543">
        <f ca="1">IFERROR(__xludf.DUMMYFUNCTION("IMPORTRANGE(""https://docs.google.com/spreadsheets/d/1H1EalTWKUSzO4Z1-1CwzoDUaVffgrThEBe2sl74kKG0/edit?usp=sharing"",""สุพรรณบุรี!S759"")"),13000)</f>
        <v>13000</v>
      </c>
      <c r="U72" s="542">
        <f t="shared" ca="1" si="36"/>
        <v>3.1469377874606632</v>
      </c>
      <c r="V72" s="542">
        <f t="shared" ca="1" si="37"/>
        <v>0</v>
      </c>
      <c r="W72" s="353">
        <f ca="1">IFERROR(__xludf.DUMMYFUNCTION("IMPORTRANGE(""https://docs.google.com/spreadsheets/d/1H1EalTWKUSzO4Z1-1CwzoDUaVffgrThEBe2sl74kKG0/edit?usp=sharing"",""สุพรรณบุรี!I769"")"),0)</f>
        <v>0</v>
      </c>
      <c r="X72" s="177">
        <f ca="1">IFERROR(__xludf.DUMMYFUNCTION("IMPORTRANGE(""https://docs.google.com/spreadsheets/d/1H1EalTWKUSzO4Z1-1CwzoDUaVffgrThEBe2sl74kKG0/edit?usp=sharing"",""สุพรรณบุรี!J769"")"),0)</f>
        <v>0</v>
      </c>
      <c r="Y72" s="354">
        <f t="shared" ca="1" si="39"/>
        <v>0</v>
      </c>
      <c r="Z72" s="177">
        <f ca="1">IFERROR(__xludf.DUMMYFUNCTION("IMPORTRANGE(""https://docs.google.com/spreadsheets/d/1H1EalTWKUSzO4Z1-1CwzoDUaVffgrThEBe2sl74kKG0/edit?usp=sharing"",""สุพรรณบุรี!I771"")"),60)</f>
        <v>60</v>
      </c>
      <c r="AA72" s="177">
        <f ca="1">IFERROR(__xludf.DUMMYFUNCTION("IMPORTRANGE(""https://docs.google.com/spreadsheets/d/1H1EalTWKUSzO4Z1-1CwzoDUaVffgrThEBe2sl74kKG0/edit?usp=sharing"",""สุพรรณบุรี!J771"")"),0)</f>
        <v>0</v>
      </c>
      <c r="AB72" s="354">
        <f t="shared" ca="1" si="41"/>
        <v>0</v>
      </c>
      <c r="AC72" s="177">
        <f ca="1">IFERROR(__xludf.DUMMYFUNCTION("IMPORTRANGE(""https://docs.google.com/spreadsheets/d/1H1EalTWKUSzO4Z1-1CwzoDUaVffgrThEBe2sl74kKG0/edit?usp=sharing"",""สุพรรณบุรี!I773"")"),100)</f>
        <v>100</v>
      </c>
      <c r="AD72" s="177">
        <f ca="1">IFERROR(__xludf.DUMMYFUNCTION("IMPORTRANGE(""https://docs.google.com/spreadsheets/d/1H1EalTWKUSzO4Z1-1CwzoDUaVffgrThEBe2sl74kKG0/edit?usp=sharing"",""สุพรรณบุรี!J773"")"),0)</f>
        <v>0</v>
      </c>
      <c r="AE72" s="354">
        <f t="shared" ca="1" si="43"/>
        <v>0</v>
      </c>
      <c r="AF72" s="177">
        <f ca="1">IFERROR(__xludf.DUMMYFUNCTION("IMPORTRANGE(""https://docs.google.com/spreadsheets/d/1H1EalTWKUSzO4Z1-1CwzoDUaVffgrThEBe2sl74kKG0/edit?usp=sharing"",""สุพรรณบุรี!I774"")"),100)</f>
        <v>100</v>
      </c>
      <c r="AG72" s="177">
        <f ca="1">IFERROR(__xludf.DUMMYFUNCTION("IMPORTRANGE(""https://docs.google.com/spreadsheets/d/1H1EalTWKUSzO4Z1-1CwzoDUaVffgrThEBe2sl74kKG0/edit?usp=sharing"",""สุพรรณบุรี!I775"")"),60)</f>
        <v>60</v>
      </c>
      <c r="AH72" s="177">
        <f ca="1">IFERROR(__xludf.DUMMYFUNCTION("IMPORTRANGE(""https://docs.google.com/spreadsheets/d/1H1EalTWKUSzO4Z1-1CwzoDUaVffgrThEBe2sl74kKG0/edit?usp=sharing"",""สุพรรณบุรี!J774"")"),0)</f>
        <v>0</v>
      </c>
      <c r="AI72" s="354">
        <f t="shared" ca="1" si="45"/>
        <v>0</v>
      </c>
      <c r="AJ72" s="177">
        <f ca="1">IFERROR(__xludf.DUMMYFUNCTION("IMPORTRANGE(""https://docs.google.com/spreadsheets/d/1H1EalTWKUSzO4Z1-1CwzoDUaVffgrThEBe2sl74kKG0/edit?usp=sharing"",""สุพรรณบุรี!J775"")"),0)</f>
        <v>0</v>
      </c>
      <c r="AK72" s="354">
        <f t="shared" ca="1" si="46"/>
        <v>0</v>
      </c>
    </row>
    <row r="73" spans="1:37" ht="19.5" x14ac:dyDescent="0.3">
      <c r="A73" s="548">
        <v>21</v>
      </c>
      <c r="B73" s="549" t="s">
        <v>99</v>
      </c>
      <c r="C73" s="550">
        <f t="shared" si="27"/>
        <v>0</v>
      </c>
      <c r="D73" s="551">
        <f t="shared" si="61"/>
        <v>0</v>
      </c>
      <c r="E73" s="552">
        <v>0</v>
      </c>
      <c r="F73" s="552">
        <v>0</v>
      </c>
      <c r="G73" s="552">
        <v>0</v>
      </c>
      <c r="H73" s="552">
        <v>0</v>
      </c>
      <c r="I73" s="552">
        <v>0</v>
      </c>
      <c r="J73" s="553">
        <f t="shared" si="29"/>
        <v>0</v>
      </c>
      <c r="K73" s="554">
        <f t="shared" si="30"/>
        <v>0</v>
      </c>
      <c r="L73" s="552">
        <v>0</v>
      </c>
      <c r="M73" s="555">
        <f t="shared" si="31"/>
        <v>0</v>
      </c>
      <c r="N73" s="555">
        <f t="shared" si="32"/>
        <v>0</v>
      </c>
      <c r="O73" s="552">
        <v>0</v>
      </c>
      <c r="P73" s="556">
        <f t="shared" si="33"/>
        <v>0</v>
      </c>
      <c r="Q73" s="555">
        <f t="shared" si="34"/>
        <v>0</v>
      </c>
      <c r="R73" s="556">
        <f ca="1">IFERROR(__xludf.DUMMYFUNCTION("IMPORTRANGE(""https://docs.google.com/spreadsheets/d/1BmIruG_sIrJLYao_Pdr7zVArWsfoBt2692TMi6x_854/edit?usp=sharing"",""อ่างทอง!Q759"")"),115510)</f>
        <v>115510</v>
      </c>
      <c r="S73" s="555">
        <f ca="1">IFERROR(__xludf.DUMMYFUNCTION("IMPORTRANGE(""https://docs.google.com/spreadsheets/d/1BmIruG_sIrJLYao_Pdr7zVArWsfoBt2692TMi6x_854/edit?usp=sharing"",""อ่างทอง!R759"")"),0)</f>
        <v>0</v>
      </c>
      <c r="T73" s="556">
        <f ca="1">IFERROR(__xludf.DUMMYFUNCTION("IMPORTRANGE(""https://docs.google.com/spreadsheets/d/1BmIruG_sIrJLYao_Pdr7zVArWsfoBt2692TMi6x_854/edit?usp=sharing"",""อ่างทอง!S759"")"),0)</f>
        <v>0</v>
      </c>
      <c r="U73" s="555">
        <f t="shared" ca="1" si="36"/>
        <v>0</v>
      </c>
      <c r="V73" s="555">
        <f t="shared" ca="1" si="37"/>
        <v>0</v>
      </c>
      <c r="W73" s="578">
        <f ca="1">IFERROR(__xludf.DUMMYFUNCTION("IMPORTRANGE(""https://docs.google.com/spreadsheets/d/1BmIruG_sIrJLYao_Pdr7zVArWsfoBt2692TMi6x_854/edit?usp=sharing"",""อ่างทอง!I769"")"),0)</f>
        <v>0</v>
      </c>
      <c r="X73" s="579">
        <f ca="1">IFERROR(__xludf.DUMMYFUNCTION("IMPORTRANGE(""https://docs.google.com/spreadsheets/d/1BmIruG_sIrJLYao_Pdr7zVArWsfoBt2692TMi6x_854/edit?usp=sharing"",""อ่างทอง!J769"")"),0)</f>
        <v>0</v>
      </c>
      <c r="Y73" s="357">
        <f t="shared" ca="1" si="39"/>
        <v>0</v>
      </c>
      <c r="Z73" s="579">
        <f ca="1">IFERROR(__xludf.DUMMYFUNCTION("IMPORTRANGE(""https://docs.google.com/spreadsheets/d/1BmIruG_sIrJLYao_Pdr7zVArWsfoBt2692TMi6x_854/edit?usp=sharing"",""อ่างทอง!I771"")"),15)</f>
        <v>15</v>
      </c>
      <c r="AA73" s="579">
        <f ca="1">IFERROR(__xludf.DUMMYFUNCTION("IMPORTRANGE(""https://docs.google.com/spreadsheets/d/1BmIruG_sIrJLYao_Pdr7zVArWsfoBt2692TMi6x_854/edit?usp=sharing"",""อ่างทอง!J771"")"),0)</f>
        <v>0</v>
      </c>
      <c r="AB73" s="357">
        <f t="shared" ca="1" si="41"/>
        <v>0</v>
      </c>
      <c r="AC73" s="579">
        <f ca="1">IFERROR(__xludf.DUMMYFUNCTION("IMPORTRANGE(""https://docs.google.com/spreadsheets/d/1BmIruG_sIrJLYao_Pdr7zVArWsfoBt2692TMi6x_854/edit?usp=sharing"",""อ่างทอง!I773"")"),30)</f>
        <v>30</v>
      </c>
      <c r="AD73" s="579">
        <f ca="1">IFERROR(__xludf.DUMMYFUNCTION("IMPORTRANGE(""https://docs.google.com/spreadsheets/d/1BmIruG_sIrJLYao_Pdr7zVArWsfoBt2692TMi6x_854/edit?usp=sharing"",""อ่างทอง!J773"")"),0)</f>
        <v>0</v>
      </c>
      <c r="AE73" s="357">
        <f t="shared" ca="1" si="43"/>
        <v>0</v>
      </c>
      <c r="AF73" s="579">
        <f ca="1">IFERROR(__xludf.DUMMYFUNCTION("IMPORTRANGE(""https://docs.google.com/spreadsheets/d/1BmIruG_sIrJLYao_Pdr7zVArWsfoBt2692TMi6x_854/edit?usp=sharing"",""อ่างทอง!I774"")"),30)</f>
        <v>30</v>
      </c>
      <c r="AG73" s="579">
        <f ca="1">IFERROR(__xludf.DUMMYFUNCTION("IMPORTRANGE(""https://docs.google.com/spreadsheets/d/1BmIruG_sIrJLYao_Pdr7zVArWsfoBt2692TMi6x_854/edit?usp=sharing"",""อ่างทอง!I775"")"),15)</f>
        <v>15</v>
      </c>
      <c r="AH73" s="579">
        <f ca="1">IFERROR(__xludf.DUMMYFUNCTION("IMPORTRANGE(""https://docs.google.com/spreadsheets/d/1BmIruG_sIrJLYao_Pdr7zVArWsfoBt2692TMi6x_854/edit?usp=sharing"",""อ่างทอง!J774"")"),0)</f>
        <v>0</v>
      </c>
      <c r="AI73" s="357">
        <f t="shared" ca="1" si="45"/>
        <v>0</v>
      </c>
      <c r="AJ73" s="579">
        <f ca="1">IFERROR(__xludf.DUMMYFUNCTION("IMPORTRANGE(""https://docs.google.com/spreadsheets/d/1BmIruG_sIrJLYao_Pdr7zVArWsfoBt2692TMi6x_854/edit?usp=sharing"",""อ่างทอง!J775"")"),0)</f>
        <v>0</v>
      </c>
      <c r="AK73" s="357">
        <f t="shared" ca="1" si="46"/>
        <v>0</v>
      </c>
    </row>
    <row r="74" spans="1:37" ht="19.5" x14ac:dyDescent="0.3">
      <c r="A74" s="636" t="s">
        <v>100</v>
      </c>
      <c r="B74" s="633"/>
      <c r="C74" s="490">
        <f t="shared" si="27"/>
        <v>0</v>
      </c>
      <c r="D74" s="490">
        <f t="shared" ref="D74:I74" si="62">SUM(D75:D88)</f>
        <v>0</v>
      </c>
      <c r="E74" s="490">
        <f t="shared" si="62"/>
        <v>0</v>
      </c>
      <c r="F74" s="490">
        <f t="shared" si="62"/>
        <v>0</v>
      </c>
      <c r="G74" s="490">
        <f t="shared" si="62"/>
        <v>0</v>
      </c>
      <c r="H74" s="490">
        <f t="shared" si="62"/>
        <v>0</v>
      </c>
      <c r="I74" s="490">
        <f t="shared" si="62"/>
        <v>0</v>
      </c>
      <c r="J74" s="490">
        <f t="shared" si="29"/>
        <v>0</v>
      </c>
      <c r="K74" s="522">
        <f t="shared" si="30"/>
        <v>0</v>
      </c>
      <c r="L74" s="490">
        <f>SUM(L75:L88)</f>
        <v>0</v>
      </c>
      <c r="M74" s="491">
        <f t="shared" si="31"/>
        <v>0</v>
      </c>
      <c r="N74" s="491">
        <f t="shared" si="32"/>
        <v>0</v>
      </c>
      <c r="O74" s="523">
        <f>SUM(O75:O88)</f>
        <v>0</v>
      </c>
      <c r="P74" s="523">
        <f t="shared" si="33"/>
        <v>0</v>
      </c>
      <c r="Q74" s="491">
        <f t="shared" si="34"/>
        <v>0</v>
      </c>
      <c r="R74" s="523">
        <f t="shared" ref="R74:T74" ca="1" si="63">SUM(R75:R88)</f>
        <v>2015140</v>
      </c>
      <c r="S74" s="491">
        <f t="shared" ca="1" si="63"/>
        <v>0</v>
      </c>
      <c r="T74" s="523">
        <f t="shared" ca="1" si="63"/>
        <v>98180</v>
      </c>
      <c r="U74" s="491">
        <f t="shared" ca="1" si="36"/>
        <v>4.8721180662385741</v>
      </c>
      <c r="V74" s="491">
        <f t="shared" ca="1" si="37"/>
        <v>0</v>
      </c>
      <c r="W74" s="348">
        <f t="shared" ref="W74:X74" ca="1" si="64">SUM(W75:W88)</f>
        <v>0</v>
      </c>
      <c r="X74" s="451">
        <f t="shared" ca="1" si="64"/>
        <v>0</v>
      </c>
      <c r="Y74" s="40">
        <f t="shared" ca="1" si="39"/>
        <v>0</v>
      </c>
      <c r="Z74" s="451">
        <f t="shared" ref="Z74:AA74" ca="1" si="65">SUM(Z75:Z88)</f>
        <v>240</v>
      </c>
      <c r="AA74" s="451">
        <f t="shared" ca="1" si="65"/>
        <v>0</v>
      </c>
      <c r="AB74" s="40">
        <f t="shared" ca="1" si="41"/>
        <v>0</v>
      </c>
      <c r="AC74" s="451">
        <f t="shared" ref="AC74:AD74" ca="1" si="66">SUM(AC75:AC88)</f>
        <v>625</v>
      </c>
      <c r="AD74" s="451">
        <f t="shared" ca="1" si="66"/>
        <v>0</v>
      </c>
      <c r="AE74" s="40">
        <f t="shared" ca="1" si="43"/>
        <v>0</v>
      </c>
      <c r="AF74" s="451">
        <f t="shared" ref="AF74:AH74" ca="1" si="67">SUM(AF75:AF88)</f>
        <v>625</v>
      </c>
      <c r="AG74" s="451">
        <f t="shared" ca="1" si="67"/>
        <v>240</v>
      </c>
      <c r="AH74" s="451">
        <f t="shared" ca="1" si="67"/>
        <v>0</v>
      </c>
      <c r="AI74" s="40">
        <f t="shared" ca="1" si="45"/>
        <v>0</v>
      </c>
      <c r="AJ74" s="451">
        <f ca="1">SUM(AJ75:AJ88)</f>
        <v>0</v>
      </c>
      <c r="AK74" s="40">
        <f t="shared" ca="1" si="46"/>
        <v>0</v>
      </c>
    </row>
    <row r="75" spans="1:37" ht="19.5" x14ac:dyDescent="0.3">
      <c r="A75" s="535">
        <v>1</v>
      </c>
      <c r="B75" s="536" t="s">
        <v>101</v>
      </c>
      <c r="C75" s="537">
        <f t="shared" si="27"/>
        <v>0</v>
      </c>
      <c r="D75" s="538">
        <f t="shared" ref="D75:D88" si="68">+E75+F75</f>
        <v>0</v>
      </c>
      <c r="E75" s="539">
        <v>0</v>
      </c>
      <c r="F75" s="539">
        <v>0</v>
      </c>
      <c r="G75" s="539">
        <v>0</v>
      </c>
      <c r="H75" s="539">
        <v>0</v>
      </c>
      <c r="I75" s="539">
        <v>0</v>
      </c>
      <c r="J75" s="545">
        <f t="shared" si="29"/>
        <v>0</v>
      </c>
      <c r="K75" s="546">
        <f t="shared" si="30"/>
        <v>0</v>
      </c>
      <c r="L75" s="539">
        <v>0</v>
      </c>
      <c r="M75" s="542">
        <f t="shared" si="31"/>
        <v>0</v>
      </c>
      <c r="N75" s="542">
        <f t="shared" si="32"/>
        <v>0</v>
      </c>
      <c r="O75" s="539">
        <v>0</v>
      </c>
      <c r="P75" s="543">
        <f t="shared" si="33"/>
        <v>0</v>
      </c>
      <c r="Q75" s="542">
        <f t="shared" si="34"/>
        <v>0</v>
      </c>
      <c r="R75" s="543">
        <f ca="1">IFERROR(__xludf.DUMMYFUNCTION("IMPORTRANGE(""https://docs.google.com/spreadsheets/d/1kKUcYdkIfrgTSj8iHHHB2MD2FAtwyyocFgqGQn6ADyI/edit?usp=sharing"",""กระบี่!Q759"")"),134510)</f>
        <v>134510</v>
      </c>
      <c r="S75" s="542">
        <f ca="1">IFERROR(__xludf.DUMMYFUNCTION("IMPORTRANGE(""https://docs.google.com/spreadsheets/d/1kKUcYdkIfrgTSj8iHHHB2MD2FAtwyyocFgqGQn6ADyI/edit?usp=sharing"",""กระบี่!R759"")"),0)</f>
        <v>0</v>
      </c>
      <c r="T75" s="543">
        <f ca="1">IFERROR(__xludf.DUMMYFUNCTION("IMPORTRANGE(""https://docs.google.com/spreadsheets/d/1kKUcYdkIfrgTSj8iHHHB2MD2FAtwyyocFgqGQn6ADyI/edit?usp=sharing"",""กระบี่!S759"")"),0)</f>
        <v>0</v>
      </c>
      <c r="U75" s="542">
        <f t="shared" ca="1" si="36"/>
        <v>0</v>
      </c>
      <c r="V75" s="542">
        <f t="shared" ca="1" si="37"/>
        <v>0</v>
      </c>
      <c r="W75" s="353">
        <f ca="1">IFERROR(__xludf.DUMMYFUNCTION("IMPORTRANGE(""https://docs.google.com/spreadsheets/d/1kKUcYdkIfrgTSj8iHHHB2MD2FAtwyyocFgqGQn6ADyI/edit?usp=sharing"",""กระบี่!I769"")"),0)</f>
        <v>0</v>
      </c>
      <c r="X75" s="177">
        <f ca="1">IFERROR(__xludf.DUMMYFUNCTION("IMPORTRANGE(""https://docs.google.com/spreadsheets/d/1kKUcYdkIfrgTSj8iHHHB2MD2FAtwyyocFgqGQn6ADyI/edit?usp=sharing"",""กระบี่!J769"")"),0)</f>
        <v>0</v>
      </c>
      <c r="Y75" s="354">
        <f t="shared" ca="1" si="39"/>
        <v>0</v>
      </c>
      <c r="Z75" s="177">
        <f ca="1">IFERROR(__xludf.DUMMYFUNCTION("IMPORTRANGE(""https://docs.google.com/spreadsheets/d/1kKUcYdkIfrgTSj8iHHHB2MD2FAtwyyocFgqGQn6ADyI/edit?usp=sharing"",""กระบี่!I771"")"),15)</f>
        <v>15</v>
      </c>
      <c r="AA75" s="177">
        <f ca="1">IFERROR(__xludf.DUMMYFUNCTION("IMPORTRANGE(""https://docs.google.com/spreadsheets/d/1kKUcYdkIfrgTSj8iHHHB2MD2FAtwyyocFgqGQn6ADyI/edit?usp=sharing"",""กระบี่!J771"")"),0)</f>
        <v>0</v>
      </c>
      <c r="AB75" s="354">
        <f t="shared" ca="1" si="41"/>
        <v>0</v>
      </c>
      <c r="AC75" s="177">
        <f ca="1">IFERROR(__xludf.DUMMYFUNCTION("IMPORTRANGE(""https://docs.google.com/spreadsheets/d/1kKUcYdkIfrgTSj8iHHHB2MD2FAtwyyocFgqGQn6ADyI/edit?usp=sharing"",""กระบี่!I773"")"),45)</f>
        <v>45</v>
      </c>
      <c r="AD75" s="177">
        <f ca="1">IFERROR(__xludf.DUMMYFUNCTION("IMPORTRANGE(""https://docs.google.com/spreadsheets/d/1kKUcYdkIfrgTSj8iHHHB2MD2FAtwyyocFgqGQn6ADyI/edit?usp=sharing"",""กระบี่!J773"")"),0)</f>
        <v>0</v>
      </c>
      <c r="AE75" s="354">
        <f t="shared" ca="1" si="43"/>
        <v>0</v>
      </c>
      <c r="AF75" s="177">
        <f ca="1">IFERROR(__xludf.DUMMYFUNCTION("IMPORTRANGE(""https://docs.google.com/spreadsheets/d/1kKUcYdkIfrgTSj8iHHHB2MD2FAtwyyocFgqGQn6ADyI/edit?usp=sharing"",""กระบี่!I774"")"),45)</f>
        <v>45</v>
      </c>
      <c r="AG75" s="177">
        <f ca="1">IFERROR(__xludf.DUMMYFUNCTION("IMPORTRANGE(""https://docs.google.com/spreadsheets/d/1kKUcYdkIfrgTSj8iHHHB2MD2FAtwyyocFgqGQn6ADyI/edit?usp=sharing"",""กระบี่!I775"")"),15)</f>
        <v>15</v>
      </c>
      <c r="AH75" s="177">
        <f ca="1">IFERROR(__xludf.DUMMYFUNCTION("IMPORTRANGE(""https://docs.google.com/spreadsheets/d/1kKUcYdkIfrgTSj8iHHHB2MD2FAtwyyocFgqGQn6ADyI/edit?usp=sharing"",""กระบี่!J774"")"),0)</f>
        <v>0</v>
      </c>
      <c r="AI75" s="354">
        <f t="shared" ca="1" si="45"/>
        <v>0</v>
      </c>
      <c r="AJ75" s="177">
        <f ca="1">IFERROR(__xludf.DUMMYFUNCTION("IMPORTRANGE(""https://docs.google.com/spreadsheets/d/1kKUcYdkIfrgTSj8iHHHB2MD2FAtwyyocFgqGQn6ADyI/edit?usp=sharing"",""กระบี่!J775"")"),0)</f>
        <v>0</v>
      </c>
      <c r="AK75" s="354">
        <f t="shared" ca="1" si="46"/>
        <v>0</v>
      </c>
    </row>
    <row r="76" spans="1:37" ht="19.5" x14ac:dyDescent="0.3">
      <c r="A76" s="535">
        <v>2</v>
      </c>
      <c r="B76" s="536" t="s">
        <v>102</v>
      </c>
      <c r="C76" s="537">
        <f t="shared" si="27"/>
        <v>0</v>
      </c>
      <c r="D76" s="538">
        <f t="shared" si="68"/>
        <v>0</v>
      </c>
      <c r="E76" s="539">
        <v>0</v>
      </c>
      <c r="F76" s="539">
        <v>0</v>
      </c>
      <c r="G76" s="539">
        <v>0</v>
      </c>
      <c r="H76" s="539">
        <v>0</v>
      </c>
      <c r="I76" s="539">
        <v>0</v>
      </c>
      <c r="J76" s="545">
        <f t="shared" si="29"/>
        <v>0</v>
      </c>
      <c r="K76" s="546">
        <f t="shared" si="30"/>
        <v>0</v>
      </c>
      <c r="L76" s="539">
        <v>0</v>
      </c>
      <c r="M76" s="542">
        <f t="shared" si="31"/>
        <v>0</v>
      </c>
      <c r="N76" s="542">
        <f t="shared" si="32"/>
        <v>0</v>
      </c>
      <c r="O76" s="539">
        <v>0</v>
      </c>
      <c r="P76" s="543">
        <f t="shared" si="33"/>
        <v>0</v>
      </c>
      <c r="Q76" s="542">
        <f t="shared" si="34"/>
        <v>0</v>
      </c>
      <c r="R76" s="543">
        <f ca="1">IFERROR(__xludf.DUMMYFUNCTION("IMPORTRANGE(""https://docs.google.com/spreadsheets/d/1GwtLaSlNZkLk7iDqcyZz22giiy40b_usZZBXYciEN1U/edit?usp=sharing"",""ชุมพร!Q759"")"),463980)</f>
        <v>463980</v>
      </c>
      <c r="S76" s="542">
        <f ca="1">IFERROR(__xludf.DUMMYFUNCTION("IMPORTRANGE(""https://docs.google.com/spreadsheets/d/1GwtLaSlNZkLk7iDqcyZz22giiy40b_usZZBXYciEN1U/edit?usp=sharing"",""ชุมพร!R759"")"),0)</f>
        <v>0</v>
      </c>
      <c r="T76" s="543">
        <f ca="1">IFERROR(__xludf.DUMMYFUNCTION("IMPORTRANGE(""https://docs.google.com/spreadsheets/d/1GwtLaSlNZkLk7iDqcyZz22giiy40b_usZZBXYciEN1U/edit?usp=sharing"",""ชุมพร!S759"")"),0)</f>
        <v>0</v>
      </c>
      <c r="U76" s="542">
        <f t="shared" ca="1" si="36"/>
        <v>0</v>
      </c>
      <c r="V76" s="542">
        <f t="shared" ca="1" si="37"/>
        <v>0</v>
      </c>
      <c r="W76" s="353">
        <f ca="1">IFERROR(__xludf.DUMMYFUNCTION("IMPORTRANGE(""https://docs.google.com/spreadsheets/d/1GwtLaSlNZkLk7iDqcyZz22giiy40b_usZZBXYciEN1U/edit?usp=sharing"",""ชุมพร!I769"")"),0)</f>
        <v>0</v>
      </c>
      <c r="X76" s="177">
        <f ca="1">IFERROR(__xludf.DUMMYFUNCTION("IMPORTRANGE(""https://docs.google.com/spreadsheets/d/1GwtLaSlNZkLk7iDqcyZz22giiy40b_usZZBXYciEN1U/edit?usp=sharing"",""ชุมพร!J769"")"),0)</f>
        <v>0</v>
      </c>
      <c r="Y76" s="354">
        <f t="shared" ca="1" si="39"/>
        <v>0</v>
      </c>
      <c r="Z76" s="177">
        <f ca="1">IFERROR(__xludf.DUMMYFUNCTION("IMPORTRANGE(""https://docs.google.com/spreadsheets/d/1GwtLaSlNZkLk7iDqcyZz22giiy40b_usZZBXYciEN1U/edit?usp=sharing"",""ชุมพร!I771"")"),40)</f>
        <v>40</v>
      </c>
      <c r="AA76" s="177">
        <f ca="1">IFERROR(__xludf.DUMMYFUNCTION("IMPORTRANGE(""https://docs.google.com/spreadsheets/d/1GwtLaSlNZkLk7iDqcyZz22giiy40b_usZZBXYciEN1U/edit?usp=sharing"",""ชุมพร!J771"")"),0)</f>
        <v>0</v>
      </c>
      <c r="AB76" s="354">
        <f t="shared" ca="1" si="41"/>
        <v>0</v>
      </c>
      <c r="AC76" s="177">
        <f ca="1">IFERROR(__xludf.DUMMYFUNCTION("IMPORTRANGE(""https://docs.google.com/spreadsheets/d/1GwtLaSlNZkLk7iDqcyZz22giiy40b_usZZBXYciEN1U/edit?usp=sharing"",""ชุมพร!I773"")"),200)</f>
        <v>200</v>
      </c>
      <c r="AD76" s="177">
        <f ca="1">IFERROR(__xludf.DUMMYFUNCTION("IMPORTRANGE(""https://docs.google.com/spreadsheets/d/1GwtLaSlNZkLk7iDqcyZz22giiy40b_usZZBXYciEN1U/edit?usp=sharing"",""ชุมพร!J773"")"),0)</f>
        <v>0</v>
      </c>
      <c r="AE76" s="354">
        <f t="shared" ca="1" si="43"/>
        <v>0</v>
      </c>
      <c r="AF76" s="177">
        <f ca="1">IFERROR(__xludf.DUMMYFUNCTION("IMPORTRANGE(""https://docs.google.com/spreadsheets/d/1GwtLaSlNZkLk7iDqcyZz22giiy40b_usZZBXYciEN1U/edit?usp=sharing"",""ชุมพร!I774"")"),200)</f>
        <v>200</v>
      </c>
      <c r="AG76" s="177">
        <f ca="1">IFERROR(__xludf.DUMMYFUNCTION("IMPORTRANGE(""https://docs.google.com/spreadsheets/d/1GwtLaSlNZkLk7iDqcyZz22giiy40b_usZZBXYciEN1U/edit?usp=sharing"",""ชุมพร!I775"")"),40)</f>
        <v>40</v>
      </c>
      <c r="AH76" s="177">
        <f ca="1">IFERROR(__xludf.DUMMYFUNCTION("IMPORTRANGE(""https://docs.google.com/spreadsheets/d/1GwtLaSlNZkLk7iDqcyZz22giiy40b_usZZBXYciEN1U/edit?usp=sharing"",""ชุมพร!J774"")"),0)</f>
        <v>0</v>
      </c>
      <c r="AI76" s="354">
        <f t="shared" ca="1" si="45"/>
        <v>0</v>
      </c>
      <c r="AJ76" s="177">
        <f ca="1">IFERROR(__xludf.DUMMYFUNCTION("IMPORTRANGE(""https://docs.google.com/spreadsheets/d/1GwtLaSlNZkLk7iDqcyZz22giiy40b_usZZBXYciEN1U/edit?usp=sharing"",""ชุมพร!J775"")"),0)</f>
        <v>0</v>
      </c>
      <c r="AK76" s="354">
        <f t="shared" ca="1" si="46"/>
        <v>0</v>
      </c>
    </row>
    <row r="77" spans="1:37" ht="19.5" x14ac:dyDescent="0.3">
      <c r="A77" s="535">
        <v>3</v>
      </c>
      <c r="B77" s="536" t="s">
        <v>103</v>
      </c>
      <c r="C77" s="537">
        <f t="shared" si="27"/>
        <v>0</v>
      </c>
      <c r="D77" s="538">
        <f t="shared" si="68"/>
        <v>0</v>
      </c>
      <c r="E77" s="539">
        <v>0</v>
      </c>
      <c r="F77" s="539">
        <v>0</v>
      </c>
      <c r="G77" s="539">
        <v>0</v>
      </c>
      <c r="H77" s="539">
        <v>0</v>
      </c>
      <c r="I77" s="539">
        <v>0</v>
      </c>
      <c r="J77" s="545">
        <f t="shared" si="29"/>
        <v>0</v>
      </c>
      <c r="K77" s="546">
        <f t="shared" si="30"/>
        <v>0</v>
      </c>
      <c r="L77" s="539">
        <v>0</v>
      </c>
      <c r="M77" s="542">
        <f t="shared" si="31"/>
        <v>0</v>
      </c>
      <c r="N77" s="542">
        <f t="shared" si="32"/>
        <v>0</v>
      </c>
      <c r="O77" s="539">
        <v>0</v>
      </c>
      <c r="P77" s="543">
        <f t="shared" si="33"/>
        <v>0</v>
      </c>
      <c r="Q77" s="542">
        <f t="shared" si="34"/>
        <v>0</v>
      </c>
      <c r="R77" s="543">
        <f ca="1">IFERROR(__xludf.DUMMYFUNCTION("IMPORTRANGE(""https://docs.google.com/spreadsheets/d/16pAz3pOhQEZBhvFNMa5KGgZS6iKWpsKX0pg6tQmwFpo/edit?usp=sharing"",""ตรัง!Q759"")"),148660)</f>
        <v>148660</v>
      </c>
      <c r="S77" s="542">
        <f ca="1">IFERROR(__xludf.DUMMYFUNCTION("IMPORTRANGE(""https://docs.google.com/spreadsheets/d/16pAz3pOhQEZBhvFNMa5KGgZS6iKWpsKX0pg6tQmwFpo/edit?usp=sharing"",""ตรัง!R759"")"),0)</f>
        <v>0</v>
      </c>
      <c r="T77" s="543">
        <f ca="1">IFERROR(__xludf.DUMMYFUNCTION("IMPORTRANGE(""https://docs.google.com/spreadsheets/d/16pAz3pOhQEZBhvFNMa5KGgZS6iKWpsKX0pg6tQmwFpo/edit?usp=sharing"",""ตรัง!S759"")"),0)</f>
        <v>0</v>
      </c>
      <c r="U77" s="542">
        <f t="shared" ca="1" si="36"/>
        <v>0</v>
      </c>
      <c r="V77" s="542">
        <f t="shared" ca="1" si="37"/>
        <v>0</v>
      </c>
      <c r="W77" s="353">
        <f ca="1">IFERROR(__xludf.DUMMYFUNCTION("IMPORTRANGE(""https://docs.google.com/spreadsheets/d/16pAz3pOhQEZBhvFNMa5KGgZS6iKWpsKX0pg6tQmwFpo/edit?usp=sharing"",""ตรัง!I769"")"),0)</f>
        <v>0</v>
      </c>
      <c r="X77" s="177">
        <f ca="1">IFERROR(__xludf.DUMMYFUNCTION("IMPORTRANGE(""https://docs.google.com/spreadsheets/d/16pAz3pOhQEZBhvFNMa5KGgZS6iKWpsKX0pg6tQmwFpo/edit?usp=sharing"",""ตรัง!J769"")"),0)</f>
        <v>0</v>
      </c>
      <c r="Y77" s="354">
        <f t="shared" ca="1" si="39"/>
        <v>0</v>
      </c>
      <c r="Z77" s="177">
        <f ca="1">IFERROR(__xludf.DUMMYFUNCTION("IMPORTRANGE(""https://docs.google.com/spreadsheets/d/16pAz3pOhQEZBhvFNMa5KGgZS6iKWpsKX0pg6tQmwFpo/edit?usp=sharing"",""ตรัง!I771"")"),20)</f>
        <v>20</v>
      </c>
      <c r="AA77" s="177">
        <f ca="1">IFERROR(__xludf.DUMMYFUNCTION("IMPORTRANGE(""https://docs.google.com/spreadsheets/d/16pAz3pOhQEZBhvFNMa5KGgZS6iKWpsKX0pg6tQmwFpo/edit?usp=sharing"",""ตรัง!J771"")"),0)</f>
        <v>0</v>
      </c>
      <c r="AB77" s="354">
        <f t="shared" ca="1" si="41"/>
        <v>0</v>
      </c>
      <c r="AC77" s="177">
        <f ca="1">IFERROR(__xludf.DUMMYFUNCTION("IMPORTRANGE(""https://docs.google.com/spreadsheets/d/16pAz3pOhQEZBhvFNMa5KGgZS6iKWpsKX0pg6tQmwFpo/edit?usp=sharing"",""ตรัง!I773"")"),50)</f>
        <v>50</v>
      </c>
      <c r="AD77" s="177">
        <f ca="1">IFERROR(__xludf.DUMMYFUNCTION("IMPORTRANGE(""https://docs.google.com/spreadsheets/d/16pAz3pOhQEZBhvFNMa5KGgZS6iKWpsKX0pg6tQmwFpo/edit?usp=sharing"",""ตรัง!J773"")"),0)</f>
        <v>0</v>
      </c>
      <c r="AE77" s="354">
        <f t="shared" ca="1" si="43"/>
        <v>0</v>
      </c>
      <c r="AF77" s="177">
        <f ca="1">IFERROR(__xludf.DUMMYFUNCTION("IMPORTRANGE(""https://docs.google.com/spreadsheets/d/16pAz3pOhQEZBhvFNMa5KGgZS6iKWpsKX0pg6tQmwFpo/edit?usp=sharing"",""ตรัง!I774"")"),50)</f>
        <v>50</v>
      </c>
      <c r="AG77" s="177">
        <f ca="1">IFERROR(__xludf.DUMMYFUNCTION("IMPORTRANGE(""https://docs.google.com/spreadsheets/d/16pAz3pOhQEZBhvFNMa5KGgZS6iKWpsKX0pg6tQmwFpo/edit?usp=sharing"",""ตรัง!I775"")"),20)</f>
        <v>20</v>
      </c>
      <c r="AH77" s="177">
        <f ca="1">IFERROR(__xludf.DUMMYFUNCTION("IMPORTRANGE(""https://docs.google.com/spreadsheets/d/16pAz3pOhQEZBhvFNMa5KGgZS6iKWpsKX0pg6tQmwFpo/edit?usp=sharing"",""ตรัง!J774"")"),0)</f>
        <v>0</v>
      </c>
      <c r="AI77" s="354">
        <f t="shared" ca="1" si="45"/>
        <v>0</v>
      </c>
      <c r="AJ77" s="177">
        <f ca="1">IFERROR(__xludf.DUMMYFUNCTION("IMPORTRANGE(""https://docs.google.com/spreadsheets/d/16pAz3pOhQEZBhvFNMa5KGgZS6iKWpsKX0pg6tQmwFpo/edit?usp=sharing"",""ตรัง!J775"")"),0)</f>
        <v>0</v>
      </c>
      <c r="AK77" s="354">
        <f t="shared" ca="1" si="46"/>
        <v>0</v>
      </c>
    </row>
    <row r="78" spans="1:37" ht="19.5" x14ac:dyDescent="0.3">
      <c r="A78" s="535">
        <v>4</v>
      </c>
      <c r="B78" s="536" t="s">
        <v>104</v>
      </c>
      <c r="C78" s="537">
        <f t="shared" si="27"/>
        <v>0</v>
      </c>
      <c r="D78" s="538">
        <f t="shared" si="68"/>
        <v>0</v>
      </c>
      <c r="E78" s="539">
        <v>0</v>
      </c>
      <c r="F78" s="539">
        <v>0</v>
      </c>
      <c r="G78" s="539">
        <v>0</v>
      </c>
      <c r="H78" s="539">
        <v>0</v>
      </c>
      <c r="I78" s="539">
        <v>0</v>
      </c>
      <c r="J78" s="545">
        <f t="shared" si="29"/>
        <v>0</v>
      </c>
      <c r="K78" s="546">
        <f t="shared" si="30"/>
        <v>0</v>
      </c>
      <c r="L78" s="539">
        <v>0</v>
      </c>
      <c r="M78" s="542">
        <f t="shared" si="31"/>
        <v>0</v>
      </c>
      <c r="N78" s="542">
        <f t="shared" si="32"/>
        <v>0</v>
      </c>
      <c r="O78" s="539">
        <v>0</v>
      </c>
      <c r="P78" s="543">
        <f t="shared" si="33"/>
        <v>0</v>
      </c>
      <c r="Q78" s="542">
        <f t="shared" si="34"/>
        <v>0</v>
      </c>
      <c r="R78" s="543">
        <f ca="1">IFERROR(__xludf.DUMMYFUNCTION("IMPORTRANGE(""https://docs.google.com/spreadsheets/d/1Dj4jcHCTV9JXKCaMoheSXS52JE63kDKyG7bPXnFogHk/edit?usp=sharing"",""นครศรีธรรมราช!Q759"")"),0)</f>
        <v>0</v>
      </c>
      <c r="S78" s="542">
        <f ca="1">IFERROR(__xludf.DUMMYFUNCTION("IMPORTRANGE(""https://docs.google.com/spreadsheets/d/1Dj4jcHCTV9JXKCaMoheSXS52JE63kDKyG7bPXnFogHk/edit?usp=sharing"",""นครศรีธรรมราช!R759"")"),0)</f>
        <v>0</v>
      </c>
      <c r="T78" s="543">
        <f ca="1">IFERROR(__xludf.DUMMYFUNCTION("IMPORTRANGE(""https://docs.google.com/spreadsheets/d/1Dj4jcHCTV9JXKCaMoheSXS52JE63kDKyG7bPXnFogHk/edit?usp=sharing"",""นครศรีธรรมราช!S759"")"),0)</f>
        <v>0</v>
      </c>
      <c r="U78" s="542">
        <f t="shared" ca="1" si="36"/>
        <v>0</v>
      </c>
      <c r="V78" s="542">
        <f t="shared" ca="1" si="37"/>
        <v>0</v>
      </c>
      <c r="W78" s="353">
        <f ca="1">IFERROR(__xludf.DUMMYFUNCTION("IMPORTRANGE(""https://docs.google.com/spreadsheets/d/1Dj4jcHCTV9JXKCaMoheSXS52JE63kDKyG7bPXnFogHk/edit?usp=sharing"",""นครศรีธรรมราช!I769"")"),0)</f>
        <v>0</v>
      </c>
      <c r="X78" s="177">
        <f ca="1">IFERROR(__xludf.DUMMYFUNCTION("IMPORTRANGE(""https://docs.google.com/spreadsheets/d/1Dj4jcHCTV9JXKCaMoheSXS52JE63kDKyG7bPXnFogHk/edit?usp=sharing"",""นครศรีธรรมราช!J769"")"),0)</f>
        <v>0</v>
      </c>
      <c r="Y78" s="354">
        <f t="shared" ca="1" si="39"/>
        <v>0</v>
      </c>
      <c r="Z78" s="177">
        <f ca="1">IFERROR(__xludf.DUMMYFUNCTION("IMPORTRANGE(""https://docs.google.com/spreadsheets/d/1Dj4jcHCTV9JXKCaMoheSXS52JE63kDKyG7bPXnFogHk/edit?usp=sharing"",""นครศรีธรรมราช!I771"")"),0)</f>
        <v>0</v>
      </c>
      <c r="AA78" s="177">
        <f ca="1">IFERROR(__xludf.DUMMYFUNCTION("IMPORTRANGE(""https://docs.google.com/spreadsheets/d/1Dj4jcHCTV9JXKCaMoheSXS52JE63kDKyG7bPXnFogHk/edit?usp=sharing"",""นครศรีธรรมราช!J771"")"),0)</f>
        <v>0</v>
      </c>
      <c r="AB78" s="354">
        <f t="shared" ca="1" si="41"/>
        <v>0</v>
      </c>
      <c r="AC78" s="177">
        <f ca="1">IFERROR(__xludf.DUMMYFUNCTION("IMPORTRANGE(""https://docs.google.com/spreadsheets/d/1Dj4jcHCTV9JXKCaMoheSXS52JE63kDKyG7bPXnFogHk/edit?usp=sharing"",""นครศรีธรรมราช!I773"")"),0)</f>
        <v>0</v>
      </c>
      <c r="AD78" s="177">
        <f ca="1">IFERROR(__xludf.DUMMYFUNCTION("IMPORTRANGE(""https://docs.google.com/spreadsheets/d/1Dj4jcHCTV9JXKCaMoheSXS52JE63kDKyG7bPXnFogHk/edit?usp=sharing"",""นครศรีธรรมราช!J773"")"),0)</f>
        <v>0</v>
      </c>
      <c r="AE78" s="354">
        <f t="shared" ca="1" si="43"/>
        <v>0</v>
      </c>
      <c r="AF78" s="177">
        <f ca="1">IFERROR(__xludf.DUMMYFUNCTION("IMPORTRANGE(""https://docs.google.com/spreadsheets/d/1Dj4jcHCTV9JXKCaMoheSXS52JE63kDKyG7bPXnFogHk/edit?usp=sharing"",""นครศรีธรรมราช!I774"")"),0)</f>
        <v>0</v>
      </c>
      <c r="AG78" s="177">
        <f ca="1">IFERROR(__xludf.DUMMYFUNCTION("IMPORTRANGE(""https://docs.google.com/spreadsheets/d/1Dj4jcHCTV9JXKCaMoheSXS52JE63kDKyG7bPXnFogHk/edit?usp=sharing"",""นครศรีธรรมราช!I775"")"),0)</f>
        <v>0</v>
      </c>
      <c r="AH78" s="177">
        <f ca="1">IFERROR(__xludf.DUMMYFUNCTION("IMPORTRANGE(""https://docs.google.com/spreadsheets/d/1Dj4jcHCTV9JXKCaMoheSXS52JE63kDKyG7bPXnFogHk/edit?usp=sharing"",""นครศรีธรรมราช!J774"")"),0)</f>
        <v>0</v>
      </c>
      <c r="AI78" s="354">
        <f t="shared" ca="1" si="45"/>
        <v>0</v>
      </c>
      <c r="AJ78" s="177">
        <f ca="1">IFERROR(__xludf.DUMMYFUNCTION("IMPORTRANGE(""https://docs.google.com/spreadsheets/d/1Dj4jcHCTV9JXKCaMoheSXS52JE63kDKyG7bPXnFogHk/edit?usp=sharing"",""นครศรีธรรมราช!J775"")"),0)</f>
        <v>0</v>
      </c>
      <c r="AK78" s="354">
        <f t="shared" ca="1" si="46"/>
        <v>0</v>
      </c>
    </row>
    <row r="79" spans="1:37" ht="19.5" x14ac:dyDescent="0.3">
      <c r="A79" s="535">
        <v>5</v>
      </c>
      <c r="B79" s="536" t="s">
        <v>105</v>
      </c>
      <c r="C79" s="537">
        <f t="shared" si="27"/>
        <v>0</v>
      </c>
      <c r="D79" s="538">
        <f t="shared" si="68"/>
        <v>0</v>
      </c>
      <c r="E79" s="539">
        <v>0</v>
      </c>
      <c r="F79" s="539">
        <v>0</v>
      </c>
      <c r="G79" s="539">
        <v>0</v>
      </c>
      <c r="H79" s="539">
        <v>0</v>
      </c>
      <c r="I79" s="539">
        <v>0</v>
      </c>
      <c r="J79" s="545">
        <f t="shared" si="29"/>
        <v>0</v>
      </c>
      <c r="K79" s="546">
        <f t="shared" si="30"/>
        <v>0</v>
      </c>
      <c r="L79" s="539">
        <v>0</v>
      </c>
      <c r="M79" s="542">
        <f t="shared" si="31"/>
        <v>0</v>
      </c>
      <c r="N79" s="542">
        <f t="shared" si="32"/>
        <v>0</v>
      </c>
      <c r="O79" s="539">
        <v>0</v>
      </c>
      <c r="P79" s="543">
        <f t="shared" si="33"/>
        <v>0</v>
      </c>
      <c r="Q79" s="542">
        <f t="shared" si="34"/>
        <v>0</v>
      </c>
      <c r="R79" s="543">
        <f ca="1">IFERROR(__xludf.DUMMYFUNCTION("IMPORTRANGE(""https://docs.google.com/spreadsheets/d/1iodCdmuK2GR3jzUwk8tpccY2JHQQA-87DLOtJP-ooyU/edit?usp=sharing"",""นราธิวาส!Q759"")"),0)</f>
        <v>0</v>
      </c>
      <c r="S79" s="542">
        <f ca="1">IFERROR(__xludf.DUMMYFUNCTION("IMPORTRANGE(""https://docs.google.com/spreadsheets/d/1iodCdmuK2GR3jzUwk8tpccY2JHQQA-87DLOtJP-ooyU/edit?usp=sharing"",""นราธิวาส!R759"")"),0)</f>
        <v>0</v>
      </c>
      <c r="T79" s="543">
        <f ca="1">IFERROR(__xludf.DUMMYFUNCTION("IMPORTRANGE(""https://docs.google.com/spreadsheets/d/1iodCdmuK2GR3jzUwk8tpccY2JHQQA-87DLOtJP-ooyU/edit?usp=sharing"",""นราธิวาส!S759"")"),0)</f>
        <v>0</v>
      </c>
      <c r="U79" s="542">
        <f t="shared" ca="1" si="36"/>
        <v>0</v>
      </c>
      <c r="V79" s="542">
        <f t="shared" ca="1" si="37"/>
        <v>0</v>
      </c>
      <c r="W79" s="353">
        <f ca="1">IFERROR(__xludf.DUMMYFUNCTION("IMPORTRANGE(""https://docs.google.com/spreadsheets/d/1iodCdmuK2GR3jzUwk8tpccY2JHQQA-87DLOtJP-ooyU/edit?usp=sharing"",""นราธิวาส!I769"")"),0)</f>
        <v>0</v>
      </c>
      <c r="X79" s="177">
        <f ca="1">IFERROR(__xludf.DUMMYFUNCTION("IMPORTRANGE(""https://docs.google.com/spreadsheets/d/1iodCdmuK2GR3jzUwk8tpccY2JHQQA-87DLOtJP-ooyU/edit?usp=sharing"",""นราธิวาส!J769"")"),0)</f>
        <v>0</v>
      </c>
      <c r="Y79" s="354">
        <f t="shared" ca="1" si="39"/>
        <v>0</v>
      </c>
      <c r="Z79" s="177">
        <f ca="1">IFERROR(__xludf.DUMMYFUNCTION("IMPORTRANGE(""https://docs.google.com/spreadsheets/d/1iodCdmuK2GR3jzUwk8tpccY2JHQQA-87DLOtJP-ooyU/edit?usp=sharing"",""นราธิวาส!I771"")"),0)</f>
        <v>0</v>
      </c>
      <c r="AA79" s="177">
        <f ca="1">IFERROR(__xludf.DUMMYFUNCTION("IMPORTRANGE(""https://docs.google.com/spreadsheets/d/1iodCdmuK2GR3jzUwk8tpccY2JHQQA-87DLOtJP-ooyU/edit?usp=sharing"",""นราธิวาส!J771"")"),0)</f>
        <v>0</v>
      </c>
      <c r="AB79" s="354">
        <f t="shared" ca="1" si="41"/>
        <v>0</v>
      </c>
      <c r="AC79" s="177">
        <f ca="1">IFERROR(__xludf.DUMMYFUNCTION("IMPORTRANGE(""https://docs.google.com/spreadsheets/d/1iodCdmuK2GR3jzUwk8tpccY2JHQQA-87DLOtJP-ooyU/edit?usp=sharing"",""นราธิวาส!I773"")"),0)</f>
        <v>0</v>
      </c>
      <c r="AD79" s="177">
        <f ca="1">IFERROR(__xludf.DUMMYFUNCTION("IMPORTRANGE(""https://docs.google.com/spreadsheets/d/1iodCdmuK2GR3jzUwk8tpccY2JHQQA-87DLOtJP-ooyU/edit?usp=sharing"",""นราธิวาส!J773"")"),0)</f>
        <v>0</v>
      </c>
      <c r="AE79" s="354">
        <f t="shared" ca="1" si="43"/>
        <v>0</v>
      </c>
      <c r="AF79" s="177">
        <f ca="1">IFERROR(__xludf.DUMMYFUNCTION("IMPORTRANGE(""https://docs.google.com/spreadsheets/d/1iodCdmuK2GR3jzUwk8tpccY2JHQQA-87DLOtJP-ooyU/edit?usp=sharing"",""นราธิวาส!I774"")"),0)</f>
        <v>0</v>
      </c>
      <c r="AG79" s="177">
        <f ca="1">IFERROR(__xludf.DUMMYFUNCTION("IMPORTRANGE(""https://docs.google.com/spreadsheets/d/1iodCdmuK2GR3jzUwk8tpccY2JHQQA-87DLOtJP-ooyU/edit?usp=sharing"",""นราธิวาส!I775"")"),0)</f>
        <v>0</v>
      </c>
      <c r="AH79" s="177">
        <f ca="1">IFERROR(__xludf.DUMMYFUNCTION("IMPORTRANGE(""https://docs.google.com/spreadsheets/d/1iodCdmuK2GR3jzUwk8tpccY2JHQQA-87DLOtJP-ooyU/edit?usp=sharing"",""นราธิวาส!J774"")"),0)</f>
        <v>0</v>
      </c>
      <c r="AI79" s="354">
        <f t="shared" ca="1" si="45"/>
        <v>0</v>
      </c>
      <c r="AJ79" s="177">
        <f ca="1">IFERROR(__xludf.DUMMYFUNCTION("IMPORTRANGE(""https://docs.google.com/spreadsheets/d/1iodCdmuK2GR3jzUwk8tpccY2JHQQA-87DLOtJP-ooyU/edit?usp=sharing"",""นราธิวาส!J775"")"),0)</f>
        <v>0</v>
      </c>
      <c r="AK79" s="354">
        <f t="shared" ca="1" si="46"/>
        <v>0</v>
      </c>
    </row>
    <row r="80" spans="1:37" ht="19.5" x14ac:dyDescent="0.3">
      <c r="A80" s="535">
        <v>6</v>
      </c>
      <c r="B80" s="536" t="s">
        <v>106</v>
      </c>
      <c r="C80" s="537">
        <f t="shared" si="27"/>
        <v>0</v>
      </c>
      <c r="D80" s="538">
        <f t="shared" si="68"/>
        <v>0</v>
      </c>
      <c r="E80" s="539">
        <v>0</v>
      </c>
      <c r="F80" s="539">
        <v>0</v>
      </c>
      <c r="G80" s="539">
        <v>0</v>
      </c>
      <c r="H80" s="539">
        <v>0</v>
      </c>
      <c r="I80" s="539">
        <v>0</v>
      </c>
      <c r="J80" s="545">
        <f t="shared" si="29"/>
        <v>0</v>
      </c>
      <c r="K80" s="546">
        <f t="shared" si="30"/>
        <v>0</v>
      </c>
      <c r="L80" s="539">
        <v>0</v>
      </c>
      <c r="M80" s="542">
        <f t="shared" si="31"/>
        <v>0</v>
      </c>
      <c r="N80" s="542">
        <f t="shared" si="32"/>
        <v>0</v>
      </c>
      <c r="O80" s="539">
        <v>0</v>
      </c>
      <c r="P80" s="543">
        <f t="shared" si="33"/>
        <v>0</v>
      </c>
      <c r="Q80" s="542">
        <f t="shared" si="34"/>
        <v>0</v>
      </c>
      <c r="R80" s="543">
        <f ca="1">IFERROR(__xludf.DUMMYFUNCTION("IMPORTRANGE(""https://docs.google.com/spreadsheets/d/1SDNX3JhDdYRuIOsj0Wh2M-Qa_eaXl0NbWmhAOTbfQAs/edit?usp=sharing"",""ปัตตานี!Q759"")"),91360)</f>
        <v>91360</v>
      </c>
      <c r="S80" s="542">
        <f ca="1">IFERROR(__xludf.DUMMYFUNCTION("IMPORTRANGE(""https://docs.google.com/spreadsheets/d/1SDNX3JhDdYRuIOsj0Wh2M-Qa_eaXl0NbWmhAOTbfQAs/edit?usp=sharing"",""ปัตตานี!R759"")"),0)</f>
        <v>0</v>
      </c>
      <c r="T80" s="543">
        <f ca="1">IFERROR(__xludf.DUMMYFUNCTION("IMPORTRANGE(""https://docs.google.com/spreadsheets/d/1SDNX3JhDdYRuIOsj0Wh2M-Qa_eaXl0NbWmhAOTbfQAs/edit?usp=sharing"",""ปัตตานี!S759"")"),5720)</f>
        <v>5720</v>
      </c>
      <c r="U80" s="542">
        <f t="shared" ca="1" si="36"/>
        <v>6.2609457092819616</v>
      </c>
      <c r="V80" s="542">
        <f t="shared" ca="1" si="37"/>
        <v>0</v>
      </c>
      <c r="W80" s="353">
        <f ca="1">IFERROR(__xludf.DUMMYFUNCTION("IMPORTRANGE(""https://docs.google.com/spreadsheets/d/1SDNX3JhDdYRuIOsj0Wh2M-Qa_eaXl0NbWmhAOTbfQAs/edit?usp=sharing"",""ปัตตานี!I769"")"),0)</f>
        <v>0</v>
      </c>
      <c r="X80" s="177">
        <f ca="1">IFERROR(__xludf.DUMMYFUNCTION("IMPORTRANGE(""https://docs.google.com/spreadsheets/d/1SDNX3JhDdYRuIOsj0Wh2M-Qa_eaXl0NbWmhAOTbfQAs/edit?usp=sharing"",""ปัตตานี!J769"")"),0)</f>
        <v>0</v>
      </c>
      <c r="Y80" s="354">
        <f t="shared" ca="1" si="39"/>
        <v>0</v>
      </c>
      <c r="Z80" s="177">
        <f ca="1">IFERROR(__xludf.DUMMYFUNCTION("IMPORTRANGE(""https://docs.google.com/spreadsheets/d/1SDNX3JhDdYRuIOsj0Wh2M-Qa_eaXl0NbWmhAOTbfQAs/edit?usp=sharing"",""ปัตตานี!I771"")"),10)</f>
        <v>10</v>
      </c>
      <c r="AA80" s="177">
        <f ca="1">IFERROR(__xludf.DUMMYFUNCTION("IMPORTRANGE(""https://docs.google.com/spreadsheets/d/1SDNX3JhDdYRuIOsj0Wh2M-Qa_eaXl0NbWmhAOTbfQAs/edit?usp=sharing"",""ปัตตานี!J771"")"),0)</f>
        <v>0</v>
      </c>
      <c r="AB80" s="354">
        <f t="shared" ca="1" si="41"/>
        <v>0</v>
      </c>
      <c r="AC80" s="177">
        <f ca="1">IFERROR(__xludf.DUMMYFUNCTION("IMPORTRANGE(""https://docs.google.com/spreadsheets/d/1SDNX3JhDdYRuIOsj0Wh2M-Qa_eaXl0NbWmhAOTbfQAs/edit?usp=sharing"",""ปัตตานี!I773"")"),20)</f>
        <v>20</v>
      </c>
      <c r="AD80" s="177">
        <f ca="1">IFERROR(__xludf.DUMMYFUNCTION("IMPORTRANGE(""https://docs.google.com/spreadsheets/d/1SDNX3JhDdYRuIOsj0Wh2M-Qa_eaXl0NbWmhAOTbfQAs/edit?usp=sharing"",""ปัตตานี!J773"")"),0)</f>
        <v>0</v>
      </c>
      <c r="AE80" s="354">
        <f t="shared" ca="1" si="43"/>
        <v>0</v>
      </c>
      <c r="AF80" s="177">
        <f ca="1">IFERROR(__xludf.DUMMYFUNCTION("IMPORTRANGE(""https://docs.google.com/spreadsheets/d/1SDNX3JhDdYRuIOsj0Wh2M-Qa_eaXl0NbWmhAOTbfQAs/edit?usp=sharing"",""ปัตตานี!I774"")"),20)</f>
        <v>20</v>
      </c>
      <c r="AG80" s="177">
        <f ca="1">IFERROR(__xludf.DUMMYFUNCTION("IMPORTRANGE(""https://docs.google.com/spreadsheets/d/1SDNX3JhDdYRuIOsj0Wh2M-Qa_eaXl0NbWmhAOTbfQAs/edit?usp=sharing"",""ปัตตานี!I775"")"),10)</f>
        <v>10</v>
      </c>
      <c r="AH80" s="177">
        <f ca="1">IFERROR(__xludf.DUMMYFUNCTION("IMPORTRANGE(""https://docs.google.com/spreadsheets/d/1SDNX3JhDdYRuIOsj0Wh2M-Qa_eaXl0NbWmhAOTbfQAs/edit?usp=sharing"",""ปัตตานี!J774"")"),0)</f>
        <v>0</v>
      </c>
      <c r="AI80" s="354">
        <f t="shared" ca="1" si="45"/>
        <v>0</v>
      </c>
      <c r="AJ80" s="177">
        <f ca="1">IFERROR(__xludf.DUMMYFUNCTION("IMPORTRANGE(""https://docs.google.com/spreadsheets/d/1SDNX3JhDdYRuIOsj0Wh2M-Qa_eaXl0NbWmhAOTbfQAs/edit?usp=sharing"",""ปัตตานี!J775"")"),0)</f>
        <v>0</v>
      </c>
      <c r="AK80" s="354">
        <f t="shared" ca="1" si="46"/>
        <v>0</v>
      </c>
    </row>
    <row r="81" spans="1:37" ht="19.5" x14ac:dyDescent="0.3">
      <c r="A81" s="535">
        <v>7</v>
      </c>
      <c r="B81" s="536" t="s">
        <v>107</v>
      </c>
      <c r="C81" s="537">
        <f t="shared" si="27"/>
        <v>0</v>
      </c>
      <c r="D81" s="538">
        <f t="shared" si="68"/>
        <v>0</v>
      </c>
      <c r="E81" s="539">
        <v>0</v>
      </c>
      <c r="F81" s="539">
        <v>0</v>
      </c>
      <c r="G81" s="539">
        <v>0</v>
      </c>
      <c r="H81" s="539">
        <v>0</v>
      </c>
      <c r="I81" s="539">
        <v>0</v>
      </c>
      <c r="J81" s="545">
        <f t="shared" si="29"/>
        <v>0</v>
      </c>
      <c r="K81" s="546">
        <f t="shared" si="30"/>
        <v>0</v>
      </c>
      <c r="L81" s="539">
        <v>0</v>
      </c>
      <c r="M81" s="542">
        <f t="shared" si="31"/>
        <v>0</v>
      </c>
      <c r="N81" s="542">
        <f t="shared" si="32"/>
        <v>0</v>
      </c>
      <c r="O81" s="539">
        <v>0</v>
      </c>
      <c r="P81" s="543">
        <f t="shared" si="33"/>
        <v>0</v>
      </c>
      <c r="Q81" s="542">
        <f t="shared" si="34"/>
        <v>0</v>
      </c>
      <c r="R81" s="543">
        <f ca="1">IFERROR(__xludf.DUMMYFUNCTION("IMPORTRANGE(""https://docs.google.com/spreadsheets/d/16JDLGguT8s5DsGCND1KcwHP_AWR_zDMTqLHPLJUKhaU/edit?usp=sharing"",""พังงา!Q759"")"),160660)</f>
        <v>160660</v>
      </c>
      <c r="S81" s="542">
        <f ca="1">IFERROR(__xludf.DUMMYFUNCTION("IMPORTRANGE(""https://docs.google.com/spreadsheets/d/16JDLGguT8s5DsGCND1KcwHP_AWR_zDMTqLHPLJUKhaU/edit?usp=sharing"",""พังงา!R759"")"),0)</f>
        <v>0</v>
      </c>
      <c r="T81" s="543">
        <f ca="1">IFERROR(__xludf.DUMMYFUNCTION("IMPORTRANGE(""https://docs.google.com/spreadsheets/d/16JDLGguT8s5DsGCND1KcwHP_AWR_zDMTqLHPLJUKhaU/edit?usp=sharing"",""พังงา!S759"")"),0)</f>
        <v>0</v>
      </c>
      <c r="U81" s="542">
        <f t="shared" ca="1" si="36"/>
        <v>0</v>
      </c>
      <c r="V81" s="542">
        <f t="shared" ca="1" si="37"/>
        <v>0</v>
      </c>
      <c r="W81" s="353">
        <f ca="1">IFERROR(__xludf.DUMMYFUNCTION("IMPORTRANGE(""https://docs.google.com/spreadsheets/d/16JDLGguT8s5DsGCND1KcwHP_AWR_zDMTqLHPLJUKhaU/edit?usp=sharing"",""พังงา!I769"")"),0)</f>
        <v>0</v>
      </c>
      <c r="X81" s="177">
        <f ca="1">IFERROR(__xludf.DUMMYFUNCTION("IMPORTRANGE(""https://docs.google.com/spreadsheets/d/16JDLGguT8s5DsGCND1KcwHP_AWR_zDMTqLHPLJUKhaU/edit?usp=sharing"",""พังงา!J769"")"),0)</f>
        <v>0</v>
      </c>
      <c r="Y81" s="354">
        <f t="shared" ca="1" si="39"/>
        <v>0</v>
      </c>
      <c r="Z81" s="177">
        <f ca="1">IFERROR(__xludf.DUMMYFUNCTION("IMPORTRANGE(""https://docs.google.com/spreadsheets/d/16JDLGguT8s5DsGCND1KcwHP_AWR_zDMTqLHPLJUKhaU/edit?usp=sharing"",""พังงา!I771"")"),20)</f>
        <v>20</v>
      </c>
      <c r="AA81" s="177">
        <f ca="1">IFERROR(__xludf.DUMMYFUNCTION("IMPORTRANGE(""https://docs.google.com/spreadsheets/d/16JDLGguT8s5DsGCND1KcwHP_AWR_zDMTqLHPLJUKhaU/edit?usp=sharing"",""พังงา!J771"")"),0)</f>
        <v>0</v>
      </c>
      <c r="AB81" s="354">
        <f t="shared" ca="1" si="41"/>
        <v>0</v>
      </c>
      <c r="AC81" s="177">
        <f ca="1">IFERROR(__xludf.DUMMYFUNCTION("IMPORTRANGE(""https://docs.google.com/spreadsheets/d/16JDLGguT8s5DsGCND1KcwHP_AWR_zDMTqLHPLJUKhaU/edit?usp=sharing"",""พังงา!I773"")"),60)</f>
        <v>60</v>
      </c>
      <c r="AD81" s="177">
        <f ca="1">IFERROR(__xludf.DUMMYFUNCTION("IMPORTRANGE(""https://docs.google.com/spreadsheets/d/16JDLGguT8s5DsGCND1KcwHP_AWR_zDMTqLHPLJUKhaU/edit?usp=sharing"",""พังงา!J773"")"),0)</f>
        <v>0</v>
      </c>
      <c r="AE81" s="354">
        <f t="shared" ca="1" si="43"/>
        <v>0</v>
      </c>
      <c r="AF81" s="177">
        <f ca="1">IFERROR(__xludf.DUMMYFUNCTION("IMPORTRANGE(""https://docs.google.com/spreadsheets/d/16JDLGguT8s5DsGCND1KcwHP_AWR_zDMTqLHPLJUKhaU/edit?usp=sharing"",""พังงา!I774"")"),60)</f>
        <v>60</v>
      </c>
      <c r="AG81" s="177">
        <f ca="1">IFERROR(__xludf.DUMMYFUNCTION("IMPORTRANGE(""https://docs.google.com/spreadsheets/d/16JDLGguT8s5DsGCND1KcwHP_AWR_zDMTqLHPLJUKhaU/edit?usp=sharing"",""พังงา!I775"")"),20)</f>
        <v>20</v>
      </c>
      <c r="AH81" s="177">
        <f ca="1">IFERROR(__xludf.DUMMYFUNCTION("IMPORTRANGE(""https://docs.google.com/spreadsheets/d/16JDLGguT8s5DsGCND1KcwHP_AWR_zDMTqLHPLJUKhaU/edit?usp=sharing"",""พังงา!J774"")"),0)</f>
        <v>0</v>
      </c>
      <c r="AI81" s="354">
        <f t="shared" ca="1" si="45"/>
        <v>0</v>
      </c>
      <c r="AJ81" s="177">
        <f ca="1">IFERROR(__xludf.DUMMYFUNCTION("IMPORTRANGE(""https://docs.google.com/spreadsheets/d/16JDLGguT8s5DsGCND1KcwHP_AWR_zDMTqLHPLJUKhaU/edit?usp=sharing"",""พังงา!J775"")"),0)</f>
        <v>0</v>
      </c>
      <c r="AK81" s="354">
        <f t="shared" ca="1" si="46"/>
        <v>0</v>
      </c>
    </row>
    <row r="82" spans="1:37" ht="19.5" x14ac:dyDescent="0.3">
      <c r="A82" s="535">
        <v>8</v>
      </c>
      <c r="B82" s="536" t="s">
        <v>108</v>
      </c>
      <c r="C82" s="537">
        <f t="shared" si="27"/>
        <v>0</v>
      </c>
      <c r="D82" s="538">
        <f t="shared" si="68"/>
        <v>0</v>
      </c>
      <c r="E82" s="539">
        <v>0</v>
      </c>
      <c r="F82" s="539">
        <v>0</v>
      </c>
      <c r="G82" s="539">
        <v>0</v>
      </c>
      <c r="H82" s="539">
        <v>0</v>
      </c>
      <c r="I82" s="539">
        <v>0</v>
      </c>
      <c r="J82" s="545">
        <f t="shared" si="29"/>
        <v>0</v>
      </c>
      <c r="K82" s="546">
        <f t="shared" si="30"/>
        <v>0</v>
      </c>
      <c r="L82" s="539">
        <v>0</v>
      </c>
      <c r="M82" s="542">
        <f t="shared" si="31"/>
        <v>0</v>
      </c>
      <c r="N82" s="542">
        <f t="shared" si="32"/>
        <v>0</v>
      </c>
      <c r="O82" s="539">
        <v>0</v>
      </c>
      <c r="P82" s="543">
        <f t="shared" si="33"/>
        <v>0</v>
      </c>
      <c r="Q82" s="542">
        <f t="shared" si="34"/>
        <v>0</v>
      </c>
      <c r="R82" s="543">
        <f ca="1">IFERROR(__xludf.DUMMYFUNCTION("IMPORTRANGE(""https://docs.google.com/spreadsheets/d/17ht0gPKzzT3PObBL1XJkeRmntBXI7wGjpLV7QorqlTk/edit?usp=sharing"",""พัทลุง!Q759"")"),397800)</f>
        <v>397800</v>
      </c>
      <c r="S82" s="542">
        <f ca="1">IFERROR(__xludf.DUMMYFUNCTION("IMPORTRANGE(""https://docs.google.com/spreadsheets/d/17ht0gPKzzT3PObBL1XJkeRmntBXI7wGjpLV7QorqlTk/edit?usp=sharing"",""พัทลุง!R759"")"),0)</f>
        <v>0</v>
      </c>
      <c r="T82" s="543">
        <f ca="1">IFERROR(__xludf.DUMMYFUNCTION("IMPORTRANGE(""https://docs.google.com/spreadsheets/d/17ht0gPKzzT3PObBL1XJkeRmntBXI7wGjpLV7QorqlTk/edit?usp=sharing"",""พัทลุง!S759"")"),92460)</f>
        <v>92460</v>
      </c>
      <c r="U82" s="542">
        <f t="shared" ca="1" si="36"/>
        <v>23.242835595776771</v>
      </c>
      <c r="V82" s="542">
        <f t="shared" ca="1" si="37"/>
        <v>0</v>
      </c>
      <c r="W82" s="353">
        <f ca="1">IFERROR(__xludf.DUMMYFUNCTION("IMPORTRANGE(""https://docs.google.com/spreadsheets/d/17ht0gPKzzT3PObBL1XJkeRmntBXI7wGjpLV7QorqlTk/edit?usp=sharing"",""พัทลุง!I769"")"),0)</f>
        <v>0</v>
      </c>
      <c r="X82" s="177">
        <f ca="1">IFERROR(__xludf.DUMMYFUNCTION("IMPORTRANGE(""https://docs.google.com/spreadsheets/d/17ht0gPKzzT3PObBL1XJkeRmntBXI7wGjpLV7QorqlTk/edit?usp=sharing"",""พัทลุง!J769"")"),0)</f>
        <v>0</v>
      </c>
      <c r="Y82" s="354">
        <f t="shared" ca="1" si="39"/>
        <v>0</v>
      </c>
      <c r="Z82" s="177">
        <f ca="1">IFERROR(__xludf.DUMMYFUNCTION("IMPORTRANGE(""https://docs.google.com/spreadsheets/d/17ht0gPKzzT3PObBL1XJkeRmntBXI7wGjpLV7QorqlTk/edit?usp=sharing"",""พัทลุง!I771"")"),50)</f>
        <v>50</v>
      </c>
      <c r="AA82" s="177">
        <f ca="1">IFERROR(__xludf.DUMMYFUNCTION("IMPORTRANGE(""https://docs.google.com/spreadsheets/d/17ht0gPKzzT3PObBL1XJkeRmntBXI7wGjpLV7QorqlTk/edit?usp=sharing"",""พัทลุง!J771"")"),0)</f>
        <v>0</v>
      </c>
      <c r="AB82" s="354">
        <f t="shared" ca="1" si="41"/>
        <v>0</v>
      </c>
      <c r="AC82" s="177">
        <f ca="1">IFERROR(__xludf.DUMMYFUNCTION("IMPORTRANGE(""https://docs.google.com/spreadsheets/d/17ht0gPKzzT3PObBL1XJkeRmntBXI7wGjpLV7QorqlTk/edit?usp=sharing"",""พัทลุง!I773"")"),100)</f>
        <v>100</v>
      </c>
      <c r="AD82" s="177">
        <f ca="1">IFERROR(__xludf.DUMMYFUNCTION("IMPORTRANGE(""https://docs.google.com/spreadsheets/d/17ht0gPKzzT3PObBL1XJkeRmntBXI7wGjpLV7QorqlTk/edit?usp=sharing"",""พัทลุง!J773"")"),0)</f>
        <v>0</v>
      </c>
      <c r="AE82" s="354">
        <f t="shared" ca="1" si="43"/>
        <v>0</v>
      </c>
      <c r="AF82" s="177">
        <f ca="1">IFERROR(__xludf.DUMMYFUNCTION("IMPORTRANGE(""https://docs.google.com/spreadsheets/d/17ht0gPKzzT3PObBL1XJkeRmntBXI7wGjpLV7QorqlTk/edit?usp=sharing"",""พัทลุง!I774"")"),100)</f>
        <v>100</v>
      </c>
      <c r="AG82" s="177">
        <f ca="1">IFERROR(__xludf.DUMMYFUNCTION("IMPORTRANGE(""https://docs.google.com/spreadsheets/d/17ht0gPKzzT3PObBL1XJkeRmntBXI7wGjpLV7QorqlTk/edit?usp=sharing"",""พัทลุง!I775"")"),50)</f>
        <v>50</v>
      </c>
      <c r="AH82" s="177">
        <f ca="1">IFERROR(__xludf.DUMMYFUNCTION("IMPORTRANGE(""https://docs.google.com/spreadsheets/d/17ht0gPKzzT3PObBL1XJkeRmntBXI7wGjpLV7QorqlTk/edit?usp=sharing"",""พัทลุง!J774"")"),0)</f>
        <v>0</v>
      </c>
      <c r="AI82" s="354">
        <f t="shared" ca="1" si="45"/>
        <v>0</v>
      </c>
      <c r="AJ82" s="177">
        <f ca="1">IFERROR(__xludf.DUMMYFUNCTION("IMPORTRANGE(""https://docs.google.com/spreadsheets/d/17ht0gPKzzT3PObBL1XJkeRmntBXI7wGjpLV7QorqlTk/edit?usp=sharing"",""พัทลุง!J775"")"),0)</f>
        <v>0</v>
      </c>
      <c r="AK82" s="354">
        <f t="shared" ca="1" si="46"/>
        <v>0</v>
      </c>
    </row>
    <row r="83" spans="1:37" ht="19.5" x14ac:dyDescent="0.3">
      <c r="A83" s="535">
        <v>9</v>
      </c>
      <c r="B83" s="536" t="s">
        <v>109</v>
      </c>
      <c r="C83" s="537">
        <f t="shared" si="27"/>
        <v>0</v>
      </c>
      <c r="D83" s="538">
        <f t="shared" si="68"/>
        <v>0</v>
      </c>
      <c r="E83" s="539">
        <v>0</v>
      </c>
      <c r="F83" s="539">
        <v>0</v>
      </c>
      <c r="G83" s="539">
        <v>0</v>
      </c>
      <c r="H83" s="539">
        <v>0</v>
      </c>
      <c r="I83" s="539">
        <v>0</v>
      </c>
      <c r="J83" s="545">
        <f t="shared" si="29"/>
        <v>0</v>
      </c>
      <c r="K83" s="546">
        <f t="shared" si="30"/>
        <v>0</v>
      </c>
      <c r="L83" s="539">
        <v>0</v>
      </c>
      <c r="M83" s="542">
        <f t="shared" si="31"/>
        <v>0</v>
      </c>
      <c r="N83" s="542">
        <f t="shared" si="32"/>
        <v>0</v>
      </c>
      <c r="O83" s="539">
        <v>0</v>
      </c>
      <c r="P83" s="543">
        <f t="shared" si="33"/>
        <v>0</v>
      </c>
      <c r="Q83" s="542">
        <f t="shared" si="34"/>
        <v>0</v>
      </c>
      <c r="R83" s="543">
        <f ca="1">IFERROR(__xludf.DUMMYFUNCTION("IMPORTRANGE(""https://docs.google.com/spreadsheets/d/1rd4qoM1q_hsgaolqNGfrim9gbsoLxQsda4-vOz5x_BM/edit?usp=sharing"",""ภูเก็ต!Q759"")"),169530)</f>
        <v>169530</v>
      </c>
      <c r="S83" s="542">
        <f ca="1">IFERROR(__xludf.DUMMYFUNCTION("IMPORTRANGE(""https://docs.google.com/spreadsheets/d/1rd4qoM1q_hsgaolqNGfrim9gbsoLxQsda4-vOz5x_BM/edit?usp=sharing"",""ภูเก็ต!R759"")"),0)</f>
        <v>0</v>
      </c>
      <c r="T83" s="543">
        <f ca="1">IFERROR(__xludf.DUMMYFUNCTION("IMPORTRANGE(""https://docs.google.com/spreadsheets/d/1rd4qoM1q_hsgaolqNGfrim9gbsoLxQsda4-vOz5x_BM/edit?usp=sharing"",""ภูเก็ต!S759"")"),0)</f>
        <v>0</v>
      </c>
      <c r="U83" s="542">
        <f t="shared" ca="1" si="36"/>
        <v>0</v>
      </c>
      <c r="V83" s="542">
        <f t="shared" ca="1" si="37"/>
        <v>0</v>
      </c>
      <c r="W83" s="353">
        <f ca="1">IFERROR(__xludf.DUMMYFUNCTION("IMPORTRANGE(""https://docs.google.com/spreadsheets/d/1rd4qoM1q_hsgaolqNGfrim9gbsoLxQsda4-vOz5x_BM/edit?usp=sharing"",""ภูเก็ต!I769"")"),0)</f>
        <v>0</v>
      </c>
      <c r="X83" s="177">
        <f ca="1">IFERROR(__xludf.DUMMYFUNCTION("IMPORTRANGE(""https://docs.google.com/spreadsheets/d/1rd4qoM1q_hsgaolqNGfrim9gbsoLxQsda4-vOz5x_BM/edit?usp=sharing"",""ภูเก็ต!J769"")"),0)</f>
        <v>0</v>
      </c>
      <c r="Y83" s="354">
        <f t="shared" ca="1" si="39"/>
        <v>0</v>
      </c>
      <c r="Z83" s="177">
        <f ca="1">IFERROR(__xludf.DUMMYFUNCTION("IMPORTRANGE(""https://docs.google.com/spreadsheets/d/1rd4qoM1q_hsgaolqNGfrim9gbsoLxQsda4-vOz5x_BM/edit?usp=sharing"",""ภูเก็ต!I771"")"),25)</f>
        <v>25</v>
      </c>
      <c r="AA83" s="177">
        <f ca="1">IFERROR(__xludf.DUMMYFUNCTION("IMPORTRANGE(""https://docs.google.com/spreadsheets/d/1rd4qoM1q_hsgaolqNGfrim9gbsoLxQsda4-vOz5x_BM/edit?usp=sharing"",""ภูเก็ต!J771"")"),0)</f>
        <v>0</v>
      </c>
      <c r="AB83" s="354">
        <f t="shared" ca="1" si="41"/>
        <v>0</v>
      </c>
      <c r="AC83" s="177">
        <f ca="1">IFERROR(__xludf.DUMMYFUNCTION("IMPORTRANGE(""https://docs.google.com/spreadsheets/d/1rd4qoM1q_hsgaolqNGfrim9gbsoLxQsda4-vOz5x_BM/edit?usp=sharing"",""ภูเก็ต!I773"")"),50)</f>
        <v>50</v>
      </c>
      <c r="AD83" s="177">
        <f ca="1">IFERROR(__xludf.DUMMYFUNCTION("IMPORTRANGE(""https://docs.google.com/spreadsheets/d/1rd4qoM1q_hsgaolqNGfrim9gbsoLxQsda4-vOz5x_BM/edit?usp=sharing"",""ภูเก็ต!J773"")"),0)</f>
        <v>0</v>
      </c>
      <c r="AE83" s="354">
        <f t="shared" ca="1" si="43"/>
        <v>0</v>
      </c>
      <c r="AF83" s="177">
        <f ca="1">IFERROR(__xludf.DUMMYFUNCTION("IMPORTRANGE(""https://docs.google.com/spreadsheets/d/1rd4qoM1q_hsgaolqNGfrim9gbsoLxQsda4-vOz5x_BM/edit?usp=sharing"",""ภูเก็ต!I774"")"),50)</f>
        <v>50</v>
      </c>
      <c r="AG83" s="177">
        <f ca="1">IFERROR(__xludf.DUMMYFUNCTION("IMPORTRANGE(""https://docs.google.com/spreadsheets/d/1rd4qoM1q_hsgaolqNGfrim9gbsoLxQsda4-vOz5x_BM/edit?usp=sharing"",""ภูเก็ต!I775"")"),25)</f>
        <v>25</v>
      </c>
      <c r="AH83" s="177">
        <f ca="1">IFERROR(__xludf.DUMMYFUNCTION("IMPORTRANGE(""https://docs.google.com/spreadsheets/d/1rd4qoM1q_hsgaolqNGfrim9gbsoLxQsda4-vOz5x_BM/edit?usp=sharing"",""ภูเก็ต!J774"")"),0)</f>
        <v>0</v>
      </c>
      <c r="AI83" s="354">
        <f t="shared" ca="1" si="45"/>
        <v>0</v>
      </c>
      <c r="AJ83" s="177">
        <f ca="1">IFERROR(__xludf.DUMMYFUNCTION("IMPORTRANGE(""https://docs.google.com/spreadsheets/d/1rd4qoM1q_hsgaolqNGfrim9gbsoLxQsda4-vOz5x_BM/edit?usp=sharing"",""ภูเก็ต!J775"")"),0)</f>
        <v>0</v>
      </c>
      <c r="AK83" s="354">
        <f t="shared" ca="1" si="46"/>
        <v>0</v>
      </c>
    </row>
    <row r="84" spans="1:37" ht="19.5" x14ac:dyDescent="0.3">
      <c r="A84" s="535">
        <v>10</v>
      </c>
      <c r="B84" s="536" t="s">
        <v>110</v>
      </c>
      <c r="C84" s="537">
        <f t="shared" si="27"/>
        <v>0</v>
      </c>
      <c r="D84" s="538">
        <f t="shared" si="68"/>
        <v>0</v>
      </c>
      <c r="E84" s="539">
        <v>0</v>
      </c>
      <c r="F84" s="539">
        <v>0</v>
      </c>
      <c r="G84" s="539">
        <v>0</v>
      </c>
      <c r="H84" s="539">
        <v>0</v>
      </c>
      <c r="I84" s="539">
        <v>0</v>
      </c>
      <c r="J84" s="545">
        <f t="shared" si="29"/>
        <v>0</v>
      </c>
      <c r="K84" s="546">
        <f t="shared" si="30"/>
        <v>0</v>
      </c>
      <c r="L84" s="539">
        <v>0</v>
      </c>
      <c r="M84" s="542">
        <f t="shared" si="31"/>
        <v>0</v>
      </c>
      <c r="N84" s="542">
        <f t="shared" si="32"/>
        <v>0</v>
      </c>
      <c r="O84" s="539">
        <v>0</v>
      </c>
      <c r="P84" s="543">
        <f t="shared" si="33"/>
        <v>0</v>
      </c>
      <c r="Q84" s="542">
        <f t="shared" si="34"/>
        <v>0</v>
      </c>
      <c r="R84" s="543">
        <f ca="1">IFERROR(__xludf.DUMMYFUNCTION("IMPORTRANGE(""https://docs.google.com/spreadsheets/d/1woKwKjgoLssDvPcPeVyezB5izizAn4X1JDrys69n6xI/edit?usp=sharing"",""ยะลา!Q759"")"),0)</f>
        <v>0</v>
      </c>
      <c r="S84" s="542">
        <f ca="1">IFERROR(__xludf.DUMMYFUNCTION("IMPORTRANGE(""https://docs.google.com/spreadsheets/d/1woKwKjgoLssDvPcPeVyezB5izizAn4X1JDrys69n6xI/edit?usp=sharing"",""ยะลา!R759"")"),0)</f>
        <v>0</v>
      </c>
      <c r="T84" s="543">
        <f ca="1">IFERROR(__xludf.DUMMYFUNCTION("IMPORTRANGE(""https://docs.google.com/spreadsheets/d/1woKwKjgoLssDvPcPeVyezB5izizAn4X1JDrys69n6xI/edit?usp=sharing"",""ยะลา!S759"")"),0)</f>
        <v>0</v>
      </c>
      <c r="U84" s="542">
        <f t="shared" ca="1" si="36"/>
        <v>0</v>
      </c>
      <c r="V84" s="542">
        <f t="shared" ca="1" si="37"/>
        <v>0</v>
      </c>
      <c r="W84" s="353">
        <f ca="1">IFERROR(__xludf.DUMMYFUNCTION("IMPORTRANGE(""https://docs.google.com/spreadsheets/d/1woKwKjgoLssDvPcPeVyezB5izizAn4X1JDrys69n6xI/edit?usp=sharing"",""ยะลา!I769"")"),0)</f>
        <v>0</v>
      </c>
      <c r="X84" s="177">
        <f ca="1">IFERROR(__xludf.DUMMYFUNCTION("IMPORTRANGE(""https://docs.google.com/spreadsheets/d/1woKwKjgoLssDvPcPeVyezB5izizAn4X1JDrys69n6xI/edit?usp=sharing"",""ยะลา!J769"")"),0)</f>
        <v>0</v>
      </c>
      <c r="Y84" s="354">
        <f t="shared" ca="1" si="39"/>
        <v>0</v>
      </c>
      <c r="Z84" s="177">
        <f ca="1">IFERROR(__xludf.DUMMYFUNCTION("IMPORTRANGE(""https://docs.google.com/spreadsheets/d/1woKwKjgoLssDvPcPeVyezB5izizAn4X1JDrys69n6xI/edit?usp=sharing"",""ยะลา!I771"")"),0)</f>
        <v>0</v>
      </c>
      <c r="AA84" s="177">
        <f ca="1">IFERROR(__xludf.DUMMYFUNCTION("IMPORTRANGE(""https://docs.google.com/spreadsheets/d/1woKwKjgoLssDvPcPeVyezB5izizAn4X1JDrys69n6xI/edit?usp=sharing"",""ยะลา!J771"")"),0)</f>
        <v>0</v>
      </c>
      <c r="AB84" s="354">
        <f t="shared" ca="1" si="41"/>
        <v>0</v>
      </c>
      <c r="AC84" s="177">
        <f ca="1">IFERROR(__xludf.DUMMYFUNCTION("IMPORTRANGE(""https://docs.google.com/spreadsheets/d/1woKwKjgoLssDvPcPeVyezB5izizAn4X1JDrys69n6xI/edit?usp=sharing"",""ยะลา!I773"")"),0)</f>
        <v>0</v>
      </c>
      <c r="AD84" s="177">
        <f ca="1">IFERROR(__xludf.DUMMYFUNCTION("IMPORTRANGE(""https://docs.google.com/spreadsheets/d/1woKwKjgoLssDvPcPeVyezB5izizAn4X1JDrys69n6xI/edit?usp=sharing"",""ยะลา!J773"")"),0)</f>
        <v>0</v>
      </c>
      <c r="AE84" s="354">
        <f t="shared" ca="1" si="43"/>
        <v>0</v>
      </c>
      <c r="AF84" s="177">
        <f ca="1">IFERROR(__xludf.DUMMYFUNCTION("IMPORTRANGE(""https://docs.google.com/spreadsheets/d/1woKwKjgoLssDvPcPeVyezB5izizAn4X1JDrys69n6xI/edit?usp=sharing"",""ยะลา!I774"")"),0)</f>
        <v>0</v>
      </c>
      <c r="AG84" s="177">
        <f ca="1">IFERROR(__xludf.DUMMYFUNCTION("IMPORTRANGE(""https://docs.google.com/spreadsheets/d/1woKwKjgoLssDvPcPeVyezB5izizAn4X1JDrys69n6xI/edit?usp=sharing"",""ยะลา!I775"")"),0)</f>
        <v>0</v>
      </c>
      <c r="AH84" s="177">
        <f ca="1">IFERROR(__xludf.DUMMYFUNCTION("IMPORTRANGE(""https://docs.google.com/spreadsheets/d/1woKwKjgoLssDvPcPeVyezB5izizAn4X1JDrys69n6xI/edit?usp=sharing"",""ยะลา!J774"")"),0)</f>
        <v>0</v>
      </c>
      <c r="AI84" s="354">
        <f t="shared" ca="1" si="45"/>
        <v>0</v>
      </c>
      <c r="AJ84" s="177">
        <f ca="1">IFERROR(__xludf.DUMMYFUNCTION("IMPORTRANGE(""https://docs.google.com/spreadsheets/d/1woKwKjgoLssDvPcPeVyezB5izizAn4X1JDrys69n6xI/edit?usp=sharing"",""ยะลา!J775"")"),0)</f>
        <v>0</v>
      </c>
      <c r="AK84" s="354">
        <f t="shared" ca="1" si="46"/>
        <v>0</v>
      </c>
    </row>
    <row r="85" spans="1:37" ht="19.5" x14ac:dyDescent="0.3">
      <c r="A85" s="535">
        <v>11</v>
      </c>
      <c r="B85" s="536" t="s">
        <v>111</v>
      </c>
      <c r="C85" s="537">
        <f t="shared" si="27"/>
        <v>0</v>
      </c>
      <c r="D85" s="538">
        <f t="shared" si="68"/>
        <v>0</v>
      </c>
      <c r="E85" s="539">
        <v>0</v>
      </c>
      <c r="F85" s="539">
        <v>0</v>
      </c>
      <c r="G85" s="539">
        <v>0</v>
      </c>
      <c r="H85" s="539">
        <v>0</v>
      </c>
      <c r="I85" s="539">
        <v>0</v>
      </c>
      <c r="J85" s="545">
        <f t="shared" si="29"/>
        <v>0</v>
      </c>
      <c r="K85" s="546">
        <f t="shared" si="30"/>
        <v>0</v>
      </c>
      <c r="L85" s="539">
        <v>0</v>
      </c>
      <c r="M85" s="542">
        <f t="shared" si="31"/>
        <v>0</v>
      </c>
      <c r="N85" s="542">
        <f t="shared" si="32"/>
        <v>0</v>
      </c>
      <c r="O85" s="539">
        <v>0</v>
      </c>
      <c r="P85" s="543">
        <f t="shared" si="33"/>
        <v>0</v>
      </c>
      <c r="Q85" s="542">
        <f t="shared" si="34"/>
        <v>0</v>
      </c>
      <c r="R85" s="543">
        <f ca="1">IFERROR(__xludf.DUMMYFUNCTION("IMPORTRANGE(""https://docs.google.com/spreadsheets/d/1qfrKjzMhm2HJfxQ-qVlJlJQ25Hne1d0khsySbZyGtPA/edit?usp=sharing"",""ระนอง!Q759"")"),109660)</f>
        <v>109660</v>
      </c>
      <c r="S85" s="542">
        <f ca="1">IFERROR(__xludf.DUMMYFUNCTION("IMPORTRANGE(""https://docs.google.com/spreadsheets/d/1qfrKjzMhm2HJfxQ-qVlJlJQ25Hne1d0khsySbZyGtPA/edit?usp=sharing"",""ระนอง!R759"")"),0)</f>
        <v>0</v>
      </c>
      <c r="T85" s="543">
        <f ca="1">IFERROR(__xludf.DUMMYFUNCTION("IMPORTRANGE(""https://docs.google.com/spreadsheets/d/1qfrKjzMhm2HJfxQ-qVlJlJQ25Hne1d0khsySbZyGtPA/edit?usp=sharing"",""ระนอง!S759"")"),0)</f>
        <v>0</v>
      </c>
      <c r="U85" s="542">
        <f t="shared" ca="1" si="36"/>
        <v>0</v>
      </c>
      <c r="V85" s="542">
        <f t="shared" ca="1" si="37"/>
        <v>0</v>
      </c>
      <c r="W85" s="353">
        <f ca="1">IFERROR(__xludf.DUMMYFUNCTION("IMPORTRANGE(""https://docs.google.com/spreadsheets/d/1qfrKjzMhm2HJfxQ-qVlJlJQ25Hne1d0khsySbZyGtPA/edit?usp=sharing"",""ระนอง!I769"")"),0)</f>
        <v>0</v>
      </c>
      <c r="X85" s="177">
        <f ca="1">IFERROR(__xludf.DUMMYFUNCTION("IMPORTRANGE(""https://docs.google.com/spreadsheets/d/1qfrKjzMhm2HJfxQ-qVlJlJQ25Hne1d0khsySbZyGtPA/edit?usp=sharing"",""ระนอง!J769"")"),0)</f>
        <v>0</v>
      </c>
      <c r="Y85" s="354">
        <f t="shared" ca="1" si="39"/>
        <v>0</v>
      </c>
      <c r="Z85" s="177">
        <f ca="1">IFERROR(__xludf.DUMMYFUNCTION("IMPORTRANGE(""https://docs.google.com/spreadsheets/d/1qfrKjzMhm2HJfxQ-qVlJlJQ25Hne1d0khsySbZyGtPA/edit?usp=sharing"",""ระนอง!I771"")"),20)</f>
        <v>20</v>
      </c>
      <c r="AA85" s="177">
        <f ca="1">IFERROR(__xludf.DUMMYFUNCTION("IMPORTRANGE(""https://docs.google.com/spreadsheets/d/1qfrKjzMhm2HJfxQ-qVlJlJQ25Hne1d0khsySbZyGtPA/edit?usp=sharing"",""ระนอง!J771"")"),0)</f>
        <v>0</v>
      </c>
      <c r="AB85" s="354">
        <f t="shared" ca="1" si="41"/>
        <v>0</v>
      </c>
      <c r="AC85" s="177">
        <f ca="1">IFERROR(__xludf.DUMMYFUNCTION("IMPORTRANGE(""https://docs.google.com/spreadsheets/d/1qfrKjzMhm2HJfxQ-qVlJlJQ25Hne1d0khsySbZyGtPA/edit?usp=sharing"",""ระนอง!I773"")"),20)</f>
        <v>20</v>
      </c>
      <c r="AD85" s="177">
        <f ca="1">IFERROR(__xludf.DUMMYFUNCTION("IMPORTRANGE(""https://docs.google.com/spreadsheets/d/1qfrKjzMhm2HJfxQ-qVlJlJQ25Hne1d0khsySbZyGtPA/edit?usp=sharing"",""ระนอง!J773"")"),0)</f>
        <v>0</v>
      </c>
      <c r="AE85" s="354">
        <f t="shared" ca="1" si="43"/>
        <v>0</v>
      </c>
      <c r="AF85" s="177">
        <f ca="1">IFERROR(__xludf.DUMMYFUNCTION("IMPORTRANGE(""https://docs.google.com/spreadsheets/d/1qfrKjzMhm2HJfxQ-qVlJlJQ25Hne1d0khsySbZyGtPA/edit?usp=sharing"",""ระนอง!I774"")"),20)</f>
        <v>20</v>
      </c>
      <c r="AG85" s="177">
        <f ca="1">IFERROR(__xludf.DUMMYFUNCTION("IMPORTRANGE(""https://docs.google.com/spreadsheets/d/1qfrKjzMhm2HJfxQ-qVlJlJQ25Hne1d0khsySbZyGtPA/edit?usp=sharing"",""ระนอง!I775"")"),20)</f>
        <v>20</v>
      </c>
      <c r="AH85" s="177">
        <f ca="1">IFERROR(__xludf.DUMMYFUNCTION("IMPORTRANGE(""https://docs.google.com/spreadsheets/d/1qfrKjzMhm2HJfxQ-qVlJlJQ25Hne1d0khsySbZyGtPA/edit?usp=sharing"",""ระนอง!J774"")"),0)</f>
        <v>0</v>
      </c>
      <c r="AI85" s="354">
        <f t="shared" ca="1" si="45"/>
        <v>0</v>
      </c>
      <c r="AJ85" s="177">
        <f ca="1">IFERROR(__xludf.DUMMYFUNCTION("IMPORTRANGE(""https://docs.google.com/spreadsheets/d/1qfrKjzMhm2HJfxQ-qVlJlJQ25Hne1d0khsySbZyGtPA/edit?usp=sharing"",""ระนอง!J775"")"),0)</f>
        <v>0</v>
      </c>
      <c r="AK85" s="354">
        <f t="shared" ca="1" si="46"/>
        <v>0</v>
      </c>
    </row>
    <row r="86" spans="1:37" ht="19.5" x14ac:dyDescent="0.3">
      <c r="A86" s="535">
        <v>12</v>
      </c>
      <c r="B86" s="536" t="s">
        <v>112</v>
      </c>
      <c r="C86" s="537">
        <f t="shared" si="27"/>
        <v>0</v>
      </c>
      <c r="D86" s="538">
        <f t="shared" si="68"/>
        <v>0</v>
      </c>
      <c r="E86" s="539">
        <v>0</v>
      </c>
      <c r="F86" s="539">
        <v>0</v>
      </c>
      <c r="G86" s="539">
        <v>0</v>
      </c>
      <c r="H86" s="539">
        <v>0</v>
      </c>
      <c r="I86" s="539">
        <v>0</v>
      </c>
      <c r="J86" s="545">
        <f t="shared" si="29"/>
        <v>0</v>
      </c>
      <c r="K86" s="546">
        <f t="shared" si="30"/>
        <v>0</v>
      </c>
      <c r="L86" s="539">
        <v>0</v>
      </c>
      <c r="M86" s="542">
        <f t="shared" si="31"/>
        <v>0</v>
      </c>
      <c r="N86" s="542">
        <f t="shared" si="32"/>
        <v>0</v>
      </c>
      <c r="O86" s="539">
        <v>0</v>
      </c>
      <c r="P86" s="543">
        <f t="shared" si="33"/>
        <v>0</v>
      </c>
      <c r="Q86" s="542">
        <f t="shared" si="34"/>
        <v>0</v>
      </c>
      <c r="R86" s="543">
        <f ca="1">IFERROR(__xludf.DUMMYFUNCTION("IMPORTRANGE(""https://docs.google.com/spreadsheets/d/1IbSCnFOKpZsnFogBHJnL_isstZVaOMnFiIN0fGTPZZw/edit?usp=sharing"",""สงขลา!Q759"")"),0)</f>
        <v>0</v>
      </c>
      <c r="S86" s="542">
        <f ca="1">IFERROR(__xludf.DUMMYFUNCTION("IMPORTRANGE(""https://docs.google.com/spreadsheets/d/1IbSCnFOKpZsnFogBHJnL_isstZVaOMnFiIN0fGTPZZw/edit?usp=sharing"",""สงขลา!R759"")"),0)</f>
        <v>0</v>
      </c>
      <c r="T86" s="543">
        <f ca="1">IFERROR(__xludf.DUMMYFUNCTION("IMPORTRANGE(""https://docs.google.com/spreadsheets/d/1IbSCnFOKpZsnFogBHJnL_isstZVaOMnFiIN0fGTPZZw/edit?usp=sharing"",""สงขลา!S759"")"),0)</f>
        <v>0</v>
      </c>
      <c r="U86" s="542">
        <f t="shared" ca="1" si="36"/>
        <v>0</v>
      </c>
      <c r="V86" s="542">
        <f t="shared" ca="1" si="37"/>
        <v>0</v>
      </c>
      <c r="W86" s="355">
        <f ca="1">IFERROR(__xludf.DUMMYFUNCTION("IMPORTRANGE(""https://docs.google.com/spreadsheets/d/1IbSCnFOKpZsnFogBHJnL_isstZVaOMnFiIN0fGTPZZw/edit?usp=sharing"",""สงขลา!I769"")"),0)</f>
        <v>0</v>
      </c>
      <c r="X86" s="452">
        <f ca="1">IFERROR(__xludf.DUMMYFUNCTION("IMPORTRANGE(""https://docs.google.com/spreadsheets/d/1IbSCnFOKpZsnFogBHJnL_isstZVaOMnFiIN0fGTPZZw/edit?usp=sharing"",""สงขลา!J769"")"),0)</f>
        <v>0</v>
      </c>
      <c r="Y86" s="354">
        <f t="shared" ca="1" si="39"/>
        <v>0</v>
      </c>
      <c r="Z86" s="452">
        <f ca="1">IFERROR(__xludf.DUMMYFUNCTION("IMPORTRANGE(""https://docs.google.com/spreadsheets/d/1IbSCnFOKpZsnFogBHJnL_isstZVaOMnFiIN0fGTPZZw/edit?usp=sharing"",""สงขลา!I771"")"),0)</f>
        <v>0</v>
      </c>
      <c r="AA86" s="452">
        <f ca="1">IFERROR(__xludf.DUMMYFUNCTION("IMPORTRANGE(""https://docs.google.com/spreadsheets/d/1IbSCnFOKpZsnFogBHJnL_isstZVaOMnFiIN0fGTPZZw/edit?usp=sharing"",""สงขลา!J771"")"),0)</f>
        <v>0</v>
      </c>
      <c r="AB86" s="354">
        <f t="shared" ca="1" si="41"/>
        <v>0</v>
      </c>
      <c r="AC86" s="452">
        <f ca="1">IFERROR(__xludf.DUMMYFUNCTION("IMPORTRANGE(""https://docs.google.com/spreadsheets/d/1IbSCnFOKpZsnFogBHJnL_isstZVaOMnFiIN0fGTPZZw/edit?usp=sharing"",""สงขลา!I773"")"),0)</f>
        <v>0</v>
      </c>
      <c r="AD86" s="452">
        <f ca="1">IFERROR(__xludf.DUMMYFUNCTION("IMPORTRANGE(""https://docs.google.com/spreadsheets/d/1IbSCnFOKpZsnFogBHJnL_isstZVaOMnFiIN0fGTPZZw/edit?usp=sharing"",""สงขลา!J773"")"),0)</f>
        <v>0</v>
      </c>
      <c r="AE86" s="354">
        <f t="shared" ca="1" si="43"/>
        <v>0</v>
      </c>
      <c r="AF86" s="452">
        <f ca="1">IFERROR(__xludf.DUMMYFUNCTION("IMPORTRANGE(""https://docs.google.com/spreadsheets/d/1IbSCnFOKpZsnFogBHJnL_isstZVaOMnFiIN0fGTPZZw/edit?usp=sharing"",""สงขลา!I774"")"),0)</f>
        <v>0</v>
      </c>
      <c r="AG86" s="452">
        <f ca="1">IFERROR(__xludf.DUMMYFUNCTION("IMPORTRANGE(""https://docs.google.com/spreadsheets/d/1IbSCnFOKpZsnFogBHJnL_isstZVaOMnFiIN0fGTPZZw/edit?usp=sharing"",""สงขลา!I775"")"),0)</f>
        <v>0</v>
      </c>
      <c r="AH86" s="452">
        <f ca="1">IFERROR(__xludf.DUMMYFUNCTION("IMPORTRANGE(""https://docs.google.com/spreadsheets/d/1IbSCnFOKpZsnFogBHJnL_isstZVaOMnFiIN0fGTPZZw/edit?usp=sharing"",""สงขลา!J774"")"),0)</f>
        <v>0</v>
      </c>
      <c r="AI86" s="354">
        <f t="shared" ca="1" si="45"/>
        <v>0</v>
      </c>
      <c r="AJ86" s="452">
        <f ca="1">IFERROR(__xludf.DUMMYFUNCTION("IMPORTRANGE(""https://docs.google.com/spreadsheets/d/1IbSCnFOKpZsnFogBHJnL_isstZVaOMnFiIN0fGTPZZw/edit?usp=sharing"",""สงขลา!J775"")"),0)</f>
        <v>0</v>
      </c>
      <c r="AK86" s="354">
        <f t="shared" ca="1" si="46"/>
        <v>0</v>
      </c>
    </row>
    <row r="87" spans="1:37" ht="19.5" x14ac:dyDescent="0.3">
      <c r="A87" s="535">
        <v>13</v>
      </c>
      <c r="B87" s="536" t="s">
        <v>113</v>
      </c>
      <c r="C87" s="537">
        <f t="shared" si="27"/>
        <v>0</v>
      </c>
      <c r="D87" s="538">
        <f t="shared" si="68"/>
        <v>0</v>
      </c>
      <c r="E87" s="539">
        <v>0</v>
      </c>
      <c r="F87" s="539">
        <v>0</v>
      </c>
      <c r="G87" s="539">
        <v>0</v>
      </c>
      <c r="H87" s="539">
        <v>0</v>
      </c>
      <c r="I87" s="539">
        <v>0</v>
      </c>
      <c r="J87" s="545">
        <f t="shared" si="29"/>
        <v>0</v>
      </c>
      <c r="K87" s="546">
        <f t="shared" si="30"/>
        <v>0</v>
      </c>
      <c r="L87" s="539">
        <v>0</v>
      </c>
      <c r="M87" s="542">
        <f t="shared" si="31"/>
        <v>0</v>
      </c>
      <c r="N87" s="542">
        <f t="shared" si="32"/>
        <v>0</v>
      </c>
      <c r="O87" s="539">
        <v>0</v>
      </c>
      <c r="P87" s="543">
        <f t="shared" si="33"/>
        <v>0</v>
      </c>
      <c r="Q87" s="542">
        <f t="shared" si="34"/>
        <v>0</v>
      </c>
      <c r="R87" s="543">
        <f ca="1">IFERROR(__xludf.DUMMYFUNCTION("IMPORTRANGE(""https://docs.google.com/spreadsheets/d/1q9nWasZJ-K8bFGvbE9n0qSRuKGA4Toe3Y89cKCiVtCU/edit?usp=sharing"",""สตูล!Q759"")"),0)</f>
        <v>0</v>
      </c>
      <c r="S87" s="542">
        <f ca="1">IFERROR(__xludf.DUMMYFUNCTION("IMPORTRANGE(""https://docs.google.com/spreadsheets/d/1q9nWasZJ-K8bFGvbE9n0qSRuKGA4Toe3Y89cKCiVtCU/edit?usp=sharing"",""สตูล!R759"")"),0)</f>
        <v>0</v>
      </c>
      <c r="T87" s="543">
        <f ca="1">IFERROR(__xludf.DUMMYFUNCTION("IMPORTRANGE(""https://docs.google.com/spreadsheets/d/1q9nWasZJ-K8bFGvbE9n0qSRuKGA4Toe3Y89cKCiVtCU/edit?usp=sharing"",""สตูล!S759"")"),0)</f>
        <v>0</v>
      </c>
      <c r="U87" s="542">
        <f t="shared" ca="1" si="36"/>
        <v>0</v>
      </c>
      <c r="V87" s="542">
        <f t="shared" ca="1" si="37"/>
        <v>0</v>
      </c>
      <c r="W87" s="353">
        <f ca="1">IFERROR(__xludf.DUMMYFUNCTION("IMPORTRANGE(""https://docs.google.com/spreadsheets/d/1q9nWasZJ-K8bFGvbE9n0qSRuKGA4Toe3Y89cKCiVtCU/edit?usp=sharing"",""สตูล!I769"")"),0)</f>
        <v>0</v>
      </c>
      <c r="X87" s="177">
        <f ca="1">IFERROR(__xludf.DUMMYFUNCTION("IMPORTRANGE(""https://docs.google.com/spreadsheets/d/1q9nWasZJ-K8bFGvbE9n0qSRuKGA4Toe3Y89cKCiVtCU/edit?usp=sharing"",""สตูล!J769"")"),0)</f>
        <v>0</v>
      </c>
      <c r="Y87" s="354">
        <f t="shared" ca="1" si="39"/>
        <v>0</v>
      </c>
      <c r="Z87" s="177">
        <f ca="1">IFERROR(__xludf.DUMMYFUNCTION("IMPORTRANGE(""https://docs.google.com/spreadsheets/d/1q9nWasZJ-K8bFGvbE9n0qSRuKGA4Toe3Y89cKCiVtCU/edit?usp=sharing"",""สตูล!I771"")"),0)</f>
        <v>0</v>
      </c>
      <c r="AA87" s="177">
        <f ca="1">IFERROR(__xludf.DUMMYFUNCTION("IMPORTRANGE(""https://docs.google.com/spreadsheets/d/1q9nWasZJ-K8bFGvbE9n0qSRuKGA4Toe3Y89cKCiVtCU/edit?usp=sharing"",""สตูล!J771"")"),0)</f>
        <v>0</v>
      </c>
      <c r="AB87" s="354">
        <f t="shared" ca="1" si="41"/>
        <v>0</v>
      </c>
      <c r="AC87" s="177">
        <f ca="1">IFERROR(__xludf.DUMMYFUNCTION("IMPORTRANGE(""https://docs.google.com/spreadsheets/d/1q9nWasZJ-K8bFGvbE9n0qSRuKGA4Toe3Y89cKCiVtCU/edit?usp=sharing"",""สตูล!I773"")"),0)</f>
        <v>0</v>
      </c>
      <c r="AD87" s="177">
        <f ca="1">IFERROR(__xludf.DUMMYFUNCTION("IMPORTRANGE(""https://docs.google.com/spreadsheets/d/1q9nWasZJ-K8bFGvbE9n0qSRuKGA4Toe3Y89cKCiVtCU/edit?usp=sharing"",""สตูล!J773"")"),0)</f>
        <v>0</v>
      </c>
      <c r="AE87" s="354">
        <f t="shared" ca="1" si="43"/>
        <v>0</v>
      </c>
      <c r="AF87" s="177">
        <f ca="1">IFERROR(__xludf.DUMMYFUNCTION("IMPORTRANGE(""https://docs.google.com/spreadsheets/d/1q9nWasZJ-K8bFGvbE9n0qSRuKGA4Toe3Y89cKCiVtCU/edit?usp=sharing"",""สตูล!I774"")"),0)</f>
        <v>0</v>
      </c>
      <c r="AG87" s="177">
        <f ca="1">IFERROR(__xludf.DUMMYFUNCTION("IMPORTRANGE(""https://docs.google.com/spreadsheets/d/1q9nWasZJ-K8bFGvbE9n0qSRuKGA4Toe3Y89cKCiVtCU/edit?usp=sharing"",""สตูล!I775"")"),0)</f>
        <v>0</v>
      </c>
      <c r="AH87" s="177">
        <f ca="1">IFERROR(__xludf.DUMMYFUNCTION("IMPORTRANGE(""https://docs.google.com/spreadsheets/d/1q9nWasZJ-K8bFGvbE9n0qSRuKGA4Toe3Y89cKCiVtCU/edit?usp=sharing"",""สตูล!J774"")"),0)</f>
        <v>0</v>
      </c>
      <c r="AI87" s="354">
        <f t="shared" ca="1" si="45"/>
        <v>0</v>
      </c>
      <c r="AJ87" s="177">
        <f ca="1">IFERROR(__xludf.DUMMYFUNCTION("IMPORTRANGE(""https://docs.google.com/spreadsheets/d/1q9nWasZJ-K8bFGvbE9n0qSRuKGA4Toe3Y89cKCiVtCU/edit?usp=sharing"",""สตูล!J775"")"),0)</f>
        <v>0</v>
      </c>
      <c r="AK87" s="354">
        <f t="shared" ca="1" si="46"/>
        <v>0</v>
      </c>
    </row>
    <row r="88" spans="1:37" ht="19.5" x14ac:dyDescent="0.3">
      <c r="A88" s="548">
        <v>14</v>
      </c>
      <c r="B88" s="549" t="s">
        <v>114</v>
      </c>
      <c r="C88" s="550">
        <f t="shared" si="27"/>
        <v>0</v>
      </c>
      <c r="D88" s="551">
        <f t="shared" si="68"/>
        <v>0</v>
      </c>
      <c r="E88" s="552">
        <v>0</v>
      </c>
      <c r="F88" s="552">
        <v>0</v>
      </c>
      <c r="G88" s="552">
        <v>0</v>
      </c>
      <c r="H88" s="552">
        <v>0</v>
      </c>
      <c r="I88" s="552">
        <v>0</v>
      </c>
      <c r="J88" s="553">
        <f t="shared" si="29"/>
        <v>0</v>
      </c>
      <c r="K88" s="554">
        <f t="shared" si="30"/>
        <v>0</v>
      </c>
      <c r="L88" s="552">
        <v>0</v>
      </c>
      <c r="M88" s="555">
        <f t="shared" si="31"/>
        <v>0</v>
      </c>
      <c r="N88" s="555">
        <f t="shared" si="32"/>
        <v>0</v>
      </c>
      <c r="O88" s="552">
        <v>0</v>
      </c>
      <c r="P88" s="556">
        <f t="shared" si="33"/>
        <v>0</v>
      </c>
      <c r="Q88" s="555">
        <f t="shared" si="34"/>
        <v>0</v>
      </c>
      <c r="R88" s="556">
        <f ca="1">IFERROR(__xludf.DUMMYFUNCTION("IMPORTRANGE(""https://docs.google.com/spreadsheets/d/18T20gbkS_WBjdscyTOV05cvq_JqvqQ17C81mpxf7Ncs/edit?usp=sharing"",""สุราษฎร์ธานี!Q759"")"),338980)</f>
        <v>338980</v>
      </c>
      <c r="S88" s="555">
        <f ca="1">IFERROR(__xludf.DUMMYFUNCTION("IMPORTRANGE(""https://docs.google.com/spreadsheets/d/18T20gbkS_WBjdscyTOV05cvq_JqvqQ17C81mpxf7Ncs/edit?usp=sharing"",""สุราษฎร์ธานี!R759"")"),0)</f>
        <v>0</v>
      </c>
      <c r="T88" s="556">
        <f ca="1">IFERROR(__xludf.DUMMYFUNCTION("IMPORTRANGE(""https://docs.google.com/spreadsheets/d/18T20gbkS_WBjdscyTOV05cvq_JqvqQ17C81mpxf7Ncs/edit?usp=sharing"",""สุราษฎร์ธานี!S759"")"),0)</f>
        <v>0</v>
      </c>
      <c r="U88" s="555">
        <f t="shared" ca="1" si="36"/>
        <v>0</v>
      </c>
      <c r="V88" s="555">
        <f t="shared" ca="1" si="37"/>
        <v>0</v>
      </c>
      <c r="W88" s="356">
        <f ca="1">IFERROR(__xludf.DUMMYFUNCTION("IMPORTRANGE(""https://docs.google.com/spreadsheets/d/18T20gbkS_WBjdscyTOV05cvq_JqvqQ17C81mpxf7Ncs/edit?usp=sharing"",""สุราษฎร์ธานี!I769"")"),0)</f>
        <v>0</v>
      </c>
      <c r="X88" s="186">
        <f ca="1">IFERROR(__xludf.DUMMYFUNCTION("IMPORTRANGE(""https://docs.google.com/spreadsheets/d/18T20gbkS_WBjdscyTOV05cvq_JqvqQ17C81mpxf7Ncs/edit?usp=sharing"",""สุราษฎร์ธานี!J769"")"),0)</f>
        <v>0</v>
      </c>
      <c r="Y88" s="357">
        <f t="shared" ca="1" si="39"/>
        <v>0</v>
      </c>
      <c r="Z88" s="186">
        <f ca="1">IFERROR(__xludf.DUMMYFUNCTION("IMPORTRANGE(""https://docs.google.com/spreadsheets/d/18T20gbkS_WBjdscyTOV05cvq_JqvqQ17C81mpxf7Ncs/edit?usp=sharing"",""สุราษฎร์ธานี!I771"")"),40)</f>
        <v>40</v>
      </c>
      <c r="AA88" s="186">
        <f ca="1">IFERROR(__xludf.DUMMYFUNCTION("IMPORTRANGE(""https://docs.google.com/spreadsheets/d/18T20gbkS_WBjdscyTOV05cvq_JqvqQ17C81mpxf7Ncs/edit?usp=sharing"",""สุราษฎร์ธานี!J771"")"),0)</f>
        <v>0</v>
      </c>
      <c r="AB88" s="357">
        <f t="shared" ca="1" si="41"/>
        <v>0</v>
      </c>
      <c r="AC88" s="186">
        <f ca="1">IFERROR(__xludf.DUMMYFUNCTION("IMPORTRANGE(""https://docs.google.com/spreadsheets/d/18T20gbkS_WBjdscyTOV05cvq_JqvqQ17C81mpxf7Ncs/edit?usp=sharing"",""สุราษฎร์ธานี!I773"")"),80)</f>
        <v>80</v>
      </c>
      <c r="AD88" s="186">
        <f ca="1">IFERROR(__xludf.DUMMYFUNCTION("IMPORTRANGE(""https://docs.google.com/spreadsheets/d/18T20gbkS_WBjdscyTOV05cvq_JqvqQ17C81mpxf7Ncs/edit?usp=sharing"",""สุราษฎร์ธานี!J773"")"),0)</f>
        <v>0</v>
      </c>
      <c r="AE88" s="357">
        <f t="shared" ca="1" si="43"/>
        <v>0</v>
      </c>
      <c r="AF88" s="186">
        <f ca="1">IFERROR(__xludf.DUMMYFUNCTION("IMPORTRANGE(""https://docs.google.com/spreadsheets/d/18T20gbkS_WBjdscyTOV05cvq_JqvqQ17C81mpxf7Ncs/edit?usp=sharing"",""สุราษฎร์ธานี!I774"")"),80)</f>
        <v>80</v>
      </c>
      <c r="AG88" s="186">
        <f ca="1">IFERROR(__xludf.DUMMYFUNCTION("IMPORTRANGE(""https://docs.google.com/spreadsheets/d/18T20gbkS_WBjdscyTOV05cvq_JqvqQ17C81mpxf7Ncs/edit?usp=sharing"",""สุราษฎร์ธานี!I775"")"),40)</f>
        <v>40</v>
      </c>
      <c r="AH88" s="186">
        <f ca="1">IFERROR(__xludf.DUMMYFUNCTION("IMPORTRANGE(""https://docs.google.com/spreadsheets/d/18T20gbkS_WBjdscyTOV05cvq_JqvqQ17C81mpxf7Ncs/edit?usp=sharing"",""สุราษฎร์ธานี!J774"")"),0)</f>
        <v>0</v>
      </c>
      <c r="AI88" s="357">
        <f t="shared" ca="1" si="45"/>
        <v>0</v>
      </c>
      <c r="AJ88" s="186">
        <f ca="1">IFERROR(__xludf.DUMMYFUNCTION("IMPORTRANGE(""https://docs.google.com/spreadsheets/d/18T20gbkS_WBjdscyTOV05cvq_JqvqQ17C81mpxf7Ncs/edit?usp=sharing"",""สุราษฎร์ธานี!J775"")"),0)</f>
        <v>0</v>
      </c>
      <c r="AK88" s="357">
        <f t="shared" ca="1" si="46"/>
        <v>0</v>
      </c>
    </row>
    <row r="89" spans="1:37" ht="19.5" hidden="1" x14ac:dyDescent="0.3">
      <c r="A89" s="722" t="s">
        <v>115</v>
      </c>
      <c r="B89" s="633"/>
      <c r="C89" s="560">
        <f t="shared" ref="C89:T89" si="69">SUM(C90:C106)</f>
        <v>0</v>
      </c>
      <c r="D89" s="560">
        <f t="shared" si="69"/>
        <v>0</v>
      </c>
      <c r="E89" s="560">
        <f t="shared" si="69"/>
        <v>0</v>
      </c>
      <c r="F89" s="560">
        <f t="shared" si="69"/>
        <v>0</v>
      </c>
      <c r="G89" s="560">
        <f t="shared" si="69"/>
        <v>0</v>
      </c>
      <c r="H89" s="560">
        <f t="shared" si="69"/>
        <v>0</v>
      </c>
      <c r="I89" s="560">
        <f t="shared" si="69"/>
        <v>0</v>
      </c>
      <c r="J89" s="560">
        <f t="shared" si="69"/>
        <v>0</v>
      </c>
      <c r="K89" s="561">
        <f t="shared" si="69"/>
        <v>0</v>
      </c>
      <c r="L89" s="560">
        <f t="shared" si="69"/>
        <v>0</v>
      </c>
      <c r="M89" s="561">
        <f t="shared" si="69"/>
        <v>0</v>
      </c>
      <c r="N89" s="561">
        <f t="shared" si="69"/>
        <v>0</v>
      </c>
      <c r="O89" s="560">
        <f t="shared" si="69"/>
        <v>0</v>
      </c>
      <c r="P89" s="560">
        <f t="shared" si="69"/>
        <v>0</v>
      </c>
      <c r="Q89" s="560">
        <f t="shared" si="69"/>
        <v>0</v>
      </c>
      <c r="R89" s="580">
        <f t="shared" si="69"/>
        <v>0</v>
      </c>
      <c r="S89" s="560">
        <f t="shared" si="69"/>
        <v>0</v>
      </c>
      <c r="T89" s="580">
        <f t="shared" si="69"/>
        <v>0</v>
      </c>
      <c r="U89" s="560">
        <f t="shared" si="36"/>
        <v>0</v>
      </c>
      <c r="V89" s="560">
        <f t="shared" si="37"/>
        <v>0</v>
      </c>
      <c r="W89" s="196"/>
      <c r="X89" s="196"/>
      <c r="Y89" s="349"/>
      <c r="Z89" s="196"/>
      <c r="AA89" s="196"/>
      <c r="AB89" s="196"/>
      <c r="AC89" s="349"/>
      <c r="AD89" s="196"/>
      <c r="AE89" s="196"/>
      <c r="AF89" s="196"/>
      <c r="AG89" s="349"/>
      <c r="AH89" s="273"/>
      <c r="AI89" s="273"/>
      <c r="AJ89" s="273"/>
      <c r="AK89" s="493"/>
    </row>
    <row r="90" spans="1:37" ht="19.5" hidden="1" x14ac:dyDescent="0.3">
      <c r="A90" s="562"/>
      <c r="B90" s="563" t="s">
        <v>116</v>
      </c>
      <c r="C90" s="537">
        <f t="shared" ref="C90:C106" si="70">D90+G90</f>
        <v>0</v>
      </c>
      <c r="D90" s="538">
        <f t="shared" ref="D90:D106" si="71">+E90+F90</f>
        <v>0</v>
      </c>
      <c r="E90" s="176">
        <v>0</v>
      </c>
      <c r="F90" s="176">
        <v>0</v>
      </c>
      <c r="G90" s="176">
        <v>0</v>
      </c>
      <c r="H90" s="176">
        <v>0</v>
      </c>
      <c r="I90" s="176">
        <v>0</v>
      </c>
      <c r="J90" s="564">
        <f t="shared" ref="J90:J106" si="72">L90+O90</f>
        <v>0</v>
      </c>
      <c r="K90" s="565">
        <f t="shared" ref="K90:K106" si="73">IF(C90&gt;0,J90*100/C90,0)</f>
        <v>0</v>
      </c>
      <c r="L90" s="176">
        <v>0</v>
      </c>
      <c r="M90" s="566">
        <f t="shared" ref="M90:M106" si="74">IF(D90&gt;0,L90*100/D90,0)</f>
        <v>0</v>
      </c>
      <c r="N90" s="566">
        <f t="shared" ref="N90:N106" si="75">IF(H90&gt;0,L90*100/H90,0)</f>
        <v>0</v>
      </c>
      <c r="O90" s="176">
        <v>0</v>
      </c>
      <c r="P90" s="567">
        <f t="shared" ref="P90:P106" si="76">IF(G90&gt;0,O90*100/G90,0)</f>
        <v>0</v>
      </c>
      <c r="Q90" s="566">
        <f t="shared" ref="Q90:Q106" si="77">IF(I90&gt;0,O90*100/I90,0)</f>
        <v>0</v>
      </c>
      <c r="R90" s="86">
        <v>0</v>
      </c>
      <c r="S90" s="86">
        <v>0</v>
      </c>
      <c r="T90" s="86">
        <v>0</v>
      </c>
      <c r="U90" s="566">
        <f t="shared" si="36"/>
        <v>0</v>
      </c>
      <c r="V90" s="566">
        <f t="shared" si="37"/>
        <v>0</v>
      </c>
      <c r="W90" s="360"/>
      <c r="X90" s="360"/>
      <c r="Y90" s="361"/>
      <c r="Z90" s="360"/>
      <c r="AA90" s="360"/>
      <c r="AB90" s="360"/>
      <c r="AC90" s="361"/>
      <c r="AD90" s="360"/>
      <c r="AE90" s="360"/>
      <c r="AF90" s="360"/>
      <c r="AG90" s="361"/>
      <c r="AH90" s="274"/>
      <c r="AI90" s="274"/>
      <c r="AJ90" s="274"/>
      <c r="AK90" s="568"/>
    </row>
    <row r="91" spans="1:37" ht="19.5" hidden="1" x14ac:dyDescent="0.3">
      <c r="A91" s="562"/>
      <c r="B91" s="563" t="s">
        <v>117</v>
      </c>
      <c r="C91" s="537">
        <f t="shared" si="70"/>
        <v>0</v>
      </c>
      <c r="D91" s="538">
        <f t="shared" si="71"/>
        <v>0</v>
      </c>
      <c r="E91" s="176">
        <v>0</v>
      </c>
      <c r="F91" s="176">
        <v>0</v>
      </c>
      <c r="G91" s="176">
        <v>0</v>
      </c>
      <c r="H91" s="176">
        <v>0</v>
      </c>
      <c r="I91" s="176">
        <v>0</v>
      </c>
      <c r="J91" s="564">
        <f t="shared" si="72"/>
        <v>0</v>
      </c>
      <c r="K91" s="565">
        <f t="shared" si="73"/>
        <v>0</v>
      </c>
      <c r="L91" s="176">
        <v>0</v>
      </c>
      <c r="M91" s="566">
        <f t="shared" si="74"/>
        <v>0</v>
      </c>
      <c r="N91" s="566">
        <f t="shared" si="75"/>
        <v>0</v>
      </c>
      <c r="O91" s="176">
        <v>0</v>
      </c>
      <c r="P91" s="567">
        <f t="shared" si="76"/>
        <v>0</v>
      </c>
      <c r="Q91" s="566">
        <f t="shared" si="77"/>
        <v>0</v>
      </c>
      <c r="R91" s="86">
        <v>0</v>
      </c>
      <c r="S91" s="86">
        <v>0</v>
      </c>
      <c r="T91" s="86">
        <v>0</v>
      </c>
      <c r="U91" s="566">
        <f t="shared" si="36"/>
        <v>0</v>
      </c>
      <c r="V91" s="566">
        <f t="shared" si="37"/>
        <v>0</v>
      </c>
      <c r="W91" s="360"/>
      <c r="X91" s="360"/>
      <c r="Y91" s="361"/>
      <c r="Z91" s="360"/>
      <c r="AA91" s="360"/>
      <c r="AB91" s="360"/>
      <c r="AC91" s="361"/>
      <c r="AD91" s="360"/>
      <c r="AE91" s="360"/>
      <c r="AF91" s="360"/>
      <c r="AG91" s="361"/>
      <c r="AH91" s="274"/>
      <c r="AI91" s="274"/>
      <c r="AJ91" s="274"/>
      <c r="AK91" s="568"/>
    </row>
    <row r="92" spans="1:37" ht="19.5" hidden="1" x14ac:dyDescent="0.3">
      <c r="A92" s="562"/>
      <c r="B92" s="563" t="s">
        <v>118</v>
      </c>
      <c r="C92" s="537">
        <f t="shared" si="70"/>
        <v>0</v>
      </c>
      <c r="D92" s="538">
        <f t="shared" si="71"/>
        <v>0</v>
      </c>
      <c r="E92" s="176">
        <v>0</v>
      </c>
      <c r="F92" s="176">
        <v>0</v>
      </c>
      <c r="G92" s="176">
        <v>0</v>
      </c>
      <c r="H92" s="176">
        <v>0</v>
      </c>
      <c r="I92" s="176">
        <v>0</v>
      </c>
      <c r="J92" s="564">
        <f t="shared" si="72"/>
        <v>0</v>
      </c>
      <c r="K92" s="565">
        <f t="shared" si="73"/>
        <v>0</v>
      </c>
      <c r="L92" s="176">
        <v>0</v>
      </c>
      <c r="M92" s="566">
        <f t="shared" si="74"/>
        <v>0</v>
      </c>
      <c r="N92" s="566">
        <f t="shared" si="75"/>
        <v>0</v>
      </c>
      <c r="O92" s="176">
        <v>0</v>
      </c>
      <c r="P92" s="567">
        <f t="shared" si="76"/>
        <v>0</v>
      </c>
      <c r="Q92" s="566">
        <f t="shared" si="77"/>
        <v>0</v>
      </c>
      <c r="R92" s="86">
        <v>0</v>
      </c>
      <c r="S92" s="86">
        <v>0</v>
      </c>
      <c r="T92" s="86">
        <v>0</v>
      </c>
      <c r="U92" s="566">
        <f t="shared" si="36"/>
        <v>0</v>
      </c>
      <c r="V92" s="566">
        <f t="shared" si="37"/>
        <v>0</v>
      </c>
      <c r="W92" s="360"/>
      <c r="X92" s="360"/>
      <c r="Y92" s="361"/>
      <c r="Z92" s="360"/>
      <c r="AA92" s="360"/>
      <c r="AB92" s="360"/>
      <c r="AC92" s="361"/>
      <c r="AD92" s="360"/>
      <c r="AE92" s="360"/>
      <c r="AF92" s="360"/>
      <c r="AG92" s="361"/>
      <c r="AH92" s="274"/>
      <c r="AI92" s="274"/>
      <c r="AJ92" s="274"/>
      <c r="AK92" s="568"/>
    </row>
    <row r="93" spans="1:37" ht="19.5" hidden="1" x14ac:dyDescent="0.3">
      <c r="A93" s="562"/>
      <c r="B93" s="563" t="s">
        <v>119</v>
      </c>
      <c r="C93" s="537">
        <f t="shared" si="70"/>
        <v>0</v>
      </c>
      <c r="D93" s="538">
        <f t="shared" si="71"/>
        <v>0</v>
      </c>
      <c r="E93" s="176">
        <v>0</v>
      </c>
      <c r="F93" s="176">
        <v>0</v>
      </c>
      <c r="G93" s="176">
        <v>0</v>
      </c>
      <c r="H93" s="176">
        <v>0</v>
      </c>
      <c r="I93" s="176">
        <v>0</v>
      </c>
      <c r="J93" s="564">
        <f t="shared" si="72"/>
        <v>0</v>
      </c>
      <c r="K93" s="565">
        <f t="shared" si="73"/>
        <v>0</v>
      </c>
      <c r="L93" s="176">
        <v>0</v>
      </c>
      <c r="M93" s="566">
        <f t="shared" si="74"/>
        <v>0</v>
      </c>
      <c r="N93" s="566">
        <f t="shared" si="75"/>
        <v>0</v>
      </c>
      <c r="O93" s="176">
        <v>0</v>
      </c>
      <c r="P93" s="567">
        <f t="shared" si="76"/>
        <v>0</v>
      </c>
      <c r="Q93" s="566">
        <f t="shared" si="77"/>
        <v>0</v>
      </c>
      <c r="R93" s="86">
        <v>0</v>
      </c>
      <c r="S93" s="86">
        <v>0</v>
      </c>
      <c r="T93" s="86">
        <v>0</v>
      </c>
      <c r="U93" s="566">
        <f t="shared" si="36"/>
        <v>0</v>
      </c>
      <c r="V93" s="566">
        <f t="shared" si="37"/>
        <v>0</v>
      </c>
      <c r="W93" s="360"/>
      <c r="X93" s="360"/>
      <c r="Y93" s="361"/>
      <c r="Z93" s="360"/>
      <c r="AA93" s="360"/>
      <c r="AB93" s="360"/>
      <c r="AC93" s="361"/>
      <c r="AD93" s="360"/>
      <c r="AE93" s="360"/>
      <c r="AF93" s="360"/>
      <c r="AG93" s="361"/>
      <c r="AH93" s="274"/>
      <c r="AI93" s="274"/>
      <c r="AJ93" s="274"/>
      <c r="AK93" s="568"/>
    </row>
    <row r="94" spans="1:37" ht="19.5" hidden="1" x14ac:dyDescent="0.3">
      <c r="A94" s="562"/>
      <c r="B94" s="563" t="s">
        <v>120</v>
      </c>
      <c r="C94" s="537">
        <f t="shared" si="70"/>
        <v>0</v>
      </c>
      <c r="D94" s="538">
        <f t="shared" si="71"/>
        <v>0</v>
      </c>
      <c r="E94" s="176">
        <v>0</v>
      </c>
      <c r="F94" s="176">
        <v>0</v>
      </c>
      <c r="G94" s="176">
        <v>0</v>
      </c>
      <c r="H94" s="176">
        <v>0</v>
      </c>
      <c r="I94" s="176">
        <v>0</v>
      </c>
      <c r="J94" s="564">
        <f t="shared" si="72"/>
        <v>0</v>
      </c>
      <c r="K94" s="565">
        <f t="shared" si="73"/>
        <v>0</v>
      </c>
      <c r="L94" s="176">
        <v>0</v>
      </c>
      <c r="M94" s="566">
        <f t="shared" si="74"/>
        <v>0</v>
      </c>
      <c r="N94" s="566">
        <f t="shared" si="75"/>
        <v>0</v>
      </c>
      <c r="O94" s="176">
        <v>0</v>
      </c>
      <c r="P94" s="567">
        <f t="shared" si="76"/>
        <v>0</v>
      </c>
      <c r="Q94" s="566">
        <f t="shared" si="77"/>
        <v>0</v>
      </c>
      <c r="R94" s="86">
        <v>0</v>
      </c>
      <c r="S94" s="86">
        <v>0</v>
      </c>
      <c r="T94" s="86">
        <v>0</v>
      </c>
      <c r="U94" s="566">
        <f t="shared" si="36"/>
        <v>0</v>
      </c>
      <c r="V94" s="566">
        <f t="shared" si="37"/>
        <v>0</v>
      </c>
      <c r="W94" s="360"/>
      <c r="X94" s="360"/>
      <c r="Y94" s="361"/>
      <c r="Z94" s="360"/>
      <c r="AA94" s="360"/>
      <c r="AB94" s="360"/>
      <c r="AC94" s="361"/>
      <c r="AD94" s="360"/>
      <c r="AE94" s="360"/>
      <c r="AF94" s="360"/>
      <c r="AG94" s="361"/>
      <c r="AH94" s="274"/>
      <c r="AI94" s="274"/>
      <c r="AJ94" s="274"/>
      <c r="AK94" s="568"/>
    </row>
    <row r="95" spans="1:37" ht="19.5" hidden="1" x14ac:dyDescent="0.3">
      <c r="A95" s="562"/>
      <c r="B95" s="563" t="s">
        <v>121</v>
      </c>
      <c r="C95" s="537">
        <f t="shared" si="70"/>
        <v>0</v>
      </c>
      <c r="D95" s="538">
        <f t="shared" si="71"/>
        <v>0</v>
      </c>
      <c r="E95" s="176">
        <v>0</v>
      </c>
      <c r="F95" s="176">
        <v>0</v>
      </c>
      <c r="G95" s="176">
        <v>0</v>
      </c>
      <c r="H95" s="176">
        <v>0</v>
      </c>
      <c r="I95" s="176">
        <v>0</v>
      </c>
      <c r="J95" s="564">
        <f t="shared" si="72"/>
        <v>0</v>
      </c>
      <c r="K95" s="565">
        <f t="shared" si="73"/>
        <v>0</v>
      </c>
      <c r="L95" s="176">
        <v>0</v>
      </c>
      <c r="M95" s="566">
        <f t="shared" si="74"/>
        <v>0</v>
      </c>
      <c r="N95" s="566">
        <f t="shared" si="75"/>
        <v>0</v>
      </c>
      <c r="O95" s="176">
        <v>0</v>
      </c>
      <c r="P95" s="567">
        <f t="shared" si="76"/>
        <v>0</v>
      </c>
      <c r="Q95" s="566">
        <f t="shared" si="77"/>
        <v>0</v>
      </c>
      <c r="R95" s="86">
        <v>0</v>
      </c>
      <c r="S95" s="86">
        <v>0</v>
      </c>
      <c r="T95" s="86">
        <v>0</v>
      </c>
      <c r="U95" s="566">
        <f t="shared" si="36"/>
        <v>0</v>
      </c>
      <c r="V95" s="566">
        <f t="shared" si="37"/>
        <v>0</v>
      </c>
      <c r="W95" s="360"/>
      <c r="X95" s="360"/>
      <c r="Y95" s="361"/>
      <c r="Z95" s="360"/>
      <c r="AA95" s="360"/>
      <c r="AB95" s="360"/>
      <c r="AC95" s="361"/>
      <c r="AD95" s="360"/>
      <c r="AE95" s="360"/>
      <c r="AF95" s="360"/>
      <c r="AG95" s="361"/>
      <c r="AH95" s="274"/>
      <c r="AI95" s="274"/>
      <c r="AJ95" s="274"/>
      <c r="AK95" s="568"/>
    </row>
    <row r="96" spans="1:37" ht="19.5" hidden="1" x14ac:dyDescent="0.3">
      <c r="A96" s="562"/>
      <c r="B96" s="563" t="s">
        <v>122</v>
      </c>
      <c r="C96" s="537">
        <f t="shared" si="70"/>
        <v>0</v>
      </c>
      <c r="D96" s="538">
        <f t="shared" si="71"/>
        <v>0</v>
      </c>
      <c r="E96" s="176">
        <v>0</v>
      </c>
      <c r="F96" s="176">
        <v>0</v>
      </c>
      <c r="G96" s="176">
        <v>0</v>
      </c>
      <c r="H96" s="176">
        <v>0</v>
      </c>
      <c r="I96" s="176">
        <v>0</v>
      </c>
      <c r="J96" s="564">
        <f t="shared" si="72"/>
        <v>0</v>
      </c>
      <c r="K96" s="565">
        <f t="shared" si="73"/>
        <v>0</v>
      </c>
      <c r="L96" s="176">
        <v>0</v>
      </c>
      <c r="M96" s="566">
        <f t="shared" si="74"/>
        <v>0</v>
      </c>
      <c r="N96" s="566">
        <f t="shared" si="75"/>
        <v>0</v>
      </c>
      <c r="O96" s="176">
        <v>0</v>
      </c>
      <c r="P96" s="567">
        <f t="shared" si="76"/>
        <v>0</v>
      </c>
      <c r="Q96" s="566">
        <f t="shared" si="77"/>
        <v>0</v>
      </c>
      <c r="R96" s="86">
        <v>0</v>
      </c>
      <c r="S96" s="86">
        <v>0</v>
      </c>
      <c r="T96" s="86">
        <v>0</v>
      </c>
      <c r="U96" s="566">
        <f t="shared" si="36"/>
        <v>0</v>
      </c>
      <c r="V96" s="566">
        <f t="shared" si="37"/>
        <v>0</v>
      </c>
      <c r="W96" s="360"/>
      <c r="X96" s="360"/>
      <c r="Y96" s="361"/>
      <c r="Z96" s="360"/>
      <c r="AA96" s="360"/>
      <c r="AB96" s="360"/>
      <c r="AC96" s="361"/>
      <c r="AD96" s="360"/>
      <c r="AE96" s="360"/>
      <c r="AF96" s="360"/>
      <c r="AG96" s="361"/>
      <c r="AH96" s="274"/>
      <c r="AI96" s="274"/>
      <c r="AJ96" s="274"/>
      <c r="AK96" s="568"/>
    </row>
    <row r="97" spans="1:37" ht="19.5" hidden="1" x14ac:dyDescent="0.3">
      <c r="A97" s="562"/>
      <c r="B97" s="563" t="s">
        <v>123</v>
      </c>
      <c r="C97" s="537">
        <f t="shared" si="70"/>
        <v>0</v>
      </c>
      <c r="D97" s="538">
        <f t="shared" si="71"/>
        <v>0</v>
      </c>
      <c r="E97" s="176">
        <v>0</v>
      </c>
      <c r="F97" s="176">
        <v>0</v>
      </c>
      <c r="G97" s="176">
        <v>0</v>
      </c>
      <c r="H97" s="176">
        <v>0</v>
      </c>
      <c r="I97" s="176">
        <v>0</v>
      </c>
      <c r="J97" s="564">
        <f t="shared" si="72"/>
        <v>0</v>
      </c>
      <c r="K97" s="565">
        <f t="shared" si="73"/>
        <v>0</v>
      </c>
      <c r="L97" s="176">
        <v>0</v>
      </c>
      <c r="M97" s="566">
        <f t="shared" si="74"/>
        <v>0</v>
      </c>
      <c r="N97" s="566">
        <f t="shared" si="75"/>
        <v>0</v>
      </c>
      <c r="O97" s="176">
        <v>0</v>
      </c>
      <c r="P97" s="567">
        <f t="shared" si="76"/>
        <v>0</v>
      </c>
      <c r="Q97" s="566">
        <f t="shared" si="77"/>
        <v>0</v>
      </c>
      <c r="R97" s="86">
        <v>0</v>
      </c>
      <c r="S97" s="86">
        <v>0</v>
      </c>
      <c r="T97" s="86">
        <v>0</v>
      </c>
      <c r="U97" s="566">
        <f t="shared" si="36"/>
        <v>0</v>
      </c>
      <c r="V97" s="566">
        <f t="shared" si="37"/>
        <v>0</v>
      </c>
      <c r="W97" s="360"/>
      <c r="X97" s="360"/>
      <c r="Y97" s="361"/>
      <c r="Z97" s="360"/>
      <c r="AA97" s="360"/>
      <c r="AB97" s="360"/>
      <c r="AC97" s="361"/>
      <c r="AD97" s="360"/>
      <c r="AE97" s="360"/>
      <c r="AF97" s="360"/>
      <c r="AG97" s="361"/>
      <c r="AH97" s="274"/>
      <c r="AI97" s="274"/>
      <c r="AJ97" s="274"/>
      <c r="AK97" s="568"/>
    </row>
    <row r="98" spans="1:37" ht="19.5" hidden="1" x14ac:dyDescent="0.3">
      <c r="A98" s="562"/>
      <c r="B98" s="563" t="s">
        <v>124</v>
      </c>
      <c r="C98" s="537">
        <f t="shared" si="70"/>
        <v>0</v>
      </c>
      <c r="D98" s="538">
        <f t="shared" si="71"/>
        <v>0</v>
      </c>
      <c r="E98" s="176">
        <v>0</v>
      </c>
      <c r="F98" s="176">
        <v>0</v>
      </c>
      <c r="G98" s="176">
        <v>0</v>
      </c>
      <c r="H98" s="176">
        <v>0</v>
      </c>
      <c r="I98" s="176">
        <v>0</v>
      </c>
      <c r="J98" s="564">
        <f t="shared" si="72"/>
        <v>0</v>
      </c>
      <c r="K98" s="565">
        <f t="shared" si="73"/>
        <v>0</v>
      </c>
      <c r="L98" s="176">
        <v>0</v>
      </c>
      <c r="M98" s="566">
        <f t="shared" si="74"/>
        <v>0</v>
      </c>
      <c r="N98" s="566">
        <f t="shared" si="75"/>
        <v>0</v>
      </c>
      <c r="O98" s="176">
        <v>0</v>
      </c>
      <c r="P98" s="567">
        <f t="shared" si="76"/>
        <v>0</v>
      </c>
      <c r="Q98" s="566">
        <f t="shared" si="77"/>
        <v>0</v>
      </c>
      <c r="R98" s="86">
        <v>0</v>
      </c>
      <c r="S98" s="86">
        <v>0</v>
      </c>
      <c r="T98" s="86">
        <v>0</v>
      </c>
      <c r="U98" s="566">
        <f t="shared" si="36"/>
        <v>0</v>
      </c>
      <c r="V98" s="566">
        <f t="shared" si="37"/>
        <v>0</v>
      </c>
      <c r="W98" s="360"/>
      <c r="X98" s="360"/>
      <c r="Y98" s="361"/>
      <c r="Z98" s="360"/>
      <c r="AA98" s="360"/>
      <c r="AB98" s="360"/>
      <c r="AC98" s="361"/>
      <c r="AD98" s="360"/>
      <c r="AE98" s="360"/>
      <c r="AF98" s="360"/>
      <c r="AG98" s="361"/>
      <c r="AH98" s="274"/>
      <c r="AI98" s="274"/>
      <c r="AJ98" s="274"/>
      <c r="AK98" s="568"/>
    </row>
    <row r="99" spans="1:37" ht="19.5" hidden="1" x14ac:dyDescent="0.3">
      <c r="A99" s="562"/>
      <c r="B99" s="563" t="s">
        <v>125</v>
      </c>
      <c r="C99" s="537">
        <f t="shared" si="70"/>
        <v>0</v>
      </c>
      <c r="D99" s="538">
        <f t="shared" si="71"/>
        <v>0</v>
      </c>
      <c r="E99" s="176">
        <v>0</v>
      </c>
      <c r="F99" s="176">
        <v>0</v>
      </c>
      <c r="G99" s="176">
        <v>0</v>
      </c>
      <c r="H99" s="176">
        <v>0</v>
      </c>
      <c r="I99" s="176">
        <v>0</v>
      </c>
      <c r="J99" s="564">
        <f t="shared" si="72"/>
        <v>0</v>
      </c>
      <c r="K99" s="565">
        <f t="shared" si="73"/>
        <v>0</v>
      </c>
      <c r="L99" s="176">
        <v>0</v>
      </c>
      <c r="M99" s="566">
        <f t="shared" si="74"/>
        <v>0</v>
      </c>
      <c r="N99" s="566">
        <f t="shared" si="75"/>
        <v>0</v>
      </c>
      <c r="O99" s="176">
        <v>0</v>
      </c>
      <c r="P99" s="567">
        <f t="shared" si="76"/>
        <v>0</v>
      </c>
      <c r="Q99" s="566">
        <f t="shared" si="77"/>
        <v>0</v>
      </c>
      <c r="R99" s="86">
        <v>0</v>
      </c>
      <c r="S99" s="86">
        <v>0</v>
      </c>
      <c r="T99" s="86">
        <v>0</v>
      </c>
      <c r="U99" s="566">
        <f t="shared" si="36"/>
        <v>0</v>
      </c>
      <c r="V99" s="566">
        <f t="shared" si="37"/>
        <v>0</v>
      </c>
      <c r="W99" s="360"/>
      <c r="X99" s="360"/>
      <c r="Y99" s="361"/>
      <c r="Z99" s="360"/>
      <c r="AA99" s="360"/>
      <c r="AB99" s="360"/>
      <c r="AC99" s="361"/>
      <c r="AD99" s="360"/>
      <c r="AE99" s="360"/>
      <c r="AF99" s="360"/>
      <c r="AG99" s="361"/>
      <c r="AH99" s="274"/>
      <c r="AI99" s="274"/>
      <c r="AJ99" s="274"/>
      <c r="AK99" s="568"/>
    </row>
    <row r="100" spans="1:37" ht="19.5" hidden="1" x14ac:dyDescent="0.3">
      <c r="A100" s="562"/>
      <c r="B100" s="563" t="s">
        <v>126</v>
      </c>
      <c r="C100" s="537">
        <f t="shared" si="70"/>
        <v>0</v>
      </c>
      <c r="D100" s="538">
        <f t="shared" si="71"/>
        <v>0</v>
      </c>
      <c r="E100" s="176">
        <v>0</v>
      </c>
      <c r="F100" s="176">
        <v>0</v>
      </c>
      <c r="G100" s="176">
        <v>0</v>
      </c>
      <c r="H100" s="176">
        <v>0</v>
      </c>
      <c r="I100" s="176">
        <v>0</v>
      </c>
      <c r="J100" s="564">
        <f t="shared" si="72"/>
        <v>0</v>
      </c>
      <c r="K100" s="565">
        <f t="shared" si="73"/>
        <v>0</v>
      </c>
      <c r="L100" s="176">
        <v>0</v>
      </c>
      <c r="M100" s="566">
        <f t="shared" si="74"/>
        <v>0</v>
      </c>
      <c r="N100" s="566">
        <f t="shared" si="75"/>
        <v>0</v>
      </c>
      <c r="O100" s="176">
        <v>0</v>
      </c>
      <c r="P100" s="567">
        <f t="shared" si="76"/>
        <v>0</v>
      </c>
      <c r="Q100" s="566">
        <f t="shared" si="77"/>
        <v>0</v>
      </c>
      <c r="R100" s="86">
        <v>0</v>
      </c>
      <c r="S100" s="86">
        <v>0</v>
      </c>
      <c r="T100" s="86">
        <v>0</v>
      </c>
      <c r="U100" s="566">
        <f t="shared" si="36"/>
        <v>0</v>
      </c>
      <c r="V100" s="566">
        <f t="shared" si="37"/>
        <v>0</v>
      </c>
      <c r="W100" s="360"/>
      <c r="X100" s="360"/>
      <c r="Y100" s="361"/>
      <c r="Z100" s="360"/>
      <c r="AA100" s="360"/>
      <c r="AB100" s="360"/>
      <c r="AC100" s="361"/>
      <c r="AD100" s="360"/>
      <c r="AE100" s="360"/>
      <c r="AF100" s="360"/>
      <c r="AG100" s="361"/>
      <c r="AH100" s="274"/>
      <c r="AI100" s="274"/>
      <c r="AJ100" s="274"/>
      <c r="AK100" s="568"/>
    </row>
    <row r="101" spans="1:37" ht="19.5" hidden="1" x14ac:dyDescent="0.3">
      <c r="A101" s="562"/>
      <c r="B101" s="563" t="s">
        <v>127</v>
      </c>
      <c r="C101" s="537">
        <f t="shared" si="70"/>
        <v>0</v>
      </c>
      <c r="D101" s="538">
        <f t="shared" si="71"/>
        <v>0</v>
      </c>
      <c r="E101" s="176">
        <v>0</v>
      </c>
      <c r="F101" s="176">
        <v>0</v>
      </c>
      <c r="G101" s="176">
        <v>0</v>
      </c>
      <c r="H101" s="176">
        <v>0</v>
      </c>
      <c r="I101" s="176">
        <v>0</v>
      </c>
      <c r="J101" s="564">
        <f t="shared" si="72"/>
        <v>0</v>
      </c>
      <c r="K101" s="565">
        <f t="shared" si="73"/>
        <v>0</v>
      </c>
      <c r="L101" s="176">
        <v>0</v>
      </c>
      <c r="M101" s="566">
        <f t="shared" si="74"/>
        <v>0</v>
      </c>
      <c r="N101" s="566">
        <f t="shared" si="75"/>
        <v>0</v>
      </c>
      <c r="O101" s="176">
        <v>0</v>
      </c>
      <c r="P101" s="567">
        <f t="shared" si="76"/>
        <v>0</v>
      </c>
      <c r="Q101" s="566">
        <f t="shared" si="77"/>
        <v>0</v>
      </c>
      <c r="R101" s="86">
        <v>0</v>
      </c>
      <c r="S101" s="86">
        <v>0</v>
      </c>
      <c r="T101" s="86">
        <v>0</v>
      </c>
      <c r="U101" s="566">
        <f t="shared" si="36"/>
        <v>0</v>
      </c>
      <c r="V101" s="566">
        <f t="shared" si="37"/>
        <v>0</v>
      </c>
      <c r="W101" s="360"/>
      <c r="X101" s="360"/>
      <c r="Y101" s="361"/>
      <c r="Z101" s="360"/>
      <c r="AA101" s="360"/>
      <c r="AB101" s="360"/>
      <c r="AC101" s="361"/>
      <c r="AD101" s="360"/>
      <c r="AE101" s="360"/>
      <c r="AF101" s="360"/>
      <c r="AG101" s="361"/>
      <c r="AH101" s="274"/>
      <c r="AI101" s="274"/>
      <c r="AJ101" s="274"/>
      <c r="AK101" s="568"/>
    </row>
    <row r="102" spans="1:37" ht="19.5" hidden="1" x14ac:dyDescent="0.3">
      <c r="A102" s="562"/>
      <c r="B102" s="563" t="s">
        <v>128</v>
      </c>
      <c r="C102" s="537">
        <f t="shared" si="70"/>
        <v>0</v>
      </c>
      <c r="D102" s="538">
        <f t="shared" si="71"/>
        <v>0</v>
      </c>
      <c r="E102" s="176">
        <v>0</v>
      </c>
      <c r="F102" s="176">
        <v>0</v>
      </c>
      <c r="G102" s="176">
        <v>0</v>
      </c>
      <c r="H102" s="176">
        <v>0</v>
      </c>
      <c r="I102" s="176">
        <v>0</v>
      </c>
      <c r="J102" s="564">
        <f t="shared" si="72"/>
        <v>0</v>
      </c>
      <c r="K102" s="565">
        <f t="shared" si="73"/>
        <v>0</v>
      </c>
      <c r="L102" s="176">
        <v>0</v>
      </c>
      <c r="M102" s="566">
        <f t="shared" si="74"/>
        <v>0</v>
      </c>
      <c r="N102" s="566">
        <f t="shared" si="75"/>
        <v>0</v>
      </c>
      <c r="O102" s="176">
        <v>0</v>
      </c>
      <c r="P102" s="567">
        <f t="shared" si="76"/>
        <v>0</v>
      </c>
      <c r="Q102" s="566">
        <f t="shared" si="77"/>
        <v>0</v>
      </c>
      <c r="R102" s="86">
        <v>0</v>
      </c>
      <c r="S102" s="86">
        <v>0</v>
      </c>
      <c r="T102" s="86">
        <v>0</v>
      </c>
      <c r="U102" s="566">
        <f t="shared" si="36"/>
        <v>0</v>
      </c>
      <c r="V102" s="566">
        <f t="shared" si="37"/>
        <v>0</v>
      </c>
      <c r="W102" s="360"/>
      <c r="X102" s="360"/>
      <c r="Y102" s="361"/>
      <c r="Z102" s="360"/>
      <c r="AA102" s="360"/>
      <c r="AB102" s="360"/>
      <c r="AC102" s="361"/>
      <c r="AD102" s="360"/>
      <c r="AE102" s="360"/>
      <c r="AF102" s="360"/>
      <c r="AG102" s="361"/>
      <c r="AH102" s="274"/>
      <c r="AI102" s="274"/>
      <c r="AJ102" s="274"/>
      <c r="AK102" s="568"/>
    </row>
    <row r="103" spans="1:37" ht="19.5" hidden="1" x14ac:dyDescent="0.3">
      <c r="A103" s="562"/>
      <c r="B103" s="563" t="s">
        <v>129</v>
      </c>
      <c r="C103" s="537">
        <f t="shared" si="70"/>
        <v>0</v>
      </c>
      <c r="D103" s="538">
        <f t="shared" si="71"/>
        <v>0</v>
      </c>
      <c r="E103" s="176">
        <v>0</v>
      </c>
      <c r="F103" s="176">
        <v>0</v>
      </c>
      <c r="G103" s="176">
        <v>0</v>
      </c>
      <c r="H103" s="176">
        <v>0</v>
      </c>
      <c r="I103" s="176">
        <v>0</v>
      </c>
      <c r="J103" s="564">
        <f t="shared" si="72"/>
        <v>0</v>
      </c>
      <c r="K103" s="565">
        <f t="shared" si="73"/>
        <v>0</v>
      </c>
      <c r="L103" s="176">
        <v>0</v>
      </c>
      <c r="M103" s="566">
        <f t="shared" si="74"/>
        <v>0</v>
      </c>
      <c r="N103" s="566">
        <f t="shared" si="75"/>
        <v>0</v>
      </c>
      <c r="O103" s="176">
        <v>0</v>
      </c>
      <c r="P103" s="567">
        <f t="shared" si="76"/>
        <v>0</v>
      </c>
      <c r="Q103" s="566">
        <f t="shared" si="77"/>
        <v>0</v>
      </c>
      <c r="R103" s="86">
        <v>0</v>
      </c>
      <c r="S103" s="86">
        <v>0</v>
      </c>
      <c r="T103" s="86">
        <v>0</v>
      </c>
      <c r="U103" s="566">
        <f t="shared" si="36"/>
        <v>0</v>
      </c>
      <c r="V103" s="566">
        <f t="shared" si="37"/>
        <v>0</v>
      </c>
      <c r="W103" s="360"/>
      <c r="X103" s="360"/>
      <c r="Y103" s="361"/>
      <c r="Z103" s="360"/>
      <c r="AA103" s="360"/>
      <c r="AB103" s="360"/>
      <c r="AC103" s="361"/>
      <c r="AD103" s="360"/>
      <c r="AE103" s="360"/>
      <c r="AF103" s="360"/>
      <c r="AG103" s="361"/>
      <c r="AH103" s="274"/>
      <c r="AI103" s="274"/>
      <c r="AJ103" s="274"/>
      <c r="AK103" s="568"/>
    </row>
    <row r="104" spans="1:37" ht="19.5" hidden="1" x14ac:dyDescent="0.3">
      <c r="A104" s="562"/>
      <c r="B104" s="563" t="s">
        <v>130</v>
      </c>
      <c r="C104" s="537">
        <f t="shared" si="70"/>
        <v>0</v>
      </c>
      <c r="D104" s="538">
        <f t="shared" si="71"/>
        <v>0</v>
      </c>
      <c r="E104" s="176">
        <v>0</v>
      </c>
      <c r="F104" s="176">
        <v>0</v>
      </c>
      <c r="G104" s="176">
        <v>0</v>
      </c>
      <c r="H104" s="176">
        <v>0</v>
      </c>
      <c r="I104" s="176">
        <v>0</v>
      </c>
      <c r="J104" s="564">
        <f t="shared" si="72"/>
        <v>0</v>
      </c>
      <c r="K104" s="565">
        <f t="shared" si="73"/>
        <v>0</v>
      </c>
      <c r="L104" s="176">
        <v>0</v>
      </c>
      <c r="M104" s="566">
        <f t="shared" si="74"/>
        <v>0</v>
      </c>
      <c r="N104" s="566">
        <f t="shared" si="75"/>
        <v>0</v>
      </c>
      <c r="O104" s="176">
        <v>0</v>
      </c>
      <c r="P104" s="567">
        <f t="shared" si="76"/>
        <v>0</v>
      </c>
      <c r="Q104" s="566">
        <f t="shared" si="77"/>
        <v>0</v>
      </c>
      <c r="R104" s="86">
        <v>0</v>
      </c>
      <c r="S104" s="86">
        <v>0</v>
      </c>
      <c r="T104" s="86">
        <v>0</v>
      </c>
      <c r="U104" s="566">
        <f t="shared" si="36"/>
        <v>0</v>
      </c>
      <c r="V104" s="566">
        <f t="shared" si="37"/>
        <v>0</v>
      </c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569"/>
      <c r="AI104" s="569"/>
      <c r="AJ104" s="569"/>
      <c r="AK104" s="569"/>
    </row>
    <row r="105" spans="1:37" ht="19.5" hidden="1" x14ac:dyDescent="0.3">
      <c r="A105" s="562"/>
      <c r="B105" s="570" t="s">
        <v>131</v>
      </c>
      <c r="C105" s="537">
        <f t="shared" si="70"/>
        <v>0</v>
      </c>
      <c r="D105" s="538">
        <f t="shared" si="71"/>
        <v>0</v>
      </c>
      <c r="E105" s="176">
        <v>0</v>
      </c>
      <c r="F105" s="176">
        <v>0</v>
      </c>
      <c r="G105" s="176">
        <v>0</v>
      </c>
      <c r="H105" s="176">
        <v>0</v>
      </c>
      <c r="I105" s="176">
        <v>0</v>
      </c>
      <c r="J105" s="564">
        <f t="shared" si="72"/>
        <v>0</v>
      </c>
      <c r="K105" s="565">
        <f t="shared" si="73"/>
        <v>0</v>
      </c>
      <c r="L105" s="176">
        <v>0</v>
      </c>
      <c r="M105" s="566">
        <f t="shared" si="74"/>
        <v>0</v>
      </c>
      <c r="N105" s="566">
        <f t="shared" si="75"/>
        <v>0</v>
      </c>
      <c r="O105" s="176">
        <v>0</v>
      </c>
      <c r="P105" s="567">
        <f t="shared" si="76"/>
        <v>0</v>
      </c>
      <c r="Q105" s="566">
        <f t="shared" si="77"/>
        <v>0</v>
      </c>
      <c r="R105" s="86">
        <v>0</v>
      </c>
      <c r="S105" s="86">
        <v>0</v>
      </c>
      <c r="T105" s="86">
        <v>0</v>
      </c>
      <c r="U105" s="566">
        <f t="shared" si="36"/>
        <v>0</v>
      </c>
      <c r="V105" s="566">
        <f t="shared" si="37"/>
        <v>0</v>
      </c>
      <c r="W105" s="360"/>
      <c r="X105" s="360"/>
      <c r="Y105" s="360"/>
      <c r="Z105" s="360"/>
      <c r="AA105" s="360"/>
      <c r="AB105" s="360"/>
      <c r="AC105" s="360"/>
      <c r="AD105" s="360"/>
      <c r="AE105" s="360"/>
      <c r="AF105" s="360"/>
      <c r="AG105" s="360"/>
      <c r="AH105" s="274"/>
      <c r="AI105" s="274"/>
      <c r="AJ105" s="274"/>
      <c r="AK105" s="274"/>
    </row>
    <row r="106" spans="1:37" ht="19.5" hidden="1" x14ac:dyDescent="0.3">
      <c r="A106" s="571"/>
      <c r="B106" s="572" t="s">
        <v>132</v>
      </c>
      <c r="C106" s="550">
        <f t="shared" si="70"/>
        <v>0</v>
      </c>
      <c r="D106" s="551">
        <f t="shared" si="71"/>
        <v>0</v>
      </c>
      <c r="E106" s="184">
        <v>0</v>
      </c>
      <c r="F106" s="184">
        <v>0</v>
      </c>
      <c r="G106" s="184">
        <v>0</v>
      </c>
      <c r="H106" s="184">
        <v>0</v>
      </c>
      <c r="I106" s="184">
        <v>0</v>
      </c>
      <c r="J106" s="573">
        <f t="shared" si="72"/>
        <v>0</v>
      </c>
      <c r="K106" s="574">
        <f t="shared" si="73"/>
        <v>0</v>
      </c>
      <c r="L106" s="184">
        <v>0</v>
      </c>
      <c r="M106" s="575">
        <f t="shared" si="74"/>
        <v>0</v>
      </c>
      <c r="N106" s="575">
        <f t="shared" si="75"/>
        <v>0</v>
      </c>
      <c r="O106" s="184">
        <v>0</v>
      </c>
      <c r="P106" s="576">
        <f t="shared" si="76"/>
        <v>0</v>
      </c>
      <c r="Q106" s="575">
        <f t="shared" si="77"/>
        <v>0</v>
      </c>
      <c r="R106" s="108">
        <v>0</v>
      </c>
      <c r="S106" s="108">
        <v>0</v>
      </c>
      <c r="T106" s="108">
        <v>0</v>
      </c>
      <c r="U106" s="575">
        <f t="shared" si="36"/>
        <v>0</v>
      </c>
      <c r="V106" s="575">
        <f t="shared" si="37"/>
        <v>0</v>
      </c>
      <c r="W106" s="367"/>
      <c r="X106" s="367"/>
      <c r="Y106" s="367"/>
      <c r="Z106" s="367"/>
      <c r="AA106" s="367"/>
      <c r="AB106" s="367"/>
      <c r="AC106" s="367"/>
      <c r="AD106" s="367"/>
      <c r="AE106" s="367"/>
      <c r="AF106" s="367"/>
      <c r="AG106" s="367"/>
      <c r="AH106" s="279"/>
      <c r="AI106" s="279"/>
      <c r="AJ106" s="279"/>
      <c r="AK106" s="279"/>
    </row>
    <row r="107" spans="1:37" ht="12.75" x14ac:dyDescent="0.2">
      <c r="R107" s="581"/>
      <c r="T107" s="581"/>
    </row>
    <row r="108" spans="1:37" ht="12.75" x14ac:dyDescent="0.2">
      <c r="R108" s="581"/>
      <c r="T108" s="581"/>
    </row>
    <row r="109" spans="1:37" ht="12.75" x14ac:dyDescent="0.2">
      <c r="R109" s="581"/>
      <c r="T109" s="581"/>
    </row>
    <row r="110" spans="1:37" ht="12.75" x14ac:dyDescent="0.2">
      <c r="R110" s="581"/>
      <c r="T110" s="581"/>
    </row>
    <row r="111" spans="1:37" ht="12.75" x14ac:dyDescent="0.2">
      <c r="R111" s="581"/>
      <c r="T111" s="581"/>
    </row>
    <row r="112" spans="1:37" ht="12.75" x14ac:dyDescent="0.2">
      <c r="R112" s="581"/>
      <c r="T112" s="581"/>
    </row>
    <row r="113" spans="18:20" ht="12.75" x14ac:dyDescent="0.2">
      <c r="R113" s="581"/>
      <c r="T113" s="581"/>
    </row>
    <row r="114" spans="18:20" ht="12.75" x14ac:dyDescent="0.2">
      <c r="R114" s="581"/>
      <c r="T114" s="581"/>
    </row>
    <row r="115" spans="18:20" ht="12.75" x14ac:dyDescent="0.2">
      <c r="R115" s="581"/>
      <c r="T115" s="581"/>
    </row>
    <row r="116" spans="18:20" ht="12.75" x14ac:dyDescent="0.2">
      <c r="R116" s="581"/>
      <c r="T116" s="581"/>
    </row>
    <row r="117" spans="18:20" ht="12.75" x14ac:dyDescent="0.2">
      <c r="R117" s="581"/>
      <c r="T117" s="581"/>
    </row>
    <row r="118" spans="18:20" ht="12.75" x14ac:dyDescent="0.2">
      <c r="R118" s="581"/>
      <c r="T118" s="581"/>
    </row>
    <row r="119" spans="18:20" ht="12.75" x14ac:dyDescent="0.2">
      <c r="R119" s="581"/>
      <c r="T119" s="581"/>
    </row>
    <row r="120" spans="18:20" ht="12.75" x14ac:dyDescent="0.2">
      <c r="R120" s="581"/>
      <c r="T120" s="581"/>
    </row>
    <row r="121" spans="18:20" ht="12.75" x14ac:dyDescent="0.2">
      <c r="R121" s="581"/>
      <c r="T121" s="581"/>
    </row>
    <row r="122" spans="18:20" ht="12.75" x14ac:dyDescent="0.2">
      <c r="R122" s="581"/>
      <c r="T122" s="581"/>
    </row>
    <row r="123" spans="18:20" ht="12.75" x14ac:dyDescent="0.2">
      <c r="R123" s="581"/>
      <c r="T123" s="581"/>
    </row>
    <row r="124" spans="18:20" ht="12.75" x14ac:dyDescent="0.2">
      <c r="R124" s="581"/>
      <c r="T124" s="581"/>
    </row>
    <row r="125" spans="18:20" ht="12.75" x14ac:dyDescent="0.2">
      <c r="R125" s="581"/>
      <c r="T125" s="581"/>
    </row>
    <row r="126" spans="18:20" ht="12.75" x14ac:dyDescent="0.2">
      <c r="R126" s="581"/>
      <c r="T126" s="581"/>
    </row>
    <row r="127" spans="18:20" ht="12.75" x14ac:dyDescent="0.2">
      <c r="R127" s="581"/>
      <c r="T127" s="581"/>
    </row>
    <row r="128" spans="18:20" ht="12.75" x14ac:dyDescent="0.2">
      <c r="R128" s="581"/>
      <c r="T128" s="581"/>
    </row>
    <row r="129" spans="18:20" ht="12.75" x14ac:dyDescent="0.2">
      <c r="R129" s="581"/>
      <c r="T129" s="581"/>
    </row>
    <row r="130" spans="18:20" ht="12.75" x14ac:dyDescent="0.2">
      <c r="R130" s="581"/>
      <c r="T130" s="581"/>
    </row>
    <row r="131" spans="18:20" ht="12.75" x14ac:dyDescent="0.2">
      <c r="R131" s="581"/>
      <c r="T131" s="581"/>
    </row>
    <row r="132" spans="18:20" ht="12.75" x14ac:dyDescent="0.2">
      <c r="R132" s="581"/>
      <c r="T132" s="581"/>
    </row>
    <row r="133" spans="18:20" ht="12.75" x14ac:dyDescent="0.2">
      <c r="R133" s="581"/>
      <c r="T133" s="581"/>
    </row>
    <row r="134" spans="18:20" ht="12.75" x14ac:dyDescent="0.2">
      <c r="R134" s="581"/>
      <c r="T134" s="581"/>
    </row>
    <row r="135" spans="18:20" ht="12.75" x14ac:dyDescent="0.2">
      <c r="R135" s="581"/>
      <c r="T135" s="581"/>
    </row>
    <row r="136" spans="18:20" ht="12.75" x14ac:dyDescent="0.2">
      <c r="R136" s="581"/>
      <c r="T136" s="581"/>
    </row>
    <row r="137" spans="18:20" ht="12.75" x14ac:dyDescent="0.2">
      <c r="R137" s="581"/>
      <c r="T137" s="581"/>
    </row>
    <row r="138" spans="18:20" ht="12.75" x14ac:dyDescent="0.2">
      <c r="R138" s="581"/>
      <c r="T138" s="581"/>
    </row>
    <row r="139" spans="18:20" ht="12.75" x14ac:dyDescent="0.2">
      <c r="R139" s="581"/>
      <c r="T139" s="581"/>
    </row>
    <row r="140" spans="18:20" ht="12.75" x14ac:dyDescent="0.2">
      <c r="R140" s="581"/>
      <c r="T140" s="581"/>
    </row>
    <row r="141" spans="18:20" ht="12.75" x14ac:dyDescent="0.2">
      <c r="R141" s="581"/>
      <c r="T141" s="581"/>
    </row>
    <row r="142" spans="18:20" ht="12.75" x14ac:dyDescent="0.2">
      <c r="R142" s="581"/>
      <c r="T142" s="581"/>
    </row>
    <row r="143" spans="18:20" ht="12.75" x14ac:dyDescent="0.2">
      <c r="R143" s="581"/>
      <c r="T143" s="581"/>
    </row>
    <row r="144" spans="18:20" ht="12.75" x14ac:dyDescent="0.2">
      <c r="R144" s="581"/>
      <c r="T144" s="581"/>
    </row>
    <row r="145" spans="18:20" ht="12.75" x14ac:dyDescent="0.2">
      <c r="R145" s="581"/>
      <c r="T145" s="581"/>
    </row>
    <row r="146" spans="18:20" ht="12.75" x14ac:dyDescent="0.2">
      <c r="R146" s="581"/>
      <c r="T146" s="581"/>
    </row>
    <row r="147" spans="18:20" ht="12.75" x14ac:dyDescent="0.2">
      <c r="R147" s="581"/>
      <c r="T147" s="581"/>
    </row>
    <row r="148" spans="18:20" ht="12.75" x14ac:dyDescent="0.2">
      <c r="R148" s="581"/>
      <c r="T148" s="581"/>
    </row>
    <row r="149" spans="18:20" ht="12.75" x14ac:dyDescent="0.2">
      <c r="R149" s="581"/>
      <c r="T149" s="581"/>
    </row>
    <row r="150" spans="18:20" ht="12.75" x14ac:dyDescent="0.2">
      <c r="R150" s="581"/>
      <c r="T150" s="581"/>
    </row>
    <row r="151" spans="18:20" ht="12.75" x14ac:dyDescent="0.2">
      <c r="R151" s="581"/>
      <c r="T151" s="581"/>
    </row>
    <row r="152" spans="18:20" ht="12.75" x14ac:dyDescent="0.2">
      <c r="R152" s="581"/>
      <c r="T152" s="581"/>
    </row>
    <row r="153" spans="18:20" ht="12.75" x14ac:dyDescent="0.2">
      <c r="R153" s="581"/>
      <c r="T153" s="581"/>
    </row>
    <row r="154" spans="18:20" ht="12.75" x14ac:dyDescent="0.2">
      <c r="R154" s="581"/>
      <c r="T154" s="581"/>
    </row>
    <row r="155" spans="18:20" ht="12.75" x14ac:dyDescent="0.2">
      <c r="R155" s="581"/>
      <c r="T155" s="581"/>
    </row>
    <row r="156" spans="18:20" ht="12.75" x14ac:dyDescent="0.2">
      <c r="R156" s="581"/>
      <c r="T156" s="581"/>
    </row>
    <row r="157" spans="18:20" ht="12.75" x14ac:dyDescent="0.2">
      <c r="R157" s="581"/>
      <c r="T157" s="581"/>
    </row>
    <row r="158" spans="18:20" ht="12.75" x14ac:dyDescent="0.2">
      <c r="R158" s="581"/>
      <c r="T158" s="581"/>
    </row>
    <row r="159" spans="18:20" ht="12.75" x14ac:dyDescent="0.2">
      <c r="R159" s="581"/>
      <c r="T159" s="581"/>
    </row>
    <row r="160" spans="18:20" ht="12.75" x14ac:dyDescent="0.2">
      <c r="R160" s="581"/>
      <c r="T160" s="581"/>
    </row>
    <row r="161" spans="18:20" ht="12.75" x14ac:dyDescent="0.2">
      <c r="R161" s="581"/>
      <c r="T161" s="581"/>
    </row>
    <row r="162" spans="18:20" ht="12.75" x14ac:dyDescent="0.2">
      <c r="R162" s="581"/>
      <c r="T162" s="581"/>
    </row>
    <row r="163" spans="18:20" ht="12.75" x14ac:dyDescent="0.2">
      <c r="R163" s="581"/>
      <c r="T163" s="581"/>
    </row>
    <row r="164" spans="18:20" ht="12.75" x14ac:dyDescent="0.2">
      <c r="R164" s="581"/>
      <c r="T164" s="581"/>
    </row>
    <row r="165" spans="18:20" ht="12.75" x14ac:dyDescent="0.2">
      <c r="R165" s="581"/>
      <c r="T165" s="581"/>
    </row>
    <row r="166" spans="18:20" ht="12.75" x14ac:dyDescent="0.2">
      <c r="R166" s="581"/>
      <c r="T166" s="581"/>
    </row>
    <row r="167" spans="18:20" ht="12.75" x14ac:dyDescent="0.2">
      <c r="R167" s="581"/>
      <c r="T167" s="581"/>
    </row>
    <row r="168" spans="18:20" ht="12.75" x14ac:dyDescent="0.2">
      <c r="R168" s="581"/>
      <c r="T168" s="581"/>
    </row>
    <row r="169" spans="18:20" ht="12.75" x14ac:dyDescent="0.2">
      <c r="R169" s="581"/>
      <c r="T169" s="581"/>
    </row>
    <row r="170" spans="18:20" ht="12.75" x14ac:dyDescent="0.2">
      <c r="R170" s="581"/>
      <c r="T170" s="581"/>
    </row>
    <row r="171" spans="18:20" ht="12.75" x14ac:dyDescent="0.2">
      <c r="R171" s="581"/>
      <c r="T171" s="581"/>
    </row>
    <row r="172" spans="18:20" ht="12.75" x14ac:dyDescent="0.2">
      <c r="R172" s="581"/>
      <c r="T172" s="581"/>
    </row>
    <row r="173" spans="18:20" ht="12.75" x14ac:dyDescent="0.2">
      <c r="R173" s="581"/>
      <c r="T173" s="581"/>
    </row>
    <row r="174" spans="18:20" ht="12.75" x14ac:dyDescent="0.2">
      <c r="R174" s="581"/>
      <c r="T174" s="581"/>
    </row>
    <row r="175" spans="18:20" ht="12.75" x14ac:dyDescent="0.2">
      <c r="R175" s="581"/>
      <c r="T175" s="581"/>
    </row>
    <row r="176" spans="18:20" ht="12.75" x14ac:dyDescent="0.2">
      <c r="R176" s="581"/>
      <c r="T176" s="581"/>
    </row>
    <row r="177" spans="18:20" ht="12.75" x14ac:dyDescent="0.2">
      <c r="R177" s="581"/>
      <c r="T177" s="581"/>
    </row>
    <row r="178" spans="18:20" ht="12.75" x14ac:dyDescent="0.2">
      <c r="R178" s="581"/>
      <c r="T178" s="581"/>
    </row>
    <row r="179" spans="18:20" ht="12.75" x14ac:dyDescent="0.2">
      <c r="R179" s="581"/>
      <c r="T179" s="581"/>
    </row>
    <row r="180" spans="18:20" ht="12.75" x14ac:dyDescent="0.2">
      <c r="R180" s="581"/>
      <c r="T180" s="581"/>
    </row>
    <row r="181" spans="18:20" ht="12.75" x14ac:dyDescent="0.2">
      <c r="R181" s="581"/>
      <c r="T181" s="581"/>
    </row>
    <row r="182" spans="18:20" ht="12.75" x14ac:dyDescent="0.2">
      <c r="R182" s="581"/>
      <c r="T182" s="581"/>
    </row>
    <row r="183" spans="18:20" ht="12.75" x14ac:dyDescent="0.2">
      <c r="R183" s="581"/>
      <c r="T183" s="581"/>
    </row>
    <row r="184" spans="18:20" ht="12.75" x14ac:dyDescent="0.2">
      <c r="R184" s="581"/>
      <c r="T184" s="581"/>
    </row>
    <row r="185" spans="18:20" ht="12.75" x14ac:dyDescent="0.2">
      <c r="R185" s="581"/>
      <c r="T185" s="581"/>
    </row>
    <row r="186" spans="18:20" ht="12.75" x14ac:dyDescent="0.2">
      <c r="R186" s="581"/>
      <c r="T186" s="581"/>
    </row>
    <row r="187" spans="18:20" ht="12.75" x14ac:dyDescent="0.2">
      <c r="R187" s="581"/>
      <c r="T187" s="581"/>
    </row>
    <row r="188" spans="18:20" ht="12.75" x14ac:dyDescent="0.2">
      <c r="R188" s="581"/>
      <c r="T188" s="581"/>
    </row>
    <row r="189" spans="18:20" ht="12.75" x14ac:dyDescent="0.2">
      <c r="R189" s="581"/>
      <c r="T189" s="581"/>
    </row>
    <row r="190" spans="18:20" ht="12.75" x14ac:dyDescent="0.2">
      <c r="R190" s="581"/>
      <c r="T190" s="581"/>
    </row>
    <row r="191" spans="18:20" ht="12.75" x14ac:dyDescent="0.2">
      <c r="R191" s="581"/>
      <c r="T191" s="581"/>
    </row>
    <row r="192" spans="18:20" ht="12.75" x14ac:dyDescent="0.2">
      <c r="R192" s="581"/>
      <c r="T192" s="581"/>
    </row>
    <row r="193" spans="18:20" ht="12.75" x14ac:dyDescent="0.2">
      <c r="R193" s="581"/>
      <c r="T193" s="581"/>
    </row>
    <row r="194" spans="18:20" ht="12.75" x14ac:dyDescent="0.2">
      <c r="R194" s="581"/>
      <c r="T194" s="581"/>
    </row>
    <row r="195" spans="18:20" ht="12.75" x14ac:dyDescent="0.2">
      <c r="R195" s="581"/>
      <c r="T195" s="581"/>
    </row>
    <row r="196" spans="18:20" ht="12.75" x14ac:dyDescent="0.2">
      <c r="R196" s="581"/>
      <c r="T196" s="581"/>
    </row>
    <row r="197" spans="18:20" ht="12.75" x14ac:dyDescent="0.2">
      <c r="R197" s="581"/>
      <c r="T197" s="581"/>
    </row>
    <row r="198" spans="18:20" ht="12.75" x14ac:dyDescent="0.2">
      <c r="R198" s="581"/>
      <c r="T198" s="581"/>
    </row>
    <row r="199" spans="18:20" ht="12.75" x14ac:dyDescent="0.2">
      <c r="R199" s="581"/>
      <c r="T199" s="581"/>
    </row>
    <row r="200" spans="18:20" ht="12.75" x14ac:dyDescent="0.2">
      <c r="R200" s="581"/>
      <c r="T200" s="581"/>
    </row>
    <row r="201" spans="18:20" ht="12.75" x14ac:dyDescent="0.2">
      <c r="R201" s="581"/>
      <c r="T201" s="581"/>
    </row>
    <row r="202" spans="18:20" ht="12.75" x14ac:dyDescent="0.2">
      <c r="R202" s="581"/>
      <c r="T202" s="581"/>
    </row>
    <row r="203" spans="18:20" ht="12.75" x14ac:dyDescent="0.2">
      <c r="R203" s="581"/>
      <c r="T203" s="581"/>
    </row>
    <row r="204" spans="18:20" ht="12.75" x14ac:dyDescent="0.2">
      <c r="R204" s="581"/>
      <c r="T204" s="581"/>
    </row>
    <row r="205" spans="18:20" ht="12.75" x14ac:dyDescent="0.2">
      <c r="R205" s="581"/>
      <c r="T205" s="581"/>
    </row>
    <row r="206" spans="18:20" ht="12.75" x14ac:dyDescent="0.2">
      <c r="R206" s="581"/>
      <c r="T206" s="581"/>
    </row>
    <row r="207" spans="18:20" ht="12.75" x14ac:dyDescent="0.2">
      <c r="R207" s="581"/>
      <c r="T207" s="581"/>
    </row>
    <row r="208" spans="18:20" ht="12.75" x14ac:dyDescent="0.2">
      <c r="R208" s="581"/>
      <c r="T208" s="581"/>
    </row>
    <row r="209" spans="18:20" ht="12.75" x14ac:dyDescent="0.2">
      <c r="R209" s="581"/>
      <c r="T209" s="581"/>
    </row>
    <row r="210" spans="18:20" ht="12.75" x14ac:dyDescent="0.2">
      <c r="R210" s="581"/>
      <c r="T210" s="581"/>
    </row>
    <row r="211" spans="18:20" ht="12.75" x14ac:dyDescent="0.2">
      <c r="R211" s="581"/>
      <c r="T211" s="581"/>
    </row>
    <row r="212" spans="18:20" ht="12.75" x14ac:dyDescent="0.2">
      <c r="R212" s="581"/>
      <c r="T212" s="581"/>
    </row>
    <row r="213" spans="18:20" ht="12.75" x14ac:dyDescent="0.2">
      <c r="R213" s="581"/>
      <c r="T213" s="581"/>
    </row>
    <row r="214" spans="18:20" ht="12.75" x14ac:dyDescent="0.2">
      <c r="R214" s="581"/>
      <c r="T214" s="581"/>
    </row>
    <row r="215" spans="18:20" ht="12.75" x14ac:dyDescent="0.2">
      <c r="R215" s="581"/>
      <c r="T215" s="581"/>
    </row>
    <row r="216" spans="18:20" ht="12.75" x14ac:dyDescent="0.2">
      <c r="R216" s="581"/>
      <c r="T216" s="581"/>
    </row>
    <row r="217" spans="18:20" ht="12.75" x14ac:dyDescent="0.2">
      <c r="R217" s="581"/>
      <c r="T217" s="581"/>
    </row>
    <row r="218" spans="18:20" ht="12.75" x14ac:dyDescent="0.2">
      <c r="R218" s="581"/>
      <c r="T218" s="581"/>
    </row>
    <row r="219" spans="18:20" ht="12.75" x14ac:dyDescent="0.2">
      <c r="R219" s="581"/>
      <c r="T219" s="581"/>
    </row>
    <row r="220" spans="18:20" ht="12.75" x14ac:dyDescent="0.2">
      <c r="R220" s="581"/>
      <c r="T220" s="581"/>
    </row>
    <row r="221" spans="18:20" ht="12.75" x14ac:dyDescent="0.2">
      <c r="R221" s="581"/>
      <c r="T221" s="581"/>
    </row>
    <row r="222" spans="18:20" ht="12.75" x14ac:dyDescent="0.2">
      <c r="R222" s="581"/>
      <c r="T222" s="581"/>
    </row>
    <row r="223" spans="18:20" ht="12.75" x14ac:dyDescent="0.2">
      <c r="R223" s="581"/>
      <c r="T223" s="581"/>
    </row>
    <row r="224" spans="18:20" ht="12.75" x14ac:dyDescent="0.2">
      <c r="R224" s="581"/>
      <c r="T224" s="581"/>
    </row>
    <row r="225" spans="18:20" ht="12.75" x14ac:dyDescent="0.2">
      <c r="R225" s="581"/>
      <c r="T225" s="581"/>
    </row>
    <row r="226" spans="18:20" ht="12.75" x14ac:dyDescent="0.2">
      <c r="R226" s="581"/>
      <c r="T226" s="581"/>
    </row>
    <row r="227" spans="18:20" ht="12.75" x14ac:dyDescent="0.2">
      <c r="R227" s="581"/>
      <c r="T227" s="581"/>
    </row>
    <row r="228" spans="18:20" ht="12.75" x14ac:dyDescent="0.2">
      <c r="R228" s="581"/>
      <c r="T228" s="581"/>
    </row>
    <row r="229" spans="18:20" ht="12.75" x14ac:dyDescent="0.2">
      <c r="R229" s="581"/>
      <c r="T229" s="581"/>
    </row>
    <row r="230" spans="18:20" ht="12.75" x14ac:dyDescent="0.2">
      <c r="R230" s="581"/>
      <c r="T230" s="581"/>
    </row>
    <row r="231" spans="18:20" ht="12.75" x14ac:dyDescent="0.2">
      <c r="R231" s="581"/>
      <c r="T231" s="581"/>
    </row>
    <row r="232" spans="18:20" ht="12.75" x14ac:dyDescent="0.2">
      <c r="R232" s="581"/>
      <c r="T232" s="581"/>
    </row>
    <row r="233" spans="18:20" ht="12.75" x14ac:dyDescent="0.2">
      <c r="R233" s="581"/>
      <c r="T233" s="581"/>
    </row>
    <row r="234" spans="18:20" ht="12.75" x14ac:dyDescent="0.2">
      <c r="R234" s="581"/>
      <c r="T234" s="581"/>
    </row>
    <row r="235" spans="18:20" ht="12.75" x14ac:dyDescent="0.2">
      <c r="R235" s="581"/>
      <c r="T235" s="581"/>
    </row>
    <row r="236" spans="18:20" ht="12.75" x14ac:dyDescent="0.2">
      <c r="R236" s="581"/>
      <c r="T236" s="581"/>
    </row>
    <row r="237" spans="18:20" ht="12.75" x14ac:dyDescent="0.2">
      <c r="R237" s="581"/>
      <c r="T237" s="581"/>
    </row>
    <row r="238" spans="18:20" ht="12.75" x14ac:dyDescent="0.2">
      <c r="R238" s="581"/>
      <c r="T238" s="581"/>
    </row>
    <row r="239" spans="18:20" ht="12.75" x14ac:dyDescent="0.2">
      <c r="R239" s="581"/>
      <c r="T239" s="581"/>
    </row>
    <row r="240" spans="18:20" ht="12.75" x14ac:dyDescent="0.2">
      <c r="R240" s="581"/>
      <c r="T240" s="581"/>
    </row>
    <row r="241" spans="18:20" ht="12.75" x14ac:dyDescent="0.2">
      <c r="R241" s="581"/>
      <c r="T241" s="581"/>
    </row>
    <row r="242" spans="18:20" ht="12.75" x14ac:dyDescent="0.2">
      <c r="R242" s="581"/>
      <c r="T242" s="581"/>
    </row>
    <row r="243" spans="18:20" ht="12.75" x14ac:dyDescent="0.2">
      <c r="R243" s="581"/>
      <c r="T243" s="581"/>
    </row>
    <row r="244" spans="18:20" ht="12.75" x14ac:dyDescent="0.2">
      <c r="R244" s="581"/>
      <c r="T244" s="581"/>
    </row>
    <row r="245" spans="18:20" ht="12.75" x14ac:dyDescent="0.2">
      <c r="R245" s="581"/>
      <c r="T245" s="581"/>
    </row>
    <row r="246" spans="18:20" ht="12.75" x14ac:dyDescent="0.2">
      <c r="R246" s="581"/>
      <c r="T246" s="581"/>
    </row>
    <row r="247" spans="18:20" ht="12.75" x14ac:dyDescent="0.2">
      <c r="R247" s="581"/>
      <c r="T247" s="581"/>
    </row>
    <row r="248" spans="18:20" ht="12.75" x14ac:dyDescent="0.2">
      <c r="R248" s="581"/>
      <c r="T248" s="581"/>
    </row>
    <row r="249" spans="18:20" ht="12.75" x14ac:dyDescent="0.2">
      <c r="R249" s="581"/>
      <c r="T249" s="581"/>
    </row>
    <row r="250" spans="18:20" ht="12.75" x14ac:dyDescent="0.2">
      <c r="R250" s="581"/>
      <c r="T250" s="581"/>
    </row>
    <row r="251" spans="18:20" ht="12.75" x14ac:dyDescent="0.2">
      <c r="R251" s="581"/>
      <c r="T251" s="581"/>
    </row>
    <row r="252" spans="18:20" ht="12.75" x14ac:dyDescent="0.2">
      <c r="R252" s="581"/>
      <c r="T252" s="581"/>
    </row>
    <row r="253" spans="18:20" ht="12.75" x14ac:dyDescent="0.2">
      <c r="R253" s="581"/>
      <c r="T253" s="581"/>
    </row>
    <row r="254" spans="18:20" ht="12.75" x14ac:dyDescent="0.2">
      <c r="R254" s="581"/>
      <c r="T254" s="581"/>
    </row>
    <row r="255" spans="18:20" ht="12.75" x14ac:dyDescent="0.2">
      <c r="R255" s="581"/>
      <c r="T255" s="581"/>
    </row>
    <row r="256" spans="18:20" ht="12.75" x14ac:dyDescent="0.2">
      <c r="R256" s="581"/>
      <c r="T256" s="581"/>
    </row>
    <row r="257" spans="18:20" ht="12.75" x14ac:dyDescent="0.2">
      <c r="R257" s="581"/>
      <c r="T257" s="581"/>
    </row>
    <row r="258" spans="18:20" ht="12.75" x14ac:dyDescent="0.2">
      <c r="R258" s="581"/>
      <c r="T258" s="581"/>
    </row>
    <row r="259" spans="18:20" ht="12.75" x14ac:dyDescent="0.2">
      <c r="R259" s="581"/>
      <c r="T259" s="581"/>
    </row>
    <row r="260" spans="18:20" ht="12.75" x14ac:dyDescent="0.2">
      <c r="R260" s="581"/>
      <c r="T260" s="581"/>
    </row>
    <row r="261" spans="18:20" ht="12.75" x14ac:dyDescent="0.2">
      <c r="R261" s="581"/>
      <c r="T261" s="581"/>
    </row>
    <row r="262" spans="18:20" ht="12.75" x14ac:dyDescent="0.2">
      <c r="R262" s="581"/>
      <c r="T262" s="581"/>
    </row>
    <row r="263" spans="18:20" ht="12.75" x14ac:dyDescent="0.2">
      <c r="R263" s="581"/>
      <c r="T263" s="581"/>
    </row>
    <row r="264" spans="18:20" ht="12.75" x14ac:dyDescent="0.2">
      <c r="R264" s="581"/>
      <c r="T264" s="581"/>
    </row>
    <row r="265" spans="18:20" ht="12.75" x14ac:dyDescent="0.2">
      <c r="R265" s="581"/>
      <c r="T265" s="581"/>
    </row>
    <row r="266" spans="18:20" ht="12.75" x14ac:dyDescent="0.2">
      <c r="R266" s="581"/>
      <c r="T266" s="581"/>
    </row>
    <row r="267" spans="18:20" ht="12.75" x14ac:dyDescent="0.2">
      <c r="R267" s="581"/>
      <c r="T267" s="581"/>
    </row>
    <row r="268" spans="18:20" ht="12.75" x14ac:dyDescent="0.2">
      <c r="R268" s="581"/>
      <c r="T268" s="581"/>
    </row>
    <row r="269" spans="18:20" ht="12.75" x14ac:dyDescent="0.2">
      <c r="R269" s="581"/>
      <c r="T269" s="581"/>
    </row>
    <row r="270" spans="18:20" ht="12.75" x14ac:dyDescent="0.2">
      <c r="R270" s="581"/>
      <c r="T270" s="581"/>
    </row>
    <row r="271" spans="18:20" ht="12.75" x14ac:dyDescent="0.2">
      <c r="R271" s="581"/>
      <c r="T271" s="581"/>
    </row>
    <row r="272" spans="18:20" ht="12.75" x14ac:dyDescent="0.2">
      <c r="R272" s="581"/>
      <c r="T272" s="581"/>
    </row>
    <row r="273" spans="18:20" ht="12.75" x14ac:dyDescent="0.2">
      <c r="R273" s="581"/>
      <c r="T273" s="581"/>
    </row>
    <row r="274" spans="18:20" ht="12.75" x14ac:dyDescent="0.2">
      <c r="R274" s="581"/>
      <c r="T274" s="581"/>
    </row>
    <row r="275" spans="18:20" ht="12.75" x14ac:dyDescent="0.2">
      <c r="R275" s="581"/>
      <c r="T275" s="581"/>
    </row>
    <row r="276" spans="18:20" ht="12.75" x14ac:dyDescent="0.2">
      <c r="R276" s="581"/>
      <c r="T276" s="581"/>
    </row>
    <row r="277" spans="18:20" ht="12.75" x14ac:dyDescent="0.2">
      <c r="R277" s="581"/>
      <c r="T277" s="581"/>
    </row>
    <row r="278" spans="18:20" ht="12.75" x14ac:dyDescent="0.2">
      <c r="R278" s="581"/>
      <c r="T278" s="581"/>
    </row>
    <row r="279" spans="18:20" ht="12.75" x14ac:dyDescent="0.2">
      <c r="R279" s="581"/>
      <c r="T279" s="581"/>
    </row>
    <row r="280" spans="18:20" ht="12.75" x14ac:dyDescent="0.2">
      <c r="R280" s="581"/>
      <c r="T280" s="581"/>
    </row>
    <row r="281" spans="18:20" ht="12.75" x14ac:dyDescent="0.2">
      <c r="R281" s="581"/>
      <c r="T281" s="581"/>
    </row>
    <row r="282" spans="18:20" ht="12.75" x14ac:dyDescent="0.2">
      <c r="R282" s="581"/>
      <c r="T282" s="581"/>
    </row>
    <row r="283" spans="18:20" ht="12.75" x14ac:dyDescent="0.2">
      <c r="R283" s="581"/>
      <c r="T283" s="581"/>
    </row>
    <row r="284" spans="18:20" ht="12.75" x14ac:dyDescent="0.2">
      <c r="R284" s="581"/>
      <c r="T284" s="581"/>
    </row>
    <row r="285" spans="18:20" ht="12.75" x14ac:dyDescent="0.2">
      <c r="R285" s="581"/>
      <c r="T285" s="581"/>
    </row>
    <row r="286" spans="18:20" ht="12.75" x14ac:dyDescent="0.2">
      <c r="R286" s="581"/>
      <c r="T286" s="581"/>
    </row>
    <row r="287" spans="18:20" ht="12.75" x14ac:dyDescent="0.2">
      <c r="R287" s="581"/>
      <c r="T287" s="581"/>
    </row>
    <row r="288" spans="18:20" ht="12.75" x14ac:dyDescent="0.2">
      <c r="R288" s="581"/>
      <c r="T288" s="581"/>
    </row>
    <row r="289" spans="18:20" ht="12.75" x14ac:dyDescent="0.2">
      <c r="R289" s="581"/>
      <c r="T289" s="581"/>
    </row>
    <row r="290" spans="18:20" ht="12.75" x14ac:dyDescent="0.2">
      <c r="R290" s="581"/>
      <c r="T290" s="581"/>
    </row>
    <row r="291" spans="18:20" ht="12.75" x14ac:dyDescent="0.2">
      <c r="R291" s="581"/>
      <c r="T291" s="581"/>
    </row>
    <row r="292" spans="18:20" ht="12.75" x14ac:dyDescent="0.2">
      <c r="R292" s="581"/>
      <c r="T292" s="581"/>
    </row>
    <row r="293" spans="18:20" ht="12.75" x14ac:dyDescent="0.2">
      <c r="R293" s="581"/>
      <c r="T293" s="581"/>
    </row>
    <row r="294" spans="18:20" ht="12.75" x14ac:dyDescent="0.2">
      <c r="R294" s="581"/>
      <c r="T294" s="581"/>
    </row>
    <row r="295" spans="18:20" ht="12.75" x14ac:dyDescent="0.2">
      <c r="R295" s="581"/>
      <c r="T295" s="581"/>
    </row>
    <row r="296" spans="18:20" ht="12.75" x14ac:dyDescent="0.2">
      <c r="R296" s="581"/>
      <c r="T296" s="581"/>
    </row>
    <row r="297" spans="18:20" ht="12.75" x14ac:dyDescent="0.2">
      <c r="R297" s="581"/>
      <c r="T297" s="581"/>
    </row>
    <row r="298" spans="18:20" ht="12.75" x14ac:dyDescent="0.2">
      <c r="R298" s="581"/>
      <c r="T298" s="581"/>
    </row>
    <row r="299" spans="18:20" ht="12.75" x14ac:dyDescent="0.2">
      <c r="R299" s="581"/>
      <c r="T299" s="581"/>
    </row>
    <row r="300" spans="18:20" ht="12.75" x14ac:dyDescent="0.2">
      <c r="R300" s="581"/>
      <c r="T300" s="581"/>
    </row>
    <row r="301" spans="18:20" ht="12.75" x14ac:dyDescent="0.2">
      <c r="R301" s="581"/>
      <c r="T301" s="581"/>
    </row>
    <row r="302" spans="18:20" ht="12.75" x14ac:dyDescent="0.2">
      <c r="R302" s="581"/>
      <c r="T302" s="581"/>
    </row>
    <row r="303" spans="18:20" ht="12.75" x14ac:dyDescent="0.2">
      <c r="R303" s="581"/>
      <c r="T303" s="581"/>
    </row>
    <row r="304" spans="18:20" ht="12.75" x14ac:dyDescent="0.2">
      <c r="R304" s="581"/>
      <c r="T304" s="581"/>
    </row>
    <row r="305" spans="18:20" ht="12.75" x14ac:dyDescent="0.2">
      <c r="R305" s="581"/>
      <c r="T305" s="581"/>
    </row>
    <row r="306" spans="18:20" ht="12.75" x14ac:dyDescent="0.2">
      <c r="R306" s="581"/>
      <c r="T306" s="581"/>
    </row>
    <row r="307" spans="18:20" ht="12.75" x14ac:dyDescent="0.2">
      <c r="R307" s="581"/>
      <c r="T307" s="581"/>
    </row>
    <row r="308" spans="18:20" ht="12.75" x14ac:dyDescent="0.2">
      <c r="R308" s="581"/>
      <c r="T308" s="581"/>
    </row>
    <row r="309" spans="18:20" ht="12.75" x14ac:dyDescent="0.2">
      <c r="R309" s="581"/>
      <c r="T309" s="581"/>
    </row>
    <row r="310" spans="18:20" ht="12.75" x14ac:dyDescent="0.2">
      <c r="R310" s="581"/>
      <c r="T310" s="581"/>
    </row>
    <row r="311" spans="18:20" ht="12.75" x14ac:dyDescent="0.2">
      <c r="R311" s="581"/>
      <c r="T311" s="581"/>
    </row>
    <row r="312" spans="18:20" ht="12.75" x14ac:dyDescent="0.2">
      <c r="R312" s="581"/>
      <c r="T312" s="581"/>
    </row>
    <row r="313" spans="18:20" ht="12.75" x14ac:dyDescent="0.2">
      <c r="R313" s="581"/>
      <c r="T313" s="581"/>
    </row>
    <row r="314" spans="18:20" ht="12.75" x14ac:dyDescent="0.2">
      <c r="R314" s="581"/>
      <c r="T314" s="581"/>
    </row>
    <row r="315" spans="18:20" ht="12.75" x14ac:dyDescent="0.2">
      <c r="R315" s="581"/>
      <c r="T315" s="581"/>
    </row>
    <row r="316" spans="18:20" ht="12.75" x14ac:dyDescent="0.2">
      <c r="R316" s="581"/>
      <c r="T316" s="581"/>
    </row>
    <row r="317" spans="18:20" ht="12.75" x14ac:dyDescent="0.2">
      <c r="R317" s="581"/>
      <c r="T317" s="581"/>
    </row>
    <row r="318" spans="18:20" ht="12.75" x14ac:dyDescent="0.2">
      <c r="R318" s="581"/>
      <c r="T318" s="581"/>
    </row>
    <row r="319" spans="18:20" ht="12.75" x14ac:dyDescent="0.2">
      <c r="R319" s="581"/>
      <c r="T319" s="581"/>
    </row>
    <row r="320" spans="18:20" ht="12.75" x14ac:dyDescent="0.2">
      <c r="R320" s="581"/>
      <c r="T320" s="581"/>
    </row>
    <row r="321" spans="18:20" ht="12.75" x14ac:dyDescent="0.2">
      <c r="R321" s="581"/>
      <c r="T321" s="581"/>
    </row>
    <row r="322" spans="18:20" ht="12.75" x14ac:dyDescent="0.2">
      <c r="R322" s="581"/>
      <c r="T322" s="581"/>
    </row>
    <row r="323" spans="18:20" ht="12.75" x14ac:dyDescent="0.2">
      <c r="R323" s="581"/>
      <c r="T323" s="581"/>
    </row>
    <row r="324" spans="18:20" ht="12.75" x14ac:dyDescent="0.2">
      <c r="R324" s="581"/>
      <c r="T324" s="581"/>
    </row>
    <row r="325" spans="18:20" ht="12.75" x14ac:dyDescent="0.2">
      <c r="R325" s="581"/>
      <c r="T325" s="581"/>
    </row>
    <row r="326" spans="18:20" ht="12.75" x14ac:dyDescent="0.2">
      <c r="R326" s="581"/>
      <c r="T326" s="581"/>
    </row>
    <row r="327" spans="18:20" ht="12.75" x14ac:dyDescent="0.2">
      <c r="R327" s="581"/>
      <c r="T327" s="581"/>
    </row>
    <row r="328" spans="18:20" ht="12.75" x14ac:dyDescent="0.2">
      <c r="R328" s="581"/>
      <c r="T328" s="581"/>
    </row>
    <row r="329" spans="18:20" ht="12.75" x14ac:dyDescent="0.2">
      <c r="R329" s="581"/>
      <c r="T329" s="581"/>
    </row>
    <row r="330" spans="18:20" ht="12.75" x14ac:dyDescent="0.2">
      <c r="R330" s="581"/>
      <c r="T330" s="581"/>
    </row>
    <row r="331" spans="18:20" ht="12.75" x14ac:dyDescent="0.2">
      <c r="R331" s="581"/>
      <c r="T331" s="581"/>
    </row>
    <row r="332" spans="18:20" ht="12.75" x14ac:dyDescent="0.2">
      <c r="R332" s="581"/>
      <c r="T332" s="581"/>
    </row>
    <row r="333" spans="18:20" ht="12.75" x14ac:dyDescent="0.2">
      <c r="R333" s="581"/>
      <c r="T333" s="581"/>
    </row>
    <row r="334" spans="18:20" ht="12.75" x14ac:dyDescent="0.2">
      <c r="R334" s="581"/>
      <c r="T334" s="581"/>
    </row>
    <row r="335" spans="18:20" ht="12.75" x14ac:dyDescent="0.2">
      <c r="R335" s="581"/>
      <c r="T335" s="581"/>
    </row>
    <row r="336" spans="18:20" ht="12.75" x14ac:dyDescent="0.2">
      <c r="R336" s="581"/>
      <c r="T336" s="581"/>
    </row>
    <row r="337" spans="18:20" ht="12.75" x14ac:dyDescent="0.2">
      <c r="R337" s="581"/>
      <c r="T337" s="581"/>
    </row>
    <row r="338" spans="18:20" ht="12.75" x14ac:dyDescent="0.2">
      <c r="R338" s="581"/>
      <c r="T338" s="581"/>
    </row>
    <row r="339" spans="18:20" ht="12.75" x14ac:dyDescent="0.2">
      <c r="R339" s="581"/>
      <c r="T339" s="581"/>
    </row>
    <row r="340" spans="18:20" ht="12.75" x14ac:dyDescent="0.2">
      <c r="R340" s="581"/>
      <c r="T340" s="581"/>
    </row>
    <row r="341" spans="18:20" ht="12.75" x14ac:dyDescent="0.2">
      <c r="R341" s="581"/>
      <c r="T341" s="581"/>
    </row>
    <row r="342" spans="18:20" ht="12.75" x14ac:dyDescent="0.2">
      <c r="R342" s="581"/>
      <c r="T342" s="581"/>
    </row>
    <row r="343" spans="18:20" ht="12.75" x14ac:dyDescent="0.2">
      <c r="R343" s="581"/>
      <c r="T343" s="581"/>
    </row>
    <row r="344" spans="18:20" ht="12.75" x14ac:dyDescent="0.2">
      <c r="R344" s="581"/>
      <c r="T344" s="581"/>
    </row>
    <row r="345" spans="18:20" ht="12.75" x14ac:dyDescent="0.2">
      <c r="R345" s="581"/>
      <c r="T345" s="581"/>
    </row>
    <row r="346" spans="18:20" ht="12.75" x14ac:dyDescent="0.2">
      <c r="R346" s="581"/>
      <c r="T346" s="581"/>
    </row>
    <row r="347" spans="18:20" ht="12.75" x14ac:dyDescent="0.2">
      <c r="R347" s="581"/>
      <c r="T347" s="581"/>
    </row>
    <row r="348" spans="18:20" ht="12.75" x14ac:dyDescent="0.2">
      <c r="R348" s="581"/>
      <c r="T348" s="581"/>
    </row>
    <row r="349" spans="18:20" ht="12.75" x14ac:dyDescent="0.2">
      <c r="R349" s="581"/>
      <c r="T349" s="581"/>
    </row>
    <row r="350" spans="18:20" ht="12.75" x14ac:dyDescent="0.2">
      <c r="R350" s="581"/>
      <c r="T350" s="581"/>
    </row>
    <row r="351" spans="18:20" ht="12.75" x14ac:dyDescent="0.2">
      <c r="R351" s="581"/>
      <c r="T351" s="581"/>
    </row>
    <row r="352" spans="18:20" ht="12.75" x14ac:dyDescent="0.2">
      <c r="R352" s="581"/>
      <c r="T352" s="581"/>
    </row>
    <row r="353" spans="18:20" ht="12.75" x14ac:dyDescent="0.2">
      <c r="R353" s="581"/>
      <c r="T353" s="581"/>
    </row>
    <row r="354" spans="18:20" ht="12.75" x14ac:dyDescent="0.2">
      <c r="R354" s="581"/>
      <c r="T354" s="581"/>
    </row>
    <row r="355" spans="18:20" ht="12.75" x14ac:dyDescent="0.2">
      <c r="R355" s="581"/>
      <c r="T355" s="581"/>
    </row>
    <row r="356" spans="18:20" ht="12.75" x14ac:dyDescent="0.2">
      <c r="R356" s="581"/>
      <c r="T356" s="581"/>
    </row>
    <row r="357" spans="18:20" ht="12.75" x14ac:dyDescent="0.2">
      <c r="R357" s="581"/>
      <c r="T357" s="581"/>
    </row>
    <row r="358" spans="18:20" ht="12.75" x14ac:dyDescent="0.2">
      <c r="R358" s="581"/>
      <c r="T358" s="581"/>
    </row>
    <row r="359" spans="18:20" ht="12.75" x14ac:dyDescent="0.2">
      <c r="R359" s="581"/>
      <c r="T359" s="581"/>
    </row>
    <row r="360" spans="18:20" ht="12.75" x14ac:dyDescent="0.2">
      <c r="R360" s="581"/>
      <c r="T360" s="581"/>
    </row>
    <row r="361" spans="18:20" ht="12.75" x14ac:dyDescent="0.2">
      <c r="R361" s="581"/>
      <c r="T361" s="581"/>
    </row>
    <row r="362" spans="18:20" ht="12.75" x14ac:dyDescent="0.2">
      <c r="R362" s="581"/>
      <c r="T362" s="581"/>
    </row>
    <row r="363" spans="18:20" ht="12.75" x14ac:dyDescent="0.2">
      <c r="R363" s="581"/>
      <c r="T363" s="581"/>
    </row>
    <row r="364" spans="18:20" ht="12.75" x14ac:dyDescent="0.2">
      <c r="R364" s="581"/>
      <c r="T364" s="581"/>
    </row>
    <row r="365" spans="18:20" ht="12.75" x14ac:dyDescent="0.2">
      <c r="R365" s="581"/>
      <c r="T365" s="581"/>
    </row>
    <row r="366" spans="18:20" ht="12.75" x14ac:dyDescent="0.2">
      <c r="R366" s="581"/>
      <c r="T366" s="581"/>
    </row>
    <row r="367" spans="18:20" ht="12.75" x14ac:dyDescent="0.2">
      <c r="R367" s="581"/>
      <c r="T367" s="581"/>
    </row>
    <row r="368" spans="18:20" ht="12.75" x14ac:dyDescent="0.2">
      <c r="R368" s="581"/>
      <c r="T368" s="581"/>
    </row>
    <row r="369" spans="18:20" ht="12.75" x14ac:dyDescent="0.2">
      <c r="R369" s="581"/>
      <c r="T369" s="581"/>
    </row>
    <row r="370" spans="18:20" ht="12.75" x14ac:dyDescent="0.2">
      <c r="R370" s="581"/>
      <c r="T370" s="581"/>
    </row>
    <row r="371" spans="18:20" ht="12.75" x14ac:dyDescent="0.2">
      <c r="R371" s="581"/>
      <c r="T371" s="581"/>
    </row>
    <row r="372" spans="18:20" ht="12.75" x14ac:dyDescent="0.2">
      <c r="R372" s="581"/>
      <c r="T372" s="581"/>
    </row>
    <row r="373" spans="18:20" ht="12.75" x14ac:dyDescent="0.2">
      <c r="R373" s="581"/>
      <c r="T373" s="581"/>
    </row>
    <row r="374" spans="18:20" ht="12.75" x14ac:dyDescent="0.2">
      <c r="R374" s="581"/>
      <c r="T374" s="581"/>
    </row>
    <row r="375" spans="18:20" ht="12.75" x14ac:dyDescent="0.2">
      <c r="R375" s="581"/>
      <c r="T375" s="581"/>
    </row>
    <row r="376" spans="18:20" ht="12.75" x14ac:dyDescent="0.2">
      <c r="R376" s="581"/>
      <c r="T376" s="581"/>
    </row>
    <row r="377" spans="18:20" ht="12.75" x14ac:dyDescent="0.2">
      <c r="R377" s="581"/>
      <c r="T377" s="581"/>
    </row>
    <row r="378" spans="18:20" ht="12.75" x14ac:dyDescent="0.2">
      <c r="R378" s="581"/>
      <c r="T378" s="581"/>
    </row>
    <row r="379" spans="18:20" ht="12.75" x14ac:dyDescent="0.2">
      <c r="R379" s="581"/>
      <c r="T379" s="581"/>
    </row>
    <row r="380" spans="18:20" ht="12.75" x14ac:dyDescent="0.2">
      <c r="R380" s="581"/>
      <c r="T380" s="581"/>
    </row>
    <row r="381" spans="18:20" ht="12.75" x14ac:dyDescent="0.2">
      <c r="R381" s="581"/>
      <c r="T381" s="581"/>
    </row>
    <row r="382" spans="18:20" ht="12.75" x14ac:dyDescent="0.2">
      <c r="R382" s="581"/>
      <c r="T382" s="581"/>
    </row>
    <row r="383" spans="18:20" ht="12.75" x14ac:dyDescent="0.2">
      <c r="R383" s="581"/>
      <c r="T383" s="581"/>
    </row>
    <row r="384" spans="18:20" ht="12.75" x14ac:dyDescent="0.2">
      <c r="R384" s="581"/>
      <c r="T384" s="581"/>
    </row>
    <row r="385" spans="18:20" ht="12.75" x14ac:dyDescent="0.2">
      <c r="R385" s="581"/>
      <c r="T385" s="581"/>
    </row>
    <row r="386" spans="18:20" ht="12.75" x14ac:dyDescent="0.2">
      <c r="R386" s="581"/>
      <c r="T386" s="581"/>
    </row>
    <row r="387" spans="18:20" ht="12.75" x14ac:dyDescent="0.2">
      <c r="R387" s="581"/>
      <c r="T387" s="581"/>
    </row>
    <row r="388" spans="18:20" ht="12.75" x14ac:dyDescent="0.2">
      <c r="R388" s="581"/>
      <c r="T388" s="581"/>
    </row>
    <row r="389" spans="18:20" ht="12.75" x14ac:dyDescent="0.2">
      <c r="R389" s="581"/>
      <c r="T389" s="581"/>
    </row>
    <row r="390" spans="18:20" ht="12.75" x14ac:dyDescent="0.2">
      <c r="R390" s="581"/>
      <c r="T390" s="581"/>
    </row>
    <row r="391" spans="18:20" ht="12.75" x14ac:dyDescent="0.2">
      <c r="R391" s="581"/>
      <c r="T391" s="581"/>
    </row>
    <row r="392" spans="18:20" ht="12.75" x14ac:dyDescent="0.2">
      <c r="R392" s="581"/>
      <c r="T392" s="581"/>
    </row>
    <row r="393" spans="18:20" ht="12.75" x14ac:dyDescent="0.2">
      <c r="R393" s="581"/>
      <c r="T393" s="581"/>
    </row>
    <row r="394" spans="18:20" ht="12.75" x14ac:dyDescent="0.2">
      <c r="R394" s="581"/>
      <c r="T394" s="581"/>
    </row>
    <row r="395" spans="18:20" ht="12.75" x14ac:dyDescent="0.2">
      <c r="R395" s="581"/>
      <c r="T395" s="581"/>
    </row>
    <row r="396" spans="18:20" ht="12.75" x14ac:dyDescent="0.2">
      <c r="R396" s="581"/>
      <c r="T396" s="581"/>
    </row>
    <row r="397" spans="18:20" ht="12.75" x14ac:dyDescent="0.2">
      <c r="R397" s="581"/>
      <c r="T397" s="581"/>
    </row>
    <row r="398" spans="18:20" ht="12.75" x14ac:dyDescent="0.2">
      <c r="R398" s="581"/>
      <c r="T398" s="581"/>
    </row>
    <row r="399" spans="18:20" ht="12.75" x14ac:dyDescent="0.2">
      <c r="R399" s="581"/>
      <c r="T399" s="581"/>
    </row>
    <row r="400" spans="18:20" ht="12.75" x14ac:dyDescent="0.2">
      <c r="R400" s="581"/>
      <c r="T400" s="581"/>
    </row>
    <row r="401" spans="18:20" ht="12.75" x14ac:dyDescent="0.2">
      <c r="R401" s="581"/>
      <c r="T401" s="581"/>
    </row>
    <row r="402" spans="18:20" ht="12.75" x14ac:dyDescent="0.2">
      <c r="R402" s="581"/>
      <c r="T402" s="581"/>
    </row>
    <row r="403" spans="18:20" ht="12.75" x14ac:dyDescent="0.2">
      <c r="R403" s="581"/>
      <c r="T403" s="581"/>
    </row>
    <row r="404" spans="18:20" ht="12.75" x14ac:dyDescent="0.2">
      <c r="R404" s="581"/>
      <c r="T404" s="581"/>
    </row>
    <row r="405" spans="18:20" ht="12.75" x14ac:dyDescent="0.2">
      <c r="R405" s="581"/>
      <c r="T405" s="581"/>
    </row>
    <row r="406" spans="18:20" ht="12.75" x14ac:dyDescent="0.2">
      <c r="R406" s="581"/>
      <c r="T406" s="581"/>
    </row>
    <row r="407" spans="18:20" ht="12.75" x14ac:dyDescent="0.2">
      <c r="R407" s="581"/>
      <c r="T407" s="581"/>
    </row>
    <row r="408" spans="18:20" ht="12.75" x14ac:dyDescent="0.2">
      <c r="R408" s="581"/>
      <c r="T408" s="581"/>
    </row>
    <row r="409" spans="18:20" ht="12.75" x14ac:dyDescent="0.2">
      <c r="R409" s="581"/>
      <c r="T409" s="581"/>
    </row>
    <row r="410" spans="18:20" ht="12.75" x14ac:dyDescent="0.2">
      <c r="R410" s="581"/>
      <c r="T410" s="581"/>
    </row>
    <row r="411" spans="18:20" ht="12.75" x14ac:dyDescent="0.2">
      <c r="R411" s="581"/>
      <c r="T411" s="581"/>
    </row>
    <row r="412" spans="18:20" ht="12.75" x14ac:dyDescent="0.2">
      <c r="R412" s="581"/>
      <c r="T412" s="581"/>
    </row>
    <row r="413" spans="18:20" ht="12.75" x14ac:dyDescent="0.2">
      <c r="R413" s="581"/>
      <c r="T413" s="581"/>
    </row>
    <row r="414" spans="18:20" ht="12.75" x14ac:dyDescent="0.2">
      <c r="R414" s="581"/>
      <c r="T414" s="581"/>
    </row>
    <row r="415" spans="18:20" ht="12.75" x14ac:dyDescent="0.2">
      <c r="R415" s="581"/>
      <c r="T415" s="581"/>
    </row>
    <row r="416" spans="18:20" ht="12.75" x14ac:dyDescent="0.2">
      <c r="R416" s="581"/>
      <c r="T416" s="581"/>
    </row>
    <row r="417" spans="18:20" ht="12.75" x14ac:dyDescent="0.2">
      <c r="R417" s="581"/>
      <c r="T417" s="581"/>
    </row>
    <row r="418" spans="18:20" ht="12.75" x14ac:dyDescent="0.2">
      <c r="R418" s="581"/>
      <c r="T418" s="581"/>
    </row>
    <row r="419" spans="18:20" ht="12.75" x14ac:dyDescent="0.2">
      <c r="R419" s="581"/>
      <c r="T419" s="581"/>
    </row>
    <row r="420" spans="18:20" ht="12.75" x14ac:dyDescent="0.2">
      <c r="R420" s="581"/>
      <c r="T420" s="581"/>
    </row>
    <row r="421" spans="18:20" ht="12.75" x14ac:dyDescent="0.2">
      <c r="R421" s="581"/>
      <c r="T421" s="581"/>
    </row>
    <row r="422" spans="18:20" ht="12.75" x14ac:dyDescent="0.2">
      <c r="R422" s="581"/>
      <c r="T422" s="581"/>
    </row>
    <row r="423" spans="18:20" ht="12.75" x14ac:dyDescent="0.2">
      <c r="R423" s="581"/>
      <c r="T423" s="581"/>
    </row>
    <row r="424" spans="18:20" ht="12.75" x14ac:dyDescent="0.2">
      <c r="R424" s="581"/>
      <c r="T424" s="581"/>
    </row>
    <row r="425" spans="18:20" ht="12.75" x14ac:dyDescent="0.2">
      <c r="R425" s="581"/>
      <c r="T425" s="581"/>
    </row>
    <row r="426" spans="18:20" ht="12.75" x14ac:dyDescent="0.2">
      <c r="R426" s="581"/>
      <c r="T426" s="581"/>
    </row>
    <row r="427" spans="18:20" ht="12.75" x14ac:dyDescent="0.2">
      <c r="R427" s="581"/>
      <c r="T427" s="581"/>
    </row>
    <row r="428" spans="18:20" ht="12.75" x14ac:dyDescent="0.2">
      <c r="R428" s="581"/>
      <c r="T428" s="581"/>
    </row>
    <row r="429" spans="18:20" ht="12.75" x14ac:dyDescent="0.2">
      <c r="R429" s="581"/>
      <c r="T429" s="581"/>
    </row>
    <row r="430" spans="18:20" ht="12.75" x14ac:dyDescent="0.2">
      <c r="R430" s="581"/>
      <c r="T430" s="581"/>
    </row>
    <row r="431" spans="18:20" ht="12.75" x14ac:dyDescent="0.2">
      <c r="R431" s="581"/>
      <c r="T431" s="581"/>
    </row>
    <row r="432" spans="18:20" ht="12.75" x14ac:dyDescent="0.2">
      <c r="R432" s="581"/>
      <c r="T432" s="581"/>
    </row>
    <row r="433" spans="18:20" ht="12.75" x14ac:dyDescent="0.2">
      <c r="R433" s="581"/>
      <c r="T433" s="581"/>
    </row>
    <row r="434" spans="18:20" ht="12.75" x14ac:dyDescent="0.2">
      <c r="R434" s="581"/>
      <c r="T434" s="581"/>
    </row>
    <row r="435" spans="18:20" ht="12.75" x14ac:dyDescent="0.2">
      <c r="R435" s="581"/>
      <c r="T435" s="581"/>
    </row>
    <row r="436" spans="18:20" ht="12.75" x14ac:dyDescent="0.2">
      <c r="R436" s="581"/>
      <c r="T436" s="581"/>
    </row>
    <row r="437" spans="18:20" ht="12.75" x14ac:dyDescent="0.2">
      <c r="R437" s="581"/>
      <c r="T437" s="581"/>
    </row>
    <row r="438" spans="18:20" ht="12.75" x14ac:dyDescent="0.2">
      <c r="R438" s="581"/>
      <c r="T438" s="581"/>
    </row>
    <row r="439" spans="18:20" ht="12.75" x14ac:dyDescent="0.2">
      <c r="R439" s="581"/>
      <c r="T439" s="581"/>
    </row>
    <row r="440" spans="18:20" ht="12.75" x14ac:dyDescent="0.2">
      <c r="R440" s="581"/>
      <c r="T440" s="581"/>
    </row>
    <row r="441" spans="18:20" ht="12.75" x14ac:dyDescent="0.2">
      <c r="R441" s="581"/>
      <c r="T441" s="581"/>
    </row>
    <row r="442" spans="18:20" ht="12.75" x14ac:dyDescent="0.2">
      <c r="R442" s="581"/>
      <c r="T442" s="581"/>
    </row>
    <row r="443" spans="18:20" ht="12.75" x14ac:dyDescent="0.2">
      <c r="R443" s="581"/>
      <c r="T443" s="581"/>
    </row>
    <row r="444" spans="18:20" ht="12.75" x14ac:dyDescent="0.2">
      <c r="R444" s="581"/>
      <c r="T444" s="581"/>
    </row>
    <row r="445" spans="18:20" ht="12.75" x14ac:dyDescent="0.2">
      <c r="R445" s="581"/>
      <c r="T445" s="581"/>
    </row>
    <row r="446" spans="18:20" ht="12.75" x14ac:dyDescent="0.2">
      <c r="R446" s="581"/>
      <c r="T446" s="581"/>
    </row>
    <row r="447" spans="18:20" ht="12.75" x14ac:dyDescent="0.2">
      <c r="R447" s="581"/>
      <c r="T447" s="581"/>
    </row>
    <row r="448" spans="18:20" ht="12.75" x14ac:dyDescent="0.2">
      <c r="R448" s="581"/>
      <c r="T448" s="581"/>
    </row>
    <row r="449" spans="18:20" ht="12.75" x14ac:dyDescent="0.2">
      <c r="R449" s="581"/>
      <c r="T449" s="581"/>
    </row>
    <row r="450" spans="18:20" ht="12.75" x14ac:dyDescent="0.2">
      <c r="R450" s="581"/>
      <c r="T450" s="581"/>
    </row>
    <row r="451" spans="18:20" ht="12.75" x14ac:dyDescent="0.2">
      <c r="R451" s="581"/>
      <c r="T451" s="581"/>
    </row>
    <row r="452" spans="18:20" ht="12.75" x14ac:dyDescent="0.2">
      <c r="R452" s="581"/>
      <c r="T452" s="581"/>
    </row>
    <row r="453" spans="18:20" ht="12.75" x14ac:dyDescent="0.2">
      <c r="R453" s="581"/>
      <c r="T453" s="581"/>
    </row>
    <row r="454" spans="18:20" ht="12.75" x14ac:dyDescent="0.2">
      <c r="R454" s="581"/>
      <c r="T454" s="581"/>
    </row>
    <row r="455" spans="18:20" ht="12.75" x14ac:dyDescent="0.2">
      <c r="R455" s="581"/>
      <c r="T455" s="581"/>
    </row>
    <row r="456" spans="18:20" ht="12.75" x14ac:dyDescent="0.2">
      <c r="R456" s="581"/>
      <c r="T456" s="581"/>
    </row>
    <row r="457" spans="18:20" ht="12.75" x14ac:dyDescent="0.2">
      <c r="R457" s="581"/>
      <c r="T457" s="581"/>
    </row>
    <row r="458" spans="18:20" ht="12.75" x14ac:dyDescent="0.2">
      <c r="R458" s="581"/>
      <c r="T458" s="581"/>
    </row>
    <row r="459" spans="18:20" ht="12.75" x14ac:dyDescent="0.2">
      <c r="R459" s="581"/>
      <c r="T459" s="581"/>
    </row>
    <row r="460" spans="18:20" ht="12.75" x14ac:dyDescent="0.2">
      <c r="R460" s="581"/>
      <c r="T460" s="581"/>
    </row>
    <row r="461" spans="18:20" ht="12.75" x14ac:dyDescent="0.2">
      <c r="R461" s="581"/>
      <c r="T461" s="581"/>
    </row>
    <row r="462" spans="18:20" ht="12.75" x14ac:dyDescent="0.2">
      <c r="R462" s="581"/>
      <c r="T462" s="581"/>
    </row>
    <row r="463" spans="18:20" ht="12.75" x14ac:dyDescent="0.2">
      <c r="R463" s="581"/>
      <c r="T463" s="581"/>
    </row>
    <row r="464" spans="18:20" ht="12.75" x14ac:dyDescent="0.2">
      <c r="R464" s="581"/>
      <c r="T464" s="581"/>
    </row>
    <row r="465" spans="18:20" ht="12.75" x14ac:dyDescent="0.2">
      <c r="R465" s="581"/>
      <c r="T465" s="581"/>
    </row>
    <row r="466" spans="18:20" ht="12.75" x14ac:dyDescent="0.2">
      <c r="R466" s="581"/>
      <c r="T466" s="581"/>
    </row>
    <row r="467" spans="18:20" ht="12.75" x14ac:dyDescent="0.2">
      <c r="R467" s="581"/>
      <c r="T467" s="581"/>
    </row>
    <row r="468" spans="18:20" ht="12.75" x14ac:dyDescent="0.2">
      <c r="R468" s="581"/>
      <c r="T468" s="581"/>
    </row>
    <row r="469" spans="18:20" ht="12.75" x14ac:dyDescent="0.2">
      <c r="R469" s="581"/>
      <c r="T469" s="581"/>
    </row>
    <row r="470" spans="18:20" ht="12.75" x14ac:dyDescent="0.2">
      <c r="R470" s="581"/>
      <c r="T470" s="581"/>
    </row>
    <row r="471" spans="18:20" ht="12.75" x14ac:dyDescent="0.2">
      <c r="R471" s="581"/>
      <c r="T471" s="581"/>
    </row>
    <row r="472" spans="18:20" ht="12.75" x14ac:dyDescent="0.2">
      <c r="R472" s="581"/>
      <c r="T472" s="581"/>
    </row>
    <row r="473" spans="18:20" ht="12.75" x14ac:dyDescent="0.2">
      <c r="R473" s="581"/>
      <c r="T473" s="581"/>
    </row>
    <row r="474" spans="18:20" ht="12.75" x14ac:dyDescent="0.2">
      <c r="R474" s="581"/>
      <c r="T474" s="581"/>
    </row>
    <row r="475" spans="18:20" ht="12.75" x14ac:dyDescent="0.2">
      <c r="R475" s="581"/>
      <c r="T475" s="581"/>
    </row>
    <row r="476" spans="18:20" ht="12.75" x14ac:dyDescent="0.2">
      <c r="R476" s="581"/>
      <c r="T476" s="581"/>
    </row>
    <row r="477" spans="18:20" ht="12.75" x14ac:dyDescent="0.2">
      <c r="R477" s="581"/>
      <c r="T477" s="581"/>
    </row>
    <row r="478" spans="18:20" ht="12.75" x14ac:dyDescent="0.2">
      <c r="R478" s="581"/>
      <c r="T478" s="581"/>
    </row>
    <row r="479" spans="18:20" ht="12.75" x14ac:dyDescent="0.2">
      <c r="R479" s="581"/>
      <c r="T479" s="581"/>
    </row>
    <row r="480" spans="18:20" ht="12.75" x14ac:dyDescent="0.2">
      <c r="R480" s="581"/>
      <c r="T480" s="581"/>
    </row>
    <row r="481" spans="18:20" ht="12.75" x14ac:dyDescent="0.2">
      <c r="R481" s="581"/>
      <c r="T481" s="581"/>
    </row>
    <row r="482" spans="18:20" ht="12.75" x14ac:dyDescent="0.2">
      <c r="R482" s="581"/>
      <c r="T482" s="581"/>
    </row>
    <row r="483" spans="18:20" ht="12.75" x14ac:dyDescent="0.2">
      <c r="R483" s="581"/>
      <c r="T483" s="581"/>
    </row>
    <row r="484" spans="18:20" ht="12.75" x14ac:dyDescent="0.2">
      <c r="R484" s="581"/>
      <c r="T484" s="581"/>
    </row>
    <row r="485" spans="18:20" ht="12.75" x14ac:dyDescent="0.2">
      <c r="R485" s="581"/>
      <c r="T485" s="581"/>
    </row>
    <row r="486" spans="18:20" ht="12.75" x14ac:dyDescent="0.2">
      <c r="R486" s="581"/>
      <c r="T486" s="581"/>
    </row>
    <row r="487" spans="18:20" ht="12.75" x14ac:dyDescent="0.2">
      <c r="R487" s="581"/>
      <c r="T487" s="581"/>
    </row>
    <row r="488" spans="18:20" ht="12.75" x14ac:dyDescent="0.2">
      <c r="R488" s="581"/>
      <c r="T488" s="581"/>
    </row>
    <row r="489" spans="18:20" ht="12.75" x14ac:dyDescent="0.2">
      <c r="R489" s="581"/>
      <c r="T489" s="581"/>
    </row>
    <row r="490" spans="18:20" ht="12.75" x14ac:dyDescent="0.2">
      <c r="R490" s="581"/>
      <c r="T490" s="581"/>
    </row>
    <row r="491" spans="18:20" ht="12.75" x14ac:dyDescent="0.2">
      <c r="R491" s="581"/>
      <c r="T491" s="581"/>
    </row>
    <row r="492" spans="18:20" ht="12.75" x14ac:dyDescent="0.2">
      <c r="R492" s="581"/>
      <c r="T492" s="581"/>
    </row>
    <row r="493" spans="18:20" ht="12.75" x14ac:dyDescent="0.2">
      <c r="R493" s="581"/>
      <c r="T493" s="581"/>
    </row>
    <row r="494" spans="18:20" ht="12.75" x14ac:dyDescent="0.2">
      <c r="R494" s="581"/>
      <c r="T494" s="581"/>
    </row>
    <row r="495" spans="18:20" ht="12.75" x14ac:dyDescent="0.2">
      <c r="R495" s="581"/>
      <c r="T495" s="581"/>
    </row>
    <row r="496" spans="18:20" ht="12.75" x14ac:dyDescent="0.2">
      <c r="R496" s="581"/>
      <c r="T496" s="581"/>
    </row>
    <row r="497" spans="18:20" ht="12.75" x14ac:dyDescent="0.2">
      <c r="R497" s="581"/>
      <c r="T497" s="581"/>
    </row>
    <row r="498" spans="18:20" ht="12.75" x14ac:dyDescent="0.2">
      <c r="R498" s="581"/>
      <c r="T498" s="581"/>
    </row>
    <row r="499" spans="18:20" ht="12.75" x14ac:dyDescent="0.2">
      <c r="R499" s="581"/>
      <c r="T499" s="581"/>
    </row>
    <row r="500" spans="18:20" ht="12.75" x14ac:dyDescent="0.2">
      <c r="R500" s="581"/>
      <c r="T500" s="581"/>
    </row>
    <row r="501" spans="18:20" ht="12.75" x14ac:dyDescent="0.2">
      <c r="R501" s="581"/>
      <c r="T501" s="581"/>
    </row>
    <row r="502" spans="18:20" ht="12.75" x14ac:dyDescent="0.2">
      <c r="R502" s="581"/>
      <c r="T502" s="581"/>
    </row>
    <row r="503" spans="18:20" ht="12.75" x14ac:dyDescent="0.2">
      <c r="R503" s="581"/>
      <c r="T503" s="581"/>
    </row>
    <row r="504" spans="18:20" ht="12.75" x14ac:dyDescent="0.2">
      <c r="R504" s="581"/>
      <c r="T504" s="581"/>
    </row>
    <row r="505" spans="18:20" ht="12.75" x14ac:dyDescent="0.2">
      <c r="R505" s="581"/>
      <c r="T505" s="581"/>
    </row>
    <row r="506" spans="18:20" ht="12.75" x14ac:dyDescent="0.2">
      <c r="R506" s="581"/>
      <c r="T506" s="581"/>
    </row>
    <row r="507" spans="18:20" ht="12.75" x14ac:dyDescent="0.2">
      <c r="R507" s="581"/>
      <c r="T507" s="581"/>
    </row>
    <row r="508" spans="18:20" ht="12.75" x14ac:dyDescent="0.2">
      <c r="R508" s="581"/>
      <c r="T508" s="581"/>
    </row>
    <row r="509" spans="18:20" ht="12.75" x14ac:dyDescent="0.2">
      <c r="R509" s="581"/>
      <c r="T509" s="581"/>
    </row>
    <row r="510" spans="18:20" ht="12.75" x14ac:dyDescent="0.2">
      <c r="R510" s="581"/>
      <c r="T510" s="581"/>
    </row>
    <row r="511" spans="18:20" ht="12.75" x14ac:dyDescent="0.2">
      <c r="R511" s="581"/>
      <c r="T511" s="581"/>
    </row>
    <row r="512" spans="18:20" ht="12.75" x14ac:dyDescent="0.2">
      <c r="R512" s="581"/>
      <c r="T512" s="581"/>
    </row>
    <row r="513" spans="18:20" ht="12.75" x14ac:dyDescent="0.2">
      <c r="R513" s="581"/>
      <c r="T513" s="581"/>
    </row>
    <row r="514" spans="18:20" ht="12.75" x14ac:dyDescent="0.2">
      <c r="R514" s="581"/>
      <c r="T514" s="581"/>
    </row>
    <row r="515" spans="18:20" ht="12.75" x14ac:dyDescent="0.2">
      <c r="R515" s="581"/>
      <c r="T515" s="581"/>
    </row>
    <row r="516" spans="18:20" ht="12.75" x14ac:dyDescent="0.2">
      <c r="R516" s="581"/>
      <c r="T516" s="581"/>
    </row>
    <row r="517" spans="18:20" ht="12.75" x14ac:dyDescent="0.2">
      <c r="R517" s="581"/>
      <c r="T517" s="581"/>
    </row>
    <row r="518" spans="18:20" ht="12.75" x14ac:dyDescent="0.2">
      <c r="R518" s="581"/>
      <c r="T518" s="581"/>
    </row>
    <row r="519" spans="18:20" ht="12.75" x14ac:dyDescent="0.2">
      <c r="R519" s="581"/>
      <c r="T519" s="581"/>
    </row>
    <row r="520" spans="18:20" ht="12.75" x14ac:dyDescent="0.2">
      <c r="R520" s="581"/>
      <c r="T520" s="581"/>
    </row>
    <row r="521" spans="18:20" ht="12.75" x14ac:dyDescent="0.2">
      <c r="R521" s="581"/>
      <c r="T521" s="581"/>
    </row>
    <row r="522" spans="18:20" ht="12.75" x14ac:dyDescent="0.2">
      <c r="R522" s="581"/>
      <c r="T522" s="581"/>
    </row>
    <row r="523" spans="18:20" ht="12.75" x14ac:dyDescent="0.2">
      <c r="R523" s="581"/>
      <c r="T523" s="581"/>
    </row>
    <row r="524" spans="18:20" ht="12.75" x14ac:dyDescent="0.2">
      <c r="R524" s="581"/>
      <c r="T524" s="581"/>
    </row>
    <row r="525" spans="18:20" ht="12.75" x14ac:dyDescent="0.2">
      <c r="R525" s="581"/>
      <c r="T525" s="581"/>
    </row>
    <row r="526" spans="18:20" ht="12.75" x14ac:dyDescent="0.2">
      <c r="R526" s="581"/>
      <c r="T526" s="581"/>
    </row>
    <row r="527" spans="18:20" ht="12.75" x14ac:dyDescent="0.2">
      <c r="R527" s="581"/>
      <c r="T527" s="581"/>
    </row>
    <row r="528" spans="18:20" ht="12.75" x14ac:dyDescent="0.2">
      <c r="R528" s="581"/>
      <c r="T528" s="581"/>
    </row>
    <row r="529" spans="18:20" ht="12.75" x14ac:dyDescent="0.2">
      <c r="R529" s="581"/>
      <c r="T529" s="581"/>
    </row>
    <row r="530" spans="18:20" ht="12.75" x14ac:dyDescent="0.2">
      <c r="R530" s="581"/>
      <c r="T530" s="581"/>
    </row>
    <row r="531" spans="18:20" ht="12.75" x14ac:dyDescent="0.2">
      <c r="R531" s="581"/>
      <c r="T531" s="581"/>
    </row>
    <row r="532" spans="18:20" ht="12.75" x14ac:dyDescent="0.2">
      <c r="R532" s="581"/>
      <c r="T532" s="581"/>
    </row>
    <row r="533" spans="18:20" ht="12.75" x14ac:dyDescent="0.2">
      <c r="R533" s="581"/>
      <c r="T533" s="581"/>
    </row>
    <row r="534" spans="18:20" ht="12.75" x14ac:dyDescent="0.2">
      <c r="R534" s="581"/>
      <c r="T534" s="581"/>
    </row>
    <row r="535" spans="18:20" ht="12.75" x14ac:dyDescent="0.2">
      <c r="R535" s="581"/>
      <c r="T535" s="581"/>
    </row>
    <row r="536" spans="18:20" ht="12.75" x14ac:dyDescent="0.2">
      <c r="R536" s="581"/>
      <c r="T536" s="581"/>
    </row>
    <row r="537" spans="18:20" ht="12.75" x14ac:dyDescent="0.2">
      <c r="R537" s="581"/>
      <c r="T537" s="581"/>
    </row>
    <row r="538" spans="18:20" ht="12.75" x14ac:dyDescent="0.2">
      <c r="R538" s="581"/>
      <c r="T538" s="581"/>
    </row>
    <row r="539" spans="18:20" ht="12.75" x14ac:dyDescent="0.2">
      <c r="R539" s="581"/>
      <c r="T539" s="581"/>
    </row>
    <row r="540" spans="18:20" ht="12.75" x14ac:dyDescent="0.2">
      <c r="R540" s="581"/>
      <c r="T540" s="581"/>
    </row>
    <row r="541" spans="18:20" ht="12.75" x14ac:dyDescent="0.2">
      <c r="R541" s="581"/>
      <c r="T541" s="581"/>
    </row>
    <row r="542" spans="18:20" ht="12.75" x14ac:dyDescent="0.2">
      <c r="R542" s="581"/>
      <c r="T542" s="581"/>
    </row>
    <row r="543" spans="18:20" ht="12.75" x14ac:dyDescent="0.2">
      <c r="R543" s="581"/>
      <c r="T543" s="581"/>
    </row>
    <row r="544" spans="18:20" ht="12.75" x14ac:dyDescent="0.2">
      <c r="R544" s="581"/>
      <c r="T544" s="581"/>
    </row>
    <row r="545" spans="18:20" ht="12.75" x14ac:dyDescent="0.2">
      <c r="R545" s="581"/>
      <c r="T545" s="581"/>
    </row>
    <row r="546" spans="18:20" ht="12.75" x14ac:dyDescent="0.2">
      <c r="R546" s="581"/>
      <c r="T546" s="581"/>
    </row>
    <row r="547" spans="18:20" ht="12.75" x14ac:dyDescent="0.2">
      <c r="R547" s="581"/>
      <c r="T547" s="581"/>
    </row>
    <row r="548" spans="18:20" ht="12.75" x14ac:dyDescent="0.2">
      <c r="R548" s="581"/>
      <c r="T548" s="581"/>
    </row>
    <row r="549" spans="18:20" ht="12.75" x14ac:dyDescent="0.2">
      <c r="R549" s="581"/>
      <c r="T549" s="581"/>
    </row>
    <row r="550" spans="18:20" ht="12.75" x14ac:dyDescent="0.2">
      <c r="R550" s="581"/>
      <c r="T550" s="581"/>
    </row>
    <row r="551" spans="18:20" ht="12.75" x14ac:dyDescent="0.2">
      <c r="R551" s="581"/>
      <c r="T551" s="581"/>
    </row>
    <row r="552" spans="18:20" ht="12.75" x14ac:dyDescent="0.2">
      <c r="R552" s="581"/>
      <c r="T552" s="581"/>
    </row>
    <row r="553" spans="18:20" ht="12.75" x14ac:dyDescent="0.2">
      <c r="R553" s="581"/>
      <c r="T553" s="581"/>
    </row>
    <row r="554" spans="18:20" ht="12.75" x14ac:dyDescent="0.2">
      <c r="R554" s="581"/>
      <c r="T554" s="581"/>
    </row>
    <row r="555" spans="18:20" ht="12.75" x14ac:dyDescent="0.2">
      <c r="R555" s="581"/>
      <c r="T555" s="581"/>
    </row>
    <row r="556" spans="18:20" ht="12.75" x14ac:dyDescent="0.2">
      <c r="R556" s="581"/>
      <c r="T556" s="581"/>
    </row>
    <row r="557" spans="18:20" ht="12.75" x14ac:dyDescent="0.2">
      <c r="R557" s="581"/>
      <c r="T557" s="581"/>
    </row>
    <row r="558" spans="18:20" ht="12.75" x14ac:dyDescent="0.2">
      <c r="R558" s="581"/>
      <c r="T558" s="581"/>
    </row>
    <row r="559" spans="18:20" ht="12.75" x14ac:dyDescent="0.2">
      <c r="R559" s="581"/>
      <c r="T559" s="581"/>
    </row>
    <row r="560" spans="18:20" ht="12.75" x14ac:dyDescent="0.2">
      <c r="R560" s="581"/>
      <c r="T560" s="581"/>
    </row>
    <row r="561" spans="18:20" ht="12.75" x14ac:dyDescent="0.2">
      <c r="R561" s="581"/>
      <c r="T561" s="581"/>
    </row>
    <row r="562" spans="18:20" ht="12.75" x14ac:dyDescent="0.2">
      <c r="R562" s="581"/>
      <c r="T562" s="581"/>
    </row>
    <row r="563" spans="18:20" ht="12.75" x14ac:dyDescent="0.2">
      <c r="R563" s="581"/>
      <c r="T563" s="581"/>
    </row>
    <row r="564" spans="18:20" ht="12.75" x14ac:dyDescent="0.2">
      <c r="R564" s="581"/>
      <c r="T564" s="581"/>
    </row>
    <row r="565" spans="18:20" ht="12.75" x14ac:dyDescent="0.2">
      <c r="R565" s="581"/>
      <c r="T565" s="581"/>
    </row>
    <row r="566" spans="18:20" ht="12.75" x14ac:dyDescent="0.2">
      <c r="R566" s="581"/>
      <c r="T566" s="581"/>
    </row>
    <row r="567" spans="18:20" ht="12.75" x14ac:dyDescent="0.2">
      <c r="R567" s="581"/>
      <c r="T567" s="581"/>
    </row>
    <row r="568" spans="18:20" ht="12.75" x14ac:dyDescent="0.2">
      <c r="R568" s="581"/>
      <c r="T568" s="581"/>
    </row>
    <row r="569" spans="18:20" ht="12.75" x14ac:dyDescent="0.2">
      <c r="R569" s="581"/>
      <c r="T569" s="581"/>
    </row>
    <row r="570" spans="18:20" ht="12.75" x14ac:dyDescent="0.2">
      <c r="R570" s="581"/>
      <c r="T570" s="581"/>
    </row>
    <row r="571" spans="18:20" ht="12.75" x14ac:dyDescent="0.2">
      <c r="R571" s="581"/>
      <c r="T571" s="581"/>
    </row>
    <row r="572" spans="18:20" ht="12.75" x14ac:dyDescent="0.2">
      <c r="R572" s="581"/>
      <c r="T572" s="581"/>
    </row>
    <row r="573" spans="18:20" ht="12.75" x14ac:dyDescent="0.2">
      <c r="R573" s="581"/>
      <c r="T573" s="581"/>
    </row>
    <row r="574" spans="18:20" ht="12.75" x14ac:dyDescent="0.2">
      <c r="R574" s="581"/>
      <c r="T574" s="581"/>
    </row>
    <row r="575" spans="18:20" ht="12.75" x14ac:dyDescent="0.2">
      <c r="R575" s="581"/>
      <c r="T575" s="581"/>
    </row>
    <row r="576" spans="18:20" ht="12.75" x14ac:dyDescent="0.2">
      <c r="R576" s="581"/>
      <c r="T576" s="581"/>
    </row>
    <row r="577" spans="18:20" ht="12.75" x14ac:dyDescent="0.2">
      <c r="R577" s="581"/>
      <c r="T577" s="581"/>
    </row>
    <row r="578" spans="18:20" ht="12.75" x14ac:dyDescent="0.2">
      <c r="R578" s="581"/>
      <c r="T578" s="581"/>
    </row>
    <row r="579" spans="18:20" ht="12.75" x14ac:dyDescent="0.2">
      <c r="R579" s="581"/>
      <c r="T579" s="581"/>
    </row>
    <row r="580" spans="18:20" ht="12.75" x14ac:dyDescent="0.2">
      <c r="R580" s="581"/>
      <c r="T580" s="581"/>
    </row>
    <row r="581" spans="18:20" ht="12.75" x14ac:dyDescent="0.2">
      <c r="R581" s="581"/>
      <c r="T581" s="581"/>
    </row>
    <row r="582" spans="18:20" ht="12.75" x14ac:dyDescent="0.2">
      <c r="R582" s="581"/>
      <c r="T582" s="581"/>
    </row>
    <row r="583" spans="18:20" ht="12.75" x14ac:dyDescent="0.2">
      <c r="R583" s="581"/>
      <c r="T583" s="581"/>
    </row>
    <row r="584" spans="18:20" ht="12.75" x14ac:dyDescent="0.2">
      <c r="R584" s="581"/>
      <c r="T584" s="581"/>
    </row>
    <row r="585" spans="18:20" ht="12.75" x14ac:dyDescent="0.2">
      <c r="R585" s="581"/>
      <c r="T585" s="581"/>
    </row>
    <row r="586" spans="18:20" ht="12.75" x14ac:dyDescent="0.2">
      <c r="R586" s="581"/>
      <c r="T586" s="581"/>
    </row>
    <row r="587" spans="18:20" ht="12.75" x14ac:dyDescent="0.2">
      <c r="R587" s="581"/>
      <c r="T587" s="581"/>
    </row>
    <row r="588" spans="18:20" ht="12.75" x14ac:dyDescent="0.2">
      <c r="R588" s="581"/>
      <c r="T588" s="581"/>
    </row>
    <row r="589" spans="18:20" ht="12.75" x14ac:dyDescent="0.2">
      <c r="R589" s="581"/>
      <c r="T589" s="581"/>
    </row>
    <row r="590" spans="18:20" ht="12.75" x14ac:dyDescent="0.2">
      <c r="R590" s="581"/>
      <c r="T590" s="581"/>
    </row>
    <row r="591" spans="18:20" ht="12.75" x14ac:dyDescent="0.2">
      <c r="R591" s="581"/>
      <c r="T591" s="581"/>
    </row>
    <row r="592" spans="18:20" ht="12.75" x14ac:dyDescent="0.2">
      <c r="R592" s="581"/>
      <c r="T592" s="581"/>
    </row>
    <row r="593" spans="18:20" ht="12.75" x14ac:dyDescent="0.2">
      <c r="R593" s="581"/>
      <c r="T593" s="581"/>
    </row>
    <row r="594" spans="18:20" ht="12.75" x14ac:dyDescent="0.2">
      <c r="R594" s="581"/>
      <c r="T594" s="581"/>
    </row>
    <row r="595" spans="18:20" ht="12.75" x14ac:dyDescent="0.2">
      <c r="R595" s="581"/>
      <c r="T595" s="581"/>
    </row>
    <row r="596" spans="18:20" ht="12.75" x14ac:dyDescent="0.2">
      <c r="R596" s="581"/>
      <c r="T596" s="581"/>
    </row>
    <row r="597" spans="18:20" ht="12.75" x14ac:dyDescent="0.2">
      <c r="R597" s="581"/>
      <c r="T597" s="581"/>
    </row>
    <row r="598" spans="18:20" ht="12.75" x14ac:dyDescent="0.2">
      <c r="R598" s="581"/>
      <c r="T598" s="581"/>
    </row>
    <row r="599" spans="18:20" ht="12.75" x14ac:dyDescent="0.2">
      <c r="R599" s="581"/>
      <c r="T599" s="581"/>
    </row>
    <row r="600" spans="18:20" ht="12.75" x14ac:dyDescent="0.2">
      <c r="R600" s="581"/>
      <c r="T600" s="581"/>
    </row>
    <row r="601" spans="18:20" ht="12.75" x14ac:dyDescent="0.2">
      <c r="R601" s="581"/>
      <c r="T601" s="581"/>
    </row>
    <row r="602" spans="18:20" ht="12.75" x14ac:dyDescent="0.2">
      <c r="R602" s="581"/>
      <c r="T602" s="581"/>
    </row>
    <row r="603" spans="18:20" ht="12.75" x14ac:dyDescent="0.2">
      <c r="R603" s="581"/>
      <c r="T603" s="581"/>
    </row>
    <row r="604" spans="18:20" ht="12.75" x14ac:dyDescent="0.2">
      <c r="R604" s="581"/>
      <c r="T604" s="581"/>
    </row>
    <row r="605" spans="18:20" ht="12.75" x14ac:dyDescent="0.2">
      <c r="R605" s="581"/>
      <c r="T605" s="581"/>
    </row>
    <row r="606" spans="18:20" ht="12.75" x14ac:dyDescent="0.2">
      <c r="R606" s="581"/>
      <c r="T606" s="581"/>
    </row>
    <row r="607" spans="18:20" ht="12.75" x14ac:dyDescent="0.2">
      <c r="R607" s="581"/>
      <c r="T607" s="581"/>
    </row>
    <row r="608" spans="18:20" ht="12.75" x14ac:dyDescent="0.2">
      <c r="R608" s="581"/>
      <c r="T608" s="581"/>
    </row>
    <row r="609" spans="18:20" ht="12.75" x14ac:dyDescent="0.2">
      <c r="R609" s="581"/>
      <c r="T609" s="581"/>
    </row>
    <row r="610" spans="18:20" ht="12.75" x14ac:dyDescent="0.2">
      <c r="R610" s="581"/>
      <c r="T610" s="581"/>
    </row>
    <row r="611" spans="18:20" ht="12.75" x14ac:dyDescent="0.2">
      <c r="R611" s="581"/>
      <c r="T611" s="581"/>
    </row>
    <row r="612" spans="18:20" ht="12.75" x14ac:dyDescent="0.2">
      <c r="R612" s="581"/>
      <c r="T612" s="581"/>
    </row>
    <row r="613" spans="18:20" ht="12.75" x14ac:dyDescent="0.2">
      <c r="R613" s="581"/>
      <c r="T613" s="581"/>
    </row>
    <row r="614" spans="18:20" ht="12.75" x14ac:dyDescent="0.2">
      <c r="R614" s="581"/>
      <c r="T614" s="581"/>
    </row>
    <row r="615" spans="18:20" ht="12.75" x14ac:dyDescent="0.2">
      <c r="R615" s="581"/>
      <c r="T615" s="581"/>
    </row>
    <row r="616" spans="18:20" ht="12.75" x14ac:dyDescent="0.2">
      <c r="R616" s="581"/>
      <c r="T616" s="581"/>
    </row>
    <row r="617" spans="18:20" ht="12.75" x14ac:dyDescent="0.2">
      <c r="R617" s="581"/>
      <c r="T617" s="581"/>
    </row>
    <row r="618" spans="18:20" ht="12.75" x14ac:dyDescent="0.2">
      <c r="R618" s="581"/>
      <c r="T618" s="581"/>
    </row>
    <row r="619" spans="18:20" ht="12.75" x14ac:dyDescent="0.2">
      <c r="R619" s="581"/>
      <c r="T619" s="581"/>
    </row>
    <row r="620" spans="18:20" ht="12.75" x14ac:dyDescent="0.2">
      <c r="R620" s="581"/>
      <c r="T620" s="581"/>
    </row>
    <row r="621" spans="18:20" ht="12.75" x14ac:dyDescent="0.2">
      <c r="R621" s="581"/>
      <c r="T621" s="581"/>
    </row>
    <row r="622" spans="18:20" ht="12.75" x14ac:dyDescent="0.2">
      <c r="R622" s="581"/>
      <c r="T622" s="581"/>
    </row>
    <row r="623" spans="18:20" ht="12.75" x14ac:dyDescent="0.2">
      <c r="R623" s="581"/>
      <c r="T623" s="581"/>
    </row>
    <row r="624" spans="18:20" ht="12.75" x14ac:dyDescent="0.2">
      <c r="R624" s="581"/>
      <c r="T624" s="581"/>
    </row>
    <row r="625" spans="18:20" ht="12.75" x14ac:dyDescent="0.2">
      <c r="R625" s="581"/>
      <c r="T625" s="581"/>
    </row>
    <row r="626" spans="18:20" ht="12.75" x14ac:dyDescent="0.2">
      <c r="R626" s="581"/>
      <c r="T626" s="581"/>
    </row>
    <row r="627" spans="18:20" ht="12.75" x14ac:dyDescent="0.2">
      <c r="R627" s="581"/>
      <c r="T627" s="581"/>
    </row>
    <row r="628" spans="18:20" ht="12.75" x14ac:dyDescent="0.2">
      <c r="R628" s="581"/>
      <c r="T628" s="581"/>
    </row>
    <row r="629" spans="18:20" ht="12.75" x14ac:dyDescent="0.2">
      <c r="R629" s="581"/>
      <c r="T629" s="581"/>
    </row>
    <row r="630" spans="18:20" ht="12.75" x14ac:dyDescent="0.2">
      <c r="R630" s="581"/>
      <c r="T630" s="581"/>
    </row>
    <row r="631" spans="18:20" ht="12.75" x14ac:dyDescent="0.2">
      <c r="R631" s="581"/>
      <c r="T631" s="581"/>
    </row>
    <row r="632" spans="18:20" ht="12.75" x14ac:dyDescent="0.2">
      <c r="R632" s="581"/>
      <c r="T632" s="581"/>
    </row>
    <row r="633" spans="18:20" ht="12.75" x14ac:dyDescent="0.2">
      <c r="R633" s="581"/>
      <c r="T633" s="581"/>
    </row>
    <row r="634" spans="18:20" ht="12.75" x14ac:dyDescent="0.2">
      <c r="R634" s="581"/>
      <c r="T634" s="581"/>
    </row>
    <row r="635" spans="18:20" ht="12.75" x14ac:dyDescent="0.2">
      <c r="R635" s="581"/>
      <c r="T635" s="581"/>
    </row>
    <row r="636" spans="18:20" ht="12.75" x14ac:dyDescent="0.2">
      <c r="R636" s="581"/>
      <c r="T636" s="581"/>
    </row>
    <row r="637" spans="18:20" ht="12.75" x14ac:dyDescent="0.2">
      <c r="R637" s="581"/>
      <c r="T637" s="581"/>
    </row>
    <row r="638" spans="18:20" ht="12.75" x14ac:dyDescent="0.2">
      <c r="R638" s="581"/>
      <c r="T638" s="581"/>
    </row>
    <row r="639" spans="18:20" ht="12.75" x14ac:dyDescent="0.2">
      <c r="R639" s="581"/>
      <c r="T639" s="581"/>
    </row>
    <row r="640" spans="18:20" ht="12.75" x14ac:dyDescent="0.2">
      <c r="R640" s="581"/>
      <c r="T640" s="581"/>
    </row>
    <row r="641" spans="18:20" ht="12.75" x14ac:dyDescent="0.2">
      <c r="R641" s="581"/>
      <c r="T641" s="581"/>
    </row>
    <row r="642" spans="18:20" ht="12.75" x14ac:dyDescent="0.2">
      <c r="R642" s="581"/>
      <c r="T642" s="581"/>
    </row>
    <row r="643" spans="18:20" ht="12.75" x14ac:dyDescent="0.2">
      <c r="R643" s="581"/>
      <c r="T643" s="581"/>
    </row>
    <row r="644" spans="18:20" ht="12.75" x14ac:dyDescent="0.2">
      <c r="R644" s="581"/>
      <c r="T644" s="581"/>
    </row>
    <row r="645" spans="18:20" ht="12.75" x14ac:dyDescent="0.2">
      <c r="R645" s="581"/>
      <c r="T645" s="581"/>
    </row>
    <row r="646" spans="18:20" ht="12.75" x14ac:dyDescent="0.2">
      <c r="R646" s="581"/>
      <c r="T646" s="581"/>
    </row>
    <row r="647" spans="18:20" ht="12.75" x14ac:dyDescent="0.2">
      <c r="R647" s="581"/>
      <c r="T647" s="581"/>
    </row>
    <row r="648" spans="18:20" ht="12.75" x14ac:dyDescent="0.2">
      <c r="R648" s="581"/>
      <c r="T648" s="581"/>
    </row>
    <row r="649" spans="18:20" ht="12.75" x14ac:dyDescent="0.2">
      <c r="R649" s="581"/>
      <c r="T649" s="581"/>
    </row>
    <row r="650" spans="18:20" ht="12.75" x14ac:dyDescent="0.2">
      <c r="R650" s="581"/>
      <c r="T650" s="581"/>
    </row>
    <row r="651" spans="18:20" ht="12.75" x14ac:dyDescent="0.2">
      <c r="R651" s="581"/>
      <c r="T651" s="581"/>
    </row>
    <row r="652" spans="18:20" ht="12.75" x14ac:dyDescent="0.2">
      <c r="R652" s="581"/>
      <c r="T652" s="581"/>
    </row>
    <row r="653" spans="18:20" ht="12.75" x14ac:dyDescent="0.2">
      <c r="R653" s="581"/>
      <c r="T653" s="581"/>
    </row>
    <row r="654" spans="18:20" ht="12.75" x14ac:dyDescent="0.2">
      <c r="R654" s="581"/>
      <c r="T654" s="581"/>
    </row>
    <row r="655" spans="18:20" ht="12.75" x14ac:dyDescent="0.2">
      <c r="R655" s="581"/>
      <c r="T655" s="581"/>
    </row>
    <row r="656" spans="18:20" ht="12.75" x14ac:dyDescent="0.2">
      <c r="R656" s="581"/>
      <c r="T656" s="581"/>
    </row>
    <row r="657" spans="18:20" ht="12.75" x14ac:dyDescent="0.2">
      <c r="R657" s="581"/>
      <c r="T657" s="581"/>
    </row>
    <row r="658" spans="18:20" ht="12.75" x14ac:dyDescent="0.2">
      <c r="R658" s="581"/>
      <c r="T658" s="581"/>
    </row>
    <row r="659" spans="18:20" ht="12.75" x14ac:dyDescent="0.2">
      <c r="R659" s="581"/>
      <c r="T659" s="581"/>
    </row>
    <row r="660" spans="18:20" ht="12.75" x14ac:dyDescent="0.2">
      <c r="R660" s="581"/>
      <c r="T660" s="581"/>
    </row>
    <row r="661" spans="18:20" ht="12.75" x14ac:dyDescent="0.2">
      <c r="R661" s="581"/>
      <c r="T661" s="581"/>
    </row>
    <row r="662" spans="18:20" ht="12.75" x14ac:dyDescent="0.2">
      <c r="R662" s="581"/>
      <c r="T662" s="581"/>
    </row>
    <row r="663" spans="18:20" ht="12.75" x14ac:dyDescent="0.2">
      <c r="R663" s="581"/>
      <c r="T663" s="581"/>
    </row>
    <row r="664" spans="18:20" ht="12.75" x14ac:dyDescent="0.2">
      <c r="R664" s="581"/>
      <c r="T664" s="581"/>
    </row>
    <row r="665" spans="18:20" ht="12.75" x14ac:dyDescent="0.2">
      <c r="R665" s="581"/>
      <c r="T665" s="581"/>
    </row>
    <row r="666" spans="18:20" ht="12.75" x14ac:dyDescent="0.2">
      <c r="R666" s="581"/>
      <c r="T666" s="581"/>
    </row>
    <row r="667" spans="18:20" ht="12.75" x14ac:dyDescent="0.2">
      <c r="R667" s="581"/>
      <c r="T667" s="581"/>
    </row>
    <row r="668" spans="18:20" ht="12.75" x14ac:dyDescent="0.2">
      <c r="R668" s="581"/>
      <c r="T668" s="581"/>
    </row>
    <row r="669" spans="18:20" ht="12.75" x14ac:dyDescent="0.2">
      <c r="R669" s="581"/>
      <c r="T669" s="581"/>
    </row>
    <row r="670" spans="18:20" ht="12.75" x14ac:dyDescent="0.2">
      <c r="R670" s="581"/>
      <c r="T670" s="581"/>
    </row>
    <row r="671" spans="18:20" ht="12.75" x14ac:dyDescent="0.2">
      <c r="R671" s="581"/>
      <c r="T671" s="581"/>
    </row>
    <row r="672" spans="18:20" ht="12.75" x14ac:dyDescent="0.2">
      <c r="R672" s="581"/>
      <c r="T672" s="581"/>
    </row>
    <row r="673" spans="18:20" ht="12.75" x14ac:dyDescent="0.2">
      <c r="R673" s="581"/>
      <c r="T673" s="581"/>
    </row>
    <row r="674" spans="18:20" ht="12.75" x14ac:dyDescent="0.2">
      <c r="R674" s="581"/>
      <c r="T674" s="581"/>
    </row>
    <row r="675" spans="18:20" ht="12.75" x14ac:dyDescent="0.2">
      <c r="R675" s="581"/>
      <c r="T675" s="581"/>
    </row>
    <row r="676" spans="18:20" ht="12.75" x14ac:dyDescent="0.2">
      <c r="R676" s="581"/>
      <c r="T676" s="581"/>
    </row>
    <row r="677" spans="18:20" ht="12.75" x14ac:dyDescent="0.2">
      <c r="R677" s="581"/>
      <c r="T677" s="581"/>
    </row>
    <row r="678" spans="18:20" ht="12.75" x14ac:dyDescent="0.2">
      <c r="R678" s="581"/>
      <c r="T678" s="581"/>
    </row>
    <row r="679" spans="18:20" ht="12.75" x14ac:dyDescent="0.2">
      <c r="R679" s="581"/>
      <c r="T679" s="581"/>
    </row>
    <row r="680" spans="18:20" ht="12.75" x14ac:dyDescent="0.2">
      <c r="R680" s="581"/>
      <c r="T680" s="581"/>
    </row>
    <row r="681" spans="18:20" ht="12.75" x14ac:dyDescent="0.2">
      <c r="R681" s="581"/>
      <c r="T681" s="581"/>
    </row>
    <row r="682" spans="18:20" ht="12.75" x14ac:dyDescent="0.2">
      <c r="R682" s="581"/>
      <c r="T682" s="581"/>
    </row>
    <row r="683" spans="18:20" ht="12.75" x14ac:dyDescent="0.2">
      <c r="R683" s="581"/>
      <c r="T683" s="581"/>
    </row>
    <row r="684" spans="18:20" ht="12.75" x14ac:dyDescent="0.2">
      <c r="R684" s="581"/>
      <c r="T684" s="581"/>
    </row>
    <row r="685" spans="18:20" ht="12.75" x14ac:dyDescent="0.2">
      <c r="R685" s="581"/>
      <c r="T685" s="581"/>
    </row>
    <row r="686" spans="18:20" ht="12.75" x14ac:dyDescent="0.2">
      <c r="R686" s="581"/>
      <c r="T686" s="581"/>
    </row>
    <row r="687" spans="18:20" ht="12.75" x14ac:dyDescent="0.2">
      <c r="R687" s="581"/>
      <c r="T687" s="581"/>
    </row>
    <row r="688" spans="18:20" ht="12.75" x14ac:dyDescent="0.2">
      <c r="R688" s="581"/>
      <c r="T688" s="581"/>
    </row>
    <row r="689" spans="18:20" ht="12.75" x14ac:dyDescent="0.2">
      <c r="R689" s="581"/>
      <c r="T689" s="581"/>
    </row>
    <row r="690" spans="18:20" ht="12.75" x14ac:dyDescent="0.2">
      <c r="R690" s="581"/>
      <c r="T690" s="581"/>
    </row>
    <row r="691" spans="18:20" ht="12.75" x14ac:dyDescent="0.2">
      <c r="R691" s="581"/>
      <c r="T691" s="581"/>
    </row>
    <row r="692" spans="18:20" ht="12.75" x14ac:dyDescent="0.2">
      <c r="R692" s="581"/>
      <c r="T692" s="581"/>
    </row>
    <row r="693" spans="18:20" ht="12.75" x14ac:dyDescent="0.2">
      <c r="R693" s="581"/>
      <c r="T693" s="581"/>
    </row>
    <row r="694" spans="18:20" ht="12.75" x14ac:dyDescent="0.2">
      <c r="R694" s="581"/>
      <c r="T694" s="581"/>
    </row>
    <row r="695" spans="18:20" ht="12.75" x14ac:dyDescent="0.2">
      <c r="R695" s="581"/>
      <c r="T695" s="581"/>
    </row>
    <row r="696" spans="18:20" ht="12.75" x14ac:dyDescent="0.2">
      <c r="R696" s="581"/>
      <c r="T696" s="581"/>
    </row>
    <row r="697" spans="18:20" ht="12.75" x14ac:dyDescent="0.2">
      <c r="R697" s="581"/>
      <c r="T697" s="581"/>
    </row>
    <row r="698" spans="18:20" ht="12.75" x14ac:dyDescent="0.2">
      <c r="R698" s="581"/>
      <c r="T698" s="581"/>
    </row>
    <row r="699" spans="18:20" ht="12.75" x14ac:dyDescent="0.2">
      <c r="R699" s="581"/>
      <c r="T699" s="581"/>
    </row>
    <row r="700" spans="18:20" ht="12.75" x14ac:dyDescent="0.2">
      <c r="R700" s="581"/>
      <c r="T700" s="581"/>
    </row>
    <row r="701" spans="18:20" ht="12.75" x14ac:dyDescent="0.2">
      <c r="R701" s="581"/>
      <c r="T701" s="581"/>
    </row>
    <row r="702" spans="18:20" ht="12.75" x14ac:dyDescent="0.2">
      <c r="R702" s="581"/>
      <c r="T702" s="581"/>
    </row>
    <row r="703" spans="18:20" ht="12.75" x14ac:dyDescent="0.2">
      <c r="R703" s="581"/>
      <c r="T703" s="581"/>
    </row>
    <row r="704" spans="18:20" ht="12.75" x14ac:dyDescent="0.2">
      <c r="R704" s="581"/>
      <c r="T704" s="581"/>
    </row>
    <row r="705" spans="18:20" ht="12.75" x14ac:dyDescent="0.2">
      <c r="R705" s="581"/>
      <c r="T705" s="581"/>
    </row>
    <row r="706" spans="18:20" ht="12.75" x14ac:dyDescent="0.2">
      <c r="R706" s="581"/>
      <c r="T706" s="581"/>
    </row>
    <row r="707" spans="18:20" ht="12.75" x14ac:dyDescent="0.2">
      <c r="R707" s="581"/>
      <c r="T707" s="581"/>
    </row>
    <row r="708" spans="18:20" ht="12.75" x14ac:dyDescent="0.2">
      <c r="R708" s="581"/>
      <c r="T708" s="581"/>
    </row>
    <row r="709" spans="18:20" ht="12.75" x14ac:dyDescent="0.2">
      <c r="R709" s="581"/>
      <c r="T709" s="581"/>
    </row>
    <row r="710" spans="18:20" ht="12.75" x14ac:dyDescent="0.2">
      <c r="R710" s="581"/>
      <c r="T710" s="581"/>
    </row>
    <row r="711" spans="18:20" ht="12.75" x14ac:dyDescent="0.2">
      <c r="R711" s="581"/>
      <c r="T711" s="581"/>
    </row>
    <row r="712" spans="18:20" ht="12.75" x14ac:dyDescent="0.2">
      <c r="R712" s="581"/>
      <c r="T712" s="581"/>
    </row>
    <row r="713" spans="18:20" ht="12.75" x14ac:dyDescent="0.2">
      <c r="R713" s="581"/>
      <c r="T713" s="581"/>
    </row>
    <row r="714" spans="18:20" ht="12.75" x14ac:dyDescent="0.2">
      <c r="R714" s="581"/>
      <c r="T714" s="581"/>
    </row>
    <row r="715" spans="18:20" ht="12.75" x14ac:dyDescent="0.2">
      <c r="R715" s="581"/>
      <c r="T715" s="581"/>
    </row>
    <row r="716" spans="18:20" ht="12.75" x14ac:dyDescent="0.2">
      <c r="R716" s="581"/>
      <c r="T716" s="581"/>
    </row>
    <row r="717" spans="18:20" ht="12.75" x14ac:dyDescent="0.2">
      <c r="R717" s="581"/>
      <c r="T717" s="581"/>
    </row>
    <row r="718" spans="18:20" ht="12.75" x14ac:dyDescent="0.2">
      <c r="R718" s="581"/>
      <c r="T718" s="581"/>
    </row>
    <row r="719" spans="18:20" ht="12.75" x14ac:dyDescent="0.2">
      <c r="R719" s="581"/>
      <c r="T719" s="581"/>
    </row>
    <row r="720" spans="18:20" ht="12.75" x14ac:dyDescent="0.2">
      <c r="R720" s="581"/>
      <c r="T720" s="581"/>
    </row>
    <row r="721" spans="18:20" ht="12.75" x14ac:dyDescent="0.2">
      <c r="R721" s="581"/>
      <c r="T721" s="581"/>
    </row>
    <row r="722" spans="18:20" ht="12.75" x14ac:dyDescent="0.2">
      <c r="R722" s="581"/>
      <c r="T722" s="581"/>
    </row>
    <row r="723" spans="18:20" ht="12.75" x14ac:dyDescent="0.2">
      <c r="R723" s="581"/>
      <c r="T723" s="581"/>
    </row>
    <row r="724" spans="18:20" ht="12.75" x14ac:dyDescent="0.2">
      <c r="R724" s="581"/>
      <c r="T724" s="581"/>
    </row>
    <row r="725" spans="18:20" ht="12.75" x14ac:dyDescent="0.2">
      <c r="R725" s="581"/>
      <c r="T725" s="581"/>
    </row>
    <row r="726" spans="18:20" ht="12.75" x14ac:dyDescent="0.2">
      <c r="R726" s="581"/>
      <c r="T726" s="581"/>
    </row>
    <row r="727" spans="18:20" ht="12.75" x14ac:dyDescent="0.2">
      <c r="R727" s="581"/>
      <c r="T727" s="581"/>
    </row>
    <row r="728" spans="18:20" ht="12.75" x14ac:dyDescent="0.2">
      <c r="R728" s="581"/>
      <c r="T728" s="581"/>
    </row>
    <row r="729" spans="18:20" ht="12.75" x14ac:dyDescent="0.2">
      <c r="R729" s="581"/>
      <c r="T729" s="581"/>
    </row>
    <row r="730" spans="18:20" ht="12.75" x14ac:dyDescent="0.2">
      <c r="R730" s="581"/>
      <c r="T730" s="581"/>
    </row>
    <row r="731" spans="18:20" ht="12.75" x14ac:dyDescent="0.2">
      <c r="R731" s="581"/>
      <c r="T731" s="581"/>
    </row>
    <row r="732" spans="18:20" ht="12.75" x14ac:dyDescent="0.2">
      <c r="R732" s="581"/>
      <c r="T732" s="581"/>
    </row>
    <row r="733" spans="18:20" ht="12.75" x14ac:dyDescent="0.2">
      <c r="R733" s="581"/>
      <c r="T733" s="581"/>
    </row>
    <row r="734" spans="18:20" ht="12.75" x14ac:dyDescent="0.2">
      <c r="R734" s="581"/>
      <c r="T734" s="581"/>
    </row>
    <row r="735" spans="18:20" ht="12.75" x14ac:dyDescent="0.2">
      <c r="R735" s="581"/>
      <c r="T735" s="581"/>
    </row>
    <row r="736" spans="18:20" ht="12.75" x14ac:dyDescent="0.2">
      <c r="R736" s="581"/>
      <c r="T736" s="581"/>
    </row>
    <row r="737" spans="18:20" ht="12.75" x14ac:dyDescent="0.2">
      <c r="R737" s="581"/>
      <c r="T737" s="581"/>
    </row>
    <row r="738" spans="18:20" ht="12.75" x14ac:dyDescent="0.2">
      <c r="R738" s="581"/>
      <c r="T738" s="581"/>
    </row>
    <row r="739" spans="18:20" ht="12.75" x14ac:dyDescent="0.2">
      <c r="R739" s="581"/>
      <c r="T739" s="581"/>
    </row>
    <row r="740" spans="18:20" ht="12.75" x14ac:dyDescent="0.2">
      <c r="R740" s="581"/>
      <c r="T740" s="581"/>
    </row>
    <row r="741" spans="18:20" ht="12.75" x14ac:dyDescent="0.2">
      <c r="R741" s="581"/>
      <c r="T741" s="581"/>
    </row>
    <row r="742" spans="18:20" ht="12.75" x14ac:dyDescent="0.2">
      <c r="R742" s="581"/>
      <c r="T742" s="581"/>
    </row>
    <row r="743" spans="18:20" ht="12.75" x14ac:dyDescent="0.2">
      <c r="R743" s="581"/>
      <c r="T743" s="581"/>
    </row>
    <row r="744" spans="18:20" ht="12.75" x14ac:dyDescent="0.2">
      <c r="R744" s="581"/>
      <c r="T744" s="581"/>
    </row>
    <row r="745" spans="18:20" ht="12.75" x14ac:dyDescent="0.2">
      <c r="R745" s="581"/>
      <c r="T745" s="581"/>
    </row>
    <row r="746" spans="18:20" ht="12.75" x14ac:dyDescent="0.2">
      <c r="R746" s="581"/>
      <c r="T746" s="581"/>
    </row>
    <row r="747" spans="18:20" ht="12.75" x14ac:dyDescent="0.2">
      <c r="R747" s="581"/>
      <c r="T747" s="581"/>
    </row>
    <row r="748" spans="18:20" ht="12.75" x14ac:dyDescent="0.2">
      <c r="R748" s="581"/>
      <c r="T748" s="581"/>
    </row>
    <row r="749" spans="18:20" ht="12.75" x14ac:dyDescent="0.2">
      <c r="R749" s="581"/>
      <c r="T749" s="581"/>
    </row>
    <row r="750" spans="18:20" ht="12.75" x14ac:dyDescent="0.2">
      <c r="R750" s="581"/>
      <c r="T750" s="581"/>
    </row>
    <row r="751" spans="18:20" ht="12.75" x14ac:dyDescent="0.2">
      <c r="R751" s="581"/>
      <c r="T751" s="581"/>
    </row>
    <row r="752" spans="18:20" ht="12.75" x14ac:dyDescent="0.2">
      <c r="R752" s="581"/>
      <c r="T752" s="581"/>
    </row>
    <row r="753" spans="18:20" ht="12.75" x14ac:dyDescent="0.2">
      <c r="R753" s="581"/>
      <c r="T753" s="581"/>
    </row>
    <row r="754" spans="18:20" ht="12.75" x14ac:dyDescent="0.2">
      <c r="R754" s="581"/>
      <c r="T754" s="581"/>
    </row>
    <row r="755" spans="18:20" ht="12.75" x14ac:dyDescent="0.2">
      <c r="R755" s="581"/>
      <c r="T755" s="581"/>
    </row>
    <row r="756" spans="18:20" ht="12.75" x14ac:dyDescent="0.2">
      <c r="R756" s="581"/>
      <c r="T756" s="581"/>
    </row>
    <row r="757" spans="18:20" ht="12.75" x14ac:dyDescent="0.2">
      <c r="R757" s="581"/>
      <c r="T757" s="581"/>
    </row>
    <row r="758" spans="18:20" ht="12.75" x14ac:dyDescent="0.2">
      <c r="R758" s="581"/>
      <c r="T758" s="581"/>
    </row>
    <row r="759" spans="18:20" ht="12.75" x14ac:dyDescent="0.2">
      <c r="R759" s="581"/>
      <c r="T759" s="581"/>
    </row>
    <row r="760" spans="18:20" ht="12.75" x14ac:dyDescent="0.2">
      <c r="R760" s="581"/>
      <c r="T760" s="581"/>
    </row>
    <row r="761" spans="18:20" ht="12.75" x14ac:dyDescent="0.2">
      <c r="R761" s="581"/>
      <c r="T761" s="581"/>
    </row>
    <row r="762" spans="18:20" ht="12.75" x14ac:dyDescent="0.2">
      <c r="R762" s="581"/>
      <c r="T762" s="581"/>
    </row>
    <row r="763" spans="18:20" ht="12.75" x14ac:dyDescent="0.2">
      <c r="R763" s="581"/>
      <c r="T763" s="581"/>
    </row>
    <row r="764" spans="18:20" ht="12.75" x14ac:dyDescent="0.2">
      <c r="R764" s="581"/>
      <c r="T764" s="581"/>
    </row>
    <row r="765" spans="18:20" ht="12.75" x14ac:dyDescent="0.2">
      <c r="R765" s="581"/>
      <c r="T765" s="581"/>
    </row>
    <row r="766" spans="18:20" ht="12.75" x14ac:dyDescent="0.2">
      <c r="R766" s="581"/>
      <c r="T766" s="581"/>
    </row>
    <row r="767" spans="18:20" ht="12.75" x14ac:dyDescent="0.2">
      <c r="R767" s="581"/>
      <c r="T767" s="581"/>
    </row>
    <row r="768" spans="18:20" ht="12.75" x14ac:dyDescent="0.2">
      <c r="R768" s="581"/>
      <c r="T768" s="581"/>
    </row>
    <row r="769" spans="18:20" ht="12.75" x14ac:dyDescent="0.2">
      <c r="R769" s="581"/>
      <c r="T769" s="581"/>
    </row>
    <row r="770" spans="18:20" ht="12.75" x14ac:dyDescent="0.2">
      <c r="R770" s="581"/>
      <c r="T770" s="581"/>
    </row>
    <row r="771" spans="18:20" ht="12.75" x14ac:dyDescent="0.2">
      <c r="R771" s="581"/>
      <c r="T771" s="581"/>
    </row>
    <row r="772" spans="18:20" ht="12.75" x14ac:dyDescent="0.2">
      <c r="R772" s="581"/>
      <c r="T772" s="581"/>
    </row>
    <row r="773" spans="18:20" ht="12.75" x14ac:dyDescent="0.2">
      <c r="R773" s="581"/>
      <c r="T773" s="581"/>
    </row>
    <row r="774" spans="18:20" ht="12.75" x14ac:dyDescent="0.2">
      <c r="R774" s="581"/>
      <c r="T774" s="581"/>
    </row>
    <row r="775" spans="18:20" ht="12.75" x14ac:dyDescent="0.2">
      <c r="R775" s="581"/>
      <c r="T775" s="581"/>
    </row>
    <row r="776" spans="18:20" ht="12.75" x14ac:dyDescent="0.2">
      <c r="R776" s="581"/>
      <c r="T776" s="581"/>
    </row>
    <row r="777" spans="18:20" ht="12.75" x14ac:dyDescent="0.2">
      <c r="R777" s="581"/>
      <c r="T777" s="581"/>
    </row>
    <row r="778" spans="18:20" ht="12.75" x14ac:dyDescent="0.2">
      <c r="R778" s="581"/>
      <c r="T778" s="581"/>
    </row>
    <row r="779" spans="18:20" ht="12.75" x14ac:dyDescent="0.2">
      <c r="R779" s="581"/>
      <c r="T779" s="581"/>
    </row>
    <row r="780" spans="18:20" ht="12.75" x14ac:dyDescent="0.2">
      <c r="R780" s="581"/>
      <c r="T780" s="581"/>
    </row>
    <row r="781" spans="18:20" ht="12.75" x14ac:dyDescent="0.2">
      <c r="R781" s="581"/>
      <c r="T781" s="581"/>
    </row>
    <row r="782" spans="18:20" ht="12.75" x14ac:dyDescent="0.2">
      <c r="R782" s="581"/>
      <c r="T782" s="581"/>
    </row>
    <row r="783" spans="18:20" ht="12.75" x14ac:dyDescent="0.2">
      <c r="R783" s="581"/>
      <c r="T783" s="581"/>
    </row>
    <row r="784" spans="18:20" ht="12.75" x14ac:dyDescent="0.2">
      <c r="R784" s="581"/>
      <c r="T784" s="581"/>
    </row>
    <row r="785" spans="18:20" ht="12.75" x14ac:dyDescent="0.2">
      <c r="R785" s="581"/>
      <c r="T785" s="581"/>
    </row>
    <row r="786" spans="18:20" ht="12.75" x14ac:dyDescent="0.2">
      <c r="R786" s="581"/>
      <c r="T786" s="581"/>
    </row>
    <row r="787" spans="18:20" ht="12.75" x14ac:dyDescent="0.2">
      <c r="R787" s="581"/>
      <c r="T787" s="581"/>
    </row>
    <row r="788" spans="18:20" ht="12.75" x14ac:dyDescent="0.2">
      <c r="R788" s="581"/>
      <c r="T788" s="581"/>
    </row>
    <row r="789" spans="18:20" ht="12.75" x14ac:dyDescent="0.2">
      <c r="R789" s="581"/>
      <c r="T789" s="581"/>
    </row>
    <row r="790" spans="18:20" ht="12.75" x14ac:dyDescent="0.2">
      <c r="R790" s="581"/>
      <c r="T790" s="581"/>
    </row>
    <row r="791" spans="18:20" ht="12.75" x14ac:dyDescent="0.2">
      <c r="R791" s="581"/>
      <c r="T791" s="581"/>
    </row>
    <row r="792" spans="18:20" ht="12.75" x14ac:dyDescent="0.2">
      <c r="R792" s="581"/>
      <c r="T792" s="581"/>
    </row>
    <row r="793" spans="18:20" ht="12.75" x14ac:dyDescent="0.2">
      <c r="R793" s="581"/>
      <c r="T793" s="581"/>
    </row>
    <row r="794" spans="18:20" ht="12.75" x14ac:dyDescent="0.2">
      <c r="R794" s="581"/>
      <c r="T794" s="581"/>
    </row>
    <row r="795" spans="18:20" ht="12.75" x14ac:dyDescent="0.2">
      <c r="R795" s="581"/>
      <c r="T795" s="581"/>
    </row>
    <row r="796" spans="18:20" ht="12.75" x14ac:dyDescent="0.2">
      <c r="R796" s="581"/>
      <c r="T796" s="581"/>
    </row>
    <row r="797" spans="18:20" ht="12.75" x14ac:dyDescent="0.2">
      <c r="R797" s="581"/>
      <c r="T797" s="581"/>
    </row>
    <row r="798" spans="18:20" ht="12.75" x14ac:dyDescent="0.2">
      <c r="R798" s="581"/>
      <c r="T798" s="581"/>
    </row>
    <row r="799" spans="18:20" ht="12.75" x14ac:dyDescent="0.2">
      <c r="R799" s="581"/>
      <c r="T799" s="581"/>
    </row>
    <row r="800" spans="18:20" ht="12.75" x14ac:dyDescent="0.2">
      <c r="R800" s="581"/>
      <c r="T800" s="581"/>
    </row>
    <row r="801" spans="18:20" ht="12.75" x14ac:dyDescent="0.2">
      <c r="R801" s="581"/>
      <c r="T801" s="581"/>
    </row>
    <row r="802" spans="18:20" ht="12.75" x14ac:dyDescent="0.2">
      <c r="R802" s="581"/>
      <c r="T802" s="581"/>
    </row>
    <row r="803" spans="18:20" ht="12.75" x14ac:dyDescent="0.2">
      <c r="R803" s="581"/>
      <c r="T803" s="581"/>
    </row>
    <row r="804" spans="18:20" ht="12.75" x14ac:dyDescent="0.2">
      <c r="R804" s="581"/>
      <c r="T804" s="581"/>
    </row>
    <row r="805" spans="18:20" ht="12.75" x14ac:dyDescent="0.2">
      <c r="R805" s="581"/>
      <c r="T805" s="581"/>
    </row>
    <row r="806" spans="18:20" ht="12.75" x14ac:dyDescent="0.2">
      <c r="R806" s="581"/>
      <c r="T806" s="581"/>
    </row>
    <row r="807" spans="18:20" ht="12.75" x14ac:dyDescent="0.2">
      <c r="R807" s="581"/>
      <c r="T807" s="581"/>
    </row>
    <row r="808" spans="18:20" ht="12.75" x14ac:dyDescent="0.2">
      <c r="R808" s="581"/>
      <c r="T808" s="581"/>
    </row>
    <row r="809" spans="18:20" ht="12.75" x14ac:dyDescent="0.2">
      <c r="R809" s="581"/>
      <c r="T809" s="581"/>
    </row>
    <row r="810" spans="18:20" ht="12.75" x14ac:dyDescent="0.2">
      <c r="R810" s="581"/>
      <c r="T810" s="581"/>
    </row>
    <row r="811" spans="18:20" ht="12.75" x14ac:dyDescent="0.2">
      <c r="R811" s="581"/>
      <c r="T811" s="581"/>
    </row>
    <row r="812" spans="18:20" ht="12.75" x14ac:dyDescent="0.2">
      <c r="R812" s="581"/>
      <c r="T812" s="581"/>
    </row>
    <row r="813" spans="18:20" ht="12.75" x14ac:dyDescent="0.2">
      <c r="R813" s="581"/>
      <c r="T813" s="581"/>
    </row>
    <row r="814" spans="18:20" ht="12.75" x14ac:dyDescent="0.2">
      <c r="R814" s="581"/>
      <c r="T814" s="581"/>
    </row>
    <row r="815" spans="18:20" ht="12.75" x14ac:dyDescent="0.2">
      <c r="R815" s="581"/>
      <c r="T815" s="581"/>
    </row>
    <row r="816" spans="18:20" ht="12.75" x14ac:dyDescent="0.2">
      <c r="R816" s="581"/>
      <c r="T816" s="581"/>
    </row>
    <row r="817" spans="18:20" ht="12.75" x14ac:dyDescent="0.2">
      <c r="R817" s="581"/>
      <c r="T817" s="581"/>
    </row>
    <row r="818" spans="18:20" ht="12.75" x14ac:dyDescent="0.2">
      <c r="R818" s="581"/>
      <c r="T818" s="581"/>
    </row>
    <row r="819" spans="18:20" ht="12.75" x14ac:dyDescent="0.2">
      <c r="R819" s="581"/>
      <c r="T819" s="581"/>
    </row>
    <row r="820" spans="18:20" ht="12.75" x14ac:dyDescent="0.2">
      <c r="R820" s="581"/>
      <c r="T820" s="581"/>
    </row>
    <row r="821" spans="18:20" ht="12.75" x14ac:dyDescent="0.2">
      <c r="R821" s="581"/>
      <c r="T821" s="581"/>
    </row>
    <row r="822" spans="18:20" ht="12.75" x14ac:dyDescent="0.2">
      <c r="R822" s="581"/>
      <c r="T822" s="581"/>
    </row>
    <row r="823" spans="18:20" ht="12.75" x14ac:dyDescent="0.2">
      <c r="R823" s="581"/>
      <c r="T823" s="581"/>
    </row>
    <row r="824" spans="18:20" ht="12.75" x14ac:dyDescent="0.2">
      <c r="R824" s="581"/>
      <c r="T824" s="581"/>
    </row>
    <row r="825" spans="18:20" ht="12.75" x14ac:dyDescent="0.2">
      <c r="R825" s="581"/>
      <c r="T825" s="581"/>
    </row>
    <row r="826" spans="18:20" ht="12.75" x14ac:dyDescent="0.2">
      <c r="R826" s="581"/>
      <c r="T826" s="581"/>
    </row>
    <row r="827" spans="18:20" ht="12.75" x14ac:dyDescent="0.2">
      <c r="R827" s="581"/>
      <c r="T827" s="581"/>
    </row>
    <row r="828" spans="18:20" ht="12.75" x14ac:dyDescent="0.2">
      <c r="R828" s="581"/>
      <c r="T828" s="581"/>
    </row>
    <row r="829" spans="18:20" ht="12.75" x14ac:dyDescent="0.2">
      <c r="R829" s="581"/>
      <c r="T829" s="581"/>
    </row>
    <row r="830" spans="18:20" ht="12.75" x14ac:dyDescent="0.2">
      <c r="R830" s="581"/>
      <c r="T830" s="581"/>
    </row>
    <row r="831" spans="18:20" ht="12.75" x14ac:dyDescent="0.2">
      <c r="R831" s="581"/>
      <c r="T831" s="581"/>
    </row>
    <row r="832" spans="18:20" ht="12.75" x14ac:dyDescent="0.2">
      <c r="R832" s="581"/>
      <c r="T832" s="581"/>
    </row>
    <row r="833" spans="18:20" ht="12.75" x14ac:dyDescent="0.2">
      <c r="R833" s="581"/>
      <c r="T833" s="581"/>
    </row>
    <row r="834" spans="18:20" ht="12.75" x14ac:dyDescent="0.2">
      <c r="R834" s="581"/>
      <c r="T834" s="581"/>
    </row>
    <row r="835" spans="18:20" ht="12.75" x14ac:dyDescent="0.2">
      <c r="R835" s="581"/>
      <c r="T835" s="581"/>
    </row>
    <row r="836" spans="18:20" ht="12.75" x14ac:dyDescent="0.2">
      <c r="R836" s="581"/>
      <c r="T836" s="581"/>
    </row>
    <row r="837" spans="18:20" ht="12.75" x14ac:dyDescent="0.2">
      <c r="R837" s="581"/>
      <c r="T837" s="581"/>
    </row>
    <row r="838" spans="18:20" ht="12.75" x14ac:dyDescent="0.2">
      <c r="R838" s="581"/>
      <c r="T838" s="581"/>
    </row>
    <row r="839" spans="18:20" ht="12.75" x14ac:dyDescent="0.2">
      <c r="R839" s="581"/>
      <c r="T839" s="581"/>
    </row>
    <row r="840" spans="18:20" ht="12.75" x14ac:dyDescent="0.2">
      <c r="R840" s="581"/>
      <c r="T840" s="581"/>
    </row>
    <row r="841" spans="18:20" ht="12.75" x14ac:dyDescent="0.2">
      <c r="R841" s="581"/>
      <c r="T841" s="581"/>
    </row>
    <row r="842" spans="18:20" ht="12.75" x14ac:dyDescent="0.2">
      <c r="R842" s="581"/>
      <c r="T842" s="581"/>
    </row>
    <row r="843" spans="18:20" ht="12.75" x14ac:dyDescent="0.2">
      <c r="R843" s="581"/>
      <c r="T843" s="581"/>
    </row>
    <row r="844" spans="18:20" ht="12.75" x14ac:dyDescent="0.2">
      <c r="R844" s="581"/>
      <c r="T844" s="581"/>
    </row>
    <row r="845" spans="18:20" ht="12.75" x14ac:dyDescent="0.2">
      <c r="R845" s="581"/>
      <c r="T845" s="581"/>
    </row>
    <row r="846" spans="18:20" ht="12.75" x14ac:dyDescent="0.2">
      <c r="R846" s="581"/>
      <c r="T846" s="581"/>
    </row>
    <row r="847" spans="18:20" ht="12.75" x14ac:dyDescent="0.2">
      <c r="R847" s="581"/>
      <c r="T847" s="581"/>
    </row>
    <row r="848" spans="18:20" ht="12.75" x14ac:dyDescent="0.2">
      <c r="R848" s="581"/>
      <c r="T848" s="581"/>
    </row>
    <row r="849" spans="18:20" ht="12.75" x14ac:dyDescent="0.2">
      <c r="R849" s="581"/>
      <c r="T849" s="581"/>
    </row>
    <row r="850" spans="18:20" ht="12.75" x14ac:dyDescent="0.2">
      <c r="R850" s="581"/>
      <c r="T850" s="581"/>
    </row>
    <row r="851" spans="18:20" ht="12.75" x14ac:dyDescent="0.2">
      <c r="R851" s="581"/>
      <c r="T851" s="581"/>
    </row>
    <row r="852" spans="18:20" ht="12.75" x14ac:dyDescent="0.2">
      <c r="R852" s="581"/>
      <c r="T852" s="581"/>
    </row>
    <row r="853" spans="18:20" ht="12.75" x14ac:dyDescent="0.2">
      <c r="R853" s="581"/>
      <c r="T853" s="581"/>
    </row>
    <row r="854" spans="18:20" ht="12.75" x14ac:dyDescent="0.2">
      <c r="R854" s="581"/>
      <c r="T854" s="581"/>
    </row>
    <row r="855" spans="18:20" ht="12.75" x14ac:dyDescent="0.2">
      <c r="R855" s="581"/>
      <c r="T855" s="581"/>
    </row>
    <row r="856" spans="18:20" ht="12.75" x14ac:dyDescent="0.2">
      <c r="R856" s="581"/>
      <c r="T856" s="581"/>
    </row>
    <row r="857" spans="18:20" ht="12.75" x14ac:dyDescent="0.2">
      <c r="R857" s="581"/>
      <c r="T857" s="581"/>
    </row>
    <row r="858" spans="18:20" ht="12.75" x14ac:dyDescent="0.2">
      <c r="R858" s="581"/>
      <c r="T858" s="581"/>
    </row>
    <row r="859" spans="18:20" ht="12.75" x14ac:dyDescent="0.2">
      <c r="R859" s="581"/>
      <c r="T859" s="581"/>
    </row>
    <row r="860" spans="18:20" ht="12.75" x14ac:dyDescent="0.2">
      <c r="R860" s="581"/>
      <c r="T860" s="581"/>
    </row>
    <row r="861" spans="18:20" ht="12.75" x14ac:dyDescent="0.2">
      <c r="R861" s="581"/>
      <c r="T861" s="581"/>
    </row>
    <row r="862" spans="18:20" ht="12.75" x14ac:dyDescent="0.2">
      <c r="R862" s="581"/>
      <c r="T862" s="581"/>
    </row>
    <row r="863" spans="18:20" ht="12.75" x14ac:dyDescent="0.2">
      <c r="R863" s="581"/>
      <c r="T863" s="581"/>
    </row>
    <row r="864" spans="18:20" ht="12.75" x14ac:dyDescent="0.2">
      <c r="R864" s="581"/>
      <c r="T864" s="581"/>
    </row>
    <row r="865" spans="18:20" ht="12.75" x14ac:dyDescent="0.2">
      <c r="R865" s="581"/>
      <c r="T865" s="581"/>
    </row>
    <row r="866" spans="18:20" ht="12.75" x14ac:dyDescent="0.2">
      <c r="R866" s="581"/>
      <c r="T866" s="581"/>
    </row>
    <row r="867" spans="18:20" ht="12.75" x14ac:dyDescent="0.2">
      <c r="R867" s="581"/>
      <c r="T867" s="581"/>
    </row>
    <row r="868" spans="18:20" ht="12.75" x14ac:dyDescent="0.2">
      <c r="R868" s="581"/>
      <c r="T868" s="581"/>
    </row>
    <row r="869" spans="18:20" ht="12.75" x14ac:dyDescent="0.2">
      <c r="R869" s="581"/>
      <c r="T869" s="581"/>
    </row>
    <row r="870" spans="18:20" ht="12.75" x14ac:dyDescent="0.2">
      <c r="R870" s="581"/>
      <c r="T870" s="581"/>
    </row>
    <row r="871" spans="18:20" ht="12.75" x14ac:dyDescent="0.2">
      <c r="R871" s="581"/>
      <c r="T871" s="581"/>
    </row>
    <row r="872" spans="18:20" ht="12.75" x14ac:dyDescent="0.2">
      <c r="R872" s="581"/>
      <c r="T872" s="581"/>
    </row>
    <row r="873" spans="18:20" ht="12.75" x14ac:dyDescent="0.2">
      <c r="R873" s="581"/>
      <c r="T873" s="581"/>
    </row>
    <row r="874" spans="18:20" ht="12.75" x14ac:dyDescent="0.2">
      <c r="R874" s="581"/>
      <c r="T874" s="581"/>
    </row>
    <row r="875" spans="18:20" ht="12.75" x14ac:dyDescent="0.2">
      <c r="R875" s="581"/>
      <c r="T875" s="581"/>
    </row>
    <row r="876" spans="18:20" ht="12.75" x14ac:dyDescent="0.2">
      <c r="R876" s="581"/>
      <c r="T876" s="581"/>
    </row>
    <row r="877" spans="18:20" ht="12.75" x14ac:dyDescent="0.2">
      <c r="R877" s="581"/>
      <c r="T877" s="581"/>
    </row>
    <row r="878" spans="18:20" ht="12.75" x14ac:dyDescent="0.2">
      <c r="R878" s="581"/>
      <c r="T878" s="581"/>
    </row>
    <row r="879" spans="18:20" ht="12.75" x14ac:dyDescent="0.2">
      <c r="R879" s="581"/>
      <c r="T879" s="581"/>
    </row>
    <row r="880" spans="18:20" ht="12.75" x14ac:dyDescent="0.2">
      <c r="R880" s="581"/>
      <c r="T880" s="581"/>
    </row>
    <row r="881" spans="18:20" ht="12.75" x14ac:dyDescent="0.2">
      <c r="R881" s="581"/>
      <c r="T881" s="581"/>
    </row>
    <row r="882" spans="18:20" ht="12.75" x14ac:dyDescent="0.2">
      <c r="R882" s="581"/>
      <c r="T882" s="581"/>
    </row>
    <row r="883" spans="18:20" ht="12.75" x14ac:dyDescent="0.2">
      <c r="R883" s="581"/>
      <c r="T883" s="581"/>
    </row>
    <row r="884" spans="18:20" ht="12.75" x14ac:dyDescent="0.2">
      <c r="R884" s="581"/>
      <c r="T884" s="581"/>
    </row>
    <row r="885" spans="18:20" ht="12.75" x14ac:dyDescent="0.2">
      <c r="R885" s="581"/>
      <c r="T885" s="581"/>
    </row>
    <row r="886" spans="18:20" ht="12.75" x14ac:dyDescent="0.2">
      <c r="R886" s="581"/>
      <c r="T886" s="581"/>
    </row>
    <row r="887" spans="18:20" ht="12.75" x14ac:dyDescent="0.2">
      <c r="R887" s="581"/>
      <c r="T887" s="581"/>
    </row>
    <row r="888" spans="18:20" ht="12.75" x14ac:dyDescent="0.2">
      <c r="R888" s="581"/>
      <c r="T888" s="581"/>
    </row>
    <row r="889" spans="18:20" ht="12.75" x14ac:dyDescent="0.2">
      <c r="R889" s="581"/>
      <c r="T889" s="581"/>
    </row>
    <row r="890" spans="18:20" ht="12.75" x14ac:dyDescent="0.2">
      <c r="R890" s="581"/>
      <c r="T890" s="581"/>
    </row>
    <row r="891" spans="18:20" ht="12.75" x14ac:dyDescent="0.2">
      <c r="R891" s="581"/>
      <c r="T891" s="581"/>
    </row>
    <row r="892" spans="18:20" ht="12.75" x14ac:dyDescent="0.2">
      <c r="R892" s="581"/>
      <c r="T892" s="581"/>
    </row>
    <row r="893" spans="18:20" ht="12.75" x14ac:dyDescent="0.2">
      <c r="R893" s="581"/>
      <c r="T893" s="581"/>
    </row>
    <row r="894" spans="18:20" ht="12.75" x14ac:dyDescent="0.2">
      <c r="R894" s="581"/>
      <c r="T894" s="581"/>
    </row>
    <row r="895" spans="18:20" ht="12.75" x14ac:dyDescent="0.2">
      <c r="R895" s="581"/>
      <c r="T895" s="581"/>
    </row>
    <row r="896" spans="18:20" ht="12.75" x14ac:dyDescent="0.2">
      <c r="R896" s="581"/>
      <c r="T896" s="581"/>
    </row>
    <row r="897" spans="18:20" ht="12.75" x14ac:dyDescent="0.2">
      <c r="R897" s="581"/>
      <c r="T897" s="581"/>
    </row>
    <row r="898" spans="18:20" ht="12.75" x14ac:dyDescent="0.2">
      <c r="R898" s="581"/>
      <c r="T898" s="581"/>
    </row>
    <row r="899" spans="18:20" ht="12.75" x14ac:dyDescent="0.2">
      <c r="R899" s="581"/>
      <c r="T899" s="581"/>
    </row>
    <row r="900" spans="18:20" ht="12.75" x14ac:dyDescent="0.2">
      <c r="R900" s="581"/>
      <c r="T900" s="581"/>
    </row>
    <row r="901" spans="18:20" ht="12.75" x14ac:dyDescent="0.2">
      <c r="R901" s="581"/>
      <c r="T901" s="581"/>
    </row>
    <row r="902" spans="18:20" ht="12.75" x14ac:dyDescent="0.2">
      <c r="R902" s="581"/>
      <c r="T902" s="581"/>
    </row>
    <row r="903" spans="18:20" ht="12.75" x14ac:dyDescent="0.2">
      <c r="R903" s="581"/>
      <c r="T903" s="581"/>
    </row>
    <row r="904" spans="18:20" ht="12.75" x14ac:dyDescent="0.2">
      <c r="R904" s="581"/>
      <c r="T904" s="581"/>
    </row>
    <row r="905" spans="18:20" ht="12.75" x14ac:dyDescent="0.2">
      <c r="R905" s="581"/>
      <c r="T905" s="581"/>
    </row>
    <row r="906" spans="18:20" ht="12.75" x14ac:dyDescent="0.2">
      <c r="R906" s="581"/>
      <c r="T906" s="581"/>
    </row>
    <row r="907" spans="18:20" ht="12.75" x14ac:dyDescent="0.2">
      <c r="R907" s="581"/>
      <c r="T907" s="581"/>
    </row>
    <row r="908" spans="18:20" ht="12.75" x14ac:dyDescent="0.2">
      <c r="R908" s="581"/>
      <c r="T908" s="581"/>
    </row>
    <row r="909" spans="18:20" ht="12.75" x14ac:dyDescent="0.2">
      <c r="R909" s="581"/>
      <c r="T909" s="581"/>
    </row>
    <row r="910" spans="18:20" ht="12.75" x14ac:dyDescent="0.2">
      <c r="R910" s="581"/>
      <c r="T910" s="581"/>
    </row>
    <row r="911" spans="18:20" ht="12.75" x14ac:dyDescent="0.2">
      <c r="R911" s="581"/>
      <c r="T911" s="581"/>
    </row>
    <row r="912" spans="18:20" ht="12.75" x14ac:dyDescent="0.2">
      <c r="R912" s="581"/>
      <c r="T912" s="581"/>
    </row>
    <row r="913" spans="18:20" ht="12.75" x14ac:dyDescent="0.2">
      <c r="R913" s="581"/>
      <c r="T913" s="581"/>
    </row>
    <row r="914" spans="18:20" ht="12.75" x14ac:dyDescent="0.2">
      <c r="R914" s="581"/>
      <c r="T914" s="581"/>
    </row>
    <row r="915" spans="18:20" ht="12.75" x14ac:dyDescent="0.2">
      <c r="R915" s="581"/>
      <c r="T915" s="581"/>
    </row>
    <row r="916" spans="18:20" ht="12.75" x14ac:dyDescent="0.2">
      <c r="R916" s="581"/>
      <c r="T916" s="581"/>
    </row>
    <row r="917" spans="18:20" ht="12.75" x14ac:dyDescent="0.2">
      <c r="R917" s="581"/>
      <c r="T917" s="581"/>
    </row>
    <row r="918" spans="18:20" ht="12.75" x14ac:dyDescent="0.2">
      <c r="R918" s="581"/>
      <c r="T918" s="581"/>
    </row>
    <row r="919" spans="18:20" ht="12.75" x14ac:dyDescent="0.2">
      <c r="R919" s="581"/>
      <c r="T919" s="581"/>
    </row>
    <row r="920" spans="18:20" ht="12.75" x14ac:dyDescent="0.2">
      <c r="R920" s="581"/>
      <c r="T920" s="581"/>
    </row>
    <row r="921" spans="18:20" ht="12.75" x14ac:dyDescent="0.2">
      <c r="R921" s="581"/>
      <c r="T921" s="581"/>
    </row>
    <row r="922" spans="18:20" ht="12.75" x14ac:dyDescent="0.2">
      <c r="R922" s="581"/>
      <c r="T922" s="581"/>
    </row>
    <row r="923" spans="18:20" ht="12.75" x14ac:dyDescent="0.2">
      <c r="R923" s="581"/>
      <c r="T923" s="581"/>
    </row>
    <row r="924" spans="18:20" ht="12.75" x14ac:dyDescent="0.2">
      <c r="R924" s="581"/>
      <c r="T924" s="581"/>
    </row>
    <row r="925" spans="18:20" ht="12.75" x14ac:dyDescent="0.2">
      <c r="R925" s="581"/>
      <c r="T925" s="581"/>
    </row>
    <row r="926" spans="18:20" ht="12.75" x14ac:dyDescent="0.2">
      <c r="R926" s="581"/>
      <c r="T926" s="581"/>
    </row>
    <row r="927" spans="18:20" ht="12.75" x14ac:dyDescent="0.2">
      <c r="R927" s="581"/>
      <c r="T927" s="581"/>
    </row>
    <row r="928" spans="18:20" ht="12.75" x14ac:dyDescent="0.2">
      <c r="R928" s="581"/>
      <c r="T928" s="581"/>
    </row>
    <row r="929" spans="18:20" ht="12.75" x14ac:dyDescent="0.2">
      <c r="R929" s="581"/>
      <c r="T929" s="581"/>
    </row>
    <row r="930" spans="18:20" ht="12.75" x14ac:dyDescent="0.2">
      <c r="R930" s="581"/>
      <c r="T930" s="581"/>
    </row>
    <row r="931" spans="18:20" ht="12.75" x14ac:dyDescent="0.2">
      <c r="R931" s="581"/>
      <c r="T931" s="581"/>
    </row>
    <row r="932" spans="18:20" ht="12.75" x14ac:dyDescent="0.2">
      <c r="R932" s="581"/>
      <c r="T932" s="581"/>
    </row>
    <row r="933" spans="18:20" ht="12.75" x14ac:dyDescent="0.2">
      <c r="R933" s="581"/>
      <c r="T933" s="581"/>
    </row>
    <row r="934" spans="18:20" ht="12.75" x14ac:dyDescent="0.2">
      <c r="R934" s="581"/>
      <c r="T934" s="581"/>
    </row>
    <row r="935" spans="18:20" ht="12.75" x14ac:dyDescent="0.2">
      <c r="R935" s="581"/>
      <c r="T935" s="581"/>
    </row>
    <row r="936" spans="18:20" ht="12.75" x14ac:dyDescent="0.2">
      <c r="R936" s="581"/>
      <c r="T936" s="581"/>
    </row>
    <row r="937" spans="18:20" ht="12.75" x14ac:dyDescent="0.2">
      <c r="R937" s="581"/>
      <c r="T937" s="581"/>
    </row>
    <row r="938" spans="18:20" ht="12.75" x14ac:dyDescent="0.2">
      <c r="R938" s="581"/>
      <c r="T938" s="581"/>
    </row>
    <row r="939" spans="18:20" ht="12.75" x14ac:dyDescent="0.2">
      <c r="R939" s="581"/>
      <c r="T939" s="581"/>
    </row>
    <row r="940" spans="18:20" ht="12.75" x14ac:dyDescent="0.2">
      <c r="R940" s="581"/>
      <c r="T940" s="581"/>
    </row>
    <row r="941" spans="18:20" ht="12.75" x14ac:dyDescent="0.2">
      <c r="R941" s="581"/>
      <c r="T941" s="581"/>
    </row>
    <row r="942" spans="18:20" ht="12.75" x14ac:dyDescent="0.2">
      <c r="R942" s="581"/>
      <c r="T942" s="581"/>
    </row>
    <row r="943" spans="18:20" ht="12.75" x14ac:dyDescent="0.2">
      <c r="R943" s="581"/>
      <c r="T943" s="581"/>
    </row>
    <row r="944" spans="18:20" ht="12.75" x14ac:dyDescent="0.2">
      <c r="R944" s="581"/>
      <c r="T944" s="581"/>
    </row>
    <row r="945" spans="18:20" ht="12.75" x14ac:dyDescent="0.2">
      <c r="R945" s="581"/>
      <c r="T945" s="581"/>
    </row>
    <row r="946" spans="18:20" ht="12.75" x14ac:dyDescent="0.2">
      <c r="R946" s="581"/>
      <c r="T946" s="581"/>
    </row>
    <row r="947" spans="18:20" ht="12.75" x14ac:dyDescent="0.2">
      <c r="R947" s="581"/>
      <c r="T947" s="581"/>
    </row>
    <row r="948" spans="18:20" ht="12.75" x14ac:dyDescent="0.2">
      <c r="R948" s="581"/>
      <c r="T948" s="581"/>
    </row>
    <row r="949" spans="18:20" ht="12.75" x14ac:dyDescent="0.2">
      <c r="R949" s="581"/>
      <c r="T949" s="581"/>
    </row>
    <row r="950" spans="18:20" ht="12.75" x14ac:dyDescent="0.2">
      <c r="R950" s="581"/>
      <c r="T950" s="581"/>
    </row>
    <row r="951" spans="18:20" ht="12.75" x14ac:dyDescent="0.2">
      <c r="R951" s="581"/>
      <c r="T951" s="581"/>
    </row>
    <row r="952" spans="18:20" ht="12.75" x14ac:dyDescent="0.2">
      <c r="R952" s="581"/>
      <c r="T952" s="581"/>
    </row>
    <row r="953" spans="18:20" ht="12.75" x14ac:dyDescent="0.2">
      <c r="R953" s="581"/>
      <c r="T953" s="581"/>
    </row>
    <row r="954" spans="18:20" ht="12.75" x14ac:dyDescent="0.2">
      <c r="R954" s="581"/>
      <c r="T954" s="581"/>
    </row>
    <row r="955" spans="18:20" ht="12.75" x14ac:dyDescent="0.2">
      <c r="R955" s="581"/>
      <c r="T955" s="581"/>
    </row>
    <row r="956" spans="18:20" ht="12.75" x14ac:dyDescent="0.2">
      <c r="R956" s="581"/>
      <c r="T956" s="581"/>
    </row>
    <row r="957" spans="18:20" ht="12.75" x14ac:dyDescent="0.2">
      <c r="R957" s="581"/>
      <c r="T957" s="581"/>
    </row>
    <row r="958" spans="18:20" ht="12.75" x14ac:dyDescent="0.2">
      <c r="R958" s="581"/>
      <c r="T958" s="581"/>
    </row>
    <row r="959" spans="18:20" ht="12.75" x14ac:dyDescent="0.2">
      <c r="R959" s="581"/>
      <c r="T959" s="581"/>
    </row>
    <row r="960" spans="18:20" ht="12.75" x14ac:dyDescent="0.2">
      <c r="R960" s="581"/>
      <c r="T960" s="581"/>
    </row>
    <row r="961" spans="18:20" ht="12.75" x14ac:dyDescent="0.2">
      <c r="R961" s="581"/>
      <c r="T961" s="581"/>
    </row>
    <row r="962" spans="18:20" ht="12.75" x14ac:dyDescent="0.2">
      <c r="R962" s="581"/>
      <c r="T962" s="581"/>
    </row>
    <row r="963" spans="18:20" ht="12.75" x14ac:dyDescent="0.2">
      <c r="R963" s="581"/>
      <c r="T963" s="581"/>
    </row>
    <row r="964" spans="18:20" ht="12.75" x14ac:dyDescent="0.2">
      <c r="R964" s="581"/>
      <c r="T964" s="581"/>
    </row>
    <row r="965" spans="18:20" ht="12.75" x14ac:dyDescent="0.2">
      <c r="R965" s="581"/>
      <c r="T965" s="581"/>
    </row>
    <row r="966" spans="18:20" ht="12.75" x14ac:dyDescent="0.2">
      <c r="R966" s="581"/>
      <c r="T966" s="581"/>
    </row>
    <row r="967" spans="18:20" ht="12.75" x14ac:dyDescent="0.2">
      <c r="R967" s="581"/>
      <c r="T967" s="581"/>
    </row>
    <row r="968" spans="18:20" ht="12.75" x14ac:dyDescent="0.2">
      <c r="R968" s="581"/>
      <c r="T968" s="581"/>
    </row>
    <row r="969" spans="18:20" ht="12.75" x14ac:dyDescent="0.2">
      <c r="R969" s="581"/>
      <c r="T969" s="581"/>
    </row>
    <row r="970" spans="18:20" ht="12.75" x14ac:dyDescent="0.2">
      <c r="R970" s="581"/>
      <c r="T970" s="581"/>
    </row>
    <row r="971" spans="18:20" ht="12.75" x14ac:dyDescent="0.2">
      <c r="R971" s="581"/>
      <c r="T971" s="581"/>
    </row>
    <row r="972" spans="18:20" ht="12.75" x14ac:dyDescent="0.2">
      <c r="R972" s="581"/>
      <c r="T972" s="581"/>
    </row>
    <row r="973" spans="18:20" ht="12.75" x14ac:dyDescent="0.2">
      <c r="R973" s="581"/>
      <c r="T973" s="581"/>
    </row>
    <row r="974" spans="18:20" ht="12.75" x14ac:dyDescent="0.2">
      <c r="R974" s="581"/>
      <c r="T974" s="581"/>
    </row>
    <row r="975" spans="18:20" ht="12.75" x14ac:dyDescent="0.2">
      <c r="R975" s="581"/>
      <c r="T975" s="581"/>
    </row>
    <row r="976" spans="18:20" ht="12.75" x14ac:dyDescent="0.2">
      <c r="R976" s="581"/>
      <c r="T976" s="581"/>
    </row>
    <row r="977" spans="18:20" ht="12.75" x14ac:dyDescent="0.2">
      <c r="R977" s="581"/>
      <c r="T977" s="581"/>
    </row>
    <row r="978" spans="18:20" ht="12.75" x14ac:dyDescent="0.2">
      <c r="R978" s="581"/>
      <c r="T978" s="581"/>
    </row>
    <row r="979" spans="18:20" ht="12.75" x14ac:dyDescent="0.2">
      <c r="R979" s="581"/>
      <c r="T979" s="581"/>
    </row>
    <row r="980" spans="18:20" ht="12.75" x14ac:dyDescent="0.2">
      <c r="R980" s="581"/>
      <c r="T980" s="581"/>
    </row>
    <row r="981" spans="18:20" ht="12.75" x14ac:dyDescent="0.2">
      <c r="R981" s="581"/>
      <c r="T981" s="581"/>
    </row>
    <row r="982" spans="18:20" ht="12.75" x14ac:dyDescent="0.2">
      <c r="R982" s="581"/>
      <c r="T982" s="581"/>
    </row>
    <row r="983" spans="18:20" ht="12.75" x14ac:dyDescent="0.2">
      <c r="R983" s="581"/>
      <c r="T983" s="581"/>
    </row>
    <row r="984" spans="18:20" ht="12.75" x14ac:dyDescent="0.2">
      <c r="R984" s="581"/>
      <c r="T984" s="581"/>
    </row>
    <row r="985" spans="18:20" ht="12.75" x14ac:dyDescent="0.2">
      <c r="R985" s="581"/>
      <c r="T985" s="581"/>
    </row>
    <row r="986" spans="18:20" ht="12.75" x14ac:dyDescent="0.2">
      <c r="R986" s="581"/>
      <c r="T986" s="581"/>
    </row>
    <row r="987" spans="18:20" ht="12.75" x14ac:dyDescent="0.2">
      <c r="R987" s="581"/>
      <c r="T987" s="581"/>
    </row>
    <row r="988" spans="18:20" ht="12.75" x14ac:dyDescent="0.2">
      <c r="R988" s="581"/>
      <c r="T988" s="581"/>
    </row>
    <row r="989" spans="18:20" ht="12.75" x14ac:dyDescent="0.2">
      <c r="R989" s="581"/>
      <c r="T989" s="581"/>
    </row>
    <row r="990" spans="18:20" ht="12.75" x14ac:dyDescent="0.2">
      <c r="R990" s="581"/>
      <c r="T990" s="581"/>
    </row>
    <row r="991" spans="18:20" ht="12.75" x14ac:dyDescent="0.2">
      <c r="R991" s="581"/>
      <c r="T991" s="581"/>
    </row>
    <row r="992" spans="18:20" ht="12.75" x14ac:dyDescent="0.2">
      <c r="R992" s="581"/>
      <c r="T992" s="581"/>
    </row>
    <row r="993" spans="18:20" ht="12.75" x14ac:dyDescent="0.2">
      <c r="R993" s="581"/>
      <c r="T993" s="581"/>
    </row>
    <row r="994" spans="18:20" ht="12.75" x14ac:dyDescent="0.2">
      <c r="R994" s="581"/>
      <c r="T994" s="581"/>
    </row>
    <row r="995" spans="18:20" ht="12.75" x14ac:dyDescent="0.2">
      <c r="R995" s="581"/>
      <c r="T995" s="581"/>
    </row>
    <row r="996" spans="18:20" ht="12.75" x14ac:dyDescent="0.2">
      <c r="R996" s="581"/>
      <c r="T996" s="581"/>
    </row>
    <row r="997" spans="18:20" ht="12.75" x14ac:dyDescent="0.2">
      <c r="R997" s="581"/>
      <c r="T997" s="581"/>
    </row>
    <row r="998" spans="18:20" ht="12.75" x14ac:dyDescent="0.2">
      <c r="R998" s="581"/>
      <c r="T998" s="581"/>
    </row>
    <row r="999" spans="18:20" ht="12.75" x14ac:dyDescent="0.2">
      <c r="R999" s="581"/>
      <c r="T999" s="581"/>
    </row>
    <row r="1000" spans="18:20" ht="12.75" x14ac:dyDescent="0.2">
      <c r="R1000" s="581"/>
      <c r="T1000" s="581"/>
    </row>
  </sheetData>
  <mergeCells count="36">
    <mergeCell ref="A31:B31"/>
    <mergeCell ref="A52:B52"/>
    <mergeCell ref="A74:B74"/>
    <mergeCell ref="A89:B89"/>
    <mergeCell ref="C2:V2"/>
    <mergeCell ref="C3:Q3"/>
    <mergeCell ref="J4:Q4"/>
    <mergeCell ref="C4:G4"/>
    <mergeCell ref="H4:I4"/>
    <mergeCell ref="C5:C6"/>
    <mergeCell ref="D5:D6"/>
    <mergeCell ref="E5:E6"/>
    <mergeCell ref="F5:F6"/>
    <mergeCell ref="G5:G6"/>
    <mergeCell ref="J5:K5"/>
    <mergeCell ref="L5:N5"/>
    <mergeCell ref="AF5:AG5"/>
    <mergeCell ref="A2:B6"/>
    <mergeCell ref="A7:B7"/>
    <mergeCell ref="A13:B13"/>
    <mergeCell ref="W2:AK2"/>
    <mergeCell ref="W3:Y4"/>
    <mergeCell ref="Z3:AB4"/>
    <mergeCell ref="AH5:AK5"/>
    <mergeCell ref="AC3:AE4"/>
    <mergeCell ref="AF3:AK4"/>
    <mergeCell ref="O5:Q5"/>
    <mergeCell ref="X5:Y5"/>
    <mergeCell ref="AA5:AB5"/>
    <mergeCell ref="R3:V3"/>
    <mergeCell ref="R4:R6"/>
    <mergeCell ref="S4:S6"/>
    <mergeCell ref="T4:T6"/>
    <mergeCell ref="U4:U6"/>
    <mergeCell ref="V4:V6"/>
    <mergeCell ref="AD5:AE5"/>
  </mergeCells>
  <printOptions horizontalCentered="1"/>
  <pageMargins left="0.23622047244094491" right="0.23622047244094491" top="0.55118110236220474" bottom="0.55118110236220474" header="0" footer="0"/>
  <pageSetup paperSize="9" scale="35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แปลงใหญ่</vt:lpstr>
      <vt:lpstr>ทฤษฎีใหม่</vt:lpstr>
      <vt:lpstr>ธุรกิจชุมชน</vt:lpstr>
      <vt:lpstr>สมุนไพร</vt:lpstr>
      <vt:lpstr>GAP</vt:lpstr>
      <vt:lpstr>หัตถกรรม</vt:lpstr>
      <vt:lpstr>พระราชดำริ</vt:lpstr>
      <vt:lpstr>ผู้เทน</vt:lpstr>
      <vt:lpstr>เฝ้าระวังการเผา</vt:lpstr>
      <vt:lpstr>Smart</vt:lpstr>
      <vt:lpstr>แปลงรวม</vt:lpstr>
      <vt:lpstr>ศูนย์บริการ</vt:lpstr>
      <vt:lpstr>จัดที่ดิน</vt:lpstr>
      <vt:lpstr>RTK</vt:lpstr>
      <vt:lpstr>เหลื่อมล้ำ</vt:lpstr>
      <vt:lpstr>จัดหาที่ดินเอกชน</vt:lpstr>
      <vt:lpstr>7กิจกรรม</vt:lpstr>
      <vt:lpstr>จัดที่ดินชุมชน</vt:lpstr>
      <vt:lpstr>วนเกษตร</vt:lpstr>
      <vt:lpstr>อินทรีย์</vt:lpstr>
      <vt:lpstr>'7กิจกรรม'!Print_Titles</vt:lpstr>
      <vt:lpstr>GAP!Print_Titles</vt:lpstr>
      <vt:lpstr>RTK!Print_Titles</vt:lpstr>
      <vt:lpstr>Smart!Print_Titles</vt:lpstr>
      <vt:lpstr>จัดที่ดิน!Print_Titles</vt:lpstr>
      <vt:lpstr>จัดที่ดินชุมชน!Print_Titles</vt:lpstr>
      <vt:lpstr>จัดหาที่ดินเอกชน!Print_Titles</vt:lpstr>
      <vt:lpstr>ทฤษฎีใหม่!Print_Titles</vt:lpstr>
      <vt:lpstr>ธุรกิจชุมชน!Print_Titles</vt:lpstr>
      <vt:lpstr>แปลงรวม!Print_Titles</vt:lpstr>
      <vt:lpstr>แปลงใหญ่!Print_Titles</vt:lpstr>
      <vt:lpstr>ผู้เทน!Print_Titles</vt:lpstr>
      <vt:lpstr>เฝ้าระวังการเผา!Print_Titles</vt:lpstr>
      <vt:lpstr>พระราชดำริ!Print_Titles</vt:lpstr>
      <vt:lpstr>วนเกษตร!Print_Titles</vt:lpstr>
      <vt:lpstr>ศูนย์บริการ!Print_Titles</vt:lpstr>
      <vt:lpstr>สมุนไพร!Print_Titles</vt:lpstr>
      <vt:lpstr>หัตถกรรม!Print_Titles</vt:lpstr>
      <vt:lpstr>เหลื่อมล้ำ!Print_Titles</vt:lpstr>
      <vt:lpstr>อินทรีย์!Print_Titles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2024-02-21T07:16:13Z</cp:lastPrinted>
  <dcterms:modified xsi:type="dcterms:W3CDTF">2024-02-21T07:16:22Z</dcterms:modified>
</cp:coreProperties>
</file>